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DS269Q01C" sheetId="2" r:id="rId2"/>
    <s:sheet name="DS269Q03C" sheetId="3" r:id="rId3"/>
    <s:sheet name="CS269Q04S" sheetId="4" r:id="rId4"/>
    <s:sheet name="CS408Q01S" sheetId="5" r:id="rId5"/>
    <s:sheet name="DS408Q03C" sheetId="6" r:id="rId6"/>
    <s:sheet name="CS408Q04S" sheetId="7" r:id="rId7"/>
    <s:sheet name="CS408Q05S" sheetId="8" r:id="rId8"/>
    <s:sheet name="CS521Q02S" sheetId="9" r:id="rId9"/>
    <s:sheet name="CS521Q06S" sheetId="10" r:id="rId10"/>
    <s:sheet name="DS519Q01C" sheetId="11" r:id="rId11"/>
    <s:sheet name="CS519Q02S" sheetId="12" r:id="rId12"/>
    <s:sheet name="DS519Q03C" sheetId="13" r:id="rId13"/>
    <s:sheet name="CS527Q01S" sheetId="14" r:id="rId14"/>
    <s:sheet name="CS527Q03S" sheetId="15" r:id="rId15"/>
    <s:sheet name="CS527Q04S" sheetId="16" r:id="rId16"/>
    <s:sheet name="CS466Q01S" sheetId="17" r:id="rId17"/>
    <s:sheet name="CS466Q07S" sheetId="18" r:id="rId18"/>
    <s:sheet name="CS466Q05S" sheetId="19" r:id="rId19"/>
    <s:sheet name="DS326Q01C" sheetId="20" r:id="rId20"/>
    <s:sheet name="DS326Q02C" sheetId="21" r:id="rId21"/>
    <s:sheet name="CS326Q03S" sheetId="22" r:id="rId22"/>
    <s:sheet name="CS326Q04S" sheetId="23" r:id="rId23"/>
    <s:sheet name="CS256Q01S" sheetId="24" r:id="rId24"/>
    <s:sheet name="CS478Q01S" sheetId="25" r:id="rId25"/>
    <s:sheet name="CS478Q02S" sheetId="26" r:id="rId26"/>
    <s:sheet name="CS478Q03S" sheetId="27" r:id="rId27"/>
    <s:sheet name="CS413Q06S" sheetId="28" r:id="rId28"/>
    <s:sheet name="CS413Q04S" sheetId="29" r:id="rId29"/>
    <s:sheet name="CS413Q05S" sheetId="30" r:id="rId30"/>
    <s:sheet name="CS498Q02S" sheetId="31" r:id="rId31"/>
    <s:sheet name="CS498Q03S" sheetId="32" r:id="rId32"/>
    <s:sheet name="DS498Q04C" sheetId="33" r:id="rId33"/>
    <s:sheet name="DS425Q03C" sheetId="34" r:id="rId34"/>
    <s:sheet name="CS425Q05S" sheetId="35" r:id="rId35"/>
    <s:sheet name="CS425Q02S" sheetId="36" r:id="rId36"/>
    <s:sheet name="DS425Q04C" sheetId="37" r:id="rId37"/>
    <s:sheet name="DS465Q01C" sheetId="38" r:id="rId38"/>
    <s:sheet name="CS465Q02S" sheetId="39" r:id="rId39"/>
    <s:sheet name="CS465Q04S" sheetId="40" r:id="rId40"/>
    <s:sheet name="DS131Q02C" sheetId="41" r:id="rId41"/>
    <s:sheet name="DS131Q04C" sheetId="42" r:id="rId42"/>
    <s:sheet name="CS428Q01S" sheetId="43" r:id="rId43"/>
    <s:sheet name="CS428Q03S" sheetId="44" r:id="rId44"/>
    <s:sheet name="DS428Q05C" sheetId="45" r:id="rId45"/>
    <s:sheet name="DS514Q02C" sheetId="46" r:id="rId46"/>
    <s:sheet name="DS514Q03C" sheetId="47" r:id="rId47"/>
    <s:sheet name="DS514Q04C" sheetId="48" r:id="rId48"/>
    <s:sheet name="CS438Q01S" sheetId="49" r:id="rId49"/>
    <s:sheet name="CS438Q02S" sheetId="50" r:id="rId50"/>
    <s:sheet name="DS438Q03C" sheetId="51" r:id="rId51"/>
    <s:sheet name="CS415Q07S" sheetId="52" r:id="rId52"/>
    <s:sheet name="CS415Q02S" sheetId="53" r:id="rId53"/>
    <s:sheet name="CS415Q08S" sheetId="54" r:id="rId54"/>
    <s:sheet name="CS476Q01S" sheetId="55" r:id="rId55"/>
    <s:sheet name="CS476Q02S" sheetId="56" r:id="rId56"/>
    <s:sheet name="CS476Q03S" sheetId="57" r:id="rId57"/>
    <s:sheet name="CS495Q04S" sheetId="58" r:id="rId58"/>
    <s:sheet name="CS495Q01S" sheetId="59" r:id="rId59"/>
    <s:sheet name="CS495Q02S" sheetId="60" r:id="rId60"/>
    <s:sheet name="DS495Q03C" sheetId="61" r:id="rId61"/>
    <s:sheet name="CS268Q01S" sheetId="62" r:id="rId62"/>
    <s:sheet name="DS268Q02C" sheetId="63" r:id="rId63"/>
    <s:sheet name="CS268Q06S" sheetId="64" r:id="rId64"/>
    <s:sheet name="CS524Q06S" sheetId="65" r:id="rId65"/>
    <s:sheet name="DS524Q07C" sheetId="66" r:id="rId66"/>
    <s:sheet name="CS510Q01S" sheetId="67" r:id="rId67"/>
    <s:sheet name="DS510Q04C" sheetId="68" r:id="rId68"/>
    <s:sheet name="CS437Q01S" sheetId="69" r:id="rId69"/>
    <s:sheet name="CS437Q03S" sheetId="70" r:id="rId70"/>
    <s:sheet name="CS437Q04S" sheetId="71" r:id="rId71"/>
    <s:sheet name="DS437Q06C" sheetId="72" r:id="rId72"/>
    <s:sheet name="DS304Q01C" sheetId="73" r:id="rId73"/>
    <s:sheet name="CS304Q02S" sheetId="74" r:id="rId74"/>
    <s:sheet name="DS304Q03aC" sheetId="75" r:id="rId75"/>
    <s:sheet name="DS304Q03bC" sheetId="76" r:id="rId76"/>
    <s:sheet name="DS416Q01C" sheetId="77" r:id="rId77"/>
    <s:sheet name="DS458Q01C" sheetId="78" r:id="rId78"/>
    <s:sheet name="CS458Q02S" sheetId="79" r:id="rId79"/>
    <s:sheet name="CS421Q01S" sheetId="80" r:id="rId80"/>
    <s:sheet name="CS421Q02S" sheetId="81" r:id="rId81"/>
    <s:sheet name="CS421Q03S" sheetId="82" r:id="rId82"/>
    <s:sheet name="CS252Q01S" sheetId="83" r:id="rId83"/>
    <s:sheet name="CS252Q02S" sheetId="84" r:id="rId84"/>
    <s:sheet name="CS252Q03S" sheetId="85" r:id="rId85"/>
    <s:sheet name="CS327Q01S" sheetId="86" r:id="rId86"/>
    <s:sheet name="CS627Q01S" sheetId="87" r:id="rId87"/>
    <s:sheet name="CS627Q03S" sheetId="88" r:id="rId88"/>
    <s:sheet name="CS627Q04S" sheetId="89" r:id="rId89"/>
    <s:sheet name="CS635Q01S" sheetId="90" r:id="rId90"/>
    <s:sheet name="CS635Q02S" sheetId="91" r:id="rId91"/>
    <s:sheet name="DS635Q03C" sheetId="92" r:id="rId92"/>
    <s:sheet name="CS635Q04S" sheetId="93" r:id="rId93"/>
    <s:sheet name="DS635Q05C" sheetId="94" r:id="rId94"/>
    <s:sheet name="CS603Q01S" sheetId="95" r:id="rId95"/>
    <s:sheet name="DS603Q02C" sheetId="96" r:id="rId96"/>
    <s:sheet name="CS603Q03S" sheetId="97" r:id="rId97"/>
    <s:sheet name="CS603Q04S" sheetId="98" r:id="rId98"/>
    <s:sheet name="CS603Q05S" sheetId="99" r:id="rId99"/>
    <s:sheet name="CS602Q01S" sheetId="100" r:id="rId100"/>
    <s:sheet name="CS602Q02S" sheetId="101" r:id="rId101"/>
    <s:sheet name="DS602Q03C" sheetId="102" r:id="rId102"/>
    <s:sheet name="CS602Q04S" sheetId="103" r:id="rId103"/>
    <s:sheet name="CS607Q01S" sheetId="104" r:id="rId104"/>
    <s:sheet name="CS607Q02S" sheetId="105" r:id="rId105"/>
    <s:sheet name="DS607Q03C" sheetId="106" r:id="rId106"/>
    <s:sheet name="CS646Q01S" sheetId="107" r:id="rId107"/>
    <s:sheet name="CS646Q02S" sheetId="108" r:id="rId108"/>
    <s:sheet name="CS646Q03S" sheetId="109" r:id="rId109"/>
    <s:sheet name="DS646Q04C" sheetId="110" r:id="rId110"/>
    <s:sheet name="DS646Q05C" sheetId="111" r:id="rId111"/>
    <s:sheet name="CS608Q01S" sheetId="112" r:id="rId112"/>
    <s:sheet name="CS608Q02S" sheetId="113" r:id="rId113"/>
    <s:sheet name="CS608Q03S" sheetId="114" r:id="rId114"/>
    <s:sheet name="DS608Q04C" sheetId="115" r:id="rId115"/>
    <s:sheet name="CS605Q01S" sheetId="116" r:id="rId116"/>
    <s:sheet name="CS605Q02S" sheetId="117" r:id="rId117"/>
    <s:sheet name="CS605Q03S" sheetId="118" r:id="rId118"/>
    <s:sheet name="DS605Q04C" sheetId="119" r:id="rId119"/>
    <s:sheet name="CS649Q01S" sheetId="120" r:id="rId120"/>
    <s:sheet name="DS649Q02C" sheetId="121" r:id="rId121"/>
    <s:sheet name="CS649Q03S" sheetId="122" r:id="rId122"/>
    <s:sheet name="CS649Q04S" sheetId="123" r:id="rId123"/>
    <s:sheet name="CS634Q01S" sheetId="124" r:id="rId124"/>
    <s:sheet name="CS634Q02S" sheetId="125" r:id="rId125"/>
    <s:sheet name="DS634Q03C" sheetId="126" r:id="rId126"/>
    <s:sheet name="DS634Q05C" sheetId="127" r:id="rId127"/>
    <s:sheet name="CS634Q04S" sheetId="128" r:id="rId128"/>
    <s:sheet name="CS620Q01S" sheetId="129" r:id="rId129"/>
    <s:sheet name="CS620Q02S" sheetId="130" r:id="rId130"/>
    <s:sheet name="DS620Q04C" sheetId="131" r:id="rId131"/>
    <s:sheet name="CS638Q01S" sheetId="132" r:id="rId132"/>
    <s:sheet name="CS638Q02S" sheetId="133" r:id="rId133"/>
    <s:sheet name="CS638Q04S" sheetId="134" r:id="rId134"/>
    <s:sheet name="DS638Q05C" sheetId="135" r:id="rId135"/>
    <s:sheet name="DS625Q01C" sheetId="136" r:id="rId136"/>
    <s:sheet name="CS625Q02S" sheetId="137" r:id="rId137"/>
    <s:sheet name="CS625Q03S" sheetId="138" r:id="rId138"/>
    <s:sheet name="CS615Q07S" sheetId="139" r:id="rId139"/>
    <s:sheet name="CS615Q01S" sheetId="140" r:id="rId140"/>
    <s:sheet name="CS615Q02S" sheetId="141" r:id="rId141"/>
    <s:sheet name="CS615Q05S" sheetId="142" r:id="rId142"/>
    <s:sheet name="CS604Q02S" sheetId="143" r:id="rId143"/>
    <s:sheet name="DS604Q04C" sheetId="144" r:id="rId144"/>
    <s:sheet name="CS645Q01S" sheetId="145" r:id="rId145"/>
    <s:sheet name="CS645Q03S" sheetId="146" r:id="rId146"/>
    <s:sheet name="DS645Q04C" sheetId="147" r:id="rId147"/>
    <s:sheet name="DS645Q05C" sheetId="148" r:id="rId148"/>
    <s:sheet name="CS657Q01S" sheetId="149" r:id="rId149"/>
    <s:sheet name="CS657Q02S" sheetId="150" r:id="rId150"/>
    <s:sheet name="CS657Q03S" sheetId="151" r:id="rId151"/>
    <s:sheet name="DS657Q04C" sheetId="152" r:id="rId152"/>
    <s:sheet name="CS656Q01S" sheetId="153" r:id="rId153"/>
    <s:sheet name="DS656Q02C" sheetId="154" r:id="rId154"/>
    <s:sheet name="CS656Q04S" sheetId="155" r:id="rId155"/>
    <s:sheet name="DS643Q03C" sheetId="156" r:id="rId156"/>
    <s:sheet name="CS643Q01S" sheetId="157" r:id="rId157"/>
    <s:sheet name="CS643Q02S" sheetId="158" r:id="rId158"/>
    <s:sheet name="CS643Q04S" sheetId="159" r:id="rId159"/>
    <s:sheet name="DS643Q05C" sheetId="160" r:id="rId160"/>
    <s:sheet name="DS629Q01C" sheetId="161" r:id="rId161"/>
    <s:sheet name="CS629Q02S" sheetId="162" r:id="rId162"/>
    <s:sheet name="DS629Q03C" sheetId="163" r:id="rId163"/>
    <s:sheet name="CS629Q04S" sheetId="164" r:id="rId164"/>
    <s:sheet name="DS648Q01C" sheetId="165" r:id="rId165"/>
    <s:sheet name="CS648Q02S" sheetId="166" r:id="rId166"/>
    <s:sheet name="CS648Q03S" sheetId="167" r:id="rId167"/>
    <s:sheet name="DS648Q05C" sheetId="168" r:id="rId168"/>
    <s:sheet name="CS641Q01S" sheetId="169" r:id="rId169"/>
    <s:sheet name="CS641Q02S" sheetId="170" r:id="rId170"/>
    <s:sheet name="CS641Q03S" sheetId="171" r:id="rId171"/>
    <s:sheet name="CS641Q04S" sheetId="172" r:id="rId172"/>
    <s:sheet name="DS637Q01C" sheetId="173" r:id="rId173"/>
    <s:sheet name="CS637Q02S" sheetId="174" r:id="rId174"/>
    <s:sheet name="DS637Q05C" sheetId="175" r:id="rId175"/>
    <s:sheet name="CS601Q01S" sheetId="176" r:id="rId176"/>
    <s:sheet name="CS601Q02S" sheetId="177" r:id="rId177"/>
    <s:sheet name="CS601Q04S" sheetId="178" r:id="rId178"/>
    <s:sheet name="DS610Q01C" sheetId="179" r:id="rId179"/>
    <s:sheet name="CS610Q02S" sheetId="180" r:id="rId180"/>
    <s:sheet name="CS610Q04S" sheetId="181" r:id="rId181"/>
    <s:sheet name="CS626Q01S" sheetId="182" r:id="rId182"/>
    <s:sheet name="CS626Q02S" sheetId="183" r:id="rId183"/>
    <s:sheet name="CS626Q03S" sheetId="184" r:id="rId184"/>
    <s:sheet name="DS626Q04C" sheetId="185" r:id="rId185"/>
    <s:sheet name="PS269Q01" sheetId="186" r:id="rId186"/>
    <s:sheet name="PS269Q03" sheetId="187" r:id="rId187"/>
    <s:sheet name="PS269Q04S" sheetId="188" r:id="rId188"/>
    <s:sheet name="PS408Q01S" sheetId="189" r:id="rId189"/>
    <s:sheet name="PS408Q03" sheetId="190" r:id="rId190"/>
    <s:sheet name="PS408Q04S" sheetId="191" r:id="rId191"/>
    <s:sheet name="PS408Q05S" sheetId="192" r:id="rId192"/>
    <s:sheet name="PS521Q02S" sheetId="193" r:id="rId193"/>
    <s:sheet name="PS521Q06S" sheetId="194" r:id="rId194"/>
    <s:sheet name="PS519Q01" sheetId="195" r:id="rId195"/>
    <s:sheet name="PS519Q02S" sheetId="196" r:id="rId196"/>
    <s:sheet name="PS519Q03" sheetId="197" r:id="rId197"/>
    <s:sheet name="PS527Q01S" sheetId="198" r:id="rId198"/>
    <s:sheet name="PS527Q03S" sheetId="199" r:id="rId199"/>
    <s:sheet name="PS527Q04S" sheetId="200" r:id="rId200"/>
    <s:sheet name="PS466Q01S" sheetId="201" r:id="rId201"/>
    <s:sheet name="PS466Q07S" sheetId="202" r:id="rId202"/>
    <s:sheet name="PS466Q05S" sheetId="203" r:id="rId203"/>
    <s:sheet name="PS326Q01" sheetId="204" r:id="rId204"/>
    <s:sheet name="PS326Q02" sheetId="205" r:id="rId205"/>
    <s:sheet name="PS326Q03S" sheetId="206" r:id="rId206"/>
    <s:sheet name="PS326Q04S" sheetId="207" r:id="rId207"/>
    <s:sheet name="PS256Q01S" sheetId="208" r:id="rId208"/>
    <s:sheet name="PS478Q01S" sheetId="209" r:id="rId209"/>
    <s:sheet name="PS478Q02S" sheetId="210" r:id="rId210"/>
    <s:sheet name="PS478Q03S" sheetId="211" r:id="rId211"/>
    <s:sheet name="PS413Q06" sheetId="212" r:id="rId212"/>
    <s:sheet name="PS413Q04S" sheetId="213" r:id="rId213"/>
    <s:sheet name="PS413Q05S" sheetId="214" r:id="rId214"/>
    <s:sheet name="PS498Q02S" sheetId="215" r:id="rId215"/>
    <s:sheet name="PS498Q03S" sheetId="216" r:id="rId216"/>
    <s:sheet name="PS498Q04" sheetId="217" r:id="rId217"/>
    <s:sheet name="PS425Q03" sheetId="218" r:id="rId218"/>
    <s:sheet name="PS425Q05S" sheetId="219" r:id="rId219"/>
    <s:sheet name="PS425Q02S" sheetId="220" r:id="rId220"/>
    <s:sheet name="PS425Q04" sheetId="221" r:id="rId221"/>
    <s:sheet name="PS465Q01" sheetId="222" r:id="rId222"/>
    <s:sheet name="PS465Q02S" sheetId="223" r:id="rId223"/>
    <s:sheet name="PS465Q04S" sheetId="224" r:id="rId224"/>
    <s:sheet name="PS131Q02" sheetId="225" r:id="rId225"/>
    <s:sheet name="PS131Q04" sheetId="226" r:id="rId226"/>
    <s:sheet name="PS428Q01S" sheetId="227" r:id="rId227"/>
    <s:sheet name="PS428Q03S" sheetId="228" r:id="rId228"/>
    <s:sheet name="PS428Q05" sheetId="229" r:id="rId229"/>
    <s:sheet name="PS514Q02" sheetId="230" r:id="rId230"/>
    <s:sheet name="PS514Q03" sheetId="231" r:id="rId231"/>
    <s:sheet name="PS514Q04" sheetId="232" r:id="rId232"/>
    <s:sheet name="PS438Q01S" sheetId="233" r:id="rId233"/>
    <s:sheet name="PS438Q02S" sheetId="234" r:id="rId234"/>
    <s:sheet name="PS438Q03" sheetId="235" r:id="rId235"/>
    <s:sheet name="PS415Q07S" sheetId="236" r:id="rId236"/>
    <s:sheet name="PS415Q02S" sheetId="237" r:id="rId237"/>
    <s:sheet name="PS415Q08S" sheetId="238" r:id="rId238"/>
    <s:sheet name="PS476Q01S" sheetId="239" r:id="rId239"/>
    <s:sheet name="PS476Q02S" sheetId="240" r:id="rId240"/>
    <s:sheet name="PS476Q03S" sheetId="241" r:id="rId241"/>
    <s:sheet name="PS495Q04S" sheetId="242" r:id="rId242"/>
    <s:sheet name="PS495Q01S" sheetId="243" r:id="rId243"/>
    <s:sheet name="PS495Q02S" sheetId="244" r:id="rId244"/>
    <s:sheet name="S495Q03" sheetId="245" r:id="rId245"/>
    <s:sheet name="PS456Q01S" sheetId="246" r:id="rId246"/>
    <s:sheet name="PS456Q02S" sheetId="247" r:id="rId247"/>
    <s:sheet name="PS268Q01S" sheetId="248" r:id="rId248"/>
    <s:sheet name="S268Q02" sheetId="249" r:id="rId249"/>
    <s:sheet name="PS268Q06S" sheetId="250" r:id="rId250"/>
    <s:sheet name="PS524Q06S" sheetId="251" r:id="rId251"/>
    <s:sheet name="S524Q07" sheetId="252" r:id="rId252"/>
    <s:sheet name="PS510Q01S" sheetId="253" r:id="rId253"/>
    <s:sheet name="S510Q04" sheetId="254" r:id="rId254"/>
    <s:sheet name="PS437Q01S" sheetId="255" r:id="rId255"/>
    <s:sheet name="PS437Q03S" sheetId="256" r:id="rId256"/>
    <s:sheet name="PS437Q04S" sheetId="257" r:id="rId257"/>
    <s:sheet name="S437Q06" sheetId="258" r:id="rId258"/>
    <s:sheet name="S304Q01" sheetId="259" r:id="rId259"/>
    <s:sheet name="PS304Q02S" sheetId="260" r:id="rId260"/>
    <s:sheet name="S304Q03a" sheetId="261" r:id="rId261"/>
    <s:sheet name="S304Q03b" sheetId="262" r:id="rId262"/>
    <s:sheet name="S416Q01" sheetId="263" r:id="rId263"/>
    <s:sheet name="S458Q01" sheetId="264" r:id="rId264"/>
    <s:sheet name="PS458Q02S" sheetId="265" r:id="rId265"/>
    <s:sheet name="S421Q01" sheetId="266" r:id="rId266"/>
    <s:sheet name="S421Q02" sheetId="267" r:id="rId267"/>
    <s:sheet name="S421Q03" sheetId="268" r:id="rId268"/>
    <s:sheet name="PS252Q01S" sheetId="269" r:id="rId269"/>
    <s:sheet name="PS252Q02S" sheetId="270" r:id="rId270"/>
    <s:sheet name="PS252Q03S" sheetId="271" r:id="rId271"/>
    <s:sheet name="PS327Q01S" sheetId="272" r:id="rId272"/>
    <s:sheet name="PS133Q01S" sheetId="273" r:id="rId273"/>
    <s:sheet name="PS133Q03S" sheetId="274" r:id="rId274"/>
    <s:sheet name="PS133Q04S" sheetId="275" r:id="rId275"/>
  </s:sheets>
  <s:definedNames/>
  <s:calcPr calcId="124519" fullCalcOnLoad="1"/>
</s:workbook>
</file>

<file path=xl/sharedStrings.xml><?xml version="1.0" encoding="utf-8"?>
<sst xmlns="http://schemas.openxmlformats.org/spreadsheetml/2006/main" uniqueCount="942">
  <si>
    <t>Table of Contents</t>
  </si>
  <si>
    <t>DS269Q01C</t>
  </si>
  <si>
    <t>Earth's Temperature - Q01 (Coded Response)</t>
  </si>
  <si>
    <t>DS269Q03C</t>
  </si>
  <si>
    <t>Earth's Temperature - Q03 (Coded Response)</t>
  </si>
  <si>
    <t>CS269Q04S</t>
  </si>
  <si>
    <t>Earth's Temperature - Q04 (Scored Response)</t>
  </si>
  <si>
    <t>CS408Q01S</t>
  </si>
  <si>
    <t>Wild Oat Grass - Q01 (Scored Response)</t>
  </si>
  <si>
    <t>DS408Q03C</t>
  </si>
  <si>
    <t>Wild Oat Grass - Q03 (Coded Response)</t>
  </si>
  <si>
    <t>CS408Q04S</t>
  </si>
  <si>
    <t>Wild Oat Grass - Q04 (Scored Response)</t>
  </si>
  <si>
    <t>CS408Q05S</t>
  </si>
  <si>
    <t>Wild Oat Grass - Q05 (Scored Response)</t>
  </si>
  <si>
    <t>CS521Q02S</t>
  </si>
  <si>
    <t>Cooking Outdoors - Q02 (Scored Response)</t>
  </si>
  <si>
    <t>CS521Q06S</t>
  </si>
  <si>
    <t>Cooking Outdoors - Q06 (Scored Response)</t>
  </si>
  <si>
    <t>DS519Q01C</t>
  </si>
  <si>
    <t>Airbags - Q01 (Coded Response)</t>
  </si>
  <si>
    <t>CS519Q02S</t>
  </si>
  <si>
    <t>Airbags - Q02 (Scored Response)</t>
  </si>
  <si>
    <t>DS519Q03C</t>
  </si>
  <si>
    <t>Airbags - Q03 (Coded Response)</t>
  </si>
  <si>
    <t>CS527Q01S</t>
  </si>
  <si>
    <t>Extinction of the Dinosaurs - Q01 (Scored Response)</t>
  </si>
  <si>
    <t>CS527Q03S</t>
  </si>
  <si>
    <t>Extinction of the Dinosaurs - Q03 (Scored Response)</t>
  </si>
  <si>
    <t>CS527Q04S</t>
  </si>
  <si>
    <t>Extinction of the Dinosaurs - Q04 (Scored Response)</t>
  </si>
  <si>
    <t>CS466Q01S</t>
  </si>
  <si>
    <t>Forest Fires - Q01 (Scored Response)</t>
  </si>
  <si>
    <t>CS466Q07S</t>
  </si>
  <si>
    <t>Forest Fires - Q07 (Scored Response)</t>
  </si>
  <si>
    <t>CS466Q05S</t>
  </si>
  <si>
    <t>Forest Fires - Q05 (Scored Response)</t>
  </si>
  <si>
    <t>DS326Q01C</t>
  </si>
  <si>
    <t>Milk - Q01 (Coded Response)</t>
  </si>
  <si>
    <t>DS326Q02C</t>
  </si>
  <si>
    <t>Milk - Q02 (Coded Response)</t>
  </si>
  <si>
    <t>CS326Q03S</t>
  </si>
  <si>
    <t>Milk - Q03 (Scored Response)</t>
  </si>
  <si>
    <t>CS326Q04S</t>
  </si>
  <si>
    <t>Milk - Q04 (Scored Response)</t>
  </si>
  <si>
    <t>CS256Q01S</t>
  </si>
  <si>
    <t>Spoons - Q01 (Scored Response)</t>
  </si>
  <si>
    <t>CS478Q01S</t>
  </si>
  <si>
    <t>Antibiotics - Q01 (Scored Response)</t>
  </si>
  <si>
    <t>CS478Q02S</t>
  </si>
  <si>
    <t>Antibiotics - Q02 (Scored Response)</t>
  </si>
  <si>
    <t>CS478Q03S</t>
  </si>
  <si>
    <t>Antibiotics - Q03 (Scored Response)</t>
  </si>
  <si>
    <t>CS413Q06S</t>
  </si>
  <si>
    <t>Plastic Age - Q06 (Scored Response)</t>
  </si>
  <si>
    <t>CS413Q04S</t>
  </si>
  <si>
    <t>Plastic Age - Q04 (Scored Response)</t>
  </si>
  <si>
    <t>CS413Q05S</t>
  </si>
  <si>
    <t>Plastic Age - Q05 (Scored Response)</t>
  </si>
  <si>
    <t>CS498Q02S</t>
  </si>
  <si>
    <t>Experimental Digestion - Q02 (Scored Response)</t>
  </si>
  <si>
    <t>CS498Q03S</t>
  </si>
  <si>
    <t>Experimental Digestion - Q03 (Scored Response)</t>
  </si>
  <si>
    <t>DS498Q04C</t>
  </si>
  <si>
    <t>Experimental Digestion - Q04 (Coded Response)</t>
  </si>
  <si>
    <t>DS425Q03C</t>
  </si>
  <si>
    <t>Penguin Island - Q03 (Coded Response)</t>
  </si>
  <si>
    <t>CS425Q05S</t>
  </si>
  <si>
    <t>Penguin Island - Q05 (Scored Response)</t>
  </si>
  <si>
    <t>CS425Q02S</t>
  </si>
  <si>
    <t>Penguin Island - Q02 (Scored Response)</t>
  </si>
  <si>
    <t>DS425Q04C</t>
  </si>
  <si>
    <t>Penguin Island - Q04 (Coded Response)</t>
  </si>
  <si>
    <t>DS465Q01C</t>
  </si>
  <si>
    <t>Different Climates - Q01 (Coded Response)</t>
  </si>
  <si>
    <t>CS465Q02S</t>
  </si>
  <si>
    <t>Different Climates - Q02 (Scored Response)</t>
  </si>
  <si>
    <t>CS465Q04S</t>
  </si>
  <si>
    <t>Different Climates - Q04 (Scored Response)</t>
  </si>
  <si>
    <t>DS131Q02C</t>
  </si>
  <si>
    <t>Good Vibrations - Q02 (Coded Response)</t>
  </si>
  <si>
    <t>DS131Q04C</t>
  </si>
  <si>
    <t>Good Vibrations - Q04 (Coded Response)</t>
  </si>
  <si>
    <t>CS428Q01S</t>
  </si>
  <si>
    <t>Bacteria in Milk - Q01 (Scored Response)</t>
  </si>
  <si>
    <t>CS428Q03S</t>
  </si>
  <si>
    <t>Bacteria in Milk - Q03 (Scored Response)</t>
  </si>
  <si>
    <t>DS428Q05C</t>
  </si>
  <si>
    <t>Bacteria in Milk - Q05 (Coded Response)</t>
  </si>
  <si>
    <t>DS514Q02C</t>
  </si>
  <si>
    <t>Development and Disaster - Q02 (Coded Response)</t>
  </si>
  <si>
    <t>DS514Q03C</t>
  </si>
  <si>
    <t>Development and Disaster - Q03 (Coded Response)</t>
  </si>
  <si>
    <t>DS514Q04C</t>
  </si>
  <si>
    <t>Development and Disaster - Q04 (Coded Response)</t>
  </si>
  <si>
    <t>CS438Q01S</t>
  </si>
  <si>
    <t>Green Parks - Q01 (Scored Response)</t>
  </si>
  <si>
    <t>CS438Q02S</t>
  </si>
  <si>
    <t>Green Parks - Q02 (Scored Response)</t>
  </si>
  <si>
    <t>DS438Q03C</t>
  </si>
  <si>
    <t>Green Parks - Q03 (Coded Response)</t>
  </si>
  <si>
    <t>CS415Q07S</t>
  </si>
  <si>
    <t>Solar Power Generation (Solar Panels) - Q07 (Scored Response)</t>
  </si>
  <si>
    <t>CS415Q02S</t>
  </si>
  <si>
    <t>Solar Power Generation (Solar Panels) - Q02 (Scored Response)</t>
  </si>
  <si>
    <t>CS415Q08S</t>
  </si>
  <si>
    <t>Solar Power Generation (Solar Panels) - Q08 (Scored Response)</t>
  </si>
  <si>
    <t>CS476Q01S</t>
  </si>
  <si>
    <t>Heart Surgery - Q01 (Scored Response)</t>
  </si>
  <si>
    <t>CS476Q02S</t>
  </si>
  <si>
    <t>Heart Surgery - Q02 (Scored Response)</t>
  </si>
  <si>
    <t>CS476Q03S</t>
  </si>
  <si>
    <t>Heart Surgery - Q03 (Scored Response)</t>
  </si>
  <si>
    <t>CS495Q04S</t>
  </si>
  <si>
    <t>Radiotherapy - Q04 (Scored Response)</t>
  </si>
  <si>
    <t>CS495Q01S</t>
  </si>
  <si>
    <t>Radiotherapy - Q01 (Scored Response)</t>
  </si>
  <si>
    <t>CS495Q02S</t>
  </si>
  <si>
    <t>Radiotherapy - Q02 (Scored Response)</t>
  </si>
  <si>
    <t>DS495Q03C</t>
  </si>
  <si>
    <t>Radiotherapy - Q03 (Coded Response)</t>
  </si>
  <si>
    <t>CS268Q01S</t>
  </si>
  <si>
    <t>Algae - Q01 (Scored Response)</t>
  </si>
  <si>
    <t>DS268Q02C</t>
  </si>
  <si>
    <t>Algae - Q02 (Coded Response)</t>
  </si>
  <si>
    <t>CS268Q06S</t>
  </si>
  <si>
    <t>Algae - Q06 (Scored Response)</t>
  </si>
  <si>
    <t>CS524Q06S</t>
  </si>
  <si>
    <t>Penicillin Manufacture - Q06 (Scored Response)</t>
  </si>
  <si>
    <t>DS524Q07C</t>
  </si>
  <si>
    <t>Penicillin Manufacture - Q07 (Coded Response)</t>
  </si>
  <si>
    <t>CS510Q01S</t>
  </si>
  <si>
    <t>Magnetic Hovertrain - Q01 (Scored Response)</t>
  </si>
  <si>
    <t>DS510Q04C</t>
  </si>
  <si>
    <t>Magnetic Hovertrain - Q04 (Coded Response)</t>
  </si>
  <si>
    <t>CS437Q01S</t>
  </si>
  <si>
    <t>Extinguishing Fires - Q01 (Scored Response)</t>
  </si>
  <si>
    <t>CS437Q03S</t>
  </si>
  <si>
    <t>Extinguishing Fires - Q03 (Scored Response)</t>
  </si>
  <si>
    <t>CS437Q04S</t>
  </si>
  <si>
    <t>Extinguishing Fires - Q04 (Scored Response)</t>
  </si>
  <si>
    <t>DS437Q06C</t>
  </si>
  <si>
    <t>Extinguishing Fires - Q06 (Coded Response)</t>
  </si>
  <si>
    <t>DS304Q01C</t>
  </si>
  <si>
    <t>Water - Q01 (Coded Response)</t>
  </si>
  <si>
    <t>CS304Q02S</t>
  </si>
  <si>
    <t>Water - Q02 (Scored Response)</t>
  </si>
  <si>
    <t>DS304Q03aC</t>
  </si>
  <si>
    <t>Water - Q03a (Coded Response)</t>
  </si>
  <si>
    <t>DS304Q03bC</t>
  </si>
  <si>
    <t>Water - Q03b (Coded Response)</t>
  </si>
  <si>
    <t>DS416Q01C</t>
  </si>
  <si>
    <t>The Moon - Q01 (Coded Response)</t>
  </si>
  <si>
    <t>DS458Q01C</t>
  </si>
  <si>
    <t>The Ice Mummy - Q01 (Coded Response)</t>
  </si>
  <si>
    <t>CS458Q02S</t>
  </si>
  <si>
    <t>The Ice Mummy - Q02 (Scored Response)</t>
  </si>
  <si>
    <t>CS421Q01S</t>
  </si>
  <si>
    <t>Big and Small - Q01 (Scored Response)</t>
  </si>
  <si>
    <t>CS421Q02S</t>
  </si>
  <si>
    <t>Big and Small - Q02 (Scored Response)</t>
  </si>
  <si>
    <t>CS421Q03S</t>
  </si>
  <si>
    <t>Big and Small - Q03 (Scored Response)</t>
  </si>
  <si>
    <t>CS252Q01S</t>
  </si>
  <si>
    <t>South Rainea - Q01 (Scored Response)</t>
  </si>
  <si>
    <t>CS252Q02S</t>
  </si>
  <si>
    <t>South Rainea - Q02 (Scored Response)</t>
  </si>
  <si>
    <t>CS252Q03S</t>
  </si>
  <si>
    <t>South Rainea - Q03 (Scored Response)</t>
  </si>
  <si>
    <t>CS327Q01S</t>
  </si>
  <si>
    <t>Tidal Energy - Q01 (Scored Response)</t>
  </si>
  <si>
    <t>CS627Q01S</t>
  </si>
  <si>
    <t>Car Tyres - Q01 (Scored Response)</t>
  </si>
  <si>
    <t>CS627Q03S</t>
  </si>
  <si>
    <t>Car Tyres - Q03 (Scored Response)</t>
  </si>
  <si>
    <t>CS627Q04S</t>
  </si>
  <si>
    <t>Car Tyres - Q04 (Scored Response)</t>
  </si>
  <si>
    <t>CS635Q01S</t>
  </si>
  <si>
    <t>Save the Fish - Q01 (Scored Response)</t>
  </si>
  <si>
    <t>CS635Q02S</t>
  </si>
  <si>
    <t>Save the Fish - Q02 (Scored Response)</t>
  </si>
  <si>
    <t>DS635Q03C</t>
  </si>
  <si>
    <t>Save the Fish - Q03 (Coded Response)</t>
  </si>
  <si>
    <t>CS635Q04S</t>
  </si>
  <si>
    <t>Save the Fish - Q04 (Scored Response)</t>
  </si>
  <si>
    <t>DS635Q05C</t>
  </si>
  <si>
    <t>Save the Fish - Q05 (Coded Response)</t>
  </si>
  <si>
    <t>CS603Q01S</t>
  </si>
  <si>
    <t>Elephants and Acacia Trees - Q01 (Scored Response)</t>
  </si>
  <si>
    <t>DS603Q02C</t>
  </si>
  <si>
    <t>Elephants and Acacia Trees - Q02 (Coded Response)</t>
  </si>
  <si>
    <t>CS603Q03S</t>
  </si>
  <si>
    <t>Elephants and Acacia Trees - Q03 (Scored Response)</t>
  </si>
  <si>
    <t>CS603Q04S</t>
  </si>
  <si>
    <t>Elephants and Acacia Trees - Q04 (Scored Response)</t>
  </si>
  <si>
    <t>CS603Q05S</t>
  </si>
  <si>
    <t>Elephants and Acacia Trees - Q05 (Scored Response)</t>
  </si>
  <si>
    <t>CS602Q01S</t>
  </si>
  <si>
    <t>Urban Heat Island Effect - Q01 (Scored Response)</t>
  </si>
  <si>
    <t>CS602Q02S</t>
  </si>
  <si>
    <t>Urban Heat Island Effect - Q02 (Scored Response)</t>
  </si>
  <si>
    <t>DS602Q03C</t>
  </si>
  <si>
    <t>Urban Heat Island Effect - Q03 (Coded Response)</t>
  </si>
  <si>
    <t>CS602Q04S</t>
  </si>
  <si>
    <t>Urban Heat Island Effect - Q04 (Scored Response)</t>
  </si>
  <si>
    <t>CS607Q01S</t>
  </si>
  <si>
    <t>Birds and Caterpillars - Q01 (Scored Response)</t>
  </si>
  <si>
    <t>CS607Q02S</t>
  </si>
  <si>
    <t>Birds and Caterpillars - Q02 (Scored Response)</t>
  </si>
  <si>
    <t>DS607Q03C</t>
  </si>
  <si>
    <t>Birds and Caterpillars - Q03 (Coded Response)</t>
  </si>
  <si>
    <t>CS646Q01S</t>
  </si>
  <si>
    <t>Nanoparticles - Q01 (Scored Response)</t>
  </si>
  <si>
    <t>CS646Q02S</t>
  </si>
  <si>
    <t>Nanoparticles - Q02 (Scored Response)</t>
  </si>
  <si>
    <t>CS646Q03S</t>
  </si>
  <si>
    <t>Nanoparticles - Q03 (Scored Response)</t>
  </si>
  <si>
    <t>DS646Q04C</t>
  </si>
  <si>
    <t>Nanoparticles - Q04 (All Rows Correct)</t>
  </si>
  <si>
    <t>DS646Q05C</t>
  </si>
  <si>
    <t>Nanoparticles - Q05 (Coded Response)</t>
  </si>
  <si>
    <t>CS608Q01S</t>
  </si>
  <si>
    <t>Ammonoids - Q01 (Scored Response)</t>
  </si>
  <si>
    <t>CS608Q02S</t>
  </si>
  <si>
    <t>Ammonoids - Q02 (Scored Response)</t>
  </si>
  <si>
    <t>CS608Q03S</t>
  </si>
  <si>
    <t>Ammonoids - Q03 (Scored Response)</t>
  </si>
  <si>
    <t>DS608Q04C</t>
  </si>
  <si>
    <t>Ammonoids - Q04 (Coded Response)</t>
  </si>
  <si>
    <t>CS605Q01S</t>
  </si>
  <si>
    <t>Geothermal Energy - Q01 (Scored Response)</t>
  </si>
  <si>
    <t>CS605Q02S</t>
  </si>
  <si>
    <t>Geothermal Energy - Q02 (Scored Response)</t>
  </si>
  <si>
    <t>CS605Q03S</t>
  </si>
  <si>
    <t>Geothermal Energy - Q03 (Scored Response)</t>
  </si>
  <si>
    <t>DS605Q04C</t>
  </si>
  <si>
    <t>Geothermal Energy - Q04 (Coded Response)</t>
  </si>
  <si>
    <t>CS649Q01S</t>
  </si>
  <si>
    <t>Weather Balloon - Q01 (Scored Response)</t>
  </si>
  <si>
    <t>DS649Q02C</t>
  </si>
  <si>
    <t>Weather Balloon - Q02 (Coded Response)</t>
  </si>
  <si>
    <t>CS649Q03S</t>
  </si>
  <si>
    <t>Weather Balloon - Q03 (Scored Response)</t>
  </si>
  <si>
    <t>CS649Q04S</t>
  </si>
  <si>
    <t>Weather Balloon - Q04 (Scored Response)</t>
  </si>
  <si>
    <t>CS634Q01S</t>
  </si>
  <si>
    <t>Vaccination and Spreading of Disease - Q01 (Scored Response)</t>
  </si>
  <si>
    <t>CS634Q02S</t>
  </si>
  <si>
    <t>Vaccination and Spreading of Disease - Q02 (Scored Response)</t>
  </si>
  <si>
    <t>DS634Q03C</t>
  </si>
  <si>
    <t>Vaccination and Spreading of Disease - Q03 (Coded Response)</t>
  </si>
  <si>
    <t>DS634Q05C</t>
  </si>
  <si>
    <t>Vaccination and Spreading of Disease - Q05 (Coded Response)</t>
  </si>
  <si>
    <t>CS634Q04S</t>
  </si>
  <si>
    <t>Vaccination and Spreading of Disease - Q04 (Scored Response)</t>
  </si>
  <si>
    <t>CS620Q01S</t>
  </si>
  <si>
    <t>Tornadoes - Q01 (Scored Response)</t>
  </si>
  <si>
    <t>CS620Q02S</t>
  </si>
  <si>
    <t>Tornadoes - Q02 (Scored Response)</t>
  </si>
  <si>
    <t>DS620Q04C</t>
  </si>
  <si>
    <t>Tornadoes - Q04 (Coded Response)</t>
  </si>
  <si>
    <t>CS638Q01S</t>
  </si>
  <si>
    <t>Oil Spills - Q01 (Scored Response)</t>
  </si>
  <si>
    <t>CS638Q02S</t>
  </si>
  <si>
    <t>Oil Spills - Q02 (Scored Response)</t>
  </si>
  <si>
    <t>CS638Q04S</t>
  </si>
  <si>
    <t>Oil Spills - Q04 (Scored Response)</t>
  </si>
  <si>
    <t>DS638Q05C</t>
  </si>
  <si>
    <t>Oil Spills - Q05 (Coded Response)</t>
  </si>
  <si>
    <t>DS625Q01C</t>
  </si>
  <si>
    <t>Wildfires and the Fire Triangle - Q01 (Coded Response)</t>
  </si>
  <si>
    <t>CS625Q02S</t>
  </si>
  <si>
    <t>Wildfires and the Fire Triangle - Q02 (Scored Response)</t>
  </si>
  <si>
    <t>CS625Q03S</t>
  </si>
  <si>
    <t>Wildfires and the Fire Triangle - Q03 (Scored Response)</t>
  </si>
  <si>
    <t>CS615Q07S</t>
  </si>
  <si>
    <t>Understanding Tsunamis - Q07 (Scored Response)</t>
  </si>
  <si>
    <t>CS615Q01S</t>
  </si>
  <si>
    <t>Understanding Tsunamis - Q01 (Scored Response)</t>
  </si>
  <si>
    <t>CS615Q02S</t>
  </si>
  <si>
    <t>Understanding Tsunamis - Q02 (Scored Response)</t>
  </si>
  <si>
    <t>CS615Q05S</t>
  </si>
  <si>
    <t>Understanding Tsunamis - Q05 (Scored Response)</t>
  </si>
  <si>
    <t>CS604Q02S</t>
  </si>
  <si>
    <t>Water from Fog - Q02 (Scored Response)</t>
  </si>
  <si>
    <t>DS604Q04C</t>
  </si>
  <si>
    <t>Water from Fog - Q04 (Coded Response)</t>
  </si>
  <si>
    <t>CS645Q01S</t>
  </si>
  <si>
    <t>Carbon Dioxide in Earth's Atmosphere - Q01 (Scored Response)</t>
  </si>
  <si>
    <t>CS645Q03S</t>
  </si>
  <si>
    <t>Carbon Dioxide in Earth's Atmosphere - Q03 (Scored Response)</t>
  </si>
  <si>
    <t>DS645Q04C</t>
  </si>
  <si>
    <t>Carbon Dioxide in Earth's Atmosphere - Q04 (Coded Response)</t>
  </si>
  <si>
    <t>DS645Q05C</t>
  </si>
  <si>
    <t>Carbon Dioxide in Earth's Atmosphere - Q05 (Coded Response)</t>
  </si>
  <si>
    <t>CS657Q01S</t>
  </si>
  <si>
    <t>Invasive Species - Q01 (Scored Response)</t>
  </si>
  <si>
    <t>CS657Q02S</t>
  </si>
  <si>
    <t>Invasive Species - Q02 (Scored Response)</t>
  </si>
  <si>
    <t>CS657Q03S</t>
  </si>
  <si>
    <t>Invasive Species - Q03 (Scored Response)</t>
  </si>
  <si>
    <t>DS657Q04C</t>
  </si>
  <si>
    <t>Invasive Species - Q04 (Coded Response)</t>
  </si>
  <si>
    <t>CS656Q01S</t>
  </si>
  <si>
    <t>Bird Migration - Q01 (Scored Response)</t>
  </si>
  <si>
    <t>DS656Q02C</t>
  </si>
  <si>
    <t>Bird Migration - Q02 (Coded Response)</t>
  </si>
  <si>
    <t>CS656Q04S</t>
  </si>
  <si>
    <t>Bird Migration - Q04 (Scored Response)</t>
  </si>
  <si>
    <t>DS643Q03C</t>
  </si>
  <si>
    <t>Comparing Light Bulbs - Q03 (Coded Response)</t>
  </si>
  <si>
    <t>CS643Q01S</t>
  </si>
  <si>
    <t>Comparing Light Bulbs - Q01 (Scored Response)</t>
  </si>
  <si>
    <t>CS643Q02S</t>
  </si>
  <si>
    <t>Comparing Light Bulbs - Q02 (Scored Response)</t>
  </si>
  <si>
    <t>CS643Q04S</t>
  </si>
  <si>
    <t>Comparing Light Bulbs - Q04 (Scored Response)</t>
  </si>
  <si>
    <t>DS643Q05C</t>
  </si>
  <si>
    <t>Comparing Light Bulbs - Q05 (Coded Response)</t>
  </si>
  <si>
    <t>DS629Q01C</t>
  </si>
  <si>
    <t>Solar Cooker - Q01 (Coded Response)</t>
  </si>
  <si>
    <t>CS629Q02S</t>
  </si>
  <si>
    <t>Solar Cooker - Q02 (Scored Response)</t>
  </si>
  <si>
    <t>DS629Q03C</t>
  </si>
  <si>
    <t>Solar Cooker - Q03 (Coded Response)</t>
  </si>
  <si>
    <t>CS629Q04S</t>
  </si>
  <si>
    <t>Solar Cooker - Q04 (Scored Response)</t>
  </si>
  <si>
    <t>DS648Q01C</t>
  </si>
  <si>
    <t>Habitable Zone - Q01 (Coded Response)</t>
  </si>
  <si>
    <t>CS648Q02S</t>
  </si>
  <si>
    <t>Habitable Zone - Q02 (Scored Response)</t>
  </si>
  <si>
    <t>CS648Q03S</t>
  </si>
  <si>
    <t>Habitable Zone - Q03 (Scored Response)</t>
  </si>
  <si>
    <t>DS648Q05C</t>
  </si>
  <si>
    <t>Habitable Zone - Q05 (Coded Response)</t>
  </si>
  <si>
    <t>CS641Q01S</t>
  </si>
  <si>
    <t>Meteoroids and Craters - Q01 (Scored Response)</t>
  </si>
  <si>
    <t>CS641Q02S</t>
  </si>
  <si>
    <t>Meteoroids and Craters - Q02 (Scored Response)</t>
  </si>
  <si>
    <t>CS641Q03S</t>
  </si>
  <si>
    <t>Meteoroids and Craters - Q03 (Scored Response)</t>
  </si>
  <si>
    <t>CS641Q04S</t>
  </si>
  <si>
    <t>Meteoroids and Craters - Q04 (Scored Response)</t>
  </si>
  <si>
    <t>DS637Q01C</t>
  </si>
  <si>
    <t>Slope-Face Investigation - Q01 (Coded Response)</t>
  </si>
  <si>
    <t>CS637Q02S</t>
  </si>
  <si>
    <t>Slope-Face Investigation - Q02 (Scored Response)</t>
  </si>
  <si>
    <t>DS637Q05C</t>
  </si>
  <si>
    <t>Slope-Face Investigation - Q05 (Coded Response)</t>
  </si>
  <si>
    <t>CS601Q01S</t>
  </si>
  <si>
    <t>Sustainable Fish Farming - Q01 (Scored Response)</t>
  </si>
  <si>
    <t>CS601Q02S</t>
  </si>
  <si>
    <t>Sustainable Fish Farming - Q02 (Scored Response)</t>
  </si>
  <si>
    <t>CS601Q04S</t>
  </si>
  <si>
    <t>Sustainable Fish Farming - Q04 (Scored Response)</t>
  </si>
  <si>
    <t>DS610Q01C</t>
  </si>
  <si>
    <t>Brain-Controlled Robotics - Q01 (Coded Response)</t>
  </si>
  <si>
    <t>CS610Q02S</t>
  </si>
  <si>
    <t>Brain-Controlled Robotics - Q02 (Scored Response)</t>
  </si>
  <si>
    <t>CS610Q04S</t>
  </si>
  <si>
    <t>Brain-Controlled Robotics - Q04 (Scored Response)</t>
  </si>
  <si>
    <t>CS626Q01S</t>
  </si>
  <si>
    <t>Sounds in Marine Habitats - Q01 (Scored Response)</t>
  </si>
  <si>
    <t>CS626Q02S</t>
  </si>
  <si>
    <t>Sounds in Marine Habitats - Q02 (Scored Response)</t>
  </si>
  <si>
    <t>CS626Q03S</t>
  </si>
  <si>
    <t>Sounds in Marine Habitats - Q03 (Scored Response)</t>
  </si>
  <si>
    <t>DS626Q04C</t>
  </si>
  <si>
    <t>Sounds in Marine Habitats - Q04 (Coded Response)</t>
  </si>
  <si>
    <t>PS269Q01</t>
  </si>
  <si>
    <t>Earth's Temperature - Q01 (Coded Paper Response)</t>
  </si>
  <si>
    <t>PS269Q03</t>
  </si>
  <si>
    <t>Earth's Temperature - Q03 (Coded Paper Response)</t>
  </si>
  <si>
    <t>PS269Q04S</t>
  </si>
  <si>
    <t>Earth's Temperature - Q04 (Paper Scored Response)</t>
  </si>
  <si>
    <t>PS408Q01S</t>
  </si>
  <si>
    <t>Wild Oat Grass - Q01 (Paper Scored Response)</t>
  </si>
  <si>
    <t>PS408Q03</t>
  </si>
  <si>
    <t>Wild Oat Grass - Q03 (Coded Paper Response)</t>
  </si>
  <si>
    <t>PS408Q04S</t>
  </si>
  <si>
    <t>Wild Oat Grass - Q04 (Paper Scored Response)</t>
  </si>
  <si>
    <t>PS408Q05S</t>
  </si>
  <si>
    <t>Wild Oat Grass - Q05 (Paper Scored Response)</t>
  </si>
  <si>
    <t>PS521Q02S</t>
  </si>
  <si>
    <t>Cooking Outdoors - Q02 (Paper Scored Response)</t>
  </si>
  <si>
    <t>PS521Q06S</t>
  </si>
  <si>
    <t>Cooking Outdoors - Q06 (Paper Scored Response)</t>
  </si>
  <si>
    <t>PS519Q01</t>
  </si>
  <si>
    <t>Airbags - Q01 (Coded Paper Response)</t>
  </si>
  <si>
    <t>PS519Q02S</t>
  </si>
  <si>
    <t>Airbags - Q02 (Paper Scored Response)</t>
  </si>
  <si>
    <t>PS519Q03</t>
  </si>
  <si>
    <t>Airbags - Q03 (Coded Paper Response)</t>
  </si>
  <si>
    <t>PS527Q01S</t>
  </si>
  <si>
    <t>Extinction of the Dinosaurs - Q01 (Paper Scored Response)</t>
  </si>
  <si>
    <t>PS527Q03S</t>
  </si>
  <si>
    <t>Extinction of the Dinosaurs - Q03 (Paper Scored Response)</t>
  </si>
  <si>
    <t>PS527Q04S</t>
  </si>
  <si>
    <t>Extinction of the Dinosaurs - Q04 (Paper Scored Response)</t>
  </si>
  <si>
    <t>PS466Q01S</t>
  </si>
  <si>
    <t>Forest Fires - Q01 (Paper Scored Response)</t>
  </si>
  <si>
    <t>PS466Q07S</t>
  </si>
  <si>
    <t>Forest Fires - Q07 (Paper Scored Response)</t>
  </si>
  <si>
    <t>PS466Q05S</t>
  </si>
  <si>
    <t>Forest Fires - Q05 (Paper Scored Response)</t>
  </si>
  <si>
    <t>PS326Q01</t>
  </si>
  <si>
    <t>Milk - Q01 (Coded Paper Response)</t>
  </si>
  <si>
    <t>PS326Q02</t>
  </si>
  <si>
    <t>Milk - Q02 (Coded Paper Response)</t>
  </si>
  <si>
    <t>PS326Q03S</t>
  </si>
  <si>
    <t>Milk - Q03 (Paper Scored Response)</t>
  </si>
  <si>
    <t>PS326Q04S</t>
  </si>
  <si>
    <t>Milk - Q04 (Paper Scored Response)</t>
  </si>
  <si>
    <t>PS256Q01S</t>
  </si>
  <si>
    <t>Spoons - Q01 (Paper Scored Response)</t>
  </si>
  <si>
    <t>PS478Q01S</t>
  </si>
  <si>
    <t>Antibiotics - Q01 (Paper Scored Response)</t>
  </si>
  <si>
    <t>PS478Q02S</t>
  </si>
  <si>
    <t>Antibiotics - Q02 (Paper Scored Response)</t>
  </si>
  <si>
    <t>PS478Q03S</t>
  </si>
  <si>
    <t>Antibiotics - Q03 (Paper Scored Response)</t>
  </si>
  <si>
    <t>PS413Q06</t>
  </si>
  <si>
    <t>Plastic Age - Q06 (Coded Paper Response)</t>
  </si>
  <si>
    <t>PS413Q04S</t>
  </si>
  <si>
    <t>Plastic Age - Q04 (Paper Scored Response)</t>
  </si>
  <si>
    <t>PS413Q05S</t>
  </si>
  <si>
    <t>Plastic Age - Q05 (Paper Scored Response)</t>
  </si>
  <si>
    <t>PS498Q02S</t>
  </si>
  <si>
    <t>Experimental Digestion - Q02 (Paper Scored Response)</t>
  </si>
  <si>
    <t>PS498Q03S</t>
  </si>
  <si>
    <t>Experimental Digestion - Q03 (Paper Scored Response)</t>
  </si>
  <si>
    <t>PS498Q04</t>
  </si>
  <si>
    <t>Experimental Digestion - Q04 (Coded Paper Response)</t>
  </si>
  <si>
    <t>PS425Q03</t>
  </si>
  <si>
    <t>Penguin Island - Q03 (Coded Paper Response)</t>
  </si>
  <si>
    <t>PS425Q05S</t>
  </si>
  <si>
    <t>Penguin Island - Q05 (Paper Scored Response)</t>
  </si>
  <si>
    <t>PS425Q02S</t>
  </si>
  <si>
    <t>Penguin Island - Q02 (Paper Scored Response)</t>
  </si>
  <si>
    <t>PS425Q04</t>
  </si>
  <si>
    <t>Penguin Island - Q04 (Coded Paper Response)</t>
  </si>
  <si>
    <t>PS465Q01</t>
  </si>
  <si>
    <t>Different Climates - Q01 (Coded Paper Response)</t>
  </si>
  <si>
    <t>PS465Q02S</t>
  </si>
  <si>
    <t>Different Climates - Q02 (Paper Scored Response)</t>
  </si>
  <si>
    <t>PS465Q04S</t>
  </si>
  <si>
    <t>Different Climates - Q04 (Paper Scored Response)</t>
  </si>
  <si>
    <t>PS131Q02</t>
  </si>
  <si>
    <t>Good Vibrations - Q02 (Coded Paper Response)</t>
  </si>
  <si>
    <t>PS131Q04</t>
  </si>
  <si>
    <t>Good Vibrations - Q04 (Coded Paper Response)</t>
  </si>
  <si>
    <t>PS428Q01S</t>
  </si>
  <si>
    <t>Bacteria in Milk - Q01 (Paper Scored Response)</t>
  </si>
  <si>
    <t>PS428Q03S</t>
  </si>
  <si>
    <t>Bacteria in Milk - Q03 (Paper Scored Response)</t>
  </si>
  <si>
    <t>PS428Q05</t>
  </si>
  <si>
    <t>Bacteria in Milk - Q05 (Coded Paper Response)</t>
  </si>
  <si>
    <t>PS514Q02</t>
  </si>
  <si>
    <t>Development and Disaster - Q02 (Coded Paper Response)</t>
  </si>
  <si>
    <t>PS514Q03</t>
  </si>
  <si>
    <t>Development and Disaster - Q03 (Coded Paper Response)</t>
  </si>
  <si>
    <t>PS514Q04</t>
  </si>
  <si>
    <t>Development and Disaster - Q04 (Coded Paper Response)</t>
  </si>
  <si>
    <t>PS438Q01S</t>
  </si>
  <si>
    <t>Green Parks - Q01 (Paper Scored Response)</t>
  </si>
  <si>
    <t>PS438Q02S</t>
  </si>
  <si>
    <t>Green Parks - Q02 (Paper Scored Response)</t>
  </si>
  <si>
    <t>PS438Q03</t>
  </si>
  <si>
    <t>Green Parks - Q03 (Coded Paper Response)</t>
  </si>
  <si>
    <t>PS415Q07S</t>
  </si>
  <si>
    <t>Solar Power Generation (Solar Panels) - Q07 (Paper Scored Response)</t>
  </si>
  <si>
    <t>PS415Q02S</t>
  </si>
  <si>
    <t>Solar Power Generation (Solar Panels) - Q02 (Paper Scored Response)</t>
  </si>
  <si>
    <t>PS415Q08S</t>
  </si>
  <si>
    <t>Solar Power Generation (Solar Panels) - Q08 (Paper Scored Response)</t>
  </si>
  <si>
    <t>PS476Q01S</t>
  </si>
  <si>
    <t>Heart Surgery - Q01 (Paper Scored Response)</t>
  </si>
  <si>
    <t>PS476Q02S</t>
  </si>
  <si>
    <t>Heart Surgery - Q02 (Paper Scored Response)</t>
  </si>
  <si>
    <t>PS476Q03S</t>
  </si>
  <si>
    <t>Heart Surgery - Q03 (Paper Scored Response)</t>
  </si>
  <si>
    <t>PS495Q04S</t>
  </si>
  <si>
    <t>Radiotherapy - Q04 (Paper Scored Response)</t>
  </si>
  <si>
    <t>PS495Q01S</t>
  </si>
  <si>
    <t>Radiotherapy - Q01 (Paper Scored Response)</t>
  </si>
  <si>
    <t>PS495Q02S</t>
  </si>
  <si>
    <t>Radiotherapy - Q02 (Paper Scored Response)</t>
  </si>
  <si>
    <t>S495Q03</t>
  </si>
  <si>
    <t>Radiotherapy - Q03 (Coded Paper Response)</t>
  </si>
  <si>
    <t>PS456Q01S</t>
  </si>
  <si>
    <t>Cheetah - Q01 (Paper Scored Response)</t>
  </si>
  <si>
    <t>PS456Q02S</t>
  </si>
  <si>
    <t>Cheetah - Q02 (Paper Scored Response)</t>
  </si>
  <si>
    <t>PS268Q01S</t>
  </si>
  <si>
    <t>Algae - Q01 (Paper Scored Response)</t>
  </si>
  <si>
    <t>S268Q02</t>
  </si>
  <si>
    <t>Algae - Q02 (Coded Paper Response)</t>
  </si>
  <si>
    <t>PS268Q06S</t>
  </si>
  <si>
    <t>Algae - Q06 (Paper Scored Response)</t>
  </si>
  <si>
    <t>PS524Q06S</t>
  </si>
  <si>
    <t>Penicillin Manufacture - Q06 (Paper Scored Response)</t>
  </si>
  <si>
    <t>S524Q07</t>
  </si>
  <si>
    <t>Penicillin Manufacture - Q07 (Coded Paper Response)</t>
  </si>
  <si>
    <t>PS510Q01S</t>
  </si>
  <si>
    <t>Magnetic Hovertrain - Q01 (Paper Scored Response)</t>
  </si>
  <si>
    <t>S510Q04</t>
  </si>
  <si>
    <t>Magnetic Hovertrain - Q04 (Coded Paper Response)</t>
  </si>
  <si>
    <t>PS437Q01S</t>
  </si>
  <si>
    <t>Extinguishing Fires - Q01 (Paper Scored Response)</t>
  </si>
  <si>
    <t>PS437Q03S</t>
  </si>
  <si>
    <t>Extinguishing Fires - Q03 (Paper Scored Response)</t>
  </si>
  <si>
    <t>PS437Q04S</t>
  </si>
  <si>
    <t>Extinguishing Fires - Q04 (Paper Scored Response)</t>
  </si>
  <si>
    <t>S437Q06</t>
  </si>
  <si>
    <t>Extinguishing Fires - Q06 (Coded Paper Response)</t>
  </si>
  <si>
    <t>S304Q01</t>
  </si>
  <si>
    <t>Water - Q01 (Coded Paper Response)</t>
  </si>
  <si>
    <t>PS304Q02S</t>
  </si>
  <si>
    <t>Water - Q02 (Paper Scored Response)</t>
  </si>
  <si>
    <t>S304Q03a</t>
  </si>
  <si>
    <t>Water - Q03a (Coded Paper Response)</t>
  </si>
  <si>
    <t>S304Q03b</t>
  </si>
  <si>
    <t>Water - Q03b (Coded Paper Response)</t>
  </si>
  <si>
    <t>S416Q01</t>
  </si>
  <si>
    <t>The Moon - Q01 (Coded Paper Response)</t>
  </si>
  <si>
    <t>S458Q01</t>
  </si>
  <si>
    <t>The Ice Mummy - Q01 (Coded Paper Response)</t>
  </si>
  <si>
    <t>PS458Q02S</t>
  </si>
  <si>
    <t>The Ice Mummy - Q02 (Paper Scored Response)</t>
  </si>
  <si>
    <t>S421Q01</t>
  </si>
  <si>
    <t>Big and Small - Q01 (Coded Paper Response)</t>
  </si>
  <si>
    <t>S421Q02</t>
  </si>
  <si>
    <t>Big and Small - Q02 (Coded Paper Response)</t>
  </si>
  <si>
    <t>S421Q03</t>
  </si>
  <si>
    <t>Big and Small - Q03 (Coded Paper Response)</t>
  </si>
  <si>
    <t>PS252Q01S</t>
  </si>
  <si>
    <t>South Rainea - Q01 (Paper Scored Response)</t>
  </si>
  <si>
    <t>PS252Q02S</t>
  </si>
  <si>
    <t>South Rainea - Q02 (Paper Scored Response)</t>
  </si>
  <si>
    <t>PS252Q03S</t>
  </si>
  <si>
    <t>South Rainea - Q03 (Paper Scored Response)</t>
  </si>
  <si>
    <t>PS327Q01S</t>
  </si>
  <si>
    <t>Tidal Energy - Q01 (Paper Scored Response)</t>
  </si>
  <si>
    <t>PS133Q01S</t>
  </si>
  <si>
    <t>Research - Q01 (Paper Scored Response)</t>
  </si>
  <si>
    <t>PS133Q03S</t>
  </si>
  <si>
    <t>Research - Q03 (Paper Scored Response)</t>
  </si>
  <si>
    <t>PS133Q04S</t>
  </si>
  <si>
    <t>Research - Q04 (Paper Scored Response)</t>
  </si>
  <si>
    <t>Cognitive items: Science results for female students</t>
  </si>
  <si>
    <t>DS269Q01C: Earth's Temperature - Q01 (Coded Response)</t>
  </si>
  <si>
    <t>N</t>
  </si>
  <si>
    <t>Missing</t>
  </si>
  <si>
    <t>0 - No credit</t>
  </si>
  <si>
    <t>1 - Full credit</t>
  </si>
  <si>
    <t>Valid Skip</t>
  </si>
  <si>
    <t>Not Reached</t>
  </si>
  <si>
    <t>Not Applicable</t>
  </si>
  <si>
    <t>Invalid</t>
  </si>
  <si>
    <t>No Response</t>
  </si>
  <si>
    <t>All</t>
  </si>
  <si>
    <t>%</t>
  </si>
  <si>
    <t>Valid</t>
  </si>
  <si>
    <t>(SE)</t>
  </si>
  <si>
    <t>OECD</t>
  </si>
  <si>
    <t>Australia</t>
  </si>
  <si>
    <t>Austria</t>
  </si>
  <si>
    <t>Belgium</t>
  </si>
  <si>
    <t>Canada</t>
  </si>
  <si>
    <t>Chile</t>
  </si>
  <si>
    <t>Czech Republic</t>
  </si>
  <si>
    <t>Denmark</t>
  </si>
  <si>
    <t>Estonia</t>
  </si>
  <si>
    <t>Finland</t>
  </si>
  <si>
    <t>France</t>
  </si>
  <si>
    <t>Germany</t>
  </si>
  <si>
    <t>Greece</t>
  </si>
  <si>
    <t>Hungary</t>
  </si>
  <si>
    <t>Iceland</t>
  </si>
  <si>
    <t>Ireland</t>
  </si>
  <si>
    <t>Israel¹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</si>
  <si>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</si>
  <si>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</si>
  <si>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</si>
  <si>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</si>
  <si>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</si>
  <si>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</si>
  <si>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</si>
  <si>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</si>
  <si>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</si>
  <si>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</si>
  <si>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</si>
  <si>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</si>
  <si>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</si>
  <si>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</si>
  <si>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</si>
  <si>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</si>
  <si>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</si>
  <si>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</si>
  <si>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</si>
  <si>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</si>
  <si>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</si>
  <si>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</si>
  <si>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t>
  </si>
  <si>
    <t>Algeria</t>
  </si>
  <si>
    <t>Brazil</t>
  </si>
  <si>
    <t>Bulgaria</t>
  </si>
  <si>
    <t>B-S-J-G (China)²</t>
  </si>
  <si>
    <t>Colombia</t>
  </si>
  <si>
    <t>Costa Rica</t>
  </si>
  <si>
    <t>Croatia</t>
  </si>
  <si>
    <t>Cyprus³ ⁴</t>
  </si>
  <si>
    <t>Dominican Republic</t>
  </si>
  <si>
    <t>Georgia</t>
  </si>
  <si>
    <t>Hong Kong</t>
  </si>
  <si>
    <t>Indonesia</t>
  </si>
  <si>
    <t>Jordan</t>
  </si>
  <si>
    <t>Kazakhstan</t>
  </si>
  <si>
    <t>n/a</t>
  </si>
  <si>
    <t>Kosovo⁵</t>
  </si>
  <si>
    <t>Lebanon</t>
  </si>
  <si>
    <t>Lithuania</t>
  </si>
  <si>
    <t>Macao</t>
  </si>
  <si>
    <t>Macedonia</t>
  </si>
  <si>
    <t>Malaysia</t>
  </si>
  <si>
    <t>Malta</t>
  </si>
  <si>
    <t>Moldova</t>
  </si>
  <si>
    <t>Montenegro</t>
  </si>
  <si>
    <t>Peru</t>
  </si>
  <si>
    <t>Puerto Rico (USA)⁶</t>
  </si>
  <si>
    <t>Qatar</t>
  </si>
  <si>
    <t>Romania</t>
  </si>
  <si>
    <t>Russian Federation</t>
  </si>
  <si>
    <t>Singapore</t>
  </si>
  <si>
    <t>Chinese Taipei</t>
  </si>
  <si>
    <t>Thailand</t>
  </si>
  <si>
    <t>Trinidad and Tobago</t>
  </si>
  <si>
    <t>Tunisia</t>
  </si>
  <si>
    <t>United Arab Emirates</t>
  </si>
  <si>
    <t>Uruguay</t>
  </si>
  <si>
    <t>Vietnam</t>
  </si>
  <si>
    <t>Argentina (Ciudad Autónoma de Buenos)</t>
  </si>
  <si>
    <t>Spain (Regions)</t>
  </si>
  <si>
    <t>USA (Massachusetts)</t>
  </si>
  <si>
    <t>USA (North Carolina)</t>
  </si>
  <si>
    <t>Note:</t>
  </si>
  <si>
    <t>n/a Data not available</t>
  </si>
  <si>
    <t>— No data</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</si>
  <si>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</si>
  <si>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</si>
  <si>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Note from Turkey: The information in this document with reference to "Cyprus" relates to Cyprus: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</si>
  <si>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⁴ Note from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</si>
  <si>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This designation is without prejudice to positions on status, and is in line with United Nations Security Council Resolution 1244/99 and the Opinion of the International Court of Justice on Kosovo's declaration of independence.</t>
  </si>
  <si>
    <t>⁶ Puerto Rico is an unincorporated territory of the United States. As such, PISA U.S. national results do not include Puerto Rico.</t>
  </si>
  <si>
    <t>DS269Q03C: Earth's Temperature - Q03 (Coded Response)</t>
  </si>
  <si>
    <t>01 - No credit</t>
  </si>
  <si>
    <t>02 - No credit</t>
  </si>
  <si>
    <t>11 - Full credit</t>
  </si>
  <si>
    <t>12 - Full credit</t>
  </si>
  <si>
    <t>CS269Q04S: Earth's Temperature - Q04 (Scored Response)</t>
  </si>
  <si>
    <t>No credit</t>
  </si>
  <si>
    <t>Full credit</t>
  </si>
  <si>
    <t>CS408Q01S: Wild Oat Grass - Q01 (Scored Response)</t>
  </si>
  <si>
    <t>DS408Q03C: Wild Oat Grass - Q03 (Coded Response)</t>
  </si>
  <si>
    <t>CS408Q04S: Wild Oat Grass - Q04 (Scored Response)</t>
  </si>
  <si>
    <t>CS408Q05S: Wild Oat Grass - Q05 (Scored Response)</t>
  </si>
  <si>
    <t>CS521Q02S: Cooking Outdoors - Q02 (Scored Response)</t>
  </si>
  <si>
    <t>CS521Q06S: Cooking Outdoors - Q06 (Scored Response)</t>
  </si>
  <si>
    <t>DS519Q01C: Airbags - Q01 (Coded Response)</t>
  </si>
  <si>
    <t>1 - Partial credit</t>
  </si>
  <si>
    <t>2 - Full credit</t>
  </si>
  <si>
    <t>CS519Q02S: Airbags - Q02 (Scored Response)</t>
  </si>
  <si>
    <t>DS519Q03C: Airbags - Q03 (Coded Response)</t>
  </si>
  <si>
    <t>CS527Q01S: Extinction of the Dinosaurs - Q01 (Scored Response)</t>
  </si>
  <si>
    <t>CS527Q03S: Extinction of the Dinosaurs - Q03 (Scored Response)</t>
  </si>
  <si>
    <t>CS527Q04S: Extinction of the Dinosaurs - Q04 (Scored Response)</t>
  </si>
  <si>
    <t>CS466Q01S: Forest Fires - Q01 (Scored Response)</t>
  </si>
  <si>
    <t>CS466Q07S: Forest Fires - Q07 (Scored Response)</t>
  </si>
  <si>
    <t>CS466Q05S: Forest Fires - Q05 (Scored Response)</t>
  </si>
  <si>
    <t>DS326Q01C: Milk - Q01 (Coded Response)</t>
  </si>
  <si>
    <t>DS326Q02C: Milk - Q02 (Coded Response)</t>
  </si>
  <si>
    <t>CS326Q03S: Milk - Q03 (Scored Response)</t>
  </si>
  <si>
    <t>CS326Q04S: Milk - Q04 (Scored Response)</t>
  </si>
  <si>
    <t>CS256Q01S: Spoons - Q01 (Scored Response)</t>
  </si>
  <si>
    <t>CS478Q01S: Antibiotics - Q01 (Scored Response)</t>
  </si>
  <si>
    <t>CS478Q02S: Antibiotics - Q02 (Scored Response)</t>
  </si>
  <si>
    <t>CS478Q03S: Antibiotics - Q03 (Scored Response)</t>
  </si>
  <si>
    <t>CS413Q06S: Plastic Age - Q06 (Scored Response)</t>
  </si>
  <si>
    <t>CS413Q04S: Plastic Age - Q04 (Scored Response)</t>
  </si>
  <si>
    <t>CS413Q05S: Plastic Age - Q05 (Scored Response)</t>
  </si>
  <si>
    <t>CS498Q02S: Experimental Digestion - Q02 (Scored Response)</t>
  </si>
  <si>
    <t>CS498Q03S: Experimental Digestion - Q03 (Scored Response)</t>
  </si>
  <si>
    <t>DS498Q04C: Experimental Digestion - Q04 (Coded Response)</t>
  </si>
  <si>
    <t>DS425Q03C: Penguin Island - Q03 (Coded Response)</t>
  </si>
  <si>
    <t>CS425Q05S: Penguin Island - Q05 (Scored Response)</t>
  </si>
  <si>
    <t>CS425Q02S: Penguin Island - Q02 (Scored Response)</t>
  </si>
  <si>
    <t>DS425Q04C: Penguin Island - Q04 (Coded Response)</t>
  </si>
  <si>
    <t>DS465Q01C: Different Climates - Q01 (Coded Response)</t>
  </si>
  <si>
    <t>CS465Q02S: Different Climates - Q02 (Scored Response)</t>
  </si>
  <si>
    <t>CS465Q04S: Different Climates - Q04 (Scored Response)</t>
  </si>
  <si>
    <t>DS131Q02C: Good Vibrations - Q02 (Coded Response)</t>
  </si>
  <si>
    <t>03 - No credit</t>
  </si>
  <si>
    <t>DS131Q04C: Good Vibrations - Q04 (Coded Response)</t>
  </si>
  <si>
    <t>04 - No credit</t>
  </si>
  <si>
    <t>CS428Q01S: Bacteria in Milk - Q01 (Scored Response)</t>
  </si>
  <si>
    <t>CS428Q03S: Bacteria in Milk - Q03 (Scored Response)</t>
  </si>
  <si>
    <t>DS428Q05C: Bacteria in Milk - Q05 (Coded Response)</t>
  </si>
  <si>
    <t>DS514Q02C: Development and Disaster - Q02 (Coded Response)</t>
  </si>
  <si>
    <t>DS514Q03C: Development and Disaster - Q03 (Coded Response)</t>
  </si>
  <si>
    <t>DS514Q04C: Development and Disaster - Q04 (Coded Response)</t>
  </si>
  <si>
    <t>CS438Q01S: Green Parks - Q01 (Scored Response)</t>
  </si>
  <si>
    <t>CS438Q02S: Green Parks - Q02 (Scored Response)</t>
  </si>
  <si>
    <t>DS438Q03C: Green Parks - Q03 (Coded Response)</t>
  </si>
  <si>
    <t>CS415Q07S: Solar Power Generation (Solar Panels) - Q07 (Scored Response)</t>
  </si>
  <si>
    <t>CS415Q02S: Solar Power Generation (Solar Panels) - Q02 (Scored Response)</t>
  </si>
  <si>
    <t>CS415Q08S: Solar Power Generation (Solar Panels) - Q08 (Scored Response)</t>
  </si>
  <si>
    <t>CS476Q01S: Heart Surgery - Q01 (Scored Response)</t>
  </si>
  <si>
    <t>CS476Q02S: Heart Surgery - Q02 (Scored Response)</t>
  </si>
  <si>
    <t>CS476Q03S: Heart Surgery - Q03 (Scored Response)</t>
  </si>
  <si>
    <t>CS495Q04S: Radiotherapy - Q04 (Scored Response)</t>
  </si>
  <si>
    <t>CS495Q01S: Radiotherapy - Q01 (Scored Response)</t>
  </si>
  <si>
    <t>CS495Q02S: Radiotherapy - Q02 (Scored Response)</t>
  </si>
  <si>
    <t>DS495Q03C: Radiotherapy - Q03 (Coded Response)</t>
  </si>
  <si>
    <t>CS268Q01S: Algae - Q01 (Scored Response)</t>
  </si>
  <si>
    <t>DS268Q02C: Algae - Q02 (Coded Response)</t>
  </si>
  <si>
    <t>CS268Q06S: Algae - Q06 (Scored Response)</t>
  </si>
  <si>
    <t>CS524Q06S: Penicillin Manufacture - Q06 (Scored Response)</t>
  </si>
  <si>
    <t>DS524Q07C: Penicillin Manufacture - Q07 (Coded Response)</t>
  </si>
  <si>
    <t>CS510Q01S: Magnetic Hovertrain - Q01 (Scored Response)</t>
  </si>
  <si>
    <t>DS510Q04C: Magnetic Hovertrain - Q04 (Coded Response)</t>
  </si>
  <si>
    <t>CS437Q01S: Extinguishing Fires - Q01 (Scored Response)</t>
  </si>
  <si>
    <t>CS437Q03S: Extinguishing Fires - Q03 (Scored Response)</t>
  </si>
  <si>
    <t>CS437Q04S: Extinguishing Fires - Q04 (Scored Response)</t>
  </si>
  <si>
    <t>DS437Q06C: Extinguishing Fires - Q06 (Coded Response)</t>
  </si>
  <si>
    <t>DS304Q01C: Water - Q01 (Coded Response)</t>
  </si>
  <si>
    <t>CS304Q02S: Water - Q02 (Scored Response)</t>
  </si>
  <si>
    <t>DS304Q03aC: Water - Q03a (Coded Response)</t>
  </si>
  <si>
    <t>DS304Q03bC: Water - Q03b (Coded Response)</t>
  </si>
  <si>
    <t>DS416Q01C: The Moon - Q01 (Coded Response)</t>
  </si>
  <si>
    <t>DS458Q01C: The Ice Mummy - Q01 (Coded Response)</t>
  </si>
  <si>
    <t>CS458Q02S: The Ice Mummy - Q02 (Scored Response)</t>
  </si>
  <si>
    <t>CS421Q01S: Big and Small - Q01 (Scored Response)</t>
  </si>
  <si>
    <t>CS421Q02S: Big and Small - Q02 (Scored Response)</t>
  </si>
  <si>
    <t>CS421Q03S: Big and Small - Q03 (Scored Response)</t>
  </si>
  <si>
    <t>CS252Q01S: South Rainea - Q01 (Scored Response)</t>
  </si>
  <si>
    <t>CS252Q02S: South Rainea - Q02 (Scored Response)</t>
  </si>
  <si>
    <t>CS252Q03S: South Rainea - Q03 (Scored Response)</t>
  </si>
  <si>
    <t>CS327Q01S: Tidal Energy - Q01 (Scored Response)</t>
  </si>
  <si>
    <t>CS627Q01S: Car Tyres - Q01 (Scored Response)</t>
  </si>
  <si>
    <t>CS627Q03S: Car Tyres - Q03 (Scored Response)</t>
  </si>
  <si>
    <t>CS627Q04S: Car Tyres - Q04 (Scored Response)</t>
  </si>
  <si>
    <t>CS635Q01S: Save the Fish - Q01 (Scored Response)</t>
  </si>
  <si>
    <t>Partial credit</t>
  </si>
  <si>
    <t>CS635Q02S: Save the Fish - Q02 (Scored Response)</t>
  </si>
  <si>
    <t>DS635Q03C: Save the Fish - Q03 (Coded Response)</t>
  </si>
  <si>
    <t>CS635Q04S: Save the Fish - Q04 (Scored Response)</t>
  </si>
  <si>
    <t>DS635Q05C: Save the Fish - Q05 (Coded Response)</t>
  </si>
  <si>
    <t>CS603Q01S: Elephants and Acacia Trees - Q01 (Scored Response)</t>
  </si>
  <si>
    <t>DS603Q02C: Elephants and Acacia Trees - Q02 (Coded Response)</t>
  </si>
  <si>
    <t>CS603Q03S: Elephants and Acacia Trees - Q03 (Scored Response)</t>
  </si>
  <si>
    <t>CS603Q04S: Elephants and Acacia Trees - Q04 (Scored Response)</t>
  </si>
  <si>
    <t>CS603Q05S: Elephants and Acacia Trees - Q05 (Scored Response)</t>
  </si>
  <si>
    <t>CS602Q01S: Urban Heat Island Effect - Q01 (Scored Response)</t>
  </si>
  <si>
    <t>CS602Q02S: Urban Heat Island Effect - Q02 (Scored Response)</t>
  </si>
  <si>
    <t>DS602Q03C: Urban Heat Island Effect - Q03 (Coded Response)</t>
  </si>
  <si>
    <t>CS602Q04S: Urban Heat Island Effect - Q04 (Scored Response)</t>
  </si>
  <si>
    <t>CS607Q01S: Birds and Caterpillars - Q01 (Scored Response)</t>
  </si>
  <si>
    <t>CS607Q02S: Birds and Caterpillars - Q02 (Scored Response)</t>
  </si>
  <si>
    <t>DS607Q03C: Birds and Caterpillars - Q03 (Coded Response)</t>
  </si>
  <si>
    <t>CS646Q01S: Nanoparticles - Q01 (Scored Response)</t>
  </si>
  <si>
    <t>CS646Q02S: Nanoparticles - Q02 (Scored Response)</t>
  </si>
  <si>
    <t>CS646Q03S: Nanoparticles - Q03 (Scored Response)</t>
  </si>
  <si>
    <t>DS646Q04C: Nanoparticles - Q04 (All Rows Correct)</t>
  </si>
  <si>
    <t>DS646Q05C: Nanoparticles - Q05 (Coded Response)</t>
  </si>
  <si>
    <t>CS608Q01S: Ammonoids - Q01 (Scored Response)</t>
  </si>
  <si>
    <t>CS608Q02S: Ammonoids - Q02 (Scored Response)</t>
  </si>
  <si>
    <t>CS608Q03S: Ammonoids - Q03 (Scored Response)</t>
  </si>
  <si>
    <t>DS608Q04C: Ammonoids - Q04 (Coded Response)</t>
  </si>
  <si>
    <t>CS605Q01S: Geothermal Energy - Q01 (Scored Response)</t>
  </si>
  <si>
    <t>CS605Q02S: Geothermal Energy - Q02 (Scored Response)</t>
  </si>
  <si>
    <t>CS605Q03S: Geothermal Energy - Q03 (Scored Response)</t>
  </si>
  <si>
    <t>DS605Q04C: Geothermal Energy - Q04 (Coded Response)</t>
  </si>
  <si>
    <t>CS649Q01S: Weather Balloon - Q01 (Scored Response)</t>
  </si>
  <si>
    <t>DS649Q02C: Weather Balloon - Q02 (Coded Response)</t>
  </si>
  <si>
    <t>CS649Q03S: Weather Balloon - Q03 (Scored Response)</t>
  </si>
  <si>
    <t>CS649Q04S: Weather Balloon - Q04 (Scored Response)</t>
  </si>
  <si>
    <t>CS634Q01S: Vaccination and Spreading of Disease - Q01 (Scored Response)</t>
  </si>
  <si>
    <t>CS634Q02S: Vaccination and Spreading of Disease - Q02 (Scored Response)</t>
  </si>
  <si>
    <t>DS634Q03C: Vaccination and Spreading of Disease - Q03 (Coded Response)</t>
  </si>
  <si>
    <t>DS634Q05C: Vaccination and Spreading of Disease - Q05 (Coded Response)</t>
  </si>
  <si>
    <t>CS634Q04S: Vaccination and Spreading of Disease - Q04 (Scored Response)</t>
  </si>
  <si>
    <t>CS620Q01S: Tornadoes - Q01 (Scored Response)</t>
  </si>
  <si>
    <t>CS620Q02S: Tornadoes - Q02 (Scored Response)</t>
  </si>
  <si>
    <t>DS620Q04C: Tornadoes - Q04 (Coded Response)</t>
  </si>
  <si>
    <t>CS638Q01S: Oil Spills - Q01 (Scored Response)</t>
  </si>
  <si>
    <t>CS638Q02S: Oil Spills - Q02 (Scored Response)</t>
  </si>
  <si>
    <t>CS638Q04S: Oil Spills - Q04 (Scored Response)</t>
  </si>
  <si>
    <t>DS638Q05C: Oil Spills - Q05 (Coded Response)</t>
  </si>
  <si>
    <t>DS625Q01C: Wildfires and the Fire Triangle - Q01 (Coded Response)</t>
  </si>
  <si>
    <t>CS625Q02S: Wildfires and the Fire Triangle - Q02 (Scored Response)</t>
  </si>
  <si>
    <t>CS625Q03S: Wildfires and the Fire Triangle - Q03 (Scored Response)</t>
  </si>
  <si>
    <t>CS615Q07S: Understanding Tsunamis - Q07 (Scored Response)</t>
  </si>
  <si>
    <t>CS615Q01S: Understanding Tsunamis - Q01 (Scored Response)</t>
  </si>
  <si>
    <t>CS615Q02S: Understanding Tsunamis - Q02 (Scored Response)</t>
  </si>
  <si>
    <t>CS615Q05S: Understanding Tsunamis - Q05 (Scored Response)</t>
  </si>
  <si>
    <t>CS604Q02S: Water from Fog - Q02 (Scored Response)</t>
  </si>
  <si>
    <t>DS604Q04C: Water from Fog - Q04 (Coded Response)</t>
  </si>
  <si>
    <t>CS645Q01S: Carbon Dioxide in Earth's Atmosphere - Q01 (Scored Response)</t>
  </si>
  <si>
    <t>CS645Q03S: Carbon Dioxide in Earth's Atmosphere - Q03 (Scored Response)</t>
  </si>
  <si>
    <t>DS645Q04C: Carbon Dioxide in Earth's Atmosphere - Q04 (Coded Response)</t>
  </si>
  <si>
    <t>DS645Q05C: Carbon Dioxide in Earth's Atmosphere - Q05 (Coded Response)</t>
  </si>
  <si>
    <t>CS657Q01S: Invasive Species - Q01 (Scored Response)</t>
  </si>
  <si>
    <t>CS657Q02S: Invasive Species - Q02 (Scored Response)</t>
  </si>
  <si>
    <t>CS657Q03S: Invasive Species - Q03 (Scored Response)</t>
  </si>
  <si>
    <t>DS657Q04C: Invasive Species - Q04 (Coded Response)</t>
  </si>
  <si>
    <t>11 - Partial credit</t>
  </si>
  <si>
    <t>12 - Partial credit</t>
  </si>
  <si>
    <t>21 - Full credit</t>
  </si>
  <si>
    <t>CS656Q01S: Bird Migration - Q01 (Scored Response)</t>
  </si>
  <si>
    <t>DS656Q02C: Bird Migration - Q02 (Coded Response)</t>
  </si>
  <si>
    <t>CS656Q04S: Bird Migration - Q04 (Scored Response)</t>
  </si>
  <si>
    <t>DS643Q03C: Comparing Light Bulbs - Q03 (Coded Response)</t>
  </si>
  <si>
    <t>CS643Q01S: Comparing Light Bulbs - Q01 (Scored Response)</t>
  </si>
  <si>
    <t>CS643Q02S: Comparing Light Bulbs - Q02 (Scored Response)</t>
  </si>
  <si>
    <t>CS643Q04S: Comparing Light Bulbs - Q04 (Scored Response)</t>
  </si>
  <si>
    <t>DS643Q05C: Comparing Light Bulbs - Q05 (Coded Response)</t>
  </si>
  <si>
    <t>DS629Q01C: Solar Cooker - Q01 (Coded Response)</t>
  </si>
  <si>
    <t>CS629Q02S: Solar Cooker - Q02 (Scored Response)</t>
  </si>
  <si>
    <t>DS629Q03C: Solar Cooker - Q03 (Coded Response)</t>
  </si>
  <si>
    <t>CS629Q04S: Solar Cooker - Q04 (Scored Response)</t>
  </si>
  <si>
    <t>DS648Q01C: Habitable Zone - Q01 (Coded Response)</t>
  </si>
  <si>
    <t>CS648Q02S: Habitable Zone - Q02 (Scored Response)</t>
  </si>
  <si>
    <t>CS648Q03S: Habitable Zone - Q03 (Scored Response)</t>
  </si>
  <si>
    <t>DS648Q05C: Habitable Zone - Q05 (Coded Response)</t>
  </si>
  <si>
    <t>CS641Q01S: Meteoroids and Craters - Q01 (Scored Response)</t>
  </si>
  <si>
    <t>CS641Q02S: Meteoroids and Craters - Q02 (Scored Response)</t>
  </si>
  <si>
    <t>CS641Q03S: Meteoroids and Craters - Q03 (Scored Response)</t>
  </si>
  <si>
    <t>CS641Q04S: Meteoroids and Craters - Q04 (Scored Response)</t>
  </si>
  <si>
    <t>DS637Q01C: Slope-Face Investigation - Q01 (Coded Response)</t>
  </si>
  <si>
    <t>CS637Q02S: Slope-Face Investigation - Q02 (Scored Response)</t>
  </si>
  <si>
    <t>DS637Q05C: Slope-Face Investigation - Q05 (Coded Response)</t>
  </si>
  <si>
    <t>CS601Q01S: Sustainable Fish Farming - Q01 (Scored Response)</t>
  </si>
  <si>
    <t>CS601Q02S: Sustainable Fish Farming - Q02 (Scored Response)</t>
  </si>
  <si>
    <t>CS601Q04S: Sustainable Fish Farming - Q04 (Scored Response)</t>
  </si>
  <si>
    <t>DS610Q01C: Brain-Controlled Robotics - Q01 (Coded Response)</t>
  </si>
  <si>
    <t>CS610Q02S: Brain-Controlled Robotics - Q02 (Scored Response)</t>
  </si>
  <si>
    <t>CS610Q04S: Brain-Controlled Robotics - Q04 (Scored Response)</t>
  </si>
  <si>
    <t>CS626Q01S: Sounds in Marine Habitats - Q01 (Scored Response)</t>
  </si>
  <si>
    <t>CS626Q02S: Sounds in Marine Habitats - Q02 (Scored Response)</t>
  </si>
  <si>
    <t>CS626Q03S: Sounds in Marine Habitats - Q03 (Scored Response)</t>
  </si>
  <si>
    <t>DS626Q04C: Sounds in Marine Habitats - Q04 (Coded Response)</t>
  </si>
  <si>
    <t>PS269Q01: Earth's Temperature - Q01 (Coded Paper Response)</t>
  </si>
  <si>
    <t>PS269Q03: Earth's Temperature - Q03 (Coded Paper Response)</t>
  </si>
  <si>
    <t>9 - No data (CBA only)</t>
  </si>
  <si>
    <t>PS269Q04S: Earth's Temperature - Q04 (Paper Scored Response)</t>
  </si>
  <si>
    <t>PS408Q01S: Wild Oat Grass - Q01 (Paper Scored Response)</t>
  </si>
  <si>
    <t>PS408Q03: Wild Oat Grass - Q03 (Coded Paper Response)</t>
  </si>
  <si>
    <t>PS408Q04S: Wild Oat Grass - Q04 (Paper Scored Response)</t>
  </si>
  <si>
    <t>PS408Q05S: Wild Oat Grass - Q05 (Paper Scored Response)</t>
  </si>
  <si>
    <t>PS521Q02S: Cooking Outdoors - Q02 (Paper Scored Response)</t>
  </si>
  <si>
    <t>PS521Q06S: Cooking Outdoors - Q06 (Paper Scored Response)</t>
  </si>
  <si>
    <t>PS519Q01: Airbags - Q01 (Coded Paper Response)</t>
  </si>
  <si>
    <t>PS519Q02S: Airbags - Q02 (Paper Scored Response)</t>
  </si>
  <si>
    <t>PS519Q03: Airbags - Q03 (Coded Paper Response)</t>
  </si>
  <si>
    <t>PS527Q01S: Extinction of the Dinosaurs - Q01 (Paper Scored Response)</t>
  </si>
  <si>
    <t>PS527Q03S: Extinction of the Dinosaurs - Q03 (Paper Scored Response)</t>
  </si>
  <si>
    <t>PS527Q04S: Extinction of the Dinosaurs - Q04 (Paper Scored Response)</t>
  </si>
  <si>
    <t>PS466Q01S: Forest Fires - Q01 (Paper Scored Response)</t>
  </si>
  <si>
    <t>PS466Q07S: Forest Fires - Q07 (Paper Scored Response)</t>
  </si>
  <si>
    <t>PS466Q05S: Forest Fires - Q05 (Paper Scored Response)</t>
  </si>
  <si>
    <t>PS326Q01: Milk - Q01 (Coded Paper Response)</t>
  </si>
  <si>
    <t>PS326Q02: Milk - Q02 (Coded Paper Response)</t>
  </si>
  <si>
    <t>PS326Q03S: Milk - Q03 (Paper Scored Response)</t>
  </si>
  <si>
    <t>PS326Q04S: Milk - Q04 (Paper Scored Response)</t>
  </si>
  <si>
    <t>PS256Q01S: Spoons - Q01 (Paper Scored Response)</t>
  </si>
  <si>
    <t>PS478Q01S: Antibiotics - Q01 (Paper Scored Response)</t>
  </si>
  <si>
    <t>PS478Q02S: Antibiotics - Q02 (Paper Scored Response)</t>
  </si>
  <si>
    <t>PS478Q03S: Antibiotics - Q03 (Paper Scored Response)</t>
  </si>
  <si>
    <t>PS413Q06: Plastic Age - Q06 (Coded Paper Response)</t>
  </si>
  <si>
    <t>PS413Q04S: Plastic Age - Q04 (Paper Scored Response)</t>
  </si>
  <si>
    <t>PS413Q05S: Plastic Age - Q05 (Paper Scored Response)</t>
  </si>
  <si>
    <t>PS498Q02S: Experimental Digestion - Q02 (Paper Scored Response)</t>
  </si>
  <si>
    <t>PS498Q03S: Experimental Digestion - Q03 (Paper Scored Response)</t>
  </si>
  <si>
    <t>PS498Q04: Experimental Digestion - Q04 (Coded Paper Response)</t>
  </si>
  <si>
    <t>PS425Q03: Penguin Island - Q03 (Coded Paper Response)</t>
  </si>
  <si>
    <t>PS425Q05S: Penguin Island - Q05 (Paper Scored Response)</t>
  </si>
  <si>
    <t>PS425Q02S: Penguin Island - Q02 (Paper Scored Response)</t>
  </si>
  <si>
    <t>PS425Q04: Penguin Island - Q04 (Coded Paper Response)</t>
  </si>
  <si>
    <t>PS465Q01: Different Climates - Q01 (Coded Paper Response)</t>
  </si>
  <si>
    <t>PS465Q02S: Different Climates - Q02 (Paper Scored Response)</t>
  </si>
  <si>
    <t>PS465Q04S: Different Climates - Q04 (Paper Scored Response)</t>
  </si>
  <si>
    <t>PS131Q02: Good Vibrations - Q02 (Coded Paper Response)</t>
  </si>
  <si>
    <t>PS131Q04: Good Vibrations - Q04 (Coded Paper Response)</t>
  </si>
  <si>
    <t>PS428Q01S: Bacteria in Milk - Q01 (Paper Scored Response)</t>
  </si>
  <si>
    <t>PS428Q03S: Bacteria in Milk - Q03 (Paper Scored Response)</t>
  </si>
  <si>
    <t>PS428Q05: Bacteria in Milk - Q05 (Coded Paper Response)</t>
  </si>
  <si>
    <t>PS514Q02: Development and Disaster - Q02 (Coded Paper Response)</t>
  </si>
  <si>
    <t>PS514Q03: Development and Disaster - Q03 (Coded Paper Response)</t>
  </si>
  <si>
    <t>PS514Q04: Development and Disaster - Q04 (Coded Paper Response)</t>
  </si>
  <si>
    <t>PS438Q01S: Green Parks - Q01 (Paper Scored Response)</t>
  </si>
  <si>
    <t>PS438Q02S: Green Parks - Q02 (Paper Scored Response)</t>
  </si>
  <si>
    <t>PS438Q03: Green Parks - Q03 (Coded Paper Response)</t>
  </si>
  <si>
    <t>PS415Q07S: Solar Power Generation (Solar Panels) - Q07 (Paper Scored Response)</t>
  </si>
  <si>
    <t>PS415Q02S: Solar Power Generation (Solar Panels) - Q02 (Paper Scored Response)</t>
  </si>
  <si>
    <t>PS415Q08S: Solar Power Generation (Solar Panels) - Q08 (Paper Scored Response)</t>
  </si>
  <si>
    <t>PS476Q01S: Heart Surgery - Q01 (Paper Scored Response)</t>
  </si>
  <si>
    <t>PS476Q02S: Heart Surgery - Q02 (Paper Scored Response)</t>
  </si>
  <si>
    <t>PS476Q03S: Heart Surgery - Q03 (Paper Scored Response)</t>
  </si>
  <si>
    <t>PS495Q04S: Radiotherapy - Q04 (Paper Scored Response)</t>
  </si>
  <si>
    <t>PS495Q01S: Radiotherapy - Q01 (Paper Scored Response)</t>
  </si>
  <si>
    <t>PS495Q02S: Radiotherapy - Q02 (Paper Scored Response)</t>
  </si>
  <si>
    <t>S495Q03: Radiotherapy - Q03 (Coded Paper Response)</t>
  </si>
  <si>
    <t>PS456Q01S: Cheetah - Q01 (Paper Scored Response)</t>
  </si>
  <si>
    <t>PS456Q02S: Cheetah - Q02 (Paper Scored Response)</t>
  </si>
  <si>
    <t>PS268Q01S: Algae - Q01 (Paper Scored Response)</t>
  </si>
  <si>
    <t>S268Q02: Algae - Q02 (Coded Paper Response)</t>
  </si>
  <si>
    <t>PS268Q06S: Algae - Q06 (Paper Scored Response)</t>
  </si>
  <si>
    <t>PS524Q06S: Penicillin Manufacture - Q06 (Paper Scored Response)</t>
  </si>
  <si>
    <t>S524Q07: Penicillin Manufacture - Q07 (Coded Paper Response)</t>
  </si>
  <si>
    <t>PS510Q01S: Magnetic Hovertrain - Q01 (Paper Scored Response)</t>
  </si>
  <si>
    <t>S510Q04: Magnetic Hovertrain - Q04 (Coded Paper Response)</t>
  </si>
  <si>
    <t>PS437Q01S: Extinguishing Fires - Q01 (Paper Scored Response)</t>
  </si>
  <si>
    <t>PS437Q03S: Extinguishing Fires - Q03 (Paper Scored Response)</t>
  </si>
  <si>
    <t>PS437Q04S: Extinguishing Fires - Q04 (Paper Scored Response)</t>
  </si>
  <si>
    <t>S437Q06: Extinguishing Fires - Q06 (Coded Paper Response)</t>
  </si>
  <si>
    <t>S304Q01: Water - Q01 (Coded Paper Response)</t>
  </si>
  <si>
    <t>PS304Q02S: Water - Q02 (Paper Scored Response)</t>
  </si>
  <si>
    <t>S304Q03a: Water - Q03a (Coded Paper Response)</t>
  </si>
  <si>
    <t>S304Q03b: Water - Q03b (Coded Paper Response)</t>
  </si>
  <si>
    <t>S416Q01: The Moon - Q01 (Coded Paper Response)</t>
  </si>
  <si>
    <t>S458Q01: The Ice Mummy - Q01 (Coded Paper Response)</t>
  </si>
  <si>
    <t>PS458Q02S: The Ice Mummy - Q02 (Paper Scored Response)</t>
  </si>
  <si>
    <t>S421Q01: Big and Small - Q01 (Coded Paper Response)</t>
  </si>
  <si>
    <t>S421Q02: Big and Small - Q02 (Coded Paper Response)</t>
  </si>
  <si>
    <t>S421Q03: Big and Small - Q03 (Coded Paper Response)</t>
  </si>
  <si>
    <t>PS252Q01S: South Rainea - Q01 (Paper Scored Response)</t>
  </si>
  <si>
    <t>PS252Q02S: South Rainea - Q02 (Paper Scored Response)</t>
  </si>
  <si>
    <t>PS252Q03S: South Rainea - Q03 (Paper Scored Response)</t>
  </si>
  <si>
    <t>PS327Q01S: Tidal Energy - Q01 (Paper Scored Response)</t>
  </si>
  <si>
    <t>PS133Q01S: Research - Q01 (Paper Scored Response)</t>
  </si>
  <si>
    <t>PS133Q03S: Research - Q03 (Paper Scored Response)</t>
  </si>
  <si>
    <t>PS133Q04S: Research - Q04 (Paper Scored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</si>
</sst>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7">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applyAlignment="1" borderId="0" fillId="3" fontId="3" numFmtId="0" xfId="0">
      <alignment horizontal="right" vertical="bottom" wrapText="1"/>
    </xf>
    <xf applyAlignment="1" borderId="6" fillId="3" fontId="3" numFmtId="0" xfId="0">
      <alignment horizontal="right" vertical="bottom" wrapText="1"/>
    </xf>
    <xf borderId="3" fillId="3" fontId="3" numFmtId="0" xfId="0"/>
    <xf applyAlignment="1" borderId="4" fillId="3" fontId="3" numFmtId="1" xfId="0">
      <alignment horizontal="right" vertical="bottom" wrapText="1"/>
    </xf>
    <xf applyAlignment="1" borderId="4" fillId="3" fontId="3" numFmtId="2" xfId="0">
      <alignment horizontal="right" vertical="bottom" wrapText="1"/>
    </xf>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worksheets/sheet208.xml" Type="http://schemas.openxmlformats.org/officeDocument/2006/relationships/worksheet"/><Relationship Id="rId209" Target="worksheets/sheet209.xml" Type="http://schemas.openxmlformats.org/officeDocument/2006/relationships/worksheet"/><Relationship Id="rId210" Target="worksheets/sheet210.xml" Type="http://schemas.openxmlformats.org/officeDocument/2006/relationships/worksheet"/><Relationship Id="rId211" Target="worksheets/sheet211.xml" Type="http://schemas.openxmlformats.org/officeDocument/2006/relationships/worksheet"/><Relationship Id="rId212" Target="worksheets/sheet212.xml" Type="http://schemas.openxmlformats.org/officeDocument/2006/relationships/worksheet"/><Relationship Id="rId213" Target="worksheets/sheet213.xml" Type="http://schemas.openxmlformats.org/officeDocument/2006/relationships/worksheet"/><Relationship Id="rId214" Target="worksheets/sheet214.xml" Type="http://schemas.openxmlformats.org/officeDocument/2006/relationships/worksheet"/><Relationship Id="rId215" Target="worksheets/sheet215.xml" Type="http://schemas.openxmlformats.org/officeDocument/2006/relationships/worksheet"/><Relationship Id="rId216" Target="worksheets/sheet216.xml" Type="http://schemas.openxmlformats.org/officeDocument/2006/relationships/worksheet"/><Relationship Id="rId217" Target="worksheets/sheet217.xml" Type="http://schemas.openxmlformats.org/officeDocument/2006/relationships/worksheet"/><Relationship Id="rId218" Target="worksheets/sheet218.xml" Type="http://schemas.openxmlformats.org/officeDocument/2006/relationships/worksheet"/><Relationship Id="rId219" Target="worksheets/sheet219.xml" Type="http://schemas.openxmlformats.org/officeDocument/2006/relationships/worksheet"/><Relationship Id="rId220" Target="worksheets/sheet220.xml" Type="http://schemas.openxmlformats.org/officeDocument/2006/relationships/worksheet"/><Relationship Id="rId221" Target="worksheets/sheet221.xml" Type="http://schemas.openxmlformats.org/officeDocument/2006/relationships/worksheet"/><Relationship Id="rId222" Target="worksheets/sheet222.xml" Type="http://schemas.openxmlformats.org/officeDocument/2006/relationships/worksheet"/><Relationship Id="rId223" Target="worksheets/sheet223.xml" Type="http://schemas.openxmlformats.org/officeDocument/2006/relationships/worksheet"/><Relationship Id="rId224" Target="worksheets/sheet224.xml" Type="http://schemas.openxmlformats.org/officeDocument/2006/relationships/worksheet"/><Relationship Id="rId225" Target="worksheets/sheet225.xml" Type="http://schemas.openxmlformats.org/officeDocument/2006/relationships/worksheet"/><Relationship Id="rId226" Target="worksheets/sheet226.xml" Type="http://schemas.openxmlformats.org/officeDocument/2006/relationships/worksheet"/><Relationship Id="rId227" Target="worksheets/sheet227.xml" Type="http://schemas.openxmlformats.org/officeDocument/2006/relationships/worksheet"/><Relationship Id="rId228" Target="worksheets/sheet228.xml" Type="http://schemas.openxmlformats.org/officeDocument/2006/relationships/worksheet"/><Relationship Id="rId229" Target="worksheets/sheet229.xml" Type="http://schemas.openxmlformats.org/officeDocument/2006/relationships/worksheet"/><Relationship Id="rId230" Target="worksheets/sheet230.xml" Type="http://schemas.openxmlformats.org/officeDocument/2006/relationships/worksheet"/><Relationship Id="rId231" Target="worksheets/sheet231.xml" Type="http://schemas.openxmlformats.org/officeDocument/2006/relationships/worksheet"/><Relationship Id="rId232" Target="worksheets/sheet232.xml" Type="http://schemas.openxmlformats.org/officeDocument/2006/relationships/worksheet"/><Relationship Id="rId233" Target="worksheets/sheet233.xml" Type="http://schemas.openxmlformats.org/officeDocument/2006/relationships/worksheet"/><Relationship Id="rId234" Target="worksheets/sheet234.xml" Type="http://schemas.openxmlformats.org/officeDocument/2006/relationships/worksheet"/><Relationship Id="rId235" Target="worksheets/sheet235.xml" Type="http://schemas.openxmlformats.org/officeDocument/2006/relationships/worksheet"/><Relationship Id="rId236" Target="worksheets/sheet236.xml" Type="http://schemas.openxmlformats.org/officeDocument/2006/relationships/worksheet"/><Relationship Id="rId237" Target="worksheets/sheet237.xml" Type="http://schemas.openxmlformats.org/officeDocument/2006/relationships/worksheet"/><Relationship Id="rId238" Target="worksheets/sheet238.xml" Type="http://schemas.openxmlformats.org/officeDocument/2006/relationships/worksheet"/><Relationship Id="rId239" Target="worksheets/sheet239.xml" Type="http://schemas.openxmlformats.org/officeDocument/2006/relationships/worksheet"/><Relationship Id="rId240" Target="worksheets/sheet240.xml" Type="http://schemas.openxmlformats.org/officeDocument/2006/relationships/worksheet"/><Relationship Id="rId241" Target="worksheets/sheet241.xml" Type="http://schemas.openxmlformats.org/officeDocument/2006/relationships/worksheet"/><Relationship Id="rId242" Target="worksheets/sheet242.xml" Type="http://schemas.openxmlformats.org/officeDocument/2006/relationships/worksheet"/><Relationship Id="rId243" Target="worksheets/sheet243.xml" Type="http://schemas.openxmlformats.org/officeDocument/2006/relationships/worksheet"/><Relationship Id="rId244" Target="worksheets/sheet244.xml" Type="http://schemas.openxmlformats.org/officeDocument/2006/relationships/worksheet"/><Relationship Id="rId245" Target="worksheets/sheet245.xml" Type="http://schemas.openxmlformats.org/officeDocument/2006/relationships/worksheet"/><Relationship Id="rId246" Target="worksheets/sheet246.xml" Type="http://schemas.openxmlformats.org/officeDocument/2006/relationships/worksheet"/><Relationship Id="rId247" Target="worksheets/sheet247.xml" Type="http://schemas.openxmlformats.org/officeDocument/2006/relationships/worksheet"/><Relationship Id="rId248" Target="worksheets/sheet248.xml" Type="http://schemas.openxmlformats.org/officeDocument/2006/relationships/worksheet"/><Relationship Id="rId249" Target="worksheets/sheet249.xml" Type="http://schemas.openxmlformats.org/officeDocument/2006/relationships/worksheet"/><Relationship Id="rId250" Target="worksheets/sheet250.xml" Type="http://schemas.openxmlformats.org/officeDocument/2006/relationships/worksheet"/><Relationship Id="rId251" Target="worksheets/sheet251.xml" Type="http://schemas.openxmlformats.org/officeDocument/2006/relationships/worksheet"/><Relationship Id="rId252" Target="worksheets/sheet252.xml" Type="http://schemas.openxmlformats.org/officeDocument/2006/relationships/worksheet"/><Relationship Id="rId253" Target="worksheets/sheet253.xml" Type="http://schemas.openxmlformats.org/officeDocument/2006/relationships/worksheet"/><Relationship Id="rId254" Target="worksheets/sheet254.xml" Type="http://schemas.openxmlformats.org/officeDocument/2006/relationships/worksheet"/><Relationship Id="rId255" Target="worksheets/sheet255.xml" Type="http://schemas.openxmlformats.org/officeDocument/2006/relationships/worksheet"/><Relationship Id="rId256" Target="worksheets/sheet256.xml" Type="http://schemas.openxmlformats.org/officeDocument/2006/relationships/worksheet"/><Relationship Id="rId257" Target="worksheets/sheet257.xml" Type="http://schemas.openxmlformats.org/officeDocument/2006/relationships/worksheet"/><Relationship Id="rId258" Target="worksheets/sheet258.xml" Type="http://schemas.openxmlformats.org/officeDocument/2006/relationships/worksheet"/><Relationship Id="rId259" Target="worksheets/sheet259.xml" Type="http://schemas.openxmlformats.org/officeDocument/2006/relationships/worksheet"/><Relationship Id="rId260" Target="worksheets/sheet260.xml" Type="http://schemas.openxmlformats.org/officeDocument/2006/relationships/worksheet"/><Relationship Id="rId261" Target="worksheets/sheet261.xml" Type="http://schemas.openxmlformats.org/officeDocument/2006/relationships/worksheet"/><Relationship Id="rId262" Target="worksheets/sheet262.xml" Type="http://schemas.openxmlformats.org/officeDocument/2006/relationships/worksheet"/><Relationship Id="rId263" Target="worksheets/sheet263.xml" Type="http://schemas.openxmlformats.org/officeDocument/2006/relationships/worksheet"/><Relationship Id="rId264" Target="worksheets/sheet264.xml" Type="http://schemas.openxmlformats.org/officeDocument/2006/relationships/worksheet"/><Relationship Id="rId265" Target="worksheets/sheet265.xml" Type="http://schemas.openxmlformats.org/officeDocument/2006/relationships/worksheet"/><Relationship Id="rId266" Target="worksheets/sheet266.xml" Type="http://schemas.openxmlformats.org/officeDocument/2006/relationships/worksheet"/><Relationship Id="rId267" Target="worksheets/sheet267.xml" Type="http://schemas.openxmlformats.org/officeDocument/2006/relationships/worksheet"/><Relationship Id="rId268" Target="worksheets/sheet268.xml" Type="http://schemas.openxmlformats.org/officeDocument/2006/relationships/worksheet"/><Relationship Id="rId269" Target="worksheets/sheet269.xml" Type="http://schemas.openxmlformats.org/officeDocument/2006/relationships/worksheet"/><Relationship Id="rId270" Target="worksheets/sheet270.xml" Type="http://schemas.openxmlformats.org/officeDocument/2006/relationships/worksheet"/><Relationship Id="rId271" Target="worksheets/sheet271.xml" Type="http://schemas.openxmlformats.org/officeDocument/2006/relationships/worksheet"/><Relationship Id="rId272" Target="worksheets/sheet272.xml" Type="http://schemas.openxmlformats.org/officeDocument/2006/relationships/worksheet"/><Relationship Id="rId273" Target="worksheets/sheet273.xml" Type="http://schemas.openxmlformats.org/officeDocument/2006/relationships/worksheet"/><Relationship Id="rId274" Target="worksheets/sheet274.xml" Type="http://schemas.openxmlformats.org/officeDocument/2006/relationships/worksheet"/><Relationship Id="rId275" Target="worksheets/sheet275.xml" Type="http://schemas.openxmlformats.org/officeDocument/2006/relationships/worksheet"/><Relationship Id="rId276" Target="sharedStrings.xml" Type="http://schemas.openxmlformats.org/officeDocument/2006/relationships/sharedStrings"/><Relationship Id="rId277" Target="styles.xml" Type="http://schemas.openxmlformats.org/officeDocument/2006/relationships/styles"/><Relationship Id="rId27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DS269Q01C'!A6" TargetMode="External" Type="http://schemas.openxmlformats.org/officeDocument/2006/relationships/hyperlink"/><Relationship Id="rId2" Target="#'DS269Q03C'!A6" TargetMode="External" Type="http://schemas.openxmlformats.org/officeDocument/2006/relationships/hyperlink"/><Relationship Id="rId3" Target="#'CS269Q04S'!A6" TargetMode="External" Type="http://schemas.openxmlformats.org/officeDocument/2006/relationships/hyperlink"/><Relationship Id="rId4" Target="#'CS408Q01S'!A6" TargetMode="External" Type="http://schemas.openxmlformats.org/officeDocument/2006/relationships/hyperlink"/><Relationship Id="rId5" Target="#'DS408Q03C'!A6" TargetMode="External" Type="http://schemas.openxmlformats.org/officeDocument/2006/relationships/hyperlink"/><Relationship Id="rId6" Target="#'CS408Q04S'!A6" TargetMode="External" Type="http://schemas.openxmlformats.org/officeDocument/2006/relationships/hyperlink"/><Relationship Id="rId7" Target="#'CS408Q05S'!A6" TargetMode="External" Type="http://schemas.openxmlformats.org/officeDocument/2006/relationships/hyperlink"/><Relationship Id="rId8" Target="#'CS521Q02S'!A6" TargetMode="External" Type="http://schemas.openxmlformats.org/officeDocument/2006/relationships/hyperlink"/><Relationship Id="rId9" Target="#'CS521Q06S'!A6" TargetMode="External" Type="http://schemas.openxmlformats.org/officeDocument/2006/relationships/hyperlink"/><Relationship Id="rId10" Target="#'DS519Q01C'!A6" TargetMode="External" Type="http://schemas.openxmlformats.org/officeDocument/2006/relationships/hyperlink"/><Relationship Id="rId11" Target="#'CS519Q02S'!A6" TargetMode="External" Type="http://schemas.openxmlformats.org/officeDocument/2006/relationships/hyperlink"/><Relationship Id="rId12" Target="#'DS519Q03C'!A6" TargetMode="External" Type="http://schemas.openxmlformats.org/officeDocument/2006/relationships/hyperlink"/><Relationship Id="rId13" Target="#'CS527Q01S'!A6" TargetMode="External" Type="http://schemas.openxmlformats.org/officeDocument/2006/relationships/hyperlink"/><Relationship Id="rId14" Target="#'CS527Q03S'!A6" TargetMode="External" Type="http://schemas.openxmlformats.org/officeDocument/2006/relationships/hyperlink"/><Relationship Id="rId15" Target="#'CS527Q04S'!A6" TargetMode="External" Type="http://schemas.openxmlformats.org/officeDocument/2006/relationships/hyperlink"/><Relationship Id="rId16" Target="#'CS466Q01S'!A6" TargetMode="External" Type="http://schemas.openxmlformats.org/officeDocument/2006/relationships/hyperlink"/><Relationship Id="rId17" Target="#'CS466Q07S'!A6" TargetMode="External" Type="http://schemas.openxmlformats.org/officeDocument/2006/relationships/hyperlink"/><Relationship Id="rId18" Target="#'CS466Q05S'!A6" TargetMode="External" Type="http://schemas.openxmlformats.org/officeDocument/2006/relationships/hyperlink"/><Relationship Id="rId19" Target="#'DS326Q01C'!A6" TargetMode="External" Type="http://schemas.openxmlformats.org/officeDocument/2006/relationships/hyperlink"/><Relationship Id="rId20" Target="#'DS326Q02C'!A6" TargetMode="External" Type="http://schemas.openxmlformats.org/officeDocument/2006/relationships/hyperlink"/><Relationship Id="rId21" Target="#'CS326Q03S'!A6" TargetMode="External" Type="http://schemas.openxmlformats.org/officeDocument/2006/relationships/hyperlink"/><Relationship Id="rId22" Target="#'CS326Q04S'!A6" TargetMode="External" Type="http://schemas.openxmlformats.org/officeDocument/2006/relationships/hyperlink"/><Relationship Id="rId23" Target="#'CS256Q01S'!A6" TargetMode="External" Type="http://schemas.openxmlformats.org/officeDocument/2006/relationships/hyperlink"/><Relationship Id="rId24" Target="#'CS478Q01S'!A6" TargetMode="External" Type="http://schemas.openxmlformats.org/officeDocument/2006/relationships/hyperlink"/><Relationship Id="rId25" Target="#'CS478Q02S'!A6" TargetMode="External" Type="http://schemas.openxmlformats.org/officeDocument/2006/relationships/hyperlink"/><Relationship Id="rId26" Target="#'CS478Q03S'!A6" TargetMode="External" Type="http://schemas.openxmlformats.org/officeDocument/2006/relationships/hyperlink"/><Relationship Id="rId27" Target="#'CS413Q06S'!A6" TargetMode="External" Type="http://schemas.openxmlformats.org/officeDocument/2006/relationships/hyperlink"/><Relationship Id="rId28" Target="#'CS413Q04S'!A6" TargetMode="External" Type="http://schemas.openxmlformats.org/officeDocument/2006/relationships/hyperlink"/><Relationship Id="rId29" Target="#'CS413Q05S'!A6" TargetMode="External" Type="http://schemas.openxmlformats.org/officeDocument/2006/relationships/hyperlink"/><Relationship Id="rId30" Target="#'CS498Q02S'!A6" TargetMode="External" Type="http://schemas.openxmlformats.org/officeDocument/2006/relationships/hyperlink"/><Relationship Id="rId31" Target="#'CS498Q03S'!A6" TargetMode="External" Type="http://schemas.openxmlformats.org/officeDocument/2006/relationships/hyperlink"/><Relationship Id="rId32" Target="#'DS498Q04C'!A6" TargetMode="External" Type="http://schemas.openxmlformats.org/officeDocument/2006/relationships/hyperlink"/><Relationship Id="rId33" Target="#'DS425Q03C'!A6" TargetMode="External" Type="http://schemas.openxmlformats.org/officeDocument/2006/relationships/hyperlink"/><Relationship Id="rId34" Target="#'CS425Q05S'!A6" TargetMode="External" Type="http://schemas.openxmlformats.org/officeDocument/2006/relationships/hyperlink"/><Relationship Id="rId35" Target="#'CS425Q02S'!A6" TargetMode="External" Type="http://schemas.openxmlformats.org/officeDocument/2006/relationships/hyperlink"/><Relationship Id="rId36" Target="#'DS425Q04C'!A6" TargetMode="External" Type="http://schemas.openxmlformats.org/officeDocument/2006/relationships/hyperlink"/><Relationship Id="rId37" Target="#'DS465Q01C'!A6" TargetMode="External" Type="http://schemas.openxmlformats.org/officeDocument/2006/relationships/hyperlink"/><Relationship Id="rId38" Target="#'CS465Q02S'!A6" TargetMode="External" Type="http://schemas.openxmlformats.org/officeDocument/2006/relationships/hyperlink"/><Relationship Id="rId39" Target="#'CS465Q04S'!A6" TargetMode="External" Type="http://schemas.openxmlformats.org/officeDocument/2006/relationships/hyperlink"/><Relationship Id="rId40" Target="#'DS131Q02C'!A6" TargetMode="External" Type="http://schemas.openxmlformats.org/officeDocument/2006/relationships/hyperlink"/><Relationship Id="rId41" Target="#'DS131Q04C'!A6" TargetMode="External" Type="http://schemas.openxmlformats.org/officeDocument/2006/relationships/hyperlink"/><Relationship Id="rId42" Target="#'CS428Q01S'!A6" TargetMode="External" Type="http://schemas.openxmlformats.org/officeDocument/2006/relationships/hyperlink"/><Relationship Id="rId43" Target="#'CS428Q03S'!A6" TargetMode="External" Type="http://schemas.openxmlformats.org/officeDocument/2006/relationships/hyperlink"/><Relationship Id="rId44" Target="#'DS428Q05C'!A6" TargetMode="External" Type="http://schemas.openxmlformats.org/officeDocument/2006/relationships/hyperlink"/><Relationship Id="rId45" Target="#'DS514Q02C'!A6" TargetMode="External" Type="http://schemas.openxmlformats.org/officeDocument/2006/relationships/hyperlink"/><Relationship Id="rId46" Target="#'DS514Q03C'!A6" TargetMode="External" Type="http://schemas.openxmlformats.org/officeDocument/2006/relationships/hyperlink"/><Relationship Id="rId47" Target="#'DS514Q04C'!A6" TargetMode="External" Type="http://schemas.openxmlformats.org/officeDocument/2006/relationships/hyperlink"/><Relationship Id="rId48" Target="#'CS438Q01S'!A6" TargetMode="External" Type="http://schemas.openxmlformats.org/officeDocument/2006/relationships/hyperlink"/><Relationship Id="rId49" Target="#'CS438Q02S'!A6" TargetMode="External" Type="http://schemas.openxmlformats.org/officeDocument/2006/relationships/hyperlink"/><Relationship Id="rId50" Target="#'DS438Q03C'!A6" TargetMode="External" Type="http://schemas.openxmlformats.org/officeDocument/2006/relationships/hyperlink"/><Relationship Id="rId51" Target="#'CS415Q07S'!A6" TargetMode="External" Type="http://schemas.openxmlformats.org/officeDocument/2006/relationships/hyperlink"/><Relationship Id="rId52" Target="#'CS415Q02S'!A6" TargetMode="External" Type="http://schemas.openxmlformats.org/officeDocument/2006/relationships/hyperlink"/><Relationship Id="rId53" Target="#'CS415Q08S'!A6" TargetMode="External" Type="http://schemas.openxmlformats.org/officeDocument/2006/relationships/hyperlink"/><Relationship Id="rId54" Target="#'CS476Q01S'!A6" TargetMode="External" Type="http://schemas.openxmlformats.org/officeDocument/2006/relationships/hyperlink"/><Relationship Id="rId55" Target="#'CS476Q02S'!A6" TargetMode="External" Type="http://schemas.openxmlformats.org/officeDocument/2006/relationships/hyperlink"/><Relationship Id="rId56" Target="#'CS476Q03S'!A6" TargetMode="External" Type="http://schemas.openxmlformats.org/officeDocument/2006/relationships/hyperlink"/><Relationship Id="rId57" Target="#'CS495Q04S'!A6" TargetMode="External" Type="http://schemas.openxmlformats.org/officeDocument/2006/relationships/hyperlink"/><Relationship Id="rId58" Target="#'CS495Q01S'!A6" TargetMode="External" Type="http://schemas.openxmlformats.org/officeDocument/2006/relationships/hyperlink"/><Relationship Id="rId59" Target="#'CS495Q02S'!A6" TargetMode="External" Type="http://schemas.openxmlformats.org/officeDocument/2006/relationships/hyperlink"/><Relationship Id="rId60" Target="#'DS495Q03C'!A6" TargetMode="External" Type="http://schemas.openxmlformats.org/officeDocument/2006/relationships/hyperlink"/><Relationship Id="rId61" Target="#'CS268Q01S'!A6" TargetMode="External" Type="http://schemas.openxmlformats.org/officeDocument/2006/relationships/hyperlink"/><Relationship Id="rId62" Target="#'DS268Q02C'!A6" TargetMode="External" Type="http://schemas.openxmlformats.org/officeDocument/2006/relationships/hyperlink"/><Relationship Id="rId63" Target="#'CS268Q06S'!A6" TargetMode="External" Type="http://schemas.openxmlformats.org/officeDocument/2006/relationships/hyperlink"/><Relationship Id="rId64" Target="#'CS524Q06S'!A6" TargetMode="External" Type="http://schemas.openxmlformats.org/officeDocument/2006/relationships/hyperlink"/><Relationship Id="rId65" Target="#'DS524Q07C'!A6" TargetMode="External" Type="http://schemas.openxmlformats.org/officeDocument/2006/relationships/hyperlink"/><Relationship Id="rId66" Target="#'CS510Q01S'!A6" TargetMode="External" Type="http://schemas.openxmlformats.org/officeDocument/2006/relationships/hyperlink"/><Relationship Id="rId67" Target="#'DS510Q04C'!A6" TargetMode="External" Type="http://schemas.openxmlformats.org/officeDocument/2006/relationships/hyperlink"/><Relationship Id="rId68" Target="#'CS437Q01S'!A6" TargetMode="External" Type="http://schemas.openxmlformats.org/officeDocument/2006/relationships/hyperlink"/><Relationship Id="rId69" Target="#'CS437Q03S'!A6" TargetMode="External" Type="http://schemas.openxmlformats.org/officeDocument/2006/relationships/hyperlink"/><Relationship Id="rId70" Target="#'CS437Q04S'!A6" TargetMode="External" Type="http://schemas.openxmlformats.org/officeDocument/2006/relationships/hyperlink"/><Relationship Id="rId71" Target="#'DS437Q06C'!A6" TargetMode="External" Type="http://schemas.openxmlformats.org/officeDocument/2006/relationships/hyperlink"/><Relationship Id="rId72" Target="#'DS304Q01C'!A6" TargetMode="External" Type="http://schemas.openxmlformats.org/officeDocument/2006/relationships/hyperlink"/><Relationship Id="rId73" Target="#'CS304Q02S'!A6" TargetMode="External" Type="http://schemas.openxmlformats.org/officeDocument/2006/relationships/hyperlink"/><Relationship Id="rId74" Target="#'DS304Q03aC'!A6" TargetMode="External" Type="http://schemas.openxmlformats.org/officeDocument/2006/relationships/hyperlink"/><Relationship Id="rId75" Target="#'DS304Q03bC'!A6" TargetMode="External" Type="http://schemas.openxmlformats.org/officeDocument/2006/relationships/hyperlink"/><Relationship Id="rId76" Target="#'DS416Q01C'!A6" TargetMode="External" Type="http://schemas.openxmlformats.org/officeDocument/2006/relationships/hyperlink"/><Relationship Id="rId77" Target="#'DS458Q01C'!A6" TargetMode="External" Type="http://schemas.openxmlformats.org/officeDocument/2006/relationships/hyperlink"/><Relationship Id="rId78" Target="#'CS458Q02S'!A6" TargetMode="External" Type="http://schemas.openxmlformats.org/officeDocument/2006/relationships/hyperlink"/><Relationship Id="rId79" Target="#'CS421Q01S'!A6" TargetMode="External" Type="http://schemas.openxmlformats.org/officeDocument/2006/relationships/hyperlink"/><Relationship Id="rId80" Target="#'CS421Q02S'!A6" TargetMode="External" Type="http://schemas.openxmlformats.org/officeDocument/2006/relationships/hyperlink"/><Relationship Id="rId81" Target="#'CS421Q03S'!A6" TargetMode="External" Type="http://schemas.openxmlformats.org/officeDocument/2006/relationships/hyperlink"/><Relationship Id="rId82" Target="#'CS252Q01S'!A6" TargetMode="External" Type="http://schemas.openxmlformats.org/officeDocument/2006/relationships/hyperlink"/><Relationship Id="rId83" Target="#'CS252Q02S'!A6" TargetMode="External" Type="http://schemas.openxmlformats.org/officeDocument/2006/relationships/hyperlink"/><Relationship Id="rId84" Target="#'CS252Q03S'!A6" TargetMode="External" Type="http://schemas.openxmlformats.org/officeDocument/2006/relationships/hyperlink"/><Relationship Id="rId85" Target="#'CS327Q01S'!A6" TargetMode="External" Type="http://schemas.openxmlformats.org/officeDocument/2006/relationships/hyperlink"/><Relationship Id="rId86" Target="#'CS627Q01S'!A6" TargetMode="External" Type="http://schemas.openxmlformats.org/officeDocument/2006/relationships/hyperlink"/><Relationship Id="rId87" Target="#'CS627Q03S'!A6" TargetMode="External" Type="http://schemas.openxmlformats.org/officeDocument/2006/relationships/hyperlink"/><Relationship Id="rId88" Target="#'CS627Q04S'!A6" TargetMode="External" Type="http://schemas.openxmlformats.org/officeDocument/2006/relationships/hyperlink"/><Relationship Id="rId89" Target="#'CS635Q01S'!A6" TargetMode="External" Type="http://schemas.openxmlformats.org/officeDocument/2006/relationships/hyperlink"/><Relationship Id="rId90" Target="#'CS635Q02S'!A6" TargetMode="External" Type="http://schemas.openxmlformats.org/officeDocument/2006/relationships/hyperlink"/><Relationship Id="rId91" Target="#'DS635Q03C'!A6" TargetMode="External" Type="http://schemas.openxmlformats.org/officeDocument/2006/relationships/hyperlink"/><Relationship Id="rId92" Target="#'CS635Q04S'!A6" TargetMode="External" Type="http://schemas.openxmlformats.org/officeDocument/2006/relationships/hyperlink"/><Relationship Id="rId93" Target="#'DS635Q05C'!A6" TargetMode="External" Type="http://schemas.openxmlformats.org/officeDocument/2006/relationships/hyperlink"/><Relationship Id="rId94" Target="#'CS603Q01S'!A6" TargetMode="External" Type="http://schemas.openxmlformats.org/officeDocument/2006/relationships/hyperlink"/><Relationship Id="rId95" Target="#'DS603Q02C'!A6" TargetMode="External" Type="http://schemas.openxmlformats.org/officeDocument/2006/relationships/hyperlink"/><Relationship Id="rId96" Target="#'CS603Q03S'!A6" TargetMode="External" Type="http://schemas.openxmlformats.org/officeDocument/2006/relationships/hyperlink"/><Relationship Id="rId97" Target="#'CS603Q04S'!A6" TargetMode="External" Type="http://schemas.openxmlformats.org/officeDocument/2006/relationships/hyperlink"/><Relationship Id="rId98" Target="#'CS603Q05S'!A6" TargetMode="External" Type="http://schemas.openxmlformats.org/officeDocument/2006/relationships/hyperlink"/><Relationship Id="rId99" Target="#'CS602Q01S'!A6" TargetMode="External" Type="http://schemas.openxmlformats.org/officeDocument/2006/relationships/hyperlink"/><Relationship Id="rId100" Target="#'CS602Q02S'!A6" TargetMode="External" Type="http://schemas.openxmlformats.org/officeDocument/2006/relationships/hyperlink"/><Relationship Id="rId101" Target="#'DS602Q03C'!A6" TargetMode="External" Type="http://schemas.openxmlformats.org/officeDocument/2006/relationships/hyperlink"/><Relationship Id="rId102" Target="#'CS602Q04S'!A6" TargetMode="External" Type="http://schemas.openxmlformats.org/officeDocument/2006/relationships/hyperlink"/><Relationship Id="rId103" Target="#'CS607Q01S'!A6" TargetMode="External" Type="http://schemas.openxmlformats.org/officeDocument/2006/relationships/hyperlink"/><Relationship Id="rId104" Target="#'CS607Q02S'!A6" TargetMode="External" Type="http://schemas.openxmlformats.org/officeDocument/2006/relationships/hyperlink"/><Relationship Id="rId105" Target="#'DS607Q03C'!A6" TargetMode="External" Type="http://schemas.openxmlformats.org/officeDocument/2006/relationships/hyperlink"/><Relationship Id="rId106" Target="#'CS646Q01S'!A6" TargetMode="External" Type="http://schemas.openxmlformats.org/officeDocument/2006/relationships/hyperlink"/><Relationship Id="rId107" Target="#'CS646Q02S'!A6" TargetMode="External" Type="http://schemas.openxmlformats.org/officeDocument/2006/relationships/hyperlink"/><Relationship Id="rId108" Target="#'CS646Q03S'!A6" TargetMode="External" Type="http://schemas.openxmlformats.org/officeDocument/2006/relationships/hyperlink"/><Relationship Id="rId109" Target="#'DS646Q04C'!A6" TargetMode="External" Type="http://schemas.openxmlformats.org/officeDocument/2006/relationships/hyperlink"/><Relationship Id="rId110" Target="#'DS646Q05C'!A6" TargetMode="External" Type="http://schemas.openxmlformats.org/officeDocument/2006/relationships/hyperlink"/><Relationship Id="rId111" Target="#'CS608Q01S'!A6" TargetMode="External" Type="http://schemas.openxmlformats.org/officeDocument/2006/relationships/hyperlink"/><Relationship Id="rId112" Target="#'CS608Q02S'!A6" TargetMode="External" Type="http://schemas.openxmlformats.org/officeDocument/2006/relationships/hyperlink"/><Relationship Id="rId113" Target="#'CS608Q03S'!A6" TargetMode="External" Type="http://schemas.openxmlformats.org/officeDocument/2006/relationships/hyperlink"/><Relationship Id="rId114" Target="#'DS608Q04C'!A6" TargetMode="External" Type="http://schemas.openxmlformats.org/officeDocument/2006/relationships/hyperlink"/><Relationship Id="rId115" Target="#'CS605Q01S'!A6" TargetMode="External" Type="http://schemas.openxmlformats.org/officeDocument/2006/relationships/hyperlink"/><Relationship Id="rId116" Target="#'CS605Q02S'!A6" TargetMode="External" Type="http://schemas.openxmlformats.org/officeDocument/2006/relationships/hyperlink"/><Relationship Id="rId117" Target="#'CS605Q03S'!A6" TargetMode="External" Type="http://schemas.openxmlformats.org/officeDocument/2006/relationships/hyperlink"/><Relationship Id="rId118" Target="#'DS605Q04C'!A6" TargetMode="External" Type="http://schemas.openxmlformats.org/officeDocument/2006/relationships/hyperlink"/><Relationship Id="rId119" Target="#'CS649Q01S'!A6" TargetMode="External" Type="http://schemas.openxmlformats.org/officeDocument/2006/relationships/hyperlink"/><Relationship Id="rId120" Target="#'DS649Q02C'!A6" TargetMode="External" Type="http://schemas.openxmlformats.org/officeDocument/2006/relationships/hyperlink"/><Relationship Id="rId121" Target="#'CS649Q03S'!A6" TargetMode="External" Type="http://schemas.openxmlformats.org/officeDocument/2006/relationships/hyperlink"/><Relationship Id="rId122" Target="#'CS649Q04S'!A6" TargetMode="External" Type="http://schemas.openxmlformats.org/officeDocument/2006/relationships/hyperlink"/><Relationship Id="rId123" Target="#'CS634Q01S'!A6" TargetMode="External" Type="http://schemas.openxmlformats.org/officeDocument/2006/relationships/hyperlink"/><Relationship Id="rId124" Target="#'CS634Q02S'!A6" TargetMode="External" Type="http://schemas.openxmlformats.org/officeDocument/2006/relationships/hyperlink"/><Relationship Id="rId125" Target="#'DS634Q03C'!A6" TargetMode="External" Type="http://schemas.openxmlformats.org/officeDocument/2006/relationships/hyperlink"/><Relationship Id="rId126" Target="#'DS634Q05C'!A6" TargetMode="External" Type="http://schemas.openxmlformats.org/officeDocument/2006/relationships/hyperlink"/><Relationship Id="rId127" Target="#'CS634Q04S'!A6" TargetMode="External" Type="http://schemas.openxmlformats.org/officeDocument/2006/relationships/hyperlink"/><Relationship Id="rId128" Target="#'CS620Q01S'!A6" TargetMode="External" Type="http://schemas.openxmlformats.org/officeDocument/2006/relationships/hyperlink"/><Relationship Id="rId129" Target="#'CS620Q02S'!A6" TargetMode="External" Type="http://schemas.openxmlformats.org/officeDocument/2006/relationships/hyperlink"/><Relationship Id="rId130" Target="#'DS620Q04C'!A6" TargetMode="External" Type="http://schemas.openxmlformats.org/officeDocument/2006/relationships/hyperlink"/><Relationship Id="rId131" Target="#'CS638Q01S'!A6" TargetMode="External" Type="http://schemas.openxmlformats.org/officeDocument/2006/relationships/hyperlink"/><Relationship Id="rId132" Target="#'CS638Q02S'!A6" TargetMode="External" Type="http://schemas.openxmlformats.org/officeDocument/2006/relationships/hyperlink"/><Relationship Id="rId133" Target="#'CS638Q04S'!A6" TargetMode="External" Type="http://schemas.openxmlformats.org/officeDocument/2006/relationships/hyperlink"/><Relationship Id="rId134" Target="#'DS638Q05C'!A6" TargetMode="External" Type="http://schemas.openxmlformats.org/officeDocument/2006/relationships/hyperlink"/><Relationship Id="rId135" Target="#'DS625Q01C'!A6" TargetMode="External" Type="http://schemas.openxmlformats.org/officeDocument/2006/relationships/hyperlink"/><Relationship Id="rId136" Target="#'CS625Q02S'!A6" TargetMode="External" Type="http://schemas.openxmlformats.org/officeDocument/2006/relationships/hyperlink"/><Relationship Id="rId137" Target="#'CS625Q03S'!A6" TargetMode="External" Type="http://schemas.openxmlformats.org/officeDocument/2006/relationships/hyperlink"/><Relationship Id="rId138" Target="#'CS615Q07S'!A6" TargetMode="External" Type="http://schemas.openxmlformats.org/officeDocument/2006/relationships/hyperlink"/><Relationship Id="rId139" Target="#'CS615Q01S'!A6" TargetMode="External" Type="http://schemas.openxmlformats.org/officeDocument/2006/relationships/hyperlink"/><Relationship Id="rId140" Target="#'CS615Q02S'!A6" TargetMode="External" Type="http://schemas.openxmlformats.org/officeDocument/2006/relationships/hyperlink"/><Relationship Id="rId141" Target="#'CS615Q05S'!A6" TargetMode="External" Type="http://schemas.openxmlformats.org/officeDocument/2006/relationships/hyperlink"/><Relationship Id="rId142" Target="#'CS604Q02S'!A6" TargetMode="External" Type="http://schemas.openxmlformats.org/officeDocument/2006/relationships/hyperlink"/><Relationship Id="rId143" Target="#'DS604Q04C'!A6" TargetMode="External" Type="http://schemas.openxmlformats.org/officeDocument/2006/relationships/hyperlink"/><Relationship Id="rId144" Target="#'CS645Q01S'!A6" TargetMode="External" Type="http://schemas.openxmlformats.org/officeDocument/2006/relationships/hyperlink"/><Relationship Id="rId145" Target="#'CS645Q03S'!A6" TargetMode="External" Type="http://schemas.openxmlformats.org/officeDocument/2006/relationships/hyperlink"/><Relationship Id="rId146" Target="#'DS645Q04C'!A6" TargetMode="External" Type="http://schemas.openxmlformats.org/officeDocument/2006/relationships/hyperlink"/><Relationship Id="rId147" Target="#'DS645Q05C'!A6" TargetMode="External" Type="http://schemas.openxmlformats.org/officeDocument/2006/relationships/hyperlink"/><Relationship Id="rId148" Target="#'CS657Q01S'!A6" TargetMode="External" Type="http://schemas.openxmlformats.org/officeDocument/2006/relationships/hyperlink"/><Relationship Id="rId149" Target="#'CS657Q02S'!A6" TargetMode="External" Type="http://schemas.openxmlformats.org/officeDocument/2006/relationships/hyperlink"/><Relationship Id="rId150" Target="#'CS657Q03S'!A6" TargetMode="External" Type="http://schemas.openxmlformats.org/officeDocument/2006/relationships/hyperlink"/><Relationship Id="rId151" Target="#'DS657Q04C'!A6" TargetMode="External" Type="http://schemas.openxmlformats.org/officeDocument/2006/relationships/hyperlink"/><Relationship Id="rId152" Target="#'CS656Q01S'!A6" TargetMode="External" Type="http://schemas.openxmlformats.org/officeDocument/2006/relationships/hyperlink"/><Relationship Id="rId153" Target="#'DS656Q02C'!A6" TargetMode="External" Type="http://schemas.openxmlformats.org/officeDocument/2006/relationships/hyperlink"/><Relationship Id="rId154" Target="#'CS656Q04S'!A6" TargetMode="External" Type="http://schemas.openxmlformats.org/officeDocument/2006/relationships/hyperlink"/><Relationship Id="rId155" Target="#'DS643Q03C'!A6" TargetMode="External" Type="http://schemas.openxmlformats.org/officeDocument/2006/relationships/hyperlink"/><Relationship Id="rId156" Target="#'CS643Q01S'!A6" TargetMode="External" Type="http://schemas.openxmlformats.org/officeDocument/2006/relationships/hyperlink"/><Relationship Id="rId157" Target="#'CS643Q02S'!A6" TargetMode="External" Type="http://schemas.openxmlformats.org/officeDocument/2006/relationships/hyperlink"/><Relationship Id="rId158" Target="#'CS643Q04S'!A6" TargetMode="External" Type="http://schemas.openxmlformats.org/officeDocument/2006/relationships/hyperlink"/><Relationship Id="rId159" Target="#'DS643Q05C'!A6" TargetMode="External" Type="http://schemas.openxmlformats.org/officeDocument/2006/relationships/hyperlink"/><Relationship Id="rId160" Target="#'DS629Q01C'!A6" TargetMode="External" Type="http://schemas.openxmlformats.org/officeDocument/2006/relationships/hyperlink"/><Relationship Id="rId161" Target="#'CS629Q02S'!A6" TargetMode="External" Type="http://schemas.openxmlformats.org/officeDocument/2006/relationships/hyperlink"/><Relationship Id="rId162" Target="#'DS629Q03C'!A6" TargetMode="External" Type="http://schemas.openxmlformats.org/officeDocument/2006/relationships/hyperlink"/><Relationship Id="rId163" Target="#'CS629Q04S'!A6" TargetMode="External" Type="http://schemas.openxmlformats.org/officeDocument/2006/relationships/hyperlink"/><Relationship Id="rId164" Target="#'DS648Q01C'!A6" TargetMode="External" Type="http://schemas.openxmlformats.org/officeDocument/2006/relationships/hyperlink"/><Relationship Id="rId165" Target="#'CS648Q02S'!A6" TargetMode="External" Type="http://schemas.openxmlformats.org/officeDocument/2006/relationships/hyperlink"/><Relationship Id="rId166" Target="#'CS648Q03S'!A6" TargetMode="External" Type="http://schemas.openxmlformats.org/officeDocument/2006/relationships/hyperlink"/><Relationship Id="rId167" Target="#'DS648Q05C'!A6" TargetMode="External" Type="http://schemas.openxmlformats.org/officeDocument/2006/relationships/hyperlink"/><Relationship Id="rId168" Target="#'CS641Q01S'!A6" TargetMode="External" Type="http://schemas.openxmlformats.org/officeDocument/2006/relationships/hyperlink"/><Relationship Id="rId169" Target="#'CS641Q02S'!A6" TargetMode="External" Type="http://schemas.openxmlformats.org/officeDocument/2006/relationships/hyperlink"/><Relationship Id="rId170" Target="#'CS641Q03S'!A6" TargetMode="External" Type="http://schemas.openxmlformats.org/officeDocument/2006/relationships/hyperlink"/><Relationship Id="rId171" Target="#'CS641Q04S'!A6" TargetMode="External" Type="http://schemas.openxmlformats.org/officeDocument/2006/relationships/hyperlink"/><Relationship Id="rId172" Target="#'DS637Q01C'!A6" TargetMode="External" Type="http://schemas.openxmlformats.org/officeDocument/2006/relationships/hyperlink"/><Relationship Id="rId173" Target="#'CS637Q02S'!A6" TargetMode="External" Type="http://schemas.openxmlformats.org/officeDocument/2006/relationships/hyperlink"/><Relationship Id="rId174" Target="#'DS637Q05C'!A6" TargetMode="External" Type="http://schemas.openxmlformats.org/officeDocument/2006/relationships/hyperlink"/><Relationship Id="rId175" Target="#'CS601Q01S'!A6" TargetMode="External" Type="http://schemas.openxmlformats.org/officeDocument/2006/relationships/hyperlink"/><Relationship Id="rId176" Target="#'CS601Q02S'!A6" TargetMode="External" Type="http://schemas.openxmlformats.org/officeDocument/2006/relationships/hyperlink"/><Relationship Id="rId177" Target="#'CS601Q04S'!A6" TargetMode="External" Type="http://schemas.openxmlformats.org/officeDocument/2006/relationships/hyperlink"/><Relationship Id="rId178" Target="#'DS610Q01C'!A6" TargetMode="External" Type="http://schemas.openxmlformats.org/officeDocument/2006/relationships/hyperlink"/><Relationship Id="rId179" Target="#'CS610Q02S'!A6" TargetMode="External" Type="http://schemas.openxmlformats.org/officeDocument/2006/relationships/hyperlink"/><Relationship Id="rId180" Target="#'CS610Q04S'!A6" TargetMode="External" Type="http://schemas.openxmlformats.org/officeDocument/2006/relationships/hyperlink"/><Relationship Id="rId181" Target="#'CS626Q01S'!A6" TargetMode="External" Type="http://schemas.openxmlformats.org/officeDocument/2006/relationships/hyperlink"/><Relationship Id="rId182" Target="#'CS626Q02S'!A6" TargetMode="External" Type="http://schemas.openxmlformats.org/officeDocument/2006/relationships/hyperlink"/><Relationship Id="rId183" Target="#'CS626Q03S'!A6" TargetMode="External" Type="http://schemas.openxmlformats.org/officeDocument/2006/relationships/hyperlink"/><Relationship Id="rId184" Target="#'DS626Q04C'!A6" TargetMode="External" Type="http://schemas.openxmlformats.org/officeDocument/2006/relationships/hyperlink"/><Relationship Id="rId185" Target="#'PS269Q01'!A6" TargetMode="External" Type="http://schemas.openxmlformats.org/officeDocument/2006/relationships/hyperlink"/><Relationship Id="rId186" Target="#'PS269Q03'!A6" TargetMode="External" Type="http://schemas.openxmlformats.org/officeDocument/2006/relationships/hyperlink"/><Relationship Id="rId187" Target="#'PS269Q04S'!A6" TargetMode="External" Type="http://schemas.openxmlformats.org/officeDocument/2006/relationships/hyperlink"/><Relationship Id="rId188" Target="#'PS408Q01S'!A6" TargetMode="External" Type="http://schemas.openxmlformats.org/officeDocument/2006/relationships/hyperlink"/><Relationship Id="rId189" Target="#'PS408Q03'!A6" TargetMode="External" Type="http://schemas.openxmlformats.org/officeDocument/2006/relationships/hyperlink"/><Relationship Id="rId190" Target="#'PS408Q04S'!A6" TargetMode="External" Type="http://schemas.openxmlformats.org/officeDocument/2006/relationships/hyperlink"/><Relationship Id="rId191" Target="#'PS408Q05S'!A6" TargetMode="External" Type="http://schemas.openxmlformats.org/officeDocument/2006/relationships/hyperlink"/><Relationship Id="rId192" Target="#'PS521Q02S'!A6" TargetMode="External" Type="http://schemas.openxmlformats.org/officeDocument/2006/relationships/hyperlink"/><Relationship Id="rId193" Target="#'PS521Q06S'!A6" TargetMode="External" Type="http://schemas.openxmlformats.org/officeDocument/2006/relationships/hyperlink"/><Relationship Id="rId194" Target="#'PS519Q01'!A6" TargetMode="External" Type="http://schemas.openxmlformats.org/officeDocument/2006/relationships/hyperlink"/><Relationship Id="rId195" Target="#'PS519Q02S'!A6" TargetMode="External" Type="http://schemas.openxmlformats.org/officeDocument/2006/relationships/hyperlink"/><Relationship Id="rId196" Target="#'PS519Q03'!A6" TargetMode="External" Type="http://schemas.openxmlformats.org/officeDocument/2006/relationships/hyperlink"/><Relationship Id="rId197" Target="#'PS527Q01S'!A6" TargetMode="External" Type="http://schemas.openxmlformats.org/officeDocument/2006/relationships/hyperlink"/><Relationship Id="rId198" Target="#'PS527Q03S'!A6" TargetMode="External" Type="http://schemas.openxmlformats.org/officeDocument/2006/relationships/hyperlink"/><Relationship Id="rId199" Target="#'PS527Q04S'!A6" TargetMode="External" Type="http://schemas.openxmlformats.org/officeDocument/2006/relationships/hyperlink"/><Relationship Id="rId200" Target="#'PS466Q01S'!A6" TargetMode="External" Type="http://schemas.openxmlformats.org/officeDocument/2006/relationships/hyperlink"/><Relationship Id="rId201" Target="#'PS466Q07S'!A6" TargetMode="External" Type="http://schemas.openxmlformats.org/officeDocument/2006/relationships/hyperlink"/><Relationship Id="rId202" Target="#'PS466Q05S'!A6" TargetMode="External" Type="http://schemas.openxmlformats.org/officeDocument/2006/relationships/hyperlink"/><Relationship Id="rId203" Target="#'PS326Q01'!A6" TargetMode="External" Type="http://schemas.openxmlformats.org/officeDocument/2006/relationships/hyperlink"/><Relationship Id="rId204" Target="#'PS326Q02'!A6" TargetMode="External" Type="http://schemas.openxmlformats.org/officeDocument/2006/relationships/hyperlink"/><Relationship Id="rId205" Target="#'PS326Q03S'!A6" TargetMode="External" Type="http://schemas.openxmlformats.org/officeDocument/2006/relationships/hyperlink"/><Relationship Id="rId206" Target="#'PS326Q04S'!A6" TargetMode="External" Type="http://schemas.openxmlformats.org/officeDocument/2006/relationships/hyperlink"/><Relationship Id="rId207" Target="#'PS256Q01S'!A6" TargetMode="External" Type="http://schemas.openxmlformats.org/officeDocument/2006/relationships/hyperlink"/><Relationship Id="rId208" Target="#'PS478Q01S'!A6" TargetMode="External" Type="http://schemas.openxmlformats.org/officeDocument/2006/relationships/hyperlink"/><Relationship Id="rId209" Target="#'PS478Q02S'!A6" TargetMode="External" Type="http://schemas.openxmlformats.org/officeDocument/2006/relationships/hyperlink"/><Relationship Id="rId210" Target="#'PS478Q03S'!A6" TargetMode="External" Type="http://schemas.openxmlformats.org/officeDocument/2006/relationships/hyperlink"/><Relationship Id="rId211" Target="#'PS413Q06'!A6" TargetMode="External" Type="http://schemas.openxmlformats.org/officeDocument/2006/relationships/hyperlink"/><Relationship Id="rId212" Target="#'PS413Q04S'!A6" TargetMode="External" Type="http://schemas.openxmlformats.org/officeDocument/2006/relationships/hyperlink"/><Relationship Id="rId213" Target="#'PS413Q05S'!A6" TargetMode="External" Type="http://schemas.openxmlformats.org/officeDocument/2006/relationships/hyperlink"/><Relationship Id="rId214" Target="#'PS498Q02S'!A6" TargetMode="External" Type="http://schemas.openxmlformats.org/officeDocument/2006/relationships/hyperlink"/><Relationship Id="rId215" Target="#'PS498Q03S'!A6" TargetMode="External" Type="http://schemas.openxmlformats.org/officeDocument/2006/relationships/hyperlink"/><Relationship Id="rId216" Target="#'PS498Q04'!A6" TargetMode="External" Type="http://schemas.openxmlformats.org/officeDocument/2006/relationships/hyperlink"/><Relationship Id="rId217" Target="#'PS425Q03'!A6" TargetMode="External" Type="http://schemas.openxmlformats.org/officeDocument/2006/relationships/hyperlink"/><Relationship Id="rId218" Target="#'PS425Q05S'!A6" TargetMode="External" Type="http://schemas.openxmlformats.org/officeDocument/2006/relationships/hyperlink"/><Relationship Id="rId219" Target="#'PS425Q02S'!A6" TargetMode="External" Type="http://schemas.openxmlformats.org/officeDocument/2006/relationships/hyperlink"/><Relationship Id="rId220" Target="#'PS425Q04'!A6" TargetMode="External" Type="http://schemas.openxmlformats.org/officeDocument/2006/relationships/hyperlink"/><Relationship Id="rId221" Target="#'PS465Q01'!A6" TargetMode="External" Type="http://schemas.openxmlformats.org/officeDocument/2006/relationships/hyperlink"/><Relationship Id="rId222" Target="#'PS465Q02S'!A6" TargetMode="External" Type="http://schemas.openxmlformats.org/officeDocument/2006/relationships/hyperlink"/><Relationship Id="rId223" Target="#'PS465Q04S'!A6" TargetMode="External" Type="http://schemas.openxmlformats.org/officeDocument/2006/relationships/hyperlink"/><Relationship Id="rId224" Target="#'PS131Q02'!A6" TargetMode="External" Type="http://schemas.openxmlformats.org/officeDocument/2006/relationships/hyperlink"/><Relationship Id="rId225" Target="#'PS131Q04'!A6" TargetMode="External" Type="http://schemas.openxmlformats.org/officeDocument/2006/relationships/hyperlink"/><Relationship Id="rId226" Target="#'PS428Q01S'!A6" TargetMode="External" Type="http://schemas.openxmlformats.org/officeDocument/2006/relationships/hyperlink"/><Relationship Id="rId227" Target="#'PS428Q03S'!A6" TargetMode="External" Type="http://schemas.openxmlformats.org/officeDocument/2006/relationships/hyperlink"/><Relationship Id="rId228" Target="#'PS428Q05'!A6" TargetMode="External" Type="http://schemas.openxmlformats.org/officeDocument/2006/relationships/hyperlink"/><Relationship Id="rId229" Target="#'PS514Q02'!A6" TargetMode="External" Type="http://schemas.openxmlformats.org/officeDocument/2006/relationships/hyperlink"/><Relationship Id="rId230" Target="#'PS514Q03'!A6" TargetMode="External" Type="http://schemas.openxmlformats.org/officeDocument/2006/relationships/hyperlink"/><Relationship Id="rId231" Target="#'PS514Q04'!A6" TargetMode="External" Type="http://schemas.openxmlformats.org/officeDocument/2006/relationships/hyperlink"/><Relationship Id="rId232" Target="#'PS438Q01S'!A6" TargetMode="External" Type="http://schemas.openxmlformats.org/officeDocument/2006/relationships/hyperlink"/><Relationship Id="rId233" Target="#'PS438Q02S'!A6" TargetMode="External" Type="http://schemas.openxmlformats.org/officeDocument/2006/relationships/hyperlink"/><Relationship Id="rId234" Target="#'PS438Q03'!A6" TargetMode="External" Type="http://schemas.openxmlformats.org/officeDocument/2006/relationships/hyperlink"/><Relationship Id="rId235" Target="#'PS415Q07S'!A6" TargetMode="External" Type="http://schemas.openxmlformats.org/officeDocument/2006/relationships/hyperlink"/><Relationship Id="rId236" Target="#'PS415Q02S'!A6" TargetMode="External" Type="http://schemas.openxmlformats.org/officeDocument/2006/relationships/hyperlink"/><Relationship Id="rId237" Target="#'PS415Q08S'!A6" TargetMode="External" Type="http://schemas.openxmlformats.org/officeDocument/2006/relationships/hyperlink"/><Relationship Id="rId238" Target="#'PS476Q01S'!A6" TargetMode="External" Type="http://schemas.openxmlformats.org/officeDocument/2006/relationships/hyperlink"/><Relationship Id="rId239" Target="#'PS476Q02S'!A6" TargetMode="External" Type="http://schemas.openxmlformats.org/officeDocument/2006/relationships/hyperlink"/><Relationship Id="rId240" Target="#'PS476Q03S'!A6" TargetMode="External" Type="http://schemas.openxmlformats.org/officeDocument/2006/relationships/hyperlink"/><Relationship Id="rId241" Target="#'PS495Q04S'!A6" TargetMode="External" Type="http://schemas.openxmlformats.org/officeDocument/2006/relationships/hyperlink"/><Relationship Id="rId242" Target="#'PS495Q01S'!A6" TargetMode="External" Type="http://schemas.openxmlformats.org/officeDocument/2006/relationships/hyperlink"/><Relationship Id="rId243" Target="#'PS495Q02S'!A6" TargetMode="External" Type="http://schemas.openxmlformats.org/officeDocument/2006/relationships/hyperlink"/><Relationship Id="rId244" Target="#'S495Q03'!A6" TargetMode="External" Type="http://schemas.openxmlformats.org/officeDocument/2006/relationships/hyperlink"/><Relationship Id="rId245" Target="#'PS456Q01S'!A6" TargetMode="External" Type="http://schemas.openxmlformats.org/officeDocument/2006/relationships/hyperlink"/><Relationship Id="rId246" Target="#'PS456Q02S'!A6" TargetMode="External" Type="http://schemas.openxmlformats.org/officeDocument/2006/relationships/hyperlink"/><Relationship Id="rId247" Target="#'PS268Q01S'!A6" TargetMode="External" Type="http://schemas.openxmlformats.org/officeDocument/2006/relationships/hyperlink"/><Relationship Id="rId248" Target="#'S268Q02'!A6" TargetMode="External" Type="http://schemas.openxmlformats.org/officeDocument/2006/relationships/hyperlink"/><Relationship Id="rId249" Target="#'PS268Q06S'!A6" TargetMode="External" Type="http://schemas.openxmlformats.org/officeDocument/2006/relationships/hyperlink"/><Relationship Id="rId250" Target="#'PS524Q06S'!A6" TargetMode="External" Type="http://schemas.openxmlformats.org/officeDocument/2006/relationships/hyperlink"/><Relationship Id="rId251" Target="#'S524Q07'!A6" TargetMode="External" Type="http://schemas.openxmlformats.org/officeDocument/2006/relationships/hyperlink"/><Relationship Id="rId252" Target="#'PS510Q01S'!A6" TargetMode="External" Type="http://schemas.openxmlformats.org/officeDocument/2006/relationships/hyperlink"/><Relationship Id="rId253" Target="#'S510Q04'!A6" TargetMode="External" Type="http://schemas.openxmlformats.org/officeDocument/2006/relationships/hyperlink"/><Relationship Id="rId254" Target="#'PS437Q01S'!A6" TargetMode="External" Type="http://schemas.openxmlformats.org/officeDocument/2006/relationships/hyperlink"/><Relationship Id="rId255" Target="#'PS437Q03S'!A6" TargetMode="External" Type="http://schemas.openxmlformats.org/officeDocument/2006/relationships/hyperlink"/><Relationship Id="rId256" Target="#'PS437Q04S'!A6" TargetMode="External" Type="http://schemas.openxmlformats.org/officeDocument/2006/relationships/hyperlink"/><Relationship Id="rId257" Target="#'S437Q06'!A6" TargetMode="External" Type="http://schemas.openxmlformats.org/officeDocument/2006/relationships/hyperlink"/><Relationship Id="rId258" Target="#'S304Q01'!A6" TargetMode="External" Type="http://schemas.openxmlformats.org/officeDocument/2006/relationships/hyperlink"/><Relationship Id="rId259" Target="#'PS304Q02S'!A6" TargetMode="External" Type="http://schemas.openxmlformats.org/officeDocument/2006/relationships/hyperlink"/><Relationship Id="rId260" Target="#'S304Q03a'!A6" TargetMode="External" Type="http://schemas.openxmlformats.org/officeDocument/2006/relationships/hyperlink"/><Relationship Id="rId261" Target="#'S304Q03b'!A6" TargetMode="External" Type="http://schemas.openxmlformats.org/officeDocument/2006/relationships/hyperlink"/><Relationship Id="rId262" Target="#'S416Q01'!A6" TargetMode="External" Type="http://schemas.openxmlformats.org/officeDocument/2006/relationships/hyperlink"/><Relationship Id="rId263" Target="#'S458Q01'!A6" TargetMode="External" Type="http://schemas.openxmlformats.org/officeDocument/2006/relationships/hyperlink"/><Relationship Id="rId264" Target="#'PS458Q02S'!A6" TargetMode="External" Type="http://schemas.openxmlformats.org/officeDocument/2006/relationships/hyperlink"/><Relationship Id="rId265" Target="#'S421Q01'!A6" TargetMode="External" Type="http://schemas.openxmlformats.org/officeDocument/2006/relationships/hyperlink"/><Relationship Id="rId266" Target="#'S421Q02'!A6" TargetMode="External" Type="http://schemas.openxmlformats.org/officeDocument/2006/relationships/hyperlink"/><Relationship Id="rId267" Target="#'S421Q03'!A6" TargetMode="External" Type="http://schemas.openxmlformats.org/officeDocument/2006/relationships/hyperlink"/><Relationship Id="rId268" Target="#'PS252Q01S'!A6" TargetMode="External" Type="http://schemas.openxmlformats.org/officeDocument/2006/relationships/hyperlink"/><Relationship Id="rId269" Target="#'PS252Q02S'!A6" TargetMode="External" Type="http://schemas.openxmlformats.org/officeDocument/2006/relationships/hyperlink"/><Relationship Id="rId270" Target="#'PS252Q03S'!A6" TargetMode="External" Type="http://schemas.openxmlformats.org/officeDocument/2006/relationships/hyperlink"/><Relationship Id="rId271" Target="#'PS327Q01S'!A6" TargetMode="External" Type="http://schemas.openxmlformats.org/officeDocument/2006/relationships/hyperlink"/><Relationship Id="rId272" Target="#'PS133Q01S'!A6" TargetMode="External" Type="http://schemas.openxmlformats.org/officeDocument/2006/relationships/hyperlink"/><Relationship Id="rId273" Target="#'PS133Q03S'!A6" TargetMode="External" Type="http://schemas.openxmlformats.org/officeDocument/2006/relationships/hyperlink"/><Relationship Id="rId274" Target="#'PS133Q04S'!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75"/>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row r="208" spans="1:2">
      <c r="A208" s="2" t="s">
        <v>413</v>
      </c>
      <c r="B208" s="3" t="s">
        <v>414</v>
      </c>
    </row>
    <row r="209" spans="1:2">
      <c r="A209" s="2" t="s">
        <v>415</v>
      </c>
      <c r="B209" s="3" t="s">
        <v>416</v>
      </c>
    </row>
    <row r="210" spans="1:2">
      <c r="A210" s="2" t="s">
        <v>417</v>
      </c>
      <c r="B210" s="3" t="s">
        <v>418</v>
      </c>
    </row>
    <row r="211" spans="1:2">
      <c r="A211" s="2" t="s">
        <v>419</v>
      </c>
      <c r="B211" s="3" t="s">
        <v>420</v>
      </c>
    </row>
    <row r="212" spans="1:2">
      <c r="A212" s="2" t="s">
        <v>421</v>
      </c>
      <c r="B212" s="3" t="s">
        <v>422</v>
      </c>
    </row>
    <row r="213" spans="1:2">
      <c r="A213" s="2" t="s">
        <v>423</v>
      </c>
      <c r="B213" s="3" t="s">
        <v>424</v>
      </c>
    </row>
    <row r="214" spans="1:2">
      <c r="A214" s="2" t="s">
        <v>425</v>
      </c>
      <c r="B214" s="3" t="s">
        <v>426</v>
      </c>
    </row>
    <row r="215" spans="1:2">
      <c r="A215" s="2" t="s">
        <v>427</v>
      </c>
      <c r="B215" s="3" t="s">
        <v>428</v>
      </c>
    </row>
    <row r="216" spans="1:2">
      <c r="A216" s="2" t="s">
        <v>429</v>
      </c>
      <c r="B216" s="3" t="s">
        <v>430</v>
      </c>
    </row>
    <row r="217" spans="1:2">
      <c r="A217" s="2" t="s">
        <v>431</v>
      </c>
      <c r="B217" s="3" t="s">
        <v>432</v>
      </c>
    </row>
    <row r="218" spans="1:2">
      <c r="A218" s="2" t="s">
        <v>433</v>
      </c>
      <c r="B218" s="3" t="s">
        <v>434</v>
      </c>
    </row>
    <row r="219" spans="1:2">
      <c r="A219" s="2" t="s">
        <v>435</v>
      </c>
      <c r="B219" s="3" t="s">
        <v>436</v>
      </c>
    </row>
    <row r="220" spans="1:2">
      <c r="A220" s="2" t="s">
        <v>437</v>
      </c>
      <c r="B220" s="3" t="s">
        <v>438</v>
      </c>
    </row>
    <row r="221" spans="1:2">
      <c r="A221" s="2" t="s">
        <v>439</v>
      </c>
      <c r="B221" s="3" t="s">
        <v>440</v>
      </c>
    </row>
    <row r="222" spans="1:2">
      <c r="A222" s="2" t="s">
        <v>441</v>
      </c>
      <c r="B222" s="3" t="s">
        <v>442</v>
      </c>
    </row>
    <row r="223" spans="1:2">
      <c r="A223" s="2" t="s">
        <v>443</v>
      </c>
      <c r="B223" s="3" t="s">
        <v>444</v>
      </c>
    </row>
    <row r="224" spans="1:2">
      <c r="A224" s="2" t="s">
        <v>445</v>
      </c>
      <c r="B224" s="3" t="s">
        <v>446</v>
      </c>
    </row>
    <row r="225" spans="1:2">
      <c r="A225" s="2" t="s">
        <v>447</v>
      </c>
      <c r="B225" s="3" t="s">
        <v>448</v>
      </c>
    </row>
    <row r="226" spans="1:2">
      <c r="A226" s="2" t="s">
        <v>449</v>
      </c>
      <c r="B226" s="3" t="s">
        <v>450</v>
      </c>
    </row>
    <row r="227" spans="1:2">
      <c r="A227" s="2" t="s">
        <v>451</v>
      </c>
      <c r="B227" s="3" t="s">
        <v>452</v>
      </c>
    </row>
    <row r="228" spans="1:2">
      <c r="A228" s="2" t="s">
        <v>453</v>
      </c>
      <c r="B228" s="3" t="s">
        <v>454</v>
      </c>
    </row>
    <row r="229" spans="1:2">
      <c r="A229" s="2" t="s">
        <v>455</v>
      </c>
      <c r="B229" s="3" t="s">
        <v>456</v>
      </c>
    </row>
    <row r="230" spans="1:2">
      <c r="A230" s="2" t="s">
        <v>457</v>
      </c>
      <c r="B230" s="3" t="s">
        <v>458</v>
      </c>
    </row>
    <row r="231" spans="1:2">
      <c r="A231" s="2" t="s">
        <v>459</v>
      </c>
      <c r="B231" s="3" t="s">
        <v>460</v>
      </c>
    </row>
    <row r="232" spans="1:2">
      <c r="A232" s="2" t="s">
        <v>461</v>
      </c>
      <c r="B232" s="3" t="s">
        <v>462</v>
      </c>
    </row>
    <row r="233" spans="1:2">
      <c r="A233" s="2" t="s">
        <v>463</v>
      </c>
      <c r="B233" s="3" t="s">
        <v>464</v>
      </c>
    </row>
    <row r="234" spans="1:2">
      <c r="A234" s="2" t="s">
        <v>465</v>
      </c>
      <c r="B234" s="3" t="s">
        <v>466</v>
      </c>
    </row>
    <row r="235" spans="1:2">
      <c r="A235" s="2" t="s">
        <v>467</v>
      </c>
      <c r="B235" s="3" t="s">
        <v>468</v>
      </c>
    </row>
    <row r="236" spans="1:2">
      <c r="A236" s="2" t="s">
        <v>469</v>
      </c>
      <c r="B236" s="3" t="s">
        <v>470</v>
      </c>
    </row>
    <row r="237" spans="1:2">
      <c r="A237" s="2" t="s">
        <v>471</v>
      </c>
      <c r="B237" s="3" t="s">
        <v>472</v>
      </c>
    </row>
    <row r="238" spans="1:2">
      <c r="A238" s="2" t="s">
        <v>473</v>
      </c>
      <c r="B238" s="3" t="s">
        <v>474</v>
      </c>
    </row>
    <row r="239" spans="1:2">
      <c r="A239" s="2" t="s">
        <v>475</v>
      </c>
      <c r="B239" s="3" t="s">
        <v>476</v>
      </c>
    </row>
    <row r="240" spans="1:2">
      <c r="A240" s="2" t="s">
        <v>477</v>
      </c>
      <c r="B240" s="3" t="s">
        <v>478</v>
      </c>
    </row>
    <row r="241" spans="1:2">
      <c r="A241" s="2" t="s">
        <v>479</v>
      </c>
      <c r="B241" s="3" t="s">
        <v>480</v>
      </c>
    </row>
    <row r="242" spans="1:2">
      <c r="A242" s="2" t="s">
        <v>481</v>
      </c>
      <c r="B242" s="3" t="s">
        <v>482</v>
      </c>
    </row>
    <row r="243" spans="1:2">
      <c r="A243" s="2" t="s">
        <v>483</v>
      </c>
      <c r="B243" s="3" t="s">
        <v>484</v>
      </c>
    </row>
    <row r="244" spans="1:2">
      <c r="A244" s="2" t="s">
        <v>485</v>
      </c>
      <c r="B244" s="3" t="s">
        <v>486</v>
      </c>
    </row>
    <row r="245" spans="1:2">
      <c r="A245" s="2" t="s">
        <v>487</v>
      </c>
      <c r="B245" s="3" t="s">
        <v>488</v>
      </c>
    </row>
    <row r="246" spans="1:2">
      <c r="A246" s="2" t="s">
        <v>489</v>
      </c>
      <c r="B246" s="3" t="s">
        <v>490</v>
      </c>
    </row>
    <row r="247" spans="1:2">
      <c r="A247" s="2" t="s">
        <v>491</v>
      </c>
      <c r="B247" s="3" t="s">
        <v>492</v>
      </c>
    </row>
    <row r="248" spans="1:2">
      <c r="A248" s="2" t="s">
        <v>493</v>
      </c>
      <c r="B248" s="3" t="s">
        <v>494</v>
      </c>
    </row>
    <row r="249" spans="1:2">
      <c r="A249" s="2" t="s">
        <v>495</v>
      </c>
      <c r="B249" s="3" t="s">
        <v>496</v>
      </c>
    </row>
    <row r="250" spans="1:2">
      <c r="A250" s="2" t="s">
        <v>497</v>
      </c>
      <c r="B250" s="3" t="s">
        <v>498</v>
      </c>
    </row>
    <row r="251" spans="1:2">
      <c r="A251" s="2" t="s">
        <v>499</v>
      </c>
      <c r="B251" s="3" t="s">
        <v>500</v>
      </c>
    </row>
    <row r="252" spans="1:2">
      <c r="A252" s="2" t="s">
        <v>501</v>
      </c>
      <c r="B252" s="3" t="s">
        <v>502</v>
      </c>
    </row>
    <row r="253" spans="1:2">
      <c r="A253" s="2" t="s">
        <v>503</v>
      </c>
      <c r="B253" s="3" t="s">
        <v>504</v>
      </c>
    </row>
    <row r="254" spans="1:2">
      <c r="A254" s="2" t="s">
        <v>505</v>
      </c>
      <c r="B254" s="3" t="s">
        <v>506</v>
      </c>
    </row>
    <row r="255" spans="1:2">
      <c r="A255" s="2" t="s">
        <v>507</v>
      </c>
      <c r="B255" s="3" t="s">
        <v>508</v>
      </c>
    </row>
    <row r="256" spans="1:2">
      <c r="A256" s="2" t="s">
        <v>509</v>
      </c>
      <c r="B256" s="3" t="s">
        <v>510</v>
      </c>
    </row>
    <row r="257" spans="1:2">
      <c r="A257" s="2" t="s">
        <v>511</v>
      </c>
      <c r="B257" s="3" t="s">
        <v>512</v>
      </c>
    </row>
    <row r="258" spans="1:2">
      <c r="A258" s="2" t="s">
        <v>513</v>
      </c>
      <c r="B258" s="3" t="s">
        <v>514</v>
      </c>
    </row>
    <row r="259" spans="1:2">
      <c r="A259" s="2" t="s">
        <v>515</v>
      </c>
      <c r="B259" s="3" t="s">
        <v>516</v>
      </c>
    </row>
    <row r="260" spans="1:2">
      <c r="A260" s="2" t="s">
        <v>517</v>
      </c>
      <c r="B260" s="3" t="s">
        <v>518</v>
      </c>
    </row>
    <row r="261" spans="1:2">
      <c r="A261" s="2" t="s">
        <v>519</v>
      </c>
      <c r="B261" s="3" t="s">
        <v>520</v>
      </c>
    </row>
    <row r="262" spans="1:2">
      <c r="A262" s="2" t="s">
        <v>521</v>
      </c>
      <c r="B262" s="3" t="s">
        <v>522</v>
      </c>
    </row>
    <row r="263" spans="1:2">
      <c r="A263" s="2" t="s">
        <v>523</v>
      </c>
      <c r="B263" s="3" t="s">
        <v>524</v>
      </c>
    </row>
    <row r="264" spans="1:2">
      <c r="A264" s="2" t="s">
        <v>525</v>
      </c>
      <c r="B264" s="3" t="s">
        <v>526</v>
      </c>
    </row>
    <row r="265" spans="1:2">
      <c r="A265" s="2" t="s">
        <v>527</v>
      </c>
      <c r="B265" s="3" t="s">
        <v>528</v>
      </c>
    </row>
    <row r="266" spans="1:2">
      <c r="A266" s="2" t="s">
        <v>529</v>
      </c>
      <c r="B266" s="3" t="s">
        <v>530</v>
      </c>
    </row>
    <row r="267" spans="1:2">
      <c r="A267" s="2" t="s">
        <v>531</v>
      </c>
      <c r="B267" s="3" t="s">
        <v>532</v>
      </c>
    </row>
    <row r="268" spans="1:2">
      <c r="A268" s="2" t="s">
        <v>533</v>
      </c>
      <c r="B268" s="3" t="s">
        <v>534</v>
      </c>
    </row>
    <row r="269" spans="1:2">
      <c r="A269" s="2" t="s">
        <v>535</v>
      </c>
      <c r="B269" s="3" t="s">
        <v>536</v>
      </c>
    </row>
    <row r="270" spans="1:2">
      <c r="A270" s="2" t="s">
        <v>537</v>
      </c>
      <c r="B270" s="3" t="s">
        <v>538</v>
      </c>
    </row>
    <row r="271" spans="1:2">
      <c r="A271" s="2" t="s">
        <v>539</v>
      </c>
      <c r="B271" s="3" t="s">
        <v>540</v>
      </c>
    </row>
    <row r="272" spans="1:2">
      <c r="A272" s="2" t="s">
        <v>541</v>
      </c>
      <c r="B272" s="3" t="s">
        <v>542</v>
      </c>
    </row>
    <row r="273" spans="1:2">
      <c r="A273" s="2" t="s">
        <v>543</v>
      </c>
      <c r="B273" s="3" t="s">
        <v>544</v>
      </c>
    </row>
    <row r="274" spans="1:2">
      <c r="A274" s="2" t="s">
        <v>545</v>
      </c>
      <c r="B274" s="3" t="s">
        <v>546</v>
      </c>
    </row>
    <row r="275" spans="1:2">
      <c r="A275" s="2" t="s">
        <v>547</v>
      </c>
      <c r="B275" s="3" t="s">
        <v>548</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 xmlns:r="http://schemas.openxmlformats.org/officeDocument/2006/relationships" ref="A234" r:id="rId233"/>
    <hyperlink xmlns:r="http://schemas.openxmlformats.org/officeDocument/2006/relationships" ref="A235" r:id="rId234"/>
    <hyperlink xmlns:r="http://schemas.openxmlformats.org/officeDocument/2006/relationships" ref="A236" r:id="rId235"/>
    <hyperlink xmlns:r="http://schemas.openxmlformats.org/officeDocument/2006/relationships" ref="A237" r:id="rId236"/>
    <hyperlink xmlns:r="http://schemas.openxmlformats.org/officeDocument/2006/relationships" ref="A238" r:id="rId237"/>
    <hyperlink xmlns:r="http://schemas.openxmlformats.org/officeDocument/2006/relationships" ref="A239" r:id="rId238"/>
    <hyperlink xmlns:r="http://schemas.openxmlformats.org/officeDocument/2006/relationships" ref="A240" r:id="rId239"/>
    <hyperlink xmlns:r="http://schemas.openxmlformats.org/officeDocument/2006/relationships" ref="A241" r:id="rId240"/>
    <hyperlink xmlns:r="http://schemas.openxmlformats.org/officeDocument/2006/relationships" ref="A242" r:id="rId241"/>
    <hyperlink xmlns:r="http://schemas.openxmlformats.org/officeDocument/2006/relationships" ref="A243" r:id="rId242"/>
    <hyperlink xmlns:r="http://schemas.openxmlformats.org/officeDocument/2006/relationships" ref="A244" r:id="rId243"/>
    <hyperlink xmlns:r="http://schemas.openxmlformats.org/officeDocument/2006/relationships" ref="A245" r:id="rId244"/>
    <hyperlink xmlns:r="http://schemas.openxmlformats.org/officeDocument/2006/relationships" ref="A246" r:id="rId245"/>
    <hyperlink xmlns:r="http://schemas.openxmlformats.org/officeDocument/2006/relationships" ref="A247" r:id="rId246"/>
    <hyperlink xmlns:r="http://schemas.openxmlformats.org/officeDocument/2006/relationships" ref="A248" r:id="rId247"/>
    <hyperlink xmlns:r="http://schemas.openxmlformats.org/officeDocument/2006/relationships" ref="A249" r:id="rId248"/>
    <hyperlink xmlns:r="http://schemas.openxmlformats.org/officeDocument/2006/relationships" ref="A250" r:id="rId249"/>
    <hyperlink xmlns:r="http://schemas.openxmlformats.org/officeDocument/2006/relationships" ref="A251" r:id="rId250"/>
    <hyperlink xmlns:r="http://schemas.openxmlformats.org/officeDocument/2006/relationships" ref="A252" r:id="rId251"/>
    <hyperlink xmlns:r="http://schemas.openxmlformats.org/officeDocument/2006/relationships" ref="A253" r:id="rId252"/>
    <hyperlink xmlns:r="http://schemas.openxmlformats.org/officeDocument/2006/relationships" ref="A254" r:id="rId253"/>
    <hyperlink xmlns:r="http://schemas.openxmlformats.org/officeDocument/2006/relationships" ref="A255" r:id="rId254"/>
    <hyperlink xmlns:r="http://schemas.openxmlformats.org/officeDocument/2006/relationships" ref="A256" r:id="rId255"/>
    <hyperlink xmlns:r="http://schemas.openxmlformats.org/officeDocument/2006/relationships" ref="A257" r:id="rId256"/>
    <hyperlink xmlns:r="http://schemas.openxmlformats.org/officeDocument/2006/relationships" ref="A258" r:id="rId257"/>
    <hyperlink xmlns:r="http://schemas.openxmlformats.org/officeDocument/2006/relationships" ref="A259" r:id="rId258"/>
    <hyperlink xmlns:r="http://schemas.openxmlformats.org/officeDocument/2006/relationships" ref="A260" r:id="rId259"/>
    <hyperlink xmlns:r="http://schemas.openxmlformats.org/officeDocument/2006/relationships" ref="A261" r:id="rId260"/>
    <hyperlink xmlns:r="http://schemas.openxmlformats.org/officeDocument/2006/relationships" ref="A262" r:id="rId261"/>
    <hyperlink xmlns:r="http://schemas.openxmlformats.org/officeDocument/2006/relationships" ref="A263" r:id="rId262"/>
    <hyperlink xmlns:r="http://schemas.openxmlformats.org/officeDocument/2006/relationships" ref="A264" r:id="rId263"/>
    <hyperlink xmlns:r="http://schemas.openxmlformats.org/officeDocument/2006/relationships" ref="A265" r:id="rId264"/>
    <hyperlink xmlns:r="http://schemas.openxmlformats.org/officeDocument/2006/relationships" ref="A266" r:id="rId265"/>
    <hyperlink xmlns:r="http://schemas.openxmlformats.org/officeDocument/2006/relationships" ref="A267" r:id="rId266"/>
    <hyperlink xmlns:r="http://schemas.openxmlformats.org/officeDocument/2006/relationships" ref="A268" r:id="rId267"/>
    <hyperlink xmlns:r="http://schemas.openxmlformats.org/officeDocument/2006/relationships" ref="A269" r:id="rId268"/>
    <hyperlink xmlns:r="http://schemas.openxmlformats.org/officeDocument/2006/relationships" ref="A270" r:id="rId269"/>
    <hyperlink xmlns:r="http://schemas.openxmlformats.org/officeDocument/2006/relationships" ref="A271" r:id="rId270"/>
    <hyperlink xmlns:r="http://schemas.openxmlformats.org/officeDocument/2006/relationships" ref="A272" r:id="rId271"/>
    <hyperlink xmlns:r="http://schemas.openxmlformats.org/officeDocument/2006/relationships" ref="A273" r:id="rId272"/>
    <hyperlink xmlns:r="http://schemas.openxmlformats.org/officeDocument/2006/relationships" ref="A274" r:id="rId273"/>
    <hyperlink xmlns:r="http://schemas.openxmlformats.org/officeDocument/2006/relationships" ref="A275" r:id="rId274"/>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550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(6341.0/B7*100)</f>
        <v/>
      </c>
      <c r="D7" s="19" t="n">
        <v>822</v>
      </c>
      <c r="E7" s="18" t="n">
        <v>50.54474257</v>
      </c>
      <c r="F7" s="20" t="n">
        <v>2.04499547</v>
      </c>
      <c r="G7" s="18" t="n">
        <v>41.17258895</v>
      </c>
      <c r="H7" s="20" t="n">
        <v>1.8999473</v>
      </c>
      <c r="I7" s="18" t="n">
        <v>0</v>
      </c>
      <c r="J7" s="20" t="n">
        <v>0</v>
      </c>
      <c r="K7" s="18" t="n">
        <v>0.11352023</v>
      </c>
      <c r="L7" s="20" t="n">
        <v>0.07969733</v>
      </c>
      <c r="M7" s="18" t="n">
        <v>0.01224286</v>
      </c>
      <c r="N7" s="20" t="n">
        <v>0.01235126</v>
      </c>
      <c r="O7" s="18" t="n">
        <v>0</v>
      </c>
      <c r="P7" s="20" t="n">
        <v>0</v>
      </c>
      <c r="Q7" s="18" t="n">
        <v>8.15690539</v>
      </c>
      <c r="R7" s="20" t="n">
        <v>1.07809423</v>
      </c>
    </row>
    <row r="8" spans="1:18">
      <c r="A8" s="15" t="s">
        <v>566</v>
      </c>
      <c r="B8" s="17" t="n">
        <v>3443</v>
      </c>
      <c r="C8" s="18">
        <f>(3060.0/B8*100)</f>
        <v/>
      </c>
      <c r="D8" s="19" t="n">
        <v>383</v>
      </c>
      <c r="E8" s="18" t="n">
        <v>42.89167363</v>
      </c>
      <c r="F8" s="20" t="n">
        <v>2.43437276</v>
      </c>
      <c r="G8" s="18" t="n">
        <v>43.37056944</v>
      </c>
      <c r="H8" s="20" t="n">
        <v>2.62666118</v>
      </c>
      <c r="I8" s="18" t="n">
        <v>0</v>
      </c>
      <c r="J8" s="20" t="n">
        <v>0</v>
      </c>
      <c r="K8" s="18" t="n">
        <v>0</v>
      </c>
      <c r="L8" s="20" t="n">
        <v>0</v>
      </c>
      <c r="M8" s="18" t="n">
        <v>0</v>
      </c>
      <c r="N8" s="20" t="n">
        <v>0</v>
      </c>
      <c r="O8" s="18" t="n">
        <v>0</v>
      </c>
      <c r="P8" s="20" t="n">
        <v>0</v>
      </c>
      <c r="Q8" s="18" t="n">
        <v>13.73775693</v>
      </c>
      <c r="R8" s="20" t="n">
        <v>2.16732604</v>
      </c>
    </row>
    <row r="9" spans="1:18">
      <c r="A9" s="15" t="s">
        <v>567</v>
      </c>
      <c r="B9" s="17" t="n">
        <v>4752</v>
      </c>
      <c r="C9" s="18">
        <f>(4249.0/B9*100)</f>
        <v/>
      </c>
      <c r="D9" s="19" t="n">
        <v>503</v>
      </c>
      <c r="E9" s="18" t="n">
        <v>41.60804252</v>
      </c>
      <c r="F9" s="20" t="n">
        <v>2.15692691</v>
      </c>
      <c r="G9" s="18" t="n">
        <v>43.06041178</v>
      </c>
      <c r="H9" s="20" t="n">
        <v>2.37949504</v>
      </c>
      <c r="I9" s="18" t="n">
        <v>0</v>
      </c>
      <c r="J9" s="20" t="n">
        <v>0</v>
      </c>
      <c r="K9" s="18" t="n">
        <v>0</v>
      </c>
      <c r="L9" s="20" t="n">
        <v>0</v>
      </c>
      <c r="M9" s="18" t="n">
        <v>0.3508274</v>
      </c>
      <c r="N9" s="20" t="n">
        <v>0.25535629</v>
      </c>
      <c r="O9" s="18" t="n">
        <v>0</v>
      </c>
      <c r="P9" s="20" t="n">
        <v>0</v>
      </c>
      <c r="Q9" s="18" t="n">
        <v>14.98071831</v>
      </c>
      <c r="R9" s="20" t="n">
        <v>1.70314038</v>
      </c>
    </row>
    <row r="10" spans="1:18">
      <c r="A10" s="15" t="s">
        <v>568</v>
      </c>
      <c r="B10" s="17" t="n">
        <v>10022</v>
      </c>
      <c r="C10" s="18">
        <f>(8916.0/B10*100)</f>
        <v/>
      </c>
      <c r="D10" s="19" t="n">
        <v>1106</v>
      </c>
      <c r="E10" s="18" t="n">
        <v>50.98701424</v>
      </c>
      <c r="F10" s="20" t="n">
        <v>2.1876972</v>
      </c>
      <c r="G10" s="18" t="n">
        <v>44.41642209</v>
      </c>
      <c r="H10" s="20" t="n">
        <v>2.2443516</v>
      </c>
      <c r="I10" s="18" t="n">
        <v>0</v>
      </c>
      <c r="J10" s="20" t="n">
        <v>0</v>
      </c>
      <c r="K10" s="18" t="n">
        <v>0.01408675</v>
      </c>
      <c r="L10" s="20" t="n">
        <v>0.01440163</v>
      </c>
      <c r="M10" s="18" t="n">
        <v>0</v>
      </c>
      <c r="N10" s="20" t="n">
        <v>0</v>
      </c>
      <c r="O10" s="18" t="n">
        <v>0</v>
      </c>
      <c r="P10" s="20" t="n">
        <v>0</v>
      </c>
      <c r="Q10" s="18" t="n">
        <v>4.58247693</v>
      </c>
      <c r="R10" s="20" t="n">
        <v>0.76735605</v>
      </c>
    </row>
    <row r="11" spans="1:18">
      <c r="A11" s="15" t="s">
        <v>569</v>
      </c>
      <c r="B11" s="17" t="n">
        <v>3500</v>
      </c>
      <c r="C11" s="18">
        <f>(3130.0/B11*100)</f>
        <v/>
      </c>
      <c r="D11" s="19" t="n">
        <v>370</v>
      </c>
      <c r="E11" s="18" t="n">
        <v>63.36385475</v>
      </c>
      <c r="F11" s="20" t="n">
        <v>2.78650319</v>
      </c>
      <c r="G11" s="18" t="n">
        <v>21.94489171</v>
      </c>
      <c r="H11" s="20" t="n">
        <v>2.68457172</v>
      </c>
      <c r="I11" s="18" t="n">
        <v>0</v>
      </c>
      <c r="J11" s="20" t="n">
        <v>0</v>
      </c>
      <c r="K11" s="18" t="n">
        <v>0</v>
      </c>
      <c r="L11" s="20" t="n">
        <v>0</v>
      </c>
      <c r="M11" s="18" t="n">
        <v>0.83628855</v>
      </c>
      <c r="N11" s="20" t="n">
        <v>0.59886561</v>
      </c>
      <c r="O11" s="18" t="n">
        <v>0</v>
      </c>
      <c r="P11" s="20" t="n">
        <v>0</v>
      </c>
      <c r="Q11" s="18" t="n">
        <v>13.85496499</v>
      </c>
      <c r="R11" s="20" t="n">
        <v>2.22414903</v>
      </c>
    </row>
    <row r="12" spans="1:18">
      <c r="A12" s="15" t="s">
        <v>570</v>
      </c>
      <c r="B12" s="17" t="n">
        <v>3422</v>
      </c>
      <c r="C12" s="18">
        <f>(3064.0/B12*100)</f>
        <v/>
      </c>
      <c r="D12" s="19" t="n">
        <v>358</v>
      </c>
      <c r="E12" s="18" t="n">
        <v>56.37034568</v>
      </c>
      <c r="F12" s="20" t="n">
        <v>2.85266476</v>
      </c>
      <c r="G12" s="18" t="n">
        <v>28.00047779</v>
      </c>
      <c r="H12" s="20" t="n">
        <v>2.41491659</v>
      </c>
      <c r="I12" s="18" t="n">
        <v>0</v>
      </c>
      <c r="J12" s="20" t="n">
        <v>0</v>
      </c>
      <c r="K12" s="18" t="n">
        <v>0.16111713</v>
      </c>
      <c r="L12" s="20" t="n">
        <v>0.15658868</v>
      </c>
      <c r="M12" s="18" t="n">
        <v>0.27023609</v>
      </c>
      <c r="N12" s="20" t="n">
        <v>0.27080297</v>
      </c>
      <c r="O12" s="18" t="n">
        <v>0</v>
      </c>
      <c r="P12" s="20" t="n">
        <v>0</v>
      </c>
      <c r="Q12" s="18" t="n">
        <v>15.19782331</v>
      </c>
      <c r="R12" s="20" t="n">
        <v>2.03872886</v>
      </c>
    </row>
    <row r="13" spans="1:18">
      <c r="A13" s="15" t="s">
        <v>571</v>
      </c>
      <c r="B13" s="17" t="n">
        <v>3602</v>
      </c>
      <c r="C13" s="18">
        <f>(3191.0/B13*100)</f>
        <v/>
      </c>
      <c r="D13" s="19" t="n">
        <v>411</v>
      </c>
      <c r="E13" s="18" t="n">
        <v>52.23570683</v>
      </c>
      <c r="F13" s="20" t="n">
        <v>3.13252299</v>
      </c>
      <c r="G13" s="18" t="n">
        <v>29.76127447</v>
      </c>
      <c r="H13" s="20" t="n">
        <v>2.85339548</v>
      </c>
      <c r="I13" s="18" t="n">
        <v>0</v>
      </c>
      <c r="J13" s="20" t="n">
        <v>0</v>
      </c>
      <c r="K13" s="18" t="n">
        <v>0.51613447</v>
      </c>
      <c r="L13" s="20" t="n">
        <v>0.44345419</v>
      </c>
      <c r="M13" s="18" t="n">
        <v>0</v>
      </c>
      <c r="N13" s="20" t="n">
        <v>0</v>
      </c>
      <c r="O13" s="18" t="n">
        <v>0</v>
      </c>
      <c r="P13" s="20" t="n">
        <v>0</v>
      </c>
      <c r="Q13" s="18" t="n">
        <v>17.48688423</v>
      </c>
      <c r="R13" s="20" t="n">
        <v>2.54913544</v>
      </c>
    </row>
    <row r="14" spans="1:18">
      <c r="A14" s="15" t="s">
        <v>572</v>
      </c>
      <c r="B14" s="17" t="n">
        <v>2788</v>
      </c>
      <c r="C14" s="18">
        <f>(2496.0/B14*100)</f>
        <v/>
      </c>
      <c r="D14" s="19" t="n">
        <v>292</v>
      </c>
      <c r="E14" s="18" t="n">
        <v>30.80015986</v>
      </c>
      <c r="F14" s="20" t="n">
        <v>2.88162038</v>
      </c>
      <c r="G14" s="18" t="n">
        <v>66.04676368</v>
      </c>
      <c r="H14" s="20" t="n">
        <v>2.80776251</v>
      </c>
      <c r="I14" s="18" t="n">
        <v>0</v>
      </c>
      <c r="J14" s="20" t="n">
        <v>0</v>
      </c>
      <c r="K14" s="18" t="n">
        <v>0</v>
      </c>
      <c r="L14" s="20" t="n">
        <v>0</v>
      </c>
      <c r="M14" s="18" t="n">
        <v>0</v>
      </c>
      <c r="N14" s="20" t="n">
        <v>0</v>
      </c>
      <c r="O14" s="18" t="n">
        <v>0</v>
      </c>
      <c r="P14" s="20" t="n">
        <v>0</v>
      </c>
      <c r="Q14" s="18" t="n">
        <v>3.15307647</v>
      </c>
      <c r="R14" s="20" t="n">
        <v>1.04804756</v>
      </c>
    </row>
    <row r="15" spans="1:18">
      <c r="A15" s="15" t="s">
        <v>573</v>
      </c>
      <c r="B15" s="17" t="n">
        <v>2863</v>
      </c>
      <c r="C15" s="18">
        <f>(2525.0/B15*100)</f>
        <v/>
      </c>
      <c r="D15" s="19" t="n">
        <v>338</v>
      </c>
      <c r="E15" s="18" t="n">
        <v>30.88584054</v>
      </c>
      <c r="F15" s="20" t="n">
        <v>2.64018178</v>
      </c>
      <c r="G15" s="18" t="n">
        <v>62.85958706</v>
      </c>
      <c r="H15" s="20" t="n">
        <v>2.76927372</v>
      </c>
      <c r="I15" s="18" t="n">
        <v>0</v>
      </c>
      <c r="J15" s="20" t="n">
        <v>0</v>
      </c>
      <c r="K15" s="18" t="n">
        <v>0</v>
      </c>
      <c r="L15" s="20" t="n">
        <v>0</v>
      </c>
      <c r="M15" s="18" t="n">
        <v>0</v>
      </c>
      <c r="N15" s="20" t="n">
        <v>0</v>
      </c>
      <c r="O15" s="18" t="n">
        <v>0</v>
      </c>
      <c r="P15" s="20" t="n">
        <v>0</v>
      </c>
      <c r="Q15" s="18" t="n">
        <v>6.2545724</v>
      </c>
      <c r="R15" s="20" t="n">
        <v>1.05232711</v>
      </c>
    </row>
    <row r="16" spans="1:18">
      <c r="A16" s="15" t="s">
        <v>574</v>
      </c>
      <c r="B16" s="17" t="n">
        <v>3111</v>
      </c>
      <c r="C16" s="18">
        <f>(2766.0/B16*100)</f>
        <v/>
      </c>
      <c r="D16" s="19" t="n">
        <v>345</v>
      </c>
      <c r="E16" s="18" t="n">
        <v>46.785133</v>
      </c>
      <c r="F16" s="20" t="n">
        <v>2.7072654</v>
      </c>
      <c r="G16" s="18" t="n">
        <v>34.39530983</v>
      </c>
      <c r="H16" s="20" t="n">
        <v>2.68978042</v>
      </c>
      <c r="I16" s="18" t="n">
        <v>0</v>
      </c>
      <c r="J16" s="20" t="n">
        <v>0</v>
      </c>
      <c r="K16" s="18" t="n">
        <v>0</v>
      </c>
      <c r="L16" s="20" t="n">
        <v>0</v>
      </c>
      <c r="M16" s="18" t="n">
        <v>0</v>
      </c>
      <c r="N16" s="20" t="n">
        <v>0</v>
      </c>
      <c r="O16" s="18" t="n">
        <v>0</v>
      </c>
      <c r="P16" s="20" t="n">
        <v>0</v>
      </c>
      <c r="Q16" s="18" t="n">
        <v>18.81955716</v>
      </c>
      <c r="R16" s="20" t="n">
        <v>2.17389186</v>
      </c>
    </row>
    <row r="17" spans="1:18">
      <c r="A17" s="15" t="s">
        <v>575</v>
      </c>
      <c r="B17" s="17" t="n">
        <v>3197</v>
      </c>
      <c r="C17" s="18">
        <f>(2836.0/B17*100)</f>
        <v/>
      </c>
      <c r="D17" s="19" t="n">
        <v>361</v>
      </c>
      <c r="E17" s="18" t="n">
        <v>31.39521267</v>
      </c>
      <c r="F17" s="20" t="n">
        <v>2.29840144</v>
      </c>
      <c r="G17" s="18" t="n">
        <v>55.0294957</v>
      </c>
      <c r="H17" s="20" t="n">
        <v>2.58992303</v>
      </c>
      <c r="I17" s="18" t="n">
        <v>0</v>
      </c>
      <c r="J17" s="20" t="n">
        <v>0</v>
      </c>
      <c r="K17" s="18" t="n">
        <v>0</v>
      </c>
      <c r="L17" s="20" t="n">
        <v>0</v>
      </c>
      <c r="M17" s="18" t="n">
        <v>0</v>
      </c>
      <c r="N17" s="20" t="n">
        <v>0</v>
      </c>
      <c r="O17" s="18" t="n">
        <v>0</v>
      </c>
      <c r="P17" s="20" t="n">
        <v>0</v>
      </c>
      <c r="Q17" s="18" t="n">
        <v>13.57529163</v>
      </c>
      <c r="R17" s="20" t="n">
        <v>2.07887353</v>
      </c>
    </row>
    <row r="18" spans="1:18">
      <c r="A18" s="15" t="s">
        <v>576</v>
      </c>
      <c r="B18" s="17" t="n">
        <v>2706</v>
      </c>
      <c r="C18" s="18">
        <f>(2410.0/B18*100)</f>
        <v/>
      </c>
      <c r="D18" s="19" t="n">
        <v>296</v>
      </c>
      <c r="E18" s="18" t="n">
        <v>27.88764409</v>
      </c>
      <c r="F18" s="20" t="n">
        <v>2.86110022</v>
      </c>
      <c r="G18" s="18" t="n">
        <v>63.62923949</v>
      </c>
      <c r="H18" s="20" t="n">
        <v>3.21319178</v>
      </c>
      <c r="I18" s="18" t="n">
        <v>0</v>
      </c>
      <c r="J18" s="20" t="n">
        <v>0</v>
      </c>
      <c r="K18" s="18" t="n">
        <v>0</v>
      </c>
      <c r="L18" s="20" t="n">
        <v>0</v>
      </c>
      <c r="M18" s="18" t="n">
        <v>0</v>
      </c>
      <c r="N18" s="20" t="n">
        <v>0</v>
      </c>
      <c r="O18" s="18" t="n">
        <v>0</v>
      </c>
      <c r="P18" s="20" t="n">
        <v>0</v>
      </c>
      <c r="Q18" s="18" t="n">
        <v>8.48311642</v>
      </c>
      <c r="R18" s="20" t="n">
        <v>1.61286393</v>
      </c>
    </row>
    <row r="19" spans="1:18">
      <c r="A19" s="15" t="s">
        <v>577</v>
      </c>
      <c r="B19" s="17" t="n">
        <v>2850</v>
      </c>
      <c r="C19" s="18">
        <f>(2542.0/B19*100)</f>
        <v/>
      </c>
      <c r="D19" s="19" t="n">
        <v>308</v>
      </c>
      <c r="E19" s="18" t="n">
        <v>52.62097329</v>
      </c>
      <c r="F19" s="20" t="n">
        <v>2.73128326</v>
      </c>
      <c r="G19" s="18" t="n">
        <v>30.95061271</v>
      </c>
      <c r="H19" s="20" t="n">
        <v>2.77221424</v>
      </c>
      <c r="I19" s="18" t="n">
        <v>0</v>
      </c>
      <c r="J19" s="20" t="n">
        <v>0</v>
      </c>
      <c r="K19" s="18" t="n">
        <v>0</v>
      </c>
      <c r="L19" s="20" t="n">
        <v>0</v>
      </c>
      <c r="M19" s="18" t="n">
        <v>0</v>
      </c>
      <c r="N19" s="20" t="n">
        <v>0</v>
      </c>
      <c r="O19" s="18" t="n">
        <v>0</v>
      </c>
      <c r="P19" s="20" t="n">
        <v>0</v>
      </c>
      <c r="Q19" s="18" t="n">
        <v>16.428414</v>
      </c>
      <c r="R19" s="20" t="n">
        <v>2.27203284</v>
      </c>
    </row>
    <row r="20" spans="1:18">
      <c r="A20" s="15" t="s">
        <v>578</v>
      </c>
      <c r="B20" s="17" t="n">
        <v>1741</v>
      </c>
      <c r="C20" s="18">
        <f>(1548.0/B20*100)</f>
        <v/>
      </c>
      <c r="D20" s="19" t="n">
        <v>193</v>
      </c>
      <c r="E20" s="18" t="n">
        <v>32.59664761</v>
      </c>
      <c r="F20" s="20" t="n">
        <v>3.53439565</v>
      </c>
      <c r="G20" s="18" t="n">
        <v>56.83863297</v>
      </c>
      <c r="H20" s="20" t="n">
        <v>3.73754009</v>
      </c>
      <c r="I20" s="18" t="n">
        <v>0</v>
      </c>
      <c r="J20" s="20" t="n">
        <v>0</v>
      </c>
      <c r="K20" s="18" t="n">
        <v>0.46500171</v>
      </c>
      <c r="L20" s="20" t="n">
        <v>0.46701713</v>
      </c>
      <c r="M20" s="18" t="n">
        <v>0.64019994</v>
      </c>
      <c r="N20" s="20" t="n">
        <v>0.65549808</v>
      </c>
      <c r="O20" s="18" t="n">
        <v>0</v>
      </c>
      <c r="P20" s="20" t="n">
        <v>0</v>
      </c>
      <c r="Q20" s="18" t="n">
        <v>9.45951777</v>
      </c>
      <c r="R20" s="20" t="n">
        <v>2.15689971</v>
      </c>
    </row>
    <row r="21" spans="1:18">
      <c r="A21" s="15" t="s">
        <v>579</v>
      </c>
      <c r="B21" s="17" t="n">
        <v>2833</v>
      </c>
      <c r="C21" s="18">
        <f>(2500.0/B21*100)</f>
        <v/>
      </c>
      <c r="D21" s="19" t="n">
        <v>333</v>
      </c>
      <c r="E21" s="18" t="n">
        <v>49.39448678</v>
      </c>
      <c r="F21" s="20" t="n">
        <v>2.58864212</v>
      </c>
      <c r="G21" s="18" t="n">
        <v>46.19169902</v>
      </c>
      <c r="H21" s="20" t="n">
        <v>2.36629421</v>
      </c>
      <c r="I21" s="18" t="n">
        <v>0</v>
      </c>
      <c r="J21" s="20" t="n">
        <v>0</v>
      </c>
      <c r="K21" s="18" t="n">
        <v>0</v>
      </c>
      <c r="L21" s="20" t="n">
        <v>0</v>
      </c>
      <c r="M21" s="18" t="n">
        <v>0</v>
      </c>
      <c r="N21" s="20" t="n">
        <v>0</v>
      </c>
      <c r="O21" s="18" t="n">
        <v>0</v>
      </c>
      <c r="P21" s="20" t="n">
        <v>0</v>
      </c>
      <c r="Q21" s="18" t="n">
        <v>4.4138142</v>
      </c>
      <c r="R21" s="20" t="n">
        <v>1.24164147</v>
      </c>
    </row>
    <row r="22" spans="1:18">
      <c r="A22" s="15" t="s">
        <v>580</v>
      </c>
      <c r="B22" s="17" t="n">
        <v>3667</v>
      </c>
      <c r="C22" s="18">
        <f>(3279.0/B22*100)</f>
        <v/>
      </c>
      <c r="D22" s="19" t="n">
        <v>388</v>
      </c>
      <c r="E22" s="18" t="n">
        <v>52.87520124</v>
      </c>
      <c r="F22" s="20" t="n">
        <v>2.84537549</v>
      </c>
      <c r="G22" s="18" t="n">
        <v>32.90899812</v>
      </c>
      <c r="H22" s="20" t="n">
        <v>2.45478799</v>
      </c>
      <c r="I22" s="18" t="n">
        <v>0</v>
      </c>
      <c r="J22" s="20" t="n">
        <v>0</v>
      </c>
      <c r="K22" s="18" t="n">
        <v>0.26056144</v>
      </c>
      <c r="L22" s="20" t="n">
        <v>0.25937336</v>
      </c>
      <c r="M22" s="18" t="n">
        <v>0</v>
      </c>
      <c r="N22" s="20" t="n">
        <v>0</v>
      </c>
      <c r="O22" s="18" t="n">
        <v>0</v>
      </c>
      <c r="P22" s="20" t="n">
        <v>0</v>
      </c>
      <c r="Q22" s="18" t="n">
        <v>13.95523921</v>
      </c>
      <c r="R22" s="20" t="n">
        <v>2.10706436</v>
      </c>
    </row>
    <row r="23" spans="1:18">
      <c r="A23" s="15" t="s">
        <v>581</v>
      </c>
      <c r="B23" s="17" t="n">
        <v>5792</v>
      </c>
      <c r="C23" s="18">
        <f>(5154.0/B23*100)</f>
        <v/>
      </c>
      <c r="D23" s="19" t="n">
        <v>638</v>
      </c>
      <c r="E23" s="18" t="n">
        <v>43.73061512</v>
      </c>
      <c r="F23" s="20" t="n">
        <v>2.86017988</v>
      </c>
      <c r="G23" s="18" t="n">
        <v>35.92295877</v>
      </c>
      <c r="H23" s="20" t="n">
        <v>2.70022888</v>
      </c>
      <c r="I23" s="18" t="n">
        <v>0</v>
      </c>
      <c r="J23" s="20" t="n">
        <v>0</v>
      </c>
      <c r="K23" s="18" t="n">
        <v>0</v>
      </c>
      <c r="L23" s="20" t="n">
        <v>0</v>
      </c>
      <c r="M23" s="18" t="n">
        <v>0</v>
      </c>
      <c r="N23" s="20" t="n">
        <v>0</v>
      </c>
      <c r="O23" s="18" t="n">
        <v>0</v>
      </c>
      <c r="P23" s="20" t="n">
        <v>0</v>
      </c>
      <c r="Q23" s="18" t="n">
        <v>20.34642611</v>
      </c>
      <c r="R23" s="20" t="n">
        <v>2.79380538</v>
      </c>
    </row>
    <row r="24" spans="1:18">
      <c r="A24" s="15" t="s">
        <v>582</v>
      </c>
      <c r="B24" s="17" t="n">
        <v>3309</v>
      </c>
      <c r="C24" s="18">
        <f>(2941.0/B24*100)</f>
        <v/>
      </c>
      <c r="D24" s="19" t="n">
        <v>368</v>
      </c>
      <c r="E24" s="18" t="n">
        <v>32.47720645</v>
      </c>
      <c r="F24" s="20" t="n">
        <v>2.58364824</v>
      </c>
      <c r="G24" s="18" t="n">
        <v>61.14057978</v>
      </c>
      <c r="H24" s="20" t="n">
        <v>2.62902093</v>
      </c>
      <c r="I24" s="18" t="n">
        <v>0</v>
      </c>
      <c r="J24" s="20" t="n">
        <v>0</v>
      </c>
      <c r="K24" s="18" t="n">
        <v>0</v>
      </c>
      <c r="L24" s="20" t="n">
        <v>0</v>
      </c>
      <c r="M24" s="18" t="n">
        <v>0</v>
      </c>
      <c r="N24" s="20" t="n">
        <v>0</v>
      </c>
      <c r="O24" s="18" t="n">
        <v>0</v>
      </c>
      <c r="P24" s="20" t="n">
        <v>0</v>
      </c>
      <c r="Q24" s="18" t="n">
        <v>6.38221377</v>
      </c>
      <c r="R24" s="20" t="n">
        <v>1.50712159</v>
      </c>
    </row>
    <row r="25" spans="1:18">
      <c r="A25" s="15" t="s">
        <v>583</v>
      </c>
      <c r="B25" s="17" t="n">
        <v>2669</v>
      </c>
      <c r="C25" s="18">
        <f>(2358.0/B25*100)</f>
        <v/>
      </c>
      <c r="D25" s="19" t="n">
        <v>311</v>
      </c>
      <c r="E25" s="18" t="n">
        <v>44.92542087</v>
      </c>
      <c r="F25" s="20" t="n">
        <v>2.82453499</v>
      </c>
      <c r="G25" s="18" t="n">
        <v>49.91107439</v>
      </c>
      <c r="H25" s="20" t="n">
        <v>3.29527846</v>
      </c>
      <c r="I25" s="18" t="n">
        <v>0</v>
      </c>
      <c r="J25" s="20" t="n">
        <v>0</v>
      </c>
      <c r="K25" s="18" t="n">
        <v>0.31682012</v>
      </c>
      <c r="L25" s="20" t="n">
        <v>0.31801206</v>
      </c>
      <c r="M25" s="18" t="n">
        <v>0</v>
      </c>
      <c r="N25" s="20" t="n">
        <v>0</v>
      </c>
      <c r="O25" s="18" t="n">
        <v>0</v>
      </c>
      <c r="P25" s="20" t="n">
        <v>0</v>
      </c>
      <c r="Q25" s="18" t="n">
        <v>4.84668462</v>
      </c>
      <c r="R25" s="20" t="n">
        <v>1.28582367</v>
      </c>
    </row>
    <row r="26" spans="1:18">
      <c r="A26" s="15" t="s">
        <v>584</v>
      </c>
      <c r="B26" s="17" t="n">
        <v>2419</v>
      </c>
      <c r="C26" s="18">
        <f>(2145.0/B26*100)</f>
        <v/>
      </c>
      <c r="D26" s="19" t="n">
        <v>274</v>
      </c>
      <c r="E26" s="18" t="n">
        <v>43.28108455</v>
      </c>
      <c r="F26" s="20" t="n">
        <v>3.52436615</v>
      </c>
      <c r="G26" s="18" t="n">
        <v>47.54492074</v>
      </c>
      <c r="H26" s="20" t="n">
        <v>3.19528823</v>
      </c>
      <c r="I26" s="18" t="n">
        <v>0</v>
      </c>
      <c r="J26" s="20" t="n">
        <v>0</v>
      </c>
      <c r="K26" s="18" t="n">
        <v>0</v>
      </c>
      <c r="L26" s="20" t="n">
        <v>0</v>
      </c>
      <c r="M26" s="18" t="n">
        <v>0.33065408</v>
      </c>
      <c r="N26" s="20" t="n">
        <v>0.32769445</v>
      </c>
      <c r="O26" s="18" t="n">
        <v>0</v>
      </c>
      <c r="P26" s="20" t="n">
        <v>0</v>
      </c>
      <c r="Q26" s="18" t="n">
        <v>8.843340639999999</v>
      </c>
      <c r="R26" s="20" t="n">
        <v>1.9910031</v>
      </c>
    </row>
    <row r="27" spans="1:18">
      <c r="A27" s="15" t="s">
        <v>585</v>
      </c>
      <c r="B27" s="17" t="n">
        <v>2683</v>
      </c>
      <c r="C27" s="18">
        <f>(2385.0/B27*100)</f>
        <v/>
      </c>
      <c r="D27" s="19" t="n">
        <v>298</v>
      </c>
      <c r="E27" s="18" t="n">
        <v>43.03557598</v>
      </c>
      <c r="F27" s="20" t="n">
        <v>2.85041828</v>
      </c>
      <c r="G27" s="18" t="n">
        <v>40.40156241</v>
      </c>
      <c r="H27" s="20" t="n">
        <v>2.97144458</v>
      </c>
      <c r="I27" s="18" t="n">
        <v>0</v>
      </c>
      <c r="J27" s="20" t="n">
        <v>0</v>
      </c>
      <c r="K27" s="18" t="n">
        <v>0</v>
      </c>
      <c r="L27" s="20" t="n">
        <v>0</v>
      </c>
      <c r="M27" s="18" t="n">
        <v>0</v>
      </c>
      <c r="N27" s="20" t="n">
        <v>0</v>
      </c>
      <c r="O27" s="18" t="n">
        <v>0</v>
      </c>
      <c r="P27" s="20" t="n">
        <v>0</v>
      </c>
      <c r="Q27" s="18" t="n">
        <v>16.56286161</v>
      </c>
      <c r="R27" s="20" t="n">
        <v>2.10034916</v>
      </c>
    </row>
    <row r="28" spans="1:18">
      <c r="A28" s="15" t="s">
        <v>586</v>
      </c>
      <c r="B28" s="17" t="n">
        <v>3803</v>
      </c>
      <c r="C28" s="18">
        <f>(3371.0/B28*100)</f>
        <v/>
      </c>
      <c r="D28" s="19" t="n">
        <v>432</v>
      </c>
      <c r="E28" s="18" t="n">
        <v>73.23014089999999</v>
      </c>
      <c r="F28" s="20" t="n">
        <v>2.20374416</v>
      </c>
      <c r="G28" s="18" t="n">
        <v>20.46759227</v>
      </c>
      <c r="H28" s="20" t="n">
        <v>2.0369287</v>
      </c>
      <c r="I28" s="18" t="n">
        <v>0</v>
      </c>
      <c r="J28" s="20" t="n">
        <v>0</v>
      </c>
      <c r="K28" s="18" t="n">
        <v>0</v>
      </c>
      <c r="L28" s="20" t="n">
        <v>0</v>
      </c>
      <c r="M28" s="18" t="n">
        <v>0</v>
      </c>
      <c r="N28" s="20" t="n">
        <v>0</v>
      </c>
      <c r="O28" s="18" t="n">
        <v>0</v>
      </c>
      <c r="P28" s="20" t="n">
        <v>0</v>
      </c>
      <c r="Q28" s="18" t="n">
        <v>6.30226683</v>
      </c>
      <c r="R28" s="20" t="n">
        <v>1.37486862</v>
      </c>
    </row>
    <row r="29" spans="1:18">
      <c r="A29" s="15" t="s">
        <v>587</v>
      </c>
      <c r="B29" s="17" t="n">
        <v>2700</v>
      </c>
      <c r="C29" s="18">
        <f>(2399.0/B29*100)</f>
        <v/>
      </c>
      <c r="D29" s="19" t="n">
        <v>301</v>
      </c>
      <c r="E29" s="18" t="n">
        <v>44.43052532</v>
      </c>
      <c r="F29" s="20" t="n">
        <v>2.48779261</v>
      </c>
      <c r="G29" s="18" t="n">
        <v>51.22621906</v>
      </c>
      <c r="H29" s="20" t="n">
        <v>2.67049838</v>
      </c>
      <c r="I29" s="18" t="n">
        <v>0</v>
      </c>
      <c r="J29" s="20" t="n">
        <v>0</v>
      </c>
      <c r="K29" s="18" t="n">
        <v>0</v>
      </c>
      <c r="L29" s="20" t="n">
        <v>0</v>
      </c>
      <c r="M29" s="18" t="n">
        <v>0</v>
      </c>
      <c r="N29" s="20" t="n">
        <v>0</v>
      </c>
      <c r="O29" s="18" t="n">
        <v>0</v>
      </c>
      <c r="P29" s="20" t="n">
        <v>0</v>
      </c>
      <c r="Q29" s="18" t="n">
        <v>4.34325562</v>
      </c>
      <c r="R29" s="20" t="n">
        <v>1.23967046</v>
      </c>
    </row>
    <row r="30" spans="1:18">
      <c r="A30" s="15" t="s">
        <v>588</v>
      </c>
      <c r="B30" s="17" t="n">
        <v>2257</v>
      </c>
      <c r="C30" s="18">
        <f>(2003.0/B30*100)</f>
        <v/>
      </c>
      <c r="D30" s="19" t="n">
        <v>254</v>
      </c>
      <c r="E30" s="18" t="n">
        <v>49.19617513</v>
      </c>
      <c r="F30" s="20" t="n">
        <v>3.1904343</v>
      </c>
      <c r="G30" s="18" t="n">
        <v>38.96174946</v>
      </c>
      <c r="H30" s="20" t="n">
        <v>3.20672328</v>
      </c>
      <c r="I30" s="18" t="n">
        <v>0</v>
      </c>
      <c r="J30" s="20" t="n">
        <v>0</v>
      </c>
      <c r="K30" s="18" t="n">
        <v>0.38476818</v>
      </c>
      <c r="L30" s="20" t="n">
        <v>0.37670043</v>
      </c>
      <c r="M30" s="18" t="n">
        <v>0</v>
      </c>
      <c r="N30" s="20" t="n">
        <v>0</v>
      </c>
      <c r="O30" s="18" t="n">
        <v>0</v>
      </c>
      <c r="P30" s="20" t="n">
        <v>0</v>
      </c>
      <c r="Q30" s="18" t="n">
        <v>11.45730723</v>
      </c>
      <c r="R30" s="20" t="n">
        <v>1.63778556</v>
      </c>
    </row>
    <row r="31" spans="1:18">
      <c r="A31" s="15" t="s">
        <v>589</v>
      </c>
      <c r="B31" s="17" t="n">
        <v>2706</v>
      </c>
      <c r="C31" s="18">
        <f>(2401.0/B31*100)</f>
        <v/>
      </c>
      <c r="D31" s="19" t="n">
        <v>305</v>
      </c>
      <c r="E31" s="18" t="n">
        <v>21.45344811</v>
      </c>
      <c r="F31" s="20" t="n">
        <v>2.33464567</v>
      </c>
      <c r="G31" s="18" t="n">
        <v>70.97262463</v>
      </c>
      <c r="H31" s="20" t="n">
        <v>2.82059973</v>
      </c>
      <c r="I31" s="18" t="n">
        <v>0</v>
      </c>
      <c r="J31" s="20" t="n">
        <v>0</v>
      </c>
      <c r="K31" s="18" t="n">
        <v>0</v>
      </c>
      <c r="L31" s="20" t="n">
        <v>0</v>
      </c>
      <c r="M31" s="18" t="n">
        <v>0</v>
      </c>
      <c r="N31" s="20" t="n">
        <v>0</v>
      </c>
      <c r="O31" s="18" t="n">
        <v>0</v>
      </c>
      <c r="P31" s="20" t="n">
        <v>0</v>
      </c>
      <c r="Q31" s="18" t="n">
        <v>7.57392727</v>
      </c>
      <c r="R31" s="20" t="n">
        <v>1.68624316</v>
      </c>
    </row>
    <row r="32" spans="1:18">
      <c r="A32" s="15" t="s">
        <v>590</v>
      </c>
      <c r="B32" s="17" t="n">
        <v>2209</v>
      </c>
      <c r="C32" s="18">
        <f>(1962.0/B32*100)</f>
        <v/>
      </c>
      <c r="D32" s="19" t="n">
        <v>247</v>
      </c>
      <c r="E32" s="18" t="n">
        <v>43.54111624</v>
      </c>
      <c r="F32" s="20" t="n">
        <v>2.76374226</v>
      </c>
      <c r="G32" s="18" t="n">
        <v>39.22152208</v>
      </c>
      <c r="H32" s="20" t="n">
        <v>2.63928412</v>
      </c>
      <c r="I32" s="18" t="n">
        <v>0</v>
      </c>
      <c r="J32" s="20" t="n">
        <v>0</v>
      </c>
      <c r="K32" s="18" t="n">
        <v>0</v>
      </c>
      <c r="L32" s="20" t="n">
        <v>0</v>
      </c>
      <c r="M32" s="18" t="n">
        <v>0</v>
      </c>
      <c r="N32" s="20" t="n">
        <v>0</v>
      </c>
      <c r="O32" s="18" t="n">
        <v>0</v>
      </c>
      <c r="P32" s="20" t="n">
        <v>0</v>
      </c>
      <c r="Q32" s="18" t="n">
        <v>17.23736168</v>
      </c>
      <c r="R32" s="20" t="n">
        <v>2.22828347</v>
      </c>
    </row>
    <row r="33" spans="1:18">
      <c r="A33" s="15" t="s">
        <v>591</v>
      </c>
      <c r="B33" s="17" t="n">
        <v>3651</v>
      </c>
      <c r="C33" s="18">
        <f>(3243.0/B33*100)</f>
        <v/>
      </c>
      <c r="D33" s="19" t="n">
        <v>408</v>
      </c>
      <c r="E33" s="18" t="n">
        <v>49.21828043</v>
      </c>
      <c r="F33" s="20" t="n">
        <v>3.11038252</v>
      </c>
      <c r="G33" s="18" t="n">
        <v>38.56136399</v>
      </c>
      <c r="H33" s="20" t="n">
        <v>3.20518384</v>
      </c>
      <c r="I33" s="18" t="n">
        <v>0</v>
      </c>
      <c r="J33" s="20" t="n">
        <v>0</v>
      </c>
      <c r="K33" s="18" t="n">
        <v>0</v>
      </c>
      <c r="L33" s="20" t="n">
        <v>0</v>
      </c>
      <c r="M33" s="18" t="n">
        <v>0</v>
      </c>
      <c r="N33" s="20" t="n">
        <v>0</v>
      </c>
      <c r="O33" s="18" t="n">
        <v>0</v>
      </c>
      <c r="P33" s="20" t="n">
        <v>0</v>
      </c>
      <c r="Q33" s="18" t="n">
        <v>12.22035559</v>
      </c>
      <c r="R33" s="20" t="n">
        <v>1.88261156</v>
      </c>
    </row>
    <row r="34" spans="1:18">
      <c r="A34" s="15" t="s">
        <v>592</v>
      </c>
      <c r="B34" s="17" t="n">
        <v>3035</v>
      </c>
      <c r="C34" s="18">
        <f>(2725.0/B34*100)</f>
        <v/>
      </c>
      <c r="D34" s="19" t="n">
        <v>310</v>
      </c>
      <c r="E34" s="18" t="n">
        <v>53.31017085</v>
      </c>
      <c r="F34" s="20" t="n">
        <v>2.80306818</v>
      </c>
      <c r="G34" s="18" t="n">
        <v>29.82933109</v>
      </c>
      <c r="H34" s="20" t="n">
        <v>2.63248451</v>
      </c>
      <c r="I34" s="18" t="n">
        <v>0</v>
      </c>
      <c r="J34" s="20" t="n">
        <v>0</v>
      </c>
      <c r="K34" s="18" t="n">
        <v>0</v>
      </c>
      <c r="L34" s="20" t="n">
        <v>0</v>
      </c>
      <c r="M34" s="18" t="n">
        <v>0.31290808</v>
      </c>
      <c r="N34" s="20" t="n">
        <v>0.31063592</v>
      </c>
      <c r="O34" s="18" t="n">
        <v>0</v>
      </c>
      <c r="P34" s="20" t="n">
        <v>0</v>
      </c>
      <c r="Q34" s="18" t="n">
        <v>16.54758999</v>
      </c>
      <c r="R34" s="20" t="n">
        <v>2.20602168</v>
      </c>
    </row>
    <row r="35" spans="1:18">
      <c r="A35" s="15" t="s">
        <v>593</v>
      </c>
      <c r="B35" s="17" t="n">
        <v>2901</v>
      </c>
      <c r="C35" s="18">
        <f>(2592.0/B35*100)</f>
        <v/>
      </c>
      <c r="D35" s="19" t="n">
        <v>309</v>
      </c>
      <c r="E35" s="18" t="n">
        <v>43.73463471</v>
      </c>
      <c r="F35" s="20" t="n">
        <v>3.71686708</v>
      </c>
      <c r="G35" s="18" t="n">
        <v>51.54393317</v>
      </c>
      <c r="H35" s="20" t="n">
        <v>3.66435202</v>
      </c>
      <c r="I35" s="18" t="n">
        <v>0</v>
      </c>
      <c r="J35" s="20" t="n">
        <v>0</v>
      </c>
      <c r="K35" s="18" t="n">
        <v>0</v>
      </c>
      <c r="L35" s="20" t="n">
        <v>0</v>
      </c>
      <c r="M35" s="18" t="n">
        <v>0</v>
      </c>
      <c r="N35" s="20" t="n">
        <v>0</v>
      </c>
      <c r="O35" s="18" t="n">
        <v>0</v>
      </c>
      <c r="P35" s="20" t="n">
        <v>0</v>
      </c>
      <c r="Q35" s="18" t="n">
        <v>4.72143212</v>
      </c>
      <c r="R35" s="20" t="n">
        <v>1.30732369</v>
      </c>
    </row>
    <row r="36" spans="1:18">
      <c r="A36" s="15" t="s">
        <v>594</v>
      </c>
      <c r="B36" s="17" t="n">
        <v>3404</v>
      </c>
      <c r="C36" s="18">
        <f>(3019.0/B36*100)</f>
        <v/>
      </c>
      <c r="D36" s="19" t="n">
        <v>385</v>
      </c>
      <c r="E36" s="18" t="n">
        <v>43.11479419</v>
      </c>
      <c r="F36" s="20" t="n">
        <v>2.46123587</v>
      </c>
      <c r="G36" s="18" t="n">
        <v>50.35922184</v>
      </c>
      <c r="H36" s="20" t="n">
        <v>2.44650729</v>
      </c>
      <c r="I36" s="18" t="n">
        <v>0</v>
      </c>
      <c r="J36" s="20" t="n">
        <v>0</v>
      </c>
      <c r="K36" s="18" t="n">
        <v>0</v>
      </c>
      <c r="L36" s="20" t="n">
        <v>0</v>
      </c>
      <c r="M36" s="18" t="n">
        <v>0</v>
      </c>
      <c r="N36" s="20" t="n">
        <v>0</v>
      </c>
      <c r="O36" s="18" t="n">
        <v>0</v>
      </c>
      <c r="P36" s="20" t="n">
        <v>0</v>
      </c>
      <c r="Q36" s="18" t="n">
        <v>6.52598397</v>
      </c>
      <c r="R36" s="20" t="n">
        <v>1.38012083</v>
      </c>
    </row>
    <row r="37" spans="1:18">
      <c r="A37" s="15" t="s">
        <v>595</v>
      </c>
      <c r="B37" s="17" t="n">
        <v>2731</v>
      </c>
      <c r="C37" s="18">
        <f>(2436.0/B37*100)</f>
        <v/>
      </c>
      <c r="D37" s="19" t="n">
        <v>295</v>
      </c>
      <c r="E37" s="18" t="n">
        <v>32.55549638</v>
      </c>
      <c r="F37" s="20" t="n">
        <v>2.35073611</v>
      </c>
      <c r="G37" s="18" t="n">
        <v>56.16646606</v>
      </c>
      <c r="H37" s="20" t="n">
        <v>2.71744787</v>
      </c>
      <c r="I37" s="18" t="n">
        <v>0</v>
      </c>
      <c r="J37" s="20" t="n">
        <v>0</v>
      </c>
      <c r="K37" s="18" t="n">
        <v>0</v>
      </c>
      <c r="L37" s="20" t="n">
        <v>0</v>
      </c>
      <c r="M37" s="18" t="n">
        <v>0</v>
      </c>
      <c r="N37" s="20" t="n">
        <v>0</v>
      </c>
      <c r="O37" s="18" t="n">
        <v>0</v>
      </c>
      <c r="P37" s="20" t="n">
        <v>0</v>
      </c>
      <c r="Q37" s="18" t="n">
        <v>11.27803757</v>
      </c>
      <c r="R37" s="20" t="n">
        <v>1.70361418</v>
      </c>
    </row>
    <row r="38" spans="1:18">
      <c r="A38" s="15" t="s">
        <v>596</v>
      </c>
      <c r="B38" s="17" t="n">
        <v>2807</v>
      </c>
      <c r="C38" s="18">
        <f>(2508.0/B38*100)</f>
        <v/>
      </c>
      <c r="D38" s="19" t="n">
        <v>299</v>
      </c>
      <c r="E38" s="18" t="n">
        <v>44.08601363</v>
      </c>
      <c r="F38" s="20" t="n">
        <v>2.95310674</v>
      </c>
      <c r="G38" s="18" t="n">
        <v>44.64751026</v>
      </c>
      <c r="H38" s="20" t="n">
        <v>3.02895399</v>
      </c>
      <c r="I38" s="18" t="n">
        <v>0</v>
      </c>
      <c r="J38" s="20" t="n">
        <v>0</v>
      </c>
      <c r="K38" s="18" t="n">
        <v>0</v>
      </c>
      <c r="L38" s="20" t="n">
        <v>0</v>
      </c>
      <c r="M38" s="18" t="n">
        <v>2.66703699</v>
      </c>
      <c r="N38" s="20" t="n">
        <v>1.19024907</v>
      </c>
      <c r="O38" s="18" t="n">
        <v>0</v>
      </c>
      <c r="P38" s="20" t="n">
        <v>0</v>
      </c>
      <c r="Q38" s="18" t="n">
        <v>8.59943912</v>
      </c>
      <c r="R38" s="20" t="n">
        <v>1.99716147</v>
      </c>
    </row>
    <row r="39" spans="1:18">
      <c r="A39" s="15" t="s">
        <v>597</v>
      </c>
      <c r="B39" s="17" t="n">
        <v>2938</v>
      </c>
      <c r="C39" s="18">
        <f>(2616.0/B39*100)</f>
        <v/>
      </c>
      <c r="D39" s="19" t="n">
        <v>322</v>
      </c>
      <c r="E39" s="18" t="n">
        <v>61.25535269</v>
      </c>
      <c r="F39" s="20" t="n">
        <v>2.9194424</v>
      </c>
      <c r="G39" s="18" t="n">
        <v>30.94922918</v>
      </c>
      <c r="H39" s="20" t="n">
        <v>2.93544358</v>
      </c>
      <c r="I39" s="18" t="n">
        <v>0</v>
      </c>
      <c r="J39" s="20" t="n">
        <v>0</v>
      </c>
      <c r="K39" s="18" t="n">
        <v>0</v>
      </c>
      <c r="L39" s="20" t="n">
        <v>0</v>
      </c>
      <c r="M39" s="18" t="n">
        <v>0</v>
      </c>
      <c r="N39" s="20" t="n">
        <v>0</v>
      </c>
      <c r="O39" s="18" t="n">
        <v>0</v>
      </c>
      <c r="P39" s="20" t="n">
        <v>0</v>
      </c>
      <c r="Q39" s="18" t="n">
        <v>7.79541813</v>
      </c>
      <c r="R39" s="20" t="n">
        <v>1.74218994</v>
      </c>
    </row>
    <row r="40" spans="1:18">
      <c r="A40" s="15" t="s">
        <v>598</v>
      </c>
      <c r="B40" s="17" t="n">
        <v>6922</v>
      </c>
      <c r="C40" s="18">
        <f>(6128.0/B40*100)</f>
        <v/>
      </c>
      <c r="D40" s="19" t="n">
        <v>794</v>
      </c>
      <c r="E40" s="18" t="n">
        <v>42.53042052</v>
      </c>
      <c r="F40" s="20" t="n">
        <v>2.5511184</v>
      </c>
      <c r="G40" s="18" t="n">
        <v>45.590293</v>
      </c>
      <c r="H40" s="20" t="n">
        <v>2.67245604</v>
      </c>
      <c r="I40" s="18" t="n">
        <v>0</v>
      </c>
      <c r="J40" s="20" t="n">
        <v>0</v>
      </c>
      <c r="K40" s="18" t="n">
        <v>0.02941556</v>
      </c>
      <c r="L40" s="20" t="n">
        <v>0.02799419</v>
      </c>
      <c r="M40" s="18" t="n">
        <v>0</v>
      </c>
      <c r="N40" s="20" t="n">
        <v>0</v>
      </c>
      <c r="O40" s="18" t="n">
        <v>0</v>
      </c>
      <c r="P40" s="20" t="n">
        <v>0</v>
      </c>
      <c r="Q40" s="18" t="n">
        <v>11.84987093</v>
      </c>
      <c r="R40" s="20" t="n">
        <v>1.88180164</v>
      </c>
    </row>
    <row r="41" spans="1:18">
      <c r="A41" s="15" t="s">
        <v>599</v>
      </c>
      <c r="B41" s="17" t="n">
        <v>2854</v>
      </c>
      <c r="C41" s="18">
        <f>(2567.0/B41*100)</f>
        <v/>
      </c>
      <c r="D41" s="19" t="n">
        <v>287</v>
      </c>
      <c r="E41" s="18" t="n">
        <v>63.51228373</v>
      </c>
      <c r="F41" s="20" t="n">
        <v>3.11499826</v>
      </c>
      <c r="G41" s="18" t="n">
        <v>35.24052119</v>
      </c>
      <c r="H41" s="20" t="n">
        <v>3.08332361</v>
      </c>
      <c r="I41" s="18" t="n">
        <v>0</v>
      </c>
      <c r="J41" s="20" t="n">
        <v>0</v>
      </c>
      <c r="K41" s="18" t="n">
        <v>0</v>
      </c>
      <c r="L41" s="20" t="n">
        <v>0</v>
      </c>
      <c r="M41" s="18" t="n">
        <v>0</v>
      </c>
      <c r="N41" s="20" t="n">
        <v>0</v>
      </c>
      <c r="O41" s="18" t="n">
        <v>0</v>
      </c>
      <c r="P41" s="20" t="n">
        <v>0</v>
      </c>
      <c r="Q41" s="18" t="n">
        <v>1.24719508</v>
      </c>
      <c r="R41" s="20" t="n">
        <v>0.64505536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(10845.0/B46*100)</f>
        <v/>
      </c>
      <c r="D46" s="19" t="n">
        <v>1228</v>
      </c>
      <c r="E46" s="18" t="n">
        <v>60.78768579</v>
      </c>
      <c r="F46" s="20" t="n">
        <v>1.67851892</v>
      </c>
      <c r="G46" s="18" t="n">
        <v>17.11607524</v>
      </c>
      <c r="H46" s="20" t="n">
        <v>1.42919803</v>
      </c>
      <c r="I46" s="18" t="n">
        <v>0</v>
      </c>
      <c r="J46" s="20" t="n">
        <v>0</v>
      </c>
      <c r="K46" s="18" t="n">
        <v>0.6322829</v>
      </c>
      <c r="L46" s="20" t="n">
        <v>0.26679828</v>
      </c>
      <c r="M46" s="18" t="n">
        <v>0.26457583</v>
      </c>
      <c r="N46" s="20" t="n">
        <v>0.17466812</v>
      </c>
      <c r="O46" s="18" t="n">
        <v>0</v>
      </c>
      <c r="P46" s="20" t="n">
        <v>0</v>
      </c>
      <c r="Q46" s="18" t="n">
        <v>21.19938024</v>
      </c>
      <c r="R46" s="20" t="n">
        <v>1.73118021</v>
      </c>
    </row>
    <row r="47" spans="1:18">
      <c r="A47" s="15" t="s">
        <v>606</v>
      </c>
      <c r="B47" s="17" t="n">
        <v>2823</v>
      </c>
      <c r="C47" s="18">
        <f>(2534.0/B47*100)</f>
        <v/>
      </c>
      <c r="D47" s="19" t="n">
        <v>289</v>
      </c>
      <c r="E47" s="18" t="n">
        <v>27.07608386</v>
      </c>
      <c r="F47" s="20" t="n">
        <v>2.64480624</v>
      </c>
      <c r="G47" s="18" t="n">
        <v>54.16635656</v>
      </c>
      <c r="H47" s="20" t="n">
        <v>3.1845145</v>
      </c>
      <c r="I47" s="18" t="n">
        <v>0</v>
      </c>
      <c r="J47" s="20" t="n">
        <v>0</v>
      </c>
      <c r="K47" s="18" t="n">
        <v>0</v>
      </c>
      <c r="L47" s="20" t="n">
        <v>0</v>
      </c>
      <c r="M47" s="18" t="n">
        <v>0.3346168</v>
      </c>
      <c r="N47" s="20" t="n">
        <v>0.33309024</v>
      </c>
      <c r="O47" s="18" t="n">
        <v>0</v>
      </c>
      <c r="P47" s="20" t="n">
        <v>0</v>
      </c>
      <c r="Q47" s="18" t="n">
        <v>18.42294278</v>
      </c>
      <c r="R47" s="20" t="n">
        <v>2.50836692</v>
      </c>
    </row>
    <row r="48" spans="1:18">
      <c r="A48" s="15" t="s">
        <v>607</v>
      </c>
      <c r="B48" s="17" t="n">
        <v>4682</v>
      </c>
      <c r="C48" s="18">
        <f>(4157.0/B48*100)</f>
        <v/>
      </c>
      <c r="D48" s="19" t="n">
        <v>525</v>
      </c>
      <c r="E48" s="18" t="n">
        <v>37.4536534</v>
      </c>
      <c r="F48" s="20" t="n">
        <v>3.22670413</v>
      </c>
      <c r="G48" s="18" t="n">
        <v>55.45507991</v>
      </c>
      <c r="H48" s="20" t="n">
        <v>3.02511674</v>
      </c>
      <c r="I48" s="18" t="n">
        <v>0</v>
      </c>
      <c r="J48" s="20" t="n">
        <v>0</v>
      </c>
      <c r="K48" s="18" t="n">
        <v>0.00145739</v>
      </c>
      <c r="L48" s="20" t="n">
        <v>0.00146619</v>
      </c>
      <c r="M48" s="18" t="n">
        <v>0</v>
      </c>
      <c r="N48" s="20" t="n">
        <v>0</v>
      </c>
      <c r="O48" s="18" t="n">
        <v>0</v>
      </c>
      <c r="P48" s="20" t="n">
        <v>0</v>
      </c>
      <c r="Q48" s="18" t="n">
        <v>7.0898093</v>
      </c>
      <c r="R48" s="20" t="n">
        <v>1.5967874</v>
      </c>
    </row>
    <row r="49" spans="1:18">
      <c r="A49" s="15" t="s">
        <v>608</v>
      </c>
      <c r="B49" s="17" t="n">
        <v>6158</v>
      </c>
      <c r="C49" s="18">
        <f>(5488.0/B49*100)</f>
        <v/>
      </c>
      <c r="D49" s="19" t="n">
        <v>670</v>
      </c>
      <c r="E49" s="18" t="n">
        <v>76.53720982999999</v>
      </c>
      <c r="F49" s="20" t="n">
        <v>2.06677286</v>
      </c>
      <c r="G49" s="18" t="n">
        <v>18.87302963</v>
      </c>
      <c r="H49" s="20" t="n">
        <v>1.87204555</v>
      </c>
      <c r="I49" s="18" t="n">
        <v>0</v>
      </c>
      <c r="J49" s="20" t="n">
        <v>0</v>
      </c>
      <c r="K49" s="18" t="n">
        <v>0.9772642499999999</v>
      </c>
      <c r="L49" s="20" t="n">
        <v>0.57201046</v>
      </c>
      <c r="M49" s="18" t="n">
        <v>0.36778779</v>
      </c>
      <c r="N49" s="20" t="n">
        <v>0.20945743</v>
      </c>
      <c r="O49" s="18" t="n">
        <v>0</v>
      </c>
      <c r="P49" s="20" t="n">
        <v>0</v>
      </c>
      <c r="Q49" s="18" t="n">
        <v>3.24470849</v>
      </c>
      <c r="R49" s="20" t="n">
        <v>0.75301822</v>
      </c>
    </row>
    <row r="50" spans="1:18">
      <c r="A50" s="15" t="s">
        <v>609</v>
      </c>
      <c r="B50" s="17" t="n">
        <v>3494</v>
      </c>
      <c r="C50" s="18">
        <f>(3150.0/B50*100)</f>
        <v/>
      </c>
      <c r="D50" s="19" t="n">
        <v>344</v>
      </c>
      <c r="E50" s="18" t="n">
        <v>71.53774591</v>
      </c>
      <c r="F50" s="20" t="n">
        <v>2.10525763</v>
      </c>
      <c r="G50" s="18" t="n">
        <v>20.18187869</v>
      </c>
      <c r="H50" s="20" t="n">
        <v>2.0063997</v>
      </c>
      <c r="I50" s="18" t="n">
        <v>0</v>
      </c>
      <c r="J50" s="20" t="n">
        <v>0</v>
      </c>
      <c r="K50" s="18" t="n">
        <v>0</v>
      </c>
      <c r="L50" s="20" t="n">
        <v>0</v>
      </c>
      <c r="M50" s="18" t="n">
        <v>0.36177207</v>
      </c>
      <c r="N50" s="20" t="n">
        <v>0.33713572</v>
      </c>
      <c r="O50" s="18" t="n">
        <v>0</v>
      </c>
      <c r="P50" s="20" t="n">
        <v>0</v>
      </c>
      <c r="Q50" s="18" t="n">
        <v>7.91860333</v>
      </c>
      <c r="R50" s="20" t="n">
        <v>1.53520379</v>
      </c>
    </row>
    <row r="51" spans="1:18">
      <c r="A51" s="15" t="s">
        <v>610</v>
      </c>
      <c r="B51" s="17" t="n">
        <v>3013</v>
      </c>
      <c r="C51" s="18">
        <f>(2681.0/B51*100)</f>
        <v/>
      </c>
      <c r="D51" s="19" t="n">
        <v>332</v>
      </c>
      <c r="E51" s="18" t="n">
        <v>33.17320686</v>
      </c>
      <c r="F51" s="20" t="n">
        <v>2.31415414</v>
      </c>
      <c r="G51" s="18" t="n">
        <v>56.24001829</v>
      </c>
      <c r="H51" s="20" t="n">
        <v>2.50913379</v>
      </c>
      <c r="I51" s="18" t="n">
        <v>0</v>
      </c>
      <c r="J51" s="20" t="n">
        <v>0</v>
      </c>
      <c r="K51" s="18" t="n">
        <v>0</v>
      </c>
      <c r="L51" s="20" t="n">
        <v>0</v>
      </c>
      <c r="M51" s="18" t="n">
        <v>0</v>
      </c>
      <c r="N51" s="20" t="n">
        <v>0</v>
      </c>
      <c r="O51" s="18" t="n">
        <v>0</v>
      </c>
      <c r="P51" s="20" t="n">
        <v>0</v>
      </c>
      <c r="Q51" s="18" t="n">
        <v>10.58677485</v>
      </c>
      <c r="R51" s="20" t="n">
        <v>1.85803612</v>
      </c>
    </row>
    <row r="52" spans="1:18">
      <c r="A52" s="15" t="s">
        <v>611</v>
      </c>
      <c r="B52" s="17" t="n">
        <v>2760</v>
      </c>
      <c r="C52" s="18">
        <f>(2430.0/B52*100)</f>
        <v/>
      </c>
      <c r="D52" s="19" t="n">
        <v>330</v>
      </c>
      <c r="E52" s="18" t="n">
        <v>42.22407695</v>
      </c>
      <c r="F52" s="20" t="n">
        <v>2.7739402</v>
      </c>
      <c r="G52" s="18" t="n">
        <v>42.0840218</v>
      </c>
      <c r="H52" s="20" t="n">
        <v>3.00591101</v>
      </c>
      <c r="I52" s="18" t="n">
        <v>0</v>
      </c>
      <c r="J52" s="20" t="n">
        <v>0</v>
      </c>
      <c r="K52" s="18" t="n">
        <v>0</v>
      </c>
      <c r="L52" s="20" t="n">
        <v>0</v>
      </c>
      <c r="M52" s="18" t="n">
        <v>0</v>
      </c>
      <c r="N52" s="20" t="n">
        <v>0</v>
      </c>
      <c r="O52" s="18" t="n">
        <v>0</v>
      </c>
      <c r="P52" s="20" t="n">
        <v>0</v>
      </c>
      <c r="Q52" s="18" t="n">
        <v>15.69190125</v>
      </c>
      <c r="R52" s="20" t="n">
        <v>2.03959906</v>
      </c>
    </row>
    <row r="53" spans="1:18">
      <c r="A53" s="15" t="s">
        <v>612</v>
      </c>
      <c r="B53" s="17" t="n">
        <v>2474</v>
      </c>
      <c r="C53" s="18">
        <f>(2205.0/B53*100)</f>
        <v/>
      </c>
      <c r="D53" s="19" t="n">
        <v>269</v>
      </c>
      <c r="E53" s="18" t="n">
        <v>64.59121412</v>
      </c>
      <c r="F53" s="20" t="n">
        <v>2.97795958</v>
      </c>
      <c r="G53" s="18" t="n">
        <v>6.16657108</v>
      </c>
      <c r="H53" s="20" t="n">
        <v>1.74693174</v>
      </c>
      <c r="I53" s="18" t="n">
        <v>0</v>
      </c>
      <c r="J53" s="20" t="n">
        <v>0</v>
      </c>
      <c r="K53" s="18" t="n">
        <v>7.85774108</v>
      </c>
      <c r="L53" s="20" t="n">
        <v>1.84765801</v>
      </c>
      <c r="M53" s="18" t="n">
        <v>0.42249826</v>
      </c>
      <c r="N53" s="20" t="n">
        <v>0.48665289</v>
      </c>
      <c r="O53" s="18" t="n">
        <v>0</v>
      </c>
      <c r="P53" s="20" t="n">
        <v>0</v>
      </c>
      <c r="Q53" s="18" t="n">
        <v>20.96197546</v>
      </c>
      <c r="R53" s="20" t="n">
        <v>2.88629398</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(2380.0/B55*100)</f>
        <v/>
      </c>
      <c r="D55" s="19" t="n">
        <v>295</v>
      </c>
      <c r="E55" s="18" t="n">
        <v>40.51482001</v>
      </c>
      <c r="F55" s="20" t="n">
        <v>3.15577501</v>
      </c>
      <c r="G55" s="18" t="n">
        <v>57.49576185</v>
      </c>
      <c r="H55" s="20" t="n">
        <v>3.27215758</v>
      </c>
      <c r="I55" s="18" t="n">
        <v>0</v>
      </c>
      <c r="J55" s="20" t="n">
        <v>0</v>
      </c>
      <c r="K55" s="18" t="n">
        <v>0.6681960300000001</v>
      </c>
      <c r="L55" s="20" t="n">
        <v>0.65027322</v>
      </c>
      <c r="M55" s="18" t="n">
        <v>0</v>
      </c>
      <c r="N55" s="20" t="n">
        <v>0</v>
      </c>
      <c r="O55" s="18" t="n">
        <v>0</v>
      </c>
      <c r="P55" s="20" t="n">
        <v>0</v>
      </c>
      <c r="Q55" s="18" t="n">
        <v>1.32122211</v>
      </c>
      <c r="R55" s="20" t="n">
        <v>0.78937492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(2833.0/B61*100)</f>
        <v/>
      </c>
      <c r="D61" s="19" t="n">
        <v>368</v>
      </c>
      <c r="E61" s="18" t="n">
        <v>33.07540708</v>
      </c>
      <c r="F61" s="20" t="n">
        <v>2.4727867</v>
      </c>
      <c r="G61" s="18" t="n">
        <v>57.30256056</v>
      </c>
      <c r="H61" s="20" t="n">
        <v>2.6255303</v>
      </c>
      <c r="I61" s="18" t="n">
        <v>0</v>
      </c>
      <c r="J61" s="20" t="n">
        <v>0</v>
      </c>
      <c r="K61" s="18" t="n">
        <v>0</v>
      </c>
      <c r="L61" s="20" t="n">
        <v>0</v>
      </c>
      <c r="M61" s="18" t="n">
        <v>0</v>
      </c>
      <c r="N61" s="20" t="n">
        <v>0</v>
      </c>
      <c r="O61" s="18" t="n">
        <v>0</v>
      </c>
      <c r="P61" s="20" t="n">
        <v>0</v>
      </c>
      <c r="Q61" s="18" t="n">
        <v>9.62203236</v>
      </c>
      <c r="R61" s="20" t="n">
        <v>1.49190604</v>
      </c>
    </row>
    <row r="62" spans="1:18">
      <c r="A62" s="15" t="s">
        <v>622</v>
      </c>
      <c r="B62" s="17" t="n">
        <v>2230</v>
      </c>
      <c r="C62" s="18">
        <f>(1973.0/B62*100)</f>
        <v/>
      </c>
      <c r="D62" s="19" t="n">
        <v>257</v>
      </c>
      <c r="E62" s="18" t="n">
        <v>38.90517047</v>
      </c>
      <c r="F62" s="20" t="n">
        <v>2.88647286</v>
      </c>
      <c r="G62" s="18" t="n">
        <v>59.89820672</v>
      </c>
      <c r="H62" s="20" t="n">
        <v>2.84014555</v>
      </c>
      <c r="I62" s="18" t="n">
        <v>0</v>
      </c>
      <c r="J62" s="20" t="n">
        <v>0</v>
      </c>
      <c r="K62" s="18" t="n">
        <v>0</v>
      </c>
      <c r="L62" s="20" t="n">
        <v>0</v>
      </c>
      <c r="M62" s="18" t="n">
        <v>0</v>
      </c>
      <c r="N62" s="20" t="n">
        <v>0</v>
      </c>
      <c r="O62" s="18" t="n">
        <v>0</v>
      </c>
      <c r="P62" s="20" t="n">
        <v>0</v>
      </c>
      <c r="Q62" s="18" t="n">
        <v>1.19662281</v>
      </c>
      <c r="R62" s="20" t="n">
        <v>0.6836950899999999</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(2475.0/B67*100)</f>
        <v/>
      </c>
      <c r="D67" s="19" t="n">
        <v>296</v>
      </c>
      <c r="E67" s="18" t="n">
        <v>45.12692151</v>
      </c>
      <c r="F67" s="20" t="n">
        <v>2.74540638</v>
      </c>
      <c r="G67" s="18" t="n">
        <v>33.52624113</v>
      </c>
      <c r="H67" s="20" t="n">
        <v>2.47559639</v>
      </c>
      <c r="I67" s="18" t="n">
        <v>0</v>
      </c>
      <c r="J67" s="20" t="n">
        <v>0</v>
      </c>
      <c r="K67" s="18" t="n">
        <v>0.34728024</v>
      </c>
      <c r="L67" s="20" t="n">
        <v>0.3458169</v>
      </c>
      <c r="M67" s="18" t="n">
        <v>1.12206814</v>
      </c>
      <c r="N67" s="20" t="n">
        <v>0.69170926</v>
      </c>
      <c r="O67" s="18" t="n">
        <v>0</v>
      </c>
      <c r="P67" s="20" t="n">
        <v>0</v>
      </c>
      <c r="Q67" s="18" t="n">
        <v>19.87748898</v>
      </c>
      <c r="R67" s="20" t="n">
        <v>2.18023542</v>
      </c>
    </row>
    <row r="68" spans="1:18">
      <c r="A68" s="15" t="s">
        <v>628</v>
      </c>
      <c r="B68" s="17" t="n">
        <v>3460</v>
      </c>
      <c r="C68" s="18">
        <f>(3103.0/B68*100)</f>
        <v/>
      </c>
      <c r="D68" s="19" t="n">
        <v>357</v>
      </c>
      <c r="E68" s="18" t="n">
        <v>82.73604061</v>
      </c>
      <c r="F68" s="20" t="n">
        <v>1.95602007</v>
      </c>
      <c r="G68" s="18" t="n">
        <v>8.31694894</v>
      </c>
      <c r="H68" s="20" t="n">
        <v>1.29639674</v>
      </c>
      <c r="I68" s="18" t="n">
        <v>0</v>
      </c>
      <c r="J68" s="20" t="n">
        <v>0</v>
      </c>
      <c r="K68" s="18" t="n">
        <v>0.26719279</v>
      </c>
      <c r="L68" s="20" t="n">
        <v>0.2909075</v>
      </c>
      <c r="M68" s="18" t="n">
        <v>0.28045779</v>
      </c>
      <c r="N68" s="20" t="n">
        <v>0.28250929</v>
      </c>
      <c r="O68" s="18" t="n">
        <v>0</v>
      </c>
      <c r="P68" s="20" t="n">
        <v>0</v>
      </c>
      <c r="Q68" s="18" t="n">
        <v>8.39935987</v>
      </c>
      <c r="R68" s="20" t="n">
        <v>1.34791567</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(5358.0/B70*100)</f>
        <v/>
      </c>
      <c r="D70" s="19" t="n">
        <v>676</v>
      </c>
      <c r="E70" s="18" t="n">
        <v>60.78824207</v>
      </c>
      <c r="F70" s="20" t="n">
        <v>2.02815958</v>
      </c>
      <c r="G70" s="18" t="n">
        <v>28.24447534</v>
      </c>
      <c r="H70" s="20" t="n">
        <v>1.93022391</v>
      </c>
      <c r="I70" s="18" t="n">
        <v>0</v>
      </c>
      <c r="J70" s="20" t="n">
        <v>0</v>
      </c>
      <c r="K70" s="18" t="n">
        <v>0.43375562</v>
      </c>
      <c r="L70" s="20" t="n">
        <v>0.25045047</v>
      </c>
      <c r="M70" s="18" t="n">
        <v>0.15517325</v>
      </c>
      <c r="N70" s="20" t="n">
        <v>0.15294602</v>
      </c>
      <c r="O70" s="18" t="n">
        <v>0</v>
      </c>
      <c r="P70" s="20" t="n">
        <v>0</v>
      </c>
      <c r="Q70" s="18" t="n">
        <v>10.37835372</v>
      </c>
      <c r="R70" s="20" t="n">
        <v>1.10485423</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(2758.0/B72*100)</f>
        <v/>
      </c>
      <c r="D72" s="19" t="n">
        <v>349</v>
      </c>
      <c r="E72" s="18" t="n">
        <v>34.96818891</v>
      </c>
      <c r="F72" s="20" t="n">
        <v>2.43826797</v>
      </c>
      <c r="G72" s="18" t="n">
        <v>55.75847971</v>
      </c>
      <c r="H72" s="20" t="n">
        <v>2.37800208</v>
      </c>
      <c r="I72" s="18" t="n">
        <v>0</v>
      </c>
      <c r="J72" s="20" t="n">
        <v>0</v>
      </c>
      <c r="K72" s="18" t="n">
        <v>0</v>
      </c>
      <c r="L72" s="20" t="n">
        <v>0</v>
      </c>
      <c r="M72" s="18" t="n">
        <v>0</v>
      </c>
      <c r="N72" s="20" t="n">
        <v>0</v>
      </c>
      <c r="O72" s="18" t="n">
        <v>0</v>
      </c>
      <c r="P72" s="20" t="n">
        <v>0</v>
      </c>
      <c r="Q72" s="18" t="n">
        <v>9.27333138</v>
      </c>
      <c r="R72" s="20" t="n">
        <v>1.76466033</v>
      </c>
    </row>
    <row r="73" spans="1:18">
      <c r="A73" s="15" t="s">
        <v>633</v>
      </c>
      <c r="B73" s="17" t="n">
        <v>2973</v>
      </c>
      <c r="C73" s="18">
        <f>(2649.0/B73*100)</f>
        <v/>
      </c>
      <c r="D73" s="19" t="n">
        <v>324</v>
      </c>
      <c r="E73" s="18" t="n">
        <v>46.92885686</v>
      </c>
      <c r="F73" s="20" t="n">
        <v>2.58902088</v>
      </c>
      <c r="G73" s="18" t="n">
        <v>49.97518306</v>
      </c>
      <c r="H73" s="20" t="n">
        <v>2.73977087</v>
      </c>
      <c r="I73" s="18" t="n">
        <v>0</v>
      </c>
      <c r="J73" s="20" t="n">
        <v>0</v>
      </c>
      <c r="K73" s="18" t="n">
        <v>0</v>
      </c>
      <c r="L73" s="20" t="n">
        <v>0</v>
      </c>
      <c r="M73" s="18" t="n">
        <v>0</v>
      </c>
      <c r="N73" s="20" t="n">
        <v>0</v>
      </c>
      <c r="O73" s="18" t="n">
        <v>0</v>
      </c>
      <c r="P73" s="20" t="n">
        <v>0</v>
      </c>
      <c r="Q73" s="18" t="n">
        <v>3.09596008</v>
      </c>
      <c r="R73" s="20" t="n">
        <v>0.88505656</v>
      </c>
    </row>
    <row r="74" spans="1:18">
      <c r="A74" s="15" t="s">
        <v>634</v>
      </c>
      <c r="B74" s="17" t="n">
        <v>3819</v>
      </c>
      <c r="C74" s="18">
        <f>(3363.0/B74*100)</f>
        <v/>
      </c>
      <c r="D74" s="19" t="n">
        <v>456</v>
      </c>
      <c r="E74" s="18" t="n">
        <v>30.33846412</v>
      </c>
      <c r="F74" s="20" t="n">
        <v>2.24813093</v>
      </c>
      <c r="G74" s="18" t="n">
        <v>65.08087963</v>
      </c>
      <c r="H74" s="20" t="n">
        <v>2.43252393</v>
      </c>
      <c r="I74" s="18" t="n">
        <v>0</v>
      </c>
      <c r="J74" s="20" t="n">
        <v>0</v>
      </c>
      <c r="K74" s="18" t="n">
        <v>0.24087361</v>
      </c>
      <c r="L74" s="20" t="n">
        <v>0.24151467</v>
      </c>
      <c r="M74" s="18" t="n">
        <v>0</v>
      </c>
      <c r="N74" s="20" t="n">
        <v>0</v>
      </c>
      <c r="O74" s="18" t="n">
        <v>0</v>
      </c>
      <c r="P74" s="20" t="n">
        <v>0</v>
      </c>
      <c r="Q74" s="18" t="n">
        <v>4.33978264</v>
      </c>
      <c r="R74" s="20" t="n">
        <v>0.81964934</v>
      </c>
    </row>
    <row r="75" spans="1:18">
      <c r="A75" s="15" t="s">
        <v>635</v>
      </c>
      <c r="B75" s="17" t="n">
        <v>4652</v>
      </c>
      <c r="C75" s="18">
        <f>(4162.0/B75*100)</f>
        <v/>
      </c>
      <c r="D75" s="19" t="n">
        <v>490</v>
      </c>
      <c r="E75" s="18" t="n">
        <v>65.21750969999999</v>
      </c>
      <c r="F75" s="20" t="n">
        <v>2.6198127</v>
      </c>
      <c r="G75" s="18" t="n">
        <v>33.5828589</v>
      </c>
      <c r="H75" s="20" t="n">
        <v>2.53273088</v>
      </c>
      <c r="I75" s="18" t="n">
        <v>0</v>
      </c>
      <c r="J75" s="20" t="n">
        <v>0</v>
      </c>
      <c r="K75" s="18" t="n">
        <v>0</v>
      </c>
      <c r="L75" s="20" t="n">
        <v>0</v>
      </c>
      <c r="M75" s="18" t="n">
        <v>0</v>
      </c>
      <c r="N75" s="20" t="n">
        <v>0</v>
      </c>
      <c r="O75" s="18" t="n">
        <v>0</v>
      </c>
      <c r="P75" s="20" t="n">
        <v>0</v>
      </c>
      <c r="Q75" s="18" t="n">
        <v>1.1996314</v>
      </c>
      <c r="R75" s="20" t="n">
        <v>0.58463253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(2669.0/B77*100)</f>
        <v/>
      </c>
      <c r="D77" s="19" t="n">
        <v>300</v>
      </c>
      <c r="E77" s="18" t="n">
        <v>53.04407751</v>
      </c>
      <c r="F77" s="20" t="n">
        <v>2.94645291</v>
      </c>
      <c r="G77" s="18" t="n">
        <v>25.72589271</v>
      </c>
      <c r="H77" s="20" t="n">
        <v>2.20140354</v>
      </c>
      <c r="I77" s="18" t="n">
        <v>0</v>
      </c>
      <c r="J77" s="20" t="n">
        <v>0</v>
      </c>
      <c r="K77" s="18" t="n">
        <v>0</v>
      </c>
      <c r="L77" s="20" t="n">
        <v>0</v>
      </c>
      <c r="M77" s="18" t="n">
        <v>1.01004902</v>
      </c>
      <c r="N77" s="20" t="n">
        <v>0.75469157</v>
      </c>
      <c r="O77" s="18" t="n">
        <v>0</v>
      </c>
      <c r="P77" s="20" t="n">
        <v>0</v>
      </c>
      <c r="Q77" s="18" t="n">
        <v>20.21998076</v>
      </c>
      <c r="R77" s="20" t="n">
        <v>2.4212347</v>
      </c>
    </row>
    <row r="78" spans="1:18">
      <c r="A78" s="15" t="s">
        <v>638</v>
      </c>
      <c r="B78" s="17" t="n">
        <v>7115</v>
      </c>
      <c r="C78" s="18">
        <f>(6295.0/B78*100)</f>
        <v/>
      </c>
      <c r="D78" s="19" t="n">
        <v>820</v>
      </c>
      <c r="E78" s="18" t="n">
        <v>57.83645426</v>
      </c>
      <c r="F78" s="20" t="n">
        <v>2.22463852</v>
      </c>
      <c r="G78" s="18" t="n">
        <v>37.52484037</v>
      </c>
      <c r="H78" s="20" t="n">
        <v>2.3146092</v>
      </c>
      <c r="I78" s="18" t="n">
        <v>0</v>
      </c>
      <c r="J78" s="20" t="n">
        <v>0</v>
      </c>
      <c r="K78" s="18" t="n">
        <v>0.76599519</v>
      </c>
      <c r="L78" s="20" t="n">
        <v>0.34926544</v>
      </c>
      <c r="M78" s="18" t="n">
        <v>0.14419677</v>
      </c>
      <c r="N78" s="20" t="n">
        <v>0.11533652</v>
      </c>
      <c r="O78" s="18" t="n">
        <v>0</v>
      </c>
      <c r="P78" s="20" t="n">
        <v>0</v>
      </c>
      <c r="Q78" s="18" t="n">
        <v>3.72851341</v>
      </c>
      <c r="R78" s="20" t="n">
        <v>0.87400388</v>
      </c>
    </row>
    <row r="79" spans="1:18">
      <c r="A79" s="15" t="s">
        <v>639</v>
      </c>
      <c r="B79" s="17" t="n">
        <v>3154</v>
      </c>
      <c r="C79" s="18">
        <f>(2802.0/B79*100)</f>
        <v/>
      </c>
      <c r="D79" s="19" t="n">
        <v>352</v>
      </c>
      <c r="E79" s="18" t="n">
        <v>55.54484781</v>
      </c>
      <c r="F79" s="20" t="n">
        <v>2.90136881</v>
      </c>
      <c r="G79" s="18" t="n">
        <v>21.31122034</v>
      </c>
      <c r="H79" s="20" t="n">
        <v>1.97738032</v>
      </c>
      <c r="I79" s="18" t="n">
        <v>0</v>
      </c>
      <c r="J79" s="20" t="n">
        <v>0</v>
      </c>
      <c r="K79" s="18" t="n">
        <v>0</v>
      </c>
      <c r="L79" s="20" t="n">
        <v>0</v>
      </c>
      <c r="M79" s="18" t="n">
        <v>0</v>
      </c>
      <c r="N79" s="20" t="n">
        <v>0</v>
      </c>
      <c r="O79" s="18" t="n">
        <v>0</v>
      </c>
      <c r="P79" s="20" t="n">
        <v>0</v>
      </c>
      <c r="Q79" s="18" t="n">
        <v>23.14393185</v>
      </c>
      <c r="R79" s="20" t="n">
        <v>2.53432083</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(14254.0/B82*100)</f>
        <v/>
      </c>
      <c r="D82" s="19" t="n">
        <v>1707</v>
      </c>
      <c r="E82" s="18" t="n">
        <v>40.78350281</v>
      </c>
      <c r="F82" s="20" t="n">
        <v>1.8363244</v>
      </c>
      <c r="G82" s="18" t="n">
        <v>52.61999636</v>
      </c>
      <c r="H82" s="20" t="n">
        <v>1.67755653</v>
      </c>
      <c r="I82" s="18" t="n">
        <v>0</v>
      </c>
      <c r="J82" s="20" t="n">
        <v>0</v>
      </c>
      <c r="K82" s="18" t="n">
        <v>0</v>
      </c>
      <c r="L82" s="20" t="n">
        <v>0</v>
      </c>
      <c r="M82" s="18" t="n">
        <v>0.0491178</v>
      </c>
      <c r="N82" s="20" t="n">
        <v>0.04921168</v>
      </c>
      <c r="O82" s="18" t="n">
        <v>0</v>
      </c>
      <c r="P82" s="20" t="n">
        <v>0</v>
      </c>
      <c r="Q82" s="18" t="n">
        <v>6.54738303</v>
      </c>
      <c r="R82" s="20" t="n">
        <v>0.92018519</v>
      </c>
    </row>
    <row r="83" spans="1:18">
      <c r="A83" s="15" t="s">
        <v>643</v>
      </c>
      <c r="B83" s="17" t="n">
        <v>808</v>
      </c>
      <c r="C83" s="18">
        <f>(720.0/B83*100)</f>
        <v/>
      </c>
      <c r="D83" s="19" t="n">
        <v>88</v>
      </c>
      <c r="E83" s="18" t="n">
        <v>64.50552768999999</v>
      </c>
      <c r="F83" s="20" t="n">
        <v>5.94681208</v>
      </c>
      <c r="G83" s="18" t="n">
        <v>33.37523586</v>
      </c>
      <c r="H83" s="20" t="n">
        <v>5.86203242</v>
      </c>
      <c r="I83" s="18" t="n">
        <v>0</v>
      </c>
      <c r="J83" s="20" t="n">
        <v>0</v>
      </c>
      <c r="K83" s="18" t="n">
        <v>0</v>
      </c>
      <c r="L83" s="20" t="n">
        <v>0</v>
      </c>
      <c r="M83" s="18" t="n">
        <v>0</v>
      </c>
      <c r="N83" s="20" t="n">
        <v>0</v>
      </c>
      <c r="O83" s="18" t="n">
        <v>0</v>
      </c>
      <c r="P83" s="20" t="n">
        <v>0</v>
      </c>
      <c r="Q83" s="18" t="n">
        <v>2.11923644</v>
      </c>
      <c r="R83" s="20" t="n">
        <v>1.41096848</v>
      </c>
    </row>
    <row r="84" spans="1:18">
      <c r="A84" s="23" t="s">
        <v>644</v>
      </c>
      <c r="B84" s="24" t="n">
        <v>938</v>
      </c>
      <c r="C84" s="25">
        <f>(841.0/B84*100)</f>
        <v/>
      </c>
      <c r="D84" s="19" t="n">
        <v>97</v>
      </c>
      <c r="E84" s="18" t="n">
        <v>63.05640111</v>
      </c>
      <c r="F84" s="20" t="n">
        <v>5.51769522</v>
      </c>
      <c r="G84" s="18" t="n">
        <v>36.03646671</v>
      </c>
      <c r="H84" s="20" t="n">
        <v>5.43433875</v>
      </c>
      <c r="I84" s="18" t="n">
        <v>0</v>
      </c>
      <c r="J84" s="20" t="n">
        <v>0</v>
      </c>
      <c r="K84" s="18" t="n">
        <v>0</v>
      </c>
      <c r="L84" s="20" t="n">
        <v>0</v>
      </c>
      <c r="M84" s="18" t="n">
        <v>0</v>
      </c>
      <c r="N84" s="20" t="n">
        <v>0</v>
      </c>
      <c r="O84" s="18" t="n">
        <v>0</v>
      </c>
      <c r="P84" s="20" t="n">
        <v>0</v>
      </c>
      <c r="Q84" s="18" t="n">
        <v>0.90713217</v>
      </c>
      <c r="R84" s="20" t="n">
        <v>0.91823182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V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654</v>
      </c>
    </row>
    <row customHeight="1" ht="30" r="4" spans="1:22">
      <c r="A4" s="6" t="n"/>
      <c r="B4" s="7" t="s">
        <v>551</v>
      </c>
      <c r="C4" s="7" t="s">
        <v>552</v>
      </c>
      <c r="D4" s="8" t="s">
        <v>551</v>
      </c>
      <c r="E4" s="9" t="s">
        <v>655</v>
      </c>
      <c r="F4" s="10" t="n"/>
      <c r="G4" s="9" t="s">
        <v>656</v>
      </c>
      <c r="H4" s="10" t="n"/>
      <c r="I4" s="9" t="s">
        <v>657</v>
      </c>
      <c r="J4" s="10" t="n"/>
      <c r="K4" s="9" t="s">
        <v>658</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row>
    <row r="6" spans="1:22">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565</v>
      </c>
      <c r="B7" s="17" t="n">
        <v>7163</v>
      </c>
      <c r="C7" s="18">
        <f>(6341.0/B7*100)</f>
        <v/>
      </c>
      <c r="D7" s="19" t="n">
        <v>822</v>
      </c>
      <c r="E7" s="18" t="n">
        <v>20.79887397</v>
      </c>
      <c r="F7" s="20" t="n">
        <v>1.5208914</v>
      </c>
      <c r="G7" s="18" t="n">
        <v>31.43972634</v>
      </c>
      <c r="H7" s="20" t="n">
        <v>1.8362642</v>
      </c>
      <c r="I7" s="18" t="n">
        <v>35.16170939</v>
      </c>
      <c r="J7" s="20" t="n">
        <v>2.03793388</v>
      </c>
      <c r="K7" s="18" t="n">
        <v>5.36157617</v>
      </c>
      <c r="L7" s="20" t="n">
        <v>1.02057996</v>
      </c>
      <c r="M7" s="18" t="n">
        <v>0</v>
      </c>
      <c r="N7" s="20" t="n">
        <v>0</v>
      </c>
      <c r="O7" s="18" t="n">
        <v>0.11352023</v>
      </c>
      <c r="P7" s="20" t="n">
        <v>0.07969733</v>
      </c>
      <c r="Q7" s="18" t="n">
        <v>0.01224286</v>
      </c>
      <c r="R7" s="20" t="n">
        <v>0.01235126</v>
      </c>
      <c r="S7" s="18" t="n">
        <v>0</v>
      </c>
      <c r="T7" s="20" t="n">
        <v>0</v>
      </c>
      <c r="U7" s="18" t="n">
        <v>7.11235104</v>
      </c>
      <c r="V7" s="20" t="n">
        <v>0.95877994</v>
      </c>
    </row>
    <row r="8" spans="1:22">
      <c r="A8" s="15" t="s">
        <v>566</v>
      </c>
      <c r="B8" s="17" t="n">
        <v>3443</v>
      </c>
      <c r="C8" s="18">
        <f>(3060.0/B8*100)</f>
        <v/>
      </c>
      <c r="D8" s="19" t="n">
        <v>383</v>
      </c>
      <c r="E8" s="18" t="n">
        <v>16.0408497</v>
      </c>
      <c r="F8" s="20" t="n">
        <v>1.8429494</v>
      </c>
      <c r="G8" s="18" t="n">
        <v>33.47982422</v>
      </c>
      <c r="H8" s="20" t="n">
        <v>2.65565172</v>
      </c>
      <c r="I8" s="18" t="n">
        <v>19.06656163</v>
      </c>
      <c r="J8" s="20" t="n">
        <v>2.31204581</v>
      </c>
      <c r="K8" s="18" t="n">
        <v>9.952235809999999</v>
      </c>
      <c r="L8" s="20" t="n">
        <v>1.37913694</v>
      </c>
      <c r="M8" s="18" t="n">
        <v>0</v>
      </c>
      <c r="N8" s="20" t="n">
        <v>0</v>
      </c>
      <c r="O8" s="18" t="n">
        <v>0</v>
      </c>
      <c r="P8" s="20" t="n">
        <v>0</v>
      </c>
      <c r="Q8" s="18" t="n">
        <v>0</v>
      </c>
      <c r="R8" s="20" t="n">
        <v>0</v>
      </c>
      <c r="S8" s="18" t="n">
        <v>0</v>
      </c>
      <c r="T8" s="20" t="n">
        <v>0</v>
      </c>
      <c r="U8" s="18" t="n">
        <v>21.46052865</v>
      </c>
      <c r="V8" s="20" t="n">
        <v>2.44378689</v>
      </c>
    </row>
    <row r="9" spans="1:22">
      <c r="A9" s="15" t="s">
        <v>567</v>
      </c>
      <c r="B9" s="17" t="n">
        <v>4752</v>
      </c>
      <c r="C9" s="18">
        <f>(4248.0/B9*100)</f>
        <v/>
      </c>
      <c r="D9" s="19" t="n">
        <v>504</v>
      </c>
      <c r="E9" s="18" t="n">
        <v>11.72934836</v>
      </c>
      <c r="F9" s="20" t="n">
        <v>1.45261522</v>
      </c>
      <c r="G9" s="18" t="n">
        <v>41.56918508</v>
      </c>
      <c r="H9" s="20" t="n">
        <v>2.28831355</v>
      </c>
      <c r="I9" s="18" t="n">
        <v>28.03488033</v>
      </c>
      <c r="J9" s="20" t="n">
        <v>2.11031885</v>
      </c>
      <c r="K9" s="18" t="n">
        <v>4.87629432</v>
      </c>
      <c r="L9" s="20" t="n">
        <v>1.20791148</v>
      </c>
      <c r="M9" s="18" t="n">
        <v>0</v>
      </c>
      <c r="N9" s="20" t="n">
        <v>0</v>
      </c>
      <c r="O9" s="18" t="n">
        <v>0</v>
      </c>
      <c r="P9" s="20" t="n">
        <v>0</v>
      </c>
      <c r="Q9" s="18" t="n">
        <v>0.35015078</v>
      </c>
      <c r="R9" s="20" t="n">
        <v>0.25482425</v>
      </c>
      <c r="S9" s="18" t="n">
        <v>0</v>
      </c>
      <c r="T9" s="20" t="n">
        <v>0</v>
      </c>
      <c r="U9" s="18" t="n">
        <v>13.44014113</v>
      </c>
      <c r="V9" s="20" t="n">
        <v>2.02498295</v>
      </c>
    </row>
    <row r="10" spans="1:22">
      <c r="A10" s="15" t="s">
        <v>568</v>
      </c>
      <c r="B10" s="17" t="n">
        <v>10022</v>
      </c>
      <c r="C10" s="18">
        <f>(8916.0/B10*100)</f>
        <v/>
      </c>
      <c r="D10" s="19" t="n">
        <v>1106</v>
      </c>
      <c r="E10" s="18" t="n">
        <v>16.11215622</v>
      </c>
      <c r="F10" s="20" t="n">
        <v>1.8633514</v>
      </c>
      <c r="G10" s="18" t="n">
        <v>30.35343537</v>
      </c>
      <c r="H10" s="20" t="n">
        <v>2.20212016</v>
      </c>
      <c r="I10" s="18" t="n">
        <v>42.53246545</v>
      </c>
      <c r="J10" s="20" t="n">
        <v>2.53638471</v>
      </c>
      <c r="K10" s="18" t="n">
        <v>5.99163666</v>
      </c>
      <c r="L10" s="20" t="n">
        <v>1.01455066</v>
      </c>
      <c r="M10" s="18" t="n">
        <v>0</v>
      </c>
      <c r="N10" s="20" t="n">
        <v>0</v>
      </c>
      <c r="O10" s="18" t="n">
        <v>0.01408675</v>
      </c>
      <c r="P10" s="20" t="n">
        <v>0.01440163</v>
      </c>
      <c r="Q10" s="18" t="n">
        <v>0</v>
      </c>
      <c r="R10" s="20" t="n">
        <v>0</v>
      </c>
      <c r="S10" s="18" t="n">
        <v>0</v>
      </c>
      <c r="T10" s="20" t="n">
        <v>0</v>
      </c>
      <c r="U10" s="18" t="n">
        <v>4.99621954</v>
      </c>
      <c r="V10" s="20" t="n">
        <v>0.92953133</v>
      </c>
    </row>
    <row r="11" spans="1:22">
      <c r="A11" s="15" t="s">
        <v>569</v>
      </c>
      <c r="B11" s="17" t="n">
        <v>3500</v>
      </c>
      <c r="C11" s="18">
        <f>(3130.0/B11*100)</f>
        <v/>
      </c>
      <c r="D11" s="19" t="n">
        <v>370</v>
      </c>
      <c r="E11" s="18" t="n">
        <v>16.59489366</v>
      </c>
      <c r="F11" s="20" t="n">
        <v>2.44592261</v>
      </c>
      <c r="G11" s="18" t="n">
        <v>45.27564016</v>
      </c>
      <c r="H11" s="20" t="n">
        <v>3.03201564</v>
      </c>
      <c r="I11" s="18" t="n">
        <v>16.23153895</v>
      </c>
      <c r="J11" s="20" t="n">
        <v>2.30224371</v>
      </c>
      <c r="K11" s="18" t="n">
        <v>6.56136354</v>
      </c>
      <c r="L11" s="20" t="n">
        <v>1.19827638</v>
      </c>
      <c r="M11" s="18" t="n">
        <v>0</v>
      </c>
      <c r="N11" s="20" t="n">
        <v>0</v>
      </c>
      <c r="O11" s="18" t="n">
        <v>0</v>
      </c>
      <c r="P11" s="20" t="n">
        <v>0</v>
      </c>
      <c r="Q11" s="18" t="n">
        <v>0.37543361</v>
      </c>
      <c r="R11" s="20" t="n">
        <v>0.38954098</v>
      </c>
      <c r="S11" s="18" t="n">
        <v>0</v>
      </c>
      <c r="T11" s="20" t="n">
        <v>0</v>
      </c>
      <c r="U11" s="18" t="n">
        <v>14.96113007</v>
      </c>
      <c r="V11" s="20" t="n">
        <v>2.20278067</v>
      </c>
    </row>
    <row r="12" spans="1:22">
      <c r="A12" s="15" t="s">
        <v>570</v>
      </c>
      <c r="B12" s="17" t="n">
        <v>3422</v>
      </c>
      <c r="C12" s="18">
        <f>(3064.0/B12*100)</f>
        <v/>
      </c>
      <c r="D12" s="19" t="n">
        <v>358</v>
      </c>
      <c r="E12" s="18" t="n">
        <v>23.68545214</v>
      </c>
      <c r="F12" s="20" t="n">
        <v>2.1909882</v>
      </c>
      <c r="G12" s="18" t="n">
        <v>25.09739691</v>
      </c>
      <c r="H12" s="20" t="n">
        <v>2.34460588</v>
      </c>
      <c r="I12" s="18" t="n">
        <v>23.65903765</v>
      </c>
      <c r="J12" s="20" t="n">
        <v>2.26167323</v>
      </c>
      <c r="K12" s="18" t="n">
        <v>10.64412799</v>
      </c>
      <c r="L12" s="20" t="n">
        <v>1.59183965</v>
      </c>
      <c r="M12" s="18" t="n">
        <v>0</v>
      </c>
      <c r="N12" s="20" t="n">
        <v>0</v>
      </c>
      <c r="O12" s="18" t="n">
        <v>0.16111713</v>
      </c>
      <c r="P12" s="20" t="n">
        <v>0.15658868</v>
      </c>
      <c r="Q12" s="18" t="n">
        <v>0.27023609</v>
      </c>
      <c r="R12" s="20" t="n">
        <v>0.27080297</v>
      </c>
      <c r="S12" s="18" t="n">
        <v>0</v>
      </c>
      <c r="T12" s="20" t="n">
        <v>0</v>
      </c>
      <c r="U12" s="18" t="n">
        <v>16.48263209</v>
      </c>
      <c r="V12" s="20" t="n">
        <v>2.4035713</v>
      </c>
    </row>
    <row r="13" spans="1:22">
      <c r="A13" s="15" t="s">
        <v>571</v>
      </c>
      <c r="B13" s="17" t="n">
        <v>3602</v>
      </c>
      <c r="C13" s="18">
        <f>(3191.0/B13*100)</f>
        <v/>
      </c>
      <c r="D13" s="19" t="n">
        <v>411</v>
      </c>
      <c r="E13" s="18" t="n">
        <v>6.02880902</v>
      </c>
      <c r="F13" s="20" t="n">
        <v>1.47898179</v>
      </c>
      <c r="G13" s="18" t="n">
        <v>49.73178471</v>
      </c>
      <c r="H13" s="20" t="n">
        <v>3.3561534</v>
      </c>
      <c r="I13" s="18" t="n">
        <v>22.53141983</v>
      </c>
      <c r="J13" s="20" t="n">
        <v>2.35972196</v>
      </c>
      <c r="K13" s="18" t="n">
        <v>6.88336426</v>
      </c>
      <c r="L13" s="20" t="n">
        <v>1.69233377</v>
      </c>
      <c r="M13" s="18" t="n">
        <v>0</v>
      </c>
      <c r="N13" s="20" t="n">
        <v>0</v>
      </c>
      <c r="O13" s="18" t="n">
        <v>0.51613447</v>
      </c>
      <c r="P13" s="20" t="n">
        <v>0.44345419</v>
      </c>
      <c r="Q13" s="18" t="n">
        <v>0</v>
      </c>
      <c r="R13" s="20" t="n">
        <v>0</v>
      </c>
      <c r="S13" s="18" t="n">
        <v>0</v>
      </c>
      <c r="T13" s="20" t="n">
        <v>0</v>
      </c>
      <c r="U13" s="18" t="n">
        <v>14.30848771</v>
      </c>
      <c r="V13" s="20" t="n">
        <v>2.12896501</v>
      </c>
    </row>
    <row r="14" spans="1:22">
      <c r="A14" s="15" t="s">
        <v>572</v>
      </c>
      <c r="B14" s="17" t="n">
        <v>2788</v>
      </c>
      <c r="C14" s="18">
        <f>(2496.0/B14*100)</f>
        <v/>
      </c>
      <c r="D14" s="19" t="n">
        <v>292</v>
      </c>
      <c r="E14" s="18" t="n">
        <v>18.26789391</v>
      </c>
      <c r="F14" s="20" t="n">
        <v>2.78304748</v>
      </c>
      <c r="G14" s="18" t="n">
        <v>35.39057825</v>
      </c>
      <c r="H14" s="20" t="n">
        <v>2.79539484</v>
      </c>
      <c r="I14" s="18" t="n">
        <v>19.03360452</v>
      </c>
      <c r="J14" s="20" t="n">
        <v>2.62021838</v>
      </c>
      <c r="K14" s="18" t="n">
        <v>19.77321049</v>
      </c>
      <c r="L14" s="20" t="n">
        <v>2.70655992</v>
      </c>
      <c r="M14" s="18" t="n">
        <v>0</v>
      </c>
      <c r="N14" s="20" t="n">
        <v>0</v>
      </c>
      <c r="O14" s="18" t="n">
        <v>0</v>
      </c>
      <c r="P14" s="20" t="n">
        <v>0</v>
      </c>
      <c r="Q14" s="18" t="n">
        <v>0</v>
      </c>
      <c r="R14" s="20" t="n">
        <v>0</v>
      </c>
      <c r="S14" s="18" t="n">
        <v>0</v>
      </c>
      <c r="T14" s="20" t="n">
        <v>0</v>
      </c>
      <c r="U14" s="18" t="n">
        <v>7.53471282</v>
      </c>
      <c r="V14" s="20" t="n">
        <v>1.74633486</v>
      </c>
    </row>
    <row r="15" spans="1:22">
      <c r="A15" s="15" t="s">
        <v>573</v>
      </c>
      <c r="B15" s="17" t="n">
        <v>2863</v>
      </c>
      <c r="C15" s="18">
        <f>(2525.0/B15*100)</f>
        <v/>
      </c>
      <c r="D15" s="19" t="n">
        <v>338</v>
      </c>
      <c r="E15" s="18" t="n">
        <v>17.78417105</v>
      </c>
      <c r="F15" s="20" t="n">
        <v>2.24457891</v>
      </c>
      <c r="G15" s="18" t="n">
        <v>25.75954778</v>
      </c>
      <c r="H15" s="20" t="n">
        <v>2.62146161</v>
      </c>
      <c r="I15" s="18" t="n">
        <v>27.87695636</v>
      </c>
      <c r="J15" s="20" t="n">
        <v>2.43392885</v>
      </c>
      <c r="K15" s="18" t="n">
        <v>16.35971093</v>
      </c>
      <c r="L15" s="20" t="n">
        <v>2.23712425</v>
      </c>
      <c r="M15" s="18" t="n">
        <v>0</v>
      </c>
      <c r="N15" s="20" t="n">
        <v>0</v>
      </c>
      <c r="O15" s="18" t="n">
        <v>0</v>
      </c>
      <c r="P15" s="20" t="n">
        <v>0</v>
      </c>
      <c r="Q15" s="18" t="n">
        <v>0</v>
      </c>
      <c r="R15" s="20" t="n">
        <v>0</v>
      </c>
      <c r="S15" s="18" t="n">
        <v>0</v>
      </c>
      <c r="T15" s="20" t="n">
        <v>0</v>
      </c>
      <c r="U15" s="18" t="n">
        <v>12.21961389</v>
      </c>
      <c r="V15" s="20" t="n">
        <v>1.88786534</v>
      </c>
    </row>
    <row r="16" spans="1:22">
      <c r="A16" s="15" t="s">
        <v>574</v>
      </c>
      <c r="B16" s="17" t="n">
        <v>3111</v>
      </c>
      <c r="C16" s="18">
        <f>(2766.0/B16*100)</f>
        <v/>
      </c>
      <c r="D16" s="19" t="n">
        <v>345</v>
      </c>
      <c r="E16" s="18" t="n">
        <v>11.98637658</v>
      </c>
      <c r="F16" s="20" t="n">
        <v>1.90518512</v>
      </c>
      <c r="G16" s="18" t="n">
        <v>31.99452598</v>
      </c>
      <c r="H16" s="20" t="n">
        <v>2.27282037</v>
      </c>
      <c r="I16" s="18" t="n">
        <v>27.44495063</v>
      </c>
      <c r="J16" s="20" t="n">
        <v>2.15178385</v>
      </c>
      <c r="K16" s="18" t="n">
        <v>6.61251074</v>
      </c>
      <c r="L16" s="20" t="n">
        <v>1.41240093</v>
      </c>
      <c r="M16" s="18" t="n">
        <v>0</v>
      </c>
      <c r="N16" s="20" t="n">
        <v>0</v>
      </c>
      <c r="O16" s="18" t="n">
        <v>0</v>
      </c>
      <c r="P16" s="20" t="n">
        <v>0</v>
      </c>
      <c r="Q16" s="18" t="n">
        <v>0</v>
      </c>
      <c r="R16" s="20" t="n">
        <v>0</v>
      </c>
      <c r="S16" s="18" t="n">
        <v>0</v>
      </c>
      <c r="T16" s="20" t="n">
        <v>0</v>
      </c>
      <c r="U16" s="18" t="n">
        <v>21.96163608</v>
      </c>
      <c r="V16" s="20" t="n">
        <v>2.41140698</v>
      </c>
    </row>
    <row r="17" spans="1:22">
      <c r="A17" s="15" t="s">
        <v>575</v>
      </c>
      <c r="B17" s="17" t="n">
        <v>3197</v>
      </c>
      <c r="C17" s="18">
        <f>(2836.0/B17*100)</f>
        <v/>
      </c>
      <c r="D17" s="19" t="n">
        <v>361</v>
      </c>
      <c r="E17" s="18" t="n">
        <v>11.18648752</v>
      </c>
      <c r="F17" s="20" t="n">
        <v>1.63413759</v>
      </c>
      <c r="G17" s="18" t="n">
        <v>33.00521105</v>
      </c>
      <c r="H17" s="20" t="n">
        <v>2.27169454</v>
      </c>
      <c r="I17" s="18" t="n">
        <v>34.74930514</v>
      </c>
      <c r="J17" s="20" t="n">
        <v>2.36727206</v>
      </c>
      <c r="K17" s="18" t="n">
        <v>6.87567361</v>
      </c>
      <c r="L17" s="20" t="n">
        <v>1.64376362</v>
      </c>
      <c r="M17" s="18" t="n">
        <v>0</v>
      </c>
      <c r="N17" s="20" t="n">
        <v>0</v>
      </c>
      <c r="O17" s="18" t="n">
        <v>0</v>
      </c>
      <c r="P17" s="20" t="n">
        <v>0</v>
      </c>
      <c r="Q17" s="18" t="n">
        <v>0</v>
      </c>
      <c r="R17" s="20" t="n">
        <v>0</v>
      </c>
      <c r="S17" s="18" t="n">
        <v>0</v>
      </c>
      <c r="T17" s="20" t="n">
        <v>0</v>
      </c>
      <c r="U17" s="18" t="n">
        <v>14.18332268</v>
      </c>
      <c r="V17" s="20" t="n">
        <v>2.06160566</v>
      </c>
    </row>
    <row r="18" spans="1:22">
      <c r="A18" s="15" t="s">
        <v>576</v>
      </c>
      <c r="B18" s="17" t="n">
        <v>2706</v>
      </c>
      <c r="C18" s="18">
        <f>(2410.0/B18*100)</f>
        <v/>
      </c>
      <c r="D18" s="19" t="n">
        <v>296</v>
      </c>
      <c r="E18" s="18" t="n">
        <v>25.04413815</v>
      </c>
      <c r="F18" s="20" t="n">
        <v>2.65742378</v>
      </c>
      <c r="G18" s="18" t="n">
        <v>36.94579118</v>
      </c>
      <c r="H18" s="20" t="n">
        <v>3.06410663</v>
      </c>
      <c r="I18" s="18" t="n">
        <v>17.21519999</v>
      </c>
      <c r="J18" s="20" t="n">
        <v>2.06205936</v>
      </c>
      <c r="K18" s="18" t="n">
        <v>10.59983244</v>
      </c>
      <c r="L18" s="20" t="n">
        <v>1.92114803</v>
      </c>
      <c r="M18" s="18" t="n">
        <v>0</v>
      </c>
      <c r="N18" s="20" t="n">
        <v>0</v>
      </c>
      <c r="O18" s="18" t="n">
        <v>0</v>
      </c>
      <c r="P18" s="20" t="n">
        <v>0</v>
      </c>
      <c r="Q18" s="18" t="n">
        <v>0</v>
      </c>
      <c r="R18" s="20" t="n">
        <v>0</v>
      </c>
      <c r="S18" s="18" t="n">
        <v>0</v>
      </c>
      <c r="T18" s="20" t="n">
        <v>0</v>
      </c>
      <c r="U18" s="18" t="n">
        <v>10.19503824</v>
      </c>
      <c r="V18" s="20" t="n">
        <v>1.84756675</v>
      </c>
    </row>
    <row r="19" spans="1:22">
      <c r="A19" s="15" t="s">
        <v>577</v>
      </c>
      <c r="B19" s="17" t="n">
        <v>2850</v>
      </c>
      <c r="C19" s="18">
        <f>(2542.0/B19*100)</f>
        <v/>
      </c>
      <c r="D19" s="19" t="n">
        <v>308</v>
      </c>
      <c r="E19" s="18" t="n">
        <v>18.22820224</v>
      </c>
      <c r="F19" s="20" t="n">
        <v>2.21537278</v>
      </c>
      <c r="G19" s="18" t="n">
        <v>34.49772229</v>
      </c>
      <c r="H19" s="20" t="n">
        <v>2.84889583</v>
      </c>
      <c r="I19" s="18" t="n">
        <v>19.9072846</v>
      </c>
      <c r="J19" s="20" t="n">
        <v>2.3544477</v>
      </c>
      <c r="K19" s="18" t="n">
        <v>6.3975263</v>
      </c>
      <c r="L19" s="20" t="n">
        <v>1.28282843</v>
      </c>
      <c r="M19" s="18" t="n">
        <v>0</v>
      </c>
      <c r="N19" s="20" t="n">
        <v>0</v>
      </c>
      <c r="O19" s="18" t="n">
        <v>0</v>
      </c>
      <c r="P19" s="20" t="n">
        <v>0</v>
      </c>
      <c r="Q19" s="18" t="n">
        <v>0</v>
      </c>
      <c r="R19" s="20" t="n">
        <v>0</v>
      </c>
      <c r="S19" s="18" t="n">
        <v>0</v>
      </c>
      <c r="T19" s="20" t="n">
        <v>0</v>
      </c>
      <c r="U19" s="18" t="n">
        <v>20.96926457</v>
      </c>
      <c r="V19" s="20" t="n">
        <v>2.76523503</v>
      </c>
    </row>
    <row r="20" spans="1:22">
      <c r="A20" s="15" t="s">
        <v>578</v>
      </c>
      <c r="B20" s="17" t="n">
        <v>1741</v>
      </c>
      <c r="C20" s="18">
        <f>(1549.0/B20*100)</f>
        <v/>
      </c>
      <c r="D20" s="19" t="n">
        <v>192</v>
      </c>
      <c r="E20" s="18" t="n">
        <v>15.97839204</v>
      </c>
      <c r="F20" s="20" t="n">
        <v>2.22625288</v>
      </c>
      <c r="G20" s="18" t="n">
        <v>38.36802895</v>
      </c>
      <c r="H20" s="20" t="n">
        <v>3.32580196</v>
      </c>
      <c r="I20" s="18" t="n">
        <v>20.3974411</v>
      </c>
      <c r="J20" s="20" t="n">
        <v>3.23025044</v>
      </c>
      <c r="K20" s="18" t="n">
        <v>6.24280302</v>
      </c>
      <c r="L20" s="20" t="n">
        <v>1.76671008</v>
      </c>
      <c r="M20" s="18" t="n">
        <v>0</v>
      </c>
      <c r="N20" s="20" t="n">
        <v>0</v>
      </c>
      <c r="O20" s="18" t="n">
        <v>0.46718247</v>
      </c>
      <c r="P20" s="20" t="n">
        <v>0.46922359</v>
      </c>
      <c r="Q20" s="18" t="n">
        <v>0.64320235</v>
      </c>
      <c r="R20" s="20" t="n">
        <v>0.65857416</v>
      </c>
      <c r="S20" s="18" t="n">
        <v>0</v>
      </c>
      <c r="T20" s="20" t="n">
        <v>0</v>
      </c>
      <c r="U20" s="18" t="n">
        <v>17.90295008</v>
      </c>
      <c r="V20" s="20" t="n">
        <v>2.97752368</v>
      </c>
    </row>
    <row r="21" spans="1:22">
      <c r="A21" s="15" t="s">
        <v>579</v>
      </c>
      <c r="B21" s="17" t="n">
        <v>2833</v>
      </c>
      <c r="C21" s="18">
        <f>(2500.0/B21*100)</f>
        <v/>
      </c>
      <c r="D21" s="19" t="n">
        <v>333</v>
      </c>
      <c r="E21" s="18" t="n">
        <v>14.30674076</v>
      </c>
      <c r="F21" s="20" t="n">
        <v>2.18017457</v>
      </c>
      <c r="G21" s="18" t="n">
        <v>18.89029103</v>
      </c>
      <c r="H21" s="20" t="n">
        <v>1.82851033</v>
      </c>
      <c r="I21" s="18" t="n">
        <v>59.62145045</v>
      </c>
      <c r="J21" s="20" t="n">
        <v>2.97833509</v>
      </c>
      <c r="K21" s="18" t="n">
        <v>2.31478248</v>
      </c>
      <c r="L21" s="20" t="n">
        <v>0.85818856</v>
      </c>
      <c r="M21" s="18" t="n">
        <v>0</v>
      </c>
      <c r="N21" s="20" t="n">
        <v>0</v>
      </c>
      <c r="O21" s="18" t="n">
        <v>0</v>
      </c>
      <c r="P21" s="20" t="n">
        <v>0</v>
      </c>
      <c r="Q21" s="18" t="n">
        <v>0</v>
      </c>
      <c r="R21" s="20" t="n">
        <v>0</v>
      </c>
      <c r="S21" s="18" t="n">
        <v>0</v>
      </c>
      <c r="T21" s="20" t="n">
        <v>0</v>
      </c>
      <c r="U21" s="18" t="n">
        <v>4.86673528</v>
      </c>
      <c r="V21" s="20" t="n">
        <v>1.04823602</v>
      </c>
    </row>
    <row r="22" spans="1:22">
      <c r="A22" s="15" t="s">
        <v>580</v>
      </c>
      <c r="B22" s="17" t="n">
        <v>3667</v>
      </c>
      <c r="C22" s="18">
        <f>(3279.0/B22*100)</f>
        <v/>
      </c>
      <c r="D22" s="19" t="n">
        <v>388</v>
      </c>
      <c r="E22" s="18" t="n">
        <v>11.41356055</v>
      </c>
      <c r="F22" s="20" t="n">
        <v>1.73205061</v>
      </c>
      <c r="G22" s="18" t="n">
        <v>43.72114797</v>
      </c>
      <c r="H22" s="20" t="n">
        <v>2.88903651</v>
      </c>
      <c r="I22" s="18" t="n">
        <v>21.82336239</v>
      </c>
      <c r="J22" s="20" t="n">
        <v>2.53844877</v>
      </c>
      <c r="K22" s="18" t="n">
        <v>7.66627992</v>
      </c>
      <c r="L22" s="20" t="n">
        <v>1.57723131</v>
      </c>
      <c r="M22" s="18" t="n">
        <v>0</v>
      </c>
      <c r="N22" s="20" t="n">
        <v>0</v>
      </c>
      <c r="O22" s="18" t="n">
        <v>0.47933888</v>
      </c>
      <c r="P22" s="20" t="n">
        <v>0.33826209</v>
      </c>
      <c r="Q22" s="18" t="n">
        <v>0</v>
      </c>
      <c r="R22" s="20" t="n">
        <v>0</v>
      </c>
      <c r="S22" s="18" t="n">
        <v>0</v>
      </c>
      <c r="T22" s="20" t="n">
        <v>0</v>
      </c>
      <c r="U22" s="18" t="n">
        <v>14.89631029</v>
      </c>
      <c r="V22" s="20" t="n">
        <v>1.98271385</v>
      </c>
    </row>
    <row r="23" spans="1:22">
      <c r="A23" s="15" t="s">
        <v>581</v>
      </c>
      <c r="B23" s="17" t="n">
        <v>5792</v>
      </c>
      <c r="C23" s="18">
        <f>(5154.0/B23*100)</f>
        <v/>
      </c>
      <c r="D23" s="19" t="n">
        <v>638</v>
      </c>
      <c r="E23" s="18" t="n">
        <v>25.71550388</v>
      </c>
      <c r="F23" s="20" t="n">
        <v>2.61272926</v>
      </c>
      <c r="G23" s="18" t="n">
        <v>26.36086532</v>
      </c>
      <c r="H23" s="20" t="n">
        <v>2.59635973</v>
      </c>
      <c r="I23" s="18" t="n">
        <v>11.23188802</v>
      </c>
      <c r="J23" s="20" t="n">
        <v>1.55984003</v>
      </c>
      <c r="K23" s="18" t="n">
        <v>15.37781201</v>
      </c>
      <c r="L23" s="20" t="n">
        <v>1.99321571</v>
      </c>
      <c r="M23" s="18" t="n">
        <v>0</v>
      </c>
      <c r="N23" s="20" t="n">
        <v>0</v>
      </c>
      <c r="O23" s="18" t="n">
        <v>0</v>
      </c>
      <c r="P23" s="20" t="n">
        <v>0</v>
      </c>
      <c r="Q23" s="18" t="n">
        <v>0</v>
      </c>
      <c r="R23" s="20" t="n">
        <v>0</v>
      </c>
      <c r="S23" s="18" t="n">
        <v>0</v>
      </c>
      <c r="T23" s="20" t="n">
        <v>0</v>
      </c>
      <c r="U23" s="18" t="n">
        <v>21.31393077</v>
      </c>
      <c r="V23" s="20" t="n">
        <v>2.38459154</v>
      </c>
    </row>
    <row r="24" spans="1:22">
      <c r="A24" s="15" t="s">
        <v>582</v>
      </c>
      <c r="B24" s="17" t="n">
        <v>3309</v>
      </c>
      <c r="C24" s="18">
        <f>(2941.0/B24*100)</f>
        <v/>
      </c>
      <c r="D24" s="19" t="n">
        <v>368</v>
      </c>
      <c r="E24" s="18" t="n">
        <v>7.22308824</v>
      </c>
      <c r="F24" s="20" t="n">
        <v>1.45933345</v>
      </c>
      <c r="G24" s="18" t="n">
        <v>14.53542275</v>
      </c>
      <c r="H24" s="20" t="n">
        <v>1.81660373</v>
      </c>
      <c r="I24" s="18" t="n">
        <v>52.79304721</v>
      </c>
      <c r="J24" s="20" t="n">
        <v>2.76667727</v>
      </c>
      <c r="K24" s="18" t="n">
        <v>19.00135428</v>
      </c>
      <c r="L24" s="20" t="n">
        <v>1.91849323</v>
      </c>
      <c r="M24" s="18" t="n">
        <v>0</v>
      </c>
      <c r="N24" s="20" t="n">
        <v>0</v>
      </c>
      <c r="O24" s="18" t="n">
        <v>0</v>
      </c>
      <c r="P24" s="20" t="n">
        <v>0</v>
      </c>
      <c r="Q24" s="18" t="n">
        <v>0</v>
      </c>
      <c r="R24" s="20" t="n">
        <v>0</v>
      </c>
      <c r="S24" s="18" t="n">
        <v>0</v>
      </c>
      <c r="T24" s="20" t="n">
        <v>0</v>
      </c>
      <c r="U24" s="18" t="n">
        <v>6.44708751</v>
      </c>
      <c r="V24" s="20" t="n">
        <v>1.49672634</v>
      </c>
    </row>
    <row r="25" spans="1:22">
      <c r="A25" s="15" t="s">
        <v>583</v>
      </c>
      <c r="B25" s="17" t="n">
        <v>2669</v>
      </c>
      <c r="C25" s="18">
        <f>(2358.0/B25*100)</f>
        <v/>
      </c>
      <c r="D25" s="19" t="n">
        <v>311</v>
      </c>
      <c r="E25" s="18" t="n">
        <v>10.41316816</v>
      </c>
      <c r="F25" s="20" t="n">
        <v>1.78222772</v>
      </c>
      <c r="G25" s="18" t="n">
        <v>25.77919267</v>
      </c>
      <c r="H25" s="20" t="n">
        <v>2.75597429</v>
      </c>
      <c r="I25" s="18" t="n">
        <v>51.36473962</v>
      </c>
      <c r="J25" s="20" t="n">
        <v>3.34005367</v>
      </c>
      <c r="K25" s="18" t="n">
        <v>2.28577965</v>
      </c>
      <c r="L25" s="20" t="n">
        <v>0.86134097</v>
      </c>
      <c r="M25" s="18" t="n">
        <v>0</v>
      </c>
      <c r="N25" s="20" t="n">
        <v>0</v>
      </c>
      <c r="O25" s="18" t="n">
        <v>0.31682012</v>
      </c>
      <c r="P25" s="20" t="n">
        <v>0.31801206</v>
      </c>
      <c r="Q25" s="18" t="n">
        <v>0</v>
      </c>
      <c r="R25" s="20" t="n">
        <v>0</v>
      </c>
      <c r="S25" s="18" t="n">
        <v>0</v>
      </c>
      <c r="T25" s="20" t="n">
        <v>0</v>
      </c>
      <c r="U25" s="18" t="n">
        <v>9.84029978</v>
      </c>
      <c r="V25" s="20" t="n">
        <v>1.95652086</v>
      </c>
    </row>
    <row r="26" spans="1:22">
      <c r="A26" s="15" t="s">
        <v>584</v>
      </c>
      <c r="B26" s="17" t="n">
        <v>2419</v>
      </c>
      <c r="C26" s="18">
        <f>(2145.0/B26*100)</f>
        <v/>
      </c>
      <c r="D26" s="19" t="n">
        <v>274</v>
      </c>
      <c r="E26" s="18" t="n">
        <v>20.5426514</v>
      </c>
      <c r="F26" s="20" t="n">
        <v>2.57589048</v>
      </c>
      <c r="G26" s="18" t="n">
        <v>37.39311294</v>
      </c>
      <c r="H26" s="20" t="n">
        <v>3.24864818</v>
      </c>
      <c r="I26" s="18" t="n">
        <v>15.37894157</v>
      </c>
      <c r="J26" s="20" t="n">
        <v>2.43290316</v>
      </c>
      <c r="K26" s="18" t="n">
        <v>6.38046859</v>
      </c>
      <c r="L26" s="20" t="n">
        <v>1.85583554</v>
      </c>
      <c r="M26" s="18" t="n">
        <v>0</v>
      </c>
      <c r="N26" s="20" t="n">
        <v>0</v>
      </c>
      <c r="O26" s="18" t="n">
        <v>0</v>
      </c>
      <c r="P26" s="20" t="n">
        <v>0</v>
      </c>
      <c r="Q26" s="18" t="n">
        <v>0.33065408</v>
      </c>
      <c r="R26" s="20" t="n">
        <v>0.32769445</v>
      </c>
      <c r="S26" s="18" t="n">
        <v>0</v>
      </c>
      <c r="T26" s="20" t="n">
        <v>0</v>
      </c>
      <c r="U26" s="18" t="n">
        <v>19.97417142</v>
      </c>
      <c r="V26" s="20" t="n">
        <v>2.61813335</v>
      </c>
    </row>
    <row r="27" spans="1:22">
      <c r="A27" s="15" t="s">
        <v>585</v>
      </c>
      <c r="B27" s="17" t="n">
        <v>2683</v>
      </c>
      <c r="C27" s="18">
        <f>(2385.0/B27*100)</f>
        <v/>
      </c>
      <c r="D27" s="19" t="n">
        <v>298</v>
      </c>
      <c r="E27" s="18" t="n">
        <v>12.0861598</v>
      </c>
      <c r="F27" s="20" t="n">
        <v>1.80510355</v>
      </c>
      <c r="G27" s="18" t="n">
        <v>39.63000527</v>
      </c>
      <c r="H27" s="20" t="n">
        <v>2.54482931</v>
      </c>
      <c r="I27" s="18" t="n">
        <v>22.73028294</v>
      </c>
      <c r="J27" s="20" t="n">
        <v>2.44908911</v>
      </c>
      <c r="K27" s="18" t="n">
        <v>8.708570330000001</v>
      </c>
      <c r="L27" s="20" t="n">
        <v>1.45986819</v>
      </c>
      <c r="M27" s="18" t="n">
        <v>0</v>
      </c>
      <c r="N27" s="20" t="n">
        <v>0</v>
      </c>
      <c r="O27" s="18" t="n">
        <v>0</v>
      </c>
      <c r="P27" s="20" t="n">
        <v>0</v>
      </c>
      <c r="Q27" s="18" t="n">
        <v>0</v>
      </c>
      <c r="R27" s="20" t="n">
        <v>0</v>
      </c>
      <c r="S27" s="18" t="n">
        <v>0</v>
      </c>
      <c r="T27" s="20" t="n">
        <v>0</v>
      </c>
      <c r="U27" s="18" t="n">
        <v>16.84498166</v>
      </c>
      <c r="V27" s="20" t="n">
        <v>1.95006988</v>
      </c>
    </row>
    <row r="28" spans="1:22">
      <c r="A28" s="15" t="s">
        <v>586</v>
      </c>
      <c r="B28" s="17" t="n">
        <v>3803</v>
      </c>
      <c r="C28" s="18">
        <f>(3371.0/B28*100)</f>
        <v/>
      </c>
      <c r="D28" s="19" t="n">
        <v>432</v>
      </c>
      <c r="E28" s="18" t="n">
        <v>13.8909974</v>
      </c>
      <c r="F28" s="20" t="n">
        <v>1.52921374</v>
      </c>
      <c r="G28" s="18" t="n">
        <v>72.0154252</v>
      </c>
      <c r="H28" s="20" t="n">
        <v>2.26345087</v>
      </c>
      <c r="I28" s="18" t="n">
        <v>6.81879222</v>
      </c>
      <c r="J28" s="20" t="n">
        <v>1.21580343</v>
      </c>
      <c r="K28" s="18" t="n">
        <v>1.42308833</v>
      </c>
      <c r="L28" s="20" t="n">
        <v>0.62638503</v>
      </c>
      <c r="M28" s="18" t="n">
        <v>0</v>
      </c>
      <c r="N28" s="20" t="n">
        <v>0</v>
      </c>
      <c r="O28" s="18" t="n">
        <v>0</v>
      </c>
      <c r="P28" s="20" t="n">
        <v>0</v>
      </c>
      <c r="Q28" s="18" t="n">
        <v>0</v>
      </c>
      <c r="R28" s="20" t="n">
        <v>0</v>
      </c>
      <c r="S28" s="18" t="n">
        <v>0</v>
      </c>
      <c r="T28" s="20" t="n">
        <v>0</v>
      </c>
      <c r="U28" s="18" t="n">
        <v>5.85169686</v>
      </c>
      <c r="V28" s="20" t="n">
        <v>1.26091393</v>
      </c>
    </row>
    <row r="29" spans="1:22">
      <c r="A29" s="15" t="s">
        <v>587</v>
      </c>
      <c r="B29" s="17" t="n">
        <v>2700</v>
      </c>
      <c r="C29" s="18">
        <f>(2399.0/B29*100)</f>
        <v/>
      </c>
      <c r="D29" s="19" t="n">
        <v>301</v>
      </c>
      <c r="E29" s="18" t="n">
        <v>21.84600413</v>
      </c>
      <c r="F29" s="20" t="n">
        <v>2.16712697</v>
      </c>
      <c r="G29" s="18" t="n">
        <v>35.24311494</v>
      </c>
      <c r="H29" s="20" t="n">
        <v>2.82789693</v>
      </c>
      <c r="I29" s="18" t="n">
        <v>29.34373048</v>
      </c>
      <c r="J29" s="20" t="n">
        <v>2.62103038</v>
      </c>
      <c r="K29" s="18" t="n">
        <v>5.7504754</v>
      </c>
      <c r="L29" s="20" t="n">
        <v>1.56776192</v>
      </c>
      <c r="M29" s="18" t="n">
        <v>0</v>
      </c>
      <c r="N29" s="20" t="n">
        <v>0</v>
      </c>
      <c r="O29" s="18" t="n">
        <v>0</v>
      </c>
      <c r="P29" s="20" t="n">
        <v>0</v>
      </c>
      <c r="Q29" s="18" t="n">
        <v>0</v>
      </c>
      <c r="R29" s="20" t="n">
        <v>0</v>
      </c>
      <c r="S29" s="18" t="n">
        <v>0</v>
      </c>
      <c r="T29" s="20" t="n">
        <v>0</v>
      </c>
      <c r="U29" s="18" t="n">
        <v>7.81667504</v>
      </c>
      <c r="V29" s="20" t="n">
        <v>1.75378866</v>
      </c>
    </row>
    <row r="30" spans="1:22">
      <c r="A30" s="15" t="s">
        <v>588</v>
      </c>
      <c r="B30" s="17" t="n">
        <v>2257</v>
      </c>
      <c r="C30" s="18">
        <f>(2003.0/B30*100)</f>
        <v/>
      </c>
      <c r="D30" s="19" t="n">
        <v>254</v>
      </c>
      <c r="E30" s="18" t="n">
        <v>15.96347754</v>
      </c>
      <c r="F30" s="20" t="n">
        <v>1.91420198</v>
      </c>
      <c r="G30" s="18" t="n">
        <v>26.88178538</v>
      </c>
      <c r="H30" s="20" t="n">
        <v>2.87790159</v>
      </c>
      <c r="I30" s="18" t="n">
        <v>37.36878636</v>
      </c>
      <c r="J30" s="20" t="n">
        <v>2.66107276</v>
      </c>
      <c r="K30" s="18" t="n">
        <v>7.29714356</v>
      </c>
      <c r="L30" s="20" t="n">
        <v>1.58471198</v>
      </c>
      <c r="M30" s="18" t="n">
        <v>0</v>
      </c>
      <c r="N30" s="20" t="n">
        <v>0</v>
      </c>
      <c r="O30" s="18" t="n">
        <v>0.38476818</v>
      </c>
      <c r="P30" s="20" t="n">
        <v>0.37670043</v>
      </c>
      <c r="Q30" s="18" t="n">
        <v>0</v>
      </c>
      <c r="R30" s="20" t="n">
        <v>0</v>
      </c>
      <c r="S30" s="18" t="n">
        <v>0</v>
      </c>
      <c r="T30" s="20" t="n">
        <v>0</v>
      </c>
      <c r="U30" s="18" t="n">
        <v>12.104039</v>
      </c>
      <c r="V30" s="20" t="n">
        <v>1.77739652</v>
      </c>
    </row>
    <row r="31" spans="1:22">
      <c r="A31" s="15" t="s">
        <v>589</v>
      </c>
      <c r="B31" s="17" t="n">
        <v>2706</v>
      </c>
      <c r="C31" s="18">
        <f>(2401.0/B31*100)</f>
        <v/>
      </c>
      <c r="D31" s="19" t="n">
        <v>305</v>
      </c>
      <c r="E31" s="18" t="n">
        <v>10.30882291</v>
      </c>
      <c r="F31" s="20" t="n">
        <v>1.7303888</v>
      </c>
      <c r="G31" s="18" t="n">
        <v>38.42689557</v>
      </c>
      <c r="H31" s="20" t="n">
        <v>2.91732699</v>
      </c>
      <c r="I31" s="18" t="n">
        <v>31.91929335</v>
      </c>
      <c r="J31" s="20" t="n">
        <v>2.6537407</v>
      </c>
      <c r="K31" s="18" t="n">
        <v>2.04847524</v>
      </c>
      <c r="L31" s="20" t="n">
        <v>0.77725008</v>
      </c>
      <c r="M31" s="18" t="n">
        <v>0</v>
      </c>
      <c r="N31" s="20" t="n">
        <v>0</v>
      </c>
      <c r="O31" s="18" t="n">
        <v>0</v>
      </c>
      <c r="P31" s="20" t="n">
        <v>0</v>
      </c>
      <c r="Q31" s="18" t="n">
        <v>0</v>
      </c>
      <c r="R31" s="20" t="n">
        <v>0</v>
      </c>
      <c r="S31" s="18" t="n">
        <v>0</v>
      </c>
      <c r="T31" s="20" t="n">
        <v>0</v>
      </c>
      <c r="U31" s="18" t="n">
        <v>17.29651293</v>
      </c>
      <c r="V31" s="20" t="n">
        <v>2.38715099</v>
      </c>
    </row>
    <row r="32" spans="1:22">
      <c r="A32" s="15" t="s">
        <v>590</v>
      </c>
      <c r="B32" s="17" t="n">
        <v>2209</v>
      </c>
      <c r="C32" s="18">
        <f>(1962.0/B32*100)</f>
        <v/>
      </c>
      <c r="D32" s="19" t="n">
        <v>247</v>
      </c>
      <c r="E32" s="18" t="n">
        <v>19.07188501</v>
      </c>
      <c r="F32" s="20" t="n">
        <v>2.48488541</v>
      </c>
      <c r="G32" s="18" t="n">
        <v>25.59902704</v>
      </c>
      <c r="H32" s="20" t="n">
        <v>2.71781168</v>
      </c>
      <c r="I32" s="18" t="n">
        <v>38.30210596</v>
      </c>
      <c r="J32" s="20" t="n">
        <v>2.71898689</v>
      </c>
      <c r="K32" s="18" t="n">
        <v>2.64487814</v>
      </c>
      <c r="L32" s="20" t="n">
        <v>0.8754913600000001</v>
      </c>
      <c r="M32" s="18" t="n">
        <v>0</v>
      </c>
      <c r="N32" s="20" t="n">
        <v>0</v>
      </c>
      <c r="O32" s="18" t="n">
        <v>0</v>
      </c>
      <c r="P32" s="20" t="n">
        <v>0</v>
      </c>
      <c r="Q32" s="18" t="n">
        <v>0</v>
      </c>
      <c r="R32" s="20" t="n">
        <v>0</v>
      </c>
      <c r="S32" s="18" t="n">
        <v>0</v>
      </c>
      <c r="T32" s="20" t="n">
        <v>0</v>
      </c>
      <c r="U32" s="18" t="n">
        <v>14.38210385</v>
      </c>
      <c r="V32" s="20" t="n">
        <v>2.31981651</v>
      </c>
    </row>
    <row r="33" spans="1:22">
      <c r="A33" s="15" t="s">
        <v>591</v>
      </c>
      <c r="B33" s="17" t="n">
        <v>3651</v>
      </c>
      <c r="C33" s="18">
        <f>(3243.0/B33*100)</f>
        <v/>
      </c>
      <c r="D33" s="19" t="n">
        <v>408</v>
      </c>
      <c r="E33" s="18" t="n">
        <v>27.64219268</v>
      </c>
      <c r="F33" s="20" t="n">
        <v>2.39830188</v>
      </c>
      <c r="G33" s="18" t="n">
        <v>31.61292566</v>
      </c>
      <c r="H33" s="20" t="n">
        <v>2.55161239</v>
      </c>
      <c r="I33" s="18" t="n">
        <v>14.56344757</v>
      </c>
      <c r="J33" s="20" t="n">
        <v>2.14319785</v>
      </c>
      <c r="K33" s="18" t="n">
        <v>17.8026704</v>
      </c>
      <c r="L33" s="20" t="n">
        <v>2.38628664</v>
      </c>
      <c r="M33" s="18" t="n">
        <v>0</v>
      </c>
      <c r="N33" s="20" t="n">
        <v>0</v>
      </c>
      <c r="O33" s="18" t="n">
        <v>0</v>
      </c>
      <c r="P33" s="20" t="n">
        <v>0</v>
      </c>
      <c r="Q33" s="18" t="n">
        <v>0</v>
      </c>
      <c r="R33" s="20" t="n">
        <v>0</v>
      </c>
      <c r="S33" s="18" t="n">
        <v>0</v>
      </c>
      <c r="T33" s="20" t="n">
        <v>0</v>
      </c>
      <c r="U33" s="18" t="n">
        <v>8.37876368</v>
      </c>
      <c r="V33" s="20" t="n">
        <v>1.79243172</v>
      </c>
    </row>
    <row r="34" spans="1:22">
      <c r="A34" s="15" t="s">
        <v>592</v>
      </c>
      <c r="B34" s="17" t="n">
        <v>3035</v>
      </c>
      <c r="C34" s="18">
        <f>(2725.0/B34*100)</f>
        <v/>
      </c>
      <c r="D34" s="19" t="n">
        <v>310</v>
      </c>
      <c r="E34" s="18" t="n">
        <v>25.12765361</v>
      </c>
      <c r="F34" s="20" t="n">
        <v>2.50769238</v>
      </c>
      <c r="G34" s="18" t="n">
        <v>33.91288579</v>
      </c>
      <c r="H34" s="20" t="n">
        <v>2.4499207</v>
      </c>
      <c r="I34" s="18" t="n">
        <v>18.04674076</v>
      </c>
      <c r="J34" s="20" t="n">
        <v>2.26149625</v>
      </c>
      <c r="K34" s="18" t="n">
        <v>6.31721908</v>
      </c>
      <c r="L34" s="20" t="n">
        <v>1.54669304</v>
      </c>
      <c r="M34" s="18" t="n">
        <v>0</v>
      </c>
      <c r="N34" s="20" t="n">
        <v>0</v>
      </c>
      <c r="O34" s="18" t="n">
        <v>0</v>
      </c>
      <c r="P34" s="20" t="n">
        <v>0</v>
      </c>
      <c r="Q34" s="18" t="n">
        <v>0.31290808</v>
      </c>
      <c r="R34" s="20" t="n">
        <v>0.31063592</v>
      </c>
      <c r="S34" s="18" t="n">
        <v>0</v>
      </c>
      <c r="T34" s="20" t="n">
        <v>0</v>
      </c>
      <c r="U34" s="18" t="n">
        <v>16.28259269</v>
      </c>
      <c r="V34" s="20" t="n">
        <v>1.99971127</v>
      </c>
    </row>
    <row r="35" spans="1:22">
      <c r="A35" s="15" t="s">
        <v>593</v>
      </c>
      <c r="B35" s="17" t="n">
        <v>2901</v>
      </c>
      <c r="C35" s="18">
        <f>(2592.0/B35*100)</f>
        <v/>
      </c>
      <c r="D35" s="19" t="n">
        <v>309</v>
      </c>
      <c r="E35" s="18" t="n">
        <v>16.42903535</v>
      </c>
      <c r="F35" s="20" t="n">
        <v>2.59753628</v>
      </c>
      <c r="G35" s="18" t="n">
        <v>42.59185052</v>
      </c>
      <c r="H35" s="20" t="n">
        <v>3.42319143</v>
      </c>
      <c r="I35" s="18" t="n">
        <v>16.21602661</v>
      </c>
      <c r="J35" s="20" t="n">
        <v>2.96832746</v>
      </c>
      <c r="K35" s="18" t="n">
        <v>14.29893429</v>
      </c>
      <c r="L35" s="20" t="n">
        <v>3.25525396</v>
      </c>
      <c r="M35" s="18" t="n">
        <v>0</v>
      </c>
      <c r="N35" s="20" t="n">
        <v>0</v>
      </c>
      <c r="O35" s="18" t="n">
        <v>0</v>
      </c>
      <c r="P35" s="20" t="n">
        <v>0</v>
      </c>
      <c r="Q35" s="18" t="n">
        <v>0</v>
      </c>
      <c r="R35" s="20" t="n">
        <v>0</v>
      </c>
      <c r="S35" s="18" t="n">
        <v>0</v>
      </c>
      <c r="T35" s="20" t="n">
        <v>0</v>
      </c>
      <c r="U35" s="18" t="n">
        <v>10.46415323</v>
      </c>
      <c r="V35" s="20" t="n">
        <v>2.02336821</v>
      </c>
    </row>
    <row r="36" spans="1:22">
      <c r="A36" s="15" t="s">
        <v>594</v>
      </c>
      <c r="B36" s="17" t="n">
        <v>3404</v>
      </c>
      <c r="C36" s="18">
        <f>(3019.0/B36*100)</f>
        <v/>
      </c>
      <c r="D36" s="19" t="n">
        <v>385</v>
      </c>
      <c r="E36" s="18" t="n">
        <v>18.17451692</v>
      </c>
      <c r="F36" s="20" t="n">
        <v>1.98805002</v>
      </c>
      <c r="G36" s="18" t="n">
        <v>34.87511026</v>
      </c>
      <c r="H36" s="20" t="n">
        <v>2.71866447</v>
      </c>
      <c r="I36" s="18" t="n">
        <v>28.97921666</v>
      </c>
      <c r="J36" s="20" t="n">
        <v>2.39122132</v>
      </c>
      <c r="K36" s="18" t="n">
        <v>8.036287359999999</v>
      </c>
      <c r="L36" s="20" t="n">
        <v>1.15906242</v>
      </c>
      <c r="M36" s="18" t="n">
        <v>0</v>
      </c>
      <c r="N36" s="20" t="n">
        <v>0</v>
      </c>
      <c r="O36" s="18" t="n">
        <v>0</v>
      </c>
      <c r="P36" s="20" t="n">
        <v>0</v>
      </c>
      <c r="Q36" s="18" t="n">
        <v>0</v>
      </c>
      <c r="R36" s="20" t="n">
        <v>0</v>
      </c>
      <c r="S36" s="18" t="n">
        <v>0</v>
      </c>
      <c r="T36" s="20" t="n">
        <v>0</v>
      </c>
      <c r="U36" s="18" t="n">
        <v>9.9348688</v>
      </c>
      <c r="V36" s="20" t="n">
        <v>1.72457678</v>
      </c>
    </row>
    <row r="37" spans="1:22">
      <c r="A37" s="15" t="s">
        <v>595</v>
      </c>
      <c r="B37" s="17" t="n">
        <v>2731</v>
      </c>
      <c r="C37" s="18">
        <f>(2436.0/B37*100)</f>
        <v/>
      </c>
      <c r="D37" s="19" t="n">
        <v>295</v>
      </c>
      <c r="E37" s="18" t="n">
        <v>6.55167979</v>
      </c>
      <c r="F37" s="20" t="n">
        <v>1.29211876</v>
      </c>
      <c r="G37" s="18" t="n">
        <v>26.87617085</v>
      </c>
      <c r="H37" s="20" t="n">
        <v>2.66627122</v>
      </c>
      <c r="I37" s="18" t="n">
        <v>41.33628536</v>
      </c>
      <c r="J37" s="20" t="n">
        <v>3.23673588</v>
      </c>
      <c r="K37" s="18" t="n">
        <v>15.25351334</v>
      </c>
      <c r="L37" s="20" t="n">
        <v>2.49117278</v>
      </c>
      <c r="M37" s="18" t="n">
        <v>0</v>
      </c>
      <c r="N37" s="20" t="n">
        <v>0</v>
      </c>
      <c r="O37" s="18" t="n">
        <v>0</v>
      </c>
      <c r="P37" s="20" t="n">
        <v>0</v>
      </c>
      <c r="Q37" s="18" t="n">
        <v>0</v>
      </c>
      <c r="R37" s="20" t="n">
        <v>0</v>
      </c>
      <c r="S37" s="18" t="n">
        <v>0</v>
      </c>
      <c r="T37" s="20" t="n">
        <v>0</v>
      </c>
      <c r="U37" s="18" t="n">
        <v>9.982350650000001</v>
      </c>
      <c r="V37" s="20" t="n">
        <v>1.37850971</v>
      </c>
    </row>
    <row r="38" spans="1:22">
      <c r="A38" s="15" t="s">
        <v>596</v>
      </c>
      <c r="B38" s="17" t="n">
        <v>2807</v>
      </c>
      <c r="C38" s="18">
        <f>(2508.0/B38*100)</f>
        <v/>
      </c>
      <c r="D38" s="19" t="n">
        <v>299</v>
      </c>
      <c r="E38" s="18" t="n">
        <v>8.018445399999999</v>
      </c>
      <c r="F38" s="20" t="n">
        <v>1.54480247</v>
      </c>
      <c r="G38" s="18" t="n">
        <v>37.0246177</v>
      </c>
      <c r="H38" s="20" t="n">
        <v>3.32338273</v>
      </c>
      <c r="I38" s="18" t="n">
        <v>23.97037822</v>
      </c>
      <c r="J38" s="20" t="n">
        <v>2.81331407</v>
      </c>
      <c r="K38" s="18" t="n">
        <v>12.40799404</v>
      </c>
      <c r="L38" s="20" t="n">
        <v>2.20170445</v>
      </c>
      <c r="M38" s="18" t="n">
        <v>0</v>
      </c>
      <c r="N38" s="20" t="n">
        <v>0</v>
      </c>
      <c r="O38" s="18" t="n">
        <v>0</v>
      </c>
      <c r="P38" s="20" t="n">
        <v>0</v>
      </c>
      <c r="Q38" s="18" t="n">
        <v>4.89062454</v>
      </c>
      <c r="R38" s="20" t="n">
        <v>1.537593</v>
      </c>
      <c r="S38" s="18" t="n">
        <v>0</v>
      </c>
      <c r="T38" s="20" t="n">
        <v>0</v>
      </c>
      <c r="U38" s="18" t="n">
        <v>13.6879401</v>
      </c>
      <c r="V38" s="20" t="n">
        <v>2.18898462</v>
      </c>
    </row>
    <row r="39" spans="1:22">
      <c r="A39" s="15" t="s">
        <v>597</v>
      </c>
      <c r="B39" s="17" t="n">
        <v>2938</v>
      </c>
      <c r="C39" s="18">
        <f>(2616.0/B39*100)</f>
        <v/>
      </c>
      <c r="D39" s="19" t="n">
        <v>322</v>
      </c>
      <c r="E39" s="18" t="n">
        <v>22.94854722</v>
      </c>
      <c r="F39" s="20" t="n">
        <v>3.32552636</v>
      </c>
      <c r="G39" s="18" t="n">
        <v>48.40852096</v>
      </c>
      <c r="H39" s="20" t="n">
        <v>3.74186108</v>
      </c>
      <c r="I39" s="18" t="n">
        <v>9.42875149</v>
      </c>
      <c r="J39" s="20" t="n">
        <v>1.77814475</v>
      </c>
      <c r="K39" s="18" t="n">
        <v>7.47250622</v>
      </c>
      <c r="L39" s="20" t="n">
        <v>1.74535422</v>
      </c>
      <c r="M39" s="18" t="n">
        <v>0</v>
      </c>
      <c r="N39" s="20" t="n">
        <v>0</v>
      </c>
      <c r="O39" s="18" t="n">
        <v>0</v>
      </c>
      <c r="P39" s="20" t="n">
        <v>0</v>
      </c>
      <c r="Q39" s="18" t="n">
        <v>0</v>
      </c>
      <c r="R39" s="20" t="n">
        <v>0</v>
      </c>
      <c r="S39" s="18" t="n">
        <v>0</v>
      </c>
      <c r="T39" s="20" t="n">
        <v>0</v>
      </c>
      <c r="U39" s="18" t="n">
        <v>11.74167412</v>
      </c>
      <c r="V39" s="20" t="n">
        <v>1.50227353</v>
      </c>
    </row>
    <row r="40" spans="1:22">
      <c r="A40" s="15" t="s">
        <v>598</v>
      </c>
      <c r="B40" s="17" t="n">
        <v>6922</v>
      </c>
      <c r="C40" s="18">
        <f>(6126.0/B40*100)</f>
        <v/>
      </c>
      <c r="D40" s="19" t="n">
        <v>796</v>
      </c>
      <c r="E40" s="18" t="n">
        <v>12.91288793</v>
      </c>
      <c r="F40" s="20" t="n">
        <v>1.99324071</v>
      </c>
      <c r="G40" s="18" t="n">
        <v>20.9698137</v>
      </c>
      <c r="H40" s="20" t="n">
        <v>2.09434319</v>
      </c>
      <c r="I40" s="18" t="n">
        <v>53.00480892</v>
      </c>
      <c r="J40" s="20" t="n">
        <v>3.15663225</v>
      </c>
      <c r="K40" s="18" t="n">
        <v>4.61863502</v>
      </c>
      <c r="L40" s="20" t="n">
        <v>1.09962232</v>
      </c>
      <c r="M40" s="18" t="n">
        <v>0</v>
      </c>
      <c r="N40" s="20" t="n">
        <v>0</v>
      </c>
      <c r="O40" s="18" t="n">
        <v>0.02940407</v>
      </c>
      <c r="P40" s="20" t="n">
        <v>0.02798321</v>
      </c>
      <c r="Q40" s="18" t="n">
        <v>0.02519705</v>
      </c>
      <c r="R40" s="20" t="n">
        <v>0.02144787</v>
      </c>
      <c r="S40" s="18" t="n">
        <v>0</v>
      </c>
      <c r="T40" s="20" t="n">
        <v>0</v>
      </c>
      <c r="U40" s="18" t="n">
        <v>8.43925331</v>
      </c>
      <c r="V40" s="20" t="n">
        <v>1.27905761</v>
      </c>
    </row>
    <row r="41" spans="1:22">
      <c r="A41" s="15" t="s">
        <v>599</v>
      </c>
      <c r="B41" s="17" t="n">
        <v>2854</v>
      </c>
      <c r="C41" s="18">
        <f>(2567.0/B41*100)</f>
        <v/>
      </c>
      <c r="D41" s="19" t="n">
        <v>287</v>
      </c>
      <c r="E41" s="18" t="n">
        <v>17.84910745</v>
      </c>
      <c r="F41" s="20" t="n">
        <v>1.79529074</v>
      </c>
      <c r="G41" s="18" t="n">
        <v>45.86798554</v>
      </c>
      <c r="H41" s="20" t="n">
        <v>3.02508133</v>
      </c>
      <c r="I41" s="18" t="n">
        <v>27.10077755</v>
      </c>
      <c r="J41" s="20" t="n">
        <v>2.38133941</v>
      </c>
      <c r="K41" s="18" t="n">
        <v>6.24029016</v>
      </c>
      <c r="L41" s="20" t="n">
        <v>1.3113339</v>
      </c>
      <c r="M41" s="18" t="n">
        <v>0</v>
      </c>
      <c r="N41" s="20" t="n">
        <v>0</v>
      </c>
      <c r="O41" s="18" t="n">
        <v>0</v>
      </c>
      <c r="P41" s="20" t="n">
        <v>0</v>
      </c>
      <c r="Q41" s="18" t="n">
        <v>0</v>
      </c>
      <c r="R41" s="20" t="n">
        <v>0</v>
      </c>
      <c r="S41" s="18" t="n">
        <v>0</v>
      </c>
      <c r="T41" s="20" t="n">
        <v>0</v>
      </c>
      <c r="U41" s="18" t="n">
        <v>2.94183929</v>
      </c>
      <c r="V41" s="20" t="n">
        <v>1.04217317</v>
      </c>
    </row>
    <row r="42" spans="1:22">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c r="U44" s="18" t="s">
        <v>603</v>
      </c>
      <c r="V44" s="20" t="s">
        <v>603</v>
      </c>
    </row>
    <row r="45" spans="1:22">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c r="U45" s="18" t="s">
        <v>603</v>
      </c>
      <c r="V45" s="20" t="s">
        <v>603</v>
      </c>
    </row>
    <row r="46" spans="1:22">
      <c r="A46" s="15" t="s">
        <v>605</v>
      </c>
      <c r="B46" s="17" t="n">
        <v>12073</v>
      </c>
      <c r="C46" s="18">
        <f>(10846.0/B46*100)</f>
        <v/>
      </c>
      <c r="D46" s="19" t="n">
        <v>1227</v>
      </c>
      <c r="E46" s="18" t="n">
        <v>7.58620086</v>
      </c>
      <c r="F46" s="20" t="n">
        <v>0.95791343</v>
      </c>
      <c r="G46" s="18" t="n">
        <v>58.63281227</v>
      </c>
      <c r="H46" s="20" t="n">
        <v>1.71364394</v>
      </c>
      <c r="I46" s="18" t="n">
        <v>8.933108199999999</v>
      </c>
      <c r="J46" s="20" t="n">
        <v>1.07604896</v>
      </c>
      <c r="K46" s="18" t="n">
        <v>2.44405397</v>
      </c>
      <c r="L46" s="20" t="n">
        <v>0.56723458</v>
      </c>
      <c r="M46" s="18" t="n">
        <v>0</v>
      </c>
      <c r="N46" s="20" t="n">
        <v>0</v>
      </c>
      <c r="O46" s="18" t="n">
        <v>0.65491584</v>
      </c>
      <c r="P46" s="20" t="n">
        <v>0.26796216</v>
      </c>
      <c r="Q46" s="18" t="n">
        <v>0.26481659</v>
      </c>
      <c r="R46" s="20" t="n">
        <v>0.17482887</v>
      </c>
      <c r="S46" s="18" t="n">
        <v>0</v>
      </c>
      <c r="T46" s="20" t="n">
        <v>0</v>
      </c>
      <c r="U46" s="18" t="n">
        <v>21.48409228</v>
      </c>
      <c r="V46" s="20" t="n">
        <v>1.74181368</v>
      </c>
    </row>
    <row r="47" spans="1:22">
      <c r="A47" s="15" t="s">
        <v>606</v>
      </c>
      <c r="B47" s="17" t="n">
        <v>2823</v>
      </c>
      <c r="C47" s="18">
        <f>(2534.0/B47*100)</f>
        <v/>
      </c>
      <c r="D47" s="19" t="n">
        <v>289</v>
      </c>
      <c r="E47" s="18" t="n">
        <v>10.92150948</v>
      </c>
      <c r="F47" s="20" t="n">
        <v>1.66561878</v>
      </c>
      <c r="G47" s="18" t="n">
        <v>37.85430809</v>
      </c>
      <c r="H47" s="20" t="n">
        <v>2.90023907</v>
      </c>
      <c r="I47" s="18" t="n">
        <v>15.50344532</v>
      </c>
      <c r="J47" s="20" t="n">
        <v>2.13568097</v>
      </c>
      <c r="K47" s="18" t="n">
        <v>8.590969019999999</v>
      </c>
      <c r="L47" s="20" t="n">
        <v>1.83891148</v>
      </c>
      <c r="M47" s="18" t="n">
        <v>0</v>
      </c>
      <c r="N47" s="20" t="n">
        <v>0</v>
      </c>
      <c r="O47" s="18" t="n">
        <v>0</v>
      </c>
      <c r="P47" s="20" t="n">
        <v>0</v>
      </c>
      <c r="Q47" s="18" t="n">
        <v>0.3346168</v>
      </c>
      <c r="R47" s="20" t="n">
        <v>0.33309024</v>
      </c>
      <c r="S47" s="18" t="n">
        <v>0</v>
      </c>
      <c r="T47" s="20" t="n">
        <v>0</v>
      </c>
      <c r="U47" s="18" t="n">
        <v>26.79515128</v>
      </c>
      <c r="V47" s="20" t="n">
        <v>2.87702214</v>
      </c>
    </row>
    <row r="48" spans="1:22">
      <c r="A48" s="15" t="s">
        <v>607</v>
      </c>
      <c r="B48" s="17" t="n">
        <v>4682</v>
      </c>
      <c r="C48" s="18">
        <f>(4157.0/B48*100)</f>
        <v/>
      </c>
      <c r="D48" s="19" t="n">
        <v>525</v>
      </c>
      <c r="E48" s="18" t="n">
        <v>2.74032598</v>
      </c>
      <c r="F48" s="20" t="n">
        <v>0.94649245</v>
      </c>
      <c r="G48" s="18" t="n">
        <v>24.97287148</v>
      </c>
      <c r="H48" s="20" t="n">
        <v>2.46983933</v>
      </c>
      <c r="I48" s="18" t="n">
        <v>63.62263462</v>
      </c>
      <c r="J48" s="20" t="n">
        <v>2.71665288</v>
      </c>
      <c r="K48" s="18" t="n">
        <v>2.79251232</v>
      </c>
      <c r="L48" s="20" t="n">
        <v>0.74499624</v>
      </c>
      <c r="M48" s="18" t="n">
        <v>0</v>
      </c>
      <c r="N48" s="20" t="n">
        <v>0</v>
      </c>
      <c r="O48" s="18" t="n">
        <v>0.24913078</v>
      </c>
      <c r="P48" s="20" t="n">
        <v>0.24777815</v>
      </c>
      <c r="Q48" s="18" t="n">
        <v>0</v>
      </c>
      <c r="R48" s="20" t="n">
        <v>0</v>
      </c>
      <c r="S48" s="18" t="n">
        <v>0</v>
      </c>
      <c r="T48" s="20" t="n">
        <v>0</v>
      </c>
      <c r="U48" s="18" t="n">
        <v>5.62252482</v>
      </c>
      <c r="V48" s="20" t="n">
        <v>1.41300972</v>
      </c>
    </row>
    <row r="49" spans="1:22">
      <c r="A49" s="15" t="s">
        <v>608</v>
      </c>
      <c r="B49" s="17" t="n">
        <v>6158</v>
      </c>
      <c r="C49" s="18">
        <f>(5487.0/B49*100)</f>
        <v/>
      </c>
      <c r="D49" s="19" t="n">
        <v>671</v>
      </c>
      <c r="E49" s="18" t="n">
        <v>17.0857041</v>
      </c>
      <c r="F49" s="20" t="n">
        <v>2.26536947</v>
      </c>
      <c r="G49" s="18" t="n">
        <v>65.48648341000001</v>
      </c>
      <c r="H49" s="20" t="n">
        <v>2.88936689</v>
      </c>
      <c r="I49" s="18" t="n">
        <v>9.63983726</v>
      </c>
      <c r="J49" s="20" t="n">
        <v>1.24011572</v>
      </c>
      <c r="K49" s="18" t="n">
        <v>0.96950075</v>
      </c>
      <c r="L49" s="20" t="n">
        <v>0.42005555</v>
      </c>
      <c r="M49" s="18" t="n">
        <v>0</v>
      </c>
      <c r="N49" s="20" t="n">
        <v>0</v>
      </c>
      <c r="O49" s="18" t="n">
        <v>1.28466827</v>
      </c>
      <c r="P49" s="20" t="n">
        <v>0.8089004</v>
      </c>
      <c r="Q49" s="18" t="n">
        <v>0.36664604</v>
      </c>
      <c r="R49" s="20" t="n">
        <v>0.20874973</v>
      </c>
      <c r="S49" s="18" t="n">
        <v>0</v>
      </c>
      <c r="T49" s="20" t="n">
        <v>0</v>
      </c>
      <c r="U49" s="18" t="n">
        <v>5.16716018</v>
      </c>
      <c r="V49" s="20" t="n">
        <v>1.06977132</v>
      </c>
    </row>
    <row r="50" spans="1:22">
      <c r="A50" s="15" t="s">
        <v>609</v>
      </c>
      <c r="B50" s="17" t="n">
        <v>3494</v>
      </c>
      <c r="C50" s="18">
        <f>(3150.0/B50*100)</f>
        <v/>
      </c>
      <c r="D50" s="19" t="n">
        <v>344</v>
      </c>
      <c r="E50" s="18" t="n">
        <v>23.69490131</v>
      </c>
      <c r="F50" s="20" t="n">
        <v>2.51698949</v>
      </c>
      <c r="G50" s="18" t="n">
        <v>58.14982932</v>
      </c>
      <c r="H50" s="20" t="n">
        <v>3.22401866</v>
      </c>
      <c r="I50" s="18" t="n">
        <v>11.13827643</v>
      </c>
      <c r="J50" s="20" t="n">
        <v>1.68662412</v>
      </c>
      <c r="K50" s="18" t="n">
        <v>0.42997428</v>
      </c>
      <c r="L50" s="20" t="n">
        <v>0.32510316</v>
      </c>
      <c r="M50" s="18" t="n">
        <v>0</v>
      </c>
      <c r="N50" s="20" t="n">
        <v>0</v>
      </c>
      <c r="O50" s="18" t="n">
        <v>0</v>
      </c>
      <c r="P50" s="20" t="n">
        <v>0</v>
      </c>
      <c r="Q50" s="18" t="n">
        <v>0.36177207</v>
      </c>
      <c r="R50" s="20" t="n">
        <v>0.33713572</v>
      </c>
      <c r="S50" s="18" t="n">
        <v>0</v>
      </c>
      <c r="T50" s="20" t="n">
        <v>0</v>
      </c>
      <c r="U50" s="18" t="n">
        <v>6.22524659</v>
      </c>
      <c r="V50" s="20" t="n">
        <v>1.4130413</v>
      </c>
    </row>
    <row r="51" spans="1:22">
      <c r="A51" s="15" t="s">
        <v>610</v>
      </c>
      <c r="B51" s="17" t="n">
        <v>3013</v>
      </c>
      <c r="C51" s="18">
        <f>(2681.0/B51*100)</f>
        <v/>
      </c>
      <c r="D51" s="19" t="n">
        <v>332</v>
      </c>
      <c r="E51" s="18" t="n">
        <v>33.14966431</v>
      </c>
      <c r="F51" s="20" t="n">
        <v>2.85215754</v>
      </c>
      <c r="G51" s="18" t="n">
        <v>22.35879822</v>
      </c>
      <c r="H51" s="20" t="n">
        <v>2.29377495</v>
      </c>
      <c r="I51" s="18" t="n">
        <v>15.01988129</v>
      </c>
      <c r="J51" s="20" t="n">
        <v>1.50391129</v>
      </c>
      <c r="K51" s="18" t="n">
        <v>7.61899314</v>
      </c>
      <c r="L51" s="20" t="n">
        <v>1.34151627</v>
      </c>
      <c r="M51" s="18" t="n">
        <v>0</v>
      </c>
      <c r="N51" s="20" t="n">
        <v>0</v>
      </c>
      <c r="O51" s="18" t="n">
        <v>0</v>
      </c>
      <c r="P51" s="20" t="n">
        <v>0</v>
      </c>
      <c r="Q51" s="18" t="n">
        <v>0</v>
      </c>
      <c r="R51" s="20" t="n">
        <v>0</v>
      </c>
      <c r="S51" s="18" t="n">
        <v>0</v>
      </c>
      <c r="T51" s="20" t="n">
        <v>0</v>
      </c>
      <c r="U51" s="18" t="n">
        <v>21.85266304</v>
      </c>
      <c r="V51" s="20" t="n">
        <v>2.20152057</v>
      </c>
    </row>
    <row r="52" spans="1:22">
      <c r="A52" s="15" t="s">
        <v>611</v>
      </c>
      <c r="B52" s="17" t="n">
        <v>2760</v>
      </c>
      <c r="C52" s="18">
        <f>(2430.0/B52*100)</f>
        <v/>
      </c>
      <c r="D52" s="19" t="n">
        <v>330</v>
      </c>
      <c r="E52" s="18" t="n">
        <v>23.66687084</v>
      </c>
      <c r="F52" s="20" t="n">
        <v>2.67839795</v>
      </c>
      <c r="G52" s="18" t="n">
        <v>30.73009726</v>
      </c>
      <c r="H52" s="20" t="n">
        <v>2.86278811</v>
      </c>
      <c r="I52" s="18" t="n">
        <v>27.13141855</v>
      </c>
      <c r="J52" s="20" t="n">
        <v>2.69794304</v>
      </c>
      <c r="K52" s="18" t="n">
        <v>2.09364929</v>
      </c>
      <c r="L52" s="20" t="n">
        <v>0.73052574</v>
      </c>
      <c r="M52" s="18" t="n">
        <v>0</v>
      </c>
      <c r="N52" s="20" t="n">
        <v>0</v>
      </c>
      <c r="O52" s="18" t="n">
        <v>0</v>
      </c>
      <c r="P52" s="20" t="n">
        <v>0</v>
      </c>
      <c r="Q52" s="18" t="n">
        <v>0</v>
      </c>
      <c r="R52" s="20" t="n">
        <v>0</v>
      </c>
      <c r="S52" s="18" t="n">
        <v>0</v>
      </c>
      <c r="T52" s="20" t="n">
        <v>0</v>
      </c>
      <c r="U52" s="18" t="n">
        <v>16.37796406</v>
      </c>
      <c r="V52" s="20" t="n">
        <v>2.24575802</v>
      </c>
    </row>
    <row r="53" spans="1:22">
      <c r="A53" s="15" t="s">
        <v>612</v>
      </c>
      <c r="B53" s="17" t="n">
        <v>2474</v>
      </c>
      <c r="C53" s="18">
        <f>(2205.0/B53*100)</f>
        <v/>
      </c>
      <c r="D53" s="19" t="n">
        <v>269</v>
      </c>
      <c r="E53" s="18" t="n">
        <v>6.2931235</v>
      </c>
      <c r="F53" s="20" t="n">
        <v>1.67141345</v>
      </c>
      <c r="G53" s="18" t="n">
        <v>58.47568367</v>
      </c>
      <c r="H53" s="20" t="n">
        <v>3.66534189</v>
      </c>
      <c r="I53" s="18" t="n">
        <v>2.8068216</v>
      </c>
      <c r="J53" s="20" t="n">
        <v>1.21389295</v>
      </c>
      <c r="K53" s="18" t="n">
        <v>0.86871325</v>
      </c>
      <c r="L53" s="20" t="n">
        <v>0.60804028</v>
      </c>
      <c r="M53" s="18" t="n">
        <v>0</v>
      </c>
      <c r="N53" s="20" t="n">
        <v>0</v>
      </c>
      <c r="O53" s="18" t="n">
        <v>9.022464510000001</v>
      </c>
      <c r="P53" s="20" t="n">
        <v>1.97097259</v>
      </c>
      <c r="Q53" s="18" t="n">
        <v>0.42249826</v>
      </c>
      <c r="R53" s="20" t="n">
        <v>0.48665289</v>
      </c>
      <c r="S53" s="18" t="n">
        <v>0</v>
      </c>
      <c r="T53" s="20" t="n">
        <v>0</v>
      </c>
      <c r="U53" s="18" t="n">
        <v>22.11069521</v>
      </c>
      <c r="V53" s="20" t="n">
        <v>2.69575051</v>
      </c>
    </row>
    <row r="54" spans="1:22">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c r="U54" s="18" t="s">
        <v>603</v>
      </c>
      <c r="V54" s="20" t="s">
        <v>603</v>
      </c>
    </row>
    <row r="55" spans="1:22">
      <c r="A55" s="15" t="s">
        <v>614</v>
      </c>
      <c r="B55" s="17" t="n">
        <v>2675</v>
      </c>
      <c r="C55" s="18">
        <f>(2380.0/B55*100)</f>
        <v/>
      </c>
      <c r="D55" s="19" t="n">
        <v>295</v>
      </c>
      <c r="E55" s="18" t="n">
        <v>4.30032958</v>
      </c>
      <c r="F55" s="20" t="n">
        <v>1.37450579</v>
      </c>
      <c r="G55" s="18" t="n">
        <v>20.20711923</v>
      </c>
      <c r="H55" s="20" t="n">
        <v>2.71200744</v>
      </c>
      <c r="I55" s="18" t="n">
        <v>38.8953015</v>
      </c>
      <c r="J55" s="20" t="n">
        <v>3.22582687</v>
      </c>
      <c r="K55" s="18" t="n">
        <v>34.1668021</v>
      </c>
      <c r="L55" s="20" t="n">
        <v>2.97995296</v>
      </c>
      <c r="M55" s="18" t="n">
        <v>0</v>
      </c>
      <c r="N55" s="20" t="n">
        <v>0</v>
      </c>
      <c r="O55" s="18" t="n">
        <v>0.6681960300000001</v>
      </c>
      <c r="P55" s="20" t="n">
        <v>0.65027322</v>
      </c>
      <c r="Q55" s="18" t="n">
        <v>0</v>
      </c>
      <c r="R55" s="20" t="n">
        <v>0</v>
      </c>
      <c r="S55" s="18" t="n">
        <v>0</v>
      </c>
      <c r="T55" s="20" t="n">
        <v>0</v>
      </c>
      <c r="U55" s="18" t="n">
        <v>1.76225156</v>
      </c>
      <c r="V55" s="20" t="n">
        <v>0.91522303</v>
      </c>
    </row>
    <row r="56" spans="1:22">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c r="U56" s="18" t="s">
        <v>603</v>
      </c>
      <c r="V56" s="20" t="s">
        <v>603</v>
      </c>
    </row>
    <row r="57" spans="1:22">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c r="U57" s="18" t="s">
        <v>603</v>
      </c>
      <c r="V57" s="20" t="s">
        <v>603</v>
      </c>
    </row>
    <row r="58" spans="1:22">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row>
    <row r="59" spans="1:22">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c r="U59" s="18" t="s">
        <v>603</v>
      </c>
      <c r="V59" s="20" t="s">
        <v>603</v>
      </c>
    </row>
    <row r="60" spans="1:22">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c r="U60" s="18" t="s">
        <v>603</v>
      </c>
      <c r="V60" s="20" t="s">
        <v>603</v>
      </c>
    </row>
    <row r="61" spans="1:22">
      <c r="A61" s="15" t="s">
        <v>621</v>
      </c>
      <c r="B61" s="17" t="n">
        <v>3201</v>
      </c>
      <c r="C61" s="18">
        <f>(2833.0/B61*100)</f>
        <v/>
      </c>
      <c r="D61" s="19" t="n">
        <v>368</v>
      </c>
      <c r="E61" s="18" t="n">
        <v>13.77040283</v>
      </c>
      <c r="F61" s="20" t="n">
        <v>1.84225804</v>
      </c>
      <c r="G61" s="18" t="n">
        <v>40.21126649</v>
      </c>
      <c r="H61" s="20" t="n">
        <v>2.95186851</v>
      </c>
      <c r="I61" s="18" t="n">
        <v>25.16198769</v>
      </c>
      <c r="J61" s="20" t="n">
        <v>2.77532431</v>
      </c>
      <c r="K61" s="18" t="n">
        <v>10.26936967</v>
      </c>
      <c r="L61" s="20" t="n">
        <v>1.76144027</v>
      </c>
      <c r="M61" s="18" t="n">
        <v>0</v>
      </c>
      <c r="N61" s="20" t="n">
        <v>0</v>
      </c>
      <c r="O61" s="18" t="n">
        <v>0</v>
      </c>
      <c r="P61" s="20" t="n">
        <v>0</v>
      </c>
      <c r="Q61" s="18" t="n">
        <v>0</v>
      </c>
      <c r="R61" s="20" t="n">
        <v>0</v>
      </c>
      <c r="S61" s="18" t="n">
        <v>0</v>
      </c>
      <c r="T61" s="20" t="n">
        <v>0</v>
      </c>
      <c r="U61" s="18" t="n">
        <v>10.58697332</v>
      </c>
      <c r="V61" s="20" t="n">
        <v>1.88065994</v>
      </c>
    </row>
    <row r="62" spans="1:22">
      <c r="A62" s="15" t="s">
        <v>622</v>
      </c>
      <c r="B62" s="17" t="n">
        <v>2230</v>
      </c>
      <c r="C62" s="18">
        <f>(1973.0/B62*100)</f>
        <v/>
      </c>
      <c r="D62" s="19" t="n">
        <v>257</v>
      </c>
      <c r="E62" s="18" t="n">
        <v>7.83104568</v>
      </c>
      <c r="F62" s="20" t="n">
        <v>1.75386685</v>
      </c>
      <c r="G62" s="18" t="n">
        <v>18.99637315</v>
      </c>
      <c r="H62" s="20" t="n">
        <v>2.33333097</v>
      </c>
      <c r="I62" s="18" t="n">
        <v>60.35686293</v>
      </c>
      <c r="J62" s="20" t="n">
        <v>3.07687121</v>
      </c>
      <c r="K62" s="18" t="n">
        <v>11.24747894</v>
      </c>
      <c r="L62" s="20" t="n">
        <v>2.26095798</v>
      </c>
      <c r="M62" s="18" t="n">
        <v>0</v>
      </c>
      <c r="N62" s="20" t="n">
        <v>0</v>
      </c>
      <c r="O62" s="18" t="n">
        <v>0</v>
      </c>
      <c r="P62" s="20" t="n">
        <v>0</v>
      </c>
      <c r="Q62" s="18" t="n">
        <v>0</v>
      </c>
      <c r="R62" s="20" t="n">
        <v>0</v>
      </c>
      <c r="S62" s="18" t="n">
        <v>0</v>
      </c>
      <c r="T62" s="20" t="n">
        <v>0</v>
      </c>
      <c r="U62" s="18" t="n">
        <v>1.56823929</v>
      </c>
      <c r="V62" s="20" t="n">
        <v>0.7838448099999999</v>
      </c>
    </row>
    <row r="63" spans="1:22">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c r="U63" s="18" t="s">
        <v>603</v>
      </c>
      <c r="V63" s="20" t="s">
        <v>603</v>
      </c>
    </row>
    <row r="64" spans="1:22">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row>
    <row r="65" spans="1:22">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c r="U65" s="18" t="s">
        <v>603</v>
      </c>
      <c r="V65" s="20" t="s">
        <v>603</v>
      </c>
    </row>
    <row r="66" spans="1:22">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c r="U66" s="18" t="s">
        <v>603</v>
      </c>
      <c r="V66" s="20" t="s">
        <v>603</v>
      </c>
    </row>
    <row r="67" spans="1:22">
      <c r="A67" s="15" t="s">
        <v>627</v>
      </c>
      <c r="B67" s="17" t="n">
        <v>2771</v>
      </c>
      <c r="C67" s="18">
        <f>(2474.0/B67*100)</f>
        <v/>
      </c>
      <c r="D67" s="19" t="n">
        <v>297</v>
      </c>
      <c r="E67" s="18" t="n">
        <v>16.90652934</v>
      </c>
      <c r="F67" s="20" t="n">
        <v>2.4005112</v>
      </c>
      <c r="G67" s="18" t="n">
        <v>34.76072585</v>
      </c>
      <c r="H67" s="20" t="n">
        <v>2.96956698</v>
      </c>
      <c r="I67" s="18" t="n">
        <v>10.09654169</v>
      </c>
      <c r="J67" s="20" t="n">
        <v>1.83309752</v>
      </c>
      <c r="K67" s="18" t="n">
        <v>6.09468817</v>
      </c>
      <c r="L67" s="20" t="n">
        <v>1.52983892</v>
      </c>
      <c r="M67" s="18" t="n">
        <v>0</v>
      </c>
      <c r="N67" s="20" t="n">
        <v>0</v>
      </c>
      <c r="O67" s="18" t="n">
        <v>0.34626046</v>
      </c>
      <c r="P67" s="20" t="n">
        <v>0.34479607</v>
      </c>
      <c r="Q67" s="18" t="n">
        <v>1.11877323</v>
      </c>
      <c r="R67" s="20" t="n">
        <v>0.68974091</v>
      </c>
      <c r="S67" s="18" t="n">
        <v>0</v>
      </c>
      <c r="T67" s="20" t="n">
        <v>0</v>
      </c>
      <c r="U67" s="18" t="n">
        <v>30.67648126</v>
      </c>
      <c r="V67" s="20" t="n">
        <v>2.64914914</v>
      </c>
    </row>
    <row r="68" spans="1:22">
      <c r="A68" s="15" t="s">
        <v>628</v>
      </c>
      <c r="B68" s="17" t="n">
        <v>3460</v>
      </c>
      <c r="C68" s="18">
        <f>(3103.0/B68*100)</f>
        <v/>
      </c>
      <c r="D68" s="19" t="n">
        <v>357</v>
      </c>
      <c r="E68" s="18" t="n">
        <v>12.03291371</v>
      </c>
      <c r="F68" s="20" t="n">
        <v>1.44800144</v>
      </c>
      <c r="G68" s="18" t="n">
        <v>63.9705372</v>
      </c>
      <c r="H68" s="20" t="n">
        <v>2.42734243</v>
      </c>
      <c r="I68" s="18" t="n">
        <v>9.425912090000001</v>
      </c>
      <c r="J68" s="20" t="n">
        <v>1.80130093</v>
      </c>
      <c r="K68" s="18" t="n">
        <v>2.20936786</v>
      </c>
      <c r="L68" s="20" t="n">
        <v>0.6482417700000001</v>
      </c>
      <c r="M68" s="18" t="n">
        <v>0</v>
      </c>
      <c r="N68" s="20" t="n">
        <v>0</v>
      </c>
      <c r="O68" s="18" t="n">
        <v>0.26719279</v>
      </c>
      <c r="P68" s="20" t="n">
        <v>0.2909075</v>
      </c>
      <c r="Q68" s="18" t="n">
        <v>0.28045779</v>
      </c>
      <c r="R68" s="20" t="n">
        <v>0.28250929</v>
      </c>
      <c r="S68" s="18" t="n">
        <v>0</v>
      </c>
      <c r="T68" s="20" t="n">
        <v>0</v>
      </c>
      <c r="U68" s="18" t="n">
        <v>11.81361856</v>
      </c>
      <c r="V68" s="20" t="n">
        <v>1.87169367</v>
      </c>
    </row>
    <row r="69" spans="1:22">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c r="U69" s="18" t="s">
        <v>603</v>
      </c>
      <c r="V69" s="20" t="s">
        <v>603</v>
      </c>
    </row>
    <row r="70" spans="1:22">
      <c r="A70" s="15" t="s">
        <v>630</v>
      </c>
      <c r="B70" s="17" t="n">
        <v>6034</v>
      </c>
      <c r="C70" s="18">
        <f>(5358.0/B70*100)</f>
        <v/>
      </c>
      <c r="D70" s="19" t="n">
        <v>676</v>
      </c>
      <c r="E70" s="18" t="n">
        <v>11.51187705</v>
      </c>
      <c r="F70" s="20" t="n">
        <v>1.17228015</v>
      </c>
      <c r="G70" s="18" t="n">
        <v>47.62328744</v>
      </c>
      <c r="H70" s="20" t="n">
        <v>1.97760867</v>
      </c>
      <c r="I70" s="18" t="n">
        <v>28.45473592</v>
      </c>
      <c r="J70" s="20" t="n">
        <v>1.76716309</v>
      </c>
      <c r="K70" s="18" t="n">
        <v>2.41726529</v>
      </c>
      <c r="L70" s="20" t="n">
        <v>0.59293157</v>
      </c>
      <c r="M70" s="18" t="n">
        <v>0</v>
      </c>
      <c r="N70" s="20" t="n">
        <v>0</v>
      </c>
      <c r="O70" s="18" t="n">
        <v>0.43375562</v>
      </c>
      <c r="P70" s="20" t="n">
        <v>0.25045047</v>
      </c>
      <c r="Q70" s="18" t="n">
        <v>0.15517325</v>
      </c>
      <c r="R70" s="20" t="n">
        <v>0.15294602</v>
      </c>
      <c r="S70" s="18" t="n">
        <v>0</v>
      </c>
      <c r="T70" s="20" t="n">
        <v>0</v>
      </c>
      <c r="U70" s="18" t="n">
        <v>9.403905440000001</v>
      </c>
      <c r="V70" s="20" t="n">
        <v>1.08935587</v>
      </c>
    </row>
    <row r="71" spans="1:22">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c r="U71" s="18" t="s">
        <v>603</v>
      </c>
      <c r="V71" s="20" t="s">
        <v>603</v>
      </c>
    </row>
    <row r="72" spans="1:22">
      <c r="A72" s="15" t="s">
        <v>632</v>
      </c>
      <c r="B72" s="17" t="n">
        <v>3107</v>
      </c>
      <c r="C72" s="18">
        <f>(2758.0/B72*100)</f>
        <v/>
      </c>
      <c r="D72" s="19" t="n">
        <v>349</v>
      </c>
      <c r="E72" s="18" t="n">
        <v>8.92344548</v>
      </c>
      <c r="F72" s="20" t="n">
        <v>1.48748701</v>
      </c>
      <c r="G72" s="18" t="n">
        <v>45.3404426</v>
      </c>
      <c r="H72" s="20" t="n">
        <v>2.74629071</v>
      </c>
      <c r="I72" s="18" t="n">
        <v>17.63079089</v>
      </c>
      <c r="J72" s="20" t="n">
        <v>2.00029189</v>
      </c>
      <c r="K72" s="18" t="n">
        <v>10.31826776</v>
      </c>
      <c r="L72" s="20" t="n">
        <v>1.7109738</v>
      </c>
      <c r="M72" s="18" t="n">
        <v>0</v>
      </c>
      <c r="N72" s="20" t="n">
        <v>0</v>
      </c>
      <c r="O72" s="18" t="n">
        <v>0</v>
      </c>
      <c r="P72" s="20" t="n">
        <v>0</v>
      </c>
      <c r="Q72" s="18" t="n">
        <v>0.1954788</v>
      </c>
      <c r="R72" s="20" t="n">
        <v>0.19563423</v>
      </c>
      <c r="S72" s="18" t="n">
        <v>0</v>
      </c>
      <c r="T72" s="20" t="n">
        <v>0</v>
      </c>
      <c r="U72" s="18" t="n">
        <v>17.59157448</v>
      </c>
      <c r="V72" s="20" t="n">
        <v>1.89846173</v>
      </c>
    </row>
    <row r="73" spans="1:22">
      <c r="A73" s="15" t="s">
        <v>633</v>
      </c>
      <c r="B73" s="17" t="n">
        <v>2973</v>
      </c>
      <c r="C73" s="18">
        <f>(2649.0/B73*100)</f>
        <v/>
      </c>
      <c r="D73" s="19" t="n">
        <v>324</v>
      </c>
      <c r="E73" s="18" t="n">
        <v>6.15554136</v>
      </c>
      <c r="F73" s="20" t="n">
        <v>1.30885809</v>
      </c>
      <c r="G73" s="18" t="n">
        <v>27.54215922</v>
      </c>
      <c r="H73" s="20" t="n">
        <v>2.64567352</v>
      </c>
      <c r="I73" s="18" t="n">
        <v>40.35715195</v>
      </c>
      <c r="J73" s="20" t="n">
        <v>2.78896156</v>
      </c>
      <c r="K73" s="18" t="n">
        <v>23.29261214</v>
      </c>
      <c r="L73" s="20" t="n">
        <v>2.40839343</v>
      </c>
      <c r="M73" s="18" t="n">
        <v>0</v>
      </c>
      <c r="N73" s="20" t="n">
        <v>0</v>
      </c>
      <c r="O73" s="18" t="n">
        <v>0</v>
      </c>
      <c r="P73" s="20" t="n">
        <v>0</v>
      </c>
      <c r="Q73" s="18" t="n">
        <v>0</v>
      </c>
      <c r="R73" s="20" t="n">
        <v>0</v>
      </c>
      <c r="S73" s="18" t="n">
        <v>0</v>
      </c>
      <c r="T73" s="20" t="n">
        <v>0</v>
      </c>
      <c r="U73" s="18" t="n">
        <v>2.65253533</v>
      </c>
      <c r="V73" s="20" t="n">
        <v>0.86610114</v>
      </c>
    </row>
    <row r="74" spans="1:22">
      <c r="A74" s="15" t="s">
        <v>634</v>
      </c>
      <c r="B74" s="17" t="n">
        <v>3819</v>
      </c>
      <c r="C74" s="18">
        <f>(3363.0/B74*100)</f>
        <v/>
      </c>
      <c r="D74" s="19" t="n">
        <v>456</v>
      </c>
      <c r="E74" s="18" t="n">
        <v>1.64232387</v>
      </c>
      <c r="F74" s="20" t="n">
        <v>0.68101371</v>
      </c>
      <c r="G74" s="18" t="n">
        <v>25.15183515</v>
      </c>
      <c r="H74" s="20" t="n">
        <v>2.31194455</v>
      </c>
      <c r="I74" s="18" t="n">
        <v>30.50363972</v>
      </c>
      <c r="J74" s="20" t="n">
        <v>2.13110198</v>
      </c>
      <c r="K74" s="18" t="n">
        <v>37.78880629</v>
      </c>
      <c r="L74" s="20" t="n">
        <v>2.18185487</v>
      </c>
      <c r="M74" s="18" t="n">
        <v>0</v>
      </c>
      <c r="N74" s="20" t="n">
        <v>0</v>
      </c>
      <c r="O74" s="18" t="n">
        <v>0.24087361</v>
      </c>
      <c r="P74" s="20" t="n">
        <v>0.24151467</v>
      </c>
      <c r="Q74" s="18" t="n">
        <v>0</v>
      </c>
      <c r="R74" s="20" t="n">
        <v>0</v>
      </c>
      <c r="S74" s="18" t="n">
        <v>0</v>
      </c>
      <c r="T74" s="20" t="n">
        <v>0</v>
      </c>
      <c r="U74" s="18" t="n">
        <v>4.67252136</v>
      </c>
      <c r="V74" s="20" t="n">
        <v>0.88646342</v>
      </c>
    </row>
    <row r="75" spans="1:22">
      <c r="A75" s="15" t="s">
        <v>635</v>
      </c>
      <c r="B75" s="17" t="n">
        <v>4652</v>
      </c>
      <c r="C75" s="18">
        <f>(4162.0/B75*100)</f>
        <v/>
      </c>
      <c r="D75" s="19" t="n">
        <v>490</v>
      </c>
      <c r="E75" s="18" t="n">
        <v>7.33508561</v>
      </c>
      <c r="F75" s="20" t="n">
        <v>1.51272483</v>
      </c>
      <c r="G75" s="18" t="n">
        <v>61.60976084</v>
      </c>
      <c r="H75" s="20" t="n">
        <v>2.51896296</v>
      </c>
      <c r="I75" s="18" t="n">
        <v>29.48112391</v>
      </c>
      <c r="J75" s="20" t="n">
        <v>2.33602889</v>
      </c>
      <c r="K75" s="18" t="n">
        <v>0.61626152</v>
      </c>
      <c r="L75" s="20" t="n">
        <v>0.41924403</v>
      </c>
      <c r="M75" s="18" t="n">
        <v>0</v>
      </c>
      <c r="N75" s="20" t="n">
        <v>0</v>
      </c>
      <c r="O75" s="18" t="n">
        <v>0</v>
      </c>
      <c r="P75" s="20" t="n">
        <v>0</v>
      </c>
      <c r="Q75" s="18" t="n">
        <v>0</v>
      </c>
      <c r="R75" s="20" t="n">
        <v>0</v>
      </c>
      <c r="S75" s="18" t="n">
        <v>0</v>
      </c>
      <c r="T75" s="20" t="n">
        <v>0</v>
      </c>
      <c r="U75" s="18" t="n">
        <v>0.9577681300000001</v>
      </c>
      <c r="V75" s="20" t="n">
        <v>0.25456963</v>
      </c>
    </row>
    <row r="76" spans="1:22">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c r="U76" s="18" t="s">
        <v>603</v>
      </c>
      <c r="V76" s="20" t="s">
        <v>603</v>
      </c>
    </row>
    <row r="77" spans="1:22">
      <c r="A77" s="15" t="s">
        <v>637</v>
      </c>
      <c r="B77" s="17" t="n">
        <v>2969</v>
      </c>
      <c r="C77" s="18">
        <f>(2669.0/B77*100)</f>
        <v/>
      </c>
      <c r="D77" s="19" t="n">
        <v>300</v>
      </c>
      <c r="E77" s="18" t="n">
        <v>13.27939237</v>
      </c>
      <c r="F77" s="20" t="n">
        <v>2.04999554</v>
      </c>
      <c r="G77" s="18" t="n">
        <v>59.97540891</v>
      </c>
      <c r="H77" s="20" t="n">
        <v>3.18290509</v>
      </c>
      <c r="I77" s="18" t="n">
        <v>8.621100309999999</v>
      </c>
      <c r="J77" s="20" t="n">
        <v>1.56482061</v>
      </c>
      <c r="K77" s="18" t="n">
        <v>0</v>
      </c>
      <c r="L77" s="20" t="n">
        <v>0</v>
      </c>
      <c r="M77" s="18" t="n">
        <v>0</v>
      </c>
      <c r="N77" s="20" t="n">
        <v>0</v>
      </c>
      <c r="O77" s="18" t="n">
        <v>0.36210318</v>
      </c>
      <c r="P77" s="20" t="n">
        <v>0.41281645</v>
      </c>
      <c r="Q77" s="18" t="n">
        <v>1.01004902</v>
      </c>
      <c r="R77" s="20" t="n">
        <v>0.75469157</v>
      </c>
      <c r="S77" s="18" t="n">
        <v>0</v>
      </c>
      <c r="T77" s="20" t="n">
        <v>0</v>
      </c>
      <c r="U77" s="18" t="n">
        <v>16.75194621</v>
      </c>
      <c r="V77" s="20" t="n">
        <v>2.37003099</v>
      </c>
    </row>
    <row r="78" spans="1:22">
      <c r="A78" s="15" t="s">
        <v>638</v>
      </c>
      <c r="B78" s="17" t="n">
        <v>7115</v>
      </c>
      <c r="C78" s="18">
        <f>(6295.0/B78*100)</f>
        <v/>
      </c>
      <c r="D78" s="19" t="n">
        <v>820</v>
      </c>
      <c r="E78" s="18" t="n">
        <v>12.20692006</v>
      </c>
      <c r="F78" s="20" t="n">
        <v>1.55402458</v>
      </c>
      <c r="G78" s="18" t="n">
        <v>48.82892004</v>
      </c>
      <c r="H78" s="20" t="n">
        <v>2.13452966</v>
      </c>
      <c r="I78" s="18" t="n">
        <v>31.83575645</v>
      </c>
      <c r="J78" s="20" t="n">
        <v>2.12299933</v>
      </c>
      <c r="K78" s="18" t="n">
        <v>2.74860178</v>
      </c>
      <c r="L78" s="20" t="n">
        <v>0.5824446599999999</v>
      </c>
      <c r="M78" s="18" t="n">
        <v>0</v>
      </c>
      <c r="N78" s="20" t="n">
        <v>0</v>
      </c>
      <c r="O78" s="18" t="n">
        <v>0.80856233</v>
      </c>
      <c r="P78" s="20" t="n">
        <v>0.35271962</v>
      </c>
      <c r="Q78" s="18" t="n">
        <v>0.14419677</v>
      </c>
      <c r="R78" s="20" t="n">
        <v>0.11533652</v>
      </c>
      <c r="S78" s="18" t="n">
        <v>0</v>
      </c>
      <c r="T78" s="20" t="n">
        <v>0</v>
      </c>
      <c r="U78" s="18" t="n">
        <v>3.42704256</v>
      </c>
      <c r="V78" s="20" t="n">
        <v>0.76820018</v>
      </c>
    </row>
    <row r="79" spans="1:22">
      <c r="A79" s="15" t="s">
        <v>639</v>
      </c>
      <c r="B79" s="17" t="n">
        <v>3154</v>
      </c>
      <c r="C79" s="18">
        <f>(2802.0/B79*100)</f>
        <v/>
      </c>
      <c r="D79" s="19" t="n">
        <v>352</v>
      </c>
      <c r="E79" s="18" t="n">
        <v>13.25796863</v>
      </c>
      <c r="F79" s="20" t="n">
        <v>1.65350348</v>
      </c>
      <c r="G79" s="18" t="n">
        <v>39.08887634</v>
      </c>
      <c r="H79" s="20" t="n">
        <v>2.77408698</v>
      </c>
      <c r="I79" s="18" t="n">
        <v>13.01508454</v>
      </c>
      <c r="J79" s="20" t="n">
        <v>2.07997491</v>
      </c>
      <c r="K79" s="18" t="n">
        <v>6.92075238</v>
      </c>
      <c r="L79" s="20" t="n">
        <v>1.46640769</v>
      </c>
      <c r="M79" s="18" t="n">
        <v>0</v>
      </c>
      <c r="N79" s="20" t="n">
        <v>0</v>
      </c>
      <c r="O79" s="18" t="n">
        <v>0</v>
      </c>
      <c r="P79" s="20" t="n">
        <v>0</v>
      </c>
      <c r="Q79" s="18" t="n">
        <v>0</v>
      </c>
      <c r="R79" s="20" t="n">
        <v>0</v>
      </c>
      <c r="S79" s="18" t="n">
        <v>0</v>
      </c>
      <c r="T79" s="20" t="n">
        <v>0</v>
      </c>
      <c r="U79" s="18" t="n">
        <v>27.71731811</v>
      </c>
      <c r="V79" s="20" t="n">
        <v>2.54214659</v>
      </c>
    </row>
    <row r="80" spans="1:22">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c r="U80" s="18" t="s">
        <v>603</v>
      </c>
      <c r="V80" s="20" t="s">
        <v>603</v>
      </c>
    </row>
    <row r="81" spans="1:22">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c r="U81" s="18" t="s">
        <v>603</v>
      </c>
      <c r="V81" s="20" t="s">
        <v>603</v>
      </c>
    </row>
    <row r="82" spans="1:22">
      <c r="A82" s="15" t="s">
        <v>642</v>
      </c>
      <c r="B82" s="17" t="n">
        <v>15961</v>
      </c>
      <c r="C82" s="18">
        <f>(14254.0/B82*100)</f>
        <v/>
      </c>
      <c r="D82" s="19" t="n">
        <v>1707</v>
      </c>
      <c r="E82" s="18" t="n">
        <v>18.9096069</v>
      </c>
      <c r="F82" s="20" t="n">
        <v>1.30541789</v>
      </c>
      <c r="G82" s="18" t="n">
        <v>33.18669452</v>
      </c>
      <c r="H82" s="20" t="n">
        <v>1.85734538</v>
      </c>
      <c r="I82" s="18" t="n">
        <v>28.7683194</v>
      </c>
      <c r="J82" s="20" t="n">
        <v>1.71127988</v>
      </c>
      <c r="K82" s="18" t="n">
        <v>9.149400760000001</v>
      </c>
      <c r="L82" s="20" t="n">
        <v>0.95479656</v>
      </c>
      <c r="M82" s="18" t="n">
        <v>0</v>
      </c>
      <c r="N82" s="20" t="n">
        <v>0</v>
      </c>
      <c r="O82" s="18" t="n">
        <v>0</v>
      </c>
      <c r="P82" s="20" t="n">
        <v>0</v>
      </c>
      <c r="Q82" s="18" t="n">
        <v>0.00499503</v>
      </c>
      <c r="R82" s="20" t="n">
        <v>0.00498381</v>
      </c>
      <c r="S82" s="18" t="n">
        <v>0</v>
      </c>
      <c r="T82" s="20" t="n">
        <v>0</v>
      </c>
      <c r="U82" s="18" t="n">
        <v>9.98098339</v>
      </c>
      <c r="V82" s="20" t="n">
        <v>1.23668389</v>
      </c>
    </row>
    <row r="83" spans="1:22">
      <c r="A83" s="15" t="s">
        <v>643</v>
      </c>
      <c r="B83" s="17" t="n">
        <v>808</v>
      </c>
      <c r="C83" s="18">
        <f>(720.0/B83*100)</f>
        <v/>
      </c>
      <c r="D83" s="19" t="n">
        <v>88</v>
      </c>
      <c r="E83" s="18" t="n">
        <v>16.92716607</v>
      </c>
      <c r="F83" s="20" t="n">
        <v>3.40838756</v>
      </c>
      <c r="G83" s="18" t="n">
        <v>33.25188228</v>
      </c>
      <c r="H83" s="20" t="n">
        <v>5.42782169</v>
      </c>
      <c r="I83" s="18" t="n">
        <v>37.59985267</v>
      </c>
      <c r="J83" s="20" t="n">
        <v>5.44703682</v>
      </c>
      <c r="K83" s="18" t="n">
        <v>9.885357839999999</v>
      </c>
      <c r="L83" s="20" t="n">
        <v>1.47961104</v>
      </c>
      <c r="M83" s="18" t="n">
        <v>0</v>
      </c>
      <c r="N83" s="20" t="n">
        <v>0</v>
      </c>
      <c r="O83" s="18" t="n">
        <v>0</v>
      </c>
      <c r="P83" s="20" t="n">
        <v>0</v>
      </c>
      <c r="Q83" s="18" t="n">
        <v>0</v>
      </c>
      <c r="R83" s="20" t="n">
        <v>0</v>
      </c>
      <c r="S83" s="18" t="n">
        <v>0</v>
      </c>
      <c r="T83" s="20" t="n">
        <v>0</v>
      </c>
      <c r="U83" s="18" t="n">
        <v>2.33574114</v>
      </c>
      <c r="V83" s="20" t="n">
        <v>1.67916258</v>
      </c>
    </row>
    <row r="84" spans="1:22">
      <c r="A84" s="23" t="s">
        <v>644</v>
      </c>
      <c r="B84" s="24" t="n">
        <v>938</v>
      </c>
      <c r="C84" s="25">
        <f>(841.0/B84*100)</f>
        <v/>
      </c>
      <c r="D84" s="19" t="n">
        <v>97</v>
      </c>
      <c r="E84" s="18" t="n">
        <v>16.13929974</v>
      </c>
      <c r="F84" s="20" t="n">
        <v>3.0819469</v>
      </c>
      <c r="G84" s="18" t="n">
        <v>41.2197939</v>
      </c>
      <c r="H84" s="20" t="n">
        <v>5.22281253</v>
      </c>
      <c r="I84" s="18" t="n">
        <v>37.23102298</v>
      </c>
      <c r="J84" s="20" t="n">
        <v>5.32880811</v>
      </c>
      <c r="K84" s="18" t="n">
        <v>3.20507406</v>
      </c>
      <c r="L84" s="20" t="n">
        <v>1.79177947</v>
      </c>
      <c r="M84" s="18" t="n">
        <v>0</v>
      </c>
      <c r="N84" s="20" t="n">
        <v>0</v>
      </c>
      <c r="O84" s="18" t="n">
        <v>0</v>
      </c>
      <c r="P84" s="20" t="n">
        <v>0</v>
      </c>
      <c r="Q84" s="18" t="n">
        <v>0</v>
      </c>
      <c r="R84" s="20" t="n">
        <v>0</v>
      </c>
      <c r="S84" s="18" t="n">
        <v>0</v>
      </c>
      <c r="T84" s="20" t="n">
        <v>0</v>
      </c>
      <c r="U84" s="18" t="n">
        <v>2.20480932</v>
      </c>
      <c r="V84" s="20" t="n">
        <v>1.44148277</v>
      </c>
    </row>
    <row r="86" spans="1:22">
      <c r="A86" s="3" t="s">
        <v>645</v>
      </c>
    </row>
    <row r="87" spans="1:22">
      <c r="A87" s="26" t="s">
        <v>646</v>
      </c>
    </row>
    <row r="88" spans="1:22">
      <c r="A88" s="26" t="s">
        <v>647</v>
      </c>
    </row>
    <row customHeight="1" ht="30" r="89" spans="1:22">
      <c r="A89" s="26" t="s">
        <v>648</v>
      </c>
    </row>
    <row customHeight="1" ht="30" r="90" spans="1:22">
      <c r="A90" s="26" t="s">
        <v>649</v>
      </c>
    </row>
    <row customHeight="1" ht="30" r="91" spans="1:22">
      <c r="A91" s="26" t="s">
        <v>650</v>
      </c>
    </row>
    <row customHeight="1" ht="30" r="92" spans="1:22">
      <c r="A92" s="26" t="s">
        <v>651</v>
      </c>
    </row>
    <row customHeight="1" ht="30" r="93" spans="1:22">
      <c r="A93" s="26" t="s">
        <v>652</v>
      </c>
    </row>
    <row customHeight="1" ht="30" r="94" spans="1:22">
      <c r="A94" s="26" t="s">
        <v>653</v>
      </c>
    </row>
  </sheetData>
  <mergeCells count="19">
    <mergeCell ref="E4:F4"/>
    <mergeCell ref="G4:H4"/>
    <mergeCell ref="I4:J4"/>
    <mergeCell ref="K4:L4"/>
    <mergeCell ref="M4:N4"/>
    <mergeCell ref="O4:P4"/>
    <mergeCell ref="Q4:R4"/>
    <mergeCell ref="S4:T4"/>
    <mergeCell ref="U4:V4"/>
    <mergeCell ref="A1:V1"/>
    <mergeCell ref="A2:V2"/>
    <mergeCell ref="A87:V87"/>
    <mergeCell ref="A88:V88"/>
    <mergeCell ref="A89:V89"/>
    <mergeCell ref="A90:V90"/>
    <mergeCell ref="A91:V91"/>
    <mergeCell ref="A92:V92"/>
    <mergeCell ref="A93:V93"/>
    <mergeCell ref="A94:V94"/>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659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(6341.0/B7*100)</f>
        <v/>
      </c>
      <c r="D7" s="19" t="n">
        <v>822</v>
      </c>
      <c r="E7" s="18" t="n">
        <v>74.98932511</v>
      </c>
      <c r="F7" s="20" t="n">
        <v>1.88051146</v>
      </c>
      <c r="G7" s="18" t="n">
        <v>24.59070699</v>
      </c>
      <c r="H7" s="20" t="n">
        <v>1.86559405</v>
      </c>
      <c r="I7" s="18" t="n">
        <v>0</v>
      </c>
      <c r="J7" s="20" t="n">
        <v>0</v>
      </c>
      <c r="K7" s="18" t="n">
        <v>0.11352023</v>
      </c>
      <c r="L7" s="20" t="n">
        <v>0.07969733</v>
      </c>
      <c r="M7" s="18" t="n">
        <v>0</v>
      </c>
      <c r="N7" s="20" t="n">
        <v>0</v>
      </c>
      <c r="O7" s="18" t="n">
        <v>0</v>
      </c>
      <c r="P7" s="20" t="n">
        <v>0</v>
      </c>
      <c r="Q7" s="18" t="n">
        <v>0.30644768</v>
      </c>
      <c r="R7" s="20" t="n">
        <v>0.20208692</v>
      </c>
    </row>
    <row r="8" spans="1:18">
      <c r="A8" s="15" t="s">
        <v>566</v>
      </c>
      <c r="B8" s="17" t="n">
        <v>3443</v>
      </c>
      <c r="C8" s="18">
        <f>(3060.0/B8*100)</f>
        <v/>
      </c>
      <c r="D8" s="19" t="n">
        <v>383</v>
      </c>
      <c r="E8" s="18" t="n">
        <v>73.25417102</v>
      </c>
      <c r="F8" s="20" t="n">
        <v>2.24820419</v>
      </c>
      <c r="G8" s="18" t="n">
        <v>25.23066908</v>
      </c>
      <c r="H8" s="20" t="n">
        <v>2.2197834</v>
      </c>
      <c r="I8" s="18" t="n">
        <v>0</v>
      </c>
      <c r="J8" s="20" t="n">
        <v>0</v>
      </c>
      <c r="K8" s="18" t="n">
        <v>0</v>
      </c>
      <c r="L8" s="20" t="n">
        <v>0</v>
      </c>
      <c r="M8" s="18" t="n">
        <v>0</v>
      </c>
      <c r="N8" s="20" t="n">
        <v>0</v>
      </c>
      <c r="O8" s="18" t="n">
        <v>0</v>
      </c>
      <c r="P8" s="20" t="n">
        <v>0</v>
      </c>
      <c r="Q8" s="18" t="n">
        <v>1.5151599</v>
      </c>
      <c r="R8" s="20" t="n">
        <v>0.85986996</v>
      </c>
    </row>
    <row r="9" spans="1:18">
      <c r="A9" s="15" t="s">
        <v>567</v>
      </c>
      <c r="B9" s="17" t="n">
        <v>4752</v>
      </c>
      <c r="C9" s="18">
        <f>(4248.0/B9*100)</f>
        <v/>
      </c>
      <c r="D9" s="19" t="n">
        <v>504</v>
      </c>
      <c r="E9" s="18" t="n">
        <v>80.27490761999999</v>
      </c>
      <c r="F9" s="20" t="n">
        <v>1.73809056</v>
      </c>
      <c r="G9" s="18" t="n">
        <v>18.20401944</v>
      </c>
      <c r="H9" s="20" t="n">
        <v>1.68340836</v>
      </c>
      <c r="I9" s="18" t="n">
        <v>0</v>
      </c>
      <c r="J9" s="20" t="n">
        <v>0</v>
      </c>
      <c r="K9" s="18" t="n">
        <v>0</v>
      </c>
      <c r="L9" s="20" t="n">
        <v>0</v>
      </c>
      <c r="M9" s="18" t="n">
        <v>0</v>
      </c>
      <c r="N9" s="20" t="n">
        <v>0</v>
      </c>
      <c r="O9" s="18" t="n">
        <v>0</v>
      </c>
      <c r="P9" s="20" t="n">
        <v>0</v>
      </c>
      <c r="Q9" s="18" t="n">
        <v>1.52107294</v>
      </c>
      <c r="R9" s="20" t="n">
        <v>0.60594</v>
      </c>
    </row>
    <row r="10" spans="1:18">
      <c r="A10" s="15" t="s">
        <v>568</v>
      </c>
      <c r="B10" s="17" t="n">
        <v>10022</v>
      </c>
      <c r="C10" s="18">
        <f>(8917.0/B10*100)</f>
        <v/>
      </c>
      <c r="D10" s="19" t="n">
        <v>1105</v>
      </c>
      <c r="E10" s="18" t="n">
        <v>70.08972369</v>
      </c>
      <c r="F10" s="20" t="n">
        <v>2.23226987</v>
      </c>
      <c r="G10" s="18" t="n">
        <v>29.2510263</v>
      </c>
      <c r="H10" s="20" t="n">
        <v>2.18815094</v>
      </c>
      <c r="I10" s="18" t="n">
        <v>0</v>
      </c>
      <c r="J10" s="20" t="n">
        <v>0</v>
      </c>
      <c r="K10" s="18" t="n">
        <v>0.03439686</v>
      </c>
      <c r="L10" s="20" t="n">
        <v>0.02496397</v>
      </c>
      <c r="M10" s="18" t="n">
        <v>0</v>
      </c>
      <c r="N10" s="20" t="n">
        <v>0</v>
      </c>
      <c r="O10" s="18" t="n">
        <v>0</v>
      </c>
      <c r="P10" s="20" t="n">
        <v>0</v>
      </c>
      <c r="Q10" s="18" t="n">
        <v>0.62485316</v>
      </c>
      <c r="R10" s="20" t="n">
        <v>0.3185119</v>
      </c>
    </row>
    <row r="11" spans="1:18">
      <c r="A11" s="15" t="s">
        <v>569</v>
      </c>
      <c r="B11" s="17" t="n">
        <v>3500</v>
      </c>
      <c r="C11" s="18">
        <f>(3130.0/B11*100)</f>
        <v/>
      </c>
      <c r="D11" s="19" t="n">
        <v>370</v>
      </c>
      <c r="E11" s="18" t="n">
        <v>86.53839825999999</v>
      </c>
      <c r="F11" s="20" t="n">
        <v>1.85343242</v>
      </c>
      <c r="G11" s="18" t="n">
        <v>11.89544124</v>
      </c>
      <c r="H11" s="20" t="n">
        <v>1.7661595</v>
      </c>
      <c r="I11" s="18" t="n">
        <v>0</v>
      </c>
      <c r="J11" s="20" t="n">
        <v>0</v>
      </c>
      <c r="K11" s="18" t="n">
        <v>0</v>
      </c>
      <c r="L11" s="20" t="n">
        <v>0</v>
      </c>
      <c r="M11" s="18" t="n">
        <v>0</v>
      </c>
      <c r="N11" s="20" t="n">
        <v>0</v>
      </c>
      <c r="O11" s="18" t="n">
        <v>0</v>
      </c>
      <c r="P11" s="20" t="n">
        <v>0</v>
      </c>
      <c r="Q11" s="18" t="n">
        <v>1.56616051</v>
      </c>
      <c r="R11" s="20" t="n">
        <v>0.70596094</v>
      </c>
    </row>
    <row r="12" spans="1:18">
      <c r="A12" s="15" t="s">
        <v>570</v>
      </c>
      <c r="B12" s="17" t="n">
        <v>3422</v>
      </c>
      <c r="C12" s="18">
        <f>(3064.0/B12*100)</f>
        <v/>
      </c>
      <c r="D12" s="19" t="n">
        <v>358</v>
      </c>
      <c r="E12" s="18" t="n">
        <v>74.17856602000001</v>
      </c>
      <c r="F12" s="20" t="n">
        <v>2.51236051</v>
      </c>
      <c r="G12" s="18" t="n">
        <v>25.66031685</v>
      </c>
      <c r="H12" s="20" t="n">
        <v>2.50178905</v>
      </c>
      <c r="I12" s="18" t="n">
        <v>0</v>
      </c>
      <c r="J12" s="20" t="n">
        <v>0</v>
      </c>
      <c r="K12" s="18" t="n">
        <v>0.16111713</v>
      </c>
      <c r="L12" s="20" t="n">
        <v>0.15658868</v>
      </c>
      <c r="M12" s="18" t="n">
        <v>0</v>
      </c>
      <c r="N12" s="20" t="n">
        <v>0</v>
      </c>
      <c r="O12" s="18" t="n">
        <v>0</v>
      </c>
      <c r="P12" s="20" t="n">
        <v>0</v>
      </c>
      <c r="Q12" s="18" t="n">
        <v>0</v>
      </c>
      <c r="R12" s="20" t="n">
        <v>0</v>
      </c>
    </row>
    <row r="13" spans="1:18">
      <c r="A13" s="15" t="s">
        <v>571</v>
      </c>
      <c r="B13" s="17" t="n">
        <v>3602</v>
      </c>
      <c r="C13" s="18">
        <f>(3191.0/B13*100)</f>
        <v/>
      </c>
      <c r="D13" s="19" t="n">
        <v>411</v>
      </c>
      <c r="E13" s="18" t="n">
        <v>70.75671985</v>
      </c>
      <c r="F13" s="20" t="n">
        <v>2.80731108</v>
      </c>
      <c r="G13" s="18" t="n">
        <v>28.03962673</v>
      </c>
      <c r="H13" s="20" t="n">
        <v>2.73364836</v>
      </c>
      <c r="I13" s="18" t="n">
        <v>0</v>
      </c>
      <c r="J13" s="20" t="n">
        <v>0</v>
      </c>
      <c r="K13" s="18" t="n">
        <v>0.51613447</v>
      </c>
      <c r="L13" s="20" t="n">
        <v>0.44345419</v>
      </c>
      <c r="M13" s="18" t="n">
        <v>0</v>
      </c>
      <c r="N13" s="20" t="n">
        <v>0</v>
      </c>
      <c r="O13" s="18" t="n">
        <v>0</v>
      </c>
      <c r="P13" s="20" t="n">
        <v>0</v>
      </c>
      <c r="Q13" s="18" t="n">
        <v>0.68751895</v>
      </c>
      <c r="R13" s="20" t="n">
        <v>0.46684317</v>
      </c>
    </row>
    <row r="14" spans="1:18">
      <c r="A14" s="15" t="s">
        <v>572</v>
      </c>
      <c r="B14" s="17" t="n">
        <v>2788</v>
      </c>
      <c r="C14" s="18">
        <f>(2496.0/B14*100)</f>
        <v/>
      </c>
      <c r="D14" s="19" t="n">
        <v>292</v>
      </c>
      <c r="E14" s="18" t="n">
        <v>77.16099874</v>
      </c>
      <c r="F14" s="20" t="n">
        <v>2.66453853</v>
      </c>
      <c r="G14" s="18" t="n">
        <v>22.54790742</v>
      </c>
      <c r="H14" s="20" t="n">
        <v>2.66326573</v>
      </c>
      <c r="I14" s="18" t="n">
        <v>0</v>
      </c>
      <c r="J14" s="20" t="n">
        <v>0</v>
      </c>
      <c r="K14" s="18" t="n">
        <v>0</v>
      </c>
      <c r="L14" s="20" t="n">
        <v>0</v>
      </c>
      <c r="M14" s="18" t="n">
        <v>0</v>
      </c>
      <c r="N14" s="20" t="n">
        <v>0</v>
      </c>
      <c r="O14" s="18" t="n">
        <v>0</v>
      </c>
      <c r="P14" s="20" t="n">
        <v>0</v>
      </c>
      <c r="Q14" s="18" t="n">
        <v>0.29109385</v>
      </c>
      <c r="R14" s="20" t="n">
        <v>0.28465016</v>
      </c>
    </row>
    <row r="15" spans="1:18">
      <c r="A15" s="15" t="s">
        <v>573</v>
      </c>
      <c r="B15" s="17" t="n">
        <v>2863</v>
      </c>
      <c r="C15" s="18">
        <f>(2525.0/B15*100)</f>
        <v/>
      </c>
      <c r="D15" s="19" t="n">
        <v>338</v>
      </c>
      <c r="E15" s="18" t="n">
        <v>77.42436189999999</v>
      </c>
      <c r="F15" s="20" t="n">
        <v>2.42043612</v>
      </c>
      <c r="G15" s="18" t="n">
        <v>22.27723049</v>
      </c>
      <c r="H15" s="20" t="n">
        <v>2.38112669</v>
      </c>
      <c r="I15" s="18" t="n">
        <v>0</v>
      </c>
      <c r="J15" s="20" t="n">
        <v>0</v>
      </c>
      <c r="K15" s="18" t="n">
        <v>0</v>
      </c>
      <c r="L15" s="20" t="n">
        <v>0</v>
      </c>
      <c r="M15" s="18" t="n">
        <v>0</v>
      </c>
      <c r="N15" s="20" t="n">
        <v>0</v>
      </c>
      <c r="O15" s="18" t="n">
        <v>0</v>
      </c>
      <c r="P15" s="20" t="n">
        <v>0</v>
      </c>
      <c r="Q15" s="18" t="n">
        <v>0.29840761</v>
      </c>
      <c r="R15" s="20" t="n">
        <v>0.29776506</v>
      </c>
    </row>
    <row r="16" spans="1:18">
      <c r="A16" s="15" t="s">
        <v>574</v>
      </c>
      <c r="B16" s="17" t="n">
        <v>3111</v>
      </c>
      <c r="C16" s="18">
        <f>(2766.0/B16*100)</f>
        <v/>
      </c>
      <c r="D16" s="19" t="n">
        <v>345</v>
      </c>
      <c r="E16" s="18" t="n">
        <v>73.18085295</v>
      </c>
      <c r="F16" s="20" t="n">
        <v>2.75160194</v>
      </c>
      <c r="G16" s="18" t="n">
        <v>25.26297363</v>
      </c>
      <c r="H16" s="20" t="n">
        <v>2.64507462</v>
      </c>
      <c r="I16" s="18" t="n">
        <v>0</v>
      </c>
      <c r="J16" s="20" t="n">
        <v>0</v>
      </c>
      <c r="K16" s="18" t="n">
        <v>0</v>
      </c>
      <c r="L16" s="20" t="n">
        <v>0</v>
      </c>
      <c r="M16" s="18" t="n">
        <v>0</v>
      </c>
      <c r="N16" s="20" t="n">
        <v>0</v>
      </c>
      <c r="O16" s="18" t="n">
        <v>0</v>
      </c>
      <c r="P16" s="20" t="n">
        <v>0</v>
      </c>
      <c r="Q16" s="18" t="n">
        <v>1.55617342</v>
      </c>
      <c r="R16" s="20" t="n">
        <v>0.72069078</v>
      </c>
    </row>
    <row r="17" spans="1:18">
      <c r="A17" s="15" t="s">
        <v>575</v>
      </c>
      <c r="B17" s="17" t="n">
        <v>3197</v>
      </c>
      <c r="C17" s="18">
        <f>(2836.0/B17*100)</f>
        <v/>
      </c>
      <c r="D17" s="19" t="n">
        <v>361</v>
      </c>
      <c r="E17" s="18" t="n">
        <v>76.56527848</v>
      </c>
      <c r="F17" s="20" t="n">
        <v>1.86521974</v>
      </c>
      <c r="G17" s="18" t="n">
        <v>22.634508</v>
      </c>
      <c r="H17" s="20" t="n">
        <v>1.91142915</v>
      </c>
      <c r="I17" s="18" t="n">
        <v>0</v>
      </c>
      <c r="J17" s="20" t="n">
        <v>0</v>
      </c>
      <c r="K17" s="18" t="n">
        <v>0</v>
      </c>
      <c r="L17" s="20" t="n">
        <v>0</v>
      </c>
      <c r="M17" s="18" t="n">
        <v>0</v>
      </c>
      <c r="N17" s="20" t="n">
        <v>0</v>
      </c>
      <c r="O17" s="18" t="n">
        <v>0</v>
      </c>
      <c r="P17" s="20" t="n">
        <v>0</v>
      </c>
      <c r="Q17" s="18" t="n">
        <v>0.80021352</v>
      </c>
      <c r="R17" s="20" t="n">
        <v>0.47493674</v>
      </c>
    </row>
    <row r="18" spans="1:18">
      <c r="A18" s="15" t="s">
        <v>576</v>
      </c>
      <c r="B18" s="17" t="n">
        <v>2706</v>
      </c>
      <c r="C18" s="18">
        <f>(2410.0/B18*100)</f>
        <v/>
      </c>
      <c r="D18" s="19" t="n">
        <v>296</v>
      </c>
      <c r="E18" s="18" t="n">
        <v>88.4416803</v>
      </c>
      <c r="F18" s="20" t="n">
        <v>2.07407554</v>
      </c>
      <c r="G18" s="18" t="n">
        <v>10.89858283</v>
      </c>
      <c r="H18" s="20" t="n">
        <v>1.91090055</v>
      </c>
      <c r="I18" s="18" t="n">
        <v>0</v>
      </c>
      <c r="J18" s="20" t="n">
        <v>0</v>
      </c>
      <c r="K18" s="18" t="n">
        <v>0</v>
      </c>
      <c r="L18" s="20" t="n">
        <v>0</v>
      </c>
      <c r="M18" s="18" t="n">
        <v>0</v>
      </c>
      <c r="N18" s="20" t="n">
        <v>0</v>
      </c>
      <c r="O18" s="18" t="n">
        <v>0</v>
      </c>
      <c r="P18" s="20" t="n">
        <v>0</v>
      </c>
      <c r="Q18" s="18" t="n">
        <v>0.65973686</v>
      </c>
      <c r="R18" s="20" t="n">
        <v>0.46088413</v>
      </c>
    </row>
    <row r="19" spans="1:18">
      <c r="A19" s="15" t="s">
        <v>577</v>
      </c>
      <c r="B19" s="17" t="n">
        <v>2850</v>
      </c>
      <c r="C19" s="18">
        <f>(2542.0/B19*100)</f>
        <v/>
      </c>
      <c r="D19" s="19" t="n">
        <v>308</v>
      </c>
      <c r="E19" s="18" t="n">
        <v>66.24065914000001</v>
      </c>
      <c r="F19" s="20" t="n">
        <v>2.98959808</v>
      </c>
      <c r="G19" s="18" t="n">
        <v>33.46923889</v>
      </c>
      <c r="H19" s="20" t="n">
        <v>3.07307019</v>
      </c>
      <c r="I19" s="18" t="n">
        <v>0</v>
      </c>
      <c r="J19" s="20" t="n">
        <v>0</v>
      </c>
      <c r="K19" s="18" t="n">
        <v>0</v>
      </c>
      <c r="L19" s="20" t="n">
        <v>0</v>
      </c>
      <c r="M19" s="18" t="n">
        <v>0</v>
      </c>
      <c r="N19" s="20" t="n">
        <v>0</v>
      </c>
      <c r="O19" s="18" t="n">
        <v>0</v>
      </c>
      <c r="P19" s="20" t="n">
        <v>0</v>
      </c>
      <c r="Q19" s="18" t="n">
        <v>0.29010197</v>
      </c>
      <c r="R19" s="20" t="n">
        <v>0.28082194</v>
      </c>
    </row>
    <row r="20" spans="1:18">
      <c r="A20" s="15" t="s">
        <v>578</v>
      </c>
      <c r="B20" s="17" t="n">
        <v>1741</v>
      </c>
      <c r="C20" s="18">
        <f>(1548.0/B20*100)</f>
        <v/>
      </c>
      <c r="D20" s="19" t="n">
        <v>193</v>
      </c>
      <c r="E20" s="18" t="n">
        <v>83.20769729</v>
      </c>
      <c r="F20" s="20" t="n">
        <v>2.64284597</v>
      </c>
      <c r="G20" s="18" t="n">
        <v>13.83511336</v>
      </c>
      <c r="H20" s="20" t="n">
        <v>2.44014572</v>
      </c>
      <c r="I20" s="18" t="n">
        <v>0</v>
      </c>
      <c r="J20" s="20" t="n">
        <v>0</v>
      </c>
      <c r="K20" s="18" t="n">
        <v>0.46500171</v>
      </c>
      <c r="L20" s="20" t="n">
        <v>0.46701713</v>
      </c>
      <c r="M20" s="18" t="n">
        <v>0</v>
      </c>
      <c r="N20" s="20" t="n">
        <v>0</v>
      </c>
      <c r="O20" s="18" t="n">
        <v>0</v>
      </c>
      <c r="P20" s="20" t="n">
        <v>0</v>
      </c>
      <c r="Q20" s="18" t="n">
        <v>2.49218764</v>
      </c>
      <c r="R20" s="20" t="n">
        <v>1.10561553</v>
      </c>
    </row>
    <row r="21" spans="1:18">
      <c r="A21" s="15" t="s">
        <v>579</v>
      </c>
      <c r="B21" s="17" t="n">
        <v>2833</v>
      </c>
      <c r="C21" s="18">
        <f>(2500.0/B21*100)</f>
        <v/>
      </c>
      <c r="D21" s="19" t="n">
        <v>333</v>
      </c>
      <c r="E21" s="18" t="n">
        <v>62.24413898</v>
      </c>
      <c r="F21" s="20" t="n">
        <v>2.57111007</v>
      </c>
      <c r="G21" s="18" t="n">
        <v>37.17699738</v>
      </c>
      <c r="H21" s="20" t="n">
        <v>2.66540199</v>
      </c>
      <c r="I21" s="18" t="n">
        <v>0</v>
      </c>
      <c r="J21" s="20" t="n">
        <v>0</v>
      </c>
      <c r="K21" s="18" t="n">
        <v>0</v>
      </c>
      <c r="L21" s="20" t="n">
        <v>0</v>
      </c>
      <c r="M21" s="18" t="n">
        <v>0</v>
      </c>
      <c r="N21" s="20" t="n">
        <v>0</v>
      </c>
      <c r="O21" s="18" t="n">
        <v>0</v>
      </c>
      <c r="P21" s="20" t="n">
        <v>0</v>
      </c>
      <c r="Q21" s="18" t="n">
        <v>0.57886364</v>
      </c>
      <c r="R21" s="20" t="n">
        <v>0.38002138</v>
      </c>
    </row>
    <row r="22" spans="1:18">
      <c r="A22" s="15" t="s">
        <v>580</v>
      </c>
      <c r="B22" s="17" t="n">
        <v>3667</v>
      </c>
      <c r="C22" s="18">
        <f>(3279.0/B22*100)</f>
        <v/>
      </c>
      <c r="D22" s="19" t="n">
        <v>388</v>
      </c>
      <c r="E22" s="18" t="n">
        <v>74.29418341</v>
      </c>
      <c r="F22" s="20" t="n">
        <v>2.4228007</v>
      </c>
      <c r="G22" s="18" t="n">
        <v>20.67647259</v>
      </c>
      <c r="H22" s="20" t="n">
        <v>2.12220416</v>
      </c>
      <c r="I22" s="18" t="n">
        <v>0</v>
      </c>
      <c r="J22" s="20" t="n">
        <v>0</v>
      </c>
      <c r="K22" s="18" t="n">
        <v>0.47933888</v>
      </c>
      <c r="L22" s="20" t="n">
        <v>0.33826209</v>
      </c>
      <c r="M22" s="18" t="n">
        <v>0</v>
      </c>
      <c r="N22" s="20" t="n">
        <v>0</v>
      </c>
      <c r="O22" s="18" t="n">
        <v>0</v>
      </c>
      <c r="P22" s="20" t="n">
        <v>0</v>
      </c>
      <c r="Q22" s="18" t="n">
        <v>4.55000512</v>
      </c>
      <c r="R22" s="20" t="n">
        <v>1.23245395</v>
      </c>
    </row>
    <row r="23" spans="1:18">
      <c r="A23" s="15" t="s">
        <v>581</v>
      </c>
      <c r="B23" s="17" t="n">
        <v>5792</v>
      </c>
      <c r="C23" s="18">
        <f>(5154.0/B23*100)</f>
        <v/>
      </c>
      <c r="D23" s="19" t="n">
        <v>638</v>
      </c>
      <c r="E23" s="18" t="n">
        <v>74.60290202</v>
      </c>
      <c r="F23" s="20" t="n">
        <v>2.42552319</v>
      </c>
      <c r="G23" s="18" t="n">
        <v>24.65255997</v>
      </c>
      <c r="H23" s="20" t="n">
        <v>2.32694568</v>
      </c>
      <c r="I23" s="18" t="n">
        <v>0</v>
      </c>
      <c r="J23" s="20" t="n">
        <v>0</v>
      </c>
      <c r="K23" s="18" t="n">
        <v>0</v>
      </c>
      <c r="L23" s="20" t="n">
        <v>0</v>
      </c>
      <c r="M23" s="18" t="n">
        <v>0</v>
      </c>
      <c r="N23" s="20" t="n">
        <v>0</v>
      </c>
      <c r="O23" s="18" t="n">
        <v>0</v>
      </c>
      <c r="P23" s="20" t="n">
        <v>0</v>
      </c>
      <c r="Q23" s="18" t="n">
        <v>0.74453801</v>
      </c>
      <c r="R23" s="20" t="n">
        <v>0.4097247</v>
      </c>
    </row>
    <row r="24" spans="1:18">
      <c r="A24" s="15" t="s">
        <v>582</v>
      </c>
      <c r="B24" s="17" t="n">
        <v>3309</v>
      </c>
      <c r="C24" s="18">
        <f>(2941.0/B24*100)</f>
        <v/>
      </c>
      <c r="D24" s="19" t="n">
        <v>368</v>
      </c>
      <c r="E24" s="18" t="n">
        <v>51.02810682</v>
      </c>
      <c r="F24" s="20" t="n">
        <v>2.56105934</v>
      </c>
      <c r="G24" s="18" t="n">
        <v>48.97189318</v>
      </c>
      <c r="H24" s="20" t="n">
        <v>2.56105934</v>
      </c>
      <c r="I24" s="18" t="n">
        <v>0</v>
      </c>
      <c r="J24" s="20" t="n">
        <v>0</v>
      </c>
      <c r="K24" s="18" t="n">
        <v>0</v>
      </c>
      <c r="L24" s="20" t="n">
        <v>0</v>
      </c>
      <c r="M24" s="18" t="n">
        <v>0</v>
      </c>
      <c r="N24" s="20" t="n">
        <v>0</v>
      </c>
      <c r="O24" s="18" t="n">
        <v>0</v>
      </c>
      <c r="P24" s="20" t="n">
        <v>0</v>
      </c>
      <c r="Q24" s="18" t="n">
        <v>0</v>
      </c>
      <c r="R24" s="20" t="n">
        <v>0</v>
      </c>
    </row>
    <row r="25" spans="1:18">
      <c r="A25" s="15" t="s">
        <v>583</v>
      </c>
      <c r="B25" s="17" t="n">
        <v>2669</v>
      </c>
      <c r="C25" s="18">
        <f>(2358.0/B25*100)</f>
        <v/>
      </c>
      <c r="D25" s="19" t="n">
        <v>311</v>
      </c>
      <c r="E25" s="18" t="n">
        <v>60.70158673</v>
      </c>
      <c r="F25" s="20" t="n">
        <v>2.64971924</v>
      </c>
      <c r="G25" s="18" t="n">
        <v>38.33759397</v>
      </c>
      <c r="H25" s="20" t="n">
        <v>2.65891043</v>
      </c>
      <c r="I25" s="18" t="n">
        <v>0</v>
      </c>
      <c r="J25" s="20" t="n">
        <v>0</v>
      </c>
      <c r="K25" s="18" t="n">
        <v>0.31682012</v>
      </c>
      <c r="L25" s="20" t="n">
        <v>0.31801206</v>
      </c>
      <c r="M25" s="18" t="n">
        <v>0</v>
      </c>
      <c r="N25" s="20" t="n">
        <v>0</v>
      </c>
      <c r="O25" s="18" t="n">
        <v>0</v>
      </c>
      <c r="P25" s="20" t="n">
        <v>0</v>
      </c>
      <c r="Q25" s="18" t="n">
        <v>0.64399917</v>
      </c>
      <c r="R25" s="20" t="n">
        <v>0.45064777</v>
      </c>
    </row>
    <row r="26" spans="1:18">
      <c r="A26" s="15" t="s">
        <v>584</v>
      </c>
      <c r="B26" s="17" t="n">
        <v>2419</v>
      </c>
      <c r="C26" s="18">
        <f>(2145.0/B26*100)</f>
        <v/>
      </c>
      <c r="D26" s="19" t="n">
        <v>274</v>
      </c>
      <c r="E26" s="18" t="n">
        <v>75.29540511</v>
      </c>
      <c r="F26" s="20" t="n">
        <v>2.60077187</v>
      </c>
      <c r="G26" s="18" t="n">
        <v>24.08167114</v>
      </c>
      <c r="H26" s="20" t="n">
        <v>2.55736378</v>
      </c>
      <c r="I26" s="18" t="n">
        <v>0</v>
      </c>
      <c r="J26" s="20" t="n">
        <v>0</v>
      </c>
      <c r="K26" s="18" t="n">
        <v>0</v>
      </c>
      <c r="L26" s="20" t="n">
        <v>0</v>
      </c>
      <c r="M26" s="18" t="n">
        <v>0</v>
      </c>
      <c r="N26" s="20" t="n">
        <v>0</v>
      </c>
      <c r="O26" s="18" t="n">
        <v>0</v>
      </c>
      <c r="P26" s="20" t="n">
        <v>0</v>
      </c>
      <c r="Q26" s="18" t="n">
        <v>0.62292376</v>
      </c>
      <c r="R26" s="20" t="n">
        <v>0.44402127</v>
      </c>
    </row>
    <row r="27" spans="1:18">
      <c r="A27" s="15" t="s">
        <v>585</v>
      </c>
      <c r="B27" s="17" t="n">
        <v>2683</v>
      </c>
      <c r="C27" s="18">
        <f>(2385.0/B27*100)</f>
        <v/>
      </c>
      <c r="D27" s="19" t="n">
        <v>298</v>
      </c>
      <c r="E27" s="18" t="n">
        <v>77.64999279</v>
      </c>
      <c r="F27" s="20" t="n">
        <v>2.22250848</v>
      </c>
      <c r="G27" s="18" t="n">
        <v>22.01689262</v>
      </c>
      <c r="H27" s="20" t="n">
        <v>2.17862783</v>
      </c>
      <c r="I27" s="18" t="n">
        <v>0</v>
      </c>
      <c r="J27" s="20" t="n">
        <v>0</v>
      </c>
      <c r="K27" s="18" t="n">
        <v>0</v>
      </c>
      <c r="L27" s="20" t="n">
        <v>0</v>
      </c>
      <c r="M27" s="18" t="n">
        <v>0</v>
      </c>
      <c r="N27" s="20" t="n">
        <v>0</v>
      </c>
      <c r="O27" s="18" t="n">
        <v>0</v>
      </c>
      <c r="P27" s="20" t="n">
        <v>0</v>
      </c>
      <c r="Q27" s="18" t="n">
        <v>0.33311459</v>
      </c>
      <c r="R27" s="20" t="n">
        <v>0.3292823</v>
      </c>
    </row>
    <row r="28" spans="1:18">
      <c r="A28" s="15" t="s">
        <v>586</v>
      </c>
      <c r="B28" s="17" t="n">
        <v>3803</v>
      </c>
      <c r="C28" s="18">
        <f>(3371.0/B28*100)</f>
        <v/>
      </c>
      <c r="D28" s="19" t="n">
        <v>432</v>
      </c>
      <c r="E28" s="18" t="n">
        <v>82.36006374</v>
      </c>
      <c r="F28" s="20" t="n">
        <v>2.13505433</v>
      </c>
      <c r="G28" s="18" t="n">
        <v>16.83812821</v>
      </c>
      <c r="H28" s="20" t="n">
        <v>2.13951324</v>
      </c>
      <c r="I28" s="18" t="n">
        <v>0</v>
      </c>
      <c r="J28" s="20" t="n">
        <v>0</v>
      </c>
      <c r="K28" s="18" t="n">
        <v>0</v>
      </c>
      <c r="L28" s="20" t="n">
        <v>0</v>
      </c>
      <c r="M28" s="18" t="n">
        <v>0</v>
      </c>
      <c r="N28" s="20" t="n">
        <v>0</v>
      </c>
      <c r="O28" s="18" t="n">
        <v>0</v>
      </c>
      <c r="P28" s="20" t="n">
        <v>0</v>
      </c>
      <c r="Q28" s="18" t="n">
        <v>0.80180805</v>
      </c>
      <c r="R28" s="20" t="n">
        <v>0.48816186</v>
      </c>
    </row>
    <row r="29" spans="1:18">
      <c r="A29" s="15" t="s">
        <v>587</v>
      </c>
      <c r="B29" s="17" t="n">
        <v>2700</v>
      </c>
      <c r="C29" s="18">
        <f>(2399.0/B29*100)</f>
        <v/>
      </c>
      <c r="D29" s="19" t="n">
        <v>301</v>
      </c>
      <c r="E29" s="18" t="n">
        <v>75.9780183</v>
      </c>
      <c r="F29" s="20" t="n">
        <v>2.5311466</v>
      </c>
      <c r="G29" s="18" t="n">
        <v>23.67511024</v>
      </c>
      <c r="H29" s="20" t="n">
        <v>2.5272516</v>
      </c>
      <c r="I29" s="18" t="n">
        <v>0</v>
      </c>
      <c r="J29" s="20" t="n">
        <v>0</v>
      </c>
      <c r="K29" s="18" t="n">
        <v>0</v>
      </c>
      <c r="L29" s="20" t="n">
        <v>0</v>
      </c>
      <c r="M29" s="18" t="n">
        <v>0</v>
      </c>
      <c r="N29" s="20" t="n">
        <v>0</v>
      </c>
      <c r="O29" s="18" t="n">
        <v>0</v>
      </c>
      <c r="P29" s="20" t="n">
        <v>0</v>
      </c>
      <c r="Q29" s="18" t="n">
        <v>0.34687146</v>
      </c>
      <c r="R29" s="20" t="n">
        <v>0.35649448</v>
      </c>
    </row>
    <row r="30" spans="1:18">
      <c r="A30" s="15" t="s">
        <v>588</v>
      </c>
      <c r="B30" s="17" t="n">
        <v>2257</v>
      </c>
      <c r="C30" s="18">
        <f>(2003.0/B30*100)</f>
        <v/>
      </c>
      <c r="D30" s="19" t="n">
        <v>254</v>
      </c>
      <c r="E30" s="18" t="n">
        <v>78.18412434</v>
      </c>
      <c r="F30" s="20" t="n">
        <v>2.48879441</v>
      </c>
      <c r="G30" s="18" t="n">
        <v>19.12803318</v>
      </c>
      <c r="H30" s="20" t="n">
        <v>2.14931744</v>
      </c>
      <c r="I30" s="18" t="n">
        <v>0</v>
      </c>
      <c r="J30" s="20" t="n">
        <v>0</v>
      </c>
      <c r="K30" s="18" t="n">
        <v>0.38476818</v>
      </c>
      <c r="L30" s="20" t="n">
        <v>0.37670043</v>
      </c>
      <c r="M30" s="18" t="n">
        <v>0</v>
      </c>
      <c r="N30" s="20" t="n">
        <v>0</v>
      </c>
      <c r="O30" s="18" t="n">
        <v>0</v>
      </c>
      <c r="P30" s="20" t="n">
        <v>0</v>
      </c>
      <c r="Q30" s="18" t="n">
        <v>2.3030743</v>
      </c>
      <c r="R30" s="20" t="n">
        <v>1.1586587</v>
      </c>
    </row>
    <row r="31" spans="1:18">
      <c r="A31" s="15" t="s">
        <v>589</v>
      </c>
      <c r="B31" s="17" t="n">
        <v>2706</v>
      </c>
      <c r="C31" s="18">
        <f>(2401.0/B31*100)</f>
        <v/>
      </c>
      <c r="D31" s="19" t="n">
        <v>305</v>
      </c>
      <c r="E31" s="18" t="n">
        <v>69.86837462</v>
      </c>
      <c r="F31" s="20" t="n">
        <v>2.70010534</v>
      </c>
      <c r="G31" s="18" t="n">
        <v>29.13841284</v>
      </c>
      <c r="H31" s="20" t="n">
        <v>2.71330385</v>
      </c>
      <c r="I31" s="18" t="n">
        <v>0</v>
      </c>
      <c r="J31" s="20" t="n">
        <v>0</v>
      </c>
      <c r="K31" s="18" t="n">
        <v>0</v>
      </c>
      <c r="L31" s="20" t="n">
        <v>0</v>
      </c>
      <c r="M31" s="18" t="n">
        <v>0</v>
      </c>
      <c r="N31" s="20" t="n">
        <v>0</v>
      </c>
      <c r="O31" s="18" t="n">
        <v>0</v>
      </c>
      <c r="P31" s="20" t="n">
        <v>0</v>
      </c>
      <c r="Q31" s="18" t="n">
        <v>0.99321254</v>
      </c>
      <c r="R31" s="20" t="n">
        <v>0.60219421</v>
      </c>
    </row>
    <row r="32" spans="1:18">
      <c r="A32" s="15" t="s">
        <v>590</v>
      </c>
      <c r="B32" s="17" t="n">
        <v>2209</v>
      </c>
      <c r="C32" s="18">
        <f>(1962.0/B32*100)</f>
        <v/>
      </c>
      <c r="D32" s="19" t="n">
        <v>247</v>
      </c>
      <c r="E32" s="18" t="n">
        <v>71.17451126</v>
      </c>
      <c r="F32" s="20" t="n">
        <v>3.05291924</v>
      </c>
      <c r="G32" s="18" t="n">
        <v>28.82548874</v>
      </c>
      <c r="H32" s="20" t="n">
        <v>3.05291924</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(3243.0/B33*100)</f>
        <v/>
      </c>
      <c r="D33" s="19" t="n">
        <v>408</v>
      </c>
      <c r="E33" s="18" t="n">
        <v>67.83371034</v>
      </c>
      <c r="F33" s="20" t="n">
        <v>2.83296433</v>
      </c>
      <c r="G33" s="18" t="n">
        <v>31.90176342</v>
      </c>
      <c r="H33" s="20" t="n">
        <v>2.84553204</v>
      </c>
      <c r="I33" s="18" t="n">
        <v>0</v>
      </c>
      <c r="J33" s="20" t="n">
        <v>0</v>
      </c>
      <c r="K33" s="18" t="n">
        <v>0</v>
      </c>
      <c r="L33" s="20" t="n">
        <v>0</v>
      </c>
      <c r="M33" s="18" t="n">
        <v>0</v>
      </c>
      <c r="N33" s="20" t="n">
        <v>0</v>
      </c>
      <c r="O33" s="18" t="n">
        <v>0</v>
      </c>
      <c r="P33" s="20" t="n">
        <v>0</v>
      </c>
      <c r="Q33" s="18" t="n">
        <v>0.26452623</v>
      </c>
      <c r="R33" s="20" t="n">
        <v>0.26423968</v>
      </c>
    </row>
    <row r="34" spans="1:18">
      <c r="A34" s="15" t="s">
        <v>592</v>
      </c>
      <c r="B34" s="17" t="n">
        <v>3035</v>
      </c>
      <c r="C34" s="18">
        <f>(2725.0/B34*100)</f>
        <v/>
      </c>
      <c r="D34" s="19" t="n">
        <v>310</v>
      </c>
      <c r="E34" s="18" t="n">
        <v>71.86226591</v>
      </c>
      <c r="F34" s="20" t="n">
        <v>3.12293629</v>
      </c>
      <c r="G34" s="18" t="n">
        <v>26.78929198</v>
      </c>
      <c r="H34" s="20" t="n">
        <v>3.12517693</v>
      </c>
      <c r="I34" s="18" t="n">
        <v>0</v>
      </c>
      <c r="J34" s="20" t="n">
        <v>0</v>
      </c>
      <c r="K34" s="18" t="n">
        <v>0</v>
      </c>
      <c r="L34" s="20" t="n">
        <v>0</v>
      </c>
      <c r="M34" s="18" t="n">
        <v>0</v>
      </c>
      <c r="N34" s="20" t="n">
        <v>0</v>
      </c>
      <c r="O34" s="18" t="n">
        <v>0</v>
      </c>
      <c r="P34" s="20" t="n">
        <v>0</v>
      </c>
      <c r="Q34" s="18" t="n">
        <v>1.3484421</v>
      </c>
      <c r="R34" s="20" t="n">
        <v>0.78317499</v>
      </c>
    </row>
    <row r="35" spans="1:18">
      <c r="A35" s="15" t="s">
        <v>593</v>
      </c>
      <c r="B35" s="17" t="n">
        <v>2901</v>
      </c>
      <c r="C35" s="18">
        <f>(2592.0/B35*100)</f>
        <v/>
      </c>
      <c r="D35" s="19" t="n">
        <v>309</v>
      </c>
      <c r="E35" s="18" t="n">
        <v>69.9534646</v>
      </c>
      <c r="F35" s="20" t="n">
        <v>3.14768183</v>
      </c>
      <c r="G35" s="18" t="n">
        <v>29.90454466</v>
      </c>
      <c r="H35" s="20" t="n">
        <v>3.13891754</v>
      </c>
      <c r="I35" s="18" t="n">
        <v>0</v>
      </c>
      <c r="J35" s="20" t="n">
        <v>0</v>
      </c>
      <c r="K35" s="18" t="n">
        <v>0</v>
      </c>
      <c r="L35" s="20" t="n">
        <v>0</v>
      </c>
      <c r="M35" s="18" t="n">
        <v>0</v>
      </c>
      <c r="N35" s="20" t="n">
        <v>0</v>
      </c>
      <c r="O35" s="18" t="n">
        <v>0</v>
      </c>
      <c r="P35" s="20" t="n">
        <v>0</v>
      </c>
      <c r="Q35" s="18" t="n">
        <v>0.14199074</v>
      </c>
      <c r="R35" s="20" t="n">
        <v>0.14322228</v>
      </c>
    </row>
    <row r="36" spans="1:18">
      <c r="A36" s="15" t="s">
        <v>594</v>
      </c>
      <c r="B36" s="17" t="n">
        <v>3404</v>
      </c>
      <c r="C36" s="18">
        <f>(3019.0/B36*100)</f>
        <v/>
      </c>
      <c r="D36" s="19" t="n">
        <v>385</v>
      </c>
      <c r="E36" s="18" t="n">
        <v>73.46201385000001</v>
      </c>
      <c r="F36" s="20" t="n">
        <v>2.14911795</v>
      </c>
      <c r="G36" s="18" t="n">
        <v>25.72054682</v>
      </c>
      <c r="H36" s="20" t="n">
        <v>2.17743144</v>
      </c>
      <c r="I36" s="18" t="n">
        <v>0</v>
      </c>
      <c r="J36" s="20" t="n">
        <v>0</v>
      </c>
      <c r="K36" s="18" t="n">
        <v>0</v>
      </c>
      <c r="L36" s="20" t="n">
        <v>0</v>
      </c>
      <c r="M36" s="18" t="n">
        <v>0</v>
      </c>
      <c r="N36" s="20" t="n">
        <v>0</v>
      </c>
      <c r="O36" s="18" t="n">
        <v>0</v>
      </c>
      <c r="P36" s="20" t="n">
        <v>0</v>
      </c>
      <c r="Q36" s="18" t="n">
        <v>0.81743933</v>
      </c>
      <c r="R36" s="20" t="n">
        <v>0.44671386</v>
      </c>
    </row>
    <row r="37" spans="1:18">
      <c r="A37" s="15" t="s">
        <v>595</v>
      </c>
      <c r="B37" s="17" t="n">
        <v>2731</v>
      </c>
      <c r="C37" s="18">
        <f>(2436.0/B37*100)</f>
        <v/>
      </c>
      <c r="D37" s="19" t="n">
        <v>295</v>
      </c>
      <c r="E37" s="18" t="n">
        <v>64.21678169</v>
      </c>
      <c r="F37" s="20" t="n">
        <v>3.2796179</v>
      </c>
      <c r="G37" s="18" t="n">
        <v>35.06920902</v>
      </c>
      <c r="H37" s="20" t="n">
        <v>3.17656953</v>
      </c>
      <c r="I37" s="18" t="n">
        <v>0</v>
      </c>
      <c r="J37" s="20" t="n">
        <v>0</v>
      </c>
      <c r="K37" s="18" t="n">
        <v>0</v>
      </c>
      <c r="L37" s="20" t="n">
        <v>0</v>
      </c>
      <c r="M37" s="18" t="n">
        <v>0</v>
      </c>
      <c r="N37" s="20" t="n">
        <v>0</v>
      </c>
      <c r="O37" s="18" t="n">
        <v>0</v>
      </c>
      <c r="P37" s="20" t="n">
        <v>0</v>
      </c>
      <c r="Q37" s="18" t="n">
        <v>0.71400929</v>
      </c>
      <c r="R37" s="20" t="n">
        <v>0.49475481</v>
      </c>
    </row>
    <row r="38" spans="1:18">
      <c r="A38" s="15" t="s">
        <v>596</v>
      </c>
      <c r="B38" s="17" t="n">
        <v>2807</v>
      </c>
      <c r="C38" s="18">
        <f>(2508.0/B38*100)</f>
        <v/>
      </c>
      <c r="D38" s="19" t="n">
        <v>299</v>
      </c>
      <c r="E38" s="18" t="n">
        <v>73.68166804000001</v>
      </c>
      <c r="F38" s="20" t="n">
        <v>2.80703841</v>
      </c>
      <c r="G38" s="18" t="n">
        <v>25.68584349</v>
      </c>
      <c r="H38" s="20" t="n">
        <v>2.82829153</v>
      </c>
      <c r="I38" s="18" t="n">
        <v>0</v>
      </c>
      <c r="J38" s="20" t="n">
        <v>0</v>
      </c>
      <c r="K38" s="18" t="n">
        <v>0</v>
      </c>
      <c r="L38" s="20" t="n">
        <v>0</v>
      </c>
      <c r="M38" s="18" t="n">
        <v>0</v>
      </c>
      <c r="N38" s="20" t="n">
        <v>0</v>
      </c>
      <c r="O38" s="18" t="n">
        <v>0</v>
      </c>
      <c r="P38" s="20" t="n">
        <v>0</v>
      </c>
      <c r="Q38" s="18" t="n">
        <v>0.63248847</v>
      </c>
      <c r="R38" s="20" t="n">
        <v>0.42113001</v>
      </c>
    </row>
    <row r="39" spans="1:18">
      <c r="A39" s="15" t="s">
        <v>597</v>
      </c>
      <c r="B39" s="17" t="n">
        <v>2938</v>
      </c>
      <c r="C39" s="18">
        <f>(2616.0/B39*100)</f>
        <v/>
      </c>
      <c r="D39" s="19" t="n">
        <v>322</v>
      </c>
      <c r="E39" s="18" t="n">
        <v>85.83970856000001</v>
      </c>
      <c r="F39" s="20" t="n">
        <v>2.34341549</v>
      </c>
      <c r="G39" s="18" t="n">
        <v>13.86293382</v>
      </c>
      <c r="H39" s="20" t="n">
        <v>2.31543676</v>
      </c>
      <c r="I39" s="18" t="n">
        <v>0</v>
      </c>
      <c r="J39" s="20" t="n">
        <v>0</v>
      </c>
      <c r="K39" s="18" t="n">
        <v>0</v>
      </c>
      <c r="L39" s="20" t="n">
        <v>0</v>
      </c>
      <c r="M39" s="18" t="n">
        <v>0</v>
      </c>
      <c r="N39" s="20" t="n">
        <v>0</v>
      </c>
      <c r="O39" s="18" t="n">
        <v>0</v>
      </c>
      <c r="P39" s="20" t="n">
        <v>0</v>
      </c>
      <c r="Q39" s="18" t="n">
        <v>0.29735762</v>
      </c>
      <c r="R39" s="20" t="n">
        <v>0.29101866</v>
      </c>
    </row>
    <row r="40" spans="1:18">
      <c r="A40" s="15" t="s">
        <v>598</v>
      </c>
      <c r="B40" s="17" t="n">
        <v>6922</v>
      </c>
      <c r="C40" s="18">
        <f>(6126.0/B40*100)</f>
        <v/>
      </c>
      <c r="D40" s="19" t="n">
        <v>796</v>
      </c>
      <c r="E40" s="18" t="n">
        <v>57.3917223</v>
      </c>
      <c r="F40" s="20" t="n">
        <v>2.50333764</v>
      </c>
      <c r="G40" s="18" t="n">
        <v>41.12112328</v>
      </c>
      <c r="H40" s="20" t="n">
        <v>2.53647032</v>
      </c>
      <c r="I40" s="18" t="n">
        <v>0</v>
      </c>
      <c r="J40" s="20" t="n">
        <v>0</v>
      </c>
      <c r="K40" s="18" t="n">
        <v>0.02940407</v>
      </c>
      <c r="L40" s="20" t="n">
        <v>0.02798321</v>
      </c>
      <c r="M40" s="18" t="n">
        <v>0</v>
      </c>
      <c r="N40" s="20" t="n">
        <v>0</v>
      </c>
      <c r="O40" s="18" t="n">
        <v>0</v>
      </c>
      <c r="P40" s="20" t="n">
        <v>0</v>
      </c>
      <c r="Q40" s="18" t="n">
        <v>1.45775036</v>
      </c>
      <c r="R40" s="20" t="n">
        <v>0.61236343</v>
      </c>
    </row>
    <row r="41" spans="1:18">
      <c r="A41" s="15" t="s">
        <v>599</v>
      </c>
      <c r="B41" s="17" t="n">
        <v>2854</v>
      </c>
      <c r="C41" s="18">
        <f>(2567.0/B41*100)</f>
        <v/>
      </c>
      <c r="D41" s="19" t="n">
        <v>287</v>
      </c>
      <c r="E41" s="18" t="n">
        <v>76.84171006</v>
      </c>
      <c r="F41" s="20" t="n">
        <v>2.28210826</v>
      </c>
      <c r="G41" s="18" t="n">
        <v>23.15828994</v>
      </c>
      <c r="H41" s="20" t="n">
        <v>2.28210826</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(10845.0/B46*100)</f>
        <v/>
      </c>
      <c r="D46" s="19" t="n">
        <v>1228</v>
      </c>
      <c r="E46" s="18" t="n">
        <v>81.05680863000001</v>
      </c>
      <c r="F46" s="20" t="n">
        <v>1.2765222</v>
      </c>
      <c r="G46" s="18" t="n">
        <v>16.57818503</v>
      </c>
      <c r="H46" s="20" t="n">
        <v>1.30213626</v>
      </c>
      <c r="I46" s="18" t="n">
        <v>0</v>
      </c>
      <c r="J46" s="20" t="n">
        <v>0</v>
      </c>
      <c r="K46" s="18" t="n">
        <v>0.65432043</v>
      </c>
      <c r="L46" s="20" t="n">
        <v>0.26773937</v>
      </c>
      <c r="M46" s="18" t="n">
        <v>0</v>
      </c>
      <c r="N46" s="20" t="n">
        <v>0</v>
      </c>
      <c r="O46" s="18" t="n">
        <v>0</v>
      </c>
      <c r="P46" s="20" t="n">
        <v>0</v>
      </c>
      <c r="Q46" s="18" t="n">
        <v>1.71068591</v>
      </c>
      <c r="R46" s="20" t="n">
        <v>0.48424211</v>
      </c>
    </row>
    <row r="47" spans="1:18">
      <c r="A47" s="15" t="s">
        <v>606</v>
      </c>
      <c r="B47" s="17" t="n">
        <v>2823</v>
      </c>
      <c r="C47" s="18">
        <f>(2534.0/B47*100)</f>
        <v/>
      </c>
      <c r="D47" s="19" t="n">
        <v>289</v>
      </c>
      <c r="E47" s="18" t="n">
        <v>87.63346104999999</v>
      </c>
      <c r="F47" s="20" t="n">
        <v>1.94536051</v>
      </c>
      <c r="G47" s="18" t="n">
        <v>10.29471013</v>
      </c>
      <c r="H47" s="20" t="n">
        <v>1.74172003</v>
      </c>
      <c r="I47" s="18" t="n">
        <v>0</v>
      </c>
      <c r="J47" s="20" t="n">
        <v>0</v>
      </c>
      <c r="K47" s="18" t="n">
        <v>0</v>
      </c>
      <c r="L47" s="20" t="n">
        <v>0</v>
      </c>
      <c r="M47" s="18" t="n">
        <v>0</v>
      </c>
      <c r="N47" s="20" t="n">
        <v>0</v>
      </c>
      <c r="O47" s="18" t="n">
        <v>0</v>
      </c>
      <c r="P47" s="20" t="n">
        <v>0</v>
      </c>
      <c r="Q47" s="18" t="n">
        <v>2.07182882</v>
      </c>
      <c r="R47" s="20" t="n">
        <v>0.79157392</v>
      </c>
    </row>
    <row r="48" spans="1:18">
      <c r="A48" s="15" t="s">
        <v>607</v>
      </c>
      <c r="B48" s="17" t="n">
        <v>4682</v>
      </c>
      <c r="C48" s="18">
        <f>(4156.0/B48*100)</f>
        <v/>
      </c>
      <c r="D48" s="19" t="n">
        <v>526</v>
      </c>
      <c r="E48" s="18" t="n">
        <v>57.91338545</v>
      </c>
      <c r="F48" s="20" t="n">
        <v>3.32443653</v>
      </c>
      <c r="G48" s="18" t="n">
        <v>40.36270117</v>
      </c>
      <c r="H48" s="20" t="n">
        <v>3.30067438</v>
      </c>
      <c r="I48" s="18" t="n">
        <v>0</v>
      </c>
      <c r="J48" s="20" t="n">
        <v>0</v>
      </c>
      <c r="K48" s="18" t="n">
        <v>0.24848451</v>
      </c>
      <c r="L48" s="20" t="n">
        <v>0.24712273</v>
      </c>
      <c r="M48" s="18" t="n">
        <v>0</v>
      </c>
      <c r="N48" s="20" t="n">
        <v>0</v>
      </c>
      <c r="O48" s="18" t="n">
        <v>0</v>
      </c>
      <c r="P48" s="20" t="n">
        <v>0</v>
      </c>
      <c r="Q48" s="18" t="n">
        <v>1.47542887</v>
      </c>
      <c r="R48" s="20" t="n">
        <v>0.69684579</v>
      </c>
    </row>
    <row r="49" spans="1:18">
      <c r="A49" s="15" t="s">
        <v>608</v>
      </c>
      <c r="B49" s="17" t="n">
        <v>6158</v>
      </c>
      <c r="C49" s="18">
        <f>(5487.0/B49*100)</f>
        <v/>
      </c>
      <c r="D49" s="19" t="n">
        <v>671</v>
      </c>
      <c r="E49" s="18" t="n">
        <v>76.69597559</v>
      </c>
      <c r="F49" s="20" t="n">
        <v>2.03743679</v>
      </c>
      <c r="G49" s="18" t="n">
        <v>21.16318853</v>
      </c>
      <c r="H49" s="20" t="n">
        <v>1.95390089</v>
      </c>
      <c r="I49" s="18" t="n">
        <v>0</v>
      </c>
      <c r="J49" s="20" t="n">
        <v>0</v>
      </c>
      <c r="K49" s="18" t="n">
        <v>1.28466827</v>
      </c>
      <c r="L49" s="20" t="n">
        <v>0.8089004</v>
      </c>
      <c r="M49" s="18" t="n">
        <v>0</v>
      </c>
      <c r="N49" s="20" t="n">
        <v>0</v>
      </c>
      <c r="O49" s="18" t="n">
        <v>0</v>
      </c>
      <c r="P49" s="20" t="n">
        <v>0</v>
      </c>
      <c r="Q49" s="18" t="n">
        <v>0.85616762</v>
      </c>
      <c r="R49" s="20" t="n">
        <v>0.4531977</v>
      </c>
    </row>
    <row r="50" spans="1:18">
      <c r="A50" s="15" t="s">
        <v>609</v>
      </c>
      <c r="B50" s="17" t="n">
        <v>3494</v>
      </c>
      <c r="C50" s="18">
        <f>(3150.0/B50*100)</f>
        <v/>
      </c>
      <c r="D50" s="19" t="n">
        <v>344</v>
      </c>
      <c r="E50" s="18" t="n">
        <v>81.70233926</v>
      </c>
      <c r="F50" s="20" t="n">
        <v>2.11789032</v>
      </c>
      <c r="G50" s="18" t="n">
        <v>17.21431888</v>
      </c>
      <c r="H50" s="20" t="n">
        <v>2.08504082</v>
      </c>
      <c r="I50" s="18" t="n">
        <v>0</v>
      </c>
      <c r="J50" s="20" t="n">
        <v>0</v>
      </c>
      <c r="K50" s="18" t="n">
        <v>0</v>
      </c>
      <c r="L50" s="20" t="n">
        <v>0</v>
      </c>
      <c r="M50" s="18" t="n">
        <v>0</v>
      </c>
      <c r="N50" s="20" t="n">
        <v>0</v>
      </c>
      <c r="O50" s="18" t="n">
        <v>0</v>
      </c>
      <c r="P50" s="20" t="n">
        <v>0</v>
      </c>
      <c r="Q50" s="18" t="n">
        <v>1.08334187</v>
      </c>
      <c r="R50" s="20" t="n">
        <v>0.6593057</v>
      </c>
    </row>
    <row r="51" spans="1:18">
      <c r="A51" s="15" t="s">
        <v>610</v>
      </c>
      <c r="B51" s="17" t="n">
        <v>3013</v>
      </c>
      <c r="C51" s="18">
        <f>(2681.0/B51*100)</f>
        <v/>
      </c>
      <c r="D51" s="19" t="n">
        <v>332</v>
      </c>
      <c r="E51" s="18" t="n">
        <v>79.8165296</v>
      </c>
      <c r="F51" s="20" t="n">
        <v>2.30756715</v>
      </c>
      <c r="G51" s="18" t="n">
        <v>18.56674025</v>
      </c>
      <c r="H51" s="20" t="n">
        <v>2.23440339</v>
      </c>
      <c r="I51" s="18" t="n">
        <v>0</v>
      </c>
      <c r="J51" s="20" t="n">
        <v>0</v>
      </c>
      <c r="K51" s="18" t="n">
        <v>0</v>
      </c>
      <c r="L51" s="20" t="n">
        <v>0</v>
      </c>
      <c r="M51" s="18" t="n">
        <v>0</v>
      </c>
      <c r="N51" s="20" t="n">
        <v>0</v>
      </c>
      <c r="O51" s="18" t="n">
        <v>0</v>
      </c>
      <c r="P51" s="20" t="n">
        <v>0</v>
      </c>
      <c r="Q51" s="18" t="n">
        <v>1.61673015</v>
      </c>
      <c r="R51" s="20" t="n">
        <v>0.56075951</v>
      </c>
    </row>
    <row r="52" spans="1:18">
      <c r="A52" s="15" t="s">
        <v>611</v>
      </c>
      <c r="B52" s="17" t="n">
        <v>2760</v>
      </c>
      <c r="C52" s="18">
        <f>(2430.0/B52*100)</f>
        <v/>
      </c>
      <c r="D52" s="19" t="n">
        <v>330</v>
      </c>
      <c r="E52" s="18" t="n">
        <v>81.888637</v>
      </c>
      <c r="F52" s="20" t="n">
        <v>2.10392419</v>
      </c>
      <c r="G52" s="18" t="n">
        <v>16.99491062</v>
      </c>
      <c r="H52" s="20" t="n">
        <v>2.05819132</v>
      </c>
      <c r="I52" s="18" t="n">
        <v>0</v>
      </c>
      <c r="J52" s="20" t="n">
        <v>0</v>
      </c>
      <c r="K52" s="18" t="n">
        <v>0</v>
      </c>
      <c r="L52" s="20" t="n">
        <v>0</v>
      </c>
      <c r="M52" s="18" t="n">
        <v>0</v>
      </c>
      <c r="N52" s="20" t="n">
        <v>0</v>
      </c>
      <c r="O52" s="18" t="n">
        <v>0</v>
      </c>
      <c r="P52" s="20" t="n">
        <v>0</v>
      </c>
      <c r="Q52" s="18" t="n">
        <v>1.11645238</v>
      </c>
      <c r="R52" s="20" t="n">
        <v>0.67118804</v>
      </c>
    </row>
    <row r="53" spans="1:18">
      <c r="A53" s="15" t="s">
        <v>612</v>
      </c>
      <c r="B53" s="17" t="n">
        <v>2474</v>
      </c>
      <c r="C53" s="18">
        <f>(2205.0/B53*100)</f>
        <v/>
      </c>
      <c r="D53" s="19" t="n">
        <v>269</v>
      </c>
      <c r="E53" s="18" t="n">
        <v>71.53106972</v>
      </c>
      <c r="F53" s="20" t="n">
        <v>3.12234632</v>
      </c>
      <c r="G53" s="18" t="n">
        <v>15.03568258</v>
      </c>
      <c r="H53" s="20" t="n">
        <v>2.4322088</v>
      </c>
      <c r="I53" s="18" t="n">
        <v>0</v>
      </c>
      <c r="J53" s="20" t="n">
        <v>0</v>
      </c>
      <c r="K53" s="18" t="n">
        <v>10.36821187</v>
      </c>
      <c r="L53" s="20" t="n">
        <v>1.9599563</v>
      </c>
      <c r="M53" s="18" t="n">
        <v>0</v>
      </c>
      <c r="N53" s="20" t="n">
        <v>0</v>
      </c>
      <c r="O53" s="18" t="n">
        <v>0</v>
      </c>
      <c r="P53" s="20" t="n">
        <v>0</v>
      </c>
      <c r="Q53" s="18" t="n">
        <v>3.06503582</v>
      </c>
      <c r="R53" s="20" t="n">
        <v>1.20020235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(2380.0/B55*100)</f>
        <v/>
      </c>
      <c r="D55" s="19" t="n">
        <v>295</v>
      </c>
      <c r="E55" s="18" t="n">
        <v>57.26953209</v>
      </c>
      <c r="F55" s="20" t="n">
        <v>3.15010241</v>
      </c>
      <c r="G55" s="18" t="n">
        <v>41.48425954</v>
      </c>
      <c r="H55" s="20" t="n">
        <v>2.89764571</v>
      </c>
      <c r="I55" s="18" t="n">
        <v>0</v>
      </c>
      <c r="J55" s="20" t="n">
        <v>0</v>
      </c>
      <c r="K55" s="18" t="n">
        <v>0.6681960300000001</v>
      </c>
      <c r="L55" s="20" t="n">
        <v>0.65027322</v>
      </c>
      <c r="M55" s="18" t="n">
        <v>0</v>
      </c>
      <c r="N55" s="20" t="n">
        <v>0</v>
      </c>
      <c r="O55" s="18" t="n">
        <v>0</v>
      </c>
      <c r="P55" s="20" t="n">
        <v>0</v>
      </c>
      <c r="Q55" s="18" t="n">
        <v>0.57801234</v>
      </c>
      <c r="R55" s="20" t="n">
        <v>0.60356511</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(2833.0/B61*100)</f>
        <v/>
      </c>
      <c r="D61" s="19" t="n">
        <v>368</v>
      </c>
      <c r="E61" s="18" t="n">
        <v>78.28162983</v>
      </c>
      <c r="F61" s="20" t="n">
        <v>2.33718294</v>
      </c>
      <c r="G61" s="18" t="n">
        <v>20.95863184</v>
      </c>
      <c r="H61" s="20" t="n">
        <v>2.29784587</v>
      </c>
      <c r="I61" s="18" t="n">
        <v>0</v>
      </c>
      <c r="J61" s="20" t="n">
        <v>0</v>
      </c>
      <c r="K61" s="18" t="n">
        <v>0</v>
      </c>
      <c r="L61" s="20" t="n">
        <v>0</v>
      </c>
      <c r="M61" s="18" t="n">
        <v>0</v>
      </c>
      <c r="N61" s="20" t="n">
        <v>0</v>
      </c>
      <c r="O61" s="18" t="n">
        <v>0</v>
      </c>
      <c r="P61" s="20" t="n">
        <v>0</v>
      </c>
      <c r="Q61" s="18" t="n">
        <v>0.75973833</v>
      </c>
      <c r="R61" s="20" t="n">
        <v>0.43436109</v>
      </c>
    </row>
    <row r="62" spans="1:18">
      <c r="A62" s="15" t="s">
        <v>622</v>
      </c>
      <c r="B62" s="17" t="n">
        <v>2230</v>
      </c>
      <c r="C62" s="18">
        <f>(1973.0/B62*100)</f>
        <v/>
      </c>
      <c r="D62" s="19" t="n">
        <v>257</v>
      </c>
      <c r="E62" s="18" t="n">
        <v>61.96759583</v>
      </c>
      <c r="F62" s="20" t="n">
        <v>3.02622695</v>
      </c>
      <c r="G62" s="18" t="n">
        <v>37.64248465</v>
      </c>
      <c r="H62" s="20" t="n">
        <v>3.03087647</v>
      </c>
      <c r="I62" s="18" t="n">
        <v>0</v>
      </c>
      <c r="J62" s="20" t="n">
        <v>0</v>
      </c>
      <c r="K62" s="18" t="n">
        <v>0</v>
      </c>
      <c r="L62" s="20" t="n">
        <v>0</v>
      </c>
      <c r="M62" s="18" t="n">
        <v>0</v>
      </c>
      <c r="N62" s="20" t="n">
        <v>0</v>
      </c>
      <c r="O62" s="18" t="n">
        <v>0</v>
      </c>
      <c r="P62" s="20" t="n">
        <v>0</v>
      </c>
      <c r="Q62" s="18" t="n">
        <v>0.38991952</v>
      </c>
      <c r="R62" s="20" t="n">
        <v>0.38947008</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(2474.0/B67*100)</f>
        <v/>
      </c>
      <c r="D67" s="19" t="n">
        <v>297</v>
      </c>
      <c r="E67" s="18" t="n">
        <v>77.34589701</v>
      </c>
      <c r="F67" s="20" t="n">
        <v>2.83186566</v>
      </c>
      <c r="G67" s="18" t="n">
        <v>19.42518645</v>
      </c>
      <c r="H67" s="20" t="n">
        <v>2.63056153</v>
      </c>
      <c r="I67" s="18" t="n">
        <v>0</v>
      </c>
      <c r="J67" s="20" t="n">
        <v>0</v>
      </c>
      <c r="K67" s="18" t="n">
        <v>0.34626046</v>
      </c>
      <c r="L67" s="20" t="n">
        <v>0.34479607</v>
      </c>
      <c r="M67" s="18" t="n">
        <v>0</v>
      </c>
      <c r="N67" s="20" t="n">
        <v>0</v>
      </c>
      <c r="O67" s="18" t="n">
        <v>0</v>
      </c>
      <c r="P67" s="20" t="n">
        <v>0</v>
      </c>
      <c r="Q67" s="18" t="n">
        <v>2.88265608</v>
      </c>
      <c r="R67" s="20" t="n">
        <v>0.9561776400000001</v>
      </c>
    </row>
    <row r="68" spans="1:18">
      <c r="A68" s="15" t="s">
        <v>628</v>
      </c>
      <c r="B68" s="17" t="n">
        <v>3460</v>
      </c>
      <c r="C68" s="18">
        <f>(3103.0/B68*100)</f>
        <v/>
      </c>
      <c r="D68" s="19" t="n">
        <v>357</v>
      </c>
      <c r="E68" s="18" t="n">
        <v>81.13366078999999</v>
      </c>
      <c r="F68" s="20" t="n">
        <v>2.06291946</v>
      </c>
      <c r="G68" s="18" t="n">
        <v>17.71267065</v>
      </c>
      <c r="H68" s="20" t="n">
        <v>2.03921758</v>
      </c>
      <c r="I68" s="18" t="n">
        <v>0</v>
      </c>
      <c r="J68" s="20" t="n">
        <v>0</v>
      </c>
      <c r="K68" s="18" t="n">
        <v>0.26719279</v>
      </c>
      <c r="L68" s="20" t="n">
        <v>0.2909075</v>
      </c>
      <c r="M68" s="18" t="n">
        <v>0</v>
      </c>
      <c r="N68" s="20" t="n">
        <v>0</v>
      </c>
      <c r="O68" s="18" t="n">
        <v>0</v>
      </c>
      <c r="P68" s="20" t="n">
        <v>0</v>
      </c>
      <c r="Q68" s="18" t="n">
        <v>0.88647577</v>
      </c>
      <c r="R68" s="20" t="n">
        <v>0.51672853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(5358.0/B70*100)</f>
        <v/>
      </c>
      <c r="D70" s="19" t="n">
        <v>676</v>
      </c>
      <c r="E70" s="18" t="n">
        <v>71.82255197000001</v>
      </c>
      <c r="F70" s="20" t="n">
        <v>1.61436388</v>
      </c>
      <c r="G70" s="18" t="n">
        <v>25.79665843</v>
      </c>
      <c r="H70" s="20" t="n">
        <v>1.56527404</v>
      </c>
      <c r="I70" s="18" t="n">
        <v>0</v>
      </c>
      <c r="J70" s="20" t="n">
        <v>0</v>
      </c>
      <c r="K70" s="18" t="n">
        <v>0.43375562</v>
      </c>
      <c r="L70" s="20" t="n">
        <v>0.25045047</v>
      </c>
      <c r="M70" s="18" t="n">
        <v>0</v>
      </c>
      <c r="N70" s="20" t="n">
        <v>0</v>
      </c>
      <c r="O70" s="18" t="n">
        <v>0</v>
      </c>
      <c r="P70" s="20" t="n">
        <v>0</v>
      </c>
      <c r="Q70" s="18" t="n">
        <v>1.94703398</v>
      </c>
      <c r="R70" s="20" t="n">
        <v>0.45555168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(2758.0/B72*100)</f>
        <v/>
      </c>
      <c r="D72" s="19" t="n">
        <v>349</v>
      </c>
      <c r="E72" s="18" t="n">
        <v>81.49893803000001</v>
      </c>
      <c r="F72" s="20" t="n">
        <v>2.50333809</v>
      </c>
      <c r="G72" s="18" t="n">
        <v>16.69028079</v>
      </c>
      <c r="H72" s="20" t="n">
        <v>2.06255061</v>
      </c>
      <c r="I72" s="18" t="n">
        <v>0</v>
      </c>
      <c r="J72" s="20" t="n">
        <v>0</v>
      </c>
      <c r="K72" s="18" t="n">
        <v>0</v>
      </c>
      <c r="L72" s="20" t="n">
        <v>0</v>
      </c>
      <c r="M72" s="18" t="n">
        <v>0</v>
      </c>
      <c r="N72" s="20" t="n">
        <v>0</v>
      </c>
      <c r="O72" s="18" t="n">
        <v>0</v>
      </c>
      <c r="P72" s="20" t="n">
        <v>0</v>
      </c>
      <c r="Q72" s="18" t="n">
        <v>1.81078118</v>
      </c>
      <c r="R72" s="20" t="n">
        <v>0.88793909</v>
      </c>
    </row>
    <row r="73" spans="1:18">
      <c r="A73" s="15" t="s">
        <v>633</v>
      </c>
      <c r="B73" s="17" t="n">
        <v>2973</v>
      </c>
      <c r="C73" s="18">
        <f>(2649.0/B73*100)</f>
        <v/>
      </c>
      <c r="D73" s="19" t="n">
        <v>324</v>
      </c>
      <c r="E73" s="18" t="n">
        <v>71.16890956</v>
      </c>
      <c r="F73" s="20" t="n">
        <v>2.77464402</v>
      </c>
      <c r="G73" s="18" t="n">
        <v>28.83109044</v>
      </c>
      <c r="H73" s="20" t="n">
        <v>2.77464402</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(3364.0/B74*100)</f>
        <v/>
      </c>
      <c r="D74" s="19" t="n">
        <v>455</v>
      </c>
      <c r="E74" s="18" t="n">
        <v>67.6629022</v>
      </c>
      <c r="F74" s="20" t="n">
        <v>2.4584291</v>
      </c>
      <c r="G74" s="18" t="n">
        <v>31.87878594</v>
      </c>
      <c r="H74" s="20" t="n">
        <v>2.49731087</v>
      </c>
      <c r="I74" s="18" t="n">
        <v>0</v>
      </c>
      <c r="J74" s="20" t="n">
        <v>0</v>
      </c>
      <c r="K74" s="18" t="n">
        <v>0.24131556</v>
      </c>
      <c r="L74" s="20" t="n">
        <v>0.24196131</v>
      </c>
      <c r="M74" s="18" t="n">
        <v>0</v>
      </c>
      <c r="N74" s="20" t="n">
        <v>0</v>
      </c>
      <c r="O74" s="18" t="n">
        <v>0</v>
      </c>
      <c r="P74" s="20" t="n">
        <v>0</v>
      </c>
      <c r="Q74" s="18" t="n">
        <v>0.2169963</v>
      </c>
      <c r="R74" s="20" t="n">
        <v>0.15624697</v>
      </c>
    </row>
    <row r="75" spans="1:18">
      <c r="A75" s="15" t="s">
        <v>635</v>
      </c>
      <c r="B75" s="17" t="n">
        <v>4652</v>
      </c>
      <c r="C75" s="18">
        <f>(4162.0/B75*100)</f>
        <v/>
      </c>
      <c r="D75" s="19" t="n">
        <v>490</v>
      </c>
      <c r="E75" s="18" t="n">
        <v>87.77726091</v>
      </c>
      <c r="F75" s="20" t="n">
        <v>1.88732661</v>
      </c>
      <c r="G75" s="18" t="n">
        <v>12.21394911</v>
      </c>
      <c r="H75" s="20" t="n">
        <v>1.88719206</v>
      </c>
      <c r="I75" s="18" t="n">
        <v>0</v>
      </c>
      <c r="J75" s="20" t="n">
        <v>0</v>
      </c>
      <c r="K75" s="18" t="n">
        <v>0</v>
      </c>
      <c r="L75" s="20" t="n">
        <v>0</v>
      </c>
      <c r="M75" s="18" t="n">
        <v>0</v>
      </c>
      <c r="N75" s="20" t="n">
        <v>0</v>
      </c>
      <c r="O75" s="18" t="n">
        <v>0</v>
      </c>
      <c r="P75" s="20" t="n">
        <v>0</v>
      </c>
      <c r="Q75" s="18" t="n">
        <v>0.008789969999999999</v>
      </c>
      <c r="R75" s="20" t="n">
        <v>0.00847907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(2669.0/B77*100)</f>
        <v/>
      </c>
      <c r="D77" s="19" t="n">
        <v>300</v>
      </c>
      <c r="E77" s="18" t="n">
        <v>80.00632229999999</v>
      </c>
      <c r="F77" s="20" t="n">
        <v>2.30277665</v>
      </c>
      <c r="G77" s="18" t="n">
        <v>16.76522341</v>
      </c>
      <c r="H77" s="20" t="n">
        <v>2.01914568</v>
      </c>
      <c r="I77" s="18" t="n">
        <v>0</v>
      </c>
      <c r="J77" s="20" t="n">
        <v>0</v>
      </c>
      <c r="K77" s="18" t="n">
        <v>0.36210318</v>
      </c>
      <c r="L77" s="20" t="n">
        <v>0.41281645</v>
      </c>
      <c r="M77" s="18" t="n">
        <v>0</v>
      </c>
      <c r="N77" s="20" t="n">
        <v>0</v>
      </c>
      <c r="O77" s="18" t="n">
        <v>0</v>
      </c>
      <c r="P77" s="20" t="n">
        <v>0</v>
      </c>
      <c r="Q77" s="18" t="n">
        <v>2.86635112</v>
      </c>
      <c r="R77" s="20" t="n">
        <v>0.93692714</v>
      </c>
    </row>
    <row r="78" spans="1:18">
      <c r="A78" s="15" t="s">
        <v>638</v>
      </c>
      <c r="B78" s="17" t="n">
        <v>7115</v>
      </c>
      <c r="C78" s="18">
        <f>(6296.0/B78*100)</f>
        <v/>
      </c>
      <c r="D78" s="19" t="n">
        <v>819</v>
      </c>
      <c r="E78" s="18" t="n">
        <v>67.17145352999999</v>
      </c>
      <c r="F78" s="20" t="n">
        <v>2.60372751</v>
      </c>
      <c r="G78" s="18" t="n">
        <v>31.64060162</v>
      </c>
      <c r="H78" s="20" t="n">
        <v>2.51431842</v>
      </c>
      <c r="I78" s="18" t="n">
        <v>0</v>
      </c>
      <c r="J78" s="20" t="n">
        <v>0</v>
      </c>
      <c r="K78" s="18" t="n">
        <v>0.80907359</v>
      </c>
      <c r="L78" s="20" t="n">
        <v>0.35295469</v>
      </c>
      <c r="M78" s="18" t="n">
        <v>0</v>
      </c>
      <c r="N78" s="20" t="n">
        <v>0</v>
      </c>
      <c r="O78" s="18" t="n">
        <v>0</v>
      </c>
      <c r="P78" s="20" t="n">
        <v>0</v>
      </c>
      <c r="Q78" s="18" t="n">
        <v>0.37887127</v>
      </c>
      <c r="R78" s="20" t="n">
        <v>0.22417949</v>
      </c>
    </row>
    <row r="79" spans="1:18">
      <c r="A79" s="15" t="s">
        <v>639</v>
      </c>
      <c r="B79" s="17" t="n">
        <v>3154</v>
      </c>
      <c r="C79" s="18">
        <f>(2802.0/B79*100)</f>
        <v/>
      </c>
      <c r="D79" s="19" t="n">
        <v>352</v>
      </c>
      <c r="E79" s="18" t="n">
        <v>72.15413246999999</v>
      </c>
      <c r="F79" s="20" t="n">
        <v>2.76868961</v>
      </c>
      <c r="G79" s="18" t="n">
        <v>25.9789652</v>
      </c>
      <c r="H79" s="20" t="n">
        <v>2.56872953</v>
      </c>
      <c r="I79" s="18" t="n">
        <v>0</v>
      </c>
      <c r="J79" s="20" t="n">
        <v>0</v>
      </c>
      <c r="K79" s="18" t="n">
        <v>0</v>
      </c>
      <c r="L79" s="20" t="n">
        <v>0</v>
      </c>
      <c r="M79" s="18" t="n">
        <v>0</v>
      </c>
      <c r="N79" s="20" t="n">
        <v>0</v>
      </c>
      <c r="O79" s="18" t="n">
        <v>0</v>
      </c>
      <c r="P79" s="20" t="n">
        <v>0</v>
      </c>
      <c r="Q79" s="18" t="n">
        <v>1.86690233</v>
      </c>
      <c r="R79" s="20" t="n">
        <v>0.73226562</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(14255.0/B82*100)</f>
        <v/>
      </c>
      <c r="D82" s="19" t="n">
        <v>1706</v>
      </c>
      <c r="E82" s="18" t="n">
        <v>74.04681536</v>
      </c>
      <c r="F82" s="20" t="n">
        <v>1.50655252</v>
      </c>
      <c r="G82" s="18" t="n">
        <v>25.10413357</v>
      </c>
      <c r="H82" s="20" t="n">
        <v>1.49565815</v>
      </c>
      <c r="I82" s="18" t="n">
        <v>0</v>
      </c>
      <c r="J82" s="20" t="n">
        <v>0</v>
      </c>
      <c r="K82" s="18" t="n">
        <v>0</v>
      </c>
      <c r="L82" s="20" t="n">
        <v>0</v>
      </c>
      <c r="M82" s="18" t="n">
        <v>0</v>
      </c>
      <c r="N82" s="20" t="n">
        <v>0</v>
      </c>
      <c r="O82" s="18" t="n">
        <v>0</v>
      </c>
      <c r="P82" s="20" t="n">
        <v>0</v>
      </c>
      <c r="Q82" s="18" t="n">
        <v>0.84905107</v>
      </c>
      <c r="R82" s="20" t="n">
        <v>0.35010635</v>
      </c>
    </row>
    <row r="83" spans="1:18">
      <c r="A83" s="15" t="s">
        <v>643</v>
      </c>
      <c r="B83" s="17" t="n">
        <v>808</v>
      </c>
      <c r="C83" s="18">
        <f>(720.0/B83*100)</f>
        <v/>
      </c>
      <c r="D83" s="19" t="n">
        <v>88</v>
      </c>
      <c r="E83" s="18" t="n">
        <v>76.28736001</v>
      </c>
      <c r="F83" s="20" t="n">
        <v>4.6050244</v>
      </c>
      <c r="G83" s="18" t="n">
        <v>22.67294557</v>
      </c>
      <c r="H83" s="20" t="n">
        <v>4.72777405</v>
      </c>
      <c r="I83" s="18" t="n">
        <v>0</v>
      </c>
      <c r="J83" s="20" t="n">
        <v>0</v>
      </c>
      <c r="K83" s="18" t="n">
        <v>0</v>
      </c>
      <c r="L83" s="20" t="n">
        <v>0</v>
      </c>
      <c r="M83" s="18" t="n">
        <v>0</v>
      </c>
      <c r="N83" s="20" t="n">
        <v>0</v>
      </c>
      <c r="O83" s="18" t="n">
        <v>0</v>
      </c>
      <c r="P83" s="20" t="n">
        <v>0</v>
      </c>
      <c r="Q83" s="18" t="n">
        <v>1.03969441</v>
      </c>
      <c r="R83" s="20" t="n">
        <v>1.00421135</v>
      </c>
    </row>
    <row r="84" spans="1:18">
      <c r="A84" s="23" t="s">
        <v>644</v>
      </c>
      <c r="B84" s="24" t="n">
        <v>938</v>
      </c>
      <c r="C84" s="25">
        <f>(841.0/B84*100)</f>
        <v/>
      </c>
      <c r="D84" s="19" t="n">
        <v>97</v>
      </c>
      <c r="E84" s="18" t="n">
        <v>69.10047507</v>
      </c>
      <c r="F84" s="20" t="n">
        <v>5.14583199</v>
      </c>
      <c r="G84" s="18" t="n">
        <v>30.89952493</v>
      </c>
      <c r="H84" s="20" t="n">
        <v>5.14583199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(6342.0/B7*100)</f>
        <v/>
      </c>
      <c r="D7" s="19" t="n">
        <v>821</v>
      </c>
      <c r="E7" s="18" t="n">
        <v>47.31008657</v>
      </c>
      <c r="F7" s="20" t="n">
        <v>1.81687726</v>
      </c>
      <c r="G7" s="18" t="n">
        <v>52.08310601</v>
      </c>
      <c r="H7" s="20" t="n">
        <v>1.86147049</v>
      </c>
      <c r="I7" s="18" t="n">
        <v>0</v>
      </c>
      <c r="J7" s="20" t="n">
        <v>0</v>
      </c>
      <c r="K7" s="18" t="n">
        <v>0.11387959</v>
      </c>
      <c r="L7" s="20" t="n">
        <v>0.08016097</v>
      </c>
      <c r="M7" s="18" t="n">
        <v>0</v>
      </c>
      <c r="N7" s="20" t="n">
        <v>0</v>
      </c>
      <c r="O7" s="18" t="n">
        <v>0</v>
      </c>
      <c r="P7" s="20" t="n">
        <v>0</v>
      </c>
      <c r="Q7" s="18" t="n">
        <v>0.49292784</v>
      </c>
      <c r="R7" s="20" t="n">
        <v>0.27136968</v>
      </c>
    </row>
    <row r="8" spans="1:18">
      <c r="A8" s="15" t="s">
        <v>566</v>
      </c>
      <c r="B8" s="17" t="n">
        <v>3443</v>
      </c>
      <c r="C8" s="18">
        <f>(3060.0/B8*100)</f>
        <v/>
      </c>
      <c r="D8" s="19" t="n">
        <v>383</v>
      </c>
      <c r="E8" s="18" t="n">
        <v>40.53561071</v>
      </c>
      <c r="F8" s="20" t="n">
        <v>2.84411057</v>
      </c>
      <c r="G8" s="18" t="n">
        <v>58.0954344</v>
      </c>
      <c r="H8" s="20" t="n">
        <v>2.87846579</v>
      </c>
      <c r="I8" s="18" t="n">
        <v>0</v>
      </c>
      <c r="J8" s="20" t="n">
        <v>0</v>
      </c>
      <c r="K8" s="18" t="n">
        <v>0</v>
      </c>
      <c r="L8" s="20" t="n">
        <v>0</v>
      </c>
      <c r="M8" s="18" t="n">
        <v>0</v>
      </c>
      <c r="N8" s="20" t="n">
        <v>0</v>
      </c>
      <c r="O8" s="18" t="n">
        <v>0</v>
      </c>
      <c r="P8" s="20" t="n">
        <v>0</v>
      </c>
      <c r="Q8" s="18" t="n">
        <v>1.36895489</v>
      </c>
      <c r="R8" s="20" t="n">
        <v>0.84872538</v>
      </c>
    </row>
    <row r="9" spans="1:18">
      <c r="A9" s="15" t="s">
        <v>567</v>
      </c>
      <c r="B9" s="17" t="n">
        <v>4752</v>
      </c>
      <c r="C9" s="18">
        <f>(4249.0/B9*100)</f>
        <v/>
      </c>
      <c r="D9" s="19" t="n">
        <v>503</v>
      </c>
      <c r="E9" s="18" t="n">
        <v>45.95370216</v>
      </c>
      <c r="F9" s="20" t="n">
        <v>2.03250973</v>
      </c>
      <c r="G9" s="18" t="n">
        <v>53.76760677</v>
      </c>
      <c r="H9" s="20" t="n">
        <v>2.05334907</v>
      </c>
      <c r="I9" s="18" t="n">
        <v>0</v>
      </c>
      <c r="J9" s="20" t="n">
        <v>0</v>
      </c>
      <c r="K9" s="18" t="n">
        <v>0</v>
      </c>
      <c r="L9" s="20" t="n">
        <v>0</v>
      </c>
      <c r="M9" s="18" t="n">
        <v>0</v>
      </c>
      <c r="N9" s="20" t="n">
        <v>0</v>
      </c>
      <c r="O9" s="18" t="n">
        <v>0</v>
      </c>
      <c r="P9" s="20" t="n">
        <v>0</v>
      </c>
      <c r="Q9" s="18" t="n">
        <v>0.27869108</v>
      </c>
      <c r="R9" s="20" t="n">
        <v>0.20474408</v>
      </c>
    </row>
    <row r="10" spans="1:18">
      <c r="A10" s="15" t="s">
        <v>568</v>
      </c>
      <c r="B10" s="17" t="n">
        <v>10022</v>
      </c>
      <c r="C10" s="18">
        <f>(8919.0/B10*100)</f>
        <v/>
      </c>
      <c r="D10" s="19" t="n">
        <v>1103</v>
      </c>
      <c r="E10" s="18" t="n">
        <v>39.44252361</v>
      </c>
      <c r="F10" s="20" t="n">
        <v>2.31926031</v>
      </c>
      <c r="G10" s="18" t="n">
        <v>60.23657408</v>
      </c>
      <c r="H10" s="20" t="n">
        <v>2.35460351</v>
      </c>
      <c r="I10" s="18" t="n">
        <v>0</v>
      </c>
      <c r="J10" s="20" t="n">
        <v>0</v>
      </c>
      <c r="K10" s="18" t="n">
        <v>0.03456118</v>
      </c>
      <c r="L10" s="20" t="n">
        <v>0.02508353</v>
      </c>
      <c r="M10" s="18" t="n">
        <v>0</v>
      </c>
      <c r="N10" s="20" t="n">
        <v>0</v>
      </c>
      <c r="O10" s="18" t="n">
        <v>0</v>
      </c>
      <c r="P10" s="20" t="n">
        <v>0</v>
      </c>
      <c r="Q10" s="18" t="n">
        <v>0.28634113</v>
      </c>
      <c r="R10" s="20" t="n">
        <v>0.21541698</v>
      </c>
    </row>
    <row r="11" spans="1:18">
      <c r="A11" s="15" t="s">
        <v>569</v>
      </c>
      <c r="B11" s="17" t="n">
        <v>3500</v>
      </c>
      <c r="C11" s="18">
        <f>(3132.0/B11*100)</f>
        <v/>
      </c>
      <c r="D11" s="19" t="n">
        <v>368</v>
      </c>
      <c r="E11" s="18" t="n">
        <v>56.18556763</v>
      </c>
      <c r="F11" s="20" t="n">
        <v>2.93888861</v>
      </c>
      <c r="G11" s="18" t="n">
        <v>42.27598022</v>
      </c>
      <c r="H11" s="20" t="n">
        <v>3.02226156</v>
      </c>
      <c r="I11" s="18" t="n">
        <v>0</v>
      </c>
      <c r="J11" s="20" t="n">
        <v>0</v>
      </c>
      <c r="K11" s="18" t="n">
        <v>0</v>
      </c>
      <c r="L11" s="20" t="n">
        <v>0</v>
      </c>
      <c r="M11" s="18" t="n">
        <v>0</v>
      </c>
      <c r="N11" s="20" t="n">
        <v>0</v>
      </c>
      <c r="O11" s="18" t="n">
        <v>0</v>
      </c>
      <c r="P11" s="20" t="n">
        <v>0</v>
      </c>
      <c r="Q11" s="18" t="n">
        <v>1.53845215</v>
      </c>
      <c r="R11" s="20" t="n">
        <v>0.71752161</v>
      </c>
    </row>
    <row r="12" spans="1:18">
      <c r="A12" s="15" t="s">
        <v>570</v>
      </c>
      <c r="B12" s="17" t="n">
        <v>3422</v>
      </c>
      <c r="C12" s="18">
        <f>(3064.0/B12*100)</f>
        <v/>
      </c>
      <c r="D12" s="19" t="n">
        <v>358</v>
      </c>
      <c r="E12" s="18" t="n">
        <v>36.30677879</v>
      </c>
      <c r="F12" s="20" t="n">
        <v>2.85331372</v>
      </c>
      <c r="G12" s="18" t="n">
        <v>61.97195526</v>
      </c>
      <c r="H12" s="20" t="n">
        <v>2.82473824</v>
      </c>
      <c r="I12" s="18" t="n">
        <v>0</v>
      </c>
      <c r="J12" s="20" t="n">
        <v>0</v>
      </c>
      <c r="K12" s="18" t="n">
        <v>0.16111713</v>
      </c>
      <c r="L12" s="20" t="n">
        <v>0.15658868</v>
      </c>
      <c r="M12" s="18" t="n">
        <v>0</v>
      </c>
      <c r="N12" s="20" t="n">
        <v>0</v>
      </c>
      <c r="O12" s="18" t="n">
        <v>0</v>
      </c>
      <c r="P12" s="20" t="n">
        <v>0</v>
      </c>
      <c r="Q12" s="18" t="n">
        <v>1.56014882</v>
      </c>
      <c r="R12" s="20" t="n">
        <v>0.67208153</v>
      </c>
    </row>
    <row r="13" spans="1:18">
      <c r="A13" s="15" t="s">
        <v>571</v>
      </c>
      <c r="B13" s="17" t="n">
        <v>3602</v>
      </c>
      <c r="C13" s="18">
        <f>(3192.0/B13*100)</f>
        <v/>
      </c>
      <c r="D13" s="19" t="n">
        <v>410</v>
      </c>
      <c r="E13" s="18" t="n">
        <v>35.43084786</v>
      </c>
      <c r="F13" s="20" t="n">
        <v>2.76961088</v>
      </c>
      <c r="G13" s="18" t="n">
        <v>63.79549755</v>
      </c>
      <c r="H13" s="20" t="n">
        <v>2.72253224</v>
      </c>
      <c r="I13" s="18" t="n">
        <v>0</v>
      </c>
      <c r="J13" s="20" t="n">
        <v>0</v>
      </c>
      <c r="K13" s="18" t="n">
        <v>0.51657921</v>
      </c>
      <c r="L13" s="20" t="n">
        <v>0.44394351</v>
      </c>
      <c r="M13" s="18" t="n">
        <v>0</v>
      </c>
      <c r="N13" s="20" t="n">
        <v>0</v>
      </c>
      <c r="O13" s="18" t="n">
        <v>0</v>
      </c>
      <c r="P13" s="20" t="n">
        <v>0</v>
      </c>
      <c r="Q13" s="18" t="n">
        <v>0.25707538</v>
      </c>
      <c r="R13" s="20" t="n">
        <v>0.21730281</v>
      </c>
    </row>
    <row r="14" spans="1:18">
      <c r="A14" s="15" t="s">
        <v>572</v>
      </c>
      <c r="B14" s="17" t="n">
        <v>2788</v>
      </c>
      <c r="C14" s="18">
        <f>(2496.0/B14*100)</f>
        <v/>
      </c>
      <c r="D14" s="19" t="n">
        <v>292</v>
      </c>
      <c r="E14" s="18" t="n">
        <v>32.94545573</v>
      </c>
      <c r="F14" s="20" t="n">
        <v>2.94178745</v>
      </c>
      <c r="G14" s="18" t="n">
        <v>67.05454426999999</v>
      </c>
      <c r="H14" s="20" t="n">
        <v>2.94178745</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(2525.0/B15*100)</f>
        <v/>
      </c>
      <c r="D15" s="19" t="n">
        <v>338</v>
      </c>
      <c r="E15" s="18" t="n">
        <v>18.85270623</v>
      </c>
      <c r="F15" s="20" t="n">
        <v>1.94950945</v>
      </c>
      <c r="G15" s="18" t="n">
        <v>81.14729377</v>
      </c>
      <c r="H15" s="20" t="n">
        <v>1.94950945</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(2766.0/B16*100)</f>
        <v/>
      </c>
      <c r="D16" s="19" t="n">
        <v>345</v>
      </c>
      <c r="E16" s="18" t="n">
        <v>44.82674769</v>
      </c>
      <c r="F16" s="20" t="n">
        <v>3.12068479</v>
      </c>
      <c r="G16" s="18" t="n">
        <v>54.22443875</v>
      </c>
      <c r="H16" s="20" t="n">
        <v>3.04447202</v>
      </c>
      <c r="I16" s="18" t="n">
        <v>0</v>
      </c>
      <c r="J16" s="20" t="n">
        <v>0</v>
      </c>
      <c r="K16" s="18" t="n">
        <v>0</v>
      </c>
      <c r="L16" s="20" t="n">
        <v>0</v>
      </c>
      <c r="M16" s="18" t="n">
        <v>0</v>
      </c>
      <c r="N16" s="20" t="n">
        <v>0</v>
      </c>
      <c r="O16" s="18" t="n">
        <v>0</v>
      </c>
      <c r="P16" s="20" t="n">
        <v>0</v>
      </c>
      <c r="Q16" s="18" t="n">
        <v>0.9488135599999999</v>
      </c>
      <c r="R16" s="20" t="n">
        <v>0.52225548</v>
      </c>
    </row>
    <row r="17" spans="1:18">
      <c r="A17" s="15" t="s">
        <v>575</v>
      </c>
      <c r="B17" s="17" t="n">
        <v>3197</v>
      </c>
      <c r="C17" s="18">
        <f>(2836.0/B17*100)</f>
        <v/>
      </c>
      <c r="D17" s="19" t="n">
        <v>361</v>
      </c>
      <c r="E17" s="18" t="n">
        <v>32.6684774</v>
      </c>
      <c r="F17" s="20" t="n">
        <v>2.35251127</v>
      </c>
      <c r="G17" s="18" t="n">
        <v>66.62228417</v>
      </c>
      <c r="H17" s="20" t="n">
        <v>2.33562552</v>
      </c>
      <c r="I17" s="18" t="n">
        <v>0</v>
      </c>
      <c r="J17" s="20" t="n">
        <v>0</v>
      </c>
      <c r="K17" s="18" t="n">
        <v>0</v>
      </c>
      <c r="L17" s="20" t="n">
        <v>0</v>
      </c>
      <c r="M17" s="18" t="n">
        <v>0</v>
      </c>
      <c r="N17" s="20" t="n">
        <v>0</v>
      </c>
      <c r="O17" s="18" t="n">
        <v>0</v>
      </c>
      <c r="P17" s="20" t="n">
        <v>0</v>
      </c>
      <c r="Q17" s="18" t="n">
        <v>0.70923843</v>
      </c>
      <c r="R17" s="20" t="n">
        <v>0.5389003999999999</v>
      </c>
    </row>
    <row r="18" spans="1:18">
      <c r="A18" s="15" t="s">
        <v>576</v>
      </c>
      <c r="B18" s="17" t="n">
        <v>2706</v>
      </c>
      <c r="C18" s="18">
        <f>(2411.0/B18*100)</f>
        <v/>
      </c>
      <c r="D18" s="19" t="n">
        <v>295</v>
      </c>
      <c r="E18" s="18" t="n">
        <v>56.60276709</v>
      </c>
      <c r="F18" s="20" t="n">
        <v>3.00106425</v>
      </c>
      <c r="G18" s="18" t="n">
        <v>43.11338972</v>
      </c>
      <c r="H18" s="20" t="n">
        <v>3.00024989</v>
      </c>
      <c r="I18" s="18" t="n">
        <v>0</v>
      </c>
      <c r="J18" s="20" t="n">
        <v>0</v>
      </c>
      <c r="K18" s="18" t="n">
        <v>0</v>
      </c>
      <c r="L18" s="20" t="n">
        <v>0</v>
      </c>
      <c r="M18" s="18" t="n">
        <v>0</v>
      </c>
      <c r="N18" s="20" t="n">
        <v>0</v>
      </c>
      <c r="O18" s="18" t="n">
        <v>0</v>
      </c>
      <c r="P18" s="20" t="n">
        <v>0</v>
      </c>
      <c r="Q18" s="18" t="n">
        <v>0.28384319</v>
      </c>
      <c r="R18" s="20" t="n">
        <v>0.28377579</v>
      </c>
    </row>
    <row r="19" spans="1:18">
      <c r="A19" s="15" t="s">
        <v>577</v>
      </c>
      <c r="B19" s="17" t="n">
        <v>2850</v>
      </c>
      <c r="C19" s="18">
        <f>(2542.0/B19*100)</f>
        <v/>
      </c>
      <c r="D19" s="19" t="n">
        <v>308</v>
      </c>
      <c r="E19" s="18" t="n">
        <v>37.00770538</v>
      </c>
      <c r="F19" s="20" t="n">
        <v>3.10696811</v>
      </c>
      <c r="G19" s="18" t="n">
        <v>62.68361196</v>
      </c>
      <c r="H19" s="20" t="n">
        <v>3.14174907</v>
      </c>
      <c r="I19" s="18" t="n">
        <v>0</v>
      </c>
      <c r="J19" s="20" t="n">
        <v>0</v>
      </c>
      <c r="K19" s="18" t="n">
        <v>0</v>
      </c>
      <c r="L19" s="20" t="n">
        <v>0</v>
      </c>
      <c r="M19" s="18" t="n">
        <v>0</v>
      </c>
      <c r="N19" s="20" t="n">
        <v>0</v>
      </c>
      <c r="O19" s="18" t="n">
        <v>0</v>
      </c>
      <c r="P19" s="20" t="n">
        <v>0</v>
      </c>
      <c r="Q19" s="18" t="n">
        <v>0.30868265</v>
      </c>
      <c r="R19" s="20" t="n">
        <v>0.30882417</v>
      </c>
    </row>
    <row r="20" spans="1:18">
      <c r="A20" s="15" t="s">
        <v>578</v>
      </c>
      <c r="B20" s="17" t="n">
        <v>1741</v>
      </c>
      <c r="C20" s="18">
        <f>(1548.0/B20*100)</f>
        <v/>
      </c>
      <c r="D20" s="19" t="n">
        <v>193</v>
      </c>
      <c r="E20" s="18" t="n">
        <v>36.32309366</v>
      </c>
      <c r="F20" s="20" t="n">
        <v>3.99079342</v>
      </c>
      <c r="G20" s="18" t="n">
        <v>60.55581477</v>
      </c>
      <c r="H20" s="20" t="n">
        <v>3.81362438</v>
      </c>
      <c r="I20" s="18" t="n">
        <v>0</v>
      </c>
      <c r="J20" s="20" t="n">
        <v>0</v>
      </c>
      <c r="K20" s="18" t="n">
        <v>0.46500171</v>
      </c>
      <c r="L20" s="20" t="n">
        <v>0.46701713</v>
      </c>
      <c r="M20" s="18" t="n">
        <v>0</v>
      </c>
      <c r="N20" s="20" t="n">
        <v>0</v>
      </c>
      <c r="O20" s="18" t="n">
        <v>0</v>
      </c>
      <c r="P20" s="20" t="n">
        <v>0</v>
      </c>
      <c r="Q20" s="18" t="n">
        <v>2.65608986</v>
      </c>
      <c r="R20" s="20" t="n">
        <v>1.17712581</v>
      </c>
    </row>
    <row r="21" spans="1:18">
      <c r="A21" s="15" t="s">
        <v>579</v>
      </c>
      <c r="B21" s="17" t="n">
        <v>2833</v>
      </c>
      <c r="C21" s="18">
        <f>(2500.0/B21*100)</f>
        <v/>
      </c>
      <c r="D21" s="19" t="n">
        <v>333</v>
      </c>
      <c r="E21" s="18" t="n">
        <v>37.79834364</v>
      </c>
      <c r="F21" s="20" t="n">
        <v>3.07944118</v>
      </c>
      <c r="G21" s="18" t="n">
        <v>61.52316592</v>
      </c>
      <c r="H21" s="20" t="n">
        <v>3.11892161</v>
      </c>
      <c r="I21" s="18" t="n">
        <v>0</v>
      </c>
      <c r="J21" s="20" t="n">
        <v>0</v>
      </c>
      <c r="K21" s="18" t="n">
        <v>0</v>
      </c>
      <c r="L21" s="20" t="n">
        <v>0</v>
      </c>
      <c r="M21" s="18" t="n">
        <v>0</v>
      </c>
      <c r="N21" s="20" t="n">
        <v>0</v>
      </c>
      <c r="O21" s="18" t="n">
        <v>0</v>
      </c>
      <c r="P21" s="20" t="n">
        <v>0</v>
      </c>
      <c r="Q21" s="18" t="n">
        <v>0.67849044</v>
      </c>
      <c r="R21" s="20" t="n">
        <v>0.48614875</v>
      </c>
    </row>
    <row r="22" spans="1:18">
      <c r="A22" s="15" t="s">
        <v>580</v>
      </c>
      <c r="B22" s="17" t="n">
        <v>3667</v>
      </c>
      <c r="C22" s="18">
        <f>(3279.0/B22*100)</f>
        <v/>
      </c>
      <c r="D22" s="19" t="n">
        <v>388</v>
      </c>
      <c r="E22" s="18" t="n">
        <v>36.55387333</v>
      </c>
      <c r="F22" s="20" t="n">
        <v>2.69205185</v>
      </c>
      <c r="G22" s="18" t="n">
        <v>62.21920889</v>
      </c>
      <c r="H22" s="20" t="n">
        <v>2.86033903</v>
      </c>
      <c r="I22" s="18" t="n">
        <v>0</v>
      </c>
      <c r="J22" s="20" t="n">
        <v>0</v>
      </c>
      <c r="K22" s="18" t="n">
        <v>0.47933888</v>
      </c>
      <c r="L22" s="20" t="n">
        <v>0.33826209</v>
      </c>
      <c r="M22" s="18" t="n">
        <v>0</v>
      </c>
      <c r="N22" s="20" t="n">
        <v>0</v>
      </c>
      <c r="O22" s="18" t="n">
        <v>0</v>
      </c>
      <c r="P22" s="20" t="n">
        <v>0</v>
      </c>
      <c r="Q22" s="18" t="n">
        <v>0.7475789</v>
      </c>
      <c r="R22" s="20" t="n">
        <v>0.43428705</v>
      </c>
    </row>
    <row r="23" spans="1:18">
      <c r="A23" s="15" t="s">
        <v>581</v>
      </c>
      <c r="B23" s="17" t="n">
        <v>5792</v>
      </c>
      <c r="C23" s="18">
        <f>(5155.0/B23*100)</f>
        <v/>
      </c>
      <c r="D23" s="19" t="n">
        <v>637</v>
      </c>
      <c r="E23" s="18" t="n">
        <v>37.76210014</v>
      </c>
      <c r="F23" s="20" t="n">
        <v>3.03857417</v>
      </c>
      <c r="G23" s="18" t="n">
        <v>62.03338212</v>
      </c>
      <c r="H23" s="20" t="n">
        <v>3.01694135</v>
      </c>
      <c r="I23" s="18" t="n">
        <v>0</v>
      </c>
      <c r="J23" s="20" t="n">
        <v>0</v>
      </c>
      <c r="K23" s="18" t="n">
        <v>0</v>
      </c>
      <c r="L23" s="20" t="n">
        <v>0</v>
      </c>
      <c r="M23" s="18" t="n">
        <v>0</v>
      </c>
      <c r="N23" s="20" t="n">
        <v>0</v>
      </c>
      <c r="O23" s="18" t="n">
        <v>0</v>
      </c>
      <c r="P23" s="20" t="n">
        <v>0</v>
      </c>
      <c r="Q23" s="18" t="n">
        <v>0.20451774</v>
      </c>
      <c r="R23" s="20" t="n">
        <v>0.14397795</v>
      </c>
    </row>
    <row r="24" spans="1:18">
      <c r="A24" s="15" t="s">
        <v>582</v>
      </c>
      <c r="B24" s="17" t="n">
        <v>3309</v>
      </c>
      <c r="C24" s="18">
        <f>(2941.0/B24*100)</f>
        <v/>
      </c>
      <c r="D24" s="19" t="n">
        <v>368</v>
      </c>
      <c r="E24" s="18" t="n">
        <v>23.90945009</v>
      </c>
      <c r="F24" s="20" t="n">
        <v>2.43399088</v>
      </c>
      <c r="G24" s="18" t="n">
        <v>75.32995525</v>
      </c>
      <c r="H24" s="20" t="n">
        <v>2.47082572</v>
      </c>
      <c r="I24" s="18" t="n">
        <v>0</v>
      </c>
      <c r="J24" s="20" t="n">
        <v>0</v>
      </c>
      <c r="K24" s="18" t="n">
        <v>0</v>
      </c>
      <c r="L24" s="20" t="n">
        <v>0</v>
      </c>
      <c r="M24" s="18" t="n">
        <v>0</v>
      </c>
      <c r="N24" s="20" t="n">
        <v>0</v>
      </c>
      <c r="O24" s="18" t="n">
        <v>0</v>
      </c>
      <c r="P24" s="20" t="n">
        <v>0</v>
      </c>
      <c r="Q24" s="18" t="n">
        <v>0.76059466</v>
      </c>
      <c r="R24" s="20" t="n">
        <v>0.43276924</v>
      </c>
    </row>
    <row r="25" spans="1:18">
      <c r="A25" s="15" t="s">
        <v>583</v>
      </c>
      <c r="B25" s="17" t="n">
        <v>2669</v>
      </c>
      <c r="C25" s="18">
        <f>(2358.0/B25*100)</f>
        <v/>
      </c>
      <c r="D25" s="19" t="n">
        <v>311</v>
      </c>
      <c r="E25" s="18" t="n">
        <v>31.89455727</v>
      </c>
      <c r="F25" s="20" t="n">
        <v>2.38962153</v>
      </c>
      <c r="G25" s="18" t="n">
        <v>67.78862261</v>
      </c>
      <c r="H25" s="20" t="n">
        <v>2.29443408</v>
      </c>
      <c r="I25" s="18" t="n">
        <v>0</v>
      </c>
      <c r="J25" s="20" t="n">
        <v>0</v>
      </c>
      <c r="K25" s="18" t="n">
        <v>0.31682012</v>
      </c>
      <c r="L25" s="20" t="n">
        <v>0.31801206</v>
      </c>
      <c r="M25" s="18" t="n">
        <v>0</v>
      </c>
      <c r="N25" s="20" t="n">
        <v>0</v>
      </c>
      <c r="O25" s="18" t="n">
        <v>0</v>
      </c>
      <c r="P25" s="20" t="n">
        <v>0</v>
      </c>
      <c r="Q25" s="18" t="n">
        <v>0</v>
      </c>
      <c r="R25" s="20" t="n">
        <v>0</v>
      </c>
    </row>
    <row r="26" spans="1:18">
      <c r="A26" s="15" t="s">
        <v>584</v>
      </c>
      <c r="B26" s="17" t="n">
        <v>2419</v>
      </c>
      <c r="C26" s="18">
        <f>(2145.0/B26*100)</f>
        <v/>
      </c>
      <c r="D26" s="19" t="n">
        <v>274</v>
      </c>
      <c r="E26" s="18" t="n">
        <v>40.85645591</v>
      </c>
      <c r="F26" s="20" t="n">
        <v>3.49634682</v>
      </c>
      <c r="G26" s="18" t="n">
        <v>58.86797861</v>
      </c>
      <c r="H26" s="20" t="n">
        <v>3.51559148</v>
      </c>
      <c r="I26" s="18" t="n">
        <v>0</v>
      </c>
      <c r="J26" s="20" t="n">
        <v>0</v>
      </c>
      <c r="K26" s="18" t="n">
        <v>0</v>
      </c>
      <c r="L26" s="20" t="n">
        <v>0</v>
      </c>
      <c r="M26" s="18" t="n">
        <v>0</v>
      </c>
      <c r="N26" s="20" t="n">
        <v>0</v>
      </c>
      <c r="O26" s="18" t="n">
        <v>0</v>
      </c>
      <c r="P26" s="20" t="n">
        <v>0</v>
      </c>
      <c r="Q26" s="18" t="n">
        <v>0.27556548</v>
      </c>
      <c r="R26" s="20" t="n">
        <v>0.27701612</v>
      </c>
    </row>
    <row r="27" spans="1:18">
      <c r="A27" s="15" t="s">
        <v>585</v>
      </c>
      <c r="B27" s="17" t="n">
        <v>2683</v>
      </c>
      <c r="C27" s="18">
        <f>(2386.0/B27*100)</f>
        <v/>
      </c>
      <c r="D27" s="19" t="n">
        <v>297</v>
      </c>
      <c r="E27" s="18" t="n">
        <v>45.2821703</v>
      </c>
      <c r="F27" s="20" t="n">
        <v>2.67055005</v>
      </c>
      <c r="G27" s="18" t="n">
        <v>54.02640394</v>
      </c>
      <c r="H27" s="20" t="n">
        <v>2.65862567</v>
      </c>
      <c r="I27" s="18" t="n">
        <v>0</v>
      </c>
      <c r="J27" s="20" t="n">
        <v>0</v>
      </c>
      <c r="K27" s="18" t="n">
        <v>0</v>
      </c>
      <c r="L27" s="20" t="n">
        <v>0</v>
      </c>
      <c r="M27" s="18" t="n">
        <v>0</v>
      </c>
      <c r="N27" s="20" t="n">
        <v>0</v>
      </c>
      <c r="O27" s="18" t="n">
        <v>0</v>
      </c>
      <c r="P27" s="20" t="n">
        <v>0</v>
      </c>
      <c r="Q27" s="18" t="n">
        <v>0.69142576</v>
      </c>
      <c r="R27" s="20" t="n">
        <v>0.47926372</v>
      </c>
    </row>
    <row r="28" spans="1:18">
      <c r="A28" s="15" t="s">
        <v>586</v>
      </c>
      <c r="B28" s="17" t="n">
        <v>3803</v>
      </c>
      <c r="C28" s="18">
        <f>(3376.0/B28*100)</f>
        <v/>
      </c>
      <c r="D28" s="19" t="n">
        <v>427</v>
      </c>
      <c r="E28" s="18" t="n">
        <v>73.90679686</v>
      </c>
      <c r="F28" s="20" t="n">
        <v>2.19956345</v>
      </c>
      <c r="G28" s="18" t="n">
        <v>25.04606682</v>
      </c>
      <c r="H28" s="20" t="n">
        <v>2.15506291</v>
      </c>
      <c r="I28" s="18" t="n">
        <v>0</v>
      </c>
      <c r="J28" s="20" t="n">
        <v>0</v>
      </c>
      <c r="K28" s="18" t="n">
        <v>0.41316633</v>
      </c>
      <c r="L28" s="20" t="n">
        <v>0.41031213</v>
      </c>
      <c r="M28" s="18" t="n">
        <v>0</v>
      </c>
      <c r="N28" s="20" t="n">
        <v>0</v>
      </c>
      <c r="O28" s="18" t="n">
        <v>0</v>
      </c>
      <c r="P28" s="20" t="n">
        <v>0</v>
      </c>
      <c r="Q28" s="18" t="n">
        <v>0.63396999</v>
      </c>
      <c r="R28" s="20" t="n">
        <v>0.36570496</v>
      </c>
    </row>
    <row r="29" spans="1:18">
      <c r="A29" s="15" t="s">
        <v>587</v>
      </c>
      <c r="B29" s="17" t="n">
        <v>2700</v>
      </c>
      <c r="C29" s="18">
        <f>(2399.0/B29*100)</f>
        <v/>
      </c>
      <c r="D29" s="19" t="n">
        <v>301</v>
      </c>
      <c r="E29" s="18" t="n">
        <v>48.01337735</v>
      </c>
      <c r="F29" s="20" t="n">
        <v>2.9476589</v>
      </c>
      <c r="G29" s="18" t="n">
        <v>51.78443497</v>
      </c>
      <c r="H29" s="20" t="n">
        <v>2.9245947</v>
      </c>
      <c r="I29" s="18" t="n">
        <v>0</v>
      </c>
      <c r="J29" s="20" t="n">
        <v>0</v>
      </c>
      <c r="K29" s="18" t="n">
        <v>0</v>
      </c>
      <c r="L29" s="20" t="n">
        <v>0</v>
      </c>
      <c r="M29" s="18" t="n">
        <v>0</v>
      </c>
      <c r="N29" s="20" t="n">
        <v>0</v>
      </c>
      <c r="O29" s="18" t="n">
        <v>0</v>
      </c>
      <c r="P29" s="20" t="n">
        <v>0</v>
      </c>
      <c r="Q29" s="18" t="n">
        <v>0.20218769</v>
      </c>
      <c r="R29" s="20" t="n">
        <v>0.22590388</v>
      </c>
    </row>
    <row r="30" spans="1:18">
      <c r="A30" s="15" t="s">
        <v>588</v>
      </c>
      <c r="B30" s="17" t="n">
        <v>2257</v>
      </c>
      <c r="C30" s="18">
        <f>(2004.0/B30*100)</f>
        <v/>
      </c>
      <c r="D30" s="19" t="n">
        <v>253</v>
      </c>
      <c r="E30" s="18" t="n">
        <v>40.22801023</v>
      </c>
      <c r="F30" s="20" t="n">
        <v>2.96919543</v>
      </c>
      <c r="G30" s="18" t="n">
        <v>58.5984081</v>
      </c>
      <c r="H30" s="20" t="n">
        <v>3.03520195</v>
      </c>
      <c r="I30" s="18" t="n">
        <v>0</v>
      </c>
      <c r="J30" s="20" t="n">
        <v>0</v>
      </c>
      <c r="K30" s="18" t="n">
        <v>0.38631394</v>
      </c>
      <c r="L30" s="20" t="n">
        <v>0.37823222</v>
      </c>
      <c r="M30" s="18" t="n">
        <v>0</v>
      </c>
      <c r="N30" s="20" t="n">
        <v>0</v>
      </c>
      <c r="O30" s="18" t="n">
        <v>0</v>
      </c>
      <c r="P30" s="20" t="n">
        <v>0</v>
      </c>
      <c r="Q30" s="18" t="n">
        <v>0.7872677300000001</v>
      </c>
      <c r="R30" s="20" t="n">
        <v>0.61264961</v>
      </c>
    </row>
    <row r="31" spans="1:18">
      <c r="A31" s="15" t="s">
        <v>589</v>
      </c>
      <c r="B31" s="17" t="n">
        <v>2706</v>
      </c>
      <c r="C31" s="18">
        <f>(2401.0/B31*100)</f>
        <v/>
      </c>
      <c r="D31" s="19" t="n">
        <v>305</v>
      </c>
      <c r="E31" s="18" t="n">
        <v>44.68501853</v>
      </c>
      <c r="F31" s="20" t="n">
        <v>3.14213144</v>
      </c>
      <c r="G31" s="18" t="n">
        <v>54.66883123</v>
      </c>
      <c r="H31" s="20" t="n">
        <v>3.19652531</v>
      </c>
      <c r="I31" s="18" t="n">
        <v>0</v>
      </c>
      <c r="J31" s="20" t="n">
        <v>0</v>
      </c>
      <c r="K31" s="18" t="n">
        <v>0</v>
      </c>
      <c r="L31" s="20" t="n">
        <v>0</v>
      </c>
      <c r="M31" s="18" t="n">
        <v>0</v>
      </c>
      <c r="N31" s="20" t="n">
        <v>0</v>
      </c>
      <c r="O31" s="18" t="n">
        <v>0</v>
      </c>
      <c r="P31" s="20" t="n">
        <v>0</v>
      </c>
      <c r="Q31" s="18" t="n">
        <v>0.64615024</v>
      </c>
      <c r="R31" s="20" t="n">
        <v>0.43731854</v>
      </c>
    </row>
    <row r="32" spans="1:18">
      <c r="A32" s="15" t="s">
        <v>590</v>
      </c>
      <c r="B32" s="17" t="n">
        <v>2209</v>
      </c>
      <c r="C32" s="18">
        <f>(1962.0/B32*100)</f>
        <v/>
      </c>
      <c r="D32" s="19" t="n">
        <v>247</v>
      </c>
      <c r="E32" s="18" t="n">
        <v>29.09965755</v>
      </c>
      <c r="F32" s="20" t="n">
        <v>2.64583123</v>
      </c>
      <c r="G32" s="18" t="n">
        <v>70.90034245</v>
      </c>
      <c r="H32" s="20" t="n">
        <v>2.64583123</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(3243.0/B33*100)</f>
        <v/>
      </c>
      <c r="D33" s="19" t="n">
        <v>408</v>
      </c>
      <c r="E33" s="18" t="n">
        <v>30.11342416</v>
      </c>
      <c r="F33" s="20" t="n">
        <v>2.42287647</v>
      </c>
      <c r="G33" s="18" t="n">
        <v>69.34864294</v>
      </c>
      <c r="H33" s="20" t="n">
        <v>2.43075875</v>
      </c>
      <c r="I33" s="18" t="n">
        <v>0</v>
      </c>
      <c r="J33" s="20" t="n">
        <v>0</v>
      </c>
      <c r="K33" s="18" t="n">
        <v>0</v>
      </c>
      <c r="L33" s="20" t="n">
        <v>0</v>
      </c>
      <c r="M33" s="18" t="n">
        <v>0</v>
      </c>
      <c r="N33" s="20" t="n">
        <v>0</v>
      </c>
      <c r="O33" s="18" t="n">
        <v>0</v>
      </c>
      <c r="P33" s="20" t="n">
        <v>0</v>
      </c>
      <c r="Q33" s="18" t="n">
        <v>0.53793291</v>
      </c>
      <c r="R33" s="20" t="n">
        <v>0.39187966</v>
      </c>
    </row>
    <row r="34" spans="1:18">
      <c r="A34" s="15" t="s">
        <v>592</v>
      </c>
      <c r="B34" s="17" t="n">
        <v>3035</v>
      </c>
      <c r="C34" s="18">
        <f>(2725.0/B34*100)</f>
        <v/>
      </c>
      <c r="D34" s="19" t="n">
        <v>310</v>
      </c>
      <c r="E34" s="18" t="n">
        <v>48.17905623</v>
      </c>
      <c r="F34" s="20" t="n">
        <v>2.83393781</v>
      </c>
      <c r="G34" s="18" t="n">
        <v>51.57365853</v>
      </c>
      <c r="H34" s="20" t="n">
        <v>2.78907443</v>
      </c>
      <c r="I34" s="18" t="n">
        <v>0</v>
      </c>
      <c r="J34" s="20" t="n">
        <v>0</v>
      </c>
      <c r="K34" s="18" t="n">
        <v>0</v>
      </c>
      <c r="L34" s="20" t="n">
        <v>0</v>
      </c>
      <c r="M34" s="18" t="n">
        <v>0</v>
      </c>
      <c r="N34" s="20" t="n">
        <v>0</v>
      </c>
      <c r="O34" s="18" t="n">
        <v>0</v>
      </c>
      <c r="P34" s="20" t="n">
        <v>0</v>
      </c>
      <c r="Q34" s="18" t="n">
        <v>0.24728525</v>
      </c>
      <c r="R34" s="20" t="n">
        <v>0.23374408</v>
      </c>
    </row>
    <row r="35" spans="1:18">
      <c r="A35" s="15" t="s">
        <v>593</v>
      </c>
      <c r="B35" s="17" t="n">
        <v>2901</v>
      </c>
      <c r="C35" s="18">
        <f>(2592.0/B35*100)</f>
        <v/>
      </c>
      <c r="D35" s="19" t="n">
        <v>309</v>
      </c>
      <c r="E35" s="18" t="n">
        <v>28.30869587</v>
      </c>
      <c r="F35" s="20" t="n">
        <v>2.84644915</v>
      </c>
      <c r="G35" s="18" t="n">
        <v>70.6781828</v>
      </c>
      <c r="H35" s="20" t="n">
        <v>2.95331907</v>
      </c>
      <c r="I35" s="18" t="n">
        <v>0</v>
      </c>
      <c r="J35" s="20" t="n">
        <v>0</v>
      </c>
      <c r="K35" s="18" t="n">
        <v>0</v>
      </c>
      <c r="L35" s="20" t="n">
        <v>0</v>
      </c>
      <c r="M35" s="18" t="n">
        <v>0</v>
      </c>
      <c r="N35" s="20" t="n">
        <v>0</v>
      </c>
      <c r="O35" s="18" t="n">
        <v>0</v>
      </c>
      <c r="P35" s="20" t="n">
        <v>0</v>
      </c>
      <c r="Q35" s="18" t="n">
        <v>1.01312133</v>
      </c>
      <c r="R35" s="20" t="n">
        <v>0.88564388</v>
      </c>
    </row>
    <row r="36" spans="1:18">
      <c r="A36" s="15" t="s">
        <v>594</v>
      </c>
      <c r="B36" s="17" t="n">
        <v>3404</v>
      </c>
      <c r="C36" s="18">
        <f>(3020.0/B36*100)</f>
        <v/>
      </c>
      <c r="D36" s="19" t="n">
        <v>384</v>
      </c>
      <c r="E36" s="18" t="n">
        <v>51.14014677</v>
      </c>
      <c r="F36" s="20" t="n">
        <v>2.49653036</v>
      </c>
      <c r="G36" s="18" t="n">
        <v>48.57130275</v>
      </c>
      <c r="H36" s="20" t="n">
        <v>2.53195718</v>
      </c>
      <c r="I36" s="18" t="n">
        <v>0</v>
      </c>
      <c r="J36" s="20" t="n">
        <v>0</v>
      </c>
      <c r="K36" s="18" t="n">
        <v>0</v>
      </c>
      <c r="L36" s="20" t="n">
        <v>0</v>
      </c>
      <c r="M36" s="18" t="n">
        <v>0</v>
      </c>
      <c r="N36" s="20" t="n">
        <v>0</v>
      </c>
      <c r="O36" s="18" t="n">
        <v>0</v>
      </c>
      <c r="P36" s="20" t="n">
        <v>0</v>
      </c>
      <c r="Q36" s="18" t="n">
        <v>0.28855048</v>
      </c>
      <c r="R36" s="20" t="n">
        <v>0.28969601</v>
      </c>
    </row>
    <row r="37" spans="1:18">
      <c r="A37" s="15" t="s">
        <v>595</v>
      </c>
      <c r="B37" s="17" t="n">
        <v>2731</v>
      </c>
      <c r="C37" s="18">
        <f>(2437.0/B37*100)</f>
        <v/>
      </c>
      <c r="D37" s="19" t="n">
        <v>294</v>
      </c>
      <c r="E37" s="18" t="n">
        <v>45.15767822</v>
      </c>
      <c r="F37" s="20" t="n">
        <v>2.94229627</v>
      </c>
      <c r="G37" s="18" t="n">
        <v>54.53951613</v>
      </c>
      <c r="H37" s="20" t="n">
        <v>2.83763324</v>
      </c>
      <c r="I37" s="18" t="n">
        <v>0</v>
      </c>
      <c r="J37" s="20" t="n">
        <v>0</v>
      </c>
      <c r="K37" s="18" t="n">
        <v>0</v>
      </c>
      <c r="L37" s="20" t="n">
        <v>0</v>
      </c>
      <c r="M37" s="18" t="n">
        <v>0</v>
      </c>
      <c r="N37" s="20" t="n">
        <v>0</v>
      </c>
      <c r="O37" s="18" t="n">
        <v>0</v>
      </c>
      <c r="P37" s="20" t="n">
        <v>0</v>
      </c>
      <c r="Q37" s="18" t="n">
        <v>0.30280565</v>
      </c>
      <c r="R37" s="20" t="n">
        <v>0.30086226</v>
      </c>
    </row>
    <row r="38" spans="1:18">
      <c r="A38" s="15" t="s">
        <v>596</v>
      </c>
      <c r="B38" s="17" t="n">
        <v>2807</v>
      </c>
      <c r="C38" s="18">
        <f>(2508.0/B38*100)</f>
        <v/>
      </c>
      <c r="D38" s="19" t="n">
        <v>299</v>
      </c>
      <c r="E38" s="18" t="n">
        <v>36.31220661</v>
      </c>
      <c r="F38" s="20" t="n">
        <v>3.58483539</v>
      </c>
      <c r="G38" s="18" t="n">
        <v>63.64356021</v>
      </c>
      <c r="H38" s="20" t="n">
        <v>3.57950035</v>
      </c>
      <c r="I38" s="18" t="n">
        <v>0</v>
      </c>
      <c r="J38" s="20" t="n">
        <v>0</v>
      </c>
      <c r="K38" s="18" t="n">
        <v>0</v>
      </c>
      <c r="L38" s="20" t="n">
        <v>0</v>
      </c>
      <c r="M38" s="18" t="n">
        <v>0</v>
      </c>
      <c r="N38" s="20" t="n">
        <v>0</v>
      </c>
      <c r="O38" s="18" t="n">
        <v>0</v>
      </c>
      <c r="P38" s="20" t="n">
        <v>0</v>
      </c>
      <c r="Q38" s="18" t="n">
        <v>0.04423319</v>
      </c>
      <c r="R38" s="20" t="n">
        <v>0.0444945</v>
      </c>
    </row>
    <row r="39" spans="1:18">
      <c r="A39" s="15" t="s">
        <v>597</v>
      </c>
      <c r="B39" s="17" t="n">
        <v>2938</v>
      </c>
      <c r="C39" s="18">
        <f>(2617.0/B39*100)</f>
        <v/>
      </c>
      <c r="D39" s="19" t="n">
        <v>321</v>
      </c>
      <c r="E39" s="18" t="n">
        <v>55.95815638</v>
      </c>
      <c r="F39" s="20" t="n">
        <v>3.48804087</v>
      </c>
      <c r="G39" s="18" t="n">
        <v>43.23565957</v>
      </c>
      <c r="H39" s="20" t="n">
        <v>3.53898947</v>
      </c>
      <c r="I39" s="18" t="n">
        <v>0</v>
      </c>
      <c r="J39" s="20" t="n">
        <v>0</v>
      </c>
      <c r="K39" s="18" t="n">
        <v>0</v>
      </c>
      <c r="L39" s="20" t="n">
        <v>0</v>
      </c>
      <c r="M39" s="18" t="n">
        <v>0</v>
      </c>
      <c r="N39" s="20" t="n">
        <v>0</v>
      </c>
      <c r="O39" s="18" t="n">
        <v>0</v>
      </c>
      <c r="P39" s="20" t="n">
        <v>0</v>
      </c>
      <c r="Q39" s="18" t="n">
        <v>0.80618404</v>
      </c>
      <c r="R39" s="20" t="n">
        <v>0.43154579</v>
      </c>
    </row>
    <row r="40" spans="1:18">
      <c r="A40" s="15" t="s">
        <v>598</v>
      </c>
      <c r="B40" s="17" t="n">
        <v>6922</v>
      </c>
      <c r="C40" s="18">
        <f>(6126.0/B40*100)</f>
        <v/>
      </c>
      <c r="D40" s="19" t="n">
        <v>796</v>
      </c>
      <c r="E40" s="18" t="n">
        <v>36.3666017</v>
      </c>
      <c r="F40" s="20" t="n">
        <v>2.71081483</v>
      </c>
      <c r="G40" s="18" t="n">
        <v>62.99339715</v>
      </c>
      <c r="H40" s="20" t="n">
        <v>2.66333747</v>
      </c>
      <c r="I40" s="18" t="n">
        <v>0</v>
      </c>
      <c r="J40" s="20" t="n">
        <v>0</v>
      </c>
      <c r="K40" s="18" t="n">
        <v>0.02940407</v>
      </c>
      <c r="L40" s="20" t="n">
        <v>0.02798321</v>
      </c>
      <c r="M40" s="18" t="n">
        <v>0</v>
      </c>
      <c r="N40" s="20" t="n">
        <v>0</v>
      </c>
      <c r="O40" s="18" t="n">
        <v>0</v>
      </c>
      <c r="P40" s="20" t="n">
        <v>0</v>
      </c>
      <c r="Q40" s="18" t="n">
        <v>0.61059708</v>
      </c>
      <c r="R40" s="20" t="n">
        <v>0.38547198</v>
      </c>
    </row>
    <row r="41" spans="1:18">
      <c r="A41" s="15" t="s">
        <v>599</v>
      </c>
      <c r="B41" s="17" t="n">
        <v>2854</v>
      </c>
      <c r="C41" s="18">
        <f>(2567.0/B41*100)</f>
        <v/>
      </c>
      <c r="D41" s="19" t="n">
        <v>287</v>
      </c>
      <c r="E41" s="18" t="n">
        <v>49.62749886</v>
      </c>
      <c r="F41" s="20" t="n">
        <v>3.36221972</v>
      </c>
      <c r="G41" s="18" t="n">
        <v>50.06113651</v>
      </c>
      <c r="H41" s="20" t="n">
        <v>3.38216921</v>
      </c>
      <c r="I41" s="18" t="n">
        <v>0</v>
      </c>
      <c r="J41" s="20" t="n">
        <v>0</v>
      </c>
      <c r="K41" s="18" t="n">
        <v>0</v>
      </c>
      <c r="L41" s="20" t="n">
        <v>0</v>
      </c>
      <c r="M41" s="18" t="n">
        <v>0</v>
      </c>
      <c r="N41" s="20" t="n">
        <v>0</v>
      </c>
      <c r="O41" s="18" t="n">
        <v>0</v>
      </c>
      <c r="P41" s="20" t="n">
        <v>0</v>
      </c>
      <c r="Q41" s="18" t="n">
        <v>0.31136463</v>
      </c>
      <c r="R41" s="20" t="n">
        <v>0.26122552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(10871.0/B46*100)</f>
        <v/>
      </c>
      <c r="D46" s="19" t="n">
        <v>1202</v>
      </c>
      <c r="E46" s="18" t="n">
        <v>59.48680018</v>
      </c>
      <c r="F46" s="20" t="n">
        <v>1.75281381</v>
      </c>
      <c r="G46" s="18" t="n">
        <v>38.4588659</v>
      </c>
      <c r="H46" s="20" t="n">
        <v>1.66189751</v>
      </c>
      <c r="I46" s="18" t="n">
        <v>0</v>
      </c>
      <c r="J46" s="20" t="n">
        <v>0</v>
      </c>
      <c r="K46" s="18" t="n">
        <v>0.96862019</v>
      </c>
      <c r="L46" s="20" t="n">
        <v>0.33758719</v>
      </c>
      <c r="M46" s="18" t="n">
        <v>0</v>
      </c>
      <c r="N46" s="20" t="n">
        <v>0</v>
      </c>
      <c r="O46" s="18" t="n">
        <v>0</v>
      </c>
      <c r="P46" s="20" t="n">
        <v>0</v>
      </c>
      <c r="Q46" s="18" t="n">
        <v>1.08571372</v>
      </c>
      <c r="R46" s="20" t="n">
        <v>0.32732772</v>
      </c>
    </row>
    <row r="47" spans="1:18">
      <c r="A47" s="15" t="s">
        <v>606</v>
      </c>
      <c r="B47" s="17" t="n">
        <v>2823</v>
      </c>
      <c r="C47" s="18">
        <f>(2534.0/B47*100)</f>
        <v/>
      </c>
      <c r="D47" s="19" t="n">
        <v>289</v>
      </c>
      <c r="E47" s="18" t="n">
        <v>41.18761722</v>
      </c>
      <c r="F47" s="20" t="n">
        <v>2.7458104</v>
      </c>
      <c r="G47" s="18" t="n">
        <v>58.13994158</v>
      </c>
      <c r="H47" s="20" t="n">
        <v>2.73319874</v>
      </c>
      <c r="I47" s="18" t="n">
        <v>0</v>
      </c>
      <c r="J47" s="20" t="n">
        <v>0</v>
      </c>
      <c r="K47" s="18" t="n">
        <v>0</v>
      </c>
      <c r="L47" s="20" t="n">
        <v>0</v>
      </c>
      <c r="M47" s="18" t="n">
        <v>0</v>
      </c>
      <c r="N47" s="20" t="n">
        <v>0</v>
      </c>
      <c r="O47" s="18" t="n">
        <v>0</v>
      </c>
      <c r="P47" s="20" t="n">
        <v>0</v>
      </c>
      <c r="Q47" s="18" t="n">
        <v>0.6724412</v>
      </c>
      <c r="R47" s="20" t="n">
        <v>0.43473943</v>
      </c>
    </row>
    <row r="48" spans="1:18">
      <c r="A48" s="15" t="s">
        <v>607</v>
      </c>
      <c r="B48" s="17" t="n">
        <v>4682</v>
      </c>
      <c r="C48" s="18">
        <f>(4156.0/B48*100)</f>
        <v/>
      </c>
      <c r="D48" s="19" t="n">
        <v>526</v>
      </c>
      <c r="E48" s="18" t="n">
        <v>40.89817055</v>
      </c>
      <c r="F48" s="20" t="n">
        <v>3.20354475</v>
      </c>
      <c r="G48" s="18" t="n">
        <v>58.2560941</v>
      </c>
      <c r="H48" s="20" t="n">
        <v>3.15343051</v>
      </c>
      <c r="I48" s="18" t="n">
        <v>0</v>
      </c>
      <c r="J48" s="20" t="n">
        <v>0</v>
      </c>
      <c r="K48" s="18" t="n">
        <v>0.2487452</v>
      </c>
      <c r="L48" s="20" t="n">
        <v>0.24739483</v>
      </c>
      <c r="M48" s="18" t="n">
        <v>0</v>
      </c>
      <c r="N48" s="20" t="n">
        <v>0</v>
      </c>
      <c r="O48" s="18" t="n">
        <v>0</v>
      </c>
      <c r="P48" s="20" t="n">
        <v>0</v>
      </c>
      <c r="Q48" s="18" t="n">
        <v>0.59699016</v>
      </c>
      <c r="R48" s="20" t="n">
        <v>0.42033142</v>
      </c>
    </row>
    <row r="49" spans="1:18">
      <c r="A49" s="15" t="s">
        <v>608</v>
      </c>
      <c r="B49" s="17" t="n">
        <v>6158</v>
      </c>
      <c r="C49" s="18">
        <f>(5489.0/B49*100)</f>
        <v/>
      </c>
      <c r="D49" s="19" t="n">
        <v>669</v>
      </c>
      <c r="E49" s="18" t="n">
        <v>57.50283645</v>
      </c>
      <c r="F49" s="20" t="n">
        <v>2.83161206</v>
      </c>
      <c r="G49" s="18" t="n">
        <v>40.83218117</v>
      </c>
      <c r="H49" s="20" t="n">
        <v>2.79544412</v>
      </c>
      <c r="I49" s="18" t="n">
        <v>0</v>
      </c>
      <c r="J49" s="20" t="n">
        <v>0</v>
      </c>
      <c r="K49" s="18" t="n">
        <v>1.58209728</v>
      </c>
      <c r="L49" s="20" t="n">
        <v>0.86365862</v>
      </c>
      <c r="M49" s="18" t="n">
        <v>0</v>
      </c>
      <c r="N49" s="20" t="n">
        <v>0</v>
      </c>
      <c r="O49" s="18" t="n">
        <v>0</v>
      </c>
      <c r="P49" s="20" t="n">
        <v>0</v>
      </c>
      <c r="Q49" s="18" t="n">
        <v>0.0828851</v>
      </c>
      <c r="R49" s="20" t="n">
        <v>0.05172964</v>
      </c>
    </row>
    <row r="50" spans="1:18">
      <c r="A50" s="15" t="s">
        <v>609</v>
      </c>
      <c r="B50" s="17" t="n">
        <v>3494</v>
      </c>
      <c r="C50" s="18">
        <f>(3151.0/B50*100)</f>
        <v/>
      </c>
      <c r="D50" s="19" t="n">
        <v>343</v>
      </c>
      <c r="E50" s="18" t="n">
        <v>66.74922393999999</v>
      </c>
      <c r="F50" s="20" t="n">
        <v>2.41249655</v>
      </c>
      <c r="G50" s="18" t="n">
        <v>33.0186585</v>
      </c>
      <c r="H50" s="20" t="n">
        <v>2.43066486</v>
      </c>
      <c r="I50" s="18" t="n">
        <v>0</v>
      </c>
      <c r="J50" s="20" t="n">
        <v>0</v>
      </c>
      <c r="K50" s="18" t="n">
        <v>0</v>
      </c>
      <c r="L50" s="20" t="n">
        <v>0</v>
      </c>
      <c r="M50" s="18" t="n">
        <v>0</v>
      </c>
      <c r="N50" s="20" t="n">
        <v>0</v>
      </c>
      <c r="O50" s="18" t="n">
        <v>0</v>
      </c>
      <c r="P50" s="20" t="n">
        <v>0</v>
      </c>
      <c r="Q50" s="18" t="n">
        <v>0.23211757</v>
      </c>
      <c r="R50" s="20" t="n">
        <v>0.23102192</v>
      </c>
    </row>
    <row r="51" spans="1:18">
      <c r="A51" s="15" t="s">
        <v>610</v>
      </c>
      <c r="B51" s="17" t="n">
        <v>3013</v>
      </c>
      <c r="C51" s="18">
        <f>(2681.0/B51*100)</f>
        <v/>
      </c>
      <c r="D51" s="19" t="n">
        <v>332</v>
      </c>
      <c r="E51" s="18" t="n">
        <v>43.21435716</v>
      </c>
      <c r="F51" s="20" t="n">
        <v>2.65032424</v>
      </c>
      <c r="G51" s="18" t="n">
        <v>56.17299249</v>
      </c>
      <c r="H51" s="20" t="n">
        <v>2.54663982</v>
      </c>
      <c r="I51" s="18" t="n">
        <v>0</v>
      </c>
      <c r="J51" s="20" t="n">
        <v>0</v>
      </c>
      <c r="K51" s="18" t="n">
        <v>0</v>
      </c>
      <c r="L51" s="20" t="n">
        <v>0</v>
      </c>
      <c r="M51" s="18" t="n">
        <v>0</v>
      </c>
      <c r="N51" s="20" t="n">
        <v>0</v>
      </c>
      <c r="O51" s="18" t="n">
        <v>0</v>
      </c>
      <c r="P51" s="20" t="n">
        <v>0</v>
      </c>
      <c r="Q51" s="18" t="n">
        <v>0.61265035</v>
      </c>
      <c r="R51" s="20" t="n">
        <v>0.43057783</v>
      </c>
    </row>
    <row r="52" spans="1:18">
      <c r="A52" s="15" t="s">
        <v>611</v>
      </c>
      <c r="B52" s="17" t="n">
        <v>2760</v>
      </c>
      <c r="C52" s="18">
        <f>(2430.0/B52*100)</f>
        <v/>
      </c>
      <c r="D52" s="19" t="n">
        <v>330</v>
      </c>
      <c r="E52" s="18" t="n">
        <v>60.62197254</v>
      </c>
      <c r="F52" s="20" t="n">
        <v>2.87035445</v>
      </c>
      <c r="G52" s="18" t="n">
        <v>38.81747475</v>
      </c>
      <c r="H52" s="20" t="n">
        <v>2.8258882</v>
      </c>
      <c r="I52" s="18" t="n">
        <v>0</v>
      </c>
      <c r="J52" s="20" t="n">
        <v>0</v>
      </c>
      <c r="K52" s="18" t="n">
        <v>0</v>
      </c>
      <c r="L52" s="20" t="n">
        <v>0</v>
      </c>
      <c r="M52" s="18" t="n">
        <v>0</v>
      </c>
      <c r="N52" s="20" t="n">
        <v>0</v>
      </c>
      <c r="O52" s="18" t="n">
        <v>0</v>
      </c>
      <c r="P52" s="20" t="n">
        <v>0</v>
      </c>
      <c r="Q52" s="18" t="n">
        <v>0.56055271</v>
      </c>
      <c r="R52" s="20" t="n">
        <v>0.39909662</v>
      </c>
    </row>
    <row r="53" spans="1:18">
      <c r="A53" s="15" t="s">
        <v>612</v>
      </c>
      <c r="B53" s="17" t="n">
        <v>2474</v>
      </c>
      <c r="C53" s="18">
        <f>(2205.0/B53*100)</f>
        <v/>
      </c>
      <c r="D53" s="19" t="n">
        <v>269</v>
      </c>
      <c r="E53" s="18" t="n">
        <v>67.58452135</v>
      </c>
      <c r="F53" s="20" t="n">
        <v>2.96268985</v>
      </c>
      <c r="G53" s="18" t="n">
        <v>18.28178532</v>
      </c>
      <c r="H53" s="20" t="n">
        <v>2.6542741</v>
      </c>
      <c r="I53" s="18" t="n">
        <v>0</v>
      </c>
      <c r="J53" s="20" t="n">
        <v>0</v>
      </c>
      <c r="K53" s="18" t="n">
        <v>10.8073295</v>
      </c>
      <c r="L53" s="20" t="n">
        <v>1.97838799</v>
      </c>
      <c r="M53" s="18" t="n">
        <v>0</v>
      </c>
      <c r="N53" s="20" t="n">
        <v>0</v>
      </c>
      <c r="O53" s="18" t="n">
        <v>0</v>
      </c>
      <c r="P53" s="20" t="n">
        <v>0</v>
      </c>
      <c r="Q53" s="18" t="n">
        <v>3.32636383</v>
      </c>
      <c r="R53" s="20" t="n">
        <v>1.28033554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(2381.0/B55*100)</f>
        <v/>
      </c>
      <c r="D55" s="19" t="n">
        <v>294</v>
      </c>
      <c r="E55" s="18" t="n">
        <v>34.33774435</v>
      </c>
      <c r="F55" s="20" t="n">
        <v>3.34246618</v>
      </c>
      <c r="G55" s="18" t="n">
        <v>64.40413497999999</v>
      </c>
      <c r="H55" s="20" t="n">
        <v>3.40227234</v>
      </c>
      <c r="I55" s="18" t="n">
        <v>0</v>
      </c>
      <c r="J55" s="20" t="n">
        <v>0</v>
      </c>
      <c r="K55" s="18" t="n">
        <v>0.67019828</v>
      </c>
      <c r="L55" s="20" t="n">
        <v>0.65222255</v>
      </c>
      <c r="M55" s="18" t="n">
        <v>0</v>
      </c>
      <c r="N55" s="20" t="n">
        <v>0</v>
      </c>
      <c r="O55" s="18" t="n">
        <v>0</v>
      </c>
      <c r="P55" s="20" t="n">
        <v>0</v>
      </c>
      <c r="Q55" s="18" t="n">
        <v>0.58792239</v>
      </c>
      <c r="R55" s="20" t="n">
        <v>0.41728578</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(2833.0/B61*100)</f>
        <v/>
      </c>
      <c r="D61" s="19" t="n">
        <v>368</v>
      </c>
      <c r="E61" s="18" t="n">
        <v>32.10397434</v>
      </c>
      <c r="F61" s="20" t="n">
        <v>2.42330187</v>
      </c>
      <c r="G61" s="18" t="n">
        <v>67.89602566000001</v>
      </c>
      <c r="H61" s="20" t="n">
        <v>2.42330187</v>
      </c>
      <c r="I61" s="18" t="n">
        <v>0</v>
      </c>
      <c r="J61" s="20" t="n">
        <v>0</v>
      </c>
      <c r="K61" s="18" t="n">
        <v>0</v>
      </c>
      <c r="L61" s="20" t="n">
        <v>0</v>
      </c>
      <c r="M61" s="18" t="n">
        <v>0</v>
      </c>
      <c r="N61" s="20" t="n">
        <v>0</v>
      </c>
      <c r="O61" s="18" t="n">
        <v>0</v>
      </c>
      <c r="P61" s="20" t="n">
        <v>0</v>
      </c>
      <c r="Q61" s="18" t="n">
        <v>0</v>
      </c>
      <c r="R61" s="20" t="n">
        <v>0</v>
      </c>
    </row>
    <row r="62" spans="1:18">
      <c r="A62" s="15" t="s">
        <v>622</v>
      </c>
      <c r="B62" s="17" t="n">
        <v>2230</v>
      </c>
      <c r="C62" s="18">
        <f>(1973.0/B62*100)</f>
        <v/>
      </c>
      <c r="D62" s="19" t="n">
        <v>257</v>
      </c>
      <c r="E62" s="18" t="n">
        <v>38.54385524</v>
      </c>
      <c r="F62" s="20" t="n">
        <v>2.9388257</v>
      </c>
      <c r="G62" s="18" t="n">
        <v>61.45614476</v>
      </c>
      <c r="H62" s="20" t="n">
        <v>2.9388257</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(2476.0/B67*100)</f>
        <v/>
      </c>
      <c r="D67" s="19" t="n">
        <v>295</v>
      </c>
      <c r="E67" s="18" t="n">
        <v>49.56670901</v>
      </c>
      <c r="F67" s="20" t="n">
        <v>3.4245474</v>
      </c>
      <c r="G67" s="18" t="n">
        <v>48.06553519</v>
      </c>
      <c r="H67" s="20" t="n">
        <v>3.38649481</v>
      </c>
      <c r="I67" s="18" t="n">
        <v>0</v>
      </c>
      <c r="J67" s="20" t="n">
        <v>0</v>
      </c>
      <c r="K67" s="18" t="n">
        <v>0.34945392</v>
      </c>
      <c r="L67" s="20" t="n">
        <v>0.34803124</v>
      </c>
      <c r="M67" s="18" t="n">
        <v>0</v>
      </c>
      <c r="N67" s="20" t="n">
        <v>0</v>
      </c>
      <c r="O67" s="18" t="n">
        <v>0</v>
      </c>
      <c r="P67" s="20" t="n">
        <v>0</v>
      </c>
      <c r="Q67" s="18" t="n">
        <v>2.01830188</v>
      </c>
      <c r="R67" s="20" t="n">
        <v>0.85206284</v>
      </c>
    </row>
    <row r="68" spans="1:18">
      <c r="A68" s="15" t="s">
        <v>628</v>
      </c>
      <c r="B68" s="17" t="n">
        <v>3460</v>
      </c>
      <c r="C68" s="18">
        <f>(3104.0/B68*100)</f>
        <v/>
      </c>
      <c r="D68" s="19" t="n">
        <v>356</v>
      </c>
      <c r="E68" s="18" t="n">
        <v>71.46316791</v>
      </c>
      <c r="F68" s="20" t="n">
        <v>2.62709455</v>
      </c>
      <c r="G68" s="18" t="n">
        <v>27.38248389</v>
      </c>
      <c r="H68" s="20" t="n">
        <v>2.54491132</v>
      </c>
      <c r="I68" s="18" t="n">
        <v>0</v>
      </c>
      <c r="J68" s="20" t="n">
        <v>0</v>
      </c>
      <c r="K68" s="18" t="n">
        <v>0.26787391</v>
      </c>
      <c r="L68" s="20" t="n">
        <v>0.29164211</v>
      </c>
      <c r="M68" s="18" t="n">
        <v>0</v>
      </c>
      <c r="N68" s="20" t="n">
        <v>0</v>
      </c>
      <c r="O68" s="18" t="n">
        <v>0</v>
      </c>
      <c r="P68" s="20" t="n">
        <v>0</v>
      </c>
      <c r="Q68" s="18" t="n">
        <v>0.88647429</v>
      </c>
      <c r="R68" s="20" t="n">
        <v>0.45703645</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(5358.0/B70*100)</f>
        <v/>
      </c>
      <c r="D70" s="19" t="n">
        <v>676</v>
      </c>
      <c r="E70" s="18" t="n">
        <v>61.90239065</v>
      </c>
      <c r="F70" s="20" t="n">
        <v>2.04539678</v>
      </c>
      <c r="G70" s="18" t="n">
        <v>36.31263789</v>
      </c>
      <c r="H70" s="20" t="n">
        <v>2.05685114</v>
      </c>
      <c r="I70" s="18" t="n">
        <v>0</v>
      </c>
      <c r="J70" s="20" t="n">
        <v>0</v>
      </c>
      <c r="K70" s="18" t="n">
        <v>0.57507401</v>
      </c>
      <c r="L70" s="20" t="n">
        <v>0.28501884</v>
      </c>
      <c r="M70" s="18" t="n">
        <v>0</v>
      </c>
      <c r="N70" s="20" t="n">
        <v>0</v>
      </c>
      <c r="O70" s="18" t="n">
        <v>0</v>
      </c>
      <c r="P70" s="20" t="n">
        <v>0</v>
      </c>
      <c r="Q70" s="18" t="n">
        <v>1.20989744</v>
      </c>
      <c r="R70" s="20" t="n">
        <v>0.42825634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(2758.0/B72*100)</f>
        <v/>
      </c>
      <c r="D72" s="19" t="n">
        <v>349</v>
      </c>
      <c r="E72" s="18" t="n">
        <v>36.76768914</v>
      </c>
      <c r="F72" s="20" t="n">
        <v>2.58933913</v>
      </c>
      <c r="G72" s="18" t="n">
        <v>62.94822786</v>
      </c>
      <c r="H72" s="20" t="n">
        <v>2.58380087</v>
      </c>
      <c r="I72" s="18" t="n">
        <v>0</v>
      </c>
      <c r="J72" s="20" t="n">
        <v>0</v>
      </c>
      <c r="K72" s="18" t="n">
        <v>0</v>
      </c>
      <c r="L72" s="20" t="n">
        <v>0</v>
      </c>
      <c r="M72" s="18" t="n">
        <v>0</v>
      </c>
      <c r="N72" s="20" t="n">
        <v>0</v>
      </c>
      <c r="O72" s="18" t="n">
        <v>0</v>
      </c>
      <c r="P72" s="20" t="n">
        <v>0</v>
      </c>
      <c r="Q72" s="18" t="n">
        <v>0.284083</v>
      </c>
      <c r="R72" s="20" t="n">
        <v>0.19793712</v>
      </c>
    </row>
    <row r="73" spans="1:18">
      <c r="A73" s="15" t="s">
        <v>633</v>
      </c>
      <c r="B73" s="17" t="n">
        <v>2973</v>
      </c>
      <c r="C73" s="18">
        <f>(2649.0/B73*100)</f>
        <v/>
      </c>
      <c r="D73" s="19" t="n">
        <v>324</v>
      </c>
      <c r="E73" s="18" t="n">
        <v>32.87535631</v>
      </c>
      <c r="F73" s="20" t="n">
        <v>2.91798444</v>
      </c>
      <c r="G73" s="18" t="n">
        <v>67.12464369</v>
      </c>
      <c r="H73" s="20" t="n">
        <v>2.91798444</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(3365.0/B74*100)</f>
        <v/>
      </c>
      <c r="D74" s="19" t="n">
        <v>454</v>
      </c>
      <c r="E74" s="18" t="n">
        <v>31.95949507</v>
      </c>
      <c r="F74" s="20" t="n">
        <v>2.69635879</v>
      </c>
      <c r="G74" s="18" t="n">
        <v>67.58102835</v>
      </c>
      <c r="H74" s="20" t="n">
        <v>2.70110314</v>
      </c>
      <c r="I74" s="18" t="n">
        <v>0</v>
      </c>
      <c r="J74" s="20" t="n">
        <v>0</v>
      </c>
      <c r="K74" s="18" t="n">
        <v>0.24192882</v>
      </c>
      <c r="L74" s="20" t="n">
        <v>0.2425848</v>
      </c>
      <c r="M74" s="18" t="n">
        <v>0</v>
      </c>
      <c r="N74" s="20" t="n">
        <v>0</v>
      </c>
      <c r="O74" s="18" t="n">
        <v>0</v>
      </c>
      <c r="P74" s="20" t="n">
        <v>0</v>
      </c>
      <c r="Q74" s="18" t="n">
        <v>0.21754776</v>
      </c>
      <c r="R74" s="20" t="n">
        <v>0.15665702</v>
      </c>
    </row>
    <row r="75" spans="1:18">
      <c r="A75" s="15" t="s">
        <v>635</v>
      </c>
      <c r="B75" s="17" t="n">
        <v>4652</v>
      </c>
      <c r="C75" s="18">
        <f>(4162.0/B75*100)</f>
        <v/>
      </c>
      <c r="D75" s="19" t="n">
        <v>490</v>
      </c>
      <c r="E75" s="18" t="n">
        <v>47.64494137</v>
      </c>
      <c r="F75" s="20" t="n">
        <v>2.43645169</v>
      </c>
      <c r="G75" s="18" t="n">
        <v>52.35505863</v>
      </c>
      <c r="H75" s="20" t="n">
        <v>2.43645169</v>
      </c>
      <c r="I75" s="18" t="n">
        <v>0</v>
      </c>
      <c r="J75" s="20" t="n">
        <v>0</v>
      </c>
      <c r="K75" s="18" t="n">
        <v>0</v>
      </c>
      <c r="L75" s="20" t="n">
        <v>0</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(2671.0/B77*100)</f>
        <v/>
      </c>
      <c r="D77" s="19" t="n">
        <v>298</v>
      </c>
      <c r="E77" s="18" t="n">
        <v>62.12972257</v>
      </c>
      <c r="F77" s="20" t="n">
        <v>3.31041971</v>
      </c>
      <c r="G77" s="18" t="n">
        <v>35.3133361</v>
      </c>
      <c r="H77" s="20" t="n">
        <v>3.26319322</v>
      </c>
      <c r="I77" s="18" t="n">
        <v>0</v>
      </c>
      <c r="J77" s="20" t="n">
        <v>0</v>
      </c>
      <c r="K77" s="18" t="n">
        <v>0.6713402000000001</v>
      </c>
      <c r="L77" s="20" t="n">
        <v>0.5213831</v>
      </c>
      <c r="M77" s="18" t="n">
        <v>0</v>
      </c>
      <c r="N77" s="20" t="n">
        <v>0</v>
      </c>
      <c r="O77" s="18" t="n">
        <v>0</v>
      </c>
      <c r="P77" s="20" t="n">
        <v>0</v>
      </c>
      <c r="Q77" s="18" t="n">
        <v>1.88560113</v>
      </c>
      <c r="R77" s="20" t="n">
        <v>0.73203104</v>
      </c>
    </row>
    <row r="78" spans="1:18">
      <c r="A78" s="15" t="s">
        <v>638</v>
      </c>
      <c r="B78" s="17" t="n">
        <v>7115</v>
      </c>
      <c r="C78" s="18">
        <f>(6296.0/B78*100)</f>
        <v/>
      </c>
      <c r="D78" s="19" t="n">
        <v>819</v>
      </c>
      <c r="E78" s="18" t="n">
        <v>59.94313906</v>
      </c>
      <c r="F78" s="20" t="n">
        <v>2.20774837</v>
      </c>
      <c r="G78" s="18" t="n">
        <v>38.12099814</v>
      </c>
      <c r="H78" s="20" t="n">
        <v>2.26414153</v>
      </c>
      <c r="I78" s="18" t="n">
        <v>0</v>
      </c>
      <c r="J78" s="20" t="n">
        <v>0</v>
      </c>
      <c r="K78" s="18" t="n">
        <v>0.80907359</v>
      </c>
      <c r="L78" s="20" t="n">
        <v>0.35295469</v>
      </c>
      <c r="M78" s="18" t="n">
        <v>0</v>
      </c>
      <c r="N78" s="20" t="n">
        <v>0</v>
      </c>
      <c r="O78" s="18" t="n">
        <v>0</v>
      </c>
      <c r="P78" s="20" t="n">
        <v>0</v>
      </c>
      <c r="Q78" s="18" t="n">
        <v>1.12678921</v>
      </c>
      <c r="R78" s="20" t="n">
        <v>0.50219305</v>
      </c>
    </row>
    <row r="79" spans="1:18">
      <c r="A79" s="15" t="s">
        <v>639</v>
      </c>
      <c r="B79" s="17" t="n">
        <v>3154</v>
      </c>
      <c r="C79" s="18">
        <f>(2803.0/B79*100)</f>
        <v/>
      </c>
      <c r="D79" s="19" t="n">
        <v>351</v>
      </c>
      <c r="E79" s="18" t="n">
        <v>55.55124568</v>
      </c>
      <c r="F79" s="20" t="n">
        <v>2.44857135</v>
      </c>
      <c r="G79" s="18" t="n">
        <v>43.58160133</v>
      </c>
      <c r="H79" s="20" t="n">
        <v>2.46261873</v>
      </c>
      <c r="I79" s="18" t="n">
        <v>0</v>
      </c>
      <c r="J79" s="20" t="n">
        <v>0</v>
      </c>
      <c r="K79" s="18" t="n">
        <v>0</v>
      </c>
      <c r="L79" s="20" t="n">
        <v>0</v>
      </c>
      <c r="M79" s="18" t="n">
        <v>0</v>
      </c>
      <c r="N79" s="20" t="n">
        <v>0</v>
      </c>
      <c r="O79" s="18" t="n">
        <v>0</v>
      </c>
      <c r="P79" s="20" t="n">
        <v>0</v>
      </c>
      <c r="Q79" s="18" t="n">
        <v>0.86715299</v>
      </c>
      <c r="R79" s="20" t="n">
        <v>0.5107729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(14258.0/B82*100)</f>
        <v/>
      </c>
      <c r="D82" s="19" t="n">
        <v>1703</v>
      </c>
      <c r="E82" s="18" t="n">
        <v>49.20576276</v>
      </c>
      <c r="F82" s="20" t="n">
        <v>1.64896984</v>
      </c>
      <c r="G82" s="18" t="n">
        <v>50.55383745</v>
      </c>
      <c r="H82" s="20" t="n">
        <v>1.68322508</v>
      </c>
      <c r="I82" s="18" t="n">
        <v>0</v>
      </c>
      <c r="J82" s="20" t="n">
        <v>0</v>
      </c>
      <c r="K82" s="18" t="n">
        <v>0</v>
      </c>
      <c r="L82" s="20" t="n">
        <v>0</v>
      </c>
      <c r="M82" s="18" t="n">
        <v>0</v>
      </c>
      <c r="N82" s="20" t="n">
        <v>0</v>
      </c>
      <c r="O82" s="18" t="n">
        <v>0</v>
      </c>
      <c r="P82" s="20" t="n">
        <v>0</v>
      </c>
      <c r="Q82" s="18" t="n">
        <v>0.24039979</v>
      </c>
      <c r="R82" s="20" t="n">
        <v>0.1469136</v>
      </c>
    </row>
    <row r="83" spans="1:18">
      <c r="A83" s="15" t="s">
        <v>643</v>
      </c>
      <c r="B83" s="17" t="n">
        <v>808</v>
      </c>
      <c r="C83" s="18">
        <f>(720.0/B83*100)</f>
        <v/>
      </c>
      <c r="D83" s="19" t="n">
        <v>88</v>
      </c>
      <c r="E83" s="18" t="n">
        <v>40.14278154</v>
      </c>
      <c r="F83" s="20" t="n">
        <v>5.60460641</v>
      </c>
      <c r="G83" s="18" t="n">
        <v>59.85721846</v>
      </c>
      <c r="H83" s="20" t="n">
        <v>5.60460641</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(841.0/B84*100)</f>
        <v/>
      </c>
      <c r="D84" s="19" t="n">
        <v>97</v>
      </c>
      <c r="E84" s="18" t="n">
        <v>35.97609251</v>
      </c>
      <c r="F84" s="20" t="n">
        <v>4.97881075</v>
      </c>
      <c r="G84" s="18" t="n">
        <v>64.02390749</v>
      </c>
      <c r="H84" s="20" t="n">
        <v>4.97881075</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(6343.0/B7*100)</f>
        <v/>
      </c>
      <c r="D7" s="19" t="n">
        <v>820</v>
      </c>
      <c r="E7" s="18" t="n">
        <v>62.2101104</v>
      </c>
      <c r="F7" s="20" t="n">
        <v>2.13393228</v>
      </c>
      <c r="G7" s="18" t="n">
        <v>32.08058472</v>
      </c>
      <c r="H7" s="20" t="n">
        <v>1.91061248</v>
      </c>
      <c r="I7" s="18" t="n">
        <v>0</v>
      </c>
      <c r="J7" s="20" t="n">
        <v>0</v>
      </c>
      <c r="K7" s="18" t="n">
        <v>0.11382155</v>
      </c>
      <c r="L7" s="20" t="n">
        <v>0.08011927000000001</v>
      </c>
      <c r="M7" s="18" t="n">
        <v>0.01227536</v>
      </c>
      <c r="N7" s="20" t="n">
        <v>0.0123836</v>
      </c>
      <c r="O7" s="18" t="n">
        <v>0</v>
      </c>
      <c r="P7" s="20" t="n">
        <v>0</v>
      </c>
      <c r="Q7" s="18" t="n">
        <v>5.58320798</v>
      </c>
      <c r="R7" s="20" t="n">
        <v>1.06312652</v>
      </c>
    </row>
    <row r="8" spans="1:18">
      <c r="A8" s="15" t="s">
        <v>566</v>
      </c>
      <c r="B8" s="17" t="n">
        <v>3443</v>
      </c>
      <c r="C8" s="18">
        <f>(3060.0/B8*100)</f>
        <v/>
      </c>
      <c r="D8" s="19" t="n">
        <v>383</v>
      </c>
      <c r="E8" s="18" t="n">
        <v>61.21454472</v>
      </c>
      <c r="F8" s="20" t="n">
        <v>2.65486541</v>
      </c>
      <c r="G8" s="18" t="n">
        <v>27.20407846</v>
      </c>
      <c r="H8" s="20" t="n">
        <v>2.37289008</v>
      </c>
      <c r="I8" s="18" t="n">
        <v>0</v>
      </c>
      <c r="J8" s="20" t="n">
        <v>0</v>
      </c>
      <c r="K8" s="18" t="n">
        <v>0</v>
      </c>
      <c r="L8" s="20" t="n">
        <v>0</v>
      </c>
      <c r="M8" s="18" t="n">
        <v>0</v>
      </c>
      <c r="N8" s="20" t="n">
        <v>0</v>
      </c>
      <c r="O8" s="18" t="n">
        <v>0</v>
      </c>
      <c r="P8" s="20" t="n">
        <v>0</v>
      </c>
      <c r="Q8" s="18" t="n">
        <v>11.58137682</v>
      </c>
      <c r="R8" s="20" t="n">
        <v>1.72578292</v>
      </c>
    </row>
    <row r="9" spans="1:18">
      <c r="A9" s="15" t="s">
        <v>567</v>
      </c>
      <c r="B9" s="17" t="n">
        <v>4752</v>
      </c>
      <c r="C9" s="18">
        <f>(4250.0/B9*100)</f>
        <v/>
      </c>
      <c r="D9" s="19" t="n">
        <v>502</v>
      </c>
      <c r="E9" s="18" t="n">
        <v>64.12491846</v>
      </c>
      <c r="F9" s="20" t="n">
        <v>2.19730529</v>
      </c>
      <c r="G9" s="18" t="n">
        <v>24.29440588</v>
      </c>
      <c r="H9" s="20" t="n">
        <v>1.86067504</v>
      </c>
      <c r="I9" s="18" t="n">
        <v>0</v>
      </c>
      <c r="J9" s="20" t="n">
        <v>0</v>
      </c>
      <c r="K9" s="18" t="n">
        <v>0</v>
      </c>
      <c r="L9" s="20" t="n">
        <v>0</v>
      </c>
      <c r="M9" s="18" t="n">
        <v>0.35154976</v>
      </c>
      <c r="N9" s="20" t="n">
        <v>0.25583765</v>
      </c>
      <c r="O9" s="18" t="n">
        <v>0</v>
      </c>
      <c r="P9" s="20" t="n">
        <v>0</v>
      </c>
      <c r="Q9" s="18" t="n">
        <v>11.22912591</v>
      </c>
      <c r="R9" s="20" t="n">
        <v>1.77646958</v>
      </c>
    </row>
    <row r="10" spans="1:18">
      <c r="A10" s="15" t="s">
        <v>568</v>
      </c>
      <c r="B10" s="17" t="n">
        <v>10022</v>
      </c>
      <c r="C10" s="18">
        <f>(8919.0/B10*100)</f>
        <v/>
      </c>
      <c r="D10" s="19" t="n">
        <v>1103</v>
      </c>
      <c r="E10" s="18" t="n">
        <v>56.6534356</v>
      </c>
      <c r="F10" s="20" t="n">
        <v>2.40524742</v>
      </c>
      <c r="G10" s="18" t="n">
        <v>38.89654033</v>
      </c>
      <c r="H10" s="20" t="n">
        <v>2.21311468</v>
      </c>
      <c r="I10" s="18" t="n">
        <v>0</v>
      </c>
      <c r="J10" s="20" t="n">
        <v>0</v>
      </c>
      <c r="K10" s="18" t="n">
        <v>0.26743588</v>
      </c>
      <c r="L10" s="20" t="n">
        <v>0.23362749</v>
      </c>
      <c r="M10" s="18" t="n">
        <v>0</v>
      </c>
      <c r="N10" s="20" t="n">
        <v>0</v>
      </c>
      <c r="O10" s="18" t="n">
        <v>0</v>
      </c>
      <c r="P10" s="20" t="n">
        <v>0</v>
      </c>
      <c r="Q10" s="18" t="n">
        <v>4.18258819</v>
      </c>
      <c r="R10" s="20" t="n">
        <v>0.8073943099999999</v>
      </c>
    </row>
    <row r="11" spans="1:18">
      <c r="A11" s="15" t="s">
        <v>569</v>
      </c>
      <c r="B11" s="17" t="n">
        <v>3500</v>
      </c>
      <c r="C11" s="18">
        <f>(3134.0/B11*100)</f>
        <v/>
      </c>
      <c r="D11" s="19" t="n">
        <v>366</v>
      </c>
      <c r="E11" s="18" t="n">
        <v>75.15076337000001</v>
      </c>
      <c r="F11" s="20" t="n">
        <v>2.86065889</v>
      </c>
      <c r="G11" s="18" t="n">
        <v>11.7861281</v>
      </c>
      <c r="H11" s="20" t="n">
        <v>2.06376516</v>
      </c>
      <c r="I11" s="18" t="n">
        <v>0</v>
      </c>
      <c r="J11" s="20" t="n">
        <v>0</v>
      </c>
      <c r="K11" s="18" t="n">
        <v>0</v>
      </c>
      <c r="L11" s="20" t="n">
        <v>0</v>
      </c>
      <c r="M11" s="18" t="n">
        <v>0.3788182</v>
      </c>
      <c r="N11" s="20" t="n">
        <v>0.39297882</v>
      </c>
      <c r="O11" s="18" t="n">
        <v>0</v>
      </c>
      <c r="P11" s="20" t="n">
        <v>0</v>
      </c>
      <c r="Q11" s="18" t="n">
        <v>12.68429033</v>
      </c>
      <c r="R11" s="20" t="n">
        <v>1.87203784</v>
      </c>
    </row>
    <row r="12" spans="1:18">
      <c r="A12" s="15" t="s">
        <v>570</v>
      </c>
      <c r="B12" s="17" t="n">
        <v>3422</v>
      </c>
      <c r="C12" s="18">
        <f>(3064.0/B12*100)</f>
        <v/>
      </c>
      <c r="D12" s="19" t="n">
        <v>358</v>
      </c>
      <c r="E12" s="18" t="n">
        <v>52.99424776</v>
      </c>
      <c r="F12" s="20" t="n">
        <v>3.37282293</v>
      </c>
      <c r="G12" s="18" t="n">
        <v>22.48639193</v>
      </c>
      <c r="H12" s="20" t="n">
        <v>2.50221107</v>
      </c>
      <c r="I12" s="18" t="n">
        <v>0</v>
      </c>
      <c r="J12" s="20" t="n">
        <v>0</v>
      </c>
      <c r="K12" s="18" t="n">
        <v>0.16111713</v>
      </c>
      <c r="L12" s="20" t="n">
        <v>0.15658868</v>
      </c>
      <c r="M12" s="18" t="n">
        <v>0.27023609</v>
      </c>
      <c r="N12" s="20" t="n">
        <v>0.27080297</v>
      </c>
      <c r="O12" s="18" t="n">
        <v>0</v>
      </c>
      <c r="P12" s="20" t="n">
        <v>0</v>
      </c>
      <c r="Q12" s="18" t="n">
        <v>24.08800709</v>
      </c>
      <c r="R12" s="20" t="n">
        <v>2.59133583</v>
      </c>
    </row>
    <row r="13" spans="1:18">
      <c r="A13" s="15" t="s">
        <v>571</v>
      </c>
      <c r="B13" s="17" t="n">
        <v>3602</v>
      </c>
      <c r="C13" s="18">
        <f>(3194.0/B13*100)</f>
        <v/>
      </c>
      <c r="D13" s="19" t="n">
        <v>408</v>
      </c>
      <c r="E13" s="18" t="n">
        <v>69.76651784000001</v>
      </c>
      <c r="F13" s="20" t="n">
        <v>2.50862407</v>
      </c>
      <c r="G13" s="18" t="n">
        <v>23.30751635</v>
      </c>
      <c r="H13" s="20" t="n">
        <v>2.14225613</v>
      </c>
      <c r="I13" s="18" t="n">
        <v>0</v>
      </c>
      <c r="J13" s="20" t="n">
        <v>0</v>
      </c>
      <c r="K13" s="18" t="n">
        <v>0.51976332</v>
      </c>
      <c r="L13" s="20" t="n">
        <v>0.4462044</v>
      </c>
      <c r="M13" s="18" t="n">
        <v>0</v>
      </c>
      <c r="N13" s="20" t="n">
        <v>0</v>
      </c>
      <c r="O13" s="18" t="n">
        <v>0</v>
      </c>
      <c r="P13" s="20" t="n">
        <v>0</v>
      </c>
      <c r="Q13" s="18" t="n">
        <v>6.40620249</v>
      </c>
      <c r="R13" s="20" t="n">
        <v>1.6070128</v>
      </c>
    </row>
    <row r="14" spans="1:18">
      <c r="A14" s="15" t="s">
        <v>572</v>
      </c>
      <c r="B14" s="17" t="n">
        <v>2788</v>
      </c>
      <c r="C14" s="18">
        <f>(2496.0/B14*100)</f>
        <v/>
      </c>
      <c r="D14" s="19" t="n">
        <v>292</v>
      </c>
      <c r="E14" s="18" t="n">
        <v>39.30707139</v>
      </c>
      <c r="F14" s="20" t="n">
        <v>2.92440994</v>
      </c>
      <c r="G14" s="18" t="n">
        <v>53.02893326</v>
      </c>
      <c r="H14" s="20" t="n">
        <v>2.98171232</v>
      </c>
      <c r="I14" s="18" t="n">
        <v>0</v>
      </c>
      <c r="J14" s="20" t="n">
        <v>0</v>
      </c>
      <c r="K14" s="18" t="n">
        <v>0</v>
      </c>
      <c r="L14" s="20" t="n">
        <v>0</v>
      </c>
      <c r="M14" s="18" t="n">
        <v>0</v>
      </c>
      <c r="N14" s="20" t="n">
        <v>0</v>
      </c>
      <c r="O14" s="18" t="n">
        <v>0</v>
      </c>
      <c r="P14" s="20" t="n">
        <v>0</v>
      </c>
      <c r="Q14" s="18" t="n">
        <v>7.66399535</v>
      </c>
      <c r="R14" s="20" t="n">
        <v>1.95794913</v>
      </c>
    </row>
    <row r="15" spans="1:18">
      <c r="A15" s="15" t="s">
        <v>573</v>
      </c>
      <c r="B15" s="17" t="n">
        <v>2863</v>
      </c>
      <c r="C15" s="18">
        <f>(2525.0/B15*100)</f>
        <v/>
      </c>
      <c r="D15" s="19" t="n">
        <v>338</v>
      </c>
      <c r="E15" s="18" t="n">
        <v>63.41376063</v>
      </c>
      <c r="F15" s="20" t="n">
        <v>2.47493837</v>
      </c>
      <c r="G15" s="18" t="n">
        <v>30.09381533</v>
      </c>
      <c r="H15" s="20" t="n">
        <v>2.45767065</v>
      </c>
      <c r="I15" s="18" t="n">
        <v>0</v>
      </c>
      <c r="J15" s="20" t="n">
        <v>0</v>
      </c>
      <c r="K15" s="18" t="n">
        <v>0</v>
      </c>
      <c r="L15" s="20" t="n">
        <v>0</v>
      </c>
      <c r="M15" s="18" t="n">
        <v>0</v>
      </c>
      <c r="N15" s="20" t="n">
        <v>0</v>
      </c>
      <c r="O15" s="18" t="n">
        <v>0</v>
      </c>
      <c r="P15" s="20" t="n">
        <v>0</v>
      </c>
      <c r="Q15" s="18" t="n">
        <v>6.49242404</v>
      </c>
      <c r="R15" s="20" t="n">
        <v>1.15550447</v>
      </c>
    </row>
    <row r="16" spans="1:18">
      <c r="A16" s="15" t="s">
        <v>574</v>
      </c>
      <c r="B16" s="17" t="n">
        <v>3111</v>
      </c>
      <c r="C16" s="18">
        <f>(2768.0/B16*100)</f>
        <v/>
      </c>
      <c r="D16" s="19" t="n">
        <v>343</v>
      </c>
      <c r="E16" s="18" t="n">
        <v>48.22613645</v>
      </c>
      <c r="F16" s="20" t="n">
        <v>2.84160504</v>
      </c>
      <c r="G16" s="18" t="n">
        <v>34.64554491</v>
      </c>
      <c r="H16" s="20" t="n">
        <v>2.46105297</v>
      </c>
      <c r="I16" s="18" t="n">
        <v>0</v>
      </c>
      <c r="J16" s="20" t="n">
        <v>0</v>
      </c>
      <c r="K16" s="18" t="n">
        <v>0</v>
      </c>
      <c r="L16" s="20" t="n">
        <v>0</v>
      </c>
      <c r="M16" s="18" t="n">
        <v>0</v>
      </c>
      <c r="N16" s="20" t="n">
        <v>0</v>
      </c>
      <c r="O16" s="18" t="n">
        <v>0</v>
      </c>
      <c r="P16" s="20" t="n">
        <v>0</v>
      </c>
      <c r="Q16" s="18" t="n">
        <v>17.12831864</v>
      </c>
      <c r="R16" s="20" t="n">
        <v>2.15991453</v>
      </c>
    </row>
    <row r="17" spans="1:18">
      <c r="A17" s="15" t="s">
        <v>575</v>
      </c>
      <c r="B17" s="17" t="n">
        <v>3197</v>
      </c>
      <c r="C17" s="18">
        <f>(2836.0/B17*100)</f>
        <v/>
      </c>
      <c r="D17" s="19" t="n">
        <v>361</v>
      </c>
      <c r="E17" s="18" t="n">
        <v>69.00807532</v>
      </c>
      <c r="F17" s="20" t="n">
        <v>2.2998426</v>
      </c>
      <c r="G17" s="18" t="n">
        <v>18.223596</v>
      </c>
      <c r="H17" s="20" t="n">
        <v>1.88618475</v>
      </c>
      <c r="I17" s="18" t="n">
        <v>0</v>
      </c>
      <c r="J17" s="20" t="n">
        <v>0</v>
      </c>
      <c r="K17" s="18" t="n">
        <v>0</v>
      </c>
      <c r="L17" s="20" t="n">
        <v>0</v>
      </c>
      <c r="M17" s="18" t="n">
        <v>0</v>
      </c>
      <c r="N17" s="20" t="n">
        <v>0</v>
      </c>
      <c r="O17" s="18" t="n">
        <v>0</v>
      </c>
      <c r="P17" s="20" t="n">
        <v>0</v>
      </c>
      <c r="Q17" s="18" t="n">
        <v>12.76832869</v>
      </c>
      <c r="R17" s="20" t="n">
        <v>1.95441445</v>
      </c>
    </row>
    <row r="18" spans="1:18">
      <c r="A18" s="15" t="s">
        <v>576</v>
      </c>
      <c r="B18" s="17" t="n">
        <v>2706</v>
      </c>
      <c r="C18" s="18">
        <f>(2410.0/B18*100)</f>
        <v/>
      </c>
      <c r="D18" s="19" t="n">
        <v>296</v>
      </c>
      <c r="E18" s="18" t="n">
        <v>61.07043858</v>
      </c>
      <c r="F18" s="20" t="n">
        <v>3.4027873</v>
      </c>
      <c r="G18" s="18" t="n">
        <v>22.31291822</v>
      </c>
      <c r="H18" s="20" t="n">
        <v>2.61039677</v>
      </c>
      <c r="I18" s="18" t="n">
        <v>0</v>
      </c>
      <c r="J18" s="20" t="n">
        <v>0</v>
      </c>
      <c r="K18" s="18" t="n">
        <v>0</v>
      </c>
      <c r="L18" s="20" t="n">
        <v>0</v>
      </c>
      <c r="M18" s="18" t="n">
        <v>0</v>
      </c>
      <c r="N18" s="20" t="n">
        <v>0</v>
      </c>
      <c r="O18" s="18" t="n">
        <v>0</v>
      </c>
      <c r="P18" s="20" t="n">
        <v>0</v>
      </c>
      <c r="Q18" s="18" t="n">
        <v>16.61664319</v>
      </c>
      <c r="R18" s="20" t="n">
        <v>2.64205807</v>
      </c>
    </row>
    <row r="19" spans="1:18">
      <c r="A19" s="15" t="s">
        <v>577</v>
      </c>
      <c r="B19" s="17" t="n">
        <v>2850</v>
      </c>
      <c r="C19" s="18">
        <f>(2542.0/B19*100)</f>
        <v/>
      </c>
      <c r="D19" s="19" t="n">
        <v>308</v>
      </c>
      <c r="E19" s="18" t="n">
        <v>51.8295089</v>
      </c>
      <c r="F19" s="20" t="n">
        <v>3.06910468</v>
      </c>
      <c r="G19" s="18" t="n">
        <v>35.03803104</v>
      </c>
      <c r="H19" s="20" t="n">
        <v>3.19116427</v>
      </c>
      <c r="I19" s="18" t="n">
        <v>0</v>
      </c>
      <c r="J19" s="20" t="n">
        <v>0</v>
      </c>
      <c r="K19" s="18" t="n">
        <v>0</v>
      </c>
      <c r="L19" s="20" t="n">
        <v>0</v>
      </c>
      <c r="M19" s="18" t="n">
        <v>0</v>
      </c>
      <c r="N19" s="20" t="n">
        <v>0</v>
      </c>
      <c r="O19" s="18" t="n">
        <v>0</v>
      </c>
      <c r="P19" s="20" t="n">
        <v>0</v>
      </c>
      <c r="Q19" s="18" t="n">
        <v>13.13246006</v>
      </c>
      <c r="R19" s="20" t="n">
        <v>2.69128875</v>
      </c>
    </row>
    <row r="20" spans="1:18">
      <c r="A20" s="15" t="s">
        <v>578</v>
      </c>
      <c r="B20" s="17" t="n">
        <v>1741</v>
      </c>
      <c r="C20" s="18">
        <f>(1548.0/B20*100)</f>
        <v/>
      </c>
      <c r="D20" s="19" t="n">
        <v>193</v>
      </c>
      <c r="E20" s="18" t="n">
        <v>66.19925562</v>
      </c>
      <c r="F20" s="20" t="n">
        <v>3.64816875</v>
      </c>
      <c r="G20" s="18" t="n">
        <v>19.9074114</v>
      </c>
      <c r="H20" s="20" t="n">
        <v>3.00103989</v>
      </c>
      <c r="I20" s="18" t="n">
        <v>0</v>
      </c>
      <c r="J20" s="20" t="n">
        <v>0</v>
      </c>
      <c r="K20" s="18" t="n">
        <v>0.46500171</v>
      </c>
      <c r="L20" s="20" t="n">
        <v>0.46701713</v>
      </c>
      <c r="M20" s="18" t="n">
        <v>0.64019994</v>
      </c>
      <c r="N20" s="20" t="n">
        <v>0.65549808</v>
      </c>
      <c r="O20" s="18" t="n">
        <v>0</v>
      </c>
      <c r="P20" s="20" t="n">
        <v>0</v>
      </c>
      <c r="Q20" s="18" t="n">
        <v>12.78813133</v>
      </c>
      <c r="R20" s="20" t="n">
        <v>2.69653178</v>
      </c>
    </row>
    <row r="21" spans="1:18">
      <c r="A21" s="15" t="s">
        <v>579</v>
      </c>
      <c r="B21" s="17" t="n">
        <v>2833</v>
      </c>
      <c r="C21" s="18">
        <f>(2500.0/B21*100)</f>
        <v/>
      </c>
      <c r="D21" s="19" t="n">
        <v>333</v>
      </c>
      <c r="E21" s="18" t="n">
        <v>66.77372097</v>
      </c>
      <c r="F21" s="20" t="n">
        <v>2.63178137</v>
      </c>
      <c r="G21" s="18" t="n">
        <v>28.21175812</v>
      </c>
      <c r="H21" s="20" t="n">
        <v>2.44534161</v>
      </c>
      <c r="I21" s="18" t="n">
        <v>0</v>
      </c>
      <c r="J21" s="20" t="n">
        <v>0</v>
      </c>
      <c r="K21" s="18" t="n">
        <v>0</v>
      </c>
      <c r="L21" s="20" t="n">
        <v>0</v>
      </c>
      <c r="M21" s="18" t="n">
        <v>0</v>
      </c>
      <c r="N21" s="20" t="n">
        <v>0</v>
      </c>
      <c r="O21" s="18" t="n">
        <v>0</v>
      </c>
      <c r="P21" s="20" t="n">
        <v>0</v>
      </c>
      <c r="Q21" s="18" t="n">
        <v>5.01452091</v>
      </c>
      <c r="R21" s="20" t="n">
        <v>1.32889472</v>
      </c>
    </row>
    <row r="22" spans="1:18">
      <c r="A22" s="15" t="s">
        <v>580</v>
      </c>
      <c r="B22" s="17" t="n">
        <v>3667</v>
      </c>
      <c r="C22" s="18">
        <f>(3279.0/B22*100)</f>
        <v/>
      </c>
      <c r="D22" s="19" t="n">
        <v>388</v>
      </c>
      <c r="E22" s="18" t="n">
        <v>77.69676357</v>
      </c>
      <c r="F22" s="20" t="n">
        <v>2.66083127</v>
      </c>
      <c r="G22" s="18" t="n">
        <v>7.91646407</v>
      </c>
      <c r="H22" s="20" t="n">
        <v>1.43850526</v>
      </c>
      <c r="I22" s="18" t="n">
        <v>0</v>
      </c>
      <c r="J22" s="20" t="n">
        <v>0</v>
      </c>
      <c r="K22" s="18" t="n">
        <v>1.25658198</v>
      </c>
      <c r="L22" s="20" t="n">
        <v>0.53129848</v>
      </c>
      <c r="M22" s="18" t="n">
        <v>0</v>
      </c>
      <c r="N22" s="20" t="n">
        <v>0</v>
      </c>
      <c r="O22" s="18" t="n">
        <v>0</v>
      </c>
      <c r="P22" s="20" t="n">
        <v>0</v>
      </c>
      <c r="Q22" s="18" t="n">
        <v>13.13019038</v>
      </c>
      <c r="R22" s="20" t="n">
        <v>2.01946708</v>
      </c>
    </row>
    <row r="23" spans="1:18">
      <c r="A23" s="15" t="s">
        <v>581</v>
      </c>
      <c r="B23" s="17" t="n">
        <v>5792</v>
      </c>
      <c r="C23" s="18">
        <f>(5156.0/B23*100)</f>
        <v/>
      </c>
      <c r="D23" s="19" t="n">
        <v>636</v>
      </c>
      <c r="E23" s="18" t="n">
        <v>54.35530209</v>
      </c>
      <c r="F23" s="20" t="n">
        <v>3.06015317</v>
      </c>
      <c r="G23" s="18" t="n">
        <v>31.54034059</v>
      </c>
      <c r="H23" s="20" t="n">
        <v>2.89957469</v>
      </c>
      <c r="I23" s="18" t="n">
        <v>0</v>
      </c>
      <c r="J23" s="20" t="n">
        <v>0</v>
      </c>
      <c r="K23" s="18" t="n">
        <v>0</v>
      </c>
      <c r="L23" s="20" t="n">
        <v>0</v>
      </c>
      <c r="M23" s="18" t="n">
        <v>0</v>
      </c>
      <c r="N23" s="20" t="n">
        <v>0</v>
      </c>
      <c r="O23" s="18" t="n">
        <v>0</v>
      </c>
      <c r="P23" s="20" t="n">
        <v>0</v>
      </c>
      <c r="Q23" s="18" t="n">
        <v>14.10435732</v>
      </c>
      <c r="R23" s="20" t="n">
        <v>1.87216739</v>
      </c>
    </row>
    <row r="24" spans="1:18">
      <c r="A24" s="15" t="s">
        <v>582</v>
      </c>
      <c r="B24" s="17" t="n">
        <v>3309</v>
      </c>
      <c r="C24" s="18">
        <f>(2941.0/B24*100)</f>
        <v/>
      </c>
      <c r="D24" s="19" t="n">
        <v>368</v>
      </c>
      <c r="E24" s="18" t="n">
        <v>0</v>
      </c>
      <c r="F24" s="20" t="n">
        <v>0</v>
      </c>
      <c r="G24" s="18" t="n">
        <v>0</v>
      </c>
      <c r="H24" s="20" t="n">
        <v>0</v>
      </c>
      <c r="I24" s="18" t="n">
        <v>0</v>
      </c>
      <c r="J24" s="20" t="n">
        <v>0</v>
      </c>
      <c r="K24" s="18" t="n">
        <v>0</v>
      </c>
      <c r="L24" s="20" t="n">
        <v>0</v>
      </c>
      <c r="M24" s="18" t="n">
        <v>100</v>
      </c>
      <c r="N24" s="20" t="n">
        <v>0</v>
      </c>
      <c r="O24" s="18" t="n">
        <v>0</v>
      </c>
      <c r="P24" s="20" t="n">
        <v>0</v>
      </c>
      <c r="Q24" s="18" t="n">
        <v>0</v>
      </c>
      <c r="R24" s="20" t="n">
        <v>0</v>
      </c>
    </row>
    <row r="25" spans="1:18">
      <c r="A25" s="15" t="s">
        <v>583</v>
      </c>
      <c r="B25" s="17" t="n">
        <v>2669</v>
      </c>
      <c r="C25" s="18">
        <f>(2358.0/B25*100)</f>
        <v/>
      </c>
      <c r="D25" s="19" t="n">
        <v>311</v>
      </c>
      <c r="E25" s="18" t="n">
        <v>50.72465586</v>
      </c>
      <c r="F25" s="20" t="n">
        <v>2.62212258</v>
      </c>
      <c r="G25" s="18" t="n">
        <v>39.08469931</v>
      </c>
      <c r="H25" s="20" t="n">
        <v>2.49513259</v>
      </c>
      <c r="I25" s="18" t="n">
        <v>0</v>
      </c>
      <c r="J25" s="20" t="n">
        <v>0</v>
      </c>
      <c r="K25" s="18" t="n">
        <v>0.31682012</v>
      </c>
      <c r="L25" s="20" t="n">
        <v>0.31801206</v>
      </c>
      <c r="M25" s="18" t="n">
        <v>0</v>
      </c>
      <c r="N25" s="20" t="n">
        <v>0</v>
      </c>
      <c r="O25" s="18" t="n">
        <v>0</v>
      </c>
      <c r="P25" s="20" t="n">
        <v>0</v>
      </c>
      <c r="Q25" s="18" t="n">
        <v>9.873824709999999</v>
      </c>
      <c r="R25" s="20" t="n">
        <v>1.81194581</v>
      </c>
    </row>
    <row r="26" spans="1:18">
      <c r="A26" s="15" t="s">
        <v>584</v>
      </c>
      <c r="B26" s="17" t="n">
        <v>2419</v>
      </c>
      <c r="C26" s="18">
        <f>(2145.0/B26*100)</f>
        <v/>
      </c>
      <c r="D26" s="19" t="n">
        <v>274</v>
      </c>
      <c r="E26" s="18" t="n">
        <v>47.42061518</v>
      </c>
      <c r="F26" s="20" t="n">
        <v>3.48073663</v>
      </c>
      <c r="G26" s="18" t="n">
        <v>48.22508019</v>
      </c>
      <c r="H26" s="20" t="n">
        <v>3.41459792</v>
      </c>
      <c r="I26" s="18" t="n">
        <v>0</v>
      </c>
      <c r="J26" s="20" t="n">
        <v>0</v>
      </c>
      <c r="K26" s="18" t="n">
        <v>0</v>
      </c>
      <c r="L26" s="20" t="n">
        <v>0</v>
      </c>
      <c r="M26" s="18" t="n">
        <v>0.33065408</v>
      </c>
      <c r="N26" s="20" t="n">
        <v>0.32769445</v>
      </c>
      <c r="O26" s="18" t="n">
        <v>0</v>
      </c>
      <c r="P26" s="20" t="n">
        <v>0</v>
      </c>
      <c r="Q26" s="18" t="n">
        <v>4.02365055</v>
      </c>
      <c r="R26" s="20" t="n">
        <v>1.17859334</v>
      </c>
    </row>
    <row r="27" spans="1:18">
      <c r="A27" s="15" t="s">
        <v>585</v>
      </c>
      <c r="B27" s="17" t="n">
        <v>2683</v>
      </c>
      <c r="C27" s="18">
        <f>(2386.0/B27*100)</f>
        <v/>
      </c>
      <c r="D27" s="19" t="n">
        <v>297</v>
      </c>
      <c r="E27" s="18" t="n">
        <v>65.57514951</v>
      </c>
      <c r="F27" s="20" t="n">
        <v>2.71676639</v>
      </c>
      <c r="G27" s="18" t="n">
        <v>19.9100173</v>
      </c>
      <c r="H27" s="20" t="n">
        <v>2.36898933</v>
      </c>
      <c r="I27" s="18" t="n">
        <v>0</v>
      </c>
      <c r="J27" s="20" t="n">
        <v>0</v>
      </c>
      <c r="K27" s="18" t="n">
        <v>0</v>
      </c>
      <c r="L27" s="20" t="n">
        <v>0</v>
      </c>
      <c r="M27" s="18" t="n">
        <v>0</v>
      </c>
      <c r="N27" s="20" t="n">
        <v>0</v>
      </c>
      <c r="O27" s="18" t="n">
        <v>0</v>
      </c>
      <c r="P27" s="20" t="n">
        <v>0</v>
      </c>
      <c r="Q27" s="18" t="n">
        <v>14.51483319</v>
      </c>
      <c r="R27" s="20" t="n">
        <v>1.86526307</v>
      </c>
    </row>
    <row r="28" spans="1:18">
      <c r="A28" s="15" t="s">
        <v>586</v>
      </c>
      <c r="B28" s="17" t="n">
        <v>3803</v>
      </c>
      <c r="C28" s="18">
        <f>(3385.0/B28*100)</f>
        <v/>
      </c>
      <c r="D28" s="19" t="n">
        <v>418</v>
      </c>
      <c r="E28" s="18" t="n">
        <v>83.25402619</v>
      </c>
      <c r="F28" s="20" t="n">
        <v>2.10576463</v>
      </c>
      <c r="G28" s="18" t="n">
        <v>12.50498885</v>
      </c>
      <c r="H28" s="20" t="n">
        <v>1.79095336</v>
      </c>
      <c r="I28" s="18" t="n">
        <v>0</v>
      </c>
      <c r="J28" s="20" t="n">
        <v>0</v>
      </c>
      <c r="K28" s="18" t="n">
        <v>0.42509433</v>
      </c>
      <c r="L28" s="20" t="n">
        <v>0.42235883</v>
      </c>
      <c r="M28" s="18" t="n">
        <v>0</v>
      </c>
      <c r="N28" s="20" t="n">
        <v>0</v>
      </c>
      <c r="O28" s="18" t="n">
        <v>0</v>
      </c>
      <c r="P28" s="20" t="n">
        <v>0</v>
      </c>
      <c r="Q28" s="18" t="n">
        <v>3.81589064</v>
      </c>
      <c r="R28" s="20" t="n">
        <v>1.06337055</v>
      </c>
    </row>
    <row r="29" spans="1:18">
      <c r="A29" s="15" t="s">
        <v>587</v>
      </c>
      <c r="B29" s="17" t="n">
        <v>2700</v>
      </c>
      <c r="C29" s="18">
        <f>(2399.0/B29*100)</f>
        <v/>
      </c>
      <c r="D29" s="19" t="n">
        <v>301</v>
      </c>
      <c r="E29" s="18" t="n">
        <v>79.30342198</v>
      </c>
      <c r="F29" s="20" t="n">
        <v>2.55265614</v>
      </c>
      <c r="G29" s="18" t="n">
        <v>15.38057602</v>
      </c>
      <c r="H29" s="20" t="n">
        <v>2.16121505</v>
      </c>
      <c r="I29" s="18" t="n">
        <v>0</v>
      </c>
      <c r="J29" s="20" t="n">
        <v>0</v>
      </c>
      <c r="K29" s="18" t="n">
        <v>0</v>
      </c>
      <c r="L29" s="20" t="n">
        <v>0</v>
      </c>
      <c r="M29" s="18" t="n">
        <v>0</v>
      </c>
      <c r="N29" s="20" t="n">
        <v>0</v>
      </c>
      <c r="O29" s="18" t="n">
        <v>0</v>
      </c>
      <c r="P29" s="20" t="n">
        <v>0</v>
      </c>
      <c r="Q29" s="18" t="n">
        <v>5.31600199</v>
      </c>
      <c r="R29" s="20" t="n">
        <v>1.4241</v>
      </c>
    </row>
    <row r="30" spans="1:18">
      <c r="A30" s="15" t="s">
        <v>588</v>
      </c>
      <c r="B30" s="17" t="n">
        <v>2257</v>
      </c>
      <c r="C30" s="18">
        <f>(2004.0/B30*100)</f>
        <v/>
      </c>
      <c r="D30" s="19" t="n">
        <v>253</v>
      </c>
      <c r="E30" s="18" t="n">
        <v>60.87986686</v>
      </c>
      <c r="F30" s="20" t="n">
        <v>3.23714931</v>
      </c>
      <c r="G30" s="18" t="n">
        <v>31.56620364</v>
      </c>
      <c r="H30" s="20" t="n">
        <v>3.26046391</v>
      </c>
      <c r="I30" s="18" t="n">
        <v>0</v>
      </c>
      <c r="J30" s="20" t="n">
        <v>0</v>
      </c>
      <c r="K30" s="18" t="n">
        <v>0.38631394</v>
      </c>
      <c r="L30" s="20" t="n">
        <v>0.37823222</v>
      </c>
      <c r="M30" s="18" t="n">
        <v>0</v>
      </c>
      <c r="N30" s="20" t="n">
        <v>0</v>
      </c>
      <c r="O30" s="18" t="n">
        <v>0</v>
      </c>
      <c r="P30" s="20" t="n">
        <v>0</v>
      </c>
      <c r="Q30" s="18" t="n">
        <v>7.16761556</v>
      </c>
      <c r="R30" s="20" t="n">
        <v>1.55023992</v>
      </c>
    </row>
    <row r="31" spans="1:18">
      <c r="A31" s="15" t="s">
        <v>589</v>
      </c>
      <c r="B31" s="17" t="n">
        <v>2706</v>
      </c>
      <c r="C31" s="18">
        <f>(2402.0/B31*100)</f>
        <v/>
      </c>
      <c r="D31" s="19" t="n">
        <v>304</v>
      </c>
      <c r="E31" s="18" t="n">
        <v>53.53860529</v>
      </c>
      <c r="F31" s="20" t="n">
        <v>3.40275793</v>
      </c>
      <c r="G31" s="18" t="n">
        <v>34.04446141</v>
      </c>
      <c r="H31" s="20" t="n">
        <v>3.22308114</v>
      </c>
      <c r="I31" s="18" t="n">
        <v>0</v>
      </c>
      <c r="J31" s="20" t="n">
        <v>0</v>
      </c>
      <c r="K31" s="18" t="n">
        <v>0</v>
      </c>
      <c r="L31" s="20" t="n">
        <v>0</v>
      </c>
      <c r="M31" s="18" t="n">
        <v>0</v>
      </c>
      <c r="N31" s="20" t="n">
        <v>0</v>
      </c>
      <c r="O31" s="18" t="n">
        <v>0</v>
      </c>
      <c r="P31" s="20" t="n">
        <v>0</v>
      </c>
      <c r="Q31" s="18" t="n">
        <v>12.4169333</v>
      </c>
      <c r="R31" s="20" t="n">
        <v>1.96687879</v>
      </c>
    </row>
    <row r="32" spans="1:18">
      <c r="A32" s="15" t="s">
        <v>590</v>
      </c>
      <c r="B32" s="17" t="n">
        <v>2209</v>
      </c>
      <c r="C32" s="18">
        <f>(1962.0/B32*100)</f>
        <v/>
      </c>
      <c r="D32" s="19" t="n">
        <v>247</v>
      </c>
      <c r="E32" s="18" t="n">
        <v>53.4906686</v>
      </c>
      <c r="F32" s="20" t="n">
        <v>3.0105132</v>
      </c>
      <c r="G32" s="18" t="n">
        <v>31.55590711</v>
      </c>
      <c r="H32" s="20" t="n">
        <v>2.85852266</v>
      </c>
      <c r="I32" s="18" t="n">
        <v>0</v>
      </c>
      <c r="J32" s="20" t="n">
        <v>0</v>
      </c>
      <c r="K32" s="18" t="n">
        <v>0</v>
      </c>
      <c r="L32" s="20" t="n">
        <v>0</v>
      </c>
      <c r="M32" s="18" t="n">
        <v>0</v>
      </c>
      <c r="N32" s="20" t="n">
        <v>0</v>
      </c>
      <c r="O32" s="18" t="n">
        <v>0</v>
      </c>
      <c r="P32" s="20" t="n">
        <v>0</v>
      </c>
      <c r="Q32" s="18" t="n">
        <v>14.95342429</v>
      </c>
      <c r="R32" s="20" t="n">
        <v>2.35037662</v>
      </c>
    </row>
    <row r="33" spans="1:18">
      <c r="A33" s="15" t="s">
        <v>591</v>
      </c>
      <c r="B33" s="17" t="n">
        <v>3651</v>
      </c>
      <c r="C33" s="18">
        <f>(3246.0/B33*100)</f>
        <v/>
      </c>
      <c r="D33" s="19" t="n">
        <v>405</v>
      </c>
      <c r="E33" s="18" t="n">
        <v>66.42085588</v>
      </c>
      <c r="F33" s="20" t="n">
        <v>2.56987161</v>
      </c>
      <c r="G33" s="18" t="n">
        <v>21.52825816</v>
      </c>
      <c r="H33" s="20" t="n">
        <v>2.28040091</v>
      </c>
      <c r="I33" s="18" t="n">
        <v>0</v>
      </c>
      <c r="J33" s="20" t="n">
        <v>0</v>
      </c>
      <c r="K33" s="18" t="n">
        <v>0</v>
      </c>
      <c r="L33" s="20" t="n">
        <v>0</v>
      </c>
      <c r="M33" s="18" t="n">
        <v>0</v>
      </c>
      <c r="N33" s="20" t="n">
        <v>0</v>
      </c>
      <c r="O33" s="18" t="n">
        <v>0</v>
      </c>
      <c r="P33" s="20" t="n">
        <v>0</v>
      </c>
      <c r="Q33" s="18" t="n">
        <v>12.05088596</v>
      </c>
      <c r="R33" s="20" t="n">
        <v>1.88819798</v>
      </c>
    </row>
    <row r="34" spans="1:18">
      <c r="A34" s="15" t="s">
        <v>592</v>
      </c>
      <c r="B34" s="17" t="n">
        <v>3035</v>
      </c>
      <c r="C34" s="18">
        <f>(2725.0/B34*100)</f>
        <v/>
      </c>
      <c r="D34" s="19" t="n">
        <v>310</v>
      </c>
      <c r="E34" s="18" t="n">
        <v>53.68603692</v>
      </c>
      <c r="F34" s="20" t="n">
        <v>3.05305566</v>
      </c>
      <c r="G34" s="18" t="n">
        <v>31.9825643</v>
      </c>
      <c r="H34" s="20" t="n">
        <v>2.87408411</v>
      </c>
      <c r="I34" s="18" t="n">
        <v>0</v>
      </c>
      <c r="J34" s="20" t="n">
        <v>0</v>
      </c>
      <c r="K34" s="18" t="n">
        <v>0</v>
      </c>
      <c r="L34" s="20" t="n">
        <v>0</v>
      </c>
      <c r="M34" s="18" t="n">
        <v>0.31290808</v>
      </c>
      <c r="N34" s="20" t="n">
        <v>0.31063592</v>
      </c>
      <c r="O34" s="18" t="n">
        <v>0</v>
      </c>
      <c r="P34" s="20" t="n">
        <v>0</v>
      </c>
      <c r="Q34" s="18" t="n">
        <v>14.0184907</v>
      </c>
      <c r="R34" s="20" t="n">
        <v>2.04117483</v>
      </c>
    </row>
    <row r="35" spans="1:18">
      <c r="A35" s="15" t="s">
        <v>593</v>
      </c>
      <c r="B35" s="17" t="n">
        <v>2901</v>
      </c>
      <c r="C35" s="18">
        <f>(2592.0/B35*100)</f>
        <v/>
      </c>
      <c r="D35" s="19" t="n">
        <v>309</v>
      </c>
      <c r="E35" s="18" t="n">
        <v>50.81199117</v>
      </c>
      <c r="F35" s="20" t="n">
        <v>3.8913716</v>
      </c>
      <c r="G35" s="18" t="n">
        <v>42.50108391</v>
      </c>
      <c r="H35" s="20" t="n">
        <v>3.72865752</v>
      </c>
      <c r="I35" s="18" t="n">
        <v>0</v>
      </c>
      <c r="J35" s="20" t="n">
        <v>0</v>
      </c>
      <c r="K35" s="18" t="n">
        <v>0</v>
      </c>
      <c r="L35" s="20" t="n">
        <v>0</v>
      </c>
      <c r="M35" s="18" t="n">
        <v>0</v>
      </c>
      <c r="N35" s="20" t="n">
        <v>0</v>
      </c>
      <c r="O35" s="18" t="n">
        <v>0</v>
      </c>
      <c r="P35" s="20" t="n">
        <v>0</v>
      </c>
      <c r="Q35" s="18" t="n">
        <v>6.68692492</v>
      </c>
      <c r="R35" s="20" t="n">
        <v>1.25477945</v>
      </c>
    </row>
    <row r="36" spans="1:18">
      <c r="A36" s="15" t="s">
        <v>594</v>
      </c>
      <c r="B36" s="17" t="n">
        <v>3404</v>
      </c>
      <c r="C36" s="18">
        <f>(3020.0/B36*100)</f>
        <v/>
      </c>
      <c r="D36" s="19" t="n">
        <v>384</v>
      </c>
      <c r="E36" s="18" t="n">
        <v>61.41944546</v>
      </c>
      <c r="F36" s="20" t="n">
        <v>2.67446656</v>
      </c>
      <c r="G36" s="18" t="n">
        <v>31.42405703</v>
      </c>
      <c r="H36" s="20" t="n">
        <v>2.52596859</v>
      </c>
      <c r="I36" s="18" t="n">
        <v>0</v>
      </c>
      <c r="J36" s="20" t="n">
        <v>0</v>
      </c>
      <c r="K36" s="18" t="n">
        <v>0</v>
      </c>
      <c r="L36" s="20" t="n">
        <v>0</v>
      </c>
      <c r="M36" s="18" t="n">
        <v>0</v>
      </c>
      <c r="N36" s="20" t="n">
        <v>0</v>
      </c>
      <c r="O36" s="18" t="n">
        <v>0</v>
      </c>
      <c r="P36" s="20" t="n">
        <v>0</v>
      </c>
      <c r="Q36" s="18" t="n">
        <v>7.15649751</v>
      </c>
      <c r="R36" s="20" t="n">
        <v>1.39266475</v>
      </c>
    </row>
    <row r="37" spans="1:18">
      <c r="A37" s="15" t="s">
        <v>595</v>
      </c>
      <c r="B37" s="17" t="n">
        <v>2731</v>
      </c>
      <c r="C37" s="18">
        <f>(2438.0/B37*100)</f>
        <v/>
      </c>
      <c r="D37" s="19" t="n">
        <v>293</v>
      </c>
      <c r="E37" s="18" t="n">
        <v>68.67816835000001</v>
      </c>
      <c r="F37" s="20" t="n">
        <v>2.60359582</v>
      </c>
      <c r="G37" s="18" t="n">
        <v>19.8230516</v>
      </c>
      <c r="H37" s="20" t="n">
        <v>2.52658841</v>
      </c>
      <c r="I37" s="18" t="n">
        <v>0</v>
      </c>
      <c r="J37" s="20" t="n">
        <v>0</v>
      </c>
      <c r="K37" s="18" t="n">
        <v>0</v>
      </c>
      <c r="L37" s="20" t="n">
        <v>0</v>
      </c>
      <c r="M37" s="18" t="n">
        <v>0</v>
      </c>
      <c r="N37" s="20" t="n">
        <v>0</v>
      </c>
      <c r="O37" s="18" t="n">
        <v>0</v>
      </c>
      <c r="P37" s="20" t="n">
        <v>0</v>
      </c>
      <c r="Q37" s="18" t="n">
        <v>11.49878006</v>
      </c>
      <c r="R37" s="20" t="n">
        <v>1.90786913</v>
      </c>
    </row>
    <row r="38" spans="1:18">
      <c r="A38" s="15" t="s">
        <v>596</v>
      </c>
      <c r="B38" s="17" t="n">
        <v>2807</v>
      </c>
      <c r="C38" s="18">
        <f>(2510.0/B38*100)</f>
        <v/>
      </c>
      <c r="D38" s="19" t="n">
        <v>297</v>
      </c>
      <c r="E38" s="18" t="n">
        <v>58.00692144</v>
      </c>
      <c r="F38" s="20" t="n">
        <v>3.51338187</v>
      </c>
      <c r="G38" s="18" t="n">
        <v>32.39989519</v>
      </c>
      <c r="H38" s="20" t="n">
        <v>3.11485646</v>
      </c>
      <c r="I38" s="18" t="n">
        <v>0</v>
      </c>
      <c r="J38" s="20" t="n">
        <v>0</v>
      </c>
      <c r="K38" s="18" t="n">
        <v>0</v>
      </c>
      <c r="L38" s="20" t="n">
        <v>0</v>
      </c>
      <c r="M38" s="18" t="n">
        <v>3.1609552</v>
      </c>
      <c r="N38" s="20" t="n">
        <v>1.11443767</v>
      </c>
      <c r="O38" s="18" t="n">
        <v>0</v>
      </c>
      <c r="P38" s="20" t="n">
        <v>0</v>
      </c>
      <c r="Q38" s="18" t="n">
        <v>6.43222816</v>
      </c>
      <c r="R38" s="20" t="n">
        <v>1.88573925</v>
      </c>
    </row>
    <row r="39" spans="1:18">
      <c r="A39" s="15" t="s">
        <v>597</v>
      </c>
      <c r="B39" s="17" t="n">
        <v>2938</v>
      </c>
      <c r="C39" s="18">
        <f>(2617.0/B39*100)</f>
        <v/>
      </c>
      <c r="D39" s="19" t="n">
        <v>321</v>
      </c>
      <c r="E39" s="18" t="n">
        <v>63.73734656</v>
      </c>
      <c r="F39" s="20" t="n">
        <v>2.68184843</v>
      </c>
      <c r="G39" s="18" t="n">
        <v>23.93573193</v>
      </c>
      <c r="H39" s="20" t="n">
        <v>2.33037915</v>
      </c>
      <c r="I39" s="18" t="n">
        <v>0</v>
      </c>
      <c r="J39" s="20" t="n">
        <v>0</v>
      </c>
      <c r="K39" s="18" t="n">
        <v>0</v>
      </c>
      <c r="L39" s="20" t="n">
        <v>0</v>
      </c>
      <c r="M39" s="18" t="n">
        <v>0</v>
      </c>
      <c r="N39" s="20" t="n">
        <v>0</v>
      </c>
      <c r="O39" s="18" t="n">
        <v>0</v>
      </c>
      <c r="P39" s="20" t="n">
        <v>0</v>
      </c>
      <c r="Q39" s="18" t="n">
        <v>12.32692151</v>
      </c>
      <c r="R39" s="20" t="n">
        <v>1.87367245</v>
      </c>
    </row>
    <row r="40" spans="1:18">
      <c r="A40" s="15" t="s">
        <v>598</v>
      </c>
      <c r="B40" s="17" t="n">
        <v>6922</v>
      </c>
      <c r="C40" s="18">
        <f>(6127.0/B40*100)</f>
        <v/>
      </c>
      <c r="D40" s="19" t="n">
        <v>795</v>
      </c>
      <c r="E40" s="18" t="n">
        <v>41.1848817</v>
      </c>
      <c r="F40" s="20" t="n">
        <v>2.73924623</v>
      </c>
      <c r="G40" s="18" t="n">
        <v>50.02186077</v>
      </c>
      <c r="H40" s="20" t="n">
        <v>2.96827357</v>
      </c>
      <c r="I40" s="18" t="n">
        <v>0</v>
      </c>
      <c r="J40" s="20" t="n">
        <v>0</v>
      </c>
      <c r="K40" s="18" t="n">
        <v>0.0294845</v>
      </c>
      <c r="L40" s="20" t="n">
        <v>0.0280623</v>
      </c>
      <c r="M40" s="18" t="n">
        <v>0</v>
      </c>
      <c r="N40" s="20" t="n">
        <v>0</v>
      </c>
      <c r="O40" s="18" t="n">
        <v>0</v>
      </c>
      <c r="P40" s="20" t="n">
        <v>0</v>
      </c>
      <c r="Q40" s="18" t="n">
        <v>8.76377304</v>
      </c>
      <c r="R40" s="20" t="n">
        <v>1.30424033</v>
      </c>
    </row>
    <row r="41" spans="1:18">
      <c r="A41" s="15" t="s">
        <v>599</v>
      </c>
      <c r="B41" s="17" t="n">
        <v>2854</v>
      </c>
      <c r="C41" s="18">
        <f>(2570.0/B41*100)</f>
        <v/>
      </c>
      <c r="D41" s="19" t="n">
        <v>284</v>
      </c>
      <c r="E41" s="18" t="n">
        <v>56.12716523</v>
      </c>
      <c r="F41" s="20" t="n">
        <v>3.3331677</v>
      </c>
      <c r="G41" s="18" t="n">
        <v>42.73401624</v>
      </c>
      <c r="H41" s="20" t="n">
        <v>3.34051851</v>
      </c>
      <c r="I41" s="18" t="n">
        <v>0</v>
      </c>
      <c r="J41" s="20" t="n">
        <v>0</v>
      </c>
      <c r="K41" s="18" t="n">
        <v>0</v>
      </c>
      <c r="L41" s="20" t="n">
        <v>0</v>
      </c>
      <c r="M41" s="18" t="n">
        <v>0</v>
      </c>
      <c r="N41" s="20" t="n">
        <v>0</v>
      </c>
      <c r="O41" s="18" t="n">
        <v>0</v>
      </c>
      <c r="P41" s="20" t="n">
        <v>0</v>
      </c>
      <c r="Q41" s="18" t="n">
        <v>1.13881852</v>
      </c>
      <c r="R41" s="20" t="n">
        <v>0.56548254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(10917.0/B46*100)</f>
        <v/>
      </c>
      <c r="D46" s="19" t="n">
        <v>1156</v>
      </c>
      <c r="E46" s="18" t="n">
        <v>62.90356837</v>
      </c>
      <c r="F46" s="20" t="n">
        <v>2.01319664</v>
      </c>
      <c r="G46" s="18" t="n">
        <v>19.91464005</v>
      </c>
      <c r="H46" s="20" t="n">
        <v>1.61349056</v>
      </c>
      <c r="I46" s="18" t="n">
        <v>0</v>
      </c>
      <c r="J46" s="20" t="n">
        <v>0</v>
      </c>
      <c r="K46" s="18" t="n">
        <v>1.00155778</v>
      </c>
      <c r="L46" s="20" t="n">
        <v>0.34858172</v>
      </c>
      <c r="M46" s="18" t="n">
        <v>0.27889607</v>
      </c>
      <c r="N46" s="20" t="n">
        <v>0.18420886</v>
      </c>
      <c r="O46" s="18" t="n">
        <v>0</v>
      </c>
      <c r="P46" s="20" t="n">
        <v>0</v>
      </c>
      <c r="Q46" s="18" t="n">
        <v>15.90133774</v>
      </c>
      <c r="R46" s="20" t="n">
        <v>1.51510187</v>
      </c>
    </row>
    <row r="47" spans="1:18">
      <c r="A47" s="15" t="s">
        <v>606</v>
      </c>
      <c r="B47" s="17" t="n">
        <v>2823</v>
      </c>
      <c r="C47" s="18">
        <f>(2534.0/B47*100)</f>
        <v/>
      </c>
      <c r="D47" s="19" t="n">
        <v>289</v>
      </c>
      <c r="E47" s="18" t="n">
        <v>46.53255388</v>
      </c>
      <c r="F47" s="20" t="n">
        <v>2.99647532</v>
      </c>
      <c r="G47" s="18" t="n">
        <v>27.98735331</v>
      </c>
      <c r="H47" s="20" t="n">
        <v>2.89386372</v>
      </c>
      <c r="I47" s="18" t="n">
        <v>0</v>
      </c>
      <c r="J47" s="20" t="n">
        <v>0</v>
      </c>
      <c r="K47" s="18" t="n">
        <v>0</v>
      </c>
      <c r="L47" s="20" t="n">
        <v>0</v>
      </c>
      <c r="M47" s="18" t="n">
        <v>0.3346168</v>
      </c>
      <c r="N47" s="20" t="n">
        <v>0.33309024</v>
      </c>
      <c r="O47" s="18" t="n">
        <v>0</v>
      </c>
      <c r="P47" s="20" t="n">
        <v>0</v>
      </c>
      <c r="Q47" s="18" t="n">
        <v>25.145476</v>
      </c>
      <c r="R47" s="20" t="n">
        <v>2.93654392</v>
      </c>
    </row>
    <row r="48" spans="1:18">
      <c r="A48" s="15" t="s">
        <v>607</v>
      </c>
      <c r="B48" s="17" t="n">
        <v>4682</v>
      </c>
      <c r="C48" s="18">
        <f>(4157.0/B48*100)</f>
        <v/>
      </c>
      <c r="D48" s="19" t="n">
        <v>525</v>
      </c>
      <c r="E48" s="18" t="n">
        <v>79.98821355</v>
      </c>
      <c r="F48" s="20" t="n">
        <v>2.33298105</v>
      </c>
      <c r="G48" s="18" t="n">
        <v>13.15370752</v>
      </c>
      <c r="H48" s="20" t="n">
        <v>1.8086915</v>
      </c>
      <c r="I48" s="18" t="n">
        <v>0</v>
      </c>
      <c r="J48" s="20" t="n">
        <v>0</v>
      </c>
      <c r="K48" s="18" t="n">
        <v>0.24956426</v>
      </c>
      <c r="L48" s="20" t="n">
        <v>0.24821108</v>
      </c>
      <c r="M48" s="18" t="n">
        <v>0</v>
      </c>
      <c r="N48" s="20" t="n">
        <v>0</v>
      </c>
      <c r="O48" s="18" t="n">
        <v>0</v>
      </c>
      <c r="P48" s="20" t="n">
        <v>0</v>
      </c>
      <c r="Q48" s="18" t="n">
        <v>6.60851466</v>
      </c>
      <c r="R48" s="20" t="n">
        <v>1.43674246</v>
      </c>
    </row>
    <row r="49" spans="1:18">
      <c r="A49" s="15" t="s">
        <v>608</v>
      </c>
      <c r="B49" s="17" t="n">
        <v>6158</v>
      </c>
      <c r="C49" s="18">
        <f>(5497.0/B49*100)</f>
        <v/>
      </c>
      <c r="D49" s="19" t="n">
        <v>661</v>
      </c>
      <c r="E49" s="18" t="n">
        <v>90.28946985</v>
      </c>
      <c r="F49" s="20" t="n">
        <v>1.57192131</v>
      </c>
      <c r="G49" s="18" t="n">
        <v>4.74251611</v>
      </c>
      <c r="H49" s="20" t="n">
        <v>1.08097042</v>
      </c>
      <c r="I49" s="18" t="n">
        <v>0</v>
      </c>
      <c r="J49" s="20" t="n">
        <v>0</v>
      </c>
      <c r="K49" s="18" t="n">
        <v>1.59639695</v>
      </c>
      <c r="L49" s="20" t="n">
        <v>0.8715176</v>
      </c>
      <c r="M49" s="18" t="n">
        <v>0.32806952</v>
      </c>
      <c r="N49" s="20" t="n">
        <v>0.20697382</v>
      </c>
      <c r="O49" s="18" t="n">
        <v>0</v>
      </c>
      <c r="P49" s="20" t="n">
        <v>0</v>
      </c>
      <c r="Q49" s="18" t="n">
        <v>3.04354757</v>
      </c>
      <c r="R49" s="20" t="n">
        <v>0.80777861</v>
      </c>
    </row>
    <row r="50" spans="1:18">
      <c r="A50" s="15" t="s">
        <v>609</v>
      </c>
      <c r="B50" s="17" t="n">
        <v>3494</v>
      </c>
      <c r="C50" s="18">
        <f>(3155.0/B50*100)</f>
        <v/>
      </c>
      <c r="D50" s="19" t="n">
        <v>339</v>
      </c>
      <c r="E50" s="18" t="n">
        <v>89.44963903</v>
      </c>
      <c r="F50" s="20" t="n">
        <v>1.7240543</v>
      </c>
      <c r="G50" s="18" t="n">
        <v>6.70956942</v>
      </c>
      <c r="H50" s="20" t="n">
        <v>1.38490009</v>
      </c>
      <c r="I50" s="18" t="n">
        <v>0</v>
      </c>
      <c r="J50" s="20" t="n">
        <v>0</v>
      </c>
      <c r="K50" s="18" t="n">
        <v>0</v>
      </c>
      <c r="L50" s="20" t="n">
        <v>0</v>
      </c>
      <c r="M50" s="18" t="n">
        <v>0.36585198</v>
      </c>
      <c r="N50" s="20" t="n">
        <v>0.34090712</v>
      </c>
      <c r="O50" s="18" t="n">
        <v>0</v>
      </c>
      <c r="P50" s="20" t="n">
        <v>0</v>
      </c>
      <c r="Q50" s="18" t="n">
        <v>3.47493957</v>
      </c>
      <c r="R50" s="20" t="n">
        <v>0.974224</v>
      </c>
    </row>
    <row r="51" spans="1:18">
      <c r="A51" s="15" t="s">
        <v>610</v>
      </c>
      <c r="B51" s="17" t="n">
        <v>3013</v>
      </c>
      <c r="C51" s="18">
        <f>(2682.0/B51*100)</f>
        <v/>
      </c>
      <c r="D51" s="19" t="n">
        <v>331</v>
      </c>
      <c r="E51" s="18" t="n">
        <v>54.64256411</v>
      </c>
      <c r="F51" s="20" t="n">
        <v>2.89729653</v>
      </c>
      <c r="G51" s="18" t="n">
        <v>28.52588423</v>
      </c>
      <c r="H51" s="20" t="n">
        <v>2.35042696</v>
      </c>
      <c r="I51" s="18" t="n">
        <v>0</v>
      </c>
      <c r="J51" s="20" t="n">
        <v>0</v>
      </c>
      <c r="K51" s="18" t="n">
        <v>0</v>
      </c>
      <c r="L51" s="20" t="n">
        <v>0</v>
      </c>
      <c r="M51" s="18" t="n">
        <v>0</v>
      </c>
      <c r="N51" s="20" t="n">
        <v>0</v>
      </c>
      <c r="O51" s="18" t="n">
        <v>0</v>
      </c>
      <c r="P51" s="20" t="n">
        <v>0</v>
      </c>
      <c r="Q51" s="18" t="n">
        <v>16.83155166</v>
      </c>
      <c r="R51" s="20" t="n">
        <v>1.79723401</v>
      </c>
    </row>
    <row r="52" spans="1:18">
      <c r="A52" s="15" t="s">
        <v>611</v>
      </c>
      <c r="B52" s="17" t="n">
        <v>2760</v>
      </c>
      <c r="C52" s="18">
        <f>(2430.0/B52*100)</f>
        <v/>
      </c>
      <c r="D52" s="19" t="n">
        <v>330</v>
      </c>
      <c r="E52" s="18" t="n">
        <v>65.54773699</v>
      </c>
      <c r="F52" s="20" t="n">
        <v>3.03716159</v>
      </c>
      <c r="G52" s="18" t="n">
        <v>12.87736002</v>
      </c>
      <c r="H52" s="20" t="n">
        <v>2.19912796</v>
      </c>
      <c r="I52" s="18" t="n">
        <v>0</v>
      </c>
      <c r="J52" s="20" t="n">
        <v>0</v>
      </c>
      <c r="K52" s="18" t="n">
        <v>0</v>
      </c>
      <c r="L52" s="20" t="n">
        <v>0</v>
      </c>
      <c r="M52" s="18" t="n">
        <v>0</v>
      </c>
      <c r="N52" s="20" t="n">
        <v>0</v>
      </c>
      <c r="O52" s="18" t="n">
        <v>0</v>
      </c>
      <c r="P52" s="20" t="n">
        <v>0</v>
      </c>
      <c r="Q52" s="18" t="n">
        <v>21.57490299</v>
      </c>
      <c r="R52" s="20" t="n">
        <v>2.19640512</v>
      </c>
    </row>
    <row r="53" spans="1:18">
      <c r="A53" s="15" t="s">
        <v>612</v>
      </c>
      <c r="B53" s="17" t="n">
        <v>2474</v>
      </c>
      <c r="C53" s="18">
        <f>(2205.0/B53*100)</f>
        <v/>
      </c>
      <c r="D53" s="19" t="n">
        <v>269</v>
      </c>
      <c r="E53" s="18" t="n">
        <v>68.57801044</v>
      </c>
      <c r="F53" s="20" t="n">
        <v>3.06616576</v>
      </c>
      <c r="G53" s="18" t="n">
        <v>4.24433637</v>
      </c>
      <c r="H53" s="20" t="n">
        <v>1.43748402</v>
      </c>
      <c r="I53" s="18" t="n">
        <v>0</v>
      </c>
      <c r="J53" s="20" t="n">
        <v>0</v>
      </c>
      <c r="K53" s="18" t="n">
        <v>11.69725511</v>
      </c>
      <c r="L53" s="20" t="n">
        <v>2.04285032</v>
      </c>
      <c r="M53" s="18" t="n">
        <v>0.42249826</v>
      </c>
      <c r="N53" s="20" t="n">
        <v>0.48665289</v>
      </c>
      <c r="O53" s="18" t="n">
        <v>0</v>
      </c>
      <c r="P53" s="20" t="n">
        <v>0</v>
      </c>
      <c r="Q53" s="18" t="n">
        <v>15.05789982</v>
      </c>
      <c r="R53" s="20" t="n">
        <v>2.36259796</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(2381.0/B55*100)</f>
        <v/>
      </c>
      <c r="D55" s="19" t="n">
        <v>294</v>
      </c>
      <c r="E55" s="18" t="n">
        <v>60.87538302</v>
      </c>
      <c r="F55" s="20" t="n">
        <v>2.89049611</v>
      </c>
      <c r="G55" s="18" t="n">
        <v>33.72356406</v>
      </c>
      <c r="H55" s="20" t="n">
        <v>2.86849111</v>
      </c>
      <c r="I55" s="18" t="n">
        <v>0</v>
      </c>
      <c r="J55" s="20" t="n">
        <v>0</v>
      </c>
      <c r="K55" s="18" t="n">
        <v>0.67019828</v>
      </c>
      <c r="L55" s="20" t="n">
        <v>0.65222255</v>
      </c>
      <c r="M55" s="18" t="n">
        <v>0.36735101</v>
      </c>
      <c r="N55" s="20" t="n">
        <v>0.36679793</v>
      </c>
      <c r="O55" s="18" t="n">
        <v>0</v>
      </c>
      <c r="P55" s="20" t="n">
        <v>0</v>
      </c>
      <c r="Q55" s="18" t="n">
        <v>4.36350363</v>
      </c>
      <c r="R55" s="20" t="n">
        <v>1.17704644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(2833.0/B61*100)</f>
        <v/>
      </c>
      <c r="D61" s="19" t="n">
        <v>368</v>
      </c>
      <c r="E61" s="18" t="n">
        <v>61.86466662</v>
      </c>
      <c r="F61" s="20" t="n">
        <v>2.63995309</v>
      </c>
      <c r="G61" s="18" t="n">
        <v>29.80415765</v>
      </c>
      <c r="H61" s="20" t="n">
        <v>2.73918405</v>
      </c>
      <c r="I61" s="18" t="n">
        <v>0</v>
      </c>
      <c r="J61" s="20" t="n">
        <v>0</v>
      </c>
      <c r="K61" s="18" t="n">
        <v>0</v>
      </c>
      <c r="L61" s="20" t="n">
        <v>0</v>
      </c>
      <c r="M61" s="18" t="n">
        <v>0</v>
      </c>
      <c r="N61" s="20" t="n">
        <v>0</v>
      </c>
      <c r="O61" s="18" t="n">
        <v>0</v>
      </c>
      <c r="P61" s="20" t="n">
        <v>0</v>
      </c>
      <c r="Q61" s="18" t="n">
        <v>8.33117573</v>
      </c>
      <c r="R61" s="20" t="n">
        <v>1.34791467</v>
      </c>
    </row>
    <row r="62" spans="1:18">
      <c r="A62" s="15" t="s">
        <v>622</v>
      </c>
      <c r="B62" s="17" t="n">
        <v>2230</v>
      </c>
      <c r="C62" s="18">
        <f>(1975.0/B62*100)</f>
        <v/>
      </c>
      <c r="D62" s="19" t="n">
        <v>255</v>
      </c>
      <c r="E62" s="18" t="n">
        <v>76.79844567000001</v>
      </c>
      <c r="F62" s="20" t="n">
        <v>2.7359997</v>
      </c>
      <c r="G62" s="18" t="n">
        <v>20.86866638</v>
      </c>
      <c r="H62" s="20" t="n">
        <v>2.47622975</v>
      </c>
      <c r="I62" s="18" t="n">
        <v>0</v>
      </c>
      <c r="J62" s="20" t="n">
        <v>0</v>
      </c>
      <c r="K62" s="18" t="n">
        <v>0</v>
      </c>
      <c r="L62" s="20" t="n">
        <v>0</v>
      </c>
      <c r="M62" s="18" t="n">
        <v>0</v>
      </c>
      <c r="N62" s="20" t="n">
        <v>0</v>
      </c>
      <c r="O62" s="18" t="n">
        <v>0</v>
      </c>
      <c r="P62" s="20" t="n">
        <v>0</v>
      </c>
      <c r="Q62" s="18" t="n">
        <v>2.33288795</v>
      </c>
      <c r="R62" s="20" t="n">
        <v>1.08003591</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(2479.0/B67*100)</f>
        <v/>
      </c>
      <c r="D67" s="19" t="n">
        <v>292</v>
      </c>
      <c r="E67" s="18" t="n">
        <v>59.84965986</v>
      </c>
      <c r="F67" s="20" t="n">
        <v>3.00270886</v>
      </c>
      <c r="G67" s="18" t="n">
        <v>14.57228657</v>
      </c>
      <c r="H67" s="20" t="n">
        <v>2.05473475</v>
      </c>
      <c r="I67" s="18" t="n">
        <v>0</v>
      </c>
      <c r="J67" s="20" t="n">
        <v>0</v>
      </c>
      <c r="K67" s="18" t="n">
        <v>0.35290929</v>
      </c>
      <c r="L67" s="20" t="n">
        <v>0.35153283</v>
      </c>
      <c r="M67" s="18" t="n">
        <v>0.58190476</v>
      </c>
      <c r="N67" s="20" t="n">
        <v>0.40811561</v>
      </c>
      <c r="O67" s="18" t="n">
        <v>0</v>
      </c>
      <c r="P67" s="20" t="n">
        <v>0</v>
      </c>
      <c r="Q67" s="18" t="n">
        <v>24.64323952</v>
      </c>
      <c r="R67" s="20" t="n">
        <v>2.59981389</v>
      </c>
    </row>
    <row r="68" spans="1:18">
      <c r="A68" s="15" t="s">
        <v>628</v>
      </c>
      <c r="B68" s="17" t="n">
        <v>3460</v>
      </c>
      <c r="C68" s="18">
        <f>(3115.0/B68*100)</f>
        <v/>
      </c>
      <c r="D68" s="19" t="n">
        <v>345</v>
      </c>
      <c r="E68" s="18" t="n">
        <v>82.02712984</v>
      </c>
      <c r="F68" s="20" t="n">
        <v>2.00692776</v>
      </c>
      <c r="G68" s="18" t="n">
        <v>9.04508366</v>
      </c>
      <c r="H68" s="20" t="n">
        <v>1.55296774</v>
      </c>
      <c r="I68" s="18" t="n">
        <v>0</v>
      </c>
      <c r="J68" s="20" t="n">
        <v>0</v>
      </c>
      <c r="K68" s="18" t="n">
        <v>0.27771581</v>
      </c>
      <c r="L68" s="20" t="n">
        <v>0.30227489</v>
      </c>
      <c r="M68" s="18" t="n">
        <v>0.29150324</v>
      </c>
      <c r="N68" s="20" t="n">
        <v>0.29375734</v>
      </c>
      <c r="O68" s="18" t="n">
        <v>0</v>
      </c>
      <c r="P68" s="20" t="n">
        <v>0</v>
      </c>
      <c r="Q68" s="18" t="n">
        <v>8.358567450000001</v>
      </c>
      <c r="R68" s="20" t="n">
        <v>1.5102143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(5358.0/B70*100)</f>
        <v/>
      </c>
      <c r="D70" s="19" t="n">
        <v>676</v>
      </c>
      <c r="E70" s="18" t="n">
        <v>66.77403425999999</v>
      </c>
      <c r="F70" s="20" t="n">
        <v>1.67535348</v>
      </c>
      <c r="G70" s="18" t="n">
        <v>19.19773943</v>
      </c>
      <c r="H70" s="20" t="n">
        <v>1.38912748</v>
      </c>
      <c r="I70" s="18" t="n">
        <v>0</v>
      </c>
      <c r="J70" s="20" t="n">
        <v>0</v>
      </c>
      <c r="K70" s="18" t="n">
        <v>0.57507401</v>
      </c>
      <c r="L70" s="20" t="n">
        <v>0.28501884</v>
      </c>
      <c r="M70" s="18" t="n">
        <v>0.15517325</v>
      </c>
      <c r="N70" s="20" t="n">
        <v>0.15294602</v>
      </c>
      <c r="O70" s="18" t="n">
        <v>0</v>
      </c>
      <c r="P70" s="20" t="n">
        <v>0</v>
      </c>
      <c r="Q70" s="18" t="n">
        <v>13.29797905</v>
      </c>
      <c r="R70" s="20" t="n">
        <v>1.21943318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(2766.0/B72*100)</f>
        <v/>
      </c>
      <c r="D72" s="19" t="n">
        <v>341</v>
      </c>
      <c r="E72" s="18" t="n">
        <v>49.97924754</v>
      </c>
      <c r="F72" s="20" t="n">
        <v>3.56233699</v>
      </c>
      <c r="G72" s="18" t="n">
        <v>37.01126924</v>
      </c>
      <c r="H72" s="20" t="n">
        <v>3.42941827</v>
      </c>
      <c r="I72" s="18" t="n">
        <v>0</v>
      </c>
      <c r="J72" s="20" t="n">
        <v>0</v>
      </c>
      <c r="K72" s="18" t="n">
        <v>0</v>
      </c>
      <c r="L72" s="20" t="n">
        <v>0</v>
      </c>
      <c r="M72" s="18" t="n">
        <v>0</v>
      </c>
      <c r="N72" s="20" t="n">
        <v>0</v>
      </c>
      <c r="O72" s="18" t="n">
        <v>0</v>
      </c>
      <c r="P72" s="20" t="n">
        <v>0</v>
      </c>
      <c r="Q72" s="18" t="n">
        <v>13.00948323</v>
      </c>
      <c r="R72" s="20" t="n">
        <v>1.58750841</v>
      </c>
    </row>
    <row r="73" spans="1:18">
      <c r="A73" s="15" t="s">
        <v>633</v>
      </c>
      <c r="B73" s="17" t="n">
        <v>2973</v>
      </c>
      <c r="C73" s="18">
        <f>(2649.0/B73*100)</f>
        <v/>
      </c>
      <c r="D73" s="19" t="n">
        <v>324</v>
      </c>
      <c r="E73" s="18" t="n">
        <v>62.02314096</v>
      </c>
      <c r="F73" s="20" t="n">
        <v>2.61130798</v>
      </c>
      <c r="G73" s="18" t="n">
        <v>33.92514789</v>
      </c>
      <c r="H73" s="20" t="n">
        <v>2.69514499</v>
      </c>
      <c r="I73" s="18" t="n">
        <v>0</v>
      </c>
      <c r="J73" s="20" t="n">
        <v>0</v>
      </c>
      <c r="K73" s="18" t="n">
        <v>0</v>
      </c>
      <c r="L73" s="20" t="n">
        <v>0</v>
      </c>
      <c r="M73" s="18" t="n">
        <v>0</v>
      </c>
      <c r="N73" s="20" t="n">
        <v>0</v>
      </c>
      <c r="O73" s="18" t="n">
        <v>0</v>
      </c>
      <c r="P73" s="20" t="n">
        <v>0</v>
      </c>
      <c r="Q73" s="18" t="n">
        <v>4.05171116</v>
      </c>
      <c r="R73" s="20" t="n">
        <v>1.27977005</v>
      </c>
    </row>
    <row r="74" spans="1:18">
      <c r="A74" s="15" t="s">
        <v>634</v>
      </c>
      <c r="B74" s="17" t="n">
        <v>3819</v>
      </c>
      <c r="C74" s="18">
        <f>(3364.0/B74*100)</f>
        <v/>
      </c>
      <c r="D74" s="19" t="n">
        <v>455</v>
      </c>
      <c r="E74" s="18" t="n">
        <v>79.67163146999999</v>
      </c>
      <c r="F74" s="20" t="n">
        <v>1.74858064</v>
      </c>
      <c r="G74" s="18" t="n">
        <v>11.36850688</v>
      </c>
      <c r="H74" s="20" t="n">
        <v>1.41999023</v>
      </c>
      <c r="I74" s="18" t="n">
        <v>0</v>
      </c>
      <c r="J74" s="20" t="n">
        <v>0</v>
      </c>
      <c r="K74" s="18" t="n">
        <v>0.24148462</v>
      </c>
      <c r="L74" s="20" t="n">
        <v>0.24213587</v>
      </c>
      <c r="M74" s="18" t="n">
        <v>0</v>
      </c>
      <c r="N74" s="20" t="n">
        <v>0</v>
      </c>
      <c r="O74" s="18" t="n">
        <v>0</v>
      </c>
      <c r="P74" s="20" t="n">
        <v>0</v>
      </c>
      <c r="Q74" s="18" t="n">
        <v>8.71837704</v>
      </c>
      <c r="R74" s="20" t="n">
        <v>1.30254816</v>
      </c>
    </row>
    <row r="75" spans="1:18">
      <c r="A75" s="15" t="s">
        <v>635</v>
      </c>
      <c r="B75" s="17" t="n">
        <v>4652</v>
      </c>
      <c r="C75" s="18">
        <f>(4166.0/B75*100)</f>
        <v/>
      </c>
      <c r="D75" s="19" t="n">
        <v>486</v>
      </c>
      <c r="E75" s="18" t="n">
        <v>82.50698964999999</v>
      </c>
      <c r="F75" s="20" t="n">
        <v>2.36243292</v>
      </c>
      <c r="G75" s="18" t="n">
        <v>15.25671277</v>
      </c>
      <c r="H75" s="20" t="n">
        <v>2.29355454</v>
      </c>
      <c r="I75" s="18" t="n">
        <v>0</v>
      </c>
      <c r="J75" s="20" t="n">
        <v>0</v>
      </c>
      <c r="K75" s="18" t="n">
        <v>0</v>
      </c>
      <c r="L75" s="20" t="n">
        <v>0</v>
      </c>
      <c r="M75" s="18" t="n">
        <v>0.01018592</v>
      </c>
      <c r="N75" s="20" t="n">
        <v>0.01059095</v>
      </c>
      <c r="O75" s="18" t="n">
        <v>0</v>
      </c>
      <c r="P75" s="20" t="n">
        <v>0</v>
      </c>
      <c r="Q75" s="18" t="n">
        <v>2.22611166</v>
      </c>
      <c r="R75" s="20" t="n">
        <v>0.61085915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(2674.0/B77*100)</f>
        <v/>
      </c>
      <c r="D77" s="19" t="n">
        <v>295</v>
      </c>
      <c r="E77" s="18" t="n">
        <v>70.58422006000001</v>
      </c>
      <c r="F77" s="20" t="n">
        <v>2.68962221</v>
      </c>
      <c r="G77" s="18" t="n">
        <v>3.5221108</v>
      </c>
      <c r="H77" s="20" t="n">
        <v>1.27881785</v>
      </c>
      <c r="I77" s="18" t="n">
        <v>0</v>
      </c>
      <c r="J77" s="20" t="n">
        <v>0</v>
      </c>
      <c r="K77" s="18" t="n">
        <v>1.72399736</v>
      </c>
      <c r="L77" s="20" t="n">
        <v>0.73726879</v>
      </c>
      <c r="M77" s="18" t="n">
        <v>1.03151536</v>
      </c>
      <c r="N77" s="20" t="n">
        <v>0.77167633</v>
      </c>
      <c r="O77" s="18" t="n">
        <v>0</v>
      </c>
      <c r="P77" s="20" t="n">
        <v>0</v>
      </c>
      <c r="Q77" s="18" t="n">
        <v>23.13815642</v>
      </c>
      <c r="R77" s="20" t="n">
        <v>2.46214336</v>
      </c>
    </row>
    <row r="78" spans="1:18">
      <c r="A78" s="15" t="s">
        <v>638</v>
      </c>
      <c r="B78" s="17" t="n">
        <v>7115</v>
      </c>
      <c r="C78" s="18">
        <f>(6297.0/B78*100)</f>
        <v/>
      </c>
      <c r="D78" s="19" t="n">
        <v>818</v>
      </c>
      <c r="E78" s="18" t="n">
        <v>76.71298001</v>
      </c>
      <c r="F78" s="20" t="n">
        <v>1.74056767</v>
      </c>
      <c r="G78" s="18" t="n">
        <v>17.38809696</v>
      </c>
      <c r="H78" s="20" t="n">
        <v>1.69208801</v>
      </c>
      <c r="I78" s="18" t="n">
        <v>0</v>
      </c>
      <c r="J78" s="20" t="n">
        <v>0</v>
      </c>
      <c r="K78" s="18" t="n">
        <v>0.81041031</v>
      </c>
      <c r="L78" s="20" t="n">
        <v>0.35294428</v>
      </c>
      <c r="M78" s="18" t="n">
        <v>0.14452633</v>
      </c>
      <c r="N78" s="20" t="n">
        <v>0.11560803</v>
      </c>
      <c r="O78" s="18" t="n">
        <v>0</v>
      </c>
      <c r="P78" s="20" t="n">
        <v>0</v>
      </c>
      <c r="Q78" s="18" t="n">
        <v>4.9439864</v>
      </c>
      <c r="R78" s="20" t="n">
        <v>0.91473542</v>
      </c>
    </row>
    <row r="79" spans="1:18">
      <c r="A79" s="15" t="s">
        <v>639</v>
      </c>
      <c r="B79" s="17" t="n">
        <v>3154</v>
      </c>
      <c r="C79" s="18">
        <f>(2808.0/B79*100)</f>
        <v/>
      </c>
      <c r="D79" s="19" t="n">
        <v>346</v>
      </c>
      <c r="E79" s="18" t="n">
        <v>64.95893856000001</v>
      </c>
      <c r="F79" s="20" t="n">
        <v>2.44710337</v>
      </c>
      <c r="G79" s="18" t="n">
        <v>15.16515718</v>
      </c>
      <c r="H79" s="20" t="n">
        <v>2.02049044</v>
      </c>
      <c r="I79" s="18" t="n">
        <v>0</v>
      </c>
      <c r="J79" s="20" t="n">
        <v>0</v>
      </c>
      <c r="K79" s="18" t="n">
        <v>0</v>
      </c>
      <c r="L79" s="20" t="n">
        <v>0</v>
      </c>
      <c r="M79" s="18" t="n">
        <v>0</v>
      </c>
      <c r="N79" s="20" t="n">
        <v>0</v>
      </c>
      <c r="O79" s="18" t="n">
        <v>0</v>
      </c>
      <c r="P79" s="20" t="n">
        <v>0</v>
      </c>
      <c r="Q79" s="18" t="n">
        <v>19.87590426</v>
      </c>
      <c r="R79" s="20" t="n">
        <v>2.10723127</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(14260.0/B82*100)</f>
        <v/>
      </c>
      <c r="D82" s="19" t="n">
        <v>1701</v>
      </c>
      <c r="E82" s="18" t="n">
        <v>57.57214596</v>
      </c>
      <c r="F82" s="20" t="n">
        <v>1.96236653</v>
      </c>
      <c r="G82" s="18" t="n">
        <v>35.01093528</v>
      </c>
      <c r="H82" s="20" t="n">
        <v>1.83299148</v>
      </c>
      <c r="I82" s="18" t="n">
        <v>0</v>
      </c>
      <c r="J82" s="20" t="n">
        <v>0</v>
      </c>
      <c r="K82" s="18" t="n">
        <v>0</v>
      </c>
      <c r="L82" s="20" t="n">
        <v>0</v>
      </c>
      <c r="M82" s="18" t="n">
        <v>0</v>
      </c>
      <c r="N82" s="20" t="n">
        <v>0</v>
      </c>
      <c r="O82" s="18" t="n">
        <v>0</v>
      </c>
      <c r="P82" s="20" t="n">
        <v>0</v>
      </c>
      <c r="Q82" s="18" t="n">
        <v>7.41691876</v>
      </c>
      <c r="R82" s="20" t="n">
        <v>0.91026171</v>
      </c>
    </row>
    <row r="83" spans="1:18">
      <c r="A83" s="15" t="s">
        <v>643</v>
      </c>
      <c r="B83" s="17" t="n">
        <v>808</v>
      </c>
      <c r="C83" s="18">
        <f>(721.0/B83*100)</f>
        <v/>
      </c>
      <c r="D83" s="19" t="n">
        <v>87</v>
      </c>
      <c r="E83" s="18" t="n">
        <v>62.1793153</v>
      </c>
      <c r="F83" s="20" t="n">
        <v>5.10044512</v>
      </c>
      <c r="G83" s="18" t="n">
        <v>34.17382186</v>
      </c>
      <c r="H83" s="20" t="n">
        <v>3.84890024</v>
      </c>
      <c r="I83" s="18" t="n">
        <v>0</v>
      </c>
      <c r="J83" s="20" t="n">
        <v>0</v>
      </c>
      <c r="K83" s="18" t="n">
        <v>0</v>
      </c>
      <c r="L83" s="20" t="n">
        <v>0</v>
      </c>
      <c r="M83" s="18" t="n">
        <v>0</v>
      </c>
      <c r="N83" s="20" t="n">
        <v>0</v>
      </c>
      <c r="O83" s="18" t="n">
        <v>0</v>
      </c>
      <c r="P83" s="20" t="n">
        <v>0</v>
      </c>
      <c r="Q83" s="18" t="n">
        <v>3.64686283</v>
      </c>
      <c r="R83" s="20" t="n">
        <v>2.74753864</v>
      </c>
    </row>
    <row r="84" spans="1:18">
      <c r="A84" s="23" t="s">
        <v>644</v>
      </c>
      <c r="B84" s="24" t="n">
        <v>938</v>
      </c>
      <c r="C84" s="25">
        <f>(841.0/B84*100)</f>
        <v/>
      </c>
      <c r="D84" s="19" t="n">
        <v>97</v>
      </c>
      <c r="E84" s="18" t="n">
        <v>77.85924636999999</v>
      </c>
      <c r="F84" s="20" t="n">
        <v>4.09527006</v>
      </c>
      <c r="G84" s="18" t="n">
        <v>21.09194365</v>
      </c>
      <c r="H84" s="20" t="n">
        <v>3.79427953</v>
      </c>
      <c r="I84" s="18" t="n">
        <v>0</v>
      </c>
      <c r="J84" s="20" t="n">
        <v>0</v>
      </c>
      <c r="K84" s="18" t="n">
        <v>0</v>
      </c>
      <c r="L84" s="20" t="n">
        <v>0</v>
      </c>
      <c r="M84" s="18" t="n">
        <v>0</v>
      </c>
      <c r="N84" s="20" t="n">
        <v>0</v>
      </c>
      <c r="O84" s="18" t="n">
        <v>0</v>
      </c>
      <c r="P84" s="20" t="n">
        <v>0</v>
      </c>
      <c r="Q84" s="18" t="n">
        <v>1.04880998</v>
      </c>
      <c r="R84" s="20" t="n">
        <v>1.09596056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(6342.0/B7*100)</f>
        <v/>
      </c>
      <c r="D7" s="19" t="n">
        <v>821</v>
      </c>
      <c r="E7" s="18" t="n">
        <v>38.24186629</v>
      </c>
      <c r="F7" s="20" t="n">
        <v>1.98460265</v>
      </c>
      <c r="G7" s="18" t="n">
        <v>61.63482239</v>
      </c>
      <c r="H7" s="20" t="n">
        <v>1.97834062</v>
      </c>
      <c r="I7" s="18" t="n">
        <v>0</v>
      </c>
      <c r="J7" s="20" t="n">
        <v>0</v>
      </c>
      <c r="K7" s="18" t="n">
        <v>0.11373897</v>
      </c>
      <c r="L7" s="20" t="n">
        <v>0.08006173</v>
      </c>
      <c r="M7" s="18" t="n">
        <v>0</v>
      </c>
      <c r="N7" s="20" t="n">
        <v>0</v>
      </c>
      <c r="O7" s="18" t="n">
        <v>0</v>
      </c>
      <c r="P7" s="20" t="n">
        <v>0</v>
      </c>
      <c r="Q7" s="18" t="n">
        <v>0.00957235</v>
      </c>
      <c r="R7" s="20" t="n">
        <v>0.009616400000000001</v>
      </c>
    </row>
    <row r="8" spans="1:18">
      <c r="A8" s="15" t="s">
        <v>566</v>
      </c>
      <c r="B8" s="17" t="n">
        <v>3443</v>
      </c>
      <c r="C8" s="18">
        <f>(3060.0/B8*100)</f>
        <v/>
      </c>
      <c r="D8" s="19" t="n">
        <v>383</v>
      </c>
      <c r="E8" s="18" t="n">
        <v>43.83631283</v>
      </c>
      <c r="F8" s="20" t="n">
        <v>2.80893034</v>
      </c>
      <c r="G8" s="18" t="n">
        <v>55.72906732</v>
      </c>
      <c r="H8" s="20" t="n">
        <v>2.81875603</v>
      </c>
      <c r="I8" s="18" t="n">
        <v>0</v>
      </c>
      <c r="J8" s="20" t="n">
        <v>0</v>
      </c>
      <c r="K8" s="18" t="n">
        <v>0</v>
      </c>
      <c r="L8" s="20" t="n">
        <v>0</v>
      </c>
      <c r="M8" s="18" t="n">
        <v>0</v>
      </c>
      <c r="N8" s="20" t="n">
        <v>0</v>
      </c>
      <c r="O8" s="18" t="n">
        <v>0</v>
      </c>
      <c r="P8" s="20" t="n">
        <v>0</v>
      </c>
      <c r="Q8" s="18" t="n">
        <v>0.43461985</v>
      </c>
      <c r="R8" s="20" t="n">
        <v>0.6121976</v>
      </c>
    </row>
    <row r="9" spans="1:18">
      <c r="A9" s="15" t="s">
        <v>567</v>
      </c>
      <c r="B9" s="17" t="n">
        <v>4752</v>
      </c>
      <c r="C9" s="18">
        <f>(4250.0/B9*100)</f>
        <v/>
      </c>
      <c r="D9" s="19" t="n">
        <v>502</v>
      </c>
      <c r="E9" s="18" t="n">
        <v>50.99703337</v>
      </c>
      <c r="F9" s="20" t="n">
        <v>2.55785473</v>
      </c>
      <c r="G9" s="18" t="n">
        <v>48.34281153</v>
      </c>
      <c r="H9" s="20" t="n">
        <v>2.60443489</v>
      </c>
      <c r="I9" s="18" t="n">
        <v>0</v>
      </c>
      <c r="J9" s="20" t="n">
        <v>0</v>
      </c>
      <c r="K9" s="18" t="n">
        <v>0</v>
      </c>
      <c r="L9" s="20" t="n">
        <v>0</v>
      </c>
      <c r="M9" s="18" t="n">
        <v>0</v>
      </c>
      <c r="N9" s="20" t="n">
        <v>0</v>
      </c>
      <c r="O9" s="18" t="n">
        <v>0</v>
      </c>
      <c r="P9" s="20" t="n">
        <v>0</v>
      </c>
      <c r="Q9" s="18" t="n">
        <v>0.6601551</v>
      </c>
      <c r="R9" s="20" t="n">
        <v>0.38794581</v>
      </c>
    </row>
    <row r="10" spans="1:18">
      <c r="A10" s="15" t="s">
        <v>568</v>
      </c>
      <c r="B10" s="17" t="n">
        <v>10022</v>
      </c>
      <c r="C10" s="18">
        <f>(8919.0/B10*100)</f>
        <v/>
      </c>
      <c r="D10" s="19" t="n">
        <v>1103</v>
      </c>
      <c r="E10" s="18" t="n">
        <v>40.64306873</v>
      </c>
      <c r="F10" s="20" t="n">
        <v>2.45720347</v>
      </c>
      <c r="G10" s="18" t="n">
        <v>58.76622266</v>
      </c>
      <c r="H10" s="20" t="n">
        <v>2.49084437</v>
      </c>
      <c r="I10" s="18" t="n">
        <v>0</v>
      </c>
      <c r="J10" s="20" t="n">
        <v>0</v>
      </c>
      <c r="K10" s="18" t="n">
        <v>0.26764722</v>
      </c>
      <c r="L10" s="20" t="n">
        <v>0.23380417</v>
      </c>
      <c r="M10" s="18" t="n">
        <v>0</v>
      </c>
      <c r="N10" s="20" t="n">
        <v>0</v>
      </c>
      <c r="O10" s="18" t="n">
        <v>0</v>
      </c>
      <c r="P10" s="20" t="n">
        <v>0</v>
      </c>
      <c r="Q10" s="18" t="n">
        <v>0.32306138</v>
      </c>
      <c r="R10" s="20" t="n">
        <v>0.21826765</v>
      </c>
    </row>
    <row r="11" spans="1:18">
      <c r="A11" s="15" t="s">
        <v>569</v>
      </c>
      <c r="B11" s="17" t="n">
        <v>3500</v>
      </c>
      <c r="C11" s="18">
        <f>(3133.0/B11*100)</f>
        <v/>
      </c>
      <c r="D11" s="19" t="n">
        <v>367</v>
      </c>
      <c r="E11" s="18" t="n">
        <v>58.30284581</v>
      </c>
      <c r="F11" s="20" t="n">
        <v>3.06048295</v>
      </c>
      <c r="G11" s="18" t="n">
        <v>41.42916413</v>
      </c>
      <c r="H11" s="20" t="n">
        <v>3.09163496</v>
      </c>
      <c r="I11" s="18" t="n">
        <v>0</v>
      </c>
      <c r="J11" s="20" t="n">
        <v>0</v>
      </c>
      <c r="K11" s="18" t="n">
        <v>0</v>
      </c>
      <c r="L11" s="20" t="n">
        <v>0</v>
      </c>
      <c r="M11" s="18" t="n">
        <v>0</v>
      </c>
      <c r="N11" s="20" t="n">
        <v>0</v>
      </c>
      <c r="O11" s="18" t="n">
        <v>0</v>
      </c>
      <c r="P11" s="20" t="n">
        <v>0</v>
      </c>
      <c r="Q11" s="18" t="n">
        <v>0.26799005</v>
      </c>
      <c r="R11" s="20" t="n">
        <v>0.26617758</v>
      </c>
    </row>
    <row r="12" spans="1:18">
      <c r="A12" s="15" t="s">
        <v>570</v>
      </c>
      <c r="B12" s="17" t="n">
        <v>3422</v>
      </c>
      <c r="C12" s="18">
        <f>(3064.0/B12*100)</f>
        <v/>
      </c>
      <c r="D12" s="19" t="n">
        <v>358</v>
      </c>
      <c r="E12" s="18" t="n">
        <v>41.69672891</v>
      </c>
      <c r="F12" s="20" t="n">
        <v>2.93309961</v>
      </c>
      <c r="G12" s="18" t="n">
        <v>58.14215396</v>
      </c>
      <c r="H12" s="20" t="n">
        <v>2.92331832</v>
      </c>
      <c r="I12" s="18" t="n">
        <v>0</v>
      </c>
      <c r="J12" s="20" t="n">
        <v>0</v>
      </c>
      <c r="K12" s="18" t="n">
        <v>0.16111713</v>
      </c>
      <c r="L12" s="20" t="n">
        <v>0.15658868</v>
      </c>
      <c r="M12" s="18" t="n">
        <v>0</v>
      </c>
      <c r="N12" s="20" t="n">
        <v>0</v>
      </c>
      <c r="O12" s="18" t="n">
        <v>0</v>
      </c>
      <c r="P12" s="20" t="n">
        <v>0</v>
      </c>
      <c r="Q12" s="18" t="n">
        <v>0</v>
      </c>
      <c r="R12" s="20" t="n">
        <v>0</v>
      </c>
    </row>
    <row r="13" spans="1:18">
      <c r="A13" s="15" t="s">
        <v>571</v>
      </c>
      <c r="B13" s="17" t="n">
        <v>3602</v>
      </c>
      <c r="C13" s="18">
        <f>(3194.0/B13*100)</f>
        <v/>
      </c>
      <c r="D13" s="19" t="n">
        <v>408</v>
      </c>
      <c r="E13" s="18" t="n">
        <v>38.65766744</v>
      </c>
      <c r="F13" s="20" t="n">
        <v>2.52767297</v>
      </c>
      <c r="G13" s="18" t="n">
        <v>59.471689</v>
      </c>
      <c r="H13" s="20" t="n">
        <v>2.57052239</v>
      </c>
      <c r="I13" s="18" t="n">
        <v>0</v>
      </c>
      <c r="J13" s="20" t="n">
        <v>0</v>
      </c>
      <c r="K13" s="18" t="n">
        <v>0.51976332</v>
      </c>
      <c r="L13" s="20" t="n">
        <v>0.4462044</v>
      </c>
      <c r="M13" s="18" t="n">
        <v>0</v>
      </c>
      <c r="N13" s="20" t="n">
        <v>0</v>
      </c>
      <c r="O13" s="18" t="n">
        <v>0</v>
      </c>
      <c r="P13" s="20" t="n">
        <v>0</v>
      </c>
      <c r="Q13" s="18" t="n">
        <v>1.35088024</v>
      </c>
      <c r="R13" s="20" t="n">
        <v>0.72781923</v>
      </c>
    </row>
    <row r="14" spans="1:18">
      <c r="A14" s="15" t="s">
        <v>572</v>
      </c>
      <c r="B14" s="17" t="n">
        <v>2788</v>
      </c>
      <c r="C14" s="18">
        <f>(2496.0/B14*100)</f>
        <v/>
      </c>
      <c r="D14" s="19" t="n">
        <v>292</v>
      </c>
      <c r="E14" s="18" t="n">
        <v>36.78698026</v>
      </c>
      <c r="F14" s="20" t="n">
        <v>2.91496451</v>
      </c>
      <c r="G14" s="18" t="n">
        <v>63.21301974</v>
      </c>
      <c r="H14" s="20" t="n">
        <v>2.91496451</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(2525.0/B15*100)</f>
        <v/>
      </c>
      <c r="D15" s="19" t="n">
        <v>338</v>
      </c>
      <c r="E15" s="18" t="n">
        <v>29.85662612</v>
      </c>
      <c r="F15" s="20" t="n">
        <v>2.3854384</v>
      </c>
      <c r="G15" s="18" t="n">
        <v>70.14337388</v>
      </c>
      <c r="H15" s="20" t="n">
        <v>2.3854384</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(2767.0/B16*100)</f>
        <v/>
      </c>
      <c r="D16" s="19" t="n">
        <v>344</v>
      </c>
      <c r="E16" s="18" t="n">
        <v>50.55940793</v>
      </c>
      <c r="F16" s="20" t="n">
        <v>2.76422191</v>
      </c>
      <c r="G16" s="18" t="n">
        <v>48.58381905</v>
      </c>
      <c r="H16" s="20" t="n">
        <v>2.82536413</v>
      </c>
      <c r="I16" s="18" t="n">
        <v>0</v>
      </c>
      <c r="J16" s="20" t="n">
        <v>0</v>
      </c>
      <c r="K16" s="18" t="n">
        <v>0</v>
      </c>
      <c r="L16" s="20" t="n">
        <v>0</v>
      </c>
      <c r="M16" s="18" t="n">
        <v>0</v>
      </c>
      <c r="N16" s="20" t="n">
        <v>0</v>
      </c>
      <c r="O16" s="18" t="n">
        <v>0</v>
      </c>
      <c r="P16" s="20" t="n">
        <v>0</v>
      </c>
      <c r="Q16" s="18" t="n">
        <v>0.8567730099999999</v>
      </c>
      <c r="R16" s="20" t="n">
        <v>0.5072461700000001</v>
      </c>
    </row>
    <row r="17" spans="1:18">
      <c r="A17" s="15" t="s">
        <v>575</v>
      </c>
      <c r="B17" s="17" t="n">
        <v>3197</v>
      </c>
      <c r="C17" s="18">
        <f>(2836.0/B17*100)</f>
        <v/>
      </c>
      <c r="D17" s="19" t="n">
        <v>361</v>
      </c>
      <c r="E17" s="18" t="n">
        <v>44.32796058</v>
      </c>
      <c r="F17" s="20" t="n">
        <v>2.97245378</v>
      </c>
      <c r="G17" s="18" t="n">
        <v>55.02663503</v>
      </c>
      <c r="H17" s="20" t="n">
        <v>2.80841654</v>
      </c>
      <c r="I17" s="18" t="n">
        <v>0</v>
      </c>
      <c r="J17" s="20" t="n">
        <v>0</v>
      </c>
      <c r="K17" s="18" t="n">
        <v>0</v>
      </c>
      <c r="L17" s="20" t="n">
        <v>0</v>
      </c>
      <c r="M17" s="18" t="n">
        <v>0</v>
      </c>
      <c r="N17" s="20" t="n">
        <v>0</v>
      </c>
      <c r="O17" s="18" t="n">
        <v>0</v>
      </c>
      <c r="P17" s="20" t="n">
        <v>0</v>
      </c>
      <c r="Q17" s="18" t="n">
        <v>0.64540439</v>
      </c>
      <c r="R17" s="20" t="n">
        <v>0.5200373700000001</v>
      </c>
    </row>
    <row r="18" spans="1:18">
      <c r="A18" s="15" t="s">
        <v>576</v>
      </c>
      <c r="B18" s="17" t="n">
        <v>2706</v>
      </c>
      <c r="C18" s="18">
        <f>(2410.0/B18*100)</f>
        <v/>
      </c>
      <c r="D18" s="19" t="n">
        <v>296</v>
      </c>
      <c r="E18" s="18" t="n">
        <v>64.59240998999999</v>
      </c>
      <c r="F18" s="20" t="n">
        <v>3.01506563</v>
      </c>
      <c r="G18" s="18" t="n">
        <v>35.07826309</v>
      </c>
      <c r="H18" s="20" t="n">
        <v>2.97269596</v>
      </c>
      <c r="I18" s="18" t="n">
        <v>0</v>
      </c>
      <c r="J18" s="20" t="n">
        <v>0</v>
      </c>
      <c r="K18" s="18" t="n">
        <v>0</v>
      </c>
      <c r="L18" s="20" t="n">
        <v>0</v>
      </c>
      <c r="M18" s="18" t="n">
        <v>0</v>
      </c>
      <c r="N18" s="20" t="n">
        <v>0</v>
      </c>
      <c r="O18" s="18" t="n">
        <v>0</v>
      </c>
      <c r="P18" s="20" t="n">
        <v>0</v>
      </c>
      <c r="Q18" s="18" t="n">
        <v>0.32932692</v>
      </c>
      <c r="R18" s="20" t="n">
        <v>0.32590996</v>
      </c>
    </row>
    <row r="19" spans="1:18">
      <c r="A19" s="15" t="s">
        <v>577</v>
      </c>
      <c r="B19" s="17" t="n">
        <v>2850</v>
      </c>
      <c r="C19" s="18">
        <f>(2542.0/B19*100)</f>
        <v/>
      </c>
      <c r="D19" s="19" t="n">
        <v>308</v>
      </c>
      <c r="E19" s="18" t="n">
        <v>59.03876484</v>
      </c>
      <c r="F19" s="20" t="n">
        <v>3.10573729</v>
      </c>
      <c r="G19" s="18" t="n">
        <v>40.96123516</v>
      </c>
      <c r="H19" s="20" t="n">
        <v>3.10573729</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(1548.0/B20*100)</f>
        <v/>
      </c>
      <c r="D20" s="19" t="n">
        <v>193</v>
      </c>
      <c r="E20" s="18" t="n">
        <v>49.76851952</v>
      </c>
      <c r="F20" s="20" t="n">
        <v>3.3252122</v>
      </c>
      <c r="G20" s="18" t="n">
        <v>47.27429113</v>
      </c>
      <c r="H20" s="20" t="n">
        <v>3.31522307</v>
      </c>
      <c r="I20" s="18" t="n">
        <v>0</v>
      </c>
      <c r="J20" s="20" t="n">
        <v>0</v>
      </c>
      <c r="K20" s="18" t="n">
        <v>0.95664545</v>
      </c>
      <c r="L20" s="20" t="n">
        <v>0.66691882</v>
      </c>
      <c r="M20" s="18" t="n">
        <v>0</v>
      </c>
      <c r="N20" s="20" t="n">
        <v>0</v>
      </c>
      <c r="O20" s="18" t="n">
        <v>0</v>
      </c>
      <c r="P20" s="20" t="n">
        <v>0</v>
      </c>
      <c r="Q20" s="18" t="n">
        <v>2.0005439</v>
      </c>
      <c r="R20" s="20" t="n">
        <v>1.0172672</v>
      </c>
    </row>
    <row r="21" spans="1:18">
      <c r="A21" s="15" t="s">
        <v>579</v>
      </c>
      <c r="B21" s="17" t="n">
        <v>2833</v>
      </c>
      <c r="C21" s="18">
        <f>(2500.0/B21*100)</f>
        <v/>
      </c>
      <c r="D21" s="19" t="n">
        <v>333</v>
      </c>
      <c r="E21" s="18" t="n">
        <v>40.10912757</v>
      </c>
      <c r="F21" s="20" t="n">
        <v>2.97812848</v>
      </c>
      <c r="G21" s="18" t="n">
        <v>59.44201814</v>
      </c>
      <c r="H21" s="20" t="n">
        <v>2.96557793</v>
      </c>
      <c r="I21" s="18" t="n">
        <v>0</v>
      </c>
      <c r="J21" s="20" t="n">
        <v>0</v>
      </c>
      <c r="K21" s="18" t="n">
        <v>0</v>
      </c>
      <c r="L21" s="20" t="n">
        <v>0</v>
      </c>
      <c r="M21" s="18" t="n">
        <v>0</v>
      </c>
      <c r="N21" s="20" t="n">
        <v>0</v>
      </c>
      <c r="O21" s="18" t="n">
        <v>0</v>
      </c>
      <c r="P21" s="20" t="n">
        <v>0</v>
      </c>
      <c r="Q21" s="18" t="n">
        <v>0.44885429</v>
      </c>
      <c r="R21" s="20" t="n">
        <v>0.42739987</v>
      </c>
    </row>
    <row r="22" spans="1:18">
      <c r="A22" s="15" t="s">
        <v>580</v>
      </c>
      <c r="B22" s="17" t="n">
        <v>3667</v>
      </c>
      <c r="C22" s="18">
        <f>(3279.0/B22*100)</f>
        <v/>
      </c>
      <c r="D22" s="19" t="n">
        <v>388</v>
      </c>
      <c r="E22" s="18" t="n">
        <v>44.52099452</v>
      </c>
      <c r="F22" s="20" t="n">
        <v>3.0894875</v>
      </c>
      <c r="G22" s="18" t="n">
        <v>52.60221149</v>
      </c>
      <c r="H22" s="20" t="n">
        <v>3.09263521</v>
      </c>
      <c r="I22" s="18" t="n">
        <v>0</v>
      </c>
      <c r="J22" s="20" t="n">
        <v>0</v>
      </c>
      <c r="K22" s="18" t="n">
        <v>1.25658198</v>
      </c>
      <c r="L22" s="20" t="n">
        <v>0.53129848</v>
      </c>
      <c r="M22" s="18" t="n">
        <v>0</v>
      </c>
      <c r="N22" s="20" t="n">
        <v>0</v>
      </c>
      <c r="O22" s="18" t="n">
        <v>0</v>
      </c>
      <c r="P22" s="20" t="n">
        <v>0</v>
      </c>
      <c r="Q22" s="18" t="n">
        <v>1.62021201</v>
      </c>
      <c r="R22" s="20" t="n">
        <v>0.73771163</v>
      </c>
    </row>
    <row r="23" spans="1:18">
      <c r="A23" s="15" t="s">
        <v>581</v>
      </c>
      <c r="B23" s="17" t="n">
        <v>5792</v>
      </c>
      <c r="C23" s="18">
        <f>(5155.0/B23*100)</f>
        <v/>
      </c>
      <c r="D23" s="19" t="n">
        <v>637</v>
      </c>
      <c r="E23" s="18" t="n">
        <v>54.58377764</v>
      </c>
      <c r="F23" s="20" t="n">
        <v>2.79855753</v>
      </c>
      <c r="G23" s="18" t="n">
        <v>45.41193193</v>
      </c>
      <c r="H23" s="20" t="n">
        <v>2.79825787</v>
      </c>
      <c r="I23" s="18" t="n">
        <v>0</v>
      </c>
      <c r="J23" s="20" t="n">
        <v>0</v>
      </c>
      <c r="K23" s="18" t="n">
        <v>0</v>
      </c>
      <c r="L23" s="20" t="n">
        <v>0</v>
      </c>
      <c r="M23" s="18" t="n">
        <v>0</v>
      </c>
      <c r="N23" s="20" t="n">
        <v>0</v>
      </c>
      <c r="O23" s="18" t="n">
        <v>0</v>
      </c>
      <c r="P23" s="20" t="n">
        <v>0</v>
      </c>
      <c r="Q23" s="18" t="n">
        <v>0.00429043</v>
      </c>
      <c r="R23" s="20" t="n">
        <v>0.0042971</v>
      </c>
    </row>
    <row r="24" spans="1:18">
      <c r="A24" s="15" t="s">
        <v>582</v>
      </c>
      <c r="B24" s="17" t="n">
        <v>3309</v>
      </c>
      <c r="C24" s="18">
        <f>(2941.0/B24*100)</f>
        <v/>
      </c>
      <c r="D24" s="19" t="n">
        <v>368</v>
      </c>
      <c r="E24" s="18" t="n">
        <v>63.71182998</v>
      </c>
      <c r="F24" s="20" t="n">
        <v>2.6331865</v>
      </c>
      <c r="G24" s="18" t="n">
        <v>35.4922022</v>
      </c>
      <c r="H24" s="20" t="n">
        <v>2.65363561</v>
      </c>
      <c r="I24" s="18" t="n">
        <v>0</v>
      </c>
      <c r="J24" s="20" t="n">
        <v>0</v>
      </c>
      <c r="K24" s="18" t="n">
        <v>0</v>
      </c>
      <c r="L24" s="20" t="n">
        <v>0</v>
      </c>
      <c r="M24" s="18" t="n">
        <v>0</v>
      </c>
      <c r="N24" s="20" t="n">
        <v>0</v>
      </c>
      <c r="O24" s="18" t="n">
        <v>0</v>
      </c>
      <c r="P24" s="20" t="n">
        <v>0</v>
      </c>
      <c r="Q24" s="18" t="n">
        <v>0.79596783</v>
      </c>
      <c r="R24" s="20" t="n">
        <v>0.4317914</v>
      </c>
    </row>
    <row r="25" spans="1:18">
      <c r="A25" s="15" t="s">
        <v>583</v>
      </c>
      <c r="B25" s="17" t="n">
        <v>2669</v>
      </c>
      <c r="C25" s="18">
        <f>(2358.0/B25*100)</f>
        <v/>
      </c>
      <c r="D25" s="19" t="n">
        <v>311</v>
      </c>
      <c r="E25" s="18" t="n">
        <v>62.8149819</v>
      </c>
      <c r="F25" s="20" t="n">
        <v>2.83692872</v>
      </c>
      <c r="G25" s="18" t="n">
        <v>36.53633313</v>
      </c>
      <c r="H25" s="20" t="n">
        <v>2.87142738</v>
      </c>
      <c r="I25" s="18" t="n">
        <v>0</v>
      </c>
      <c r="J25" s="20" t="n">
        <v>0</v>
      </c>
      <c r="K25" s="18" t="n">
        <v>0.31682012</v>
      </c>
      <c r="L25" s="20" t="n">
        <v>0.31801206</v>
      </c>
      <c r="M25" s="18" t="n">
        <v>0</v>
      </c>
      <c r="N25" s="20" t="n">
        <v>0</v>
      </c>
      <c r="O25" s="18" t="n">
        <v>0</v>
      </c>
      <c r="P25" s="20" t="n">
        <v>0</v>
      </c>
      <c r="Q25" s="18" t="n">
        <v>0.33186485</v>
      </c>
      <c r="R25" s="20" t="n">
        <v>0.32950879</v>
      </c>
    </row>
    <row r="26" spans="1:18">
      <c r="A26" s="15" t="s">
        <v>584</v>
      </c>
      <c r="B26" s="17" t="n">
        <v>2419</v>
      </c>
      <c r="C26" s="18">
        <f>(2145.0/B26*100)</f>
        <v/>
      </c>
      <c r="D26" s="19" t="n">
        <v>274</v>
      </c>
      <c r="E26" s="18" t="n">
        <v>44.5954545</v>
      </c>
      <c r="F26" s="20" t="n">
        <v>3.13349813</v>
      </c>
      <c r="G26" s="18" t="n">
        <v>55.4045455</v>
      </c>
      <c r="H26" s="20" t="n">
        <v>3.13349813</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(2386.0/B27*100)</f>
        <v/>
      </c>
      <c r="D27" s="19" t="n">
        <v>297</v>
      </c>
      <c r="E27" s="18" t="n">
        <v>52.15586127</v>
      </c>
      <c r="F27" s="20" t="n">
        <v>3.1539943</v>
      </c>
      <c r="G27" s="18" t="n">
        <v>46.80246963</v>
      </c>
      <c r="H27" s="20" t="n">
        <v>3.20056161</v>
      </c>
      <c r="I27" s="18" t="n">
        <v>0</v>
      </c>
      <c r="J27" s="20" t="n">
        <v>0</v>
      </c>
      <c r="K27" s="18" t="n">
        <v>0</v>
      </c>
      <c r="L27" s="20" t="n">
        <v>0</v>
      </c>
      <c r="M27" s="18" t="n">
        <v>0</v>
      </c>
      <c r="N27" s="20" t="n">
        <v>0</v>
      </c>
      <c r="O27" s="18" t="n">
        <v>0</v>
      </c>
      <c r="P27" s="20" t="n">
        <v>0</v>
      </c>
      <c r="Q27" s="18" t="n">
        <v>1.0416691</v>
      </c>
      <c r="R27" s="20" t="n">
        <v>0.5942072900000001</v>
      </c>
    </row>
    <row r="28" spans="1:18">
      <c r="A28" s="15" t="s">
        <v>586</v>
      </c>
      <c r="B28" s="17" t="n">
        <v>3803</v>
      </c>
      <c r="C28" s="18">
        <f>(3381.0/B28*100)</f>
        <v/>
      </c>
      <c r="D28" s="19" t="n">
        <v>422</v>
      </c>
      <c r="E28" s="18" t="n">
        <v>80.65058188</v>
      </c>
      <c r="F28" s="20" t="n">
        <v>1.88545924</v>
      </c>
      <c r="G28" s="18" t="n">
        <v>17.19699603</v>
      </c>
      <c r="H28" s="20" t="n">
        <v>1.72909523</v>
      </c>
      <c r="I28" s="18" t="n">
        <v>0</v>
      </c>
      <c r="J28" s="20" t="n">
        <v>0</v>
      </c>
      <c r="K28" s="18" t="n">
        <v>0.41867817</v>
      </c>
      <c r="L28" s="20" t="n">
        <v>0.41582428</v>
      </c>
      <c r="M28" s="18" t="n">
        <v>0</v>
      </c>
      <c r="N28" s="20" t="n">
        <v>0</v>
      </c>
      <c r="O28" s="18" t="n">
        <v>0</v>
      </c>
      <c r="P28" s="20" t="n">
        <v>0</v>
      </c>
      <c r="Q28" s="18" t="n">
        <v>1.73374393</v>
      </c>
      <c r="R28" s="20" t="n">
        <v>0.75883799</v>
      </c>
    </row>
    <row r="29" spans="1:18">
      <c r="A29" s="15" t="s">
        <v>587</v>
      </c>
      <c r="B29" s="17" t="n">
        <v>2700</v>
      </c>
      <c r="C29" s="18">
        <f>(2400.0/B29*100)</f>
        <v/>
      </c>
      <c r="D29" s="19" t="n">
        <v>300</v>
      </c>
      <c r="E29" s="18" t="n">
        <v>51.99231657</v>
      </c>
      <c r="F29" s="20" t="n">
        <v>2.69362437</v>
      </c>
      <c r="G29" s="18" t="n">
        <v>48.00768343</v>
      </c>
      <c r="H29" s="20" t="n">
        <v>2.69362437</v>
      </c>
      <c r="I29" s="18" t="n">
        <v>0</v>
      </c>
      <c r="J29" s="20" t="n">
        <v>0</v>
      </c>
      <c r="K29" s="18" t="n">
        <v>0</v>
      </c>
      <c r="L29" s="20" t="n">
        <v>0</v>
      </c>
      <c r="M29" s="18" t="n">
        <v>0</v>
      </c>
      <c r="N29" s="20" t="n">
        <v>0</v>
      </c>
      <c r="O29" s="18" t="n">
        <v>0</v>
      </c>
      <c r="P29" s="20" t="n">
        <v>0</v>
      </c>
      <c r="Q29" s="18" t="n">
        <v>0</v>
      </c>
      <c r="R29" s="20" t="n">
        <v>0</v>
      </c>
    </row>
    <row r="30" spans="1:18">
      <c r="A30" s="15" t="s">
        <v>588</v>
      </c>
      <c r="B30" s="17" t="n">
        <v>2257</v>
      </c>
      <c r="C30" s="18">
        <f>(2004.0/B30*100)</f>
        <v/>
      </c>
      <c r="D30" s="19" t="n">
        <v>253</v>
      </c>
      <c r="E30" s="18" t="n">
        <v>45.05965449</v>
      </c>
      <c r="F30" s="20" t="n">
        <v>3.1595084</v>
      </c>
      <c r="G30" s="18" t="n">
        <v>53.64884901</v>
      </c>
      <c r="H30" s="20" t="n">
        <v>3.11013886</v>
      </c>
      <c r="I30" s="18" t="n">
        <v>0</v>
      </c>
      <c r="J30" s="20" t="n">
        <v>0</v>
      </c>
      <c r="K30" s="18" t="n">
        <v>0.38631394</v>
      </c>
      <c r="L30" s="20" t="n">
        <v>0.37823222</v>
      </c>
      <c r="M30" s="18" t="n">
        <v>0</v>
      </c>
      <c r="N30" s="20" t="n">
        <v>0</v>
      </c>
      <c r="O30" s="18" t="n">
        <v>0</v>
      </c>
      <c r="P30" s="20" t="n">
        <v>0</v>
      </c>
      <c r="Q30" s="18" t="n">
        <v>0.90518255</v>
      </c>
      <c r="R30" s="20" t="n">
        <v>0.67342712</v>
      </c>
    </row>
    <row r="31" spans="1:18">
      <c r="A31" s="15" t="s">
        <v>589</v>
      </c>
      <c r="B31" s="17" t="n">
        <v>2706</v>
      </c>
      <c r="C31" s="18">
        <f>(2402.0/B31*100)</f>
        <v/>
      </c>
      <c r="D31" s="19" t="n">
        <v>304</v>
      </c>
      <c r="E31" s="18" t="n">
        <v>36.83893525</v>
      </c>
      <c r="F31" s="20" t="n">
        <v>2.77767819</v>
      </c>
      <c r="G31" s="18" t="n">
        <v>62.84415244</v>
      </c>
      <c r="H31" s="20" t="n">
        <v>2.75783088</v>
      </c>
      <c r="I31" s="18" t="n">
        <v>0</v>
      </c>
      <c r="J31" s="20" t="n">
        <v>0</v>
      </c>
      <c r="K31" s="18" t="n">
        <v>0</v>
      </c>
      <c r="L31" s="20" t="n">
        <v>0</v>
      </c>
      <c r="M31" s="18" t="n">
        <v>0</v>
      </c>
      <c r="N31" s="20" t="n">
        <v>0</v>
      </c>
      <c r="O31" s="18" t="n">
        <v>0</v>
      </c>
      <c r="P31" s="20" t="n">
        <v>0</v>
      </c>
      <c r="Q31" s="18" t="n">
        <v>0.31691231</v>
      </c>
      <c r="R31" s="20" t="n">
        <v>0.31679848</v>
      </c>
    </row>
    <row r="32" spans="1:18">
      <c r="A32" s="15" t="s">
        <v>590</v>
      </c>
      <c r="B32" s="17" t="n">
        <v>2209</v>
      </c>
      <c r="C32" s="18">
        <f>(1962.0/B32*100)</f>
        <v/>
      </c>
      <c r="D32" s="19" t="n">
        <v>247</v>
      </c>
      <c r="E32" s="18" t="n">
        <v>29.92785639</v>
      </c>
      <c r="F32" s="20" t="n">
        <v>2.69043959</v>
      </c>
      <c r="G32" s="18" t="n">
        <v>70.07214361</v>
      </c>
      <c r="H32" s="20" t="n">
        <v>2.69043959</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(3246.0/B33*100)</f>
        <v/>
      </c>
      <c r="D33" s="19" t="n">
        <v>405</v>
      </c>
      <c r="E33" s="18" t="n">
        <v>46.24818572</v>
      </c>
      <c r="F33" s="20" t="n">
        <v>3.02592617</v>
      </c>
      <c r="G33" s="18" t="n">
        <v>53.22335895</v>
      </c>
      <c r="H33" s="20" t="n">
        <v>3.03369569</v>
      </c>
      <c r="I33" s="18" t="n">
        <v>0</v>
      </c>
      <c r="J33" s="20" t="n">
        <v>0</v>
      </c>
      <c r="K33" s="18" t="n">
        <v>0</v>
      </c>
      <c r="L33" s="20" t="n">
        <v>0</v>
      </c>
      <c r="M33" s="18" t="n">
        <v>0</v>
      </c>
      <c r="N33" s="20" t="n">
        <v>0</v>
      </c>
      <c r="O33" s="18" t="n">
        <v>0</v>
      </c>
      <c r="P33" s="20" t="n">
        <v>0</v>
      </c>
      <c r="Q33" s="18" t="n">
        <v>0.52845533</v>
      </c>
      <c r="R33" s="20" t="n">
        <v>0.37800265</v>
      </c>
    </row>
    <row r="34" spans="1:18">
      <c r="A34" s="15" t="s">
        <v>592</v>
      </c>
      <c r="B34" s="17" t="n">
        <v>3035</v>
      </c>
      <c r="C34" s="18">
        <f>(2725.0/B34*100)</f>
        <v/>
      </c>
      <c r="D34" s="19" t="n">
        <v>310</v>
      </c>
      <c r="E34" s="18" t="n">
        <v>52.28794036</v>
      </c>
      <c r="F34" s="20" t="n">
        <v>2.91948748</v>
      </c>
      <c r="G34" s="18" t="n">
        <v>47.46602132</v>
      </c>
      <c r="H34" s="20" t="n">
        <v>2.92662231</v>
      </c>
      <c r="I34" s="18" t="n">
        <v>0</v>
      </c>
      <c r="J34" s="20" t="n">
        <v>0</v>
      </c>
      <c r="K34" s="18" t="n">
        <v>0</v>
      </c>
      <c r="L34" s="20" t="n">
        <v>0</v>
      </c>
      <c r="M34" s="18" t="n">
        <v>0</v>
      </c>
      <c r="N34" s="20" t="n">
        <v>0</v>
      </c>
      <c r="O34" s="18" t="n">
        <v>0</v>
      </c>
      <c r="P34" s="20" t="n">
        <v>0</v>
      </c>
      <c r="Q34" s="18" t="n">
        <v>0.24603832</v>
      </c>
      <c r="R34" s="20" t="n">
        <v>0.23224972</v>
      </c>
    </row>
    <row r="35" spans="1:18">
      <c r="A35" s="15" t="s">
        <v>593</v>
      </c>
      <c r="B35" s="17" t="n">
        <v>2901</v>
      </c>
      <c r="C35" s="18">
        <f>(2592.0/B35*100)</f>
        <v/>
      </c>
      <c r="D35" s="19" t="n">
        <v>309</v>
      </c>
      <c r="E35" s="18" t="n">
        <v>34.55279605</v>
      </c>
      <c r="F35" s="20" t="n">
        <v>3.15495593</v>
      </c>
      <c r="G35" s="18" t="n">
        <v>65.44720395</v>
      </c>
      <c r="H35" s="20" t="n">
        <v>3.15495593</v>
      </c>
      <c r="I35" s="18" t="n">
        <v>0</v>
      </c>
      <c r="J35" s="20" t="n">
        <v>0</v>
      </c>
      <c r="K35" s="18" t="n">
        <v>0</v>
      </c>
      <c r="L35" s="20" t="n">
        <v>0</v>
      </c>
      <c r="M35" s="18" t="n">
        <v>0</v>
      </c>
      <c r="N35" s="20" t="n">
        <v>0</v>
      </c>
      <c r="O35" s="18" t="n">
        <v>0</v>
      </c>
      <c r="P35" s="20" t="n">
        <v>0</v>
      </c>
      <c r="Q35" s="18" t="n">
        <v>0</v>
      </c>
      <c r="R35" s="20" t="n">
        <v>0</v>
      </c>
    </row>
    <row r="36" spans="1:18">
      <c r="A36" s="15" t="s">
        <v>594</v>
      </c>
      <c r="B36" s="17" t="n">
        <v>3404</v>
      </c>
      <c r="C36" s="18">
        <f>(3020.0/B36*100)</f>
        <v/>
      </c>
      <c r="D36" s="19" t="n">
        <v>384</v>
      </c>
      <c r="E36" s="18" t="n">
        <v>50.03868922</v>
      </c>
      <c r="F36" s="20" t="n">
        <v>2.85508021</v>
      </c>
      <c r="G36" s="18" t="n">
        <v>49.35164735</v>
      </c>
      <c r="H36" s="20" t="n">
        <v>2.84973949</v>
      </c>
      <c r="I36" s="18" t="n">
        <v>0</v>
      </c>
      <c r="J36" s="20" t="n">
        <v>0</v>
      </c>
      <c r="K36" s="18" t="n">
        <v>0</v>
      </c>
      <c r="L36" s="20" t="n">
        <v>0</v>
      </c>
      <c r="M36" s="18" t="n">
        <v>0</v>
      </c>
      <c r="N36" s="20" t="n">
        <v>0</v>
      </c>
      <c r="O36" s="18" t="n">
        <v>0</v>
      </c>
      <c r="P36" s="20" t="n">
        <v>0</v>
      </c>
      <c r="Q36" s="18" t="n">
        <v>0.60966343</v>
      </c>
      <c r="R36" s="20" t="n">
        <v>0.43764127</v>
      </c>
    </row>
    <row r="37" spans="1:18">
      <c r="A37" s="15" t="s">
        <v>595</v>
      </c>
      <c r="B37" s="17" t="n">
        <v>2731</v>
      </c>
      <c r="C37" s="18">
        <f>(2437.0/B37*100)</f>
        <v/>
      </c>
      <c r="D37" s="19" t="n">
        <v>294</v>
      </c>
      <c r="E37" s="18" t="n">
        <v>39.1506467</v>
      </c>
      <c r="F37" s="20" t="n">
        <v>3.02707352</v>
      </c>
      <c r="G37" s="18" t="n">
        <v>60.15052227</v>
      </c>
      <c r="H37" s="20" t="n">
        <v>3.06720138</v>
      </c>
      <c r="I37" s="18" t="n">
        <v>0</v>
      </c>
      <c r="J37" s="20" t="n">
        <v>0</v>
      </c>
      <c r="K37" s="18" t="n">
        <v>0</v>
      </c>
      <c r="L37" s="20" t="n">
        <v>0</v>
      </c>
      <c r="M37" s="18" t="n">
        <v>0</v>
      </c>
      <c r="N37" s="20" t="n">
        <v>0</v>
      </c>
      <c r="O37" s="18" t="n">
        <v>0</v>
      </c>
      <c r="P37" s="20" t="n">
        <v>0</v>
      </c>
      <c r="Q37" s="18" t="n">
        <v>0.69883103</v>
      </c>
      <c r="R37" s="20" t="n">
        <v>0.48571334</v>
      </c>
    </row>
    <row r="38" spans="1:18">
      <c r="A38" s="15" t="s">
        <v>596</v>
      </c>
      <c r="B38" s="17" t="n">
        <v>2807</v>
      </c>
      <c r="C38" s="18">
        <f>(2510.0/B38*100)</f>
        <v/>
      </c>
      <c r="D38" s="19" t="n">
        <v>297</v>
      </c>
      <c r="E38" s="18" t="n">
        <v>45.61947415</v>
      </c>
      <c r="F38" s="20" t="n">
        <v>2.77940787</v>
      </c>
      <c r="G38" s="18" t="n">
        <v>54.38052585</v>
      </c>
      <c r="H38" s="20" t="n">
        <v>2.77940787</v>
      </c>
      <c r="I38" s="18" t="n">
        <v>0</v>
      </c>
      <c r="J38" s="20" t="n">
        <v>0</v>
      </c>
      <c r="K38" s="18" t="n">
        <v>0</v>
      </c>
      <c r="L38" s="20" t="n">
        <v>0</v>
      </c>
      <c r="M38" s="18" t="n">
        <v>0</v>
      </c>
      <c r="N38" s="20" t="n">
        <v>0</v>
      </c>
      <c r="O38" s="18" t="n">
        <v>0</v>
      </c>
      <c r="P38" s="20" t="n">
        <v>0</v>
      </c>
      <c r="Q38" s="18" t="n">
        <v>0</v>
      </c>
      <c r="R38" s="20" t="n">
        <v>0</v>
      </c>
    </row>
    <row r="39" spans="1:18">
      <c r="A39" s="15" t="s">
        <v>597</v>
      </c>
      <c r="B39" s="17" t="n">
        <v>2938</v>
      </c>
      <c r="C39" s="18">
        <f>(2617.0/B39*100)</f>
        <v/>
      </c>
      <c r="D39" s="19" t="n">
        <v>321</v>
      </c>
      <c r="E39" s="18" t="n">
        <v>69.6669966</v>
      </c>
      <c r="F39" s="20" t="n">
        <v>2.44447385</v>
      </c>
      <c r="G39" s="18" t="n">
        <v>30.03522991</v>
      </c>
      <c r="H39" s="20" t="n">
        <v>2.37377384</v>
      </c>
      <c r="I39" s="18" t="n">
        <v>0</v>
      </c>
      <c r="J39" s="20" t="n">
        <v>0</v>
      </c>
      <c r="K39" s="18" t="n">
        <v>0</v>
      </c>
      <c r="L39" s="20" t="n">
        <v>0</v>
      </c>
      <c r="M39" s="18" t="n">
        <v>0</v>
      </c>
      <c r="N39" s="20" t="n">
        <v>0</v>
      </c>
      <c r="O39" s="18" t="n">
        <v>0</v>
      </c>
      <c r="P39" s="20" t="n">
        <v>0</v>
      </c>
      <c r="Q39" s="18" t="n">
        <v>0.29777349</v>
      </c>
      <c r="R39" s="20" t="n">
        <v>0.29143671</v>
      </c>
    </row>
    <row r="40" spans="1:18">
      <c r="A40" s="15" t="s">
        <v>598</v>
      </c>
      <c r="B40" s="17" t="n">
        <v>6922</v>
      </c>
      <c r="C40" s="18">
        <f>(6126.0/B40*100)</f>
        <v/>
      </c>
      <c r="D40" s="19" t="n">
        <v>796</v>
      </c>
      <c r="E40" s="18" t="n">
        <v>39.37588024</v>
      </c>
      <c r="F40" s="20" t="n">
        <v>2.26502942</v>
      </c>
      <c r="G40" s="18" t="n">
        <v>59.98711982</v>
      </c>
      <c r="H40" s="20" t="n">
        <v>2.31587273</v>
      </c>
      <c r="I40" s="18" t="n">
        <v>0</v>
      </c>
      <c r="J40" s="20" t="n">
        <v>0</v>
      </c>
      <c r="K40" s="18" t="n">
        <v>0.02940407</v>
      </c>
      <c r="L40" s="20" t="n">
        <v>0.02798321</v>
      </c>
      <c r="M40" s="18" t="n">
        <v>0</v>
      </c>
      <c r="N40" s="20" t="n">
        <v>0</v>
      </c>
      <c r="O40" s="18" t="n">
        <v>0</v>
      </c>
      <c r="P40" s="20" t="n">
        <v>0</v>
      </c>
      <c r="Q40" s="18" t="n">
        <v>0.60759587</v>
      </c>
      <c r="R40" s="20" t="n">
        <v>0.38485407</v>
      </c>
    </row>
    <row r="41" spans="1:18">
      <c r="A41" s="15" t="s">
        <v>599</v>
      </c>
      <c r="B41" s="17" t="n">
        <v>2854</v>
      </c>
      <c r="C41" s="18">
        <f>(2569.0/B41*100)</f>
        <v/>
      </c>
      <c r="D41" s="19" t="n">
        <v>285</v>
      </c>
      <c r="E41" s="18" t="n">
        <v>40.21819809</v>
      </c>
      <c r="F41" s="20" t="n">
        <v>2.512401</v>
      </c>
      <c r="G41" s="18" t="n">
        <v>59.1730491</v>
      </c>
      <c r="H41" s="20" t="n">
        <v>2.55515532</v>
      </c>
      <c r="I41" s="18" t="n">
        <v>0</v>
      </c>
      <c r="J41" s="20" t="n">
        <v>0</v>
      </c>
      <c r="K41" s="18" t="n">
        <v>0</v>
      </c>
      <c r="L41" s="20" t="n">
        <v>0</v>
      </c>
      <c r="M41" s="18" t="n">
        <v>0</v>
      </c>
      <c r="N41" s="20" t="n">
        <v>0</v>
      </c>
      <c r="O41" s="18" t="n">
        <v>0</v>
      </c>
      <c r="P41" s="20" t="n">
        <v>0</v>
      </c>
      <c r="Q41" s="18" t="n">
        <v>0.60875281</v>
      </c>
      <c r="R41" s="20" t="n">
        <v>0.38962709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(10907.0/B46*100)</f>
        <v/>
      </c>
      <c r="D46" s="19" t="n">
        <v>1166</v>
      </c>
      <c r="E46" s="18" t="n">
        <v>61.47907333</v>
      </c>
      <c r="F46" s="20" t="n">
        <v>1.83226109</v>
      </c>
      <c r="G46" s="18" t="n">
        <v>36.02635251</v>
      </c>
      <c r="H46" s="20" t="n">
        <v>1.81105139</v>
      </c>
      <c r="I46" s="18" t="n">
        <v>0</v>
      </c>
      <c r="J46" s="20" t="n">
        <v>0</v>
      </c>
      <c r="K46" s="18" t="n">
        <v>0.9928003399999999</v>
      </c>
      <c r="L46" s="20" t="n">
        <v>0.34541632</v>
      </c>
      <c r="M46" s="18" t="n">
        <v>0</v>
      </c>
      <c r="N46" s="20" t="n">
        <v>0</v>
      </c>
      <c r="O46" s="18" t="n">
        <v>0</v>
      </c>
      <c r="P46" s="20" t="n">
        <v>0</v>
      </c>
      <c r="Q46" s="18" t="n">
        <v>1.50177381</v>
      </c>
      <c r="R46" s="20" t="n">
        <v>0.4727998</v>
      </c>
    </row>
    <row r="47" spans="1:18">
      <c r="A47" s="15" t="s">
        <v>606</v>
      </c>
      <c r="B47" s="17" t="n">
        <v>2823</v>
      </c>
      <c r="C47" s="18">
        <f>(2534.0/B47*100)</f>
        <v/>
      </c>
      <c r="D47" s="19" t="n">
        <v>289</v>
      </c>
      <c r="E47" s="18" t="n">
        <v>58.74092774</v>
      </c>
      <c r="F47" s="20" t="n">
        <v>2.8940741</v>
      </c>
      <c r="G47" s="18" t="n">
        <v>40.22295013</v>
      </c>
      <c r="H47" s="20" t="n">
        <v>2.913336</v>
      </c>
      <c r="I47" s="18" t="n">
        <v>0</v>
      </c>
      <c r="J47" s="20" t="n">
        <v>0</v>
      </c>
      <c r="K47" s="18" t="n">
        <v>0</v>
      </c>
      <c r="L47" s="20" t="n">
        <v>0</v>
      </c>
      <c r="M47" s="18" t="n">
        <v>0</v>
      </c>
      <c r="N47" s="20" t="n">
        <v>0</v>
      </c>
      <c r="O47" s="18" t="n">
        <v>0</v>
      </c>
      <c r="P47" s="20" t="n">
        <v>0</v>
      </c>
      <c r="Q47" s="18" t="n">
        <v>1.03612213</v>
      </c>
      <c r="R47" s="20" t="n">
        <v>0.59376902</v>
      </c>
    </row>
    <row r="48" spans="1:18">
      <c r="A48" s="15" t="s">
        <v>607</v>
      </c>
      <c r="B48" s="17" t="n">
        <v>4682</v>
      </c>
      <c r="C48" s="18">
        <f>(4156.0/B48*100)</f>
        <v/>
      </c>
      <c r="D48" s="19" t="n">
        <v>526</v>
      </c>
      <c r="E48" s="18" t="n">
        <v>37.12205694</v>
      </c>
      <c r="F48" s="20" t="n">
        <v>2.89011237</v>
      </c>
      <c r="G48" s="18" t="n">
        <v>62.0322077</v>
      </c>
      <c r="H48" s="20" t="n">
        <v>2.94905579</v>
      </c>
      <c r="I48" s="18" t="n">
        <v>0</v>
      </c>
      <c r="J48" s="20" t="n">
        <v>0</v>
      </c>
      <c r="K48" s="18" t="n">
        <v>0.2487452</v>
      </c>
      <c r="L48" s="20" t="n">
        <v>0.24739483</v>
      </c>
      <c r="M48" s="18" t="n">
        <v>0</v>
      </c>
      <c r="N48" s="20" t="n">
        <v>0</v>
      </c>
      <c r="O48" s="18" t="n">
        <v>0</v>
      </c>
      <c r="P48" s="20" t="n">
        <v>0</v>
      </c>
      <c r="Q48" s="18" t="n">
        <v>0.59699016</v>
      </c>
      <c r="R48" s="20" t="n">
        <v>0.42033142</v>
      </c>
    </row>
    <row r="49" spans="1:18">
      <c r="A49" s="15" t="s">
        <v>608</v>
      </c>
      <c r="B49" s="17" t="n">
        <v>6158</v>
      </c>
      <c r="C49" s="18">
        <f>(5492.0/B49*100)</f>
        <v/>
      </c>
      <c r="D49" s="19" t="n">
        <v>666</v>
      </c>
      <c r="E49" s="18" t="n">
        <v>66.57231407</v>
      </c>
      <c r="F49" s="20" t="n">
        <v>2.10189966</v>
      </c>
      <c r="G49" s="18" t="n">
        <v>31.30488482</v>
      </c>
      <c r="H49" s="20" t="n">
        <v>2.03463826</v>
      </c>
      <c r="I49" s="18" t="n">
        <v>0</v>
      </c>
      <c r="J49" s="20" t="n">
        <v>0</v>
      </c>
      <c r="K49" s="18" t="n">
        <v>1.586854</v>
      </c>
      <c r="L49" s="20" t="n">
        <v>0.86632969</v>
      </c>
      <c r="M49" s="18" t="n">
        <v>0</v>
      </c>
      <c r="N49" s="20" t="n">
        <v>0</v>
      </c>
      <c r="O49" s="18" t="n">
        <v>0</v>
      </c>
      <c r="P49" s="20" t="n">
        <v>0</v>
      </c>
      <c r="Q49" s="18" t="n">
        <v>0.5359471</v>
      </c>
      <c r="R49" s="20" t="n">
        <v>0.29496474</v>
      </c>
    </row>
    <row r="50" spans="1:18">
      <c r="A50" s="15" t="s">
        <v>609</v>
      </c>
      <c r="B50" s="17" t="n">
        <v>3494</v>
      </c>
      <c r="C50" s="18">
        <f>(3153.0/B50*100)</f>
        <v/>
      </c>
      <c r="D50" s="19" t="n">
        <v>341</v>
      </c>
      <c r="E50" s="18" t="n">
        <v>66.38191927</v>
      </c>
      <c r="F50" s="20" t="n">
        <v>2.57503311</v>
      </c>
      <c r="G50" s="18" t="n">
        <v>33.11797059</v>
      </c>
      <c r="H50" s="20" t="n">
        <v>2.54906835</v>
      </c>
      <c r="I50" s="18" t="n">
        <v>0</v>
      </c>
      <c r="J50" s="20" t="n">
        <v>0</v>
      </c>
      <c r="K50" s="18" t="n">
        <v>0</v>
      </c>
      <c r="L50" s="20" t="n">
        <v>0</v>
      </c>
      <c r="M50" s="18" t="n">
        <v>0</v>
      </c>
      <c r="N50" s="20" t="n">
        <v>0</v>
      </c>
      <c r="O50" s="18" t="n">
        <v>0</v>
      </c>
      <c r="P50" s="20" t="n">
        <v>0</v>
      </c>
      <c r="Q50" s="18" t="n">
        <v>0.50011014</v>
      </c>
      <c r="R50" s="20" t="n">
        <v>0.29691097</v>
      </c>
    </row>
    <row r="51" spans="1:18">
      <c r="A51" s="15" t="s">
        <v>610</v>
      </c>
      <c r="B51" s="17" t="n">
        <v>3013</v>
      </c>
      <c r="C51" s="18">
        <f>(2682.0/B51*100)</f>
        <v/>
      </c>
      <c r="D51" s="19" t="n">
        <v>331</v>
      </c>
      <c r="E51" s="18" t="n">
        <v>48.88999086</v>
      </c>
      <c r="F51" s="20" t="n">
        <v>2.86623882</v>
      </c>
      <c r="G51" s="18" t="n">
        <v>51.11000914</v>
      </c>
      <c r="H51" s="20" t="n">
        <v>2.86623882</v>
      </c>
      <c r="I51" s="18" t="n">
        <v>0</v>
      </c>
      <c r="J51" s="20" t="n">
        <v>0</v>
      </c>
      <c r="K51" s="18" t="n">
        <v>0</v>
      </c>
      <c r="L51" s="20" t="n">
        <v>0</v>
      </c>
      <c r="M51" s="18" t="n">
        <v>0</v>
      </c>
      <c r="N51" s="20" t="n">
        <v>0</v>
      </c>
      <c r="O51" s="18" t="n">
        <v>0</v>
      </c>
      <c r="P51" s="20" t="n">
        <v>0</v>
      </c>
      <c r="Q51" s="18" t="n">
        <v>0</v>
      </c>
      <c r="R51" s="20" t="n">
        <v>0</v>
      </c>
    </row>
    <row r="52" spans="1:18">
      <c r="A52" s="15" t="s">
        <v>611</v>
      </c>
      <c r="B52" s="17" t="n">
        <v>2760</v>
      </c>
      <c r="C52" s="18">
        <f>(2430.0/B52*100)</f>
        <v/>
      </c>
      <c r="D52" s="19" t="n">
        <v>330</v>
      </c>
      <c r="E52" s="18" t="n">
        <v>60.94517219</v>
      </c>
      <c r="F52" s="20" t="n">
        <v>2.61826372</v>
      </c>
      <c r="G52" s="18" t="n">
        <v>39.05482781</v>
      </c>
      <c r="H52" s="20" t="n">
        <v>2.61826372</v>
      </c>
      <c r="I52" s="18" t="n">
        <v>0</v>
      </c>
      <c r="J52" s="20" t="n">
        <v>0</v>
      </c>
      <c r="K52" s="18" t="n">
        <v>0</v>
      </c>
      <c r="L52" s="20" t="n">
        <v>0</v>
      </c>
      <c r="M52" s="18" t="n">
        <v>0</v>
      </c>
      <c r="N52" s="20" t="n">
        <v>0</v>
      </c>
      <c r="O52" s="18" t="n">
        <v>0</v>
      </c>
      <c r="P52" s="20" t="n">
        <v>0</v>
      </c>
      <c r="Q52" s="18" t="n">
        <v>0</v>
      </c>
      <c r="R52" s="20" t="n">
        <v>0</v>
      </c>
    </row>
    <row r="53" spans="1:18">
      <c r="A53" s="15" t="s">
        <v>612</v>
      </c>
      <c r="B53" s="17" t="n">
        <v>2474</v>
      </c>
      <c r="C53" s="18">
        <f>(2205.0/B53*100)</f>
        <v/>
      </c>
      <c r="D53" s="19" t="n">
        <v>269</v>
      </c>
      <c r="E53" s="18" t="n">
        <v>66.58560129999999</v>
      </c>
      <c r="F53" s="20" t="n">
        <v>2.83581545</v>
      </c>
      <c r="G53" s="18" t="n">
        <v>17.98139271</v>
      </c>
      <c r="H53" s="20" t="n">
        <v>2.63640078</v>
      </c>
      <c r="I53" s="18" t="n">
        <v>0</v>
      </c>
      <c r="J53" s="20" t="n">
        <v>0</v>
      </c>
      <c r="K53" s="18" t="n">
        <v>13.66452544</v>
      </c>
      <c r="L53" s="20" t="n">
        <v>2.41135962</v>
      </c>
      <c r="M53" s="18" t="n">
        <v>0</v>
      </c>
      <c r="N53" s="20" t="n">
        <v>0</v>
      </c>
      <c r="O53" s="18" t="n">
        <v>0</v>
      </c>
      <c r="P53" s="20" t="n">
        <v>0</v>
      </c>
      <c r="Q53" s="18" t="n">
        <v>1.76848055</v>
      </c>
      <c r="R53" s="20" t="n">
        <v>0.80955256</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(2381.0/B55*100)</f>
        <v/>
      </c>
      <c r="D55" s="19" t="n">
        <v>294</v>
      </c>
      <c r="E55" s="18" t="n">
        <v>49.03056751</v>
      </c>
      <c r="F55" s="20" t="n">
        <v>3.18848926</v>
      </c>
      <c r="G55" s="18" t="n">
        <v>50.29923421</v>
      </c>
      <c r="H55" s="20" t="n">
        <v>3.10829031</v>
      </c>
      <c r="I55" s="18" t="n">
        <v>0</v>
      </c>
      <c r="J55" s="20" t="n">
        <v>0</v>
      </c>
      <c r="K55" s="18" t="n">
        <v>0.67019828</v>
      </c>
      <c r="L55" s="20" t="n">
        <v>0.65222255</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(2833.0/B61*100)</f>
        <v/>
      </c>
      <c r="D61" s="19" t="n">
        <v>368</v>
      </c>
      <c r="E61" s="18" t="n">
        <v>40.30018177</v>
      </c>
      <c r="F61" s="20" t="n">
        <v>2.90904169</v>
      </c>
      <c r="G61" s="18" t="n">
        <v>59.69981823</v>
      </c>
      <c r="H61" s="20" t="n">
        <v>2.90904169</v>
      </c>
      <c r="I61" s="18" t="n">
        <v>0</v>
      </c>
      <c r="J61" s="20" t="n">
        <v>0</v>
      </c>
      <c r="K61" s="18" t="n">
        <v>0</v>
      </c>
      <c r="L61" s="20" t="n">
        <v>0</v>
      </c>
      <c r="M61" s="18" t="n">
        <v>0</v>
      </c>
      <c r="N61" s="20" t="n">
        <v>0</v>
      </c>
      <c r="O61" s="18" t="n">
        <v>0</v>
      </c>
      <c r="P61" s="20" t="n">
        <v>0</v>
      </c>
      <c r="Q61" s="18" t="n">
        <v>0</v>
      </c>
      <c r="R61" s="20" t="n">
        <v>0</v>
      </c>
    </row>
    <row r="62" spans="1:18">
      <c r="A62" s="15" t="s">
        <v>622</v>
      </c>
      <c r="B62" s="17" t="n">
        <v>2230</v>
      </c>
      <c r="C62" s="18">
        <f>(1975.0/B62*100)</f>
        <v/>
      </c>
      <c r="D62" s="19" t="n">
        <v>255</v>
      </c>
      <c r="E62" s="18" t="n">
        <v>43.59040398</v>
      </c>
      <c r="F62" s="20" t="n">
        <v>3.2073178</v>
      </c>
      <c r="G62" s="18" t="n">
        <v>56.40959602</v>
      </c>
      <c r="H62" s="20" t="n">
        <v>3.2073178</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(2479.0/B67*100)</f>
        <v/>
      </c>
      <c r="D67" s="19" t="n">
        <v>292</v>
      </c>
      <c r="E67" s="18" t="n">
        <v>68.65452485</v>
      </c>
      <c r="F67" s="20" t="n">
        <v>2.82077951</v>
      </c>
      <c r="G67" s="18" t="n">
        <v>29.34422799</v>
      </c>
      <c r="H67" s="20" t="n">
        <v>2.7623122</v>
      </c>
      <c r="I67" s="18" t="n">
        <v>0</v>
      </c>
      <c r="J67" s="20" t="n">
        <v>0</v>
      </c>
      <c r="K67" s="18" t="n">
        <v>0.35290929</v>
      </c>
      <c r="L67" s="20" t="n">
        <v>0.35153283</v>
      </c>
      <c r="M67" s="18" t="n">
        <v>0</v>
      </c>
      <c r="N67" s="20" t="n">
        <v>0</v>
      </c>
      <c r="O67" s="18" t="n">
        <v>0</v>
      </c>
      <c r="P67" s="20" t="n">
        <v>0</v>
      </c>
      <c r="Q67" s="18" t="n">
        <v>1.64833787</v>
      </c>
      <c r="R67" s="20" t="n">
        <v>0.59386373</v>
      </c>
    </row>
    <row r="68" spans="1:18">
      <c r="A68" s="15" t="s">
        <v>628</v>
      </c>
      <c r="B68" s="17" t="n">
        <v>3460</v>
      </c>
      <c r="C68" s="18">
        <f>(3113.0/B68*100)</f>
        <v/>
      </c>
      <c r="D68" s="19" t="n">
        <v>347</v>
      </c>
      <c r="E68" s="18" t="n">
        <v>67.91668765999999</v>
      </c>
      <c r="F68" s="20" t="n">
        <v>2.84012497</v>
      </c>
      <c r="G68" s="18" t="n">
        <v>31.80712622</v>
      </c>
      <c r="H68" s="20" t="n">
        <v>2.83747228</v>
      </c>
      <c r="I68" s="18" t="n">
        <v>0</v>
      </c>
      <c r="J68" s="20" t="n">
        <v>0</v>
      </c>
      <c r="K68" s="18" t="n">
        <v>0.27618612</v>
      </c>
      <c r="L68" s="20" t="n">
        <v>0.3006017</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(5358.0/B70*100)</f>
        <v/>
      </c>
      <c r="D70" s="19" t="n">
        <v>676</v>
      </c>
      <c r="E70" s="18" t="n">
        <v>60.37417493</v>
      </c>
      <c r="F70" s="20" t="n">
        <v>2.00608904</v>
      </c>
      <c r="G70" s="18" t="n">
        <v>37.5879813</v>
      </c>
      <c r="H70" s="20" t="n">
        <v>1.94445176</v>
      </c>
      <c r="I70" s="18" t="n">
        <v>0</v>
      </c>
      <c r="J70" s="20" t="n">
        <v>0</v>
      </c>
      <c r="K70" s="18" t="n">
        <v>0.71834119</v>
      </c>
      <c r="L70" s="20" t="n">
        <v>0.32226127</v>
      </c>
      <c r="M70" s="18" t="n">
        <v>0</v>
      </c>
      <c r="N70" s="20" t="n">
        <v>0</v>
      </c>
      <c r="O70" s="18" t="n">
        <v>0</v>
      </c>
      <c r="P70" s="20" t="n">
        <v>0</v>
      </c>
      <c r="Q70" s="18" t="n">
        <v>1.31950258</v>
      </c>
      <c r="R70" s="20" t="n">
        <v>0.44650919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(2764.0/B72*100)</f>
        <v/>
      </c>
      <c r="D72" s="19" t="n">
        <v>343</v>
      </c>
      <c r="E72" s="18" t="n">
        <v>44.10714305</v>
      </c>
      <c r="F72" s="20" t="n">
        <v>2.90436783</v>
      </c>
      <c r="G72" s="18" t="n">
        <v>55.56422815</v>
      </c>
      <c r="H72" s="20" t="n">
        <v>2.92246828</v>
      </c>
      <c r="I72" s="18" t="n">
        <v>0</v>
      </c>
      <c r="J72" s="20" t="n">
        <v>0</v>
      </c>
      <c r="K72" s="18" t="n">
        <v>0</v>
      </c>
      <c r="L72" s="20" t="n">
        <v>0</v>
      </c>
      <c r="M72" s="18" t="n">
        <v>0</v>
      </c>
      <c r="N72" s="20" t="n">
        <v>0</v>
      </c>
      <c r="O72" s="18" t="n">
        <v>0</v>
      </c>
      <c r="P72" s="20" t="n">
        <v>0</v>
      </c>
      <c r="Q72" s="18" t="n">
        <v>0.3286288</v>
      </c>
      <c r="R72" s="20" t="n">
        <v>0.32610191</v>
      </c>
    </row>
    <row r="73" spans="1:18">
      <c r="A73" s="15" t="s">
        <v>633</v>
      </c>
      <c r="B73" s="17" t="n">
        <v>2973</v>
      </c>
      <c r="C73" s="18">
        <f>(2649.0/B73*100)</f>
        <v/>
      </c>
      <c r="D73" s="19" t="n">
        <v>324</v>
      </c>
      <c r="E73" s="18" t="n">
        <v>43.11903112</v>
      </c>
      <c r="F73" s="20" t="n">
        <v>3.01330806</v>
      </c>
      <c r="G73" s="18" t="n">
        <v>56.88096888</v>
      </c>
      <c r="H73" s="20" t="n">
        <v>3.01330806</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(3365.0/B74*100)</f>
        <v/>
      </c>
      <c r="D74" s="19" t="n">
        <v>454</v>
      </c>
      <c r="E74" s="18" t="n">
        <v>43.53958777</v>
      </c>
      <c r="F74" s="20" t="n">
        <v>2.35347896</v>
      </c>
      <c r="G74" s="18" t="n">
        <v>56.00093565</v>
      </c>
      <c r="H74" s="20" t="n">
        <v>2.37699751</v>
      </c>
      <c r="I74" s="18" t="n">
        <v>0</v>
      </c>
      <c r="J74" s="20" t="n">
        <v>0</v>
      </c>
      <c r="K74" s="18" t="n">
        <v>0.24192882</v>
      </c>
      <c r="L74" s="20" t="n">
        <v>0.2425848</v>
      </c>
      <c r="M74" s="18" t="n">
        <v>0</v>
      </c>
      <c r="N74" s="20" t="n">
        <v>0</v>
      </c>
      <c r="O74" s="18" t="n">
        <v>0</v>
      </c>
      <c r="P74" s="20" t="n">
        <v>0</v>
      </c>
      <c r="Q74" s="18" t="n">
        <v>0.21754776</v>
      </c>
      <c r="R74" s="20" t="n">
        <v>0.15665702</v>
      </c>
    </row>
    <row r="75" spans="1:18">
      <c r="A75" s="15" t="s">
        <v>635</v>
      </c>
      <c r="B75" s="17" t="n">
        <v>4652</v>
      </c>
      <c r="C75" s="18">
        <f>(4165.0/B75*100)</f>
        <v/>
      </c>
      <c r="D75" s="19" t="n">
        <v>487</v>
      </c>
      <c r="E75" s="18" t="n">
        <v>51.76149996</v>
      </c>
      <c r="F75" s="20" t="n">
        <v>2.7500005</v>
      </c>
      <c r="G75" s="18" t="n">
        <v>48.23850004</v>
      </c>
      <c r="H75" s="20" t="n">
        <v>2.7500005</v>
      </c>
      <c r="I75" s="18" t="n">
        <v>0</v>
      </c>
      <c r="J75" s="20" t="n">
        <v>0</v>
      </c>
      <c r="K75" s="18" t="n">
        <v>0</v>
      </c>
      <c r="L75" s="20" t="n">
        <v>0</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(2673.0/B77*100)</f>
        <v/>
      </c>
      <c r="D77" s="19" t="n">
        <v>296</v>
      </c>
      <c r="E77" s="18" t="n">
        <v>64.27954784000001</v>
      </c>
      <c r="F77" s="20" t="n">
        <v>2.9092607</v>
      </c>
      <c r="G77" s="18" t="n">
        <v>30.54809505</v>
      </c>
      <c r="H77" s="20" t="n">
        <v>2.71222944</v>
      </c>
      <c r="I77" s="18" t="n">
        <v>0</v>
      </c>
      <c r="J77" s="20" t="n">
        <v>0</v>
      </c>
      <c r="K77" s="18" t="n">
        <v>2.04967206</v>
      </c>
      <c r="L77" s="20" t="n">
        <v>0.81153692</v>
      </c>
      <c r="M77" s="18" t="n">
        <v>0</v>
      </c>
      <c r="N77" s="20" t="n">
        <v>0</v>
      </c>
      <c r="O77" s="18" t="n">
        <v>0</v>
      </c>
      <c r="P77" s="20" t="n">
        <v>0</v>
      </c>
      <c r="Q77" s="18" t="n">
        <v>3.12268505</v>
      </c>
      <c r="R77" s="20" t="n">
        <v>1.20045937</v>
      </c>
    </row>
    <row r="78" spans="1:18">
      <c r="A78" s="15" t="s">
        <v>638</v>
      </c>
      <c r="B78" s="17" t="n">
        <v>7115</v>
      </c>
      <c r="C78" s="18">
        <f>(6296.0/B78*100)</f>
        <v/>
      </c>
      <c r="D78" s="19" t="n">
        <v>819</v>
      </c>
      <c r="E78" s="18" t="n">
        <v>57.64461248</v>
      </c>
      <c r="F78" s="20" t="n">
        <v>1.90861806</v>
      </c>
      <c r="G78" s="18" t="n">
        <v>41.3018235</v>
      </c>
      <c r="H78" s="20" t="n">
        <v>1.89670542</v>
      </c>
      <c r="I78" s="18" t="n">
        <v>0</v>
      </c>
      <c r="J78" s="20" t="n">
        <v>0</v>
      </c>
      <c r="K78" s="18" t="n">
        <v>0.86731435</v>
      </c>
      <c r="L78" s="20" t="n">
        <v>0.35850021</v>
      </c>
      <c r="M78" s="18" t="n">
        <v>0</v>
      </c>
      <c r="N78" s="20" t="n">
        <v>0</v>
      </c>
      <c r="O78" s="18" t="n">
        <v>0</v>
      </c>
      <c r="P78" s="20" t="n">
        <v>0</v>
      </c>
      <c r="Q78" s="18" t="n">
        <v>0.18624967</v>
      </c>
      <c r="R78" s="20" t="n">
        <v>0.12115529</v>
      </c>
    </row>
    <row r="79" spans="1:18">
      <c r="A79" s="15" t="s">
        <v>639</v>
      </c>
      <c r="B79" s="17" t="n">
        <v>3154</v>
      </c>
      <c r="C79" s="18">
        <f>(2808.0/B79*100)</f>
        <v/>
      </c>
      <c r="D79" s="19" t="n">
        <v>346</v>
      </c>
      <c r="E79" s="18" t="n">
        <v>72.89604892</v>
      </c>
      <c r="F79" s="20" t="n">
        <v>2.46059563</v>
      </c>
      <c r="G79" s="18" t="n">
        <v>26.30949275</v>
      </c>
      <c r="H79" s="20" t="n">
        <v>2.40030259</v>
      </c>
      <c r="I79" s="18" t="n">
        <v>0</v>
      </c>
      <c r="J79" s="20" t="n">
        <v>0</v>
      </c>
      <c r="K79" s="18" t="n">
        <v>0</v>
      </c>
      <c r="L79" s="20" t="n">
        <v>0</v>
      </c>
      <c r="M79" s="18" t="n">
        <v>0</v>
      </c>
      <c r="N79" s="20" t="n">
        <v>0</v>
      </c>
      <c r="O79" s="18" t="n">
        <v>0</v>
      </c>
      <c r="P79" s="20" t="n">
        <v>0</v>
      </c>
      <c r="Q79" s="18" t="n">
        <v>0.79445833</v>
      </c>
      <c r="R79" s="20" t="n">
        <v>0.45507612</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(14260.0/B82*100)</f>
        <v/>
      </c>
      <c r="D82" s="19" t="n">
        <v>1701</v>
      </c>
      <c r="E82" s="18" t="n">
        <v>48.91142377</v>
      </c>
      <c r="F82" s="20" t="n">
        <v>1.91685797</v>
      </c>
      <c r="G82" s="18" t="n">
        <v>50.38784686</v>
      </c>
      <c r="H82" s="20" t="n">
        <v>1.90566484</v>
      </c>
      <c r="I82" s="18" t="n">
        <v>0</v>
      </c>
      <c r="J82" s="20" t="n">
        <v>0</v>
      </c>
      <c r="K82" s="18" t="n">
        <v>0</v>
      </c>
      <c r="L82" s="20" t="n">
        <v>0</v>
      </c>
      <c r="M82" s="18" t="n">
        <v>0</v>
      </c>
      <c r="N82" s="20" t="n">
        <v>0</v>
      </c>
      <c r="O82" s="18" t="n">
        <v>0</v>
      </c>
      <c r="P82" s="20" t="n">
        <v>0</v>
      </c>
      <c r="Q82" s="18" t="n">
        <v>0.70072937</v>
      </c>
      <c r="R82" s="20" t="n">
        <v>0.31302439</v>
      </c>
    </row>
    <row r="83" spans="1:18">
      <c r="A83" s="15" t="s">
        <v>643</v>
      </c>
      <c r="B83" s="17" t="n">
        <v>808</v>
      </c>
      <c r="C83" s="18">
        <f>(720.0/B83*100)</f>
        <v/>
      </c>
      <c r="D83" s="19" t="n">
        <v>88</v>
      </c>
      <c r="E83" s="18" t="n">
        <v>40.12510229</v>
      </c>
      <c r="F83" s="20" t="n">
        <v>4.67700159</v>
      </c>
      <c r="G83" s="18" t="n">
        <v>59.87489771</v>
      </c>
      <c r="H83" s="20" t="n">
        <v>4.67700159</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(841.0/B84*100)</f>
        <v/>
      </c>
      <c r="D84" s="19" t="n">
        <v>97</v>
      </c>
      <c r="E84" s="18" t="n">
        <v>45.5884704</v>
      </c>
      <c r="F84" s="20" t="n">
        <v>5.38836456</v>
      </c>
      <c r="G84" s="18" t="n">
        <v>54.4115296</v>
      </c>
      <c r="H84" s="20" t="n">
        <v>5.38836456</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(6343.0/B7*100)</f>
        <v/>
      </c>
      <c r="D7" s="19" t="n">
        <v>820</v>
      </c>
      <c r="E7" s="18" t="n">
        <v>68.43237310000001</v>
      </c>
      <c r="F7" s="20" t="n">
        <v>1.62443453</v>
      </c>
      <c r="G7" s="18" t="n">
        <v>31.10015711</v>
      </c>
      <c r="H7" s="20" t="n">
        <v>1.60618743</v>
      </c>
      <c r="I7" s="18" t="n">
        <v>0</v>
      </c>
      <c r="J7" s="20" t="n">
        <v>0</v>
      </c>
      <c r="K7" s="18" t="n">
        <v>0.11382155</v>
      </c>
      <c r="L7" s="20" t="n">
        <v>0.08011927000000001</v>
      </c>
      <c r="M7" s="18" t="n">
        <v>0</v>
      </c>
      <c r="N7" s="20" t="n">
        <v>0</v>
      </c>
      <c r="O7" s="18" t="n">
        <v>0</v>
      </c>
      <c r="P7" s="20" t="n">
        <v>0</v>
      </c>
      <c r="Q7" s="18" t="n">
        <v>0.35364824</v>
      </c>
      <c r="R7" s="20" t="n">
        <v>0.2118184</v>
      </c>
    </row>
    <row r="8" spans="1:18">
      <c r="A8" s="15" t="s">
        <v>566</v>
      </c>
      <c r="B8" s="17" t="n">
        <v>3443</v>
      </c>
      <c r="C8" s="18">
        <f>(3060.0/B8*100)</f>
        <v/>
      </c>
      <c r="D8" s="19" t="n">
        <v>383</v>
      </c>
      <c r="E8" s="18" t="n">
        <v>55.3504399</v>
      </c>
      <c r="F8" s="20" t="n">
        <v>3.06706405</v>
      </c>
      <c r="G8" s="18" t="n">
        <v>42.87469004</v>
      </c>
      <c r="H8" s="20" t="n">
        <v>2.91387933</v>
      </c>
      <c r="I8" s="18" t="n">
        <v>0</v>
      </c>
      <c r="J8" s="20" t="n">
        <v>0</v>
      </c>
      <c r="K8" s="18" t="n">
        <v>0</v>
      </c>
      <c r="L8" s="20" t="n">
        <v>0</v>
      </c>
      <c r="M8" s="18" t="n">
        <v>0</v>
      </c>
      <c r="N8" s="20" t="n">
        <v>0</v>
      </c>
      <c r="O8" s="18" t="n">
        <v>0</v>
      </c>
      <c r="P8" s="20" t="n">
        <v>0</v>
      </c>
      <c r="Q8" s="18" t="n">
        <v>1.77487006</v>
      </c>
      <c r="R8" s="20" t="n">
        <v>0.79005732</v>
      </c>
    </row>
    <row r="9" spans="1:18">
      <c r="A9" s="15" t="s">
        <v>567</v>
      </c>
      <c r="B9" s="17" t="n">
        <v>4752</v>
      </c>
      <c r="C9" s="18">
        <f>(4250.0/B9*100)</f>
        <v/>
      </c>
      <c r="D9" s="19" t="n">
        <v>502</v>
      </c>
      <c r="E9" s="18" t="n">
        <v>65.11859466</v>
      </c>
      <c r="F9" s="20" t="n">
        <v>2.3598182</v>
      </c>
      <c r="G9" s="18" t="n">
        <v>34.43487233</v>
      </c>
      <c r="H9" s="20" t="n">
        <v>2.37118577</v>
      </c>
      <c r="I9" s="18" t="n">
        <v>0</v>
      </c>
      <c r="J9" s="20" t="n">
        <v>0</v>
      </c>
      <c r="K9" s="18" t="n">
        <v>0</v>
      </c>
      <c r="L9" s="20" t="n">
        <v>0</v>
      </c>
      <c r="M9" s="18" t="n">
        <v>0</v>
      </c>
      <c r="N9" s="20" t="n">
        <v>0</v>
      </c>
      <c r="O9" s="18" t="n">
        <v>0</v>
      </c>
      <c r="P9" s="20" t="n">
        <v>0</v>
      </c>
      <c r="Q9" s="18" t="n">
        <v>0.44653301</v>
      </c>
      <c r="R9" s="20" t="n">
        <v>0.30792871</v>
      </c>
    </row>
    <row r="10" spans="1:18">
      <c r="A10" s="15" t="s">
        <v>568</v>
      </c>
      <c r="B10" s="17" t="n">
        <v>10022</v>
      </c>
      <c r="C10" s="18">
        <f>(8920.0/B10*100)</f>
        <v/>
      </c>
      <c r="D10" s="19" t="n">
        <v>1102</v>
      </c>
      <c r="E10" s="18" t="n">
        <v>60.40821837</v>
      </c>
      <c r="F10" s="20" t="n">
        <v>2.28666648</v>
      </c>
      <c r="G10" s="18" t="n">
        <v>38.5657248</v>
      </c>
      <c r="H10" s="20" t="n">
        <v>2.27424354</v>
      </c>
      <c r="I10" s="18" t="n">
        <v>0</v>
      </c>
      <c r="J10" s="20" t="n">
        <v>0</v>
      </c>
      <c r="K10" s="18" t="n">
        <v>0.26772355</v>
      </c>
      <c r="L10" s="20" t="n">
        <v>0.23387392</v>
      </c>
      <c r="M10" s="18" t="n">
        <v>0</v>
      </c>
      <c r="N10" s="20" t="n">
        <v>0</v>
      </c>
      <c r="O10" s="18" t="n">
        <v>0</v>
      </c>
      <c r="P10" s="20" t="n">
        <v>0</v>
      </c>
      <c r="Q10" s="18" t="n">
        <v>0.75833328</v>
      </c>
      <c r="R10" s="20" t="n">
        <v>0.31610836</v>
      </c>
    </row>
    <row r="11" spans="1:18">
      <c r="A11" s="15" t="s">
        <v>569</v>
      </c>
      <c r="B11" s="17" t="n">
        <v>3500</v>
      </c>
      <c r="C11" s="18">
        <f>(3134.0/B11*100)</f>
        <v/>
      </c>
      <c r="D11" s="19" t="n">
        <v>366</v>
      </c>
      <c r="E11" s="18" t="n">
        <v>65.98007423999999</v>
      </c>
      <c r="F11" s="20" t="n">
        <v>2.9047589</v>
      </c>
      <c r="G11" s="18" t="n">
        <v>31.73815689</v>
      </c>
      <c r="H11" s="20" t="n">
        <v>2.880571</v>
      </c>
      <c r="I11" s="18" t="n">
        <v>0</v>
      </c>
      <c r="J11" s="20" t="n">
        <v>0</v>
      </c>
      <c r="K11" s="18" t="n">
        <v>0</v>
      </c>
      <c r="L11" s="20" t="n">
        <v>0</v>
      </c>
      <c r="M11" s="18" t="n">
        <v>0</v>
      </c>
      <c r="N11" s="20" t="n">
        <v>0</v>
      </c>
      <c r="O11" s="18" t="n">
        <v>0</v>
      </c>
      <c r="P11" s="20" t="n">
        <v>0</v>
      </c>
      <c r="Q11" s="18" t="n">
        <v>2.28176887</v>
      </c>
      <c r="R11" s="20" t="n">
        <v>0.90960395</v>
      </c>
    </row>
    <row r="12" spans="1:18">
      <c r="A12" s="15" t="s">
        <v>570</v>
      </c>
      <c r="B12" s="17" t="n">
        <v>3422</v>
      </c>
      <c r="C12" s="18">
        <f>(3064.0/B12*100)</f>
        <v/>
      </c>
      <c r="D12" s="19" t="n">
        <v>358</v>
      </c>
      <c r="E12" s="18" t="n">
        <v>56.25903904</v>
      </c>
      <c r="F12" s="20" t="n">
        <v>2.95396218</v>
      </c>
      <c r="G12" s="18" t="n">
        <v>43.57984383</v>
      </c>
      <c r="H12" s="20" t="n">
        <v>2.94234492</v>
      </c>
      <c r="I12" s="18" t="n">
        <v>0</v>
      </c>
      <c r="J12" s="20" t="n">
        <v>0</v>
      </c>
      <c r="K12" s="18" t="n">
        <v>0.16111713</v>
      </c>
      <c r="L12" s="20" t="n">
        <v>0.15658868</v>
      </c>
      <c r="M12" s="18" t="n">
        <v>0</v>
      </c>
      <c r="N12" s="20" t="n">
        <v>0</v>
      </c>
      <c r="O12" s="18" t="n">
        <v>0</v>
      </c>
      <c r="P12" s="20" t="n">
        <v>0</v>
      </c>
      <c r="Q12" s="18" t="n">
        <v>0</v>
      </c>
      <c r="R12" s="20" t="n">
        <v>0</v>
      </c>
    </row>
    <row r="13" spans="1:18">
      <c r="A13" s="15" t="s">
        <v>571</v>
      </c>
      <c r="B13" s="17" t="n">
        <v>3602</v>
      </c>
      <c r="C13" s="18">
        <f>(3194.0/B13*100)</f>
        <v/>
      </c>
      <c r="D13" s="19" t="n">
        <v>408</v>
      </c>
      <c r="E13" s="18" t="n">
        <v>50.02905076</v>
      </c>
      <c r="F13" s="20" t="n">
        <v>2.99767912</v>
      </c>
      <c r="G13" s="18" t="n">
        <v>47.6342767</v>
      </c>
      <c r="H13" s="20" t="n">
        <v>2.86622909</v>
      </c>
      <c r="I13" s="18" t="n">
        <v>0</v>
      </c>
      <c r="J13" s="20" t="n">
        <v>0</v>
      </c>
      <c r="K13" s="18" t="n">
        <v>0.51976332</v>
      </c>
      <c r="L13" s="20" t="n">
        <v>0.4462044</v>
      </c>
      <c r="M13" s="18" t="n">
        <v>0</v>
      </c>
      <c r="N13" s="20" t="n">
        <v>0</v>
      </c>
      <c r="O13" s="18" t="n">
        <v>0</v>
      </c>
      <c r="P13" s="20" t="n">
        <v>0</v>
      </c>
      <c r="Q13" s="18" t="n">
        <v>1.81690923</v>
      </c>
      <c r="R13" s="20" t="n">
        <v>0.84859196</v>
      </c>
    </row>
    <row r="14" spans="1:18">
      <c r="A14" s="15" t="s">
        <v>572</v>
      </c>
      <c r="B14" s="17" t="n">
        <v>2788</v>
      </c>
      <c r="C14" s="18">
        <f>(2496.0/B14*100)</f>
        <v/>
      </c>
      <c r="D14" s="19" t="n">
        <v>292</v>
      </c>
      <c r="E14" s="18" t="n">
        <v>45.13792195</v>
      </c>
      <c r="F14" s="20" t="n">
        <v>3.30756467</v>
      </c>
      <c r="G14" s="18" t="n">
        <v>54.56264108</v>
      </c>
      <c r="H14" s="20" t="n">
        <v>3.29300623</v>
      </c>
      <c r="I14" s="18" t="n">
        <v>0</v>
      </c>
      <c r="J14" s="20" t="n">
        <v>0</v>
      </c>
      <c r="K14" s="18" t="n">
        <v>0</v>
      </c>
      <c r="L14" s="20" t="n">
        <v>0</v>
      </c>
      <c r="M14" s="18" t="n">
        <v>0</v>
      </c>
      <c r="N14" s="20" t="n">
        <v>0</v>
      </c>
      <c r="O14" s="18" t="n">
        <v>0</v>
      </c>
      <c r="P14" s="20" t="n">
        <v>0</v>
      </c>
      <c r="Q14" s="18" t="n">
        <v>0.29943697</v>
      </c>
      <c r="R14" s="20" t="n">
        <v>0.29969011</v>
      </c>
    </row>
    <row r="15" spans="1:18">
      <c r="A15" s="15" t="s">
        <v>573</v>
      </c>
      <c r="B15" s="17" t="n">
        <v>2863</v>
      </c>
      <c r="C15" s="18">
        <f>(2525.0/B15*100)</f>
        <v/>
      </c>
      <c r="D15" s="19" t="n">
        <v>338</v>
      </c>
      <c r="E15" s="18" t="n">
        <v>49.90299958</v>
      </c>
      <c r="F15" s="20" t="n">
        <v>2.7051686</v>
      </c>
      <c r="G15" s="18" t="n">
        <v>50.09700042</v>
      </c>
      <c r="H15" s="20" t="n">
        <v>2.7051686</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(2768.0/B16*100)</f>
        <v/>
      </c>
      <c r="D16" s="19" t="n">
        <v>343</v>
      </c>
      <c r="E16" s="18" t="n">
        <v>52.70861698</v>
      </c>
      <c r="F16" s="20" t="n">
        <v>3.05316027</v>
      </c>
      <c r="G16" s="18" t="n">
        <v>45.52581505</v>
      </c>
      <c r="H16" s="20" t="n">
        <v>2.88838838</v>
      </c>
      <c r="I16" s="18" t="n">
        <v>0</v>
      </c>
      <c r="J16" s="20" t="n">
        <v>0</v>
      </c>
      <c r="K16" s="18" t="n">
        <v>0</v>
      </c>
      <c r="L16" s="20" t="n">
        <v>0</v>
      </c>
      <c r="M16" s="18" t="n">
        <v>0</v>
      </c>
      <c r="N16" s="20" t="n">
        <v>0</v>
      </c>
      <c r="O16" s="18" t="n">
        <v>0</v>
      </c>
      <c r="P16" s="20" t="n">
        <v>0</v>
      </c>
      <c r="Q16" s="18" t="n">
        <v>1.76556796</v>
      </c>
      <c r="R16" s="20" t="n">
        <v>0.70670418</v>
      </c>
    </row>
    <row r="17" spans="1:18">
      <c r="A17" s="15" t="s">
        <v>575</v>
      </c>
      <c r="B17" s="17" t="n">
        <v>3197</v>
      </c>
      <c r="C17" s="18">
        <f>(2836.0/B17*100)</f>
        <v/>
      </c>
      <c r="D17" s="19" t="n">
        <v>361</v>
      </c>
      <c r="E17" s="18" t="n">
        <v>54.14575989</v>
      </c>
      <c r="F17" s="20" t="n">
        <v>2.95628268</v>
      </c>
      <c r="G17" s="18" t="n">
        <v>44.53271637</v>
      </c>
      <c r="H17" s="20" t="n">
        <v>2.8861579</v>
      </c>
      <c r="I17" s="18" t="n">
        <v>0</v>
      </c>
      <c r="J17" s="20" t="n">
        <v>0</v>
      </c>
      <c r="K17" s="18" t="n">
        <v>0</v>
      </c>
      <c r="L17" s="20" t="n">
        <v>0</v>
      </c>
      <c r="M17" s="18" t="n">
        <v>0</v>
      </c>
      <c r="N17" s="20" t="n">
        <v>0</v>
      </c>
      <c r="O17" s="18" t="n">
        <v>0</v>
      </c>
      <c r="P17" s="20" t="n">
        <v>0</v>
      </c>
      <c r="Q17" s="18" t="n">
        <v>1.32152374</v>
      </c>
      <c r="R17" s="20" t="n">
        <v>0.69498254</v>
      </c>
    </row>
    <row r="18" spans="1:18">
      <c r="A18" s="15" t="s">
        <v>576</v>
      </c>
      <c r="B18" s="17" t="n">
        <v>2706</v>
      </c>
      <c r="C18" s="18">
        <f>(2410.0/B18*100)</f>
        <v/>
      </c>
      <c r="D18" s="19" t="n">
        <v>296</v>
      </c>
      <c r="E18" s="18" t="n">
        <v>63.79437183</v>
      </c>
      <c r="F18" s="20" t="n">
        <v>2.69378633</v>
      </c>
      <c r="G18" s="18" t="n">
        <v>35.26115965</v>
      </c>
      <c r="H18" s="20" t="n">
        <v>2.65100085</v>
      </c>
      <c r="I18" s="18" t="n">
        <v>0</v>
      </c>
      <c r="J18" s="20" t="n">
        <v>0</v>
      </c>
      <c r="K18" s="18" t="n">
        <v>0</v>
      </c>
      <c r="L18" s="20" t="n">
        <v>0</v>
      </c>
      <c r="M18" s="18" t="n">
        <v>0</v>
      </c>
      <c r="N18" s="20" t="n">
        <v>0</v>
      </c>
      <c r="O18" s="18" t="n">
        <v>0</v>
      </c>
      <c r="P18" s="20" t="n">
        <v>0</v>
      </c>
      <c r="Q18" s="18" t="n">
        <v>0.94446852</v>
      </c>
      <c r="R18" s="20" t="n">
        <v>0.54181866</v>
      </c>
    </row>
    <row r="19" spans="1:18">
      <c r="A19" s="15" t="s">
        <v>577</v>
      </c>
      <c r="B19" s="17" t="n">
        <v>2850</v>
      </c>
      <c r="C19" s="18">
        <f>(2542.0/B19*100)</f>
        <v/>
      </c>
      <c r="D19" s="19" t="n">
        <v>308</v>
      </c>
      <c r="E19" s="18" t="n">
        <v>58.60399665</v>
      </c>
      <c r="F19" s="20" t="n">
        <v>2.97227242</v>
      </c>
      <c r="G19" s="18" t="n">
        <v>41.39600335</v>
      </c>
      <c r="H19" s="20" t="n">
        <v>2.97227242</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(1548.0/B20*100)</f>
        <v/>
      </c>
      <c r="D20" s="19" t="n">
        <v>193</v>
      </c>
      <c r="E20" s="18" t="n">
        <v>56.11349497</v>
      </c>
      <c r="F20" s="20" t="n">
        <v>3.6703171</v>
      </c>
      <c r="G20" s="18" t="n">
        <v>40.41370894</v>
      </c>
      <c r="H20" s="20" t="n">
        <v>3.56692873</v>
      </c>
      <c r="I20" s="18" t="n">
        <v>0</v>
      </c>
      <c r="J20" s="20" t="n">
        <v>0</v>
      </c>
      <c r="K20" s="18" t="n">
        <v>0.95664545</v>
      </c>
      <c r="L20" s="20" t="n">
        <v>0.66691882</v>
      </c>
      <c r="M20" s="18" t="n">
        <v>0</v>
      </c>
      <c r="N20" s="20" t="n">
        <v>0</v>
      </c>
      <c r="O20" s="18" t="n">
        <v>0</v>
      </c>
      <c r="P20" s="20" t="n">
        <v>0</v>
      </c>
      <c r="Q20" s="18" t="n">
        <v>2.51615064</v>
      </c>
      <c r="R20" s="20" t="n">
        <v>1.1570426</v>
      </c>
    </row>
    <row r="21" spans="1:18">
      <c r="A21" s="15" t="s">
        <v>579</v>
      </c>
      <c r="B21" s="17" t="n">
        <v>2833</v>
      </c>
      <c r="C21" s="18">
        <f>(2500.0/B21*100)</f>
        <v/>
      </c>
      <c r="D21" s="19" t="n">
        <v>333</v>
      </c>
      <c r="E21" s="18" t="n">
        <v>76.22714094</v>
      </c>
      <c r="F21" s="20" t="n">
        <v>2.69039781</v>
      </c>
      <c r="G21" s="18" t="n">
        <v>23.32400476</v>
      </c>
      <c r="H21" s="20" t="n">
        <v>2.64647035</v>
      </c>
      <c r="I21" s="18" t="n">
        <v>0</v>
      </c>
      <c r="J21" s="20" t="n">
        <v>0</v>
      </c>
      <c r="K21" s="18" t="n">
        <v>0</v>
      </c>
      <c r="L21" s="20" t="n">
        <v>0</v>
      </c>
      <c r="M21" s="18" t="n">
        <v>0</v>
      </c>
      <c r="N21" s="20" t="n">
        <v>0</v>
      </c>
      <c r="O21" s="18" t="n">
        <v>0</v>
      </c>
      <c r="P21" s="20" t="n">
        <v>0</v>
      </c>
      <c r="Q21" s="18" t="n">
        <v>0.44885429</v>
      </c>
      <c r="R21" s="20" t="n">
        <v>0.42739987</v>
      </c>
    </row>
    <row r="22" spans="1:18">
      <c r="A22" s="15" t="s">
        <v>580</v>
      </c>
      <c r="B22" s="17" t="n">
        <v>3667</v>
      </c>
      <c r="C22" s="18">
        <f>(3279.0/B22*100)</f>
        <v/>
      </c>
      <c r="D22" s="19" t="n">
        <v>388</v>
      </c>
      <c r="E22" s="18" t="n">
        <v>65.81656129</v>
      </c>
      <c r="F22" s="20" t="n">
        <v>2.59085136</v>
      </c>
      <c r="G22" s="18" t="n">
        <v>30.59741806</v>
      </c>
      <c r="H22" s="20" t="n">
        <v>2.62574566</v>
      </c>
      <c r="I22" s="18" t="n">
        <v>0</v>
      </c>
      <c r="J22" s="20" t="n">
        <v>0</v>
      </c>
      <c r="K22" s="18" t="n">
        <v>1.25658198</v>
      </c>
      <c r="L22" s="20" t="n">
        <v>0.53129848</v>
      </c>
      <c r="M22" s="18" t="n">
        <v>0</v>
      </c>
      <c r="N22" s="20" t="n">
        <v>0</v>
      </c>
      <c r="O22" s="18" t="n">
        <v>0</v>
      </c>
      <c r="P22" s="20" t="n">
        <v>0</v>
      </c>
      <c r="Q22" s="18" t="n">
        <v>2.32943866</v>
      </c>
      <c r="R22" s="20" t="n">
        <v>0.84123985</v>
      </c>
    </row>
    <row r="23" spans="1:18">
      <c r="A23" s="15" t="s">
        <v>581</v>
      </c>
      <c r="B23" s="17" t="n">
        <v>5792</v>
      </c>
      <c r="C23" s="18">
        <f>(5155.0/B23*100)</f>
        <v/>
      </c>
      <c r="D23" s="19" t="n">
        <v>637</v>
      </c>
      <c r="E23" s="18" t="n">
        <v>57.23425246</v>
      </c>
      <c r="F23" s="20" t="n">
        <v>3.08048713</v>
      </c>
      <c r="G23" s="18" t="n">
        <v>41.94993017</v>
      </c>
      <c r="H23" s="20" t="n">
        <v>3.01515187</v>
      </c>
      <c r="I23" s="18" t="n">
        <v>0</v>
      </c>
      <c r="J23" s="20" t="n">
        <v>0</v>
      </c>
      <c r="K23" s="18" t="n">
        <v>0</v>
      </c>
      <c r="L23" s="20" t="n">
        <v>0</v>
      </c>
      <c r="M23" s="18" t="n">
        <v>0</v>
      </c>
      <c r="N23" s="20" t="n">
        <v>0</v>
      </c>
      <c r="O23" s="18" t="n">
        <v>0</v>
      </c>
      <c r="P23" s="20" t="n">
        <v>0</v>
      </c>
      <c r="Q23" s="18" t="n">
        <v>0.81581736</v>
      </c>
      <c r="R23" s="20" t="n">
        <v>0.43261678</v>
      </c>
    </row>
    <row r="24" spans="1:18">
      <c r="A24" s="15" t="s">
        <v>582</v>
      </c>
      <c r="B24" s="17" t="n">
        <v>3309</v>
      </c>
      <c r="C24" s="18">
        <f>(2941.0/B24*100)</f>
        <v/>
      </c>
      <c r="D24" s="19" t="n">
        <v>368</v>
      </c>
      <c r="E24" s="18" t="n">
        <v>59.71138161</v>
      </c>
      <c r="F24" s="20" t="n">
        <v>2.70276682</v>
      </c>
      <c r="G24" s="18" t="n">
        <v>39.76395719</v>
      </c>
      <c r="H24" s="20" t="n">
        <v>2.62035767</v>
      </c>
      <c r="I24" s="18" t="n">
        <v>0</v>
      </c>
      <c r="J24" s="20" t="n">
        <v>0</v>
      </c>
      <c r="K24" s="18" t="n">
        <v>0</v>
      </c>
      <c r="L24" s="20" t="n">
        <v>0</v>
      </c>
      <c r="M24" s="18" t="n">
        <v>0</v>
      </c>
      <c r="N24" s="20" t="n">
        <v>0</v>
      </c>
      <c r="O24" s="18" t="n">
        <v>0</v>
      </c>
      <c r="P24" s="20" t="n">
        <v>0</v>
      </c>
      <c r="Q24" s="18" t="n">
        <v>0.5246612</v>
      </c>
      <c r="R24" s="20" t="n">
        <v>0.34465386</v>
      </c>
    </row>
    <row r="25" spans="1:18">
      <c r="A25" s="15" t="s">
        <v>583</v>
      </c>
      <c r="B25" s="17" t="n">
        <v>2669</v>
      </c>
      <c r="C25" s="18">
        <f>(2358.0/B25*100)</f>
        <v/>
      </c>
      <c r="D25" s="19" t="n">
        <v>311</v>
      </c>
      <c r="E25" s="18" t="n">
        <v>38.20781495</v>
      </c>
      <c r="F25" s="20" t="n">
        <v>2.89903519</v>
      </c>
      <c r="G25" s="18" t="n">
        <v>60.51003521</v>
      </c>
      <c r="H25" s="20" t="n">
        <v>2.99019024</v>
      </c>
      <c r="I25" s="18" t="n">
        <v>0</v>
      </c>
      <c r="J25" s="20" t="n">
        <v>0</v>
      </c>
      <c r="K25" s="18" t="n">
        <v>0.31682012</v>
      </c>
      <c r="L25" s="20" t="n">
        <v>0.31801206</v>
      </c>
      <c r="M25" s="18" t="n">
        <v>0</v>
      </c>
      <c r="N25" s="20" t="n">
        <v>0</v>
      </c>
      <c r="O25" s="18" t="n">
        <v>0</v>
      </c>
      <c r="P25" s="20" t="n">
        <v>0</v>
      </c>
      <c r="Q25" s="18" t="n">
        <v>0.9653297199999999</v>
      </c>
      <c r="R25" s="20" t="n">
        <v>0.55755668</v>
      </c>
    </row>
    <row r="26" spans="1:18">
      <c r="A26" s="15" t="s">
        <v>584</v>
      </c>
      <c r="B26" s="17" t="n">
        <v>2419</v>
      </c>
      <c r="C26" s="18">
        <f>(2145.0/B26*100)</f>
        <v/>
      </c>
      <c r="D26" s="19" t="n">
        <v>274</v>
      </c>
      <c r="E26" s="18" t="n">
        <v>52.07613383</v>
      </c>
      <c r="F26" s="20" t="n">
        <v>3.28452744</v>
      </c>
      <c r="G26" s="18" t="n">
        <v>47.92386617</v>
      </c>
      <c r="H26" s="20" t="n">
        <v>3.28452744</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(2386.0/B27*100)</f>
        <v/>
      </c>
      <c r="D27" s="19" t="n">
        <v>297</v>
      </c>
      <c r="E27" s="18" t="n">
        <v>59.36423569</v>
      </c>
      <c r="F27" s="20" t="n">
        <v>2.62177477</v>
      </c>
      <c r="G27" s="18" t="n">
        <v>38.54031677</v>
      </c>
      <c r="H27" s="20" t="n">
        <v>2.56313111</v>
      </c>
      <c r="I27" s="18" t="n">
        <v>0</v>
      </c>
      <c r="J27" s="20" t="n">
        <v>0</v>
      </c>
      <c r="K27" s="18" t="n">
        <v>0</v>
      </c>
      <c r="L27" s="20" t="n">
        <v>0</v>
      </c>
      <c r="M27" s="18" t="n">
        <v>0</v>
      </c>
      <c r="N27" s="20" t="n">
        <v>0</v>
      </c>
      <c r="O27" s="18" t="n">
        <v>0</v>
      </c>
      <c r="P27" s="20" t="n">
        <v>0</v>
      </c>
      <c r="Q27" s="18" t="n">
        <v>2.09544754</v>
      </c>
      <c r="R27" s="20" t="n">
        <v>0.9644938</v>
      </c>
    </row>
    <row r="28" spans="1:18">
      <c r="A28" s="15" t="s">
        <v>586</v>
      </c>
      <c r="B28" s="17" t="n">
        <v>3803</v>
      </c>
      <c r="C28" s="18">
        <f>(3385.0/B28*100)</f>
        <v/>
      </c>
      <c r="D28" s="19" t="n">
        <v>418</v>
      </c>
      <c r="E28" s="18" t="n">
        <v>71.48350224000001</v>
      </c>
      <c r="F28" s="20" t="n">
        <v>2.37697758</v>
      </c>
      <c r="G28" s="18" t="n">
        <v>26.5825756</v>
      </c>
      <c r="H28" s="20" t="n">
        <v>2.35153613</v>
      </c>
      <c r="I28" s="18" t="n">
        <v>0</v>
      </c>
      <c r="J28" s="20" t="n">
        <v>0</v>
      </c>
      <c r="K28" s="18" t="n">
        <v>0.42509433</v>
      </c>
      <c r="L28" s="20" t="n">
        <v>0.42235883</v>
      </c>
      <c r="M28" s="18" t="n">
        <v>0</v>
      </c>
      <c r="N28" s="20" t="n">
        <v>0</v>
      </c>
      <c r="O28" s="18" t="n">
        <v>0</v>
      </c>
      <c r="P28" s="20" t="n">
        <v>0</v>
      </c>
      <c r="Q28" s="18" t="n">
        <v>1.50882784</v>
      </c>
      <c r="R28" s="20" t="n">
        <v>0.5763669</v>
      </c>
    </row>
    <row r="29" spans="1:18">
      <c r="A29" s="15" t="s">
        <v>587</v>
      </c>
      <c r="B29" s="17" t="n">
        <v>2700</v>
      </c>
      <c r="C29" s="18">
        <f>(2399.0/B29*100)</f>
        <v/>
      </c>
      <c r="D29" s="19" t="n">
        <v>301</v>
      </c>
      <c r="E29" s="18" t="n">
        <v>66.2074336</v>
      </c>
      <c r="F29" s="20" t="n">
        <v>3.31271817</v>
      </c>
      <c r="G29" s="18" t="n">
        <v>32.9783702</v>
      </c>
      <c r="H29" s="20" t="n">
        <v>3.24482227</v>
      </c>
      <c r="I29" s="18" t="n">
        <v>0</v>
      </c>
      <c r="J29" s="20" t="n">
        <v>0</v>
      </c>
      <c r="K29" s="18" t="n">
        <v>0</v>
      </c>
      <c r="L29" s="20" t="n">
        <v>0</v>
      </c>
      <c r="M29" s="18" t="n">
        <v>0</v>
      </c>
      <c r="N29" s="20" t="n">
        <v>0</v>
      </c>
      <c r="O29" s="18" t="n">
        <v>0</v>
      </c>
      <c r="P29" s="20" t="n">
        <v>0</v>
      </c>
      <c r="Q29" s="18" t="n">
        <v>0.81419619</v>
      </c>
      <c r="R29" s="20" t="n">
        <v>0.5610027</v>
      </c>
    </row>
    <row r="30" spans="1:18">
      <c r="A30" s="15" t="s">
        <v>588</v>
      </c>
      <c r="B30" s="17" t="n">
        <v>2257</v>
      </c>
      <c r="C30" s="18">
        <f>(2004.0/B30*100)</f>
        <v/>
      </c>
      <c r="D30" s="19" t="n">
        <v>253</v>
      </c>
      <c r="E30" s="18" t="n">
        <v>68.41929107</v>
      </c>
      <c r="F30" s="20" t="n">
        <v>2.73096124</v>
      </c>
      <c r="G30" s="18" t="n">
        <v>29.77453051</v>
      </c>
      <c r="H30" s="20" t="n">
        <v>2.54195786</v>
      </c>
      <c r="I30" s="18" t="n">
        <v>0</v>
      </c>
      <c r="J30" s="20" t="n">
        <v>0</v>
      </c>
      <c r="K30" s="18" t="n">
        <v>0.38631394</v>
      </c>
      <c r="L30" s="20" t="n">
        <v>0.37823222</v>
      </c>
      <c r="M30" s="18" t="n">
        <v>0</v>
      </c>
      <c r="N30" s="20" t="n">
        <v>0</v>
      </c>
      <c r="O30" s="18" t="n">
        <v>0</v>
      </c>
      <c r="P30" s="20" t="n">
        <v>0</v>
      </c>
      <c r="Q30" s="18" t="n">
        <v>1.41986448</v>
      </c>
      <c r="R30" s="20" t="n">
        <v>0.83473529</v>
      </c>
    </row>
    <row r="31" spans="1:18">
      <c r="A31" s="15" t="s">
        <v>589</v>
      </c>
      <c r="B31" s="17" t="n">
        <v>2706</v>
      </c>
      <c r="C31" s="18">
        <f>(2402.0/B31*100)</f>
        <v/>
      </c>
      <c r="D31" s="19" t="n">
        <v>304</v>
      </c>
      <c r="E31" s="18" t="n">
        <v>43.36813542</v>
      </c>
      <c r="F31" s="20" t="n">
        <v>3.04618309</v>
      </c>
      <c r="G31" s="18" t="n">
        <v>55.65888566</v>
      </c>
      <c r="H31" s="20" t="n">
        <v>2.93217521</v>
      </c>
      <c r="I31" s="18" t="n">
        <v>0</v>
      </c>
      <c r="J31" s="20" t="n">
        <v>0</v>
      </c>
      <c r="K31" s="18" t="n">
        <v>0</v>
      </c>
      <c r="L31" s="20" t="n">
        <v>0</v>
      </c>
      <c r="M31" s="18" t="n">
        <v>0</v>
      </c>
      <c r="N31" s="20" t="n">
        <v>0</v>
      </c>
      <c r="O31" s="18" t="n">
        <v>0</v>
      </c>
      <c r="P31" s="20" t="n">
        <v>0</v>
      </c>
      <c r="Q31" s="18" t="n">
        <v>0.97297892</v>
      </c>
      <c r="R31" s="20" t="n">
        <v>0.59541269</v>
      </c>
    </row>
    <row r="32" spans="1:18">
      <c r="A32" s="15" t="s">
        <v>590</v>
      </c>
      <c r="B32" s="17" t="n">
        <v>2209</v>
      </c>
      <c r="C32" s="18">
        <f>(1962.0/B32*100)</f>
        <v/>
      </c>
      <c r="D32" s="19" t="n">
        <v>247</v>
      </c>
      <c r="E32" s="18" t="n">
        <v>55.32430275</v>
      </c>
      <c r="F32" s="20" t="n">
        <v>2.88994158</v>
      </c>
      <c r="G32" s="18" t="n">
        <v>44.67569725</v>
      </c>
      <c r="H32" s="20" t="n">
        <v>2.88994158</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(3246.0/B33*100)</f>
        <v/>
      </c>
      <c r="D33" s="19" t="n">
        <v>405</v>
      </c>
      <c r="E33" s="18" t="n">
        <v>61.91834829</v>
      </c>
      <c r="F33" s="20" t="n">
        <v>3.3618624</v>
      </c>
      <c r="G33" s="18" t="n">
        <v>36.93595656</v>
      </c>
      <c r="H33" s="20" t="n">
        <v>3.44520034</v>
      </c>
      <c r="I33" s="18" t="n">
        <v>0</v>
      </c>
      <c r="J33" s="20" t="n">
        <v>0</v>
      </c>
      <c r="K33" s="18" t="n">
        <v>0</v>
      </c>
      <c r="L33" s="20" t="n">
        <v>0</v>
      </c>
      <c r="M33" s="18" t="n">
        <v>0</v>
      </c>
      <c r="N33" s="20" t="n">
        <v>0</v>
      </c>
      <c r="O33" s="18" t="n">
        <v>0</v>
      </c>
      <c r="P33" s="20" t="n">
        <v>0</v>
      </c>
      <c r="Q33" s="18" t="n">
        <v>1.14569515</v>
      </c>
      <c r="R33" s="20" t="n">
        <v>0.46278373</v>
      </c>
    </row>
    <row r="34" spans="1:18">
      <c r="A34" s="15" t="s">
        <v>592</v>
      </c>
      <c r="B34" s="17" t="n">
        <v>3035</v>
      </c>
      <c r="C34" s="18">
        <f>(2725.0/B34*100)</f>
        <v/>
      </c>
      <c r="D34" s="19" t="n">
        <v>310</v>
      </c>
      <c r="E34" s="18" t="n">
        <v>72.91552249999999</v>
      </c>
      <c r="F34" s="20" t="n">
        <v>3.16826106</v>
      </c>
      <c r="G34" s="18" t="n">
        <v>27.0844775</v>
      </c>
      <c r="H34" s="20" t="n">
        <v>3.16826106</v>
      </c>
      <c r="I34" s="18" t="n">
        <v>0</v>
      </c>
      <c r="J34" s="20" t="n">
        <v>0</v>
      </c>
      <c r="K34" s="18" t="n">
        <v>0</v>
      </c>
      <c r="L34" s="20" t="n">
        <v>0</v>
      </c>
      <c r="M34" s="18" t="n">
        <v>0</v>
      </c>
      <c r="N34" s="20" t="n">
        <v>0</v>
      </c>
      <c r="O34" s="18" t="n">
        <v>0</v>
      </c>
      <c r="P34" s="20" t="n">
        <v>0</v>
      </c>
      <c r="Q34" s="18" t="n">
        <v>0</v>
      </c>
      <c r="R34" s="20" t="n">
        <v>0</v>
      </c>
    </row>
    <row r="35" spans="1:18">
      <c r="A35" s="15" t="s">
        <v>593</v>
      </c>
      <c r="B35" s="17" t="n">
        <v>2901</v>
      </c>
      <c r="C35" s="18">
        <f>(2592.0/B35*100)</f>
        <v/>
      </c>
      <c r="D35" s="19" t="n">
        <v>309</v>
      </c>
      <c r="E35" s="18" t="n">
        <v>55.98707864</v>
      </c>
      <c r="F35" s="20" t="n">
        <v>4.0215795</v>
      </c>
      <c r="G35" s="18" t="n">
        <v>43.04627657</v>
      </c>
      <c r="H35" s="20" t="n">
        <v>3.99582884</v>
      </c>
      <c r="I35" s="18" t="n">
        <v>0</v>
      </c>
      <c r="J35" s="20" t="n">
        <v>0</v>
      </c>
      <c r="K35" s="18" t="n">
        <v>0</v>
      </c>
      <c r="L35" s="20" t="n">
        <v>0</v>
      </c>
      <c r="M35" s="18" t="n">
        <v>0</v>
      </c>
      <c r="N35" s="20" t="n">
        <v>0</v>
      </c>
      <c r="O35" s="18" t="n">
        <v>0</v>
      </c>
      <c r="P35" s="20" t="n">
        <v>0</v>
      </c>
      <c r="Q35" s="18" t="n">
        <v>0.96664478</v>
      </c>
      <c r="R35" s="20" t="n">
        <v>0.78839845</v>
      </c>
    </row>
    <row r="36" spans="1:18">
      <c r="A36" s="15" t="s">
        <v>594</v>
      </c>
      <c r="B36" s="17" t="n">
        <v>3404</v>
      </c>
      <c r="C36" s="18">
        <f>(3020.0/B36*100)</f>
        <v/>
      </c>
      <c r="D36" s="19" t="n">
        <v>384</v>
      </c>
      <c r="E36" s="18" t="n">
        <v>61.86436682</v>
      </c>
      <c r="F36" s="20" t="n">
        <v>2.21100512</v>
      </c>
      <c r="G36" s="18" t="n">
        <v>36.611211</v>
      </c>
      <c r="H36" s="20" t="n">
        <v>2.19398381</v>
      </c>
      <c r="I36" s="18" t="n">
        <v>0</v>
      </c>
      <c r="J36" s="20" t="n">
        <v>0</v>
      </c>
      <c r="K36" s="18" t="n">
        <v>0</v>
      </c>
      <c r="L36" s="20" t="n">
        <v>0</v>
      </c>
      <c r="M36" s="18" t="n">
        <v>0</v>
      </c>
      <c r="N36" s="20" t="n">
        <v>0</v>
      </c>
      <c r="O36" s="18" t="n">
        <v>0</v>
      </c>
      <c r="P36" s="20" t="n">
        <v>0</v>
      </c>
      <c r="Q36" s="18" t="n">
        <v>1.52442217</v>
      </c>
      <c r="R36" s="20" t="n">
        <v>0.66859496</v>
      </c>
    </row>
    <row r="37" spans="1:18">
      <c r="A37" s="15" t="s">
        <v>595</v>
      </c>
      <c r="B37" s="17" t="n">
        <v>2731</v>
      </c>
      <c r="C37" s="18">
        <f>(2438.0/B37*100)</f>
        <v/>
      </c>
      <c r="D37" s="19" t="n">
        <v>293</v>
      </c>
      <c r="E37" s="18" t="n">
        <v>55.54852187</v>
      </c>
      <c r="F37" s="20" t="n">
        <v>2.83761471</v>
      </c>
      <c r="G37" s="18" t="n">
        <v>43.72797042</v>
      </c>
      <c r="H37" s="20" t="n">
        <v>2.88341246</v>
      </c>
      <c r="I37" s="18" t="n">
        <v>0</v>
      </c>
      <c r="J37" s="20" t="n">
        <v>0</v>
      </c>
      <c r="K37" s="18" t="n">
        <v>0.38177432</v>
      </c>
      <c r="L37" s="20" t="n">
        <v>0.37926205</v>
      </c>
      <c r="M37" s="18" t="n">
        <v>0</v>
      </c>
      <c r="N37" s="20" t="n">
        <v>0</v>
      </c>
      <c r="O37" s="18" t="n">
        <v>0</v>
      </c>
      <c r="P37" s="20" t="n">
        <v>0</v>
      </c>
      <c r="Q37" s="18" t="n">
        <v>0.34173339</v>
      </c>
      <c r="R37" s="20" t="n">
        <v>0.33983336</v>
      </c>
    </row>
    <row r="38" spans="1:18">
      <c r="A38" s="15" t="s">
        <v>596</v>
      </c>
      <c r="B38" s="17" t="n">
        <v>2807</v>
      </c>
      <c r="C38" s="18">
        <f>(2510.0/B38*100)</f>
        <v/>
      </c>
      <c r="D38" s="19" t="n">
        <v>297</v>
      </c>
      <c r="E38" s="18" t="n">
        <v>53.543888</v>
      </c>
      <c r="F38" s="20" t="n">
        <v>3.25553195</v>
      </c>
      <c r="G38" s="18" t="n">
        <v>46.40549174</v>
      </c>
      <c r="H38" s="20" t="n">
        <v>3.25049498</v>
      </c>
      <c r="I38" s="18" t="n">
        <v>0</v>
      </c>
      <c r="J38" s="20" t="n">
        <v>0</v>
      </c>
      <c r="K38" s="18" t="n">
        <v>0</v>
      </c>
      <c r="L38" s="20" t="n">
        <v>0</v>
      </c>
      <c r="M38" s="18" t="n">
        <v>0</v>
      </c>
      <c r="N38" s="20" t="n">
        <v>0</v>
      </c>
      <c r="O38" s="18" t="n">
        <v>0</v>
      </c>
      <c r="P38" s="20" t="n">
        <v>0</v>
      </c>
      <c r="Q38" s="18" t="n">
        <v>0.05062027</v>
      </c>
      <c r="R38" s="20" t="n">
        <v>0.03754905</v>
      </c>
    </row>
    <row r="39" spans="1:18">
      <c r="A39" s="15" t="s">
        <v>597</v>
      </c>
      <c r="B39" s="17" t="n">
        <v>2938</v>
      </c>
      <c r="C39" s="18">
        <f>(2617.0/B39*100)</f>
        <v/>
      </c>
      <c r="D39" s="19" t="n">
        <v>321</v>
      </c>
      <c r="E39" s="18" t="n">
        <v>77.9933195</v>
      </c>
      <c r="F39" s="20" t="n">
        <v>2.17721387</v>
      </c>
      <c r="G39" s="18" t="n">
        <v>20.9342589</v>
      </c>
      <c r="H39" s="20" t="n">
        <v>2.26482824</v>
      </c>
      <c r="I39" s="18" t="n">
        <v>0</v>
      </c>
      <c r="J39" s="20" t="n">
        <v>0</v>
      </c>
      <c r="K39" s="18" t="n">
        <v>0</v>
      </c>
      <c r="L39" s="20" t="n">
        <v>0</v>
      </c>
      <c r="M39" s="18" t="n">
        <v>0</v>
      </c>
      <c r="N39" s="20" t="n">
        <v>0</v>
      </c>
      <c r="O39" s="18" t="n">
        <v>0</v>
      </c>
      <c r="P39" s="20" t="n">
        <v>0</v>
      </c>
      <c r="Q39" s="18" t="n">
        <v>1.0724216</v>
      </c>
      <c r="R39" s="20" t="n">
        <v>0.517338</v>
      </c>
    </row>
    <row r="40" spans="1:18">
      <c r="A40" s="15" t="s">
        <v>598</v>
      </c>
      <c r="B40" s="17" t="n">
        <v>6922</v>
      </c>
      <c r="C40" s="18">
        <f>(6127.0/B40*100)</f>
        <v/>
      </c>
      <c r="D40" s="19" t="n">
        <v>795</v>
      </c>
      <c r="E40" s="18" t="n">
        <v>77.49938172</v>
      </c>
      <c r="F40" s="20" t="n">
        <v>2.15013007</v>
      </c>
      <c r="G40" s="18" t="n">
        <v>21.40040039</v>
      </c>
      <c r="H40" s="20" t="n">
        <v>2.07608445</v>
      </c>
      <c r="I40" s="18" t="n">
        <v>0</v>
      </c>
      <c r="J40" s="20" t="n">
        <v>0</v>
      </c>
      <c r="K40" s="18" t="n">
        <v>0.0294845</v>
      </c>
      <c r="L40" s="20" t="n">
        <v>0.0280623</v>
      </c>
      <c r="M40" s="18" t="n">
        <v>0</v>
      </c>
      <c r="N40" s="20" t="n">
        <v>0</v>
      </c>
      <c r="O40" s="18" t="n">
        <v>0</v>
      </c>
      <c r="P40" s="20" t="n">
        <v>0</v>
      </c>
      <c r="Q40" s="18" t="n">
        <v>1.0707334</v>
      </c>
      <c r="R40" s="20" t="n">
        <v>0.507676</v>
      </c>
    </row>
    <row r="41" spans="1:18">
      <c r="A41" s="15" t="s">
        <v>599</v>
      </c>
      <c r="B41" s="17" t="n">
        <v>2854</v>
      </c>
      <c r="C41" s="18">
        <f>(2570.0/B41*100)</f>
        <v/>
      </c>
      <c r="D41" s="19" t="n">
        <v>284</v>
      </c>
      <c r="E41" s="18" t="n">
        <v>76.77896543</v>
      </c>
      <c r="F41" s="20" t="n">
        <v>2.51107503</v>
      </c>
      <c r="G41" s="18" t="n">
        <v>22.29819426</v>
      </c>
      <c r="H41" s="20" t="n">
        <v>2.42705421</v>
      </c>
      <c r="I41" s="18" t="n">
        <v>0</v>
      </c>
      <c r="J41" s="20" t="n">
        <v>0</v>
      </c>
      <c r="K41" s="18" t="n">
        <v>0</v>
      </c>
      <c r="L41" s="20" t="n">
        <v>0</v>
      </c>
      <c r="M41" s="18" t="n">
        <v>0</v>
      </c>
      <c r="N41" s="20" t="n">
        <v>0</v>
      </c>
      <c r="O41" s="18" t="n">
        <v>0</v>
      </c>
      <c r="P41" s="20" t="n">
        <v>0</v>
      </c>
      <c r="Q41" s="18" t="n">
        <v>0.92284031</v>
      </c>
      <c r="R41" s="20" t="n">
        <v>0.49549509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(10916.0/B46*100)</f>
        <v/>
      </c>
      <c r="D46" s="19" t="n">
        <v>1157</v>
      </c>
      <c r="E46" s="18" t="n">
        <v>71.30059489999999</v>
      </c>
      <c r="F46" s="20" t="n">
        <v>1.91822414</v>
      </c>
      <c r="G46" s="18" t="n">
        <v>25.67783479</v>
      </c>
      <c r="H46" s="20" t="n">
        <v>1.81870565</v>
      </c>
      <c r="I46" s="18" t="n">
        <v>0</v>
      </c>
      <c r="J46" s="20" t="n">
        <v>0</v>
      </c>
      <c r="K46" s="18" t="n">
        <v>0.99923655</v>
      </c>
      <c r="L46" s="20" t="n">
        <v>0.34773668</v>
      </c>
      <c r="M46" s="18" t="n">
        <v>0</v>
      </c>
      <c r="N46" s="20" t="n">
        <v>0</v>
      </c>
      <c r="O46" s="18" t="n">
        <v>0</v>
      </c>
      <c r="P46" s="20" t="n">
        <v>0</v>
      </c>
      <c r="Q46" s="18" t="n">
        <v>2.02233376</v>
      </c>
      <c r="R46" s="20" t="n">
        <v>0.60930454</v>
      </c>
    </row>
    <row r="47" spans="1:18">
      <c r="A47" s="15" t="s">
        <v>606</v>
      </c>
      <c r="B47" s="17" t="n">
        <v>2823</v>
      </c>
      <c r="C47" s="18">
        <f>(2534.0/B47*100)</f>
        <v/>
      </c>
      <c r="D47" s="19" t="n">
        <v>289</v>
      </c>
      <c r="E47" s="18" t="n">
        <v>58.12191001</v>
      </c>
      <c r="F47" s="20" t="n">
        <v>2.86313124</v>
      </c>
      <c r="G47" s="18" t="n">
        <v>40.524608</v>
      </c>
      <c r="H47" s="20" t="n">
        <v>2.82266426</v>
      </c>
      <c r="I47" s="18" t="n">
        <v>0</v>
      </c>
      <c r="J47" s="20" t="n">
        <v>0</v>
      </c>
      <c r="K47" s="18" t="n">
        <v>0</v>
      </c>
      <c r="L47" s="20" t="n">
        <v>0</v>
      </c>
      <c r="M47" s="18" t="n">
        <v>0</v>
      </c>
      <c r="N47" s="20" t="n">
        <v>0</v>
      </c>
      <c r="O47" s="18" t="n">
        <v>0</v>
      </c>
      <c r="P47" s="20" t="n">
        <v>0</v>
      </c>
      <c r="Q47" s="18" t="n">
        <v>1.35348199</v>
      </c>
      <c r="R47" s="20" t="n">
        <v>0.6787129200000001</v>
      </c>
    </row>
    <row r="48" spans="1:18">
      <c r="A48" s="15" t="s">
        <v>607</v>
      </c>
      <c r="B48" s="17" t="n">
        <v>4682</v>
      </c>
      <c r="C48" s="18">
        <f>(4157.0/B48*100)</f>
        <v/>
      </c>
      <c r="D48" s="19" t="n">
        <v>525</v>
      </c>
      <c r="E48" s="18" t="n">
        <v>44.29637473</v>
      </c>
      <c r="F48" s="20" t="n">
        <v>3.05864923</v>
      </c>
      <c r="G48" s="18" t="n">
        <v>54.38516095</v>
      </c>
      <c r="H48" s="20" t="n">
        <v>3.0661051</v>
      </c>
      <c r="I48" s="18" t="n">
        <v>0</v>
      </c>
      <c r="J48" s="20" t="n">
        <v>0</v>
      </c>
      <c r="K48" s="18" t="n">
        <v>0.58436174</v>
      </c>
      <c r="L48" s="20" t="n">
        <v>0.41601435</v>
      </c>
      <c r="M48" s="18" t="n">
        <v>0</v>
      </c>
      <c r="N48" s="20" t="n">
        <v>0</v>
      </c>
      <c r="O48" s="18" t="n">
        <v>0</v>
      </c>
      <c r="P48" s="20" t="n">
        <v>0</v>
      </c>
      <c r="Q48" s="18" t="n">
        <v>0.73410259</v>
      </c>
      <c r="R48" s="20" t="n">
        <v>0.44066546</v>
      </c>
    </row>
    <row r="49" spans="1:18">
      <c r="A49" s="15" t="s">
        <v>608</v>
      </c>
      <c r="B49" s="17" t="n">
        <v>6158</v>
      </c>
      <c r="C49" s="18">
        <f>(5497.0/B49*100)</f>
        <v/>
      </c>
      <c r="D49" s="19" t="n">
        <v>661</v>
      </c>
      <c r="E49" s="18" t="n">
        <v>77.08709983</v>
      </c>
      <c r="F49" s="20" t="n">
        <v>2.23776851</v>
      </c>
      <c r="G49" s="18" t="n">
        <v>20.26057137</v>
      </c>
      <c r="H49" s="20" t="n">
        <v>2.00486696</v>
      </c>
      <c r="I49" s="18" t="n">
        <v>0</v>
      </c>
      <c r="J49" s="20" t="n">
        <v>0</v>
      </c>
      <c r="K49" s="18" t="n">
        <v>1.84548506</v>
      </c>
      <c r="L49" s="20" t="n">
        <v>0.90706827</v>
      </c>
      <c r="M49" s="18" t="n">
        <v>0</v>
      </c>
      <c r="N49" s="20" t="n">
        <v>0</v>
      </c>
      <c r="O49" s="18" t="n">
        <v>0</v>
      </c>
      <c r="P49" s="20" t="n">
        <v>0</v>
      </c>
      <c r="Q49" s="18" t="n">
        <v>0.80684374</v>
      </c>
      <c r="R49" s="20" t="n">
        <v>0.35467075</v>
      </c>
    </row>
    <row r="50" spans="1:18">
      <c r="A50" s="15" t="s">
        <v>609</v>
      </c>
      <c r="B50" s="17" t="n">
        <v>3494</v>
      </c>
      <c r="C50" s="18">
        <f>(3154.0/B50*100)</f>
        <v/>
      </c>
      <c r="D50" s="19" t="n">
        <v>340</v>
      </c>
      <c r="E50" s="18" t="n">
        <v>73.87265484</v>
      </c>
      <c r="F50" s="20" t="n">
        <v>2.4451911</v>
      </c>
      <c r="G50" s="18" t="n">
        <v>25.41958555</v>
      </c>
      <c r="H50" s="20" t="n">
        <v>2.46325761</v>
      </c>
      <c r="I50" s="18" t="n">
        <v>0</v>
      </c>
      <c r="J50" s="20" t="n">
        <v>0</v>
      </c>
      <c r="K50" s="18" t="n">
        <v>0</v>
      </c>
      <c r="L50" s="20" t="n">
        <v>0</v>
      </c>
      <c r="M50" s="18" t="n">
        <v>0</v>
      </c>
      <c r="N50" s="20" t="n">
        <v>0</v>
      </c>
      <c r="O50" s="18" t="n">
        <v>0</v>
      </c>
      <c r="P50" s="20" t="n">
        <v>0</v>
      </c>
      <c r="Q50" s="18" t="n">
        <v>0.70775961</v>
      </c>
      <c r="R50" s="20" t="n">
        <v>0.36236338</v>
      </c>
    </row>
    <row r="51" spans="1:18">
      <c r="A51" s="15" t="s">
        <v>610</v>
      </c>
      <c r="B51" s="17" t="n">
        <v>3013</v>
      </c>
      <c r="C51" s="18">
        <f>(2682.0/B51*100)</f>
        <v/>
      </c>
      <c r="D51" s="19" t="n">
        <v>331</v>
      </c>
      <c r="E51" s="18" t="n">
        <v>68.65518745</v>
      </c>
      <c r="F51" s="20" t="n">
        <v>2.38076587</v>
      </c>
      <c r="G51" s="18" t="n">
        <v>31.04629679</v>
      </c>
      <c r="H51" s="20" t="n">
        <v>2.38438663</v>
      </c>
      <c r="I51" s="18" t="n">
        <v>0</v>
      </c>
      <c r="J51" s="20" t="n">
        <v>0</v>
      </c>
      <c r="K51" s="18" t="n">
        <v>0</v>
      </c>
      <c r="L51" s="20" t="n">
        <v>0</v>
      </c>
      <c r="M51" s="18" t="n">
        <v>0</v>
      </c>
      <c r="N51" s="20" t="n">
        <v>0</v>
      </c>
      <c r="O51" s="18" t="n">
        <v>0</v>
      </c>
      <c r="P51" s="20" t="n">
        <v>0</v>
      </c>
      <c r="Q51" s="18" t="n">
        <v>0.29851576</v>
      </c>
      <c r="R51" s="20" t="n">
        <v>0.29740749</v>
      </c>
    </row>
    <row r="52" spans="1:18">
      <c r="A52" s="15" t="s">
        <v>611</v>
      </c>
      <c r="B52" s="17" t="n">
        <v>2760</v>
      </c>
      <c r="C52" s="18">
        <f>(2430.0/B52*100)</f>
        <v/>
      </c>
      <c r="D52" s="19" t="n">
        <v>330</v>
      </c>
      <c r="E52" s="18" t="n">
        <v>66.8533458</v>
      </c>
      <c r="F52" s="20" t="n">
        <v>3.04218295</v>
      </c>
      <c r="G52" s="18" t="n">
        <v>32.89028244</v>
      </c>
      <c r="H52" s="20" t="n">
        <v>3.03940077</v>
      </c>
      <c r="I52" s="18" t="n">
        <v>0</v>
      </c>
      <c r="J52" s="20" t="n">
        <v>0</v>
      </c>
      <c r="K52" s="18" t="n">
        <v>0</v>
      </c>
      <c r="L52" s="20" t="n">
        <v>0</v>
      </c>
      <c r="M52" s="18" t="n">
        <v>0</v>
      </c>
      <c r="N52" s="20" t="n">
        <v>0</v>
      </c>
      <c r="O52" s="18" t="n">
        <v>0</v>
      </c>
      <c r="P52" s="20" t="n">
        <v>0</v>
      </c>
      <c r="Q52" s="18" t="n">
        <v>0.25637176</v>
      </c>
      <c r="R52" s="20" t="n">
        <v>0.25814349</v>
      </c>
    </row>
    <row r="53" spans="1:18">
      <c r="A53" s="15" t="s">
        <v>612</v>
      </c>
      <c r="B53" s="17" t="n">
        <v>2474</v>
      </c>
      <c r="C53" s="18">
        <f>(2205.0/B53*100)</f>
        <v/>
      </c>
      <c r="D53" s="19" t="n">
        <v>269</v>
      </c>
      <c r="E53" s="18" t="n">
        <v>70.37278594</v>
      </c>
      <c r="F53" s="20" t="n">
        <v>3.01002959</v>
      </c>
      <c r="G53" s="18" t="n">
        <v>11.79016955</v>
      </c>
      <c r="H53" s="20" t="n">
        <v>2.44194586</v>
      </c>
      <c r="I53" s="18" t="n">
        <v>0</v>
      </c>
      <c r="J53" s="20" t="n">
        <v>0</v>
      </c>
      <c r="K53" s="18" t="n">
        <v>14.49625035</v>
      </c>
      <c r="L53" s="20" t="n">
        <v>2.42164985</v>
      </c>
      <c r="M53" s="18" t="n">
        <v>0</v>
      </c>
      <c r="N53" s="20" t="n">
        <v>0</v>
      </c>
      <c r="O53" s="18" t="n">
        <v>0</v>
      </c>
      <c r="P53" s="20" t="n">
        <v>0</v>
      </c>
      <c r="Q53" s="18" t="n">
        <v>3.34079416</v>
      </c>
      <c r="R53" s="20" t="n">
        <v>1.20645258</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(2381.0/B55*100)</f>
        <v/>
      </c>
      <c r="D55" s="19" t="n">
        <v>294</v>
      </c>
      <c r="E55" s="18" t="n">
        <v>54.57463024</v>
      </c>
      <c r="F55" s="20" t="n">
        <v>3.05515575</v>
      </c>
      <c r="G55" s="18" t="n">
        <v>44.39289389</v>
      </c>
      <c r="H55" s="20" t="n">
        <v>2.88422107</v>
      </c>
      <c r="I55" s="18" t="n">
        <v>0</v>
      </c>
      <c r="J55" s="20" t="n">
        <v>0</v>
      </c>
      <c r="K55" s="18" t="n">
        <v>0.67019828</v>
      </c>
      <c r="L55" s="20" t="n">
        <v>0.65222255</v>
      </c>
      <c r="M55" s="18" t="n">
        <v>0</v>
      </c>
      <c r="N55" s="20" t="n">
        <v>0</v>
      </c>
      <c r="O55" s="18" t="n">
        <v>0</v>
      </c>
      <c r="P55" s="20" t="n">
        <v>0</v>
      </c>
      <c r="Q55" s="18" t="n">
        <v>0.3622776</v>
      </c>
      <c r="R55" s="20" t="n">
        <v>0.34880222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(2833.0/B61*100)</f>
        <v/>
      </c>
      <c r="D61" s="19" t="n">
        <v>368</v>
      </c>
      <c r="E61" s="18" t="n">
        <v>46.34964851</v>
      </c>
      <c r="F61" s="20" t="n">
        <v>2.96958644</v>
      </c>
      <c r="G61" s="18" t="n">
        <v>53.0428965</v>
      </c>
      <c r="H61" s="20" t="n">
        <v>2.83468406</v>
      </c>
      <c r="I61" s="18" t="n">
        <v>0</v>
      </c>
      <c r="J61" s="20" t="n">
        <v>0</v>
      </c>
      <c r="K61" s="18" t="n">
        <v>0</v>
      </c>
      <c r="L61" s="20" t="n">
        <v>0</v>
      </c>
      <c r="M61" s="18" t="n">
        <v>0</v>
      </c>
      <c r="N61" s="20" t="n">
        <v>0</v>
      </c>
      <c r="O61" s="18" t="n">
        <v>0</v>
      </c>
      <c r="P61" s="20" t="n">
        <v>0</v>
      </c>
      <c r="Q61" s="18" t="n">
        <v>0.60745499</v>
      </c>
      <c r="R61" s="20" t="n">
        <v>0.42428872</v>
      </c>
    </row>
    <row r="62" spans="1:18">
      <c r="A62" s="15" t="s">
        <v>622</v>
      </c>
      <c r="B62" s="17" t="n">
        <v>2230</v>
      </c>
      <c r="C62" s="18">
        <f>(1975.0/B62*100)</f>
        <v/>
      </c>
      <c r="D62" s="19" t="n">
        <v>255</v>
      </c>
      <c r="E62" s="18" t="n">
        <v>60.76711188</v>
      </c>
      <c r="F62" s="20" t="n">
        <v>3.34021591</v>
      </c>
      <c r="G62" s="18" t="n">
        <v>39.23288812</v>
      </c>
      <c r="H62" s="20" t="n">
        <v>3.34021591</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(2479.0/B67*100)</f>
        <v/>
      </c>
      <c r="D67" s="19" t="n">
        <v>292</v>
      </c>
      <c r="E67" s="18" t="n">
        <v>69.32662762</v>
      </c>
      <c r="F67" s="20" t="n">
        <v>2.97392674</v>
      </c>
      <c r="G67" s="18" t="n">
        <v>28.43076299</v>
      </c>
      <c r="H67" s="20" t="n">
        <v>2.75441068</v>
      </c>
      <c r="I67" s="18" t="n">
        <v>0</v>
      </c>
      <c r="J67" s="20" t="n">
        <v>0</v>
      </c>
      <c r="K67" s="18" t="n">
        <v>0.35290929</v>
      </c>
      <c r="L67" s="20" t="n">
        <v>0.35153283</v>
      </c>
      <c r="M67" s="18" t="n">
        <v>0</v>
      </c>
      <c r="N67" s="20" t="n">
        <v>0</v>
      </c>
      <c r="O67" s="18" t="n">
        <v>0</v>
      </c>
      <c r="P67" s="20" t="n">
        <v>0</v>
      </c>
      <c r="Q67" s="18" t="n">
        <v>1.88970009</v>
      </c>
      <c r="R67" s="20" t="n">
        <v>0.77602463</v>
      </c>
    </row>
    <row r="68" spans="1:18">
      <c r="A68" s="15" t="s">
        <v>628</v>
      </c>
      <c r="B68" s="17" t="n">
        <v>3460</v>
      </c>
      <c r="C68" s="18">
        <f>(3114.0/B68*100)</f>
        <v/>
      </c>
      <c r="D68" s="19" t="n">
        <v>346</v>
      </c>
      <c r="E68" s="18" t="n">
        <v>73.02253585</v>
      </c>
      <c r="F68" s="20" t="n">
        <v>2.6688256</v>
      </c>
      <c r="G68" s="18" t="n">
        <v>25.92304149</v>
      </c>
      <c r="H68" s="20" t="n">
        <v>2.74488544</v>
      </c>
      <c r="I68" s="18" t="n">
        <v>0</v>
      </c>
      <c r="J68" s="20" t="n">
        <v>0</v>
      </c>
      <c r="K68" s="18" t="n">
        <v>0.2769817</v>
      </c>
      <c r="L68" s="20" t="n">
        <v>0.30145303</v>
      </c>
      <c r="M68" s="18" t="n">
        <v>0</v>
      </c>
      <c r="N68" s="20" t="n">
        <v>0</v>
      </c>
      <c r="O68" s="18" t="n">
        <v>0</v>
      </c>
      <c r="P68" s="20" t="n">
        <v>0</v>
      </c>
      <c r="Q68" s="18" t="n">
        <v>0.77744096</v>
      </c>
      <c r="R68" s="20" t="n">
        <v>0.44840252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(5358.0/B70*100)</f>
        <v/>
      </c>
      <c r="D70" s="19" t="n">
        <v>676</v>
      </c>
      <c r="E70" s="18" t="n">
        <v>73.1747853</v>
      </c>
      <c r="F70" s="20" t="n">
        <v>1.62232029</v>
      </c>
      <c r="G70" s="18" t="n">
        <v>23.90947138</v>
      </c>
      <c r="H70" s="20" t="n">
        <v>1.61205437</v>
      </c>
      <c r="I70" s="18" t="n">
        <v>0</v>
      </c>
      <c r="J70" s="20" t="n">
        <v>0</v>
      </c>
      <c r="K70" s="18" t="n">
        <v>0.71834119</v>
      </c>
      <c r="L70" s="20" t="n">
        <v>0.32226127</v>
      </c>
      <c r="M70" s="18" t="n">
        <v>0</v>
      </c>
      <c r="N70" s="20" t="n">
        <v>0</v>
      </c>
      <c r="O70" s="18" t="n">
        <v>0</v>
      </c>
      <c r="P70" s="20" t="n">
        <v>0</v>
      </c>
      <c r="Q70" s="18" t="n">
        <v>2.19740213</v>
      </c>
      <c r="R70" s="20" t="n">
        <v>0.57244227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(2766.0/B72*100)</f>
        <v/>
      </c>
      <c r="D72" s="19" t="n">
        <v>341</v>
      </c>
      <c r="E72" s="18" t="n">
        <v>46.54468603</v>
      </c>
      <c r="F72" s="20" t="n">
        <v>2.62371846</v>
      </c>
      <c r="G72" s="18" t="n">
        <v>52.86530673</v>
      </c>
      <c r="H72" s="20" t="n">
        <v>2.60882092</v>
      </c>
      <c r="I72" s="18" t="n">
        <v>0</v>
      </c>
      <c r="J72" s="20" t="n">
        <v>0</v>
      </c>
      <c r="K72" s="18" t="n">
        <v>0</v>
      </c>
      <c r="L72" s="20" t="n">
        <v>0</v>
      </c>
      <c r="M72" s="18" t="n">
        <v>0</v>
      </c>
      <c r="N72" s="20" t="n">
        <v>0</v>
      </c>
      <c r="O72" s="18" t="n">
        <v>0</v>
      </c>
      <c r="P72" s="20" t="n">
        <v>0</v>
      </c>
      <c r="Q72" s="18" t="n">
        <v>0.59000724</v>
      </c>
      <c r="R72" s="20" t="n">
        <v>0.4919128</v>
      </c>
    </row>
    <row r="73" spans="1:18">
      <c r="A73" s="15" t="s">
        <v>633</v>
      </c>
      <c r="B73" s="17" t="n">
        <v>2973</v>
      </c>
      <c r="C73" s="18">
        <f>(2649.0/B73*100)</f>
        <v/>
      </c>
      <c r="D73" s="19" t="n">
        <v>324</v>
      </c>
      <c r="E73" s="18" t="n">
        <v>59.6640494</v>
      </c>
      <c r="F73" s="20" t="n">
        <v>3.06574419</v>
      </c>
      <c r="G73" s="18" t="n">
        <v>40.18298465</v>
      </c>
      <c r="H73" s="20" t="n">
        <v>3.0458782</v>
      </c>
      <c r="I73" s="18" t="n">
        <v>0</v>
      </c>
      <c r="J73" s="20" t="n">
        <v>0</v>
      </c>
      <c r="K73" s="18" t="n">
        <v>0</v>
      </c>
      <c r="L73" s="20" t="n">
        <v>0</v>
      </c>
      <c r="M73" s="18" t="n">
        <v>0</v>
      </c>
      <c r="N73" s="20" t="n">
        <v>0</v>
      </c>
      <c r="O73" s="18" t="n">
        <v>0</v>
      </c>
      <c r="P73" s="20" t="n">
        <v>0</v>
      </c>
      <c r="Q73" s="18" t="n">
        <v>0.15296595</v>
      </c>
      <c r="R73" s="20" t="n">
        <v>0.1538154</v>
      </c>
    </row>
    <row r="74" spans="1:18">
      <c r="A74" s="15" t="s">
        <v>634</v>
      </c>
      <c r="B74" s="17" t="n">
        <v>3819</v>
      </c>
      <c r="C74" s="18">
        <f>(3365.0/B74*100)</f>
        <v/>
      </c>
      <c r="D74" s="19" t="n">
        <v>454</v>
      </c>
      <c r="E74" s="18" t="n">
        <v>48.07739978</v>
      </c>
      <c r="F74" s="20" t="n">
        <v>2.47831346</v>
      </c>
      <c r="G74" s="18" t="n">
        <v>51.46312364</v>
      </c>
      <c r="H74" s="20" t="n">
        <v>2.53777582</v>
      </c>
      <c r="I74" s="18" t="n">
        <v>0</v>
      </c>
      <c r="J74" s="20" t="n">
        <v>0</v>
      </c>
      <c r="K74" s="18" t="n">
        <v>0.24192882</v>
      </c>
      <c r="L74" s="20" t="n">
        <v>0.2425848</v>
      </c>
      <c r="M74" s="18" t="n">
        <v>0</v>
      </c>
      <c r="N74" s="20" t="n">
        <v>0</v>
      </c>
      <c r="O74" s="18" t="n">
        <v>0</v>
      </c>
      <c r="P74" s="20" t="n">
        <v>0</v>
      </c>
      <c r="Q74" s="18" t="n">
        <v>0.21754776</v>
      </c>
      <c r="R74" s="20" t="n">
        <v>0.15665702</v>
      </c>
    </row>
    <row r="75" spans="1:18">
      <c r="A75" s="15" t="s">
        <v>635</v>
      </c>
      <c r="B75" s="17" t="n">
        <v>4652</v>
      </c>
      <c r="C75" s="18">
        <f>(4166.0/B75*100)</f>
        <v/>
      </c>
      <c r="D75" s="19" t="n">
        <v>486</v>
      </c>
      <c r="E75" s="18" t="n">
        <v>76.63437715000001</v>
      </c>
      <c r="F75" s="20" t="n">
        <v>2.21234944</v>
      </c>
      <c r="G75" s="18" t="n">
        <v>23.35721745</v>
      </c>
      <c r="H75" s="20" t="n">
        <v>2.21319228</v>
      </c>
      <c r="I75" s="18" t="n">
        <v>0</v>
      </c>
      <c r="J75" s="20" t="n">
        <v>0</v>
      </c>
      <c r="K75" s="18" t="n">
        <v>0</v>
      </c>
      <c r="L75" s="20" t="n">
        <v>0</v>
      </c>
      <c r="M75" s="18" t="n">
        <v>0</v>
      </c>
      <c r="N75" s="20" t="n">
        <v>0</v>
      </c>
      <c r="O75" s="18" t="n">
        <v>0</v>
      </c>
      <c r="P75" s="20" t="n">
        <v>0</v>
      </c>
      <c r="Q75" s="18" t="n">
        <v>0.00840539</v>
      </c>
      <c r="R75" s="20" t="n">
        <v>0.008330789999999999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(2674.0/B77*100)</f>
        <v/>
      </c>
      <c r="D77" s="19" t="n">
        <v>295</v>
      </c>
      <c r="E77" s="18" t="n">
        <v>55.77575525</v>
      </c>
      <c r="F77" s="20" t="n">
        <v>2.80264166</v>
      </c>
      <c r="G77" s="18" t="n">
        <v>39.4963959</v>
      </c>
      <c r="H77" s="20" t="n">
        <v>2.81983157</v>
      </c>
      <c r="I77" s="18" t="n">
        <v>0</v>
      </c>
      <c r="J77" s="20" t="n">
        <v>0</v>
      </c>
      <c r="K77" s="18" t="n">
        <v>2.0562269</v>
      </c>
      <c r="L77" s="20" t="n">
        <v>0.81388545</v>
      </c>
      <c r="M77" s="18" t="n">
        <v>0</v>
      </c>
      <c r="N77" s="20" t="n">
        <v>0</v>
      </c>
      <c r="O77" s="18" t="n">
        <v>0</v>
      </c>
      <c r="P77" s="20" t="n">
        <v>0</v>
      </c>
      <c r="Q77" s="18" t="n">
        <v>2.67162195</v>
      </c>
      <c r="R77" s="20" t="n">
        <v>0.98960814</v>
      </c>
    </row>
    <row r="78" spans="1:18">
      <c r="A78" s="15" t="s">
        <v>638</v>
      </c>
      <c r="B78" s="17" t="n">
        <v>7115</v>
      </c>
      <c r="C78" s="18">
        <f>(6297.0/B78*100)</f>
        <v/>
      </c>
      <c r="D78" s="19" t="n">
        <v>818</v>
      </c>
      <c r="E78" s="18" t="n">
        <v>70.12682847000001</v>
      </c>
      <c r="F78" s="20" t="n">
        <v>2.01784054</v>
      </c>
      <c r="G78" s="18" t="n">
        <v>28.26931819</v>
      </c>
      <c r="H78" s="20" t="n">
        <v>2.09669259</v>
      </c>
      <c r="I78" s="18" t="n">
        <v>0</v>
      </c>
      <c r="J78" s="20" t="n">
        <v>0</v>
      </c>
      <c r="K78" s="18" t="n">
        <v>0.86781128</v>
      </c>
      <c r="L78" s="20" t="n">
        <v>0.35875968</v>
      </c>
      <c r="M78" s="18" t="n">
        <v>0</v>
      </c>
      <c r="N78" s="20" t="n">
        <v>0</v>
      </c>
      <c r="O78" s="18" t="n">
        <v>0</v>
      </c>
      <c r="P78" s="20" t="n">
        <v>0</v>
      </c>
      <c r="Q78" s="18" t="n">
        <v>0.7360420600000001</v>
      </c>
      <c r="R78" s="20" t="n">
        <v>0.35127332</v>
      </c>
    </row>
    <row r="79" spans="1:18">
      <c r="A79" s="15" t="s">
        <v>639</v>
      </c>
      <c r="B79" s="17" t="n">
        <v>3154</v>
      </c>
      <c r="C79" s="18">
        <f>(2808.0/B79*100)</f>
        <v/>
      </c>
      <c r="D79" s="19" t="n">
        <v>346</v>
      </c>
      <c r="E79" s="18" t="n">
        <v>63.6417077</v>
      </c>
      <c r="F79" s="20" t="n">
        <v>2.52073995</v>
      </c>
      <c r="G79" s="18" t="n">
        <v>33.27173188</v>
      </c>
      <c r="H79" s="20" t="n">
        <v>2.45876947</v>
      </c>
      <c r="I79" s="18" t="n">
        <v>0</v>
      </c>
      <c r="J79" s="20" t="n">
        <v>0</v>
      </c>
      <c r="K79" s="18" t="n">
        <v>0.2561947</v>
      </c>
      <c r="L79" s="20" t="n">
        <v>0.25536341</v>
      </c>
      <c r="M79" s="18" t="n">
        <v>0</v>
      </c>
      <c r="N79" s="20" t="n">
        <v>0</v>
      </c>
      <c r="O79" s="18" t="n">
        <v>0</v>
      </c>
      <c r="P79" s="20" t="n">
        <v>0</v>
      </c>
      <c r="Q79" s="18" t="n">
        <v>2.83036572</v>
      </c>
      <c r="R79" s="20" t="n">
        <v>0.81646554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(14260.0/B82*100)</f>
        <v/>
      </c>
      <c r="D82" s="19" t="n">
        <v>1701</v>
      </c>
      <c r="E82" s="18" t="n">
        <v>62.13218809</v>
      </c>
      <c r="F82" s="20" t="n">
        <v>1.7465783</v>
      </c>
      <c r="G82" s="18" t="n">
        <v>36.96387149</v>
      </c>
      <c r="H82" s="20" t="n">
        <v>1.74059114</v>
      </c>
      <c r="I82" s="18" t="n">
        <v>0</v>
      </c>
      <c r="J82" s="20" t="n">
        <v>0</v>
      </c>
      <c r="K82" s="18" t="n">
        <v>0</v>
      </c>
      <c r="L82" s="20" t="n">
        <v>0</v>
      </c>
      <c r="M82" s="18" t="n">
        <v>0</v>
      </c>
      <c r="N82" s="20" t="n">
        <v>0</v>
      </c>
      <c r="O82" s="18" t="n">
        <v>0</v>
      </c>
      <c r="P82" s="20" t="n">
        <v>0</v>
      </c>
      <c r="Q82" s="18" t="n">
        <v>0.90394042</v>
      </c>
      <c r="R82" s="20" t="n">
        <v>0.32741632</v>
      </c>
    </row>
    <row r="83" spans="1:18">
      <c r="A83" s="15" t="s">
        <v>643</v>
      </c>
      <c r="B83" s="17" t="n">
        <v>808</v>
      </c>
      <c r="C83" s="18">
        <f>(721.0/B83*100)</f>
        <v/>
      </c>
      <c r="D83" s="19" t="n">
        <v>87</v>
      </c>
      <c r="E83" s="18" t="n">
        <v>71.07673396</v>
      </c>
      <c r="F83" s="20" t="n">
        <v>6.43020715</v>
      </c>
      <c r="G83" s="18" t="n">
        <v>28.92326604</v>
      </c>
      <c r="H83" s="20" t="n">
        <v>6.43020715</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(841.0/B84*100)</f>
        <v/>
      </c>
      <c r="D84" s="19" t="n">
        <v>97</v>
      </c>
      <c r="E84" s="18" t="n">
        <v>75.38934863999999</v>
      </c>
      <c r="F84" s="20" t="n">
        <v>4.84920064</v>
      </c>
      <c r="G84" s="18" t="n">
        <v>24.61065136</v>
      </c>
      <c r="H84" s="20" t="n">
        <v>4.84920064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(6345.0/B7*100)</f>
        <v/>
      </c>
      <c r="D7" s="19" t="n">
        <v>818</v>
      </c>
      <c r="E7" s="18" t="n">
        <v>47.9253369</v>
      </c>
      <c r="F7" s="20" t="n">
        <v>2.37028981</v>
      </c>
      <c r="G7" s="18" t="n">
        <v>51.24455594</v>
      </c>
      <c r="H7" s="20" t="n">
        <v>2.35294702</v>
      </c>
      <c r="I7" s="18" t="n">
        <v>0</v>
      </c>
      <c r="J7" s="20" t="n">
        <v>0</v>
      </c>
      <c r="K7" s="18" t="n">
        <v>0.14669181</v>
      </c>
      <c r="L7" s="20" t="n">
        <v>0.08637015000000001</v>
      </c>
      <c r="M7" s="18" t="n">
        <v>0</v>
      </c>
      <c r="N7" s="20" t="n">
        <v>0</v>
      </c>
      <c r="O7" s="18" t="n">
        <v>0</v>
      </c>
      <c r="P7" s="20" t="n">
        <v>0</v>
      </c>
      <c r="Q7" s="18" t="n">
        <v>0.68341535</v>
      </c>
      <c r="R7" s="20" t="n">
        <v>0.3064404</v>
      </c>
    </row>
    <row r="8" spans="1:18">
      <c r="A8" s="15" t="s">
        <v>566</v>
      </c>
      <c r="B8" s="17" t="n">
        <v>3443</v>
      </c>
      <c r="C8" s="18">
        <f>(3060.0/B8*100)</f>
        <v/>
      </c>
      <c r="D8" s="19" t="n">
        <v>383</v>
      </c>
      <c r="E8" s="18" t="n">
        <v>43.89173059</v>
      </c>
      <c r="F8" s="20" t="n">
        <v>2.77805848</v>
      </c>
      <c r="G8" s="18" t="n">
        <v>55.39173526</v>
      </c>
      <c r="H8" s="20" t="n">
        <v>2.81422696</v>
      </c>
      <c r="I8" s="18" t="n">
        <v>0</v>
      </c>
      <c r="J8" s="20" t="n">
        <v>0</v>
      </c>
      <c r="K8" s="18" t="n">
        <v>0</v>
      </c>
      <c r="L8" s="20" t="n">
        <v>0</v>
      </c>
      <c r="M8" s="18" t="n">
        <v>0</v>
      </c>
      <c r="N8" s="20" t="n">
        <v>0</v>
      </c>
      <c r="O8" s="18" t="n">
        <v>0</v>
      </c>
      <c r="P8" s="20" t="n">
        <v>0</v>
      </c>
      <c r="Q8" s="18" t="n">
        <v>0.71653415</v>
      </c>
      <c r="R8" s="20" t="n">
        <v>0.4035795</v>
      </c>
    </row>
    <row r="9" spans="1:18">
      <c r="A9" s="15" t="s">
        <v>567</v>
      </c>
      <c r="B9" s="17" t="n">
        <v>4752</v>
      </c>
      <c r="C9" s="18">
        <f>(4250.0/B9*100)</f>
        <v/>
      </c>
      <c r="D9" s="19" t="n">
        <v>502</v>
      </c>
      <c r="E9" s="18" t="n">
        <v>51.39849533</v>
      </c>
      <c r="F9" s="20" t="n">
        <v>2.2457881</v>
      </c>
      <c r="G9" s="18" t="n">
        <v>47.93033805</v>
      </c>
      <c r="H9" s="20" t="n">
        <v>2.3044035</v>
      </c>
      <c r="I9" s="18" t="n">
        <v>0</v>
      </c>
      <c r="J9" s="20" t="n">
        <v>0</v>
      </c>
      <c r="K9" s="18" t="n">
        <v>0</v>
      </c>
      <c r="L9" s="20" t="n">
        <v>0</v>
      </c>
      <c r="M9" s="18" t="n">
        <v>0</v>
      </c>
      <c r="N9" s="20" t="n">
        <v>0</v>
      </c>
      <c r="O9" s="18" t="n">
        <v>0</v>
      </c>
      <c r="P9" s="20" t="n">
        <v>0</v>
      </c>
      <c r="Q9" s="18" t="n">
        <v>0.67116662</v>
      </c>
      <c r="R9" s="20" t="n">
        <v>0.40115274</v>
      </c>
    </row>
    <row r="10" spans="1:18">
      <c r="A10" s="15" t="s">
        <v>568</v>
      </c>
      <c r="B10" s="17" t="n">
        <v>10022</v>
      </c>
      <c r="C10" s="18">
        <f>(8921.0/B10*100)</f>
        <v/>
      </c>
      <c r="D10" s="19" t="n">
        <v>1101</v>
      </c>
      <c r="E10" s="18" t="n">
        <v>48.38567995</v>
      </c>
      <c r="F10" s="20" t="n">
        <v>1.92360824</v>
      </c>
      <c r="G10" s="18" t="n">
        <v>51.10908815</v>
      </c>
      <c r="H10" s="20" t="n">
        <v>1.8823264</v>
      </c>
      <c r="I10" s="18" t="n">
        <v>0</v>
      </c>
      <c r="J10" s="20" t="n">
        <v>0</v>
      </c>
      <c r="K10" s="18" t="n">
        <v>0.26781625</v>
      </c>
      <c r="L10" s="20" t="n">
        <v>0.23395478</v>
      </c>
      <c r="M10" s="18" t="n">
        <v>0</v>
      </c>
      <c r="N10" s="20" t="n">
        <v>0</v>
      </c>
      <c r="O10" s="18" t="n">
        <v>0</v>
      </c>
      <c r="P10" s="20" t="n">
        <v>0</v>
      </c>
      <c r="Q10" s="18" t="n">
        <v>0.23741565</v>
      </c>
      <c r="R10" s="20" t="n">
        <v>0.12880686</v>
      </c>
    </row>
    <row r="11" spans="1:18">
      <c r="A11" s="15" t="s">
        <v>569</v>
      </c>
      <c r="B11" s="17" t="n">
        <v>3500</v>
      </c>
      <c r="C11" s="18">
        <f>(3135.0/B11*100)</f>
        <v/>
      </c>
      <c r="D11" s="19" t="n">
        <v>365</v>
      </c>
      <c r="E11" s="18" t="n">
        <v>57.84159712</v>
      </c>
      <c r="F11" s="20" t="n">
        <v>3.10394705</v>
      </c>
      <c r="G11" s="18" t="n">
        <v>38.91606827</v>
      </c>
      <c r="H11" s="20" t="n">
        <v>2.99067347</v>
      </c>
      <c r="I11" s="18" t="n">
        <v>0</v>
      </c>
      <c r="J11" s="20" t="n">
        <v>0</v>
      </c>
      <c r="K11" s="18" t="n">
        <v>0</v>
      </c>
      <c r="L11" s="20" t="n">
        <v>0</v>
      </c>
      <c r="M11" s="18" t="n">
        <v>0</v>
      </c>
      <c r="N11" s="20" t="n">
        <v>0</v>
      </c>
      <c r="O11" s="18" t="n">
        <v>0</v>
      </c>
      <c r="P11" s="20" t="n">
        <v>0</v>
      </c>
      <c r="Q11" s="18" t="n">
        <v>3.24233462</v>
      </c>
      <c r="R11" s="20" t="n">
        <v>2.22781085</v>
      </c>
    </row>
    <row r="12" spans="1:18">
      <c r="A12" s="15" t="s">
        <v>570</v>
      </c>
      <c r="B12" s="17" t="n">
        <v>3422</v>
      </c>
      <c r="C12" s="18">
        <f>(3064.0/B12*100)</f>
        <v/>
      </c>
      <c r="D12" s="19" t="n">
        <v>358</v>
      </c>
      <c r="E12" s="18" t="n">
        <v>57.1545218</v>
      </c>
      <c r="F12" s="20" t="n">
        <v>2.698182</v>
      </c>
      <c r="G12" s="18" t="n">
        <v>42.68436107</v>
      </c>
      <c r="H12" s="20" t="n">
        <v>2.69199996</v>
      </c>
      <c r="I12" s="18" t="n">
        <v>0</v>
      </c>
      <c r="J12" s="20" t="n">
        <v>0</v>
      </c>
      <c r="K12" s="18" t="n">
        <v>0.16111713</v>
      </c>
      <c r="L12" s="20" t="n">
        <v>0.15658868</v>
      </c>
      <c r="M12" s="18" t="n">
        <v>0</v>
      </c>
      <c r="N12" s="20" t="n">
        <v>0</v>
      </c>
      <c r="O12" s="18" t="n">
        <v>0</v>
      </c>
      <c r="P12" s="20" t="n">
        <v>0</v>
      </c>
      <c r="Q12" s="18" t="n">
        <v>0</v>
      </c>
      <c r="R12" s="20" t="n">
        <v>0</v>
      </c>
    </row>
    <row r="13" spans="1:18">
      <c r="A13" s="15" t="s">
        <v>571</v>
      </c>
      <c r="B13" s="17" t="n">
        <v>3602</v>
      </c>
      <c r="C13" s="18">
        <f>(3194.0/B13*100)</f>
        <v/>
      </c>
      <c r="D13" s="19" t="n">
        <v>408</v>
      </c>
      <c r="E13" s="18" t="n">
        <v>33.87067513</v>
      </c>
      <c r="F13" s="20" t="n">
        <v>2.92606859</v>
      </c>
      <c r="G13" s="18" t="n">
        <v>65.03936188</v>
      </c>
      <c r="H13" s="20" t="n">
        <v>3.02658888</v>
      </c>
      <c r="I13" s="18" t="n">
        <v>0</v>
      </c>
      <c r="J13" s="20" t="n">
        <v>0</v>
      </c>
      <c r="K13" s="18" t="n">
        <v>0.51976332</v>
      </c>
      <c r="L13" s="20" t="n">
        <v>0.4462044</v>
      </c>
      <c r="M13" s="18" t="n">
        <v>0</v>
      </c>
      <c r="N13" s="20" t="n">
        <v>0</v>
      </c>
      <c r="O13" s="18" t="n">
        <v>0</v>
      </c>
      <c r="P13" s="20" t="n">
        <v>0</v>
      </c>
      <c r="Q13" s="18" t="n">
        <v>0.57019967</v>
      </c>
      <c r="R13" s="20" t="n">
        <v>0.53758153</v>
      </c>
    </row>
    <row r="14" spans="1:18">
      <c r="A14" s="15" t="s">
        <v>572</v>
      </c>
      <c r="B14" s="17" t="n">
        <v>2788</v>
      </c>
      <c r="C14" s="18">
        <f>(2496.0/B14*100)</f>
        <v/>
      </c>
      <c r="D14" s="19" t="n">
        <v>292</v>
      </c>
      <c r="E14" s="18" t="n">
        <v>64.15428695999999</v>
      </c>
      <c r="F14" s="20" t="n">
        <v>3.06858813</v>
      </c>
      <c r="G14" s="18" t="n">
        <v>35.84571304</v>
      </c>
      <c r="H14" s="20" t="n">
        <v>3.06858813</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(2525.0/B15*100)</f>
        <v/>
      </c>
      <c r="D15" s="19" t="n">
        <v>338</v>
      </c>
      <c r="E15" s="18" t="n">
        <v>50.96187306</v>
      </c>
      <c r="F15" s="20" t="n">
        <v>2.73005909</v>
      </c>
      <c r="G15" s="18" t="n">
        <v>49.03812694</v>
      </c>
      <c r="H15" s="20" t="n">
        <v>2.73005909</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(2768.0/B16*100)</f>
        <v/>
      </c>
      <c r="D16" s="19" t="n">
        <v>343</v>
      </c>
      <c r="E16" s="18" t="n">
        <v>43.3526273</v>
      </c>
      <c r="F16" s="20" t="n">
        <v>3.05986584</v>
      </c>
      <c r="G16" s="18" t="n">
        <v>55.45139253</v>
      </c>
      <c r="H16" s="20" t="n">
        <v>3.12280251</v>
      </c>
      <c r="I16" s="18" t="n">
        <v>0</v>
      </c>
      <c r="J16" s="20" t="n">
        <v>0</v>
      </c>
      <c r="K16" s="18" t="n">
        <v>0</v>
      </c>
      <c r="L16" s="20" t="n">
        <v>0</v>
      </c>
      <c r="M16" s="18" t="n">
        <v>0</v>
      </c>
      <c r="N16" s="20" t="n">
        <v>0</v>
      </c>
      <c r="O16" s="18" t="n">
        <v>0</v>
      </c>
      <c r="P16" s="20" t="n">
        <v>0</v>
      </c>
      <c r="Q16" s="18" t="n">
        <v>1.19598017</v>
      </c>
      <c r="R16" s="20" t="n">
        <v>0.67009517</v>
      </c>
    </row>
    <row r="17" spans="1:18">
      <c r="A17" s="15" t="s">
        <v>575</v>
      </c>
      <c r="B17" s="17" t="n">
        <v>3197</v>
      </c>
      <c r="C17" s="18">
        <f>(2836.0/B17*100)</f>
        <v/>
      </c>
      <c r="D17" s="19" t="n">
        <v>361</v>
      </c>
      <c r="E17" s="18" t="n">
        <v>44.43815876</v>
      </c>
      <c r="F17" s="20" t="n">
        <v>2.70622953</v>
      </c>
      <c r="G17" s="18" t="n">
        <v>55.07603377</v>
      </c>
      <c r="H17" s="20" t="n">
        <v>2.72483466</v>
      </c>
      <c r="I17" s="18" t="n">
        <v>0</v>
      </c>
      <c r="J17" s="20" t="n">
        <v>0</v>
      </c>
      <c r="K17" s="18" t="n">
        <v>0</v>
      </c>
      <c r="L17" s="20" t="n">
        <v>0</v>
      </c>
      <c r="M17" s="18" t="n">
        <v>0</v>
      </c>
      <c r="N17" s="20" t="n">
        <v>0</v>
      </c>
      <c r="O17" s="18" t="n">
        <v>0</v>
      </c>
      <c r="P17" s="20" t="n">
        <v>0</v>
      </c>
      <c r="Q17" s="18" t="n">
        <v>0.48580746</v>
      </c>
      <c r="R17" s="20" t="n">
        <v>0.36146516</v>
      </c>
    </row>
    <row r="18" spans="1:18">
      <c r="A18" s="15" t="s">
        <v>576</v>
      </c>
      <c r="B18" s="17" t="n">
        <v>2706</v>
      </c>
      <c r="C18" s="18">
        <f>(2410.0/B18*100)</f>
        <v/>
      </c>
      <c r="D18" s="19" t="n">
        <v>296</v>
      </c>
      <c r="E18" s="18" t="n">
        <v>54.92283061</v>
      </c>
      <c r="F18" s="20" t="n">
        <v>2.9592268</v>
      </c>
      <c r="G18" s="18" t="n">
        <v>44.04558559</v>
      </c>
      <c r="H18" s="20" t="n">
        <v>2.92828152</v>
      </c>
      <c r="I18" s="18" t="n">
        <v>0</v>
      </c>
      <c r="J18" s="20" t="n">
        <v>0</v>
      </c>
      <c r="K18" s="18" t="n">
        <v>0</v>
      </c>
      <c r="L18" s="20" t="n">
        <v>0</v>
      </c>
      <c r="M18" s="18" t="n">
        <v>0</v>
      </c>
      <c r="N18" s="20" t="n">
        <v>0</v>
      </c>
      <c r="O18" s="18" t="n">
        <v>0</v>
      </c>
      <c r="P18" s="20" t="n">
        <v>0</v>
      </c>
      <c r="Q18" s="18" t="n">
        <v>1.0315838</v>
      </c>
      <c r="R18" s="20" t="n">
        <v>0.60069814</v>
      </c>
    </row>
    <row r="19" spans="1:18">
      <c r="A19" s="15" t="s">
        <v>577</v>
      </c>
      <c r="B19" s="17" t="n">
        <v>2850</v>
      </c>
      <c r="C19" s="18">
        <f>(2542.0/B19*100)</f>
        <v/>
      </c>
      <c r="D19" s="19" t="n">
        <v>308</v>
      </c>
      <c r="E19" s="18" t="n">
        <v>31.08925025</v>
      </c>
      <c r="F19" s="20" t="n">
        <v>3.38376506</v>
      </c>
      <c r="G19" s="18" t="n">
        <v>68.91074974999999</v>
      </c>
      <c r="H19" s="20" t="n">
        <v>3.38376506</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(1548.0/B20*100)</f>
        <v/>
      </c>
      <c r="D20" s="19" t="n">
        <v>193</v>
      </c>
      <c r="E20" s="18" t="n">
        <v>39.94378967</v>
      </c>
      <c r="F20" s="20" t="n">
        <v>3.57828636</v>
      </c>
      <c r="G20" s="18" t="n">
        <v>58.5231494</v>
      </c>
      <c r="H20" s="20" t="n">
        <v>3.61092762</v>
      </c>
      <c r="I20" s="18" t="n">
        <v>0</v>
      </c>
      <c r="J20" s="20" t="n">
        <v>0</v>
      </c>
      <c r="K20" s="18" t="n">
        <v>0.95664545</v>
      </c>
      <c r="L20" s="20" t="n">
        <v>0.66691882</v>
      </c>
      <c r="M20" s="18" t="n">
        <v>0</v>
      </c>
      <c r="N20" s="20" t="n">
        <v>0</v>
      </c>
      <c r="O20" s="18" t="n">
        <v>0</v>
      </c>
      <c r="P20" s="20" t="n">
        <v>0</v>
      </c>
      <c r="Q20" s="18" t="n">
        <v>0.57641548</v>
      </c>
      <c r="R20" s="20" t="n">
        <v>0.58798468</v>
      </c>
    </row>
    <row r="21" spans="1:18">
      <c r="A21" s="15" t="s">
        <v>579</v>
      </c>
      <c r="B21" s="17" t="n">
        <v>2833</v>
      </c>
      <c r="C21" s="18">
        <f>(2500.0/B21*100)</f>
        <v/>
      </c>
      <c r="D21" s="19" t="n">
        <v>333</v>
      </c>
      <c r="E21" s="18" t="n">
        <v>40.37776749</v>
      </c>
      <c r="F21" s="20" t="n">
        <v>2.58030662</v>
      </c>
      <c r="G21" s="18" t="n">
        <v>59.62223251</v>
      </c>
      <c r="H21" s="20" t="n">
        <v>2.58030662</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(3330.0/B22*100)</f>
        <v/>
      </c>
      <c r="D22" s="19" t="n">
        <v>337</v>
      </c>
      <c r="E22" s="18" t="n">
        <v>61.78245634</v>
      </c>
      <c r="F22" s="20" t="n">
        <v>2.5949158</v>
      </c>
      <c r="G22" s="18" t="n">
        <v>36.18344749</v>
      </c>
      <c r="H22" s="20" t="n">
        <v>2.60016676</v>
      </c>
      <c r="I22" s="18" t="n">
        <v>0</v>
      </c>
      <c r="J22" s="20" t="n">
        <v>0</v>
      </c>
      <c r="K22" s="18" t="n">
        <v>1.74129823</v>
      </c>
      <c r="L22" s="20" t="n">
        <v>0.67848431</v>
      </c>
      <c r="M22" s="18" t="n">
        <v>0</v>
      </c>
      <c r="N22" s="20" t="n">
        <v>0</v>
      </c>
      <c r="O22" s="18" t="n">
        <v>0</v>
      </c>
      <c r="P22" s="20" t="n">
        <v>0</v>
      </c>
      <c r="Q22" s="18" t="n">
        <v>0.29279794</v>
      </c>
      <c r="R22" s="20" t="n">
        <v>0.20612297</v>
      </c>
    </row>
    <row r="23" spans="1:18">
      <c r="A23" s="15" t="s">
        <v>581</v>
      </c>
      <c r="B23" s="17" t="n">
        <v>5792</v>
      </c>
      <c r="C23" s="18">
        <f>(5157.0/B23*100)</f>
        <v/>
      </c>
      <c r="D23" s="19" t="n">
        <v>635</v>
      </c>
      <c r="E23" s="18" t="n">
        <v>42.74815204</v>
      </c>
      <c r="F23" s="20" t="n">
        <v>2.66669879</v>
      </c>
      <c r="G23" s="18" t="n">
        <v>56.87276238</v>
      </c>
      <c r="H23" s="20" t="n">
        <v>2.70366025</v>
      </c>
      <c r="I23" s="18" t="n">
        <v>0</v>
      </c>
      <c r="J23" s="20" t="n">
        <v>0</v>
      </c>
      <c r="K23" s="18" t="n">
        <v>0</v>
      </c>
      <c r="L23" s="20" t="n">
        <v>0</v>
      </c>
      <c r="M23" s="18" t="n">
        <v>0</v>
      </c>
      <c r="N23" s="20" t="n">
        <v>0</v>
      </c>
      <c r="O23" s="18" t="n">
        <v>0</v>
      </c>
      <c r="P23" s="20" t="n">
        <v>0</v>
      </c>
      <c r="Q23" s="18" t="n">
        <v>0.37908558</v>
      </c>
      <c r="R23" s="20" t="n">
        <v>0.24555855</v>
      </c>
    </row>
    <row r="24" spans="1:18">
      <c r="A24" s="15" t="s">
        <v>582</v>
      </c>
      <c r="B24" s="17" t="n">
        <v>3309</v>
      </c>
      <c r="C24" s="18">
        <f>(2941.0/B24*100)</f>
        <v/>
      </c>
      <c r="D24" s="19" t="n">
        <v>368</v>
      </c>
      <c r="E24" s="18" t="n">
        <v>52.36553258</v>
      </c>
      <c r="F24" s="20" t="n">
        <v>2.86743472</v>
      </c>
      <c r="G24" s="18" t="n">
        <v>47.36316079</v>
      </c>
      <c r="H24" s="20" t="n">
        <v>2.85184236</v>
      </c>
      <c r="I24" s="18" t="n">
        <v>0</v>
      </c>
      <c r="J24" s="20" t="n">
        <v>0</v>
      </c>
      <c r="K24" s="18" t="n">
        <v>0</v>
      </c>
      <c r="L24" s="20" t="n">
        <v>0</v>
      </c>
      <c r="M24" s="18" t="n">
        <v>0</v>
      </c>
      <c r="N24" s="20" t="n">
        <v>0</v>
      </c>
      <c r="O24" s="18" t="n">
        <v>0</v>
      </c>
      <c r="P24" s="20" t="n">
        <v>0</v>
      </c>
      <c r="Q24" s="18" t="n">
        <v>0.27130663</v>
      </c>
      <c r="R24" s="20" t="n">
        <v>0.26573653</v>
      </c>
    </row>
    <row r="25" spans="1:18">
      <c r="A25" s="15" t="s">
        <v>583</v>
      </c>
      <c r="B25" s="17" t="n">
        <v>2669</v>
      </c>
      <c r="C25" s="18">
        <f>(2358.0/B25*100)</f>
        <v/>
      </c>
      <c r="D25" s="19" t="n">
        <v>311</v>
      </c>
      <c r="E25" s="18" t="n">
        <v>47.38690155</v>
      </c>
      <c r="F25" s="20" t="n">
        <v>3.25822492</v>
      </c>
      <c r="G25" s="18" t="n">
        <v>51.63810658</v>
      </c>
      <c r="H25" s="20" t="n">
        <v>3.21439267</v>
      </c>
      <c r="I25" s="18" t="n">
        <v>0</v>
      </c>
      <c r="J25" s="20" t="n">
        <v>0</v>
      </c>
      <c r="K25" s="18" t="n">
        <v>0.31682012</v>
      </c>
      <c r="L25" s="20" t="n">
        <v>0.31801206</v>
      </c>
      <c r="M25" s="18" t="n">
        <v>0</v>
      </c>
      <c r="N25" s="20" t="n">
        <v>0</v>
      </c>
      <c r="O25" s="18" t="n">
        <v>0</v>
      </c>
      <c r="P25" s="20" t="n">
        <v>0</v>
      </c>
      <c r="Q25" s="18" t="n">
        <v>0.65817174</v>
      </c>
      <c r="R25" s="20" t="n">
        <v>0.46113673</v>
      </c>
    </row>
    <row r="26" spans="1:18">
      <c r="A26" s="15" t="s">
        <v>584</v>
      </c>
      <c r="B26" s="17" t="n">
        <v>2419</v>
      </c>
      <c r="C26" s="18">
        <f>(2145.0/B26*100)</f>
        <v/>
      </c>
      <c r="D26" s="19" t="n">
        <v>274</v>
      </c>
      <c r="E26" s="18" t="n">
        <v>49.03621533</v>
      </c>
      <c r="F26" s="20" t="n">
        <v>3.40218918</v>
      </c>
      <c r="G26" s="18" t="n">
        <v>50.96378467</v>
      </c>
      <c r="H26" s="20" t="n">
        <v>3.40218918</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(2386.0/B27*100)</f>
        <v/>
      </c>
      <c r="D27" s="19" t="n">
        <v>297</v>
      </c>
      <c r="E27" s="18" t="n">
        <v>51.18293716</v>
      </c>
      <c r="F27" s="20" t="n">
        <v>3.00491171</v>
      </c>
      <c r="G27" s="18" t="n">
        <v>46.75451548</v>
      </c>
      <c r="H27" s="20" t="n">
        <v>2.97047194</v>
      </c>
      <c r="I27" s="18" t="n">
        <v>0</v>
      </c>
      <c r="J27" s="20" t="n">
        <v>0</v>
      </c>
      <c r="K27" s="18" t="n">
        <v>0</v>
      </c>
      <c r="L27" s="20" t="n">
        <v>0</v>
      </c>
      <c r="M27" s="18" t="n">
        <v>0</v>
      </c>
      <c r="N27" s="20" t="n">
        <v>0</v>
      </c>
      <c r="O27" s="18" t="n">
        <v>0</v>
      </c>
      <c r="P27" s="20" t="n">
        <v>0</v>
      </c>
      <c r="Q27" s="18" t="n">
        <v>2.06254736</v>
      </c>
      <c r="R27" s="20" t="n">
        <v>0.94381117</v>
      </c>
    </row>
    <row r="28" spans="1:18">
      <c r="A28" s="15" t="s">
        <v>586</v>
      </c>
      <c r="B28" s="17" t="n">
        <v>3803</v>
      </c>
      <c r="C28" s="18">
        <f>(3389.0/B28*100)</f>
        <v/>
      </c>
      <c r="D28" s="19" t="n">
        <v>414</v>
      </c>
      <c r="E28" s="18" t="n">
        <v>56.65608847</v>
      </c>
      <c r="F28" s="20" t="n">
        <v>3.00159709</v>
      </c>
      <c r="G28" s="18" t="n">
        <v>42.42050307</v>
      </c>
      <c r="H28" s="20" t="n">
        <v>3.0677017</v>
      </c>
      <c r="I28" s="18" t="n">
        <v>0</v>
      </c>
      <c r="J28" s="20" t="n">
        <v>0</v>
      </c>
      <c r="K28" s="18" t="n">
        <v>0.42982883</v>
      </c>
      <c r="L28" s="20" t="n">
        <v>0.42703</v>
      </c>
      <c r="M28" s="18" t="n">
        <v>0</v>
      </c>
      <c r="N28" s="20" t="n">
        <v>0</v>
      </c>
      <c r="O28" s="18" t="n">
        <v>0</v>
      </c>
      <c r="P28" s="20" t="n">
        <v>0</v>
      </c>
      <c r="Q28" s="18" t="n">
        <v>0.49357963</v>
      </c>
      <c r="R28" s="20" t="n">
        <v>0.49571533</v>
      </c>
    </row>
    <row r="29" spans="1:18">
      <c r="A29" s="15" t="s">
        <v>587</v>
      </c>
      <c r="B29" s="17" t="n">
        <v>2700</v>
      </c>
      <c r="C29" s="18">
        <f>(2399.0/B29*100)</f>
        <v/>
      </c>
      <c r="D29" s="19" t="n">
        <v>301</v>
      </c>
      <c r="E29" s="18" t="n">
        <v>41.1508281</v>
      </c>
      <c r="F29" s="20" t="n">
        <v>2.81499368</v>
      </c>
      <c r="G29" s="18" t="n">
        <v>58.8491719</v>
      </c>
      <c r="H29" s="20" t="n">
        <v>2.81499368</v>
      </c>
      <c r="I29" s="18" t="n">
        <v>0</v>
      </c>
      <c r="J29" s="20" t="n">
        <v>0</v>
      </c>
      <c r="K29" s="18" t="n">
        <v>0</v>
      </c>
      <c r="L29" s="20" t="n">
        <v>0</v>
      </c>
      <c r="M29" s="18" t="n">
        <v>0</v>
      </c>
      <c r="N29" s="20" t="n">
        <v>0</v>
      </c>
      <c r="O29" s="18" t="n">
        <v>0</v>
      </c>
      <c r="P29" s="20" t="n">
        <v>0</v>
      </c>
      <c r="Q29" s="18" t="n">
        <v>0</v>
      </c>
      <c r="R29" s="20" t="n">
        <v>0</v>
      </c>
    </row>
    <row r="30" spans="1:18">
      <c r="A30" s="15" t="s">
        <v>588</v>
      </c>
      <c r="B30" s="17" t="n">
        <v>2257</v>
      </c>
      <c r="C30" s="18">
        <f>(2005.0/B30*100)</f>
        <v/>
      </c>
      <c r="D30" s="19" t="n">
        <v>252</v>
      </c>
      <c r="E30" s="18" t="n">
        <v>46.91031596</v>
      </c>
      <c r="F30" s="20" t="n">
        <v>3.31663043</v>
      </c>
      <c r="G30" s="18" t="n">
        <v>51.35044342</v>
      </c>
      <c r="H30" s="20" t="n">
        <v>3.29510532</v>
      </c>
      <c r="I30" s="18" t="n">
        <v>0</v>
      </c>
      <c r="J30" s="20" t="n">
        <v>0</v>
      </c>
      <c r="K30" s="18" t="n">
        <v>0.38768725</v>
      </c>
      <c r="L30" s="20" t="n">
        <v>0.37960275</v>
      </c>
      <c r="M30" s="18" t="n">
        <v>0</v>
      </c>
      <c r="N30" s="20" t="n">
        <v>0</v>
      </c>
      <c r="O30" s="18" t="n">
        <v>0</v>
      </c>
      <c r="P30" s="20" t="n">
        <v>0</v>
      </c>
      <c r="Q30" s="18" t="n">
        <v>1.35155337</v>
      </c>
      <c r="R30" s="20" t="n">
        <v>0.79760844</v>
      </c>
    </row>
    <row r="31" spans="1:18">
      <c r="A31" s="15" t="s">
        <v>589</v>
      </c>
      <c r="B31" s="17" t="n">
        <v>2706</v>
      </c>
      <c r="C31" s="18">
        <f>(2403.0/B31*100)</f>
        <v/>
      </c>
      <c r="D31" s="19" t="n">
        <v>303</v>
      </c>
      <c r="E31" s="18" t="n">
        <v>46.26537826</v>
      </c>
      <c r="F31" s="20" t="n">
        <v>3.14106861</v>
      </c>
      <c r="G31" s="18" t="n">
        <v>53.13787165</v>
      </c>
      <c r="H31" s="20" t="n">
        <v>3.11472034</v>
      </c>
      <c r="I31" s="18" t="n">
        <v>0</v>
      </c>
      <c r="J31" s="20" t="n">
        <v>0</v>
      </c>
      <c r="K31" s="18" t="n">
        <v>0</v>
      </c>
      <c r="L31" s="20" t="n">
        <v>0</v>
      </c>
      <c r="M31" s="18" t="n">
        <v>0</v>
      </c>
      <c r="N31" s="20" t="n">
        <v>0</v>
      </c>
      <c r="O31" s="18" t="n">
        <v>0</v>
      </c>
      <c r="P31" s="20" t="n">
        <v>0</v>
      </c>
      <c r="Q31" s="18" t="n">
        <v>0.59675009</v>
      </c>
      <c r="R31" s="20" t="n">
        <v>0.40408409</v>
      </c>
    </row>
    <row r="32" spans="1:18">
      <c r="A32" s="15" t="s">
        <v>590</v>
      </c>
      <c r="B32" s="17" t="n">
        <v>2209</v>
      </c>
      <c r="C32" s="18">
        <f>(1962.0/B32*100)</f>
        <v/>
      </c>
      <c r="D32" s="19" t="n">
        <v>247</v>
      </c>
      <c r="E32" s="18" t="n">
        <v>64.15084881999999</v>
      </c>
      <c r="F32" s="20" t="n">
        <v>3.02532084</v>
      </c>
      <c r="G32" s="18" t="n">
        <v>35.47833695</v>
      </c>
      <c r="H32" s="20" t="n">
        <v>3.03496008</v>
      </c>
      <c r="I32" s="18" t="n">
        <v>0</v>
      </c>
      <c r="J32" s="20" t="n">
        <v>0</v>
      </c>
      <c r="K32" s="18" t="n">
        <v>0</v>
      </c>
      <c r="L32" s="20" t="n">
        <v>0</v>
      </c>
      <c r="M32" s="18" t="n">
        <v>0</v>
      </c>
      <c r="N32" s="20" t="n">
        <v>0</v>
      </c>
      <c r="O32" s="18" t="n">
        <v>0</v>
      </c>
      <c r="P32" s="20" t="n">
        <v>0</v>
      </c>
      <c r="Q32" s="18" t="n">
        <v>0.37081423</v>
      </c>
      <c r="R32" s="20" t="n">
        <v>0.36752504</v>
      </c>
    </row>
    <row r="33" spans="1:18">
      <c r="A33" s="15" t="s">
        <v>591</v>
      </c>
      <c r="B33" s="17" t="n">
        <v>3651</v>
      </c>
      <c r="C33" s="18">
        <f>(3248.0/B33*100)</f>
        <v/>
      </c>
      <c r="D33" s="19" t="n">
        <v>403</v>
      </c>
      <c r="E33" s="18" t="n">
        <v>50.06631316</v>
      </c>
      <c r="F33" s="20" t="n">
        <v>2.96709951</v>
      </c>
      <c r="G33" s="18" t="n">
        <v>49.93368684</v>
      </c>
      <c r="H33" s="20" t="n">
        <v>2.96709951</v>
      </c>
      <c r="I33" s="18" t="n">
        <v>0</v>
      </c>
      <c r="J33" s="20" t="n">
        <v>0</v>
      </c>
      <c r="K33" s="18" t="n">
        <v>0</v>
      </c>
      <c r="L33" s="20" t="n">
        <v>0</v>
      </c>
      <c r="M33" s="18" t="n">
        <v>0</v>
      </c>
      <c r="N33" s="20" t="n">
        <v>0</v>
      </c>
      <c r="O33" s="18" t="n">
        <v>0</v>
      </c>
      <c r="P33" s="20" t="n">
        <v>0</v>
      </c>
      <c r="Q33" s="18" t="n">
        <v>0</v>
      </c>
      <c r="R33" s="20" t="n">
        <v>0</v>
      </c>
    </row>
    <row r="34" spans="1:18">
      <c r="A34" s="15" t="s">
        <v>592</v>
      </c>
      <c r="B34" s="17" t="n">
        <v>3035</v>
      </c>
      <c r="C34" s="18">
        <f>(2727.0/B34*100)</f>
        <v/>
      </c>
      <c r="D34" s="19" t="n">
        <v>308</v>
      </c>
      <c r="E34" s="18" t="n">
        <v>59.32991148</v>
      </c>
      <c r="F34" s="20" t="n">
        <v>2.8114573</v>
      </c>
      <c r="G34" s="18" t="n">
        <v>40.35101711</v>
      </c>
      <c r="H34" s="20" t="n">
        <v>2.77606635</v>
      </c>
      <c r="I34" s="18" t="n">
        <v>0</v>
      </c>
      <c r="J34" s="20" t="n">
        <v>0</v>
      </c>
      <c r="K34" s="18" t="n">
        <v>0</v>
      </c>
      <c r="L34" s="20" t="n">
        <v>0</v>
      </c>
      <c r="M34" s="18" t="n">
        <v>0</v>
      </c>
      <c r="N34" s="20" t="n">
        <v>0</v>
      </c>
      <c r="O34" s="18" t="n">
        <v>0</v>
      </c>
      <c r="P34" s="20" t="n">
        <v>0</v>
      </c>
      <c r="Q34" s="18" t="n">
        <v>0.3190714</v>
      </c>
      <c r="R34" s="20" t="n">
        <v>0.32845493</v>
      </c>
    </row>
    <row r="35" spans="1:18">
      <c r="A35" s="15" t="s">
        <v>593</v>
      </c>
      <c r="B35" s="17" t="n">
        <v>2901</v>
      </c>
      <c r="C35" s="18">
        <f>(2593.0/B35*100)</f>
        <v/>
      </c>
      <c r="D35" s="19" t="n">
        <v>308</v>
      </c>
      <c r="E35" s="18" t="n">
        <v>61.32736582</v>
      </c>
      <c r="F35" s="20" t="n">
        <v>3.69371392</v>
      </c>
      <c r="G35" s="18" t="n">
        <v>38.19960736</v>
      </c>
      <c r="H35" s="20" t="n">
        <v>3.67201843</v>
      </c>
      <c r="I35" s="18" t="n">
        <v>0</v>
      </c>
      <c r="J35" s="20" t="n">
        <v>0</v>
      </c>
      <c r="K35" s="18" t="n">
        <v>0</v>
      </c>
      <c r="L35" s="20" t="n">
        <v>0</v>
      </c>
      <c r="M35" s="18" t="n">
        <v>0</v>
      </c>
      <c r="N35" s="20" t="n">
        <v>0</v>
      </c>
      <c r="O35" s="18" t="n">
        <v>0</v>
      </c>
      <c r="P35" s="20" t="n">
        <v>0</v>
      </c>
      <c r="Q35" s="18" t="n">
        <v>0.47302682</v>
      </c>
      <c r="R35" s="20" t="n">
        <v>0.28211307</v>
      </c>
    </row>
    <row r="36" spans="1:18">
      <c r="A36" s="15" t="s">
        <v>594</v>
      </c>
      <c r="B36" s="17" t="n">
        <v>3404</v>
      </c>
      <c r="C36" s="18">
        <f>(3022.0/B36*100)</f>
        <v/>
      </c>
      <c r="D36" s="19" t="n">
        <v>382</v>
      </c>
      <c r="E36" s="18" t="n">
        <v>53.48341634</v>
      </c>
      <c r="F36" s="20" t="n">
        <v>2.67494235</v>
      </c>
      <c r="G36" s="18" t="n">
        <v>46.22150136</v>
      </c>
      <c r="H36" s="20" t="n">
        <v>2.77387368</v>
      </c>
      <c r="I36" s="18" t="n">
        <v>0</v>
      </c>
      <c r="J36" s="20" t="n">
        <v>0</v>
      </c>
      <c r="K36" s="18" t="n">
        <v>0</v>
      </c>
      <c r="L36" s="20" t="n">
        <v>0</v>
      </c>
      <c r="M36" s="18" t="n">
        <v>0</v>
      </c>
      <c r="N36" s="20" t="n">
        <v>0</v>
      </c>
      <c r="O36" s="18" t="n">
        <v>0</v>
      </c>
      <c r="P36" s="20" t="n">
        <v>0</v>
      </c>
      <c r="Q36" s="18" t="n">
        <v>0.2950823</v>
      </c>
      <c r="R36" s="20" t="n">
        <v>0.29533828</v>
      </c>
    </row>
    <row r="37" spans="1:18">
      <c r="A37" s="15" t="s">
        <v>595</v>
      </c>
      <c r="B37" s="17" t="n">
        <v>2731</v>
      </c>
      <c r="C37" s="18">
        <f>(2440.0/B37*100)</f>
        <v/>
      </c>
      <c r="D37" s="19" t="n">
        <v>291</v>
      </c>
      <c r="E37" s="18" t="n">
        <v>40.1900195</v>
      </c>
      <c r="F37" s="20" t="n">
        <v>2.97631167</v>
      </c>
      <c r="G37" s="18" t="n">
        <v>59.07857501</v>
      </c>
      <c r="H37" s="20" t="n">
        <v>2.93764351</v>
      </c>
      <c r="I37" s="18" t="n">
        <v>0</v>
      </c>
      <c r="J37" s="20" t="n">
        <v>0</v>
      </c>
      <c r="K37" s="18" t="n">
        <v>0.38594176</v>
      </c>
      <c r="L37" s="20" t="n">
        <v>0.38347387</v>
      </c>
      <c r="M37" s="18" t="n">
        <v>0</v>
      </c>
      <c r="N37" s="20" t="n">
        <v>0</v>
      </c>
      <c r="O37" s="18" t="n">
        <v>0</v>
      </c>
      <c r="P37" s="20" t="n">
        <v>0</v>
      </c>
      <c r="Q37" s="18" t="n">
        <v>0.34546374</v>
      </c>
      <c r="R37" s="20" t="n">
        <v>0.34350826</v>
      </c>
    </row>
    <row r="38" spans="1:18">
      <c r="A38" s="15" t="s">
        <v>596</v>
      </c>
      <c r="B38" s="17" t="n">
        <v>2807</v>
      </c>
      <c r="C38" s="18">
        <f>(2510.0/B38*100)</f>
        <v/>
      </c>
      <c r="D38" s="19" t="n">
        <v>297</v>
      </c>
      <c r="E38" s="18" t="n">
        <v>45.23682667</v>
      </c>
      <c r="F38" s="20" t="n">
        <v>2.87911697</v>
      </c>
      <c r="G38" s="18" t="n">
        <v>53.81682975</v>
      </c>
      <c r="H38" s="20" t="n">
        <v>2.83547275</v>
      </c>
      <c r="I38" s="18" t="n">
        <v>0</v>
      </c>
      <c r="J38" s="20" t="n">
        <v>0</v>
      </c>
      <c r="K38" s="18" t="n">
        <v>0</v>
      </c>
      <c r="L38" s="20" t="n">
        <v>0</v>
      </c>
      <c r="M38" s="18" t="n">
        <v>0</v>
      </c>
      <c r="N38" s="20" t="n">
        <v>0</v>
      </c>
      <c r="O38" s="18" t="n">
        <v>0</v>
      </c>
      <c r="P38" s="20" t="n">
        <v>0</v>
      </c>
      <c r="Q38" s="18" t="n">
        <v>0.94634358</v>
      </c>
      <c r="R38" s="20" t="n">
        <v>0.72451468</v>
      </c>
    </row>
    <row r="39" spans="1:18">
      <c r="A39" s="15" t="s">
        <v>597</v>
      </c>
      <c r="B39" s="17" t="n">
        <v>2938</v>
      </c>
      <c r="C39" s="18">
        <f>(2616.0/B39*100)</f>
        <v/>
      </c>
      <c r="D39" s="19" t="n">
        <v>322</v>
      </c>
      <c r="E39" s="18" t="n">
        <v>53.44241638</v>
      </c>
      <c r="F39" s="20" t="n">
        <v>2.74146024</v>
      </c>
      <c r="G39" s="18" t="n">
        <v>45.05657609</v>
      </c>
      <c r="H39" s="20" t="n">
        <v>2.70524939</v>
      </c>
      <c r="I39" s="18" t="n">
        <v>0</v>
      </c>
      <c r="J39" s="20" t="n">
        <v>0</v>
      </c>
      <c r="K39" s="18" t="n">
        <v>0</v>
      </c>
      <c r="L39" s="20" t="n">
        <v>0</v>
      </c>
      <c r="M39" s="18" t="n">
        <v>0</v>
      </c>
      <c r="N39" s="20" t="n">
        <v>0</v>
      </c>
      <c r="O39" s="18" t="n">
        <v>0</v>
      </c>
      <c r="P39" s="20" t="n">
        <v>0</v>
      </c>
      <c r="Q39" s="18" t="n">
        <v>1.50100753</v>
      </c>
      <c r="R39" s="20" t="n">
        <v>0.87114908</v>
      </c>
    </row>
    <row r="40" spans="1:18">
      <c r="A40" s="15" t="s">
        <v>598</v>
      </c>
      <c r="B40" s="17" t="n">
        <v>6922</v>
      </c>
      <c r="C40" s="18">
        <f>(6127.0/B40*100)</f>
        <v/>
      </c>
      <c r="D40" s="19" t="n">
        <v>795</v>
      </c>
      <c r="E40" s="18" t="n">
        <v>40.44594091</v>
      </c>
      <c r="F40" s="20" t="n">
        <v>2.73282014</v>
      </c>
      <c r="G40" s="18" t="n">
        <v>59.11176462</v>
      </c>
      <c r="H40" s="20" t="n">
        <v>2.6716221</v>
      </c>
      <c r="I40" s="18" t="n">
        <v>0</v>
      </c>
      <c r="J40" s="20" t="n">
        <v>0</v>
      </c>
      <c r="K40" s="18" t="n">
        <v>0.0294845</v>
      </c>
      <c r="L40" s="20" t="n">
        <v>0.0280623</v>
      </c>
      <c r="M40" s="18" t="n">
        <v>0</v>
      </c>
      <c r="N40" s="20" t="n">
        <v>0</v>
      </c>
      <c r="O40" s="18" t="n">
        <v>0</v>
      </c>
      <c r="P40" s="20" t="n">
        <v>0</v>
      </c>
      <c r="Q40" s="18" t="n">
        <v>0.41280997</v>
      </c>
      <c r="R40" s="20" t="n">
        <v>0.36132261</v>
      </c>
    </row>
    <row r="41" spans="1:18">
      <c r="A41" s="15" t="s">
        <v>599</v>
      </c>
      <c r="B41" s="17" t="n">
        <v>2854</v>
      </c>
      <c r="C41" s="18">
        <f>(2570.0/B41*100)</f>
        <v/>
      </c>
      <c r="D41" s="19" t="n">
        <v>284</v>
      </c>
      <c r="E41" s="18" t="n">
        <v>56.32345179</v>
      </c>
      <c r="F41" s="20" t="n">
        <v>3.08627761</v>
      </c>
      <c r="G41" s="18" t="n">
        <v>43.27278316</v>
      </c>
      <c r="H41" s="20" t="n">
        <v>3.08396094</v>
      </c>
      <c r="I41" s="18" t="n">
        <v>0</v>
      </c>
      <c r="J41" s="20" t="n">
        <v>0</v>
      </c>
      <c r="K41" s="18" t="n">
        <v>0</v>
      </c>
      <c r="L41" s="20" t="n">
        <v>0</v>
      </c>
      <c r="M41" s="18" t="n">
        <v>0</v>
      </c>
      <c r="N41" s="20" t="n">
        <v>0</v>
      </c>
      <c r="O41" s="18" t="n">
        <v>0</v>
      </c>
      <c r="P41" s="20" t="n">
        <v>0</v>
      </c>
      <c r="Q41" s="18" t="n">
        <v>0.40376505</v>
      </c>
      <c r="R41" s="20" t="n">
        <v>0.42837383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(10941.0/B46*100)</f>
        <v/>
      </c>
      <c r="D46" s="19" t="n">
        <v>1132</v>
      </c>
      <c r="E46" s="18" t="n">
        <v>67.7767063</v>
      </c>
      <c r="F46" s="20" t="n">
        <v>1.82172429</v>
      </c>
      <c r="G46" s="18" t="n">
        <v>30.12726559</v>
      </c>
      <c r="H46" s="20" t="n">
        <v>1.80222182</v>
      </c>
      <c r="I46" s="18" t="n">
        <v>0</v>
      </c>
      <c r="J46" s="20" t="n">
        <v>0</v>
      </c>
      <c r="K46" s="18" t="n">
        <v>1.01725037</v>
      </c>
      <c r="L46" s="20" t="n">
        <v>0.35405602</v>
      </c>
      <c r="M46" s="18" t="n">
        <v>0</v>
      </c>
      <c r="N46" s="20" t="n">
        <v>0</v>
      </c>
      <c r="O46" s="18" t="n">
        <v>0</v>
      </c>
      <c r="P46" s="20" t="n">
        <v>0</v>
      </c>
      <c r="Q46" s="18" t="n">
        <v>1.07877774</v>
      </c>
      <c r="R46" s="20" t="n">
        <v>0.39945917</v>
      </c>
    </row>
    <row r="47" spans="1:18">
      <c r="A47" s="15" t="s">
        <v>606</v>
      </c>
      <c r="B47" s="17" t="n">
        <v>2823</v>
      </c>
      <c r="C47" s="18">
        <f>(2535.0/B47*100)</f>
        <v/>
      </c>
      <c r="D47" s="19" t="n">
        <v>288</v>
      </c>
      <c r="E47" s="18" t="n">
        <v>60.93072689</v>
      </c>
      <c r="F47" s="20" t="n">
        <v>2.46392612</v>
      </c>
      <c r="G47" s="18" t="n">
        <v>38.71002409</v>
      </c>
      <c r="H47" s="20" t="n">
        <v>2.48882553</v>
      </c>
      <c r="I47" s="18" t="n">
        <v>0</v>
      </c>
      <c r="J47" s="20" t="n">
        <v>0</v>
      </c>
      <c r="K47" s="18" t="n">
        <v>0</v>
      </c>
      <c r="L47" s="20" t="n">
        <v>0</v>
      </c>
      <c r="M47" s="18" t="n">
        <v>0</v>
      </c>
      <c r="N47" s="20" t="n">
        <v>0</v>
      </c>
      <c r="O47" s="18" t="n">
        <v>0</v>
      </c>
      <c r="P47" s="20" t="n">
        <v>0</v>
      </c>
      <c r="Q47" s="18" t="n">
        <v>0.35924901</v>
      </c>
      <c r="R47" s="20" t="n">
        <v>0.37202319</v>
      </c>
    </row>
    <row r="48" spans="1:18">
      <c r="A48" s="15" t="s">
        <v>607</v>
      </c>
      <c r="B48" s="17" t="n">
        <v>4682</v>
      </c>
      <c r="C48" s="18">
        <f>(4157.0/B48*100)</f>
        <v/>
      </c>
      <c r="D48" s="19" t="n">
        <v>525</v>
      </c>
      <c r="E48" s="18" t="n">
        <v>29.25878809</v>
      </c>
      <c r="F48" s="20" t="n">
        <v>2.46204902</v>
      </c>
      <c r="G48" s="18" t="n">
        <v>69.58613003000001</v>
      </c>
      <c r="H48" s="20" t="n">
        <v>2.43514888</v>
      </c>
      <c r="I48" s="18" t="n">
        <v>0</v>
      </c>
      <c r="J48" s="20" t="n">
        <v>0</v>
      </c>
      <c r="K48" s="18" t="n">
        <v>0.58436174</v>
      </c>
      <c r="L48" s="20" t="n">
        <v>0.41601435</v>
      </c>
      <c r="M48" s="18" t="n">
        <v>0</v>
      </c>
      <c r="N48" s="20" t="n">
        <v>0</v>
      </c>
      <c r="O48" s="18" t="n">
        <v>0</v>
      </c>
      <c r="P48" s="20" t="n">
        <v>0</v>
      </c>
      <c r="Q48" s="18" t="n">
        <v>0.57072015</v>
      </c>
      <c r="R48" s="20" t="n">
        <v>0.37146655</v>
      </c>
    </row>
    <row r="49" spans="1:18">
      <c r="A49" s="15" t="s">
        <v>608</v>
      </c>
      <c r="B49" s="17" t="n">
        <v>6158</v>
      </c>
      <c r="C49" s="18">
        <f>(5497.0/B49*100)</f>
        <v/>
      </c>
      <c r="D49" s="19" t="n">
        <v>661</v>
      </c>
      <c r="E49" s="18" t="n">
        <v>62.82160479</v>
      </c>
      <c r="F49" s="20" t="n">
        <v>2.2627598</v>
      </c>
      <c r="G49" s="18" t="n">
        <v>33.89874338</v>
      </c>
      <c r="H49" s="20" t="n">
        <v>2.26363222</v>
      </c>
      <c r="I49" s="18" t="n">
        <v>0</v>
      </c>
      <c r="J49" s="20" t="n">
        <v>0</v>
      </c>
      <c r="K49" s="18" t="n">
        <v>1.84548506</v>
      </c>
      <c r="L49" s="20" t="n">
        <v>0.90706827</v>
      </c>
      <c r="M49" s="18" t="n">
        <v>0</v>
      </c>
      <c r="N49" s="20" t="n">
        <v>0</v>
      </c>
      <c r="O49" s="18" t="n">
        <v>0</v>
      </c>
      <c r="P49" s="20" t="n">
        <v>0</v>
      </c>
      <c r="Q49" s="18" t="n">
        <v>1.43416677</v>
      </c>
      <c r="R49" s="20" t="n">
        <v>0.58743157</v>
      </c>
    </row>
    <row r="50" spans="1:18">
      <c r="A50" s="15" t="s">
        <v>609</v>
      </c>
      <c r="B50" s="17" t="n">
        <v>3494</v>
      </c>
      <c r="C50" s="18">
        <f>(3157.0/B50*100)</f>
        <v/>
      </c>
      <c r="D50" s="19" t="n">
        <v>337</v>
      </c>
      <c r="E50" s="18" t="n">
        <v>62.4458788</v>
      </c>
      <c r="F50" s="20" t="n">
        <v>2.55776884</v>
      </c>
      <c r="G50" s="18" t="n">
        <v>37.10208071</v>
      </c>
      <c r="H50" s="20" t="n">
        <v>2.54746473</v>
      </c>
      <c r="I50" s="18" t="n">
        <v>0</v>
      </c>
      <c r="J50" s="20" t="n">
        <v>0</v>
      </c>
      <c r="K50" s="18" t="n">
        <v>0</v>
      </c>
      <c r="L50" s="20" t="n">
        <v>0</v>
      </c>
      <c r="M50" s="18" t="n">
        <v>0</v>
      </c>
      <c r="N50" s="20" t="n">
        <v>0</v>
      </c>
      <c r="O50" s="18" t="n">
        <v>0</v>
      </c>
      <c r="P50" s="20" t="n">
        <v>0</v>
      </c>
      <c r="Q50" s="18" t="n">
        <v>0.45204048</v>
      </c>
      <c r="R50" s="20" t="n">
        <v>0.31935692</v>
      </c>
    </row>
    <row r="51" spans="1:18">
      <c r="A51" s="15" t="s">
        <v>610</v>
      </c>
      <c r="B51" s="17" t="n">
        <v>3013</v>
      </c>
      <c r="C51" s="18">
        <f>(2682.0/B51*100)</f>
        <v/>
      </c>
      <c r="D51" s="19" t="n">
        <v>331</v>
      </c>
      <c r="E51" s="18" t="n">
        <v>72.18225861000001</v>
      </c>
      <c r="F51" s="20" t="n">
        <v>2.56291001</v>
      </c>
      <c r="G51" s="18" t="n">
        <v>27.56160593</v>
      </c>
      <c r="H51" s="20" t="n">
        <v>2.52328957</v>
      </c>
      <c r="I51" s="18" t="n">
        <v>0</v>
      </c>
      <c r="J51" s="20" t="n">
        <v>0</v>
      </c>
      <c r="K51" s="18" t="n">
        <v>0</v>
      </c>
      <c r="L51" s="20" t="n">
        <v>0</v>
      </c>
      <c r="M51" s="18" t="n">
        <v>0</v>
      </c>
      <c r="N51" s="20" t="n">
        <v>0</v>
      </c>
      <c r="O51" s="18" t="n">
        <v>0</v>
      </c>
      <c r="P51" s="20" t="n">
        <v>0</v>
      </c>
      <c r="Q51" s="18" t="n">
        <v>0.25613546</v>
      </c>
      <c r="R51" s="20" t="n">
        <v>0.25393911</v>
      </c>
    </row>
    <row r="52" spans="1:18">
      <c r="A52" s="15" t="s">
        <v>611</v>
      </c>
      <c r="B52" s="17" t="n">
        <v>2760</v>
      </c>
      <c r="C52" s="18">
        <f>(2430.0/B52*100)</f>
        <v/>
      </c>
      <c r="D52" s="19" t="n">
        <v>330</v>
      </c>
      <c r="E52" s="18" t="n">
        <v>60.83161535</v>
      </c>
      <c r="F52" s="20" t="n">
        <v>2.87454241</v>
      </c>
      <c r="G52" s="18" t="n">
        <v>39.16838465</v>
      </c>
      <c r="H52" s="20" t="n">
        <v>2.87454241</v>
      </c>
      <c r="I52" s="18" t="n">
        <v>0</v>
      </c>
      <c r="J52" s="20" t="n">
        <v>0</v>
      </c>
      <c r="K52" s="18" t="n">
        <v>0</v>
      </c>
      <c r="L52" s="20" t="n">
        <v>0</v>
      </c>
      <c r="M52" s="18" t="n">
        <v>0</v>
      </c>
      <c r="N52" s="20" t="n">
        <v>0</v>
      </c>
      <c r="O52" s="18" t="n">
        <v>0</v>
      </c>
      <c r="P52" s="20" t="n">
        <v>0</v>
      </c>
      <c r="Q52" s="18" t="n">
        <v>0</v>
      </c>
      <c r="R52" s="20" t="n">
        <v>0</v>
      </c>
    </row>
    <row r="53" spans="1:18">
      <c r="A53" s="15" t="s">
        <v>612</v>
      </c>
      <c r="B53" s="17" t="n">
        <v>2474</v>
      </c>
      <c r="C53" s="18">
        <f>(2205.0/B53*100)</f>
        <v/>
      </c>
      <c r="D53" s="19" t="n">
        <v>269</v>
      </c>
      <c r="E53" s="18" t="n">
        <v>61.61956286</v>
      </c>
      <c r="F53" s="20" t="n">
        <v>2.97143019</v>
      </c>
      <c r="G53" s="18" t="n">
        <v>20.58861419</v>
      </c>
      <c r="H53" s="20" t="n">
        <v>2.81987257</v>
      </c>
      <c r="I53" s="18" t="n">
        <v>0</v>
      </c>
      <c r="J53" s="20" t="n">
        <v>0</v>
      </c>
      <c r="K53" s="18" t="n">
        <v>16.06796583</v>
      </c>
      <c r="L53" s="20" t="n">
        <v>2.26372565</v>
      </c>
      <c r="M53" s="18" t="n">
        <v>0</v>
      </c>
      <c r="N53" s="20" t="n">
        <v>0</v>
      </c>
      <c r="O53" s="18" t="n">
        <v>0</v>
      </c>
      <c r="P53" s="20" t="n">
        <v>0</v>
      </c>
      <c r="Q53" s="18" t="n">
        <v>1.72385712</v>
      </c>
      <c r="R53" s="20" t="n">
        <v>0.92234999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(2381.0/B55*100)</f>
        <v/>
      </c>
      <c r="D55" s="19" t="n">
        <v>294</v>
      </c>
      <c r="E55" s="18" t="n">
        <v>35.21258848</v>
      </c>
      <c r="F55" s="20" t="n">
        <v>2.95030999</v>
      </c>
      <c r="G55" s="18" t="n">
        <v>64.11721324</v>
      </c>
      <c r="H55" s="20" t="n">
        <v>2.94330327</v>
      </c>
      <c r="I55" s="18" t="n">
        <v>0</v>
      </c>
      <c r="J55" s="20" t="n">
        <v>0</v>
      </c>
      <c r="K55" s="18" t="n">
        <v>0.67019828</v>
      </c>
      <c r="L55" s="20" t="n">
        <v>0.65222255</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(2833.0/B61*100)</f>
        <v/>
      </c>
      <c r="D61" s="19" t="n">
        <v>368</v>
      </c>
      <c r="E61" s="18" t="n">
        <v>52.98914951</v>
      </c>
      <c r="F61" s="20" t="n">
        <v>2.8456625</v>
      </c>
      <c r="G61" s="18" t="n">
        <v>46.64210242</v>
      </c>
      <c r="H61" s="20" t="n">
        <v>2.84982447</v>
      </c>
      <c r="I61" s="18" t="n">
        <v>0</v>
      </c>
      <c r="J61" s="20" t="n">
        <v>0</v>
      </c>
      <c r="K61" s="18" t="n">
        <v>0</v>
      </c>
      <c r="L61" s="20" t="n">
        <v>0</v>
      </c>
      <c r="M61" s="18" t="n">
        <v>0</v>
      </c>
      <c r="N61" s="20" t="n">
        <v>0</v>
      </c>
      <c r="O61" s="18" t="n">
        <v>0</v>
      </c>
      <c r="P61" s="20" t="n">
        <v>0</v>
      </c>
      <c r="Q61" s="18" t="n">
        <v>0.36874808</v>
      </c>
      <c r="R61" s="20" t="n">
        <v>0.30242948</v>
      </c>
    </row>
    <row r="62" spans="1:18">
      <c r="A62" s="15" t="s">
        <v>622</v>
      </c>
      <c r="B62" s="17" t="n">
        <v>2230</v>
      </c>
      <c r="C62" s="18">
        <f>(1975.0/B62*100)</f>
        <v/>
      </c>
      <c r="D62" s="19" t="n">
        <v>255</v>
      </c>
      <c r="E62" s="18" t="n">
        <v>39.16602366</v>
      </c>
      <c r="F62" s="20" t="n">
        <v>3.21449834</v>
      </c>
      <c r="G62" s="18" t="n">
        <v>60.44516168</v>
      </c>
      <c r="H62" s="20" t="n">
        <v>3.22108465</v>
      </c>
      <c r="I62" s="18" t="n">
        <v>0</v>
      </c>
      <c r="J62" s="20" t="n">
        <v>0</v>
      </c>
      <c r="K62" s="18" t="n">
        <v>0</v>
      </c>
      <c r="L62" s="20" t="n">
        <v>0</v>
      </c>
      <c r="M62" s="18" t="n">
        <v>0</v>
      </c>
      <c r="N62" s="20" t="n">
        <v>0</v>
      </c>
      <c r="O62" s="18" t="n">
        <v>0</v>
      </c>
      <c r="P62" s="20" t="n">
        <v>0</v>
      </c>
      <c r="Q62" s="18" t="n">
        <v>0.38881466</v>
      </c>
      <c r="R62" s="20" t="n">
        <v>0.38849891</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(2480.0/B67*100)</f>
        <v/>
      </c>
      <c r="D67" s="19" t="n">
        <v>291</v>
      </c>
      <c r="E67" s="18" t="n">
        <v>78.07134841</v>
      </c>
      <c r="F67" s="20" t="n">
        <v>2.12898745</v>
      </c>
      <c r="G67" s="18" t="n">
        <v>19.08791508</v>
      </c>
      <c r="H67" s="20" t="n">
        <v>1.93541697</v>
      </c>
      <c r="I67" s="18" t="n">
        <v>0</v>
      </c>
      <c r="J67" s="20" t="n">
        <v>0</v>
      </c>
      <c r="K67" s="18" t="n">
        <v>0.35430835</v>
      </c>
      <c r="L67" s="20" t="n">
        <v>0.35290052</v>
      </c>
      <c r="M67" s="18" t="n">
        <v>0</v>
      </c>
      <c r="N67" s="20" t="n">
        <v>0</v>
      </c>
      <c r="O67" s="18" t="n">
        <v>0</v>
      </c>
      <c r="P67" s="20" t="n">
        <v>0</v>
      </c>
      <c r="Q67" s="18" t="n">
        <v>2.48642816</v>
      </c>
      <c r="R67" s="20" t="n">
        <v>0.78936671</v>
      </c>
    </row>
    <row r="68" spans="1:18">
      <c r="A68" s="15" t="s">
        <v>628</v>
      </c>
      <c r="B68" s="17" t="n">
        <v>3460</v>
      </c>
      <c r="C68" s="18">
        <f>(3117.0/B68*100)</f>
        <v/>
      </c>
      <c r="D68" s="19" t="n">
        <v>343</v>
      </c>
      <c r="E68" s="18" t="n">
        <v>71.61813382</v>
      </c>
      <c r="F68" s="20" t="n">
        <v>2.70218801</v>
      </c>
      <c r="G68" s="18" t="n">
        <v>26.73972909</v>
      </c>
      <c r="H68" s="20" t="n">
        <v>2.66835242</v>
      </c>
      <c r="I68" s="18" t="n">
        <v>0</v>
      </c>
      <c r="J68" s="20" t="n">
        <v>0</v>
      </c>
      <c r="K68" s="18" t="n">
        <v>0.28022606</v>
      </c>
      <c r="L68" s="20" t="n">
        <v>0.30505009</v>
      </c>
      <c r="M68" s="18" t="n">
        <v>0</v>
      </c>
      <c r="N68" s="20" t="n">
        <v>0</v>
      </c>
      <c r="O68" s="18" t="n">
        <v>0</v>
      </c>
      <c r="P68" s="20" t="n">
        <v>0</v>
      </c>
      <c r="Q68" s="18" t="n">
        <v>1.36191103</v>
      </c>
      <c r="R68" s="20" t="n">
        <v>0.76748765</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(5359.0/B70*100)</f>
        <v/>
      </c>
      <c r="D70" s="19" t="n">
        <v>675</v>
      </c>
      <c r="E70" s="18" t="n">
        <v>62.6416224</v>
      </c>
      <c r="F70" s="20" t="n">
        <v>1.80461912</v>
      </c>
      <c r="G70" s="18" t="n">
        <v>35.62337632</v>
      </c>
      <c r="H70" s="20" t="n">
        <v>1.81861987</v>
      </c>
      <c r="I70" s="18" t="n">
        <v>0</v>
      </c>
      <c r="J70" s="20" t="n">
        <v>0</v>
      </c>
      <c r="K70" s="18" t="n">
        <v>1.00805811</v>
      </c>
      <c r="L70" s="20" t="n">
        <v>0.38711553</v>
      </c>
      <c r="M70" s="18" t="n">
        <v>0</v>
      </c>
      <c r="N70" s="20" t="n">
        <v>0</v>
      </c>
      <c r="O70" s="18" t="n">
        <v>0</v>
      </c>
      <c r="P70" s="20" t="n">
        <v>0</v>
      </c>
      <c r="Q70" s="18" t="n">
        <v>0.72694316</v>
      </c>
      <c r="R70" s="20" t="n">
        <v>0.32215534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(2767.0/B72*100)</f>
        <v/>
      </c>
      <c r="D72" s="19" t="n">
        <v>340</v>
      </c>
      <c r="E72" s="18" t="n">
        <v>67.43321908999999</v>
      </c>
      <c r="F72" s="20" t="n">
        <v>2.72260498</v>
      </c>
      <c r="G72" s="18" t="n">
        <v>32.56678091</v>
      </c>
      <c r="H72" s="20" t="n">
        <v>2.72260498</v>
      </c>
      <c r="I72" s="18" t="n">
        <v>0</v>
      </c>
      <c r="J72" s="20" t="n">
        <v>0</v>
      </c>
      <c r="K72" s="18" t="n">
        <v>0</v>
      </c>
      <c r="L72" s="20" t="n">
        <v>0</v>
      </c>
      <c r="M72" s="18" t="n">
        <v>0</v>
      </c>
      <c r="N72" s="20" t="n">
        <v>0</v>
      </c>
      <c r="O72" s="18" t="n">
        <v>0</v>
      </c>
      <c r="P72" s="20" t="n">
        <v>0</v>
      </c>
      <c r="Q72" s="18" t="n">
        <v>0</v>
      </c>
      <c r="R72" s="20" t="n">
        <v>0</v>
      </c>
    </row>
    <row r="73" spans="1:18">
      <c r="A73" s="15" t="s">
        <v>633</v>
      </c>
      <c r="B73" s="17" t="n">
        <v>2973</v>
      </c>
      <c r="C73" s="18">
        <f>(2649.0/B73*100)</f>
        <v/>
      </c>
      <c r="D73" s="19" t="n">
        <v>324</v>
      </c>
      <c r="E73" s="18" t="n">
        <v>42.81936942</v>
      </c>
      <c r="F73" s="20" t="n">
        <v>3.18845584</v>
      </c>
      <c r="G73" s="18" t="n">
        <v>57.02766463</v>
      </c>
      <c r="H73" s="20" t="n">
        <v>3.19524487</v>
      </c>
      <c r="I73" s="18" t="n">
        <v>0</v>
      </c>
      <c r="J73" s="20" t="n">
        <v>0</v>
      </c>
      <c r="K73" s="18" t="n">
        <v>0</v>
      </c>
      <c r="L73" s="20" t="n">
        <v>0</v>
      </c>
      <c r="M73" s="18" t="n">
        <v>0</v>
      </c>
      <c r="N73" s="20" t="n">
        <v>0</v>
      </c>
      <c r="O73" s="18" t="n">
        <v>0</v>
      </c>
      <c r="P73" s="20" t="n">
        <v>0</v>
      </c>
      <c r="Q73" s="18" t="n">
        <v>0.15296595</v>
      </c>
      <c r="R73" s="20" t="n">
        <v>0.1538154</v>
      </c>
    </row>
    <row r="74" spans="1:18">
      <c r="A74" s="15" t="s">
        <v>634</v>
      </c>
      <c r="B74" s="17" t="n">
        <v>3819</v>
      </c>
      <c r="C74" s="18">
        <f>(3365.0/B74*100)</f>
        <v/>
      </c>
      <c r="D74" s="19" t="n">
        <v>454</v>
      </c>
      <c r="E74" s="18" t="n">
        <v>34.04099484</v>
      </c>
      <c r="F74" s="20" t="n">
        <v>2.64816032</v>
      </c>
      <c r="G74" s="18" t="n">
        <v>65.54319782</v>
      </c>
      <c r="H74" s="20" t="n">
        <v>2.65846116</v>
      </c>
      <c r="I74" s="18" t="n">
        <v>0</v>
      </c>
      <c r="J74" s="20" t="n">
        <v>0</v>
      </c>
      <c r="K74" s="18" t="n">
        <v>0.24192882</v>
      </c>
      <c r="L74" s="20" t="n">
        <v>0.2425848</v>
      </c>
      <c r="M74" s="18" t="n">
        <v>0</v>
      </c>
      <c r="N74" s="20" t="n">
        <v>0</v>
      </c>
      <c r="O74" s="18" t="n">
        <v>0</v>
      </c>
      <c r="P74" s="20" t="n">
        <v>0</v>
      </c>
      <c r="Q74" s="18" t="n">
        <v>0.17387853</v>
      </c>
      <c r="R74" s="20" t="n">
        <v>0.17474023</v>
      </c>
    </row>
    <row r="75" spans="1:18">
      <c r="A75" s="15" t="s">
        <v>635</v>
      </c>
      <c r="B75" s="17" t="n">
        <v>4652</v>
      </c>
      <c r="C75" s="18">
        <f>(4167.0/B75*100)</f>
        <v/>
      </c>
      <c r="D75" s="19" t="n">
        <v>485</v>
      </c>
      <c r="E75" s="18" t="n">
        <v>51.51157289</v>
      </c>
      <c r="F75" s="20" t="n">
        <v>2.93175067</v>
      </c>
      <c r="G75" s="18" t="n">
        <v>48.19462105</v>
      </c>
      <c r="H75" s="20" t="n">
        <v>3.03336866</v>
      </c>
      <c r="I75" s="18" t="n">
        <v>0</v>
      </c>
      <c r="J75" s="20" t="n">
        <v>0</v>
      </c>
      <c r="K75" s="18" t="n">
        <v>0</v>
      </c>
      <c r="L75" s="20" t="n">
        <v>0</v>
      </c>
      <c r="M75" s="18" t="n">
        <v>0</v>
      </c>
      <c r="N75" s="20" t="n">
        <v>0</v>
      </c>
      <c r="O75" s="18" t="n">
        <v>0</v>
      </c>
      <c r="P75" s="20" t="n">
        <v>0</v>
      </c>
      <c r="Q75" s="18" t="n">
        <v>0.29380606</v>
      </c>
      <c r="R75" s="20" t="n">
        <v>0.29219759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(2676.0/B77*100)</f>
        <v/>
      </c>
      <c r="D77" s="19" t="n">
        <v>293</v>
      </c>
      <c r="E77" s="18" t="n">
        <v>47.89985757</v>
      </c>
      <c r="F77" s="20" t="n">
        <v>3.16422876</v>
      </c>
      <c r="G77" s="18" t="n">
        <v>47.85522778</v>
      </c>
      <c r="H77" s="20" t="n">
        <v>3.17376029</v>
      </c>
      <c r="I77" s="18" t="n">
        <v>0</v>
      </c>
      <c r="J77" s="20" t="n">
        <v>0</v>
      </c>
      <c r="K77" s="18" t="n">
        <v>2.06983747</v>
      </c>
      <c r="L77" s="20" t="n">
        <v>0.81859786</v>
      </c>
      <c r="M77" s="18" t="n">
        <v>0</v>
      </c>
      <c r="N77" s="20" t="n">
        <v>0</v>
      </c>
      <c r="O77" s="18" t="n">
        <v>0</v>
      </c>
      <c r="P77" s="20" t="n">
        <v>0</v>
      </c>
      <c r="Q77" s="18" t="n">
        <v>2.17507717</v>
      </c>
      <c r="R77" s="20" t="n">
        <v>0.83007003</v>
      </c>
    </row>
    <row r="78" spans="1:18">
      <c r="A78" s="15" t="s">
        <v>638</v>
      </c>
      <c r="B78" s="17" t="n">
        <v>7115</v>
      </c>
      <c r="C78" s="18">
        <f>(6297.0/B78*100)</f>
        <v/>
      </c>
      <c r="D78" s="19" t="n">
        <v>818</v>
      </c>
      <c r="E78" s="18" t="n">
        <v>65.74907619</v>
      </c>
      <c r="F78" s="20" t="n">
        <v>1.85131356</v>
      </c>
      <c r="G78" s="18" t="n">
        <v>32.50427284</v>
      </c>
      <c r="H78" s="20" t="n">
        <v>1.81938623</v>
      </c>
      <c r="I78" s="18" t="n">
        <v>0</v>
      </c>
      <c r="J78" s="20" t="n">
        <v>0</v>
      </c>
      <c r="K78" s="18" t="n">
        <v>0.86781128</v>
      </c>
      <c r="L78" s="20" t="n">
        <v>0.35875968</v>
      </c>
      <c r="M78" s="18" t="n">
        <v>0</v>
      </c>
      <c r="N78" s="20" t="n">
        <v>0</v>
      </c>
      <c r="O78" s="18" t="n">
        <v>0</v>
      </c>
      <c r="P78" s="20" t="n">
        <v>0</v>
      </c>
      <c r="Q78" s="18" t="n">
        <v>0.87883969</v>
      </c>
      <c r="R78" s="20" t="n">
        <v>0.4285421</v>
      </c>
    </row>
    <row r="79" spans="1:18">
      <c r="A79" s="15" t="s">
        <v>639</v>
      </c>
      <c r="B79" s="17" t="n">
        <v>3154</v>
      </c>
      <c r="C79" s="18">
        <f>(2809.0/B79*100)</f>
        <v/>
      </c>
      <c r="D79" s="19" t="n">
        <v>345</v>
      </c>
      <c r="E79" s="18" t="n">
        <v>56.66746891</v>
      </c>
      <c r="F79" s="20" t="n">
        <v>2.5493205</v>
      </c>
      <c r="G79" s="18" t="n">
        <v>42.82533494</v>
      </c>
      <c r="H79" s="20" t="n">
        <v>2.54063835</v>
      </c>
      <c r="I79" s="18" t="n">
        <v>0</v>
      </c>
      <c r="J79" s="20" t="n">
        <v>0</v>
      </c>
      <c r="K79" s="18" t="n">
        <v>0.25676977</v>
      </c>
      <c r="L79" s="20" t="n">
        <v>0.25594212</v>
      </c>
      <c r="M79" s="18" t="n">
        <v>0</v>
      </c>
      <c r="N79" s="20" t="n">
        <v>0</v>
      </c>
      <c r="O79" s="18" t="n">
        <v>0</v>
      </c>
      <c r="P79" s="20" t="n">
        <v>0</v>
      </c>
      <c r="Q79" s="18" t="n">
        <v>0.25042637</v>
      </c>
      <c r="R79" s="20" t="n">
        <v>0.2197095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(14262.0/B82*100)</f>
        <v/>
      </c>
      <c r="D82" s="19" t="n">
        <v>1699</v>
      </c>
      <c r="E82" s="18" t="n">
        <v>50.34456262</v>
      </c>
      <c r="F82" s="20" t="n">
        <v>1.65765843</v>
      </c>
      <c r="G82" s="18" t="n">
        <v>49.46735375</v>
      </c>
      <c r="H82" s="20" t="n">
        <v>1.68527507</v>
      </c>
      <c r="I82" s="18" t="n">
        <v>0</v>
      </c>
      <c r="J82" s="20" t="n">
        <v>0</v>
      </c>
      <c r="K82" s="18" t="n">
        <v>0.05196141</v>
      </c>
      <c r="L82" s="20" t="n">
        <v>0.03687058</v>
      </c>
      <c r="M82" s="18" t="n">
        <v>0</v>
      </c>
      <c r="N82" s="20" t="n">
        <v>0</v>
      </c>
      <c r="O82" s="18" t="n">
        <v>0</v>
      </c>
      <c r="P82" s="20" t="n">
        <v>0</v>
      </c>
      <c r="Q82" s="18" t="n">
        <v>0.13612221</v>
      </c>
      <c r="R82" s="20" t="n">
        <v>0.13525962</v>
      </c>
    </row>
    <row r="83" spans="1:18">
      <c r="A83" s="15" t="s">
        <v>643</v>
      </c>
      <c r="B83" s="17" t="n">
        <v>808</v>
      </c>
      <c r="C83" s="18">
        <f>(721.0/B83*100)</f>
        <v/>
      </c>
      <c r="D83" s="19" t="n">
        <v>87</v>
      </c>
      <c r="E83" s="18" t="n">
        <v>55.74563121</v>
      </c>
      <c r="F83" s="20" t="n">
        <v>5.05874237</v>
      </c>
      <c r="G83" s="18" t="n">
        <v>42.9482587</v>
      </c>
      <c r="H83" s="20" t="n">
        <v>5.00940729</v>
      </c>
      <c r="I83" s="18" t="n">
        <v>0</v>
      </c>
      <c r="J83" s="20" t="n">
        <v>0</v>
      </c>
      <c r="K83" s="18" t="n">
        <v>0</v>
      </c>
      <c r="L83" s="20" t="n">
        <v>0</v>
      </c>
      <c r="M83" s="18" t="n">
        <v>0</v>
      </c>
      <c r="N83" s="20" t="n">
        <v>0</v>
      </c>
      <c r="O83" s="18" t="n">
        <v>0</v>
      </c>
      <c r="P83" s="20" t="n">
        <v>0</v>
      </c>
      <c r="Q83" s="18" t="n">
        <v>1.3061101</v>
      </c>
      <c r="R83" s="20" t="n">
        <v>1.16591472</v>
      </c>
    </row>
    <row r="84" spans="1:18">
      <c r="A84" s="23" t="s">
        <v>644</v>
      </c>
      <c r="B84" s="24" t="n">
        <v>938</v>
      </c>
      <c r="C84" s="25">
        <f>(842.0/B84*100)</f>
        <v/>
      </c>
      <c r="D84" s="19" t="n">
        <v>96</v>
      </c>
      <c r="E84" s="18" t="n">
        <v>54.97126929</v>
      </c>
      <c r="F84" s="20" t="n">
        <v>3.70837654</v>
      </c>
      <c r="G84" s="18" t="n">
        <v>45.02873071</v>
      </c>
      <c r="H84" s="20" t="n">
        <v>3.70837654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(6346.0/B7*100)</f>
        <v/>
      </c>
      <c r="D7" s="19" t="n">
        <v>817</v>
      </c>
      <c r="E7" s="18" t="n">
        <v>10.76856859</v>
      </c>
      <c r="F7" s="20" t="n">
        <v>1.32889454</v>
      </c>
      <c r="G7" s="18" t="n">
        <v>88.69334023</v>
      </c>
      <c r="H7" s="20" t="n">
        <v>1.3493982</v>
      </c>
      <c r="I7" s="18" t="n">
        <v>0</v>
      </c>
      <c r="J7" s="20" t="n">
        <v>0</v>
      </c>
      <c r="K7" s="18" t="n">
        <v>0.14675847</v>
      </c>
      <c r="L7" s="20" t="n">
        <v>0.08640639999999999</v>
      </c>
      <c r="M7" s="18" t="n">
        <v>0</v>
      </c>
      <c r="N7" s="20" t="n">
        <v>0</v>
      </c>
      <c r="O7" s="18" t="n">
        <v>0</v>
      </c>
      <c r="P7" s="20" t="n">
        <v>0</v>
      </c>
      <c r="Q7" s="18" t="n">
        <v>0.39133271</v>
      </c>
      <c r="R7" s="20" t="n">
        <v>0.23431624</v>
      </c>
    </row>
    <row r="8" spans="1:18">
      <c r="A8" s="15" t="s">
        <v>566</v>
      </c>
      <c r="B8" s="17" t="n">
        <v>3443</v>
      </c>
      <c r="C8" s="18">
        <f>(3060.0/B8*100)</f>
        <v/>
      </c>
      <c r="D8" s="19" t="n">
        <v>383</v>
      </c>
      <c r="E8" s="18" t="n">
        <v>7.84588328</v>
      </c>
      <c r="F8" s="20" t="n">
        <v>1.49024764</v>
      </c>
      <c r="G8" s="18" t="n">
        <v>92.15411672</v>
      </c>
      <c r="H8" s="20" t="n">
        <v>1.49024764</v>
      </c>
      <c r="I8" s="18" t="n">
        <v>0</v>
      </c>
      <c r="J8" s="20" t="n">
        <v>0</v>
      </c>
      <c r="K8" s="18" t="n">
        <v>0</v>
      </c>
      <c r="L8" s="20" t="n">
        <v>0</v>
      </c>
      <c r="M8" s="18" t="n">
        <v>0</v>
      </c>
      <c r="N8" s="20" t="n">
        <v>0</v>
      </c>
      <c r="O8" s="18" t="n">
        <v>0</v>
      </c>
      <c r="P8" s="20" t="n">
        <v>0</v>
      </c>
      <c r="Q8" s="18" t="n">
        <v>0</v>
      </c>
      <c r="R8" s="20" t="n">
        <v>0</v>
      </c>
    </row>
    <row r="9" spans="1:18">
      <c r="A9" s="15" t="s">
        <v>567</v>
      </c>
      <c r="B9" s="17" t="n">
        <v>4752</v>
      </c>
      <c r="C9" s="18">
        <f>(4250.0/B9*100)</f>
        <v/>
      </c>
      <c r="D9" s="19" t="n">
        <v>502</v>
      </c>
      <c r="E9" s="18" t="n">
        <v>9.725505249999999</v>
      </c>
      <c r="F9" s="20" t="n">
        <v>1.60430643</v>
      </c>
      <c r="G9" s="18" t="n">
        <v>88.92795925</v>
      </c>
      <c r="H9" s="20" t="n">
        <v>1.67018185</v>
      </c>
      <c r="I9" s="18" t="n">
        <v>0</v>
      </c>
      <c r="J9" s="20" t="n">
        <v>0</v>
      </c>
      <c r="K9" s="18" t="n">
        <v>0.18121844</v>
      </c>
      <c r="L9" s="20" t="n">
        <v>0.18222256</v>
      </c>
      <c r="M9" s="18" t="n">
        <v>0</v>
      </c>
      <c r="N9" s="20" t="n">
        <v>0</v>
      </c>
      <c r="O9" s="18" t="n">
        <v>0</v>
      </c>
      <c r="P9" s="20" t="n">
        <v>0</v>
      </c>
      <c r="Q9" s="18" t="n">
        <v>1.16531706</v>
      </c>
      <c r="R9" s="20" t="n">
        <v>0.53622624</v>
      </c>
    </row>
    <row r="10" spans="1:18">
      <c r="A10" s="15" t="s">
        <v>568</v>
      </c>
      <c r="B10" s="17" t="n">
        <v>10022</v>
      </c>
      <c r="C10" s="18">
        <f>(8922.0/B10*100)</f>
        <v/>
      </c>
      <c r="D10" s="19" t="n">
        <v>1100</v>
      </c>
      <c r="E10" s="18" t="n">
        <v>6.33564863</v>
      </c>
      <c r="F10" s="20" t="n">
        <v>0.85861272</v>
      </c>
      <c r="G10" s="18" t="n">
        <v>92.89850254</v>
      </c>
      <c r="H10" s="20" t="n">
        <v>0.96433033</v>
      </c>
      <c r="I10" s="18" t="n">
        <v>0</v>
      </c>
      <c r="J10" s="20" t="n">
        <v>0</v>
      </c>
      <c r="K10" s="18" t="n">
        <v>0.26789176</v>
      </c>
      <c r="L10" s="20" t="n">
        <v>0.23402303</v>
      </c>
      <c r="M10" s="18" t="n">
        <v>0</v>
      </c>
      <c r="N10" s="20" t="n">
        <v>0</v>
      </c>
      <c r="O10" s="18" t="n">
        <v>0</v>
      </c>
      <c r="P10" s="20" t="n">
        <v>0</v>
      </c>
      <c r="Q10" s="18" t="n">
        <v>0.49795706</v>
      </c>
      <c r="R10" s="20" t="n">
        <v>0.33273226</v>
      </c>
    </row>
    <row r="11" spans="1:18">
      <c r="A11" s="15" t="s">
        <v>569</v>
      </c>
      <c r="B11" s="17" t="n">
        <v>3500</v>
      </c>
      <c r="C11" s="18">
        <f>(3135.0/B11*100)</f>
        <v/>
      </c>
      <c r="D11" s="19" t="n">
        <v>365</v>
      </c>
      <c r="E11" s="18" t="n">
        <v>6.15309899</v>
      </c>
      <c r="F11" s="20" t="n">
        <v>1.45292941</v>
      </c>
      <c r="G11" s="18" t="n">
        <v>92.40038253</v>
      </c>
      <c r="H11" s="20" t="n">
        <v>1.74153651</v>
      </c>
      <c r="I11" s="18" t="n">
        <v>0</v>
      </c>
      <c r="J11" s="20" t="n">
        <v>0</v>
      </c>
      <c r="K11" s="18" t="n">
        <v>0.26879923</v>
      </c>
      <c r="L11" s="20" t="n">
        <v>0.26698847</v>
      </c>
      <c r="M11" s="18" t="n">
        <v>0</v>
      </c>
      <c r="N11" s="20" t="n">
        <v>0</v>
      </c>
      <c r="O11" s="18" t="n">
        <v>0</v>
      </c>
      <c r="P11" s="20" t="n">
        <v>0</v>
      </c>
      <c r="Q11" s="18" t="n">
        <v>1.17771925</v>
      </c>
      <c r="R11" s="20" t="n">
        <v>0.70836055</v>
      </c>
    </row>
    <row r="12" spans="1:18">
      <c r="A12" s="15" t="s">
        <v>570</v>
      </c>
      <c r="B12" s="17" t="n">
        <v>3422</v>
      </c>
      <c r="C12" s="18">
        <f>(3064.0/B12*100)</f>
        <v/>
      </c>
      <c r="D12" s="19" t="n">
        <v>358</v>
      </c>
      <c r="E12" s="18" t="n">
        <v>6.56739132</v>
      </c>
      <c r="F12" s="20" t="n">
        <v>1.63593699</v>
      </c>
      <c r="G12" s="18" t="n">
        <v>92.77038477000001</v>
      </c>
      <c r="H12" s="20" t="n">
        <v>1.76638033</v>
      </c>
      <c r="I12" s="18" t="n">
        <v>0</v>
      </c>
      <c r="J12" s="20" t="n">
        <v>0</v>
      </c>
      <c r="K12" s="18" t="n">
        <v>0.16111713</v>
      </c>
      <c r="L12" s="20" t="n">
        <v>0.15658868</v>
      </c>
      <c r="M12" s="18" t="n">
        <v>0</v>
      </c>
      <c r="N12" s="20" t="n">
        <v>0</v>
      </c>
      <c r="O12" s="18" t="n">
        <v>0</v>
      </c>
      <c r="P12" s="20" t="n">
        <v>0</v>
      </c>
      <c r="Q12" s="18" t="n">
        <v>0.50110678</v>
      </c>
      <c r="R12" s="20" t="n">
        <v>0.49099893</v>
      </c>
    </row>
    <row r="13" spans="1:18">
      <c r="A13" s="15" t="s">
        <v>571</v>
      </c>
      <c r="B13" s="17" t="n">
        <v>3602</v>
      </c>
      <c r="C13" s="18">
        <f>(3194.0/B13*100)</f>
        <v/>
      </c>
      <c r="D13" s="19" t="n">
        <v>408</v>
      </c>
      <c r="E13" s="18" t="n">
        <v>8.601538420000001</v>
      </c>
      <c r="F13" s="20" t="n">
        <v>1.54079021</v>
      </c>
      <c r="G13" s="18" t="n">
        <v>90.30849859</v>
      </c>
      <c r="H13" s="20" t="n">
        <v>1.68001668</v>
      </c>
      <c r="I13" s="18" t="n">
        <v>0</v>
      </c>
      <c r="J13" s="20" t="n">
        <v>0</v>
      </c>
      <c r="K13" s="18" t="n">
        <v>0.51976332</v>
      </c>
      <c r="L13" s="20" t="n">
        <v>0.4462044</v>
      </c>
      <c r="M13" s="18" t="n">
        <v>0</v>
      </c>
      <c r="N13" s="20" t="n">
        <v>0</v>
      </c>
      <c r="O13" s="18" t="n">
        <v>0</v>
      </c>
      <c r="P13" s="20" t="n">
        <v>0</v>
      </c>
      <c r="Q13" s="18" t="n">
        <v>0.57019967</v>
      </c>
      <c r="R13" s="20" t="n">
        <v>0.53758153</v>
      </c>
    </row>
    <row r="14" spans="1:18">
      <c r="A14" s="15" t="s">
        <v>572</v>
      </c>
      <c r="B14" s="17" t="n">
        <v>2788</v>
      </c>
      <c r="C14" s="18">
        <f>(2496.0/B14*100)</f>
        <v/>
      </c>
      <c r="D14" s="19" t="n">
        <v>292</v>
      </c>
      <c r="E14" s="18" t="n">
        <v>6.50356083</v>
      </c>
      <c r="F14" s="20" t="n">
        <v>1.80308434</v>
      </c>
      <c r="G14" s="18" t="n">
        <v>93.20534532000001</v>
      </c>
      <c r="H14" s="20" t="n">
        <v>1.7812304</v>
      </c>
      <c r="I14" s="18" t="n">
        <v>0</v>
      </c>
      <c r="J14" s="20" t="n">
        <v>0</v>
      </c>
      <c r="K14" s="18" t="n">
        <v>0</v>
      </c>
      <c r="L14" s="20" t="n">
        <v>0</v>
      </c>
      <c r="M14" s="18" t="n">
        <v>0</v>
      </c>
      <c r="N14" s="20" t="n">
        <v>0</v>
      </c>
      <c r="O14" s="18" t="n">
        <v>0</v>
      </c>
      <c r="P14" s="20" t="n">
        <v>0</v>
      </c>
      <c r="Q14" s="18" t="n">
        <v>0.29109385</v>
      </c>
      <c r="R14" s="20" t="n">
        <v>0.28465016</v>
      </c>
    </row>
    <row r="15" spans="1:18">
      <c r="A15" s="15" t="s">
        <v>573</v>
      </c>
      <c r="B15" s="17" t="n">
        <v>2863</v>
      </c>
      <c r="C15" s="18">
        <f>(2525.0/B15*100)</f>
        <v/>
      </c>
      <c r="D15" s="19" t="n">
        <v>338</v>
      </c>
      <c r="E15" s="18" t="n">
        <v>2.90049098</v>
      </c>
      <c r="F15" s="20" t="n">
        <v>0.89858362</v>
      </c>
      <c r="G15" s="18" t="n">
        <v>97.09950902</v>
      </c>
      <c r="H15" s="20" t="n">
        <v>0.89858362</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(2769.0/B16*100)</f>
        <v/>
      </c>
      <c r="D16" s="19" t="n">
        <v>342</v>
      </c>
      <c r="E16" s="18" t="n">
        <v>7.72814995</v>
      </c>
      <c r="F16" s="20" t="n">
        <v>1.62430591</v>
      </c>
      <c r="G16" s="18" t="n">
        <v>91.13146067</v>
      </c>
      <c r="H16" s="20" t="n">
        <v>1.65568301</v>
      </c>
      <c r="I16" s="18" t="n">
        <v>0</v>
      </c>
      <c r="J16" s="20" t="n">
        <v>0</v>
      </c>
      <c r="K16" s="18" t="n">
        <v>0</v>
      </c>
      <c r="L16" s="20" t="n">
        <v>0</v>
      </c>
      <c r="M16" s="18" t="n">
        <v>0</v>
      </c>
      <c r="N16" s="20" t="n">
        <v>0</v>
      </c>
      <c r="O16" s="18" t="n">
        <v>0</v>
      </c>
      <c r="P16" s="20" t="n">
        <v>0</v>
      </c>
      <c r="Q16" s="18" t="n">
        <v>1.14038939</v>
      </c>
      <c r="R16" s="20" t="n">
        <v>0.55221485</v>
      </c>
    </row>
    <row r="17" spans="1:18">
      <c r="A17" s="15" t="s">
        <v>575</v>
      </c>
      <c r="B17" s="17" t="n">
        <v>3197</v>
      </c>
      <c r="C17" s="18">
        <f>(2836.0/B17*100)</f>
        <v/>
      </c>
      <c r="D17" s="19" t="n">
        <v>361</v>
      </c>
      <c r="E17" s="18" t="n">
        <v>6.46624749</v>
      </c>
      <c r="F17" s="20" t="n">
        <v>1.68447057</v>
      </c>
      <c r="G17" s="18" t="n">
        <v>93.53375251</v>
      </c>
      <c r="H17" s="20" t="n">
        <v>1.68447057</v>
      </c>
      <c r="I17" s="18" t="n">
        <v>0</v>
      </c>
      <c r="J17" s="20" t="n">
        <v>0</v>
      </c>
      <c r="K17" s="18" t="n">
        <v>0</v>
      </c>
      <c r="L17" s="20" t="n">
        <v>0</v>
      </c>
      <c r="M17" s="18" t="n">
        <v>0</v>
      </c>
      <c r="N17" s="20" t="n">
        <v>0</v>
      </c>
      <c r="O17" s="18" t="n">
        <v>0</v>
      </c>
      <c r="P17" s="20" t="n">
        <v>0</v>
      </c>
      <c r="Q17" s="18" t="n">
        <v>0</v>
      </c>
      <c r="R17" s="20" t="n">
        <v>0</v>
      </c>
    </row>
    <row r="18" spans="1:18">
      <c r="A18" s="15" t="s">
        <v>576</v>
      </c>
      <c r="B18" s="17" t="n">
        <v>2706</v>
      </c>
      <c r="C18" s="18">
        <f>(2410.0/B18*100)</f>
        <v/>
      </c>
      <c r="D18" s="19" t="n">
        <v>296</v>
      </c>
      <c r="E18" s="18" t="n">
        <v>13.17523704</v>
      </c>
      <c r="F18" s="20" t="n">
        <v>2.41418494</v>
      </c>
      <c r="G18" s="18" t="n">
        <v>85.79317915999999</v>
      </c>
      <c r="H18" s="20" t="n">
        <v>2.49682758</v>
      </c>
      <c r="I18" s="18" t="n">
        <v>0</v>
      </c>
      <c r="J18" s="20" t="n">
        <v>0</v>
      </c>
      <c r="K18" s="18" t="n">
        <v>0</v>
      </c>
      <c r="L18" s="20" t="n">
        <v>0</v>
      </c>
      <c r="M18" s="18" t="n">
        <v>0</v>
      </c>
      <c r="N18" s="20" t="n">
        <v>0</v>
      </c>
      <c r="O18" s="18" t="n">
        <v>0</v>
      </c>
      <c r="P18" s="20" t="n">
        <v>0</v>
      </c>
      <c r="Q18" s="18" t="n">
        <v>1.0315838</v>
      </c>
      <c r="R18" s="20" t="n">
        <v>0.60069814</v>
      </c>
    </row>
    <row r="19" spans="1:18">
      <c r="A19" s="15" t="s">
        <v>577</v>
      </c>
      <c r="B19" s="17" t="n">
        <v>2850</v>
      </c>
      <c r="C19" s="18">
        <f>(2542.0/B19*100)</f>
        <v/>
      </c>
      <c r="D19" s="19" t="n">
        <v>308</v>
      </c>
      <c r="E19" s="18" t="n">
        <v>7.8847756</v>
      </c>
      <c r="F19" s="20" t="n">
        <v>1.7906804</v>
      </c>
      <c r="G19" s="18" t="n">
        <v>91.40009148999999</v>
      </c>
      <c r="H19" s="20" t="n">
        <v>1.90236543</v>
      </c>
      <c r="I19" s="18" t="n">
        <v>0</v>
      </c>
      <c r="J19" s="20" t="n">
        <v>0</v>
      </c>
      <c r="K19" s="18" t="n">
        <v>0</v>
      </c>
      <c r="L19" s="20" t="n">
        <v>0</v>
      </c>
      <c r="M19" s="18" t="n">
        <v>0</v>
      </c>
      <c r="N19" s="20" t="n">
        <v>0</v>
      </c>
      <c r="O19" s="18" t="n">
        <v>0</v>
      </c>
      <c r="P19" s="20" t="n">
        <v>0</v>
      </c>
      <c r="Q19" s="18" t="n">
        <v>0.71513291</v>
      </c>
      <c r="R19" s="20" t="n">
        <v>0.70977145</v>
      </c>
    </row>
    <row r="20" spans="1:18">
      <c r="A20" s="15" t="s">
        <v>578</v>
      </c>
      <c r="B20" s="17" t="n">
        <v>1741</v>
      </c>
      <c r="C20" s="18">
        <f>(1548.0/B20*100)</f>
        <v/>
      </c>
      <c r="D20" s="19" t="n">
        <v>193</v>
      </c>
      <c r="E20" s="18" t="n">
        <v>16.0855359</v>
      </c>
      <c r="F20" s="20" t="n">
        <v>2.62293207</v>
      </c>
      <c r="G20" s="18" t="n">
        <v>81.88975943</v>
      </c>
      <c r="H20" s="20" t="n">
        <v>2.8408569</v>
      </c>
      <c r="I20" s="18" t="n">
        <v>0</v>
      </c>
      <c r="J20" s="20" t="n">
        <v>0</v>
      </c>
      <c r="K20" s="18" t="n">
        <v>0.95664545</v>
      </c>
      <c r="L20" s="20" t="n">
        <v>0.66691882</v>
      </c>
      <c r="M20" s="18" t="n">
        <v>0</v>
      </c>
      <c r="N20" s="20" t="n">
        <v>0</v>
      </c>
      <c r="O20" s="18" t="n">
        <v>0</v>
      </c>
      <c r="P20" s="20" t="n">
        <v>0</v>
      </c>
      <c r="Q20" s="18" t="n">
        <v>1.06805923</v>
      </c>
      <c r="R20" s="20" t="n">
        <v>0.76308584</v>
      </c>
    </row>
    <row r="21" spans="1:18">
      <c r="A21" s="15" t="s">
        <v>579</v>
      </c>
      <c r="B21" s="17" t="n">
        <v>2833</v>
      </c>
      <c r="C21" s="18">
        <f>(2500.0/B21*100)</f>
        <v/>
      </c>
      <c r="D21" s="19" t="n">
        <v>333</v>
      </c>
      <c r="E21" s="18" t="n">
        <v>4.6509904</v>
      </c>
      <c r="F21" s="20" t="n">
        <v>1.34266425</v>
      </c>
      <c r="G21" s="18" t="n">
        <v>94.90015531</v>
      </c>
      <c r="H21" s="20" t="n">
        <v>1.41507362</v>
      </c>
      <c r="I21" s="18" t="n">
        <v>0</v>
      </c>
      <c r="J21" s="20" t="n">
        <v>0</v>
      </c>
      <c r="K21" s="18" t="n">
        <v>0</v>
      </c>
      <c r="L21" s="20" t="n">
        <v>0</v>
      </c>
      <c r="M21" s="18" t="n">
        <v>0</v>
      </c>
      <c r="N21" s="20" t="n">
        <v>0</v>
      </c>
      <c r="O21" s="18" t="n">
        <v>0</v>
      </c>
      <c r="P21" s="20" t="n">
        <v>0</v>
      </c>
      <c r="Q21" s="18" t="n">
        <v>0.44885429</v>
      </c>
      <c r="R21" s="20" t="n">
        <v>0.42739987</v>
      </c>
    </row>
    <row r="22" spans="1:18">
      <c r="A22" s="15" t="s">
        <v>580</v>
      </c>
      <c r="B22" s="17" t="n">
        <v>3667</v>
      </c>
      <c r="C22" s="18">
        <f>(3330.0/B22*100)</f>
        <v/>
      </c>
      <c r="D22" s="19" t="n">
        <v>337</v>
      </c>
      <c r="E22" s="18" t="n">
        <v>16.4229933</v>
      </c>
      <c r="F22" s="20" t="n">
        <v>2.52357779</v>
      </c>
      <c r="G22" s="18" t="n">
        <v>80.69141971000001</v>
      </c>
      <c r="H22" s="20" t="n">
        <v>2.80190647</v>
      </c>
      <c r="I22" s="18" t="n">
        <v>0</v>
      </c>
      <c r="J22" s="20" t="n">
        <v>0</v>
      </c>
      <c r="K22" s="18" t="n">
        <v>1.74129823</v>
      </c>
      <c r="L22" s="20" t="n">
        <v>0.67848431</v>
      </c>
      <c r="M22" s="18" t="n">
        <v>0</v>
      </c>
      <c r="N22" s="20" t="n">
        <v>0</v>
      </c>
      <c r="O22" s="18" t="n">
        <v>0</v>
      </c>
      <c r="P22" s="20" t="n">
        <v>0</v>
      </c>
      <c r="Q22" s="18" t="n">
        <v>1.14428876</v>
      </c>
      <c r="R22" s="20" t="n">
        <v>0.5738899200000001</v>
      </c>
    </row>
    <row r="23" spans="1:18">
      <c r="A23" s="15" t="s">
        <v>581</v>
      </c>
      <c r="B23" s="17" t="n">
        <v>5792</v>
      </c>
      <c r="C23" s="18">
        <f>(5158.0/B23*100)</f>
        <v/>
      </c>
      <c r="D23" s="19" t="n">
        <v>634</v>
      </c>
      <c r="E23" s="18" t="n">
        <v>7.61753398</v>
      </c>
      <c r="F23" s="20" t="n">
        <v>1.50914419</v>
      </c>
      <c r="G23" s="18" t="n">
        <v>92.08139497000001</v>
      </c>
      <c r="H23" s="20" t="n">
        <v>1.53381641</v>
      </c>
      <c r="I23" s="18" t="n">
        <v>0</v>
      </c>
      <c r="J23" s="20" t="n">
        <v>0</v>
      </c>
      <c r="K23" s="18" t="n">
        <v>0</v>
      </c>
      <c r="L23" s="20" t="n">
        <v>0</v>
      </c>
      <c r="M23" s="18" t="n">
        <v>0</v>
      </c>
      <c r="N23" s="20" t="n">
        <v>0</v>
      </c>
      <c r="O23" s="18" t="n">
        <v>0</v>
      </c>
      <c r="P23" s="20" t="n">
        <v>0</v>
      </c>
      <c r="Q23" s="18" t="n">
        <v>0.30107106</v>
      </c>
      <c r="R23" s="20" t="n">
        <v>0.29123629</v>
      </c>
    </row>
    <row r="24" spans="1:18">
      <c r="A24" s="15" t="s">
        <v>582</v>
      </c>
      <c r="B24" s="17" t="n">
        <v>3309</v>
      </c>
      <c r="C24" s="18">
        <f>(2941.0/B24*100)</f>
        <v/>
      </c>
      <c r="D24" s="19" t="n">
        <v>368</v>
      </c>
      <c r="E24" s="18" t="n">
        <v>17.22585969</v>
      </c>
      <c r="F24" s="20" t="n">
        <v>1.82972455</v>
      </c>
      <c r="G24" s="18" t="n">
        <v>82.05840324</v>
      </c>
      <c r="H24" s="20" t="n">
        <v>1.84921721</v>
      </c>
      <c r="I24" s="18" t="n">
        <v>0</v>
      </c>
      <c r="J24" s="20" t="n">
        <v>0</v>
      </c>
      <c r="K24" s="18" t="n">
        <v>0</v>
      </c>
      <c r="L24" s="20" t="n">
        <v>0</v>
      </c>
      <c r="M24" s="18" t="n">
        <v>0</v>
      </c>
      <c r="N24" s="20" t="n">
        <v>0</v>
      </c>
      <c r="O24" s="18" t="n">
        <v>0</v>
      </c>
      <c r="P24" s="20" t="n">
        <v>0</v>
      </c>
      <c r="Q24" s="18" t="n">
        <v>0.71573707</v>
      </c>
      <c r="R24" s="20" t="n">
        <v>0.40112358</v>
      </c>
    </row>
    <row r="25" spans="1:18">
      <c r="A25" s="15" t="s">
        <v>583</v>
      </c>
      <c r="B25" s="17" t="n">
        <v>2669</v>
      </c>
      <c r="C25" s="18">
        <f>(2358.0/B25*100)</f>
        <v/>
      </c>
      <c r="D25" s="19" t="n">
        <v>311</v>
      </c>
      <c r="E25" s="18" t="n">
        <v>10.99211036</v>
      </c>
      <c r="F25" s="20" t="n">
        <v>1.73794914</v>
      </c>
      <c r="G25" s="18" t="n">
        <v>88.35920467</v>
      </c>
      <c r="H25" s="20" t="n">
        <v>1.93926853</v>
      </c>
      <c r="I25" s="18" t="n">
        <v>0</v>
      </c>
      <c r="J25" s="20" t="n">
        <v>0</v>
      </c>
      <c r="K25" s="18" t="n">
        <v>0.31682012</v>
      </c>
      <c r="L25" s="20" t="n">
        <v>0.31801206</v>
      </c>
      <c r="M25" s="18" t="n">
        <v>0</v>
      </c>
      <c r="N25" s="20" t="n">
        <v>0</v>
      </c>
      <c r="O25" s="18" t="n">
        <v>0</v>
      </c>
      <c r="P25" s="20" t="n">
        <v>0</v>
      </c>
      <c r="Q25" s="18" t="n">
        <v>0.33186485</v>
      </c>
      <c r="R25" s="20" t="n">
        <v>0.32950879</v>
      </c>
    </row>
    <row r="26" spans="1:18">
      <c r="A26" s="15" t="s">
        <v>584</v>
      </c>
      <c r="B26" s="17" t="n">
        <v>2419</v>
      </c>
      <c r="C26" s="18">
        <f>(2145.0/B26*100)</f>
        <v/>
      </c>
      <c r="D26" s="19" t="n">
        <v>274</v>
      </c>
      <c r="E26" s="18" t="n">
        <v>5.39361526</v>
      </c>
      <c r="F26" s="20" t="n">
        <v>1.50026202</v>
      </c>
      <c r="G26" s="18" t="n">
        <v>94.60638474</v>
      </c>
      <c r="H26" s="20" t="n">
        <v>1.50026202</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(2386.0/B27*100)</f>
        <v/>
      </c>
      <c r="D27" s="19" t="n">
        <v>297</v>
      </c>
      <c r="E27" s="18" t="n">
        <v>8.24747831</v>
      </c>
      <c r="F27" s="20" t="n">
        <v>1.63975052</v>
      </c>
      <c r="G27" s="18" t="n">
        <v>89.71591827</v>
      </c>
      <c r="H27" s="20" t="n">
        <v>1.79995132</v>
      </c>
      <c r="I27" s="18" t="n">
        <v>0</v>
      </c>
      <c r="J27" s="20" t="n">
        <v>0</v>
      </c>
      <c r="K27" s="18" t="n">
        <v>0</v>
      </c>
      <c r="L27" s="20" t="n">
        <v>0</v>
      </c>
      <c r="M27" s="18" t="n">
        <v>0</v>
      </c>
      <c r="N27" s="20" t="n">
        <v>0</v>
      </c>
      <c r="O27" s="18" t="n">
        <v>0</v>
      </c>
      <c r="P27" s="20" t="n">
        <v>0</v>
      </c>
      <c r="Q27" s="18" t="n">
        <v>2.03660341</v>
      </c>
      <c r="R27" s="20" t="n">
        <v>0.80046482</v>
      </c>
    </row>
    <row r="28" spans="1:18">
      <c r="A28" s="15" t="s">
        <v>586</v>
      </c>
      <c r="B28" s="17" t="n">
        <v>3803</v>
      </c>
      <c r="C28" s="18">
        <f>(3390.0/B28*100)</f>
        <v/>
      </c>
      <c r="D28" s="19" t="n">
        <v>413</v>
      </c>
      <c r="E28" s="18" t="n">
        <v>13.92608258</v>
      </c>
      <c r="F28" s="20" t="n">
        <v>2.0301697</v>
      </c>
      <c r="G28" s="18" t="n">
        <v>84.84438159</v>
      </c>
      <c r="H28" s="20" t="n">
        <v>2.05020912</v>
      </c>
      <c r="I28" s="18" t="n">
        <v>0</v>
      </c>
      <c r="J28" s="20" t="n">
        <v>0</v>
      </c>
      <c r="K28" s="18" t="n">
        <v>0.67411527</v>
      </c>
      <c r="L28" s="20" t="n">
        <v>0.49400824</v>
      </c>
      <c r="M28" s="18" t="n">
        <v>0</v>
      </c>
      <c r="N28" s="20" t="n">
        <v>0</v>
      </c>
      <c r="O28" s="18" t="n">
        <v>0</v>
      </c>
      <c r="P28" s="20" t="n">
        <v>0</v>
      </c>
      <c r="Q28" s="18" t="n">
        <v>0.55542056</v>
      </c>
      <c r="R28" s="20" t="n">
        <v>0.33668668</v>
      </c>
    </row>
    <row r="29" spans="1:18">
      <c r="A29" s="15" t="s">
        <v>587</v>
      </c>
      <c r="B29" s="17" t="n">
        <v>2700</v>
      </c>
      <c r="C29" s="18">
        <f>(2399.0/B29*100)</f>
        <v/>
      </c>
      <c r="D29" s="19" t="n">
        <v>301</v>
      </c>
      <c r="E29" s="18" t="n">
        <v>19.18264469</v>
      </c>
      <c r="F29" s="20" t="n">
        <v>2.54355941</v>
      </c>
      <c r="G29" s="18" t="n">
        <v>80.36065717</v>
      </c>
      <c r="H29" s="20" t="n">
        <v>2.48911947</v>
      </c>
      <c r="I29" s="18" t="n">
        <v>0</v>
      </c>
      <c r="J29" s="20" t="n">
        <v>0</v>
      </c>
      <c r="K29" s="18" t="n">
        <v>0</v>
      </c>
      <c r="L29" s="20" t="n">
        <v>0</v>
      </c>
      <c r="M29" s="18" t="n">
        <v>0</v>
      </c>
      <c r="N29" s="20" t="n">
        <v>0</v>
      </c>
      <c r="O29" s="18" t="n">
        <v>0</v>
      </c>
      <c r="P29" s="20" t="n">
        <v>0</v>
      </c>
      <c r="Q29" s="18" t="n">
        <v>0.45669814</v>
      </c>
      <c r="R29" s="20" t="n">
        <v>0.40000934</v>
      </c>
    </row>
    <row r="30" spans="1:18">
      <c r="A30" s="15" t="s">
        <v>588</v>
      </c>
      <c r="B30" s="17" t="n">
        <v>2257</v>
      </c>
      <c r="C30" s="18">
        <f>(2005.0/B30*100)</f>
        <v/>
      </c>
      <c r="D30" s="19" t="n">
        <v>252</v>
      </c>
      <c r="E30" s="18" t="n">
        <v>10.20725148</v>
      </c>
      <c r="F30" s="20" t="n">
        <v>1.8815223</v>
      </c>
      <c r="G30" s="18" t="n">
        <v>87.39132592999999</v>
      </c>
      <c r="H30" s="20" t="n">
        <v>2.01507915</v>
      </c>
      <c r="I30" s="18" t="n">
        <v>0</v>
      </c>
      <c r="J30" s="20" t="n">
        <v>0</v>
      </c>
      <c r="K30" s="18" t="n">
        <v>0.38768725</v>
      </c>
      <c r="L30" s="20" t="n">
        <v>0.37960275</v>
      </c>
      <c r="M30" s="18" t="n">
        <v>0</v>
      </c>
      <c r="N30" s="20" t="n">
        <v>0</v>
      </c>
      <c r="O30" s="18" t="n">
        <v>0</v>
      </c>
      <c r="P30" s="20" t="n">
        <v>0</v>
      </c>
      <c r="Q30" s="18" t="n">
        <v>2.01373534</v>
      </c>
      <c r="R30" s="20" t="n">
        <v>0.76287823</v>
      </c>
    </row>
    <row r="31" spans="1:18">
      <c r="A31" s="15" t="s">
        <v>589</v>
      </c>
      <c r="B31" s="17" t="n">
        <v>2706</v>
      </c>
      <c r="C31" s="18">
        <f>(2403.0/B31*100)</f>
        <v/>
      </c>
      <c r="D31" s="19" t="n">
        <v>303</v>
      </c>
      <c r="E31" s="18" t="n">
        <v>15.17152315</v>
      </c>
      <c r="F31" s="20" t="n">
        <v>2.23602746</v>
      </c>
      <c r="G31" s="18" t="n">
        <v>84.82847685</v>
      </c>
      <c r="H31" s="20" t="n">
        <v>2.23602746</v>
      </c>
      <c r="I31" s="18" t="n">
        <v>0</v>
      </c>
      <c r="J31" s="20" t="n">
        <v>0</v>
      </c>
      <c r="K31" s="18" t="n">
        <v>0</v>
      </c>
      <c r="L31" s="20" t="n">
        <v>0</v>
      </c>
      <c r="M31" s="18" t="n">
        <v>0</v>
      </c>
      <c r="N31" s="20" t="n">
        <v>0</v>
      </c>
      <c r="O31" s="18" t="n">
        <v>0</v>
      </c>
      <c r="P31" s="20" t="n">
        <v>0</v>
      </c>
      <c r="Q31" s="18" t="n">
        <v>0</v>
      </c>
      <c r="R31" s="20" t="n">
        <v>0</v>
      </c>
    </row>
    <row r="32" spans="1:18">
      <c r="A32" s="15" t="s">
        <v>590</v>
      </c>
      <c r="B32" s="17" t="n">
        <v>2209</v>
      </c>
      <c r="C32" s="18">
        <f>(1962.0/B32*100)</f>
        <v/>
      </c>
      <c r="D32" s="19" t="n">
        <v>247</v>
      </c>
      <c r="E32" s="18" t="n">
        <v>4.97640718</v>
      </c>
      <c r="F32" s="20" t="n">
        <v>1.27983151</v>
      </c>
      <c r="G32" s="18" t="n">
        <v>94.6609284</v>
      </c>
      <c r="H32" s="20" t="n">
        <v>1.35953387</v>
      </c>
      <c r="I32" s="18" t="n">
        <v>0</v>
      </c>
      <c r="J32" s="20" t="n">
        <v>0</v>
      </c>
      <c r="K32" s="18" t="n">
        <v>0</v>
      </c>
      <c r="L32" s="20" t="n">
        <v>0</v>
      </c>
      <c r="M32" s="18" t="n">
        <v>0</v>
      </c>
      <c r="N32" s="20" t="n">
        <v>0</v>
      </c>
      <c r="O32" s="18" t="n">
        <v>0</v>
      </c>
      <c r="P32" s="20" t="n">
        <v>0</v>
      </c>
      <c r="Q32" s="18" t="n">
        <v>0.36266442</v>
      </c>
      <c r="R32" s="20" t="n">
        <v>0.36642778</v>
      </c>
    </row>
    <row r="33" spans="1:18">
      <c r="A33" s="15" t="s">
        <v>591</v>
      </c>
      <c r="B33" s="17" t="n">
        <v>3651</v>
      </c>
      <c r="C33" s="18">
        <f>(3248.0/B33*100)</f>
        <v/>
      </c>
      <c r="D33" s="19" t="n">
        <v>403</v>
      </c>
      <c r="E33" s="18" t="n">
        <v>5.7847631</v>
      </c>
      <c r="F33" s="20" t="n">
        <v>1.49894261</v>
      </c>
      <c r="G33" s="18" t="n">
        <v>94.21523689999999</v>
      </c>
      <c r="H33" s="20" t="n">
        <v>1.49894261</v>
      </c>
      <c r="I33" s="18" t="n">
        <v>0</v>
      </c>
      <c r="J33" s="20" t="n">
        <v>0</v>
      </c>
      <c r="K33" s="18" t="n">
        <v>0</v>
      </c>
      <c r="L33" s="20" t="n">
        <v>0</v>
      </c>
      <c r="M33" s="18" t="n">
        <v>0</v>
      </c>
      <c r="N33" s="20" t="n">
        <v>0</v>
      </c>
      <c r="O33" s="18" t="n">
        <v>0</v>
      </c>
      <c r="P33" s="20" t="n">
        <v>0</v>
      </c>
      <c r="Q33" s="18" t="n">
        <v>0</v>
      </c>
      <c r="R33" s="20" t="n">
        <v>0</v>
      </c>
    </row>
    <row r="34" spans="1:18">
      <c r="A34" s="15" t="s">
        <v>592</v>
      </c>
      <c r="B34" s="17" t="n">
        <v>3035</v>
      </c>
      <c r="C34" s="18">
        <f>(2727.0/B34*100)</f>
        <v/>
      </c>
      <c r="D34" s="19" t="n">
        <v>308</v>
      </c>
      <c r="E34" s="18" t="n">
        <v>7.09170872</v>
      </c>
      <c r="F34" s="20" t="n">
        <v>1.59156966</v>
      </c>
      <c r="G34" s="18" t="n">
        <v>92.418655</v>
      </c>
      <c r="H34" s="20" t="n">
        <v>1.62327141</v>
      </c>
      <c r="I34" s="18" t="n">
        <v>0</v>
      </c>
      <c r="J34" s="20" t="n">
        <v>0</v>
      </c>
      <c r="K34" s="18" t="n">
        <v>0</v>
      </c>
      <c r="L34" s="20" t="n">
        <v>0</v>
      </c>
      <c r="M34" s="18" t="n">
        <v>0</v>
      </c>
      <c r="N34" s="20" t="n">
        <v>0</v>
      </c>
      <c r="O34" s="18" t="n">
        <v>0</v>
      </c>
      <c r="P34" s="20" t="n">
        <v>0</v>
      </c>
      <c r="Q34" s="18" t="n">
        <v>0.48963628</v>
      </c>
      <c r="R34" s="20" t="n">
        <v>0.47027825</v>
      </c>
    </row>
    <row r="35" spans="1:18">
      <c r="A35" s="15" t="s">
        <v>593</v>
      </c>
      <c r="B35" s="17" t="n">
        <v>2901</v>
      </c>
      <c r="C35" s="18">
        <f>(2593.0/B35*100)</f>
        <v/>
      </c>
      <c r="D35" s="19" t="n">
        <v>308</v>
      </c>
      <c r="E35" s="18" t="n">
        <v>3.62126229</v>
      </c>
      <c r="F35" s="20" t="n">
        <v>1.45263626</v>
      </c>
      <c r="G35" s="18" t="n">
        <v>96.02967714</v>
      </c>
      <c r="H35" s="20" t="n">
        <v>1.49108863</v>
      </c>
      <c r="I35" s="18" t="n">
        <v>0</v>
      </c>
      <c r="J35" s="20" t="n">
        <v>0</v>
      </c>
      <c r="K35" s="18" t="n">
        <v>0</v>
      </c>
      <c r="L35" s="20" t="n">
        <v>0</v>
      </c>
      <c r="M35" s="18" t="n">
        <v>0</v>
      </c>
      <c r="N35" s="20" t="n">
        <v>0</v>
      </c>
      <c r="O35" s="18" t="n">
        <v>0</v>
      </c>
      <c r="P35" s="20" t="n">
        <v>0</v>
      </c>
      <c r="Q35" s="18" t="n">
        <v>0.34906057</v>
      </c>
      <c r="R35" s="20" t="n">
        <v>0.35076947</v>
      </c>
    </row>
    <row r="36" spans="1:18">
      <c r="A36" s="15" t="s">
        <v>594</v>
      </c>
      <c r="B36" s="17" t="n">
        <v>3404</v>
      </c>
      <c r="C36" s="18">
        <f>(3023.0/B36*100)</f>
        <v/>
      </c>
      <c r="D36" s="19" t="n">
        <v>381</v>
      </c>
      <c r="E36" s="18" t="n">
        <v>5.71830183</v>
      </c>
      <c r="F36" s="20" t="n">
        <v>1.64204706</v>
      </c>
      <c r="G36" s="18" t="n">
        <v>93.07300404999999</v>
      </c>
      <c r="H36" s="20" t="n">
        <v>1.72427143</v>
      </c>
      <c r="I36" s="18" t="n">
        <v>0</v>
      </c>
      <c r="J36" s="20" t="n">
        <v>0</v>
      </c>
      <c r="K36" s="18" t="n">
        <v>0</v>
      </c>
      <c r="L36" s="20" t="n">
        <v>0</v>
      </c>
      <c r="M36" s="18" t="n">
        <v>0</v>
      </c>
      <c r="N36" s="20" t="n">
        <v>0</v>
      </c>
      <c r="O36" s="18" t="n">
        <v>0</v>
      </c>
      <c r="P36" s="20" t="n">
        <v>0</v>
      </c>
      <c r="Q36" s="18" t="n">
        <v>1.20869413</v>
      </c>
      <c r="R36" s="20" t="n">
        <v>0.59821493</v>
      </c>
    </row>
    <row r="37" spans="1:18">
      <c r="A37" s="15" t="s">
        <v>595</v>
      </c>
      <c r="B37" s="17" t="n">
        <v>2731</v>
      </c>
      <c r="C37" s="18">
        <f>(2441.0/B37*100)</f>
        <v/>
      </c>
      <c r="D37" s="19" t="n">
        <v>290</v>
      </c>
      <c r="E37" s="18" t="n">
        <v>3.52438489</v>
      </c>
      <c r="F37" s="20" t="n">
        <v>0.9896719</v>
      </c>
      <c r="G37" s="18" t="n">
        <v>95.74175090999999</v>
      </c>
      <c r="H37" s="20" t="n">
        <v>1.10595106</v>
      </c>
      <c r="I37" s="18" t="n">
        <v>0</v>
      </c>
      <c r="J37" s="20" t="n">
        <v>0</v>
      </c>
      <c r="K37" s="18" t="n">
        <v>0.38723914</v>
      </c>
      <c r="L37" s="20" t="n">
        <v>0.38475132</v>
      </c>
      <c r="M37" s="18" t="n">
        <v>0</v>
      </c>
      <c r="N37" s="20" t="n">
        <v>0</v>
      </c>
      <c r="O37" s="18" t="n">
        <v>0</v>
      </c>
      <c r="P37" s="20" t="n">
        <v>0</v>
      </c>
      <c r="Q37" s="18" t="n">
        <v>0.34662505</v>
      </c>
      <c r="R37" s="20" t="n">
        <v>0.34465302</v>
      </c>
    </row>
    <row r="38" spans="1:18">
      <c r="A38" s="15" t="s">
        <v>596</v>
      </c>
      <c r="B38" s="17" t="n">
        <v>2807</v>
      </c>
      <c r="C38" s="18">
        <f>(2510.0/B38*100)</f>
        <v/>
      </c>
      <c r="D38" s="19" t="n">
        <v>297</v>
      </c>
      <c r="E38" s="18" t="n">
        <v>12.54367723</v>
      </c>
      <c r="F38" s="20" t="n">
        <v>2.48515193</v>
      </c>
      <c r="G38" s="18" t="n">
        <v>86.04089644</v>
      </c>
      <c r="H38" s="20" t="n">
        <v>2.60972021</v>
      </c>
      <c r="I38" s="18" t="n">
        <v>0</v>
      </c>
      <c r="J38" s="20" t="n">
        <v>0</v>
      </c>
      <c r="K38" s="18" t="n">
        <v>0</v>
      </c>
      <c r="L38" s="20" t="n">
        <v>0</v>
      </c>
      <c r="M38" s="18" t="n">
        <v>0</v>
      </c>
      <c r="N38" s="20" t="n">
        <v>0</v>
      </c>
      <c r="O38" s="18" t="n">
        <v>0</v>
      </c>
      <c r="P38" s="20" t="n">
        <v>0</v>
      </c>
      <c r="Q38" s="18" t="n">
        <v>1.41542633</v>
      </c>
      <c r="R38" s="20" t="n">
        <v>0.69922111</v>
      </c>
    </row>
    <row r="39" spans="1:18">
      <c r="A39" s="15" t="s">
        <v>597</v>
      </c>
      <c r="B39" s="17" t="n">
        <v>2938</v>
      </c>
      <c r="C39" s="18">
        <f>(2616.0/B39*100)</f>
        <v/>
      </c>
      <c r="D39" s="19" t="n">
        <v>322</v>
      </c>
      <c r="E39" s="18" t="n">
        <v>12.28756049</v>
      </c>
      <c r="F39" s="20" t="n">
        <v>1.83939454</v>
      </c>
      <c r="G39" s="18" t="n">
        <v>87.71243951</v>
      </c>
      <c r="H39" s="20" t="n">
        <v>1.83939454</v>
      </c>
      <c r="I39" s="18" t="n">
        <v>0</v>
      </c>
      <c r="J39" s="20" t="n">
        <v>0</v>
      </c>
      <c r="K39" s="18" t="n">
        <v>0</v>
      </c>
      <c r="L39" s="20" t="n">
        <v>0</v>
      </c>
      <c r="M39" s="18" t="n">
        <v>0</v>
      </c>
      <c r="N39" s="20" t="n">
        <v>0</v>
      </c>
      <c r="O39" s="18" t="n">
        <v>0</v>
      </c>
      <c r="P39" s="20" t="n">
        <v>0</v>
      </c>
      <c r="Q39" s="18" t="n">
        <v>0</v>
      </c>
      <c r="R39" s="20" t="n">
        <v>0</v>
      </c>
    </row>
    <row r="40" spans="1:18">
      <c r="A40" s="15" t="s">
        <v>598</v>
      </c>
      <c r="B40" s="17" t="n">
        <v>6922</v>
      </c>
      <c r="C40" s="18">
        <f>(6128.0/B40*100)</f>
        <v/>
      </c>
      <c r="D40" s="19" t="n">
        <v>794</v>
      </c>
      <c r="E40" s="18" t="n">
        <v>9.548516709999999</v>
      </c>
      <c r="F40" s="20" t="n">
        <v>1.62368263</v>
      </c>
      <c r="G40" s="18" t="n">
        <v>90.36715407</v>
      </c>
      <c r="H40" s="20" t="n">
        <v>1.62520791</v>
      </c>
      <c r="I40" s="18" t="n">
        <v>0</v>
      </c>
      <c r="J40" s="20" t="n">
        <v>0</v>
      </c>
      <c r="K40" s="18" t="n">
        <v>0.06030007</v>
      </c>
      <c r="L40" s="20" t="n">
        <v>0.04162741</v>
      </c>
      <c r="M40" s="18" t="n">
        <v>0</v>
      </c>
      <c r="N40" s="20" t="n">
        <v>0</v>
      </c>
      <c r="O40" s="18" t="n">
        <v>0</v>
      </c>
      <c r="P40" s="20" t="n">
        <v>0</v>
      </c>
      <c r="Q40" s="18" t="n">
        <v>0.02402915</v>
      </c>
      <c r="R40" s="20" t="n">
        <v>0.02259363</v>
      </c>
    </row>
    <row r="41" spans="1:18">
      <c r="A41" s="15" t="s">
        <v>599</v>
      </c>
      <c r="B41" s="17" t="n">
        <v>2854</v>
      </c>
      <c r="C41" s="18">
        <f>(2571.0/B41*100)</f>
        <v/>
      </c>
      <c r="D41" s="19" t="n">
        <v>283</v>
      </c>
      <c r="E41" s="18" t="n">
        <v>10.24016672</v>
      </c>
      <c r="F41" s="20" t="n">
        <v>1.86042071</v>
      </c>
      <c r="G41" s="18" t="n">
        <v>89.20023546</v>
      </c>
      <c r="H41" s="20" t="n">
        <v>1.88498186</v>
      </c>
      <c r="I41" s="18" t="n">
        <v>0</v>
      </c>
      <c r="J41" s="20" t="n">
        <v>0</v>
      </c>
      <c r="K41" s="18" t="n">
        <v>0</v>
      </c>
      <c r="L41" s="20" t="n">
        <v>0</v>
      </c>
      <c r="M41" s="18" t="n">
        <v>0</v>
      </c>
      <c r="N41" s="20" t="n">
        <v>0</v>
      </c>
      <c r="O41" s="18" t="n">
        <v>0</v>
      </c>
      <c r="P41" s="20" t="n">
        <v>0</v>
      </c>
      <c r="Q41" s="18" t="n">
        <v>0.55959782</v>
      </c>
      <c r="R41" s="20" t="n">
        <v>0.36777886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(10953.0/B46*100)</f>
        <v/>
      </c>
      <c r="D46" s="19" t="n">
        <v>1120</v>
      </c>
      <c r="E46" s="18" t="n">
        <v>22.96968716</v>
      </c>
      <c r="F46" s="20" t="n">
        <v>2.01943701</v>
      </c>
      <c r="G46" s="18" t="n">
        <v>74.38099099999999</v>
      </c>
      <c r="H46" s="20" t="n">
        <v>1.98402916</v>
      </c>
      <c r="I46" s="18" t="n">
        <v>0</v>
      </c>
      <c r="J46" s="20" t="n">
        <v>0</v>
      </c>
      <c r="K46" s="18" t="n">
        <v>1.02752018</v>
      </c>
      <c r="L46" s="20" t="n">
        <v>0.35670599</v>
      </c>
      <c r="M46" s="18" t="n">
        <v>0</v>
      </c>
      <c r="N46" s="20" t="n">
        <v>0</v>
      </c>
      <c r="O46" s="18" t="n">
        <v>0</v>
      </c>
      <c r="P46" s="20" t="n">
        <v>0</v>
      </c>
      <c r="Q46" s="18" t="n">
        <v>1.62180166</v>
      </c>
      <c r="R46" s="20" t="n">
        <v>0.49044344</v>
      </c>
    </row>
    <row r="47" spans="1:18">
      <c r="A47" s="15" t="s">
        <v>606</v>
      </c>
      <c r="B47" s="17" t="n">
        <v>2823</v>
      </c>
      <c r="C47" s="18">
        <f>(2535.0/B47*100)</f>
        <v/>
      </c>
      <c r="D47" s="19" t="n">
        <v>288</v>
      </c>
      <c r="E47" s="18" t="n">
        <v>17.07397468</v>
      </c>
      <c r="F47" s="20" t="n">
        <v>2.21734441</v>
      </c>
      <c r="G47" s="18" t="n">
        <v>82.22449342</v>
      </c>
      <c r="H47" s="20" t="n">
        <v>2.29326106</v>
      </c>
      <c r="I47" s="18" t="n">
        <v>0</v>
      </c>
      <c r="J47" s="20" t="n">
        <v>0</v>
      </c>
      <c r="K47" s="18" t="n">
        <v>0</v>
      </c>
      <c r="L47" s="20" t="n">
        <v>0</v>
      </c>
      <c r="M47" s="18" t="n">
        <v>0</v>
      </c>
      <c r="N47" s="20" t="n">
        <v>0</v>
      </c>
      <c r="O47" s="18" t="n">
        <v>0</v>
      </c>
      <c r="P47" s="20" t="n">
        <v>0</v>
      </c>
      <c r="Q47" s="18" t="n">
        <v>0.70153189</v>
      </c>
      <c r="R47" s="20" t="n">
        <v>0.5076505</v>
      </c>
    </row>
    <row r="48" spans="1:18">
      <c r="A48" s="15" t="s">
        <v>607</v>
      </c>
      <c r="B48" s="17" t="n">
        <v>4682</v>
      </c>
      <c r="C48" s="18">
        <f>(4157.0/B48*100)</f>
        <v/>
      </c>
      <c r="D48" s="19" t="n">
        <v>525</v>
      </c>
      <c r="E48" s="18" t="n">
        <v>7.54732618</v>
      </c>
      <c r="F48" s="20" t="n">
        <v>1.56977083</v>
      </c>
      <c r="G48" s="18" t="n">
        <v>91.22765573</v>
      </c>
      <c r="H48" s="20" t="n">
        <v>1.77280733</v>
      </c>
      <c r="I48" s="18" t="n">
        <v>0</v>
      </c>
      <c r="J48" s="20" t="n">
        <v>0</v>
      </c>
      <c r="K48" s="18" t="n">
        <v>0.58436174</v>
      </c>
      <c r="L48" s="20" t="n">
        <v>0.41601435</v>
      </c>
      <c r="M48" s="18" t="n">
        <v>0</v>
      </c>
      <c r="N48" s="20" t="n">
        <v>0</v>
      </c>
      <c r="O48" s="18" t="n">
        <v>0</v>
      </c>
      <c r="P48" s="20" t="n">
        <v>0</v>
      </c>
      <c r="Q48" s="18" t="n">
        <v>0.64065635</v>
      </c>
      <c r="R48" s="20" t="n">
        <v>0.45106389</v>
      </c>
    </row>
    <row r="49" spans="1:18">
      <c r="A49" s="15" t="s">
        <v>608</v>
      </c>
      <c r="B49" s="17" t="n">
        <v>6158</v>
      </c>
      <c r="C49" s="18">
        <f>(5497.0/B49*100)</f>
        <v/>
      </c>
      <c r="D49" s="19" t="n">
        <v>661</v>
      </c>
      <c r="E49" s="18" t="n">
        <v>15.16847949</v>
      </c>
      <c r="F49" s="20" t="n">
        <v>1.69610573</v>
      </c>
      <c r="G49" s="18" t="n">
        <v>81.87210219000001</v>
      </c>
      <c r="H49" s="20" t="n">
        <v>1.92704541</v>
      </c>
      <c r="I49" s="18" t="n">
        <v>0</v>
      </c>
      <c r="J49" s="20" t="n">
        <v>0</v>
      </c>
      <c r="K49" s="18" t="n">
        <v>1.84548506</v>
      </c>
      <c r="L49" s="20" t="n">
        <v>0.90706827</v>
      </c>
      <c r="M49" s="18" t="n">
        <v>0</v>
      </c>
      <c r="N49" s="20" t="n">
        <v>0</v>
      </c>
      <c r="O49" s="18" t="n">
        <v>0</v>
      </c>
      <c r="P49" s="20" t="n">
        <v>0</v>
      </c>
      <c r="Q49" s="18" t="n">
        <v>1.11393326</v>
      </c>
      <c r="R49" s="20" t="n">
        <v>0.44639107</v>
      </c>
    </row>
    <row r="50" spans="1:18">
      <c r="A50" s="15" t="s">
        <v>609</v>
      </c>
      <c r="B50" s="17" t="n">
        <v>3494</v>
      </c>
      <c r="C50" s="18">
        <f>(3157.0/B50*100)</f>
        <v/>
      </c>
      <c r="D50" s="19" t="n">
        <v>337</v>
      </c>
      <c r="E50" s="18" t="n">
        <v>13.17259788</v>
      </c>
      <c r="F50" s="20" t="n">
        <v>1.76248074</v>
      </c>
      <c r="G50" s="18" t="n">
        <v>85.38846515</v>
      </c>
      <c r="H50" s="20" t="n">
        <v>1.81858049</v>
      </c>
      <c r="I50" s="18" t="n">
        <v>0</v>
      </c>
      <c r="J50" s="20" t="n">
        <v>0</v>
      </c>
      <c r="K50" s="18" t="n">
        <v>0.26977647</v>
      </c>
      <c r="L50" s="20" t="n">
        <v>0.18545862</v>
      </c>
      <c r="M50" s="18" t="n">
        <v>0</v>
      </c>
      <c r="N50" s="20" t="n">
        <v>0</v>
      </c>
      <c r="O50" s="18" t="n">
        <v>0</v>
      </c>
      <c r="P50" s="20" t="n">
        <v>0</v>
      </c>
      <c r="Q50" s="18" t="n">
        <v>1.16916049</v>
      </c>
      <c r="R50" s="20" t="n">
        <v>0.54338958</v>
      </c>
    </row>
    <row r="51" spans="1:18">
      <c r="A51" s="15" t="s">
        <v>610</v>
      </c>
      <c r="B51" s="17" t="n">
        <v>3013</v>
      </c>
      <c r="C51" s="18">
        <f>(2683.0/B51*100)</f>
        <v/>
      </c>
      <c r="D51" s="19" t="n">
        <v>330</v>
      </c>
      <c r="E51" s="18" t="n">
        <v>4.93761301</v>
      </c>
      <c r="F51" s="20" t="n">
        <v>1.23204789</v>
      </c>
      <c r="G51" s="18" t="n">
        <v>94.07265408000001</v>
      </c>
      <c r="H51" s="20" t="n">
        <v>1.53514741</v>
      </c>
      <c r="I51" s="18" t="n">
        <v>0</v>
      </c>
      <c r="J51" s="20" t="n">
        <v>0</v>
      </c>
      <c r="K51" s="18" t="n">
        <v>0</v>
      </c>
      <c r="L51" s="20" t="n">
        <v>0</v>
      </c>
      <c r="M51" s="18" t="n">
        <v>0</v>
      </c>
      <c r="N51" s="20" t="n">
        <v>0</v>
      </c>
      <c r="O51" s="18" t="n">
        <v>0</v>
      </c>
      <c r="P51" s="20" t="n">
        <v>0</v>
      </c>
      <c r="Q51" s="18" t="n">
        <v>0.9897329</v>
      </c>
      <c r="R51" s="20" t="n">
        <v>0.5828275000000001</v>
      </c>
    </row>
    <row r="52" spans="1:18">
      <c r="A52" s="15" t="s">
        <v>611</v>
      </c>
      <c r="B52" s="17" t="n">
        <v>2760</v>
      </c>
      <c r="C52" s="18">
        <f>(2430.0/B52*100)</f>
        <v/>
      </c>
      <c r="D52" s="19" t="n">
        <v>330</v>
      </c>
      <c r="E52" s="18" t="n">
        <v>21.06591167</v>
      </c>
      <c r="F52" s="20" t="n">
        <v>2.26868184</v>
      </c>
      <c r="G52" s="18" t="n">
        <v>78.5150031</v>
      </c>
      <c r="H52" s="20" t="n">
        <v>2.23061313</v>
      </c>
      <c r="I52" s="18" t="n">
        <v>0</v>
      </c>
      <c r="J52" s="20" t="n">
        <v>0</v>
      </c>
      <c r="K52" s="18" t="n">
        <v>0</v>
      </c>
      <c r="L52" s="20" t="n">
        <v>0</v>
      </c>
      <c r="M52" s="18" t="n">
        <v>0</v>
      </c>
      <c r="N52" s="20" t="n">
        <v>0</v>
      </c>
      <c r="O52" s="18" t="n">
        <v>0</v>
      </c>
      <c r="P52" s="20" t="n">
        <v>0</v>
      </c>
      <c r="Q52" s="18" t="n">
        <v>0.41908523</v>
      </c>
      <c r="R52" s="20" t="n">
        <v>0.29368881</v>
      </c>
    </row>
    <row r="53" spans="1:18">
      <c r="A53" s="15" t="s">
        <v>612</v>
      </c>
      <c r="B53" s="17" t="n">
        <v>2474</v>
      </c>
      <c r="C53" s="18">
        <f>(2205.0/B53*100)</f>
        <v/>
      </c>
      <c r="D53" s="19" t="n">
        <v>269</v>
      </c>
      <c r="E53" s="18" t="n">
        <v>25.53311121</v>
      </c>
      <c r="F53" s="20" t="n">
        <v>3.0221983</v>
      </c>
      <c r="G53" s="18" t="n">
        <v>55.84498583</v>
      </c>
      <c r="H53" s="20" t="n">
        <v>3.2046739</v>
      </c>
      <c r="I53" s="18" t="n">
        <v>0</v>
      </c>
      <c r="J53" s="20" t="n">
        <v>0</v>
      </c>
      <c r="K53" s="18" t="n">
        <v>17.35536585</v>
      </c>
      <c r="L53" s="20" t="n">
        <v>2.3093582</v>
      </c>
      <c r="M53" s="18" t="n">
        <v>0</v>
      </c>
      <c r="N53" s="20" t="n">
        <v>0</v>
      </c>
      <c r="O53" s="18" t="n">
        <v>0</v>
      </c>
      <c r="P53" s="20" t="n">
        <v>0</v>
      </c>
      <c r="Q53" s="18" t="n">
        <v>1.26653711</v>
      </c>
      <c r="R53" s="20" t="n">
        <v>0.7387606799999999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(2381.0/B55*100)</f>
        <v/>
      </c>
      <c r="D55" s="19" t="n">
        <v>294</v>
      </c>
      <c r="E55" s="18" t="n">
        <v>9.07600367</v>
      </c>
      <c r="F55" s="20" t="n">
        <v>1.84981722</v>
      </c>
      <c r="G55" s="18" t="n">
        <v>89.93936105</v>
      </c>
      <c r="H55" s="20" t="n">
        <v>1.95896824</v>
      </c>
      <c r="I55" s="18" t="n">
        <v>0</v>
      </c>
      <c r="J55" s="20" t="n">
        <v>0</v>
      </c>
      <c r="K55" s="18" t="n">
        <v>0.67019828</v>
      </c>
      <c r="L55" s="20" t="n">
        <v>0.65222255</v>
      </c>
      <c r="M55" s="18" t="n">
        <v>0</v>
      </c>
      <c r="N55" s="20" t="n">
        <v>0</v>
      </c>
      <c r="O55" s="18" t="n">
        <v>0</v>
      </c>
      <c r="P55" s="20" t="n">
        <v>0</v>
      </c>
      <c r="Q55" s="18" t="n">
        <v>0.314437</v>
      </c>
      <c r="R55" s="20" t="n">
        <v>0.31565644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(2833.0/B61*100)</f>
        <v/>
      </c>
      <c r="D61" s="19" t="n">
        <v>368</v>
      </c>
      <c r="E61" s="18" t="n">
        <v>5.37698141</v>
      </c>
      <c r="F61" s="20" t="n">
        <v>1.15560174</v>
      </c>
      <c r="G61" s="18" t="n">
        <v>94.41332018999999</v>
      </c>
      <c r="H61" s="20" t="n">
        <v>1.17775504</v>
      </c>
      <c r="I61" s="18" t="n">
        <v>0</v>
      </c>
      <c r="J61" s="20" t="n">
        <v>0</v>
      </c>
      <c r="K61" s="18" t="n">
        <v>0</v>
      </c>
      <c r="L61" s="20" t="n">
        <v>0</v>
      </c>
      <c r="M61" s="18" t="n">
        <v>0</v>
      </c>
      <c r="N61" s="20" t="n">
        <v>0</v>
      </c>
      <c r="O61" s="18" t="n">
        <v>0</v>
      </c>
      <c r="P61" s="20" t="n">
        <v>0</v>
      </c>
      <c r="Q61" s="18" t="n">
        <v>0.2096984</v>
      </c>
      <c r="R61" s="20" t="n">
        <v>0.20893135</v>
      </c>
    </row>
    <row r="62" spans="1:18">
      <c r="A62" s="15" t="s">
        <v>622</v>
      </c>
      <c r="B62" s="17" t="n">
        <v>2230</v>
      </c>
      <c r="C62" s="18">
        <f>(1975.0/B62*100)</f>
        <v/>
      </c>
      <c r="D62" s="19" t="n">
        <v>255</v>
      </c>
      <c r="E62" s="18" t="n">
        <v>4.68842823</v>
      </c>
      <c r="F62" s="20" t="n">
        <v>1.36834645</v>
      </c>
      <c r="G62" s="18" t="n">
        <v>94.5154271</v>
      </c>
      <c r="H62" s="20" t="n">
        <v>1.35756208</v>
      </c>
      <c r="I62" s="18" t="n">
        <v>0</v>
      </c>
      <c r="J62" s="20" t="n">
        <v>0</v>
      </c>
      <c r="K62" s="18" t="n">
        <v>0</v>
      </c>
      <c r="L62" s="20" t="n">
        <v>0</v>
      </c>
      <c r="M62" s="18" t="n">
        <v>0</v>
      </c>
      <c r="N62" s="20" t="n">
        <v>0</v>
      </c>
      <c r="O62" s="18" t="n">
        <v>0</v>
      </c>
      <c r="P62" s="20" t="n">
        <v>0</v>
      </c>
      <c r="Q62" s="18" t="n">
        <v>0.79614467</v>
      </c>
      <c r="R62" s="20" t="n">
        <v>0.56330117</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(2480.0/B67*100)</f>
        <v/>
      </c>
      <c r="D67" s="19" t="n">
        <v>291</v>
      </c>
      <c r="E67" s="18" t="n">
        <v>10.01955766</v>
      </c>
      <c r="F67" s="20" t="n">
        <v>1.688515</v>
      </c>
      <c r="G67" s="18" t="n">
        <v>86.86230116999999</v>
      </c>
      <c r="H67" s="20" t="n">
        <v>1.94405168</v>
      </c>
      <c r="I67" s="18" t="n">
        <v>0</v>
      </c>
      <c r="J67" s="20" t="n">
        <v>0</v>
      </c>
      <c r="K67" s="18" t="n">
        <v>0.35430835</v>
      </c>
      <c r="L67" s="20" t="n">
        <v>0.35290052</v>
      </c>
      <c r="M67" s="18" t="n">
        <v>0</v>
      </c>
      <c r="N67" s="20" t="n">
        <v>0</v>
      </c>
      <c r="O67" s="18" t="n">
        <v>0</v>
      </c>
      <c r="P67" s="20" t="n">
        <v>0</v>
      </c>
      <c r="Q67" s="18" t="n">
        <v>2.76383282</v>
      </c>
      <c r="R67" s="20" t="n">
        <v>0.939304</v>
      </c>
    </row>
    <row r="68" spans="1:18">
      <c r="A68" s="15" t="s">
        <v>628</v>
      </c>
      <c r="B68" s="17" t="n">
        <v>3460</v>
      </c>
      <c r="C68" s="18">
        <f>(3120.0/B68*100)</f>
        <v/>
      </c>
      <c r="D68" s="19" t="n">
        <v>340</v>
      </c>
      <c r="E68" s="18" t="n">
        <v>15.8899985</v>
      </c>
      <c r="F68" s="20" t="n">
        <v>2.13102723</v>
      </c>
      <c r="G68" s="18" t="n">
        <v>82.69288088</v>
      </c>
      <c r="H68" s="20" t="n">
        <v>2.1476468</v>
      </c>
      <c r="I68" s="18" t="n">
        <v>0</v>
      </c>
      <c r="J68" s="20" t="n">
        <v>0</v>
      </c>
      <c r="K68" s="18" t="n">
        <v>0.28307995</v>
      </c>
      <c r="L68" s="20" t="n">
        <v>0.30816128</v>
      </c>
      <c r="M68" s="18" t="n">
        <v>0</v>
      </c>
      <c r="N68" s="20" t="n">
        <v>0</v>
      </c>
      <c r="O68" s="18" t="n">
        <v>0</v>
      </c>
      <c r="P68" s="20" t="n">
        <v>0</v>
      </c>
      <c r="Q68" s="18" t="n">
        <v>1.13404067</v>
      </c>
      <c r="R68" s="20" t="n">
        <v>0.56757801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(5359.0/B70*100)</f>
        <v/>
      </c>
      <c r="D70" s="19" t="n">
        <v>675</v>
      </c>
      <c r="E70" s="18" t="n">
        <v>19.79121906</v>
      </c>
      <c r="F70" s="20" t="n">
        <v>1.34690168</v>
      </c>
      <c r="G70" s="18" t="n">
        <v>77.43666924999999</v>
      </c>
      <c r="H70" s="20" t="n">
        <v>1.29927605</v>
      </c>
      <c r="I70" s="18" t="n">
        <v>0</v>
      </c>
      <c r="J70" s="20" t="n">
        <v>0</v>
      </c>
      <c r="K70" s="18" t="n">
        <v>1.30871817</v>
      </c>
      <c r="L70" s="20" t="n">
        <v>0.44366884</v>
      </c>
      <c r="M70" s="18" t="n">
        <v>0</v>
      </c>
      <c r="N70" s="20" t="n">
        <v>0</v>
      </c>
      <c r="O70" s="18" t="n">
        <v>0</v>
      </c>
      <c r="P70" s="20" t="n">
        <v>0</v>
      </c>
      <c r="Q70" s="18" t="n">
        <v>1.46339352</v>
      </c>
      <c r="R70" s="20" t="n">
        <v>0.36158912</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(2769.0/B72*100)</f>
        <v/>
      </c>
      <c r="D72" s="19" t="n">
        <v>338</v>
      </c>
      <c r="E72" s="18" t="n">
        <v>4.59186616</v>
      </c>
      <c r="F72" s="20" t="n">
        <v>1.27589121</v>
      </c>
      <c r="G72" s="18" t="n">
        <v>95.02151384</v>
      </c>
      <c r="H72" s="20" t="n">
        <v>1.3203989</v>
      </c>
      <c r="I72" s="18" t="n">
        <v>0</v>
      </c>
      <c r="J72" s="20" t="n">
        <v>0</v>
      </c>
      <c r="K72" s="18" t="n">
        <v>0</v>
      </c>
      <c r="L72" s="20" t="n">
        <v>0</v>
      </c>
      <c r="M72" s="18" t="n">
        <v>0</v>
      </c>
      <c r="N72" s="20" t="n">
        <v>0</v>
      </c>
      <c r="O72" s="18" t="n">
        <v>0</v>
      </c>
      <c r="P72" s="20" t="n">
        <v>0</v>
      </c>
      <c r="Q72" s="18" t="n">
        <v>0.38662</v>
      </c>
      <c r="R72" s="20" t="n">
        <v>0.27039693</v>
      </c>
    </row>
    <row r="73" spans="1:18">
      <c r="A73" s="15" t="s">
        <v>633</v>
      </c>
      <c r="B73" s="17" t="n">
        <v>2973</v>
      </c>
      <c r="C73" s="18">
        <f>(2649.0/B73*100)</f>
        <v/>
      </c>
      <c r="D73" s="19" t="n">
        <v>324</v>
      </c>
      <c r="E73" s="18" t="n">
        <v>7.47703717</v>
      </c>
      <c r="F73" s="20" t="n">
        <v>1.23015886</v>
      </c>
      <c r="G73" s="18" t="n">
        <v>91.99901652</v>
      </c>
      <c r="H73" s="20" t="n">
        <v>1.25927488</v>
      </c>
      <c r="I73" s="18" t="n">
        <v>0</v>
      </c>
      <c r="J73" s="20" t="n">
        <v>0</v>
      </c>
      <c r="K73" s="18" t="n">
        <v>0</v>
      </c>
      <c r="L73" s="20" t="n">
        <v>0</v>
      </c>
      <c r="M73" s="18" t="n">
        <v>0</v>
      </c>
      <c r="N73" s="20" t="n">
        <v>0</v>
      </c>
      <c r="O73" s="18" t="n">
        <v>0</v>
      </c>
      <c r="P73" s="20" t="n">
        <v>0</v>
      </c>
      <c r="Q73" s="18" t="n">
        <v>0.52394631</v>
      </c>
      <c r="R73" s="20" t="n">
        <v>0.39471313</v>
      </c>
    </row>
    <row r="74" spans="1:18">
      <c r="A74" s="15" t="s">
        <v>634</v>
      </c>
      <c r="B74" s="17" t="n">
        <v>3819</v>
      </c>
      <c r="C74" s="18">
        <f>(3365.0/B74*100)</f>
        <v/>
      </c>
      <c r="D74" s="19" t="n">
        <v>454</v>
      </c>
      <c r="E74" s="18" t="n">
        <v>7.06969474</v>
      </c>
      <c r="F74" s="20" t="n">
        <v>1.32020018</v>
      </c>
      <c r="G74" s="18" t="n">
        <v>91.98887786</v>
      </c>
      <c r="H74" s="20" t="n">
        <v>1.43283441</v>
      </c>
      <c r="I74" s="18" t="n">
        <v>0</v>
      </c>
      <c r="J74" s="20" t="n">
        <v>0</v>
      </c>
      <c r="K74" s="18" t="n">
        <v>0.24192882</v>
      </c>
      <c r="L74" s="20" t="n">
        <v>0.2425848</v>
      </c>
      <c r="M74" s="18" t="n">
        <v>0</v>
      </c>
      <c r="N74" s="20" t="n">
        <v>0</v>
      </c>
      <c r="O74" s="18" t="n">
        <v>0</v>
      </c>
      <c r="P74" s="20" t="n">
        <v>0</v>
      </c>
      <c r="Q74" s="18" t="n">
        <v>0.69949857</v>
      </c>
      <c r="R74" s="20" t="n">
        <v>0.50316309</v>
      </c>
    </row>
    <row r="75" spans="1:18">
      <c r="A75" s="15" t="s">
        <v>635</v>
      </c>
      <c r="B75" s="17" t="n">
        <v>4652</v>
      </c>
      <c r="C75" s="18">
        <f>(4168.0/B75*100)</f>
        <v/>
      </c>
      <c r="D75" s="19" t="n">
        <v>484</v>
      </c>
      <c r="E75" s="18" t="n">
        <v>29.54536066</v>
      </c>
      <c r="F75" s="20" t="n">
        <v>2.48612453</v>
      </c>
      <c r="G75" s="18" t="n">
        <v>70.45463934</v>
      </c>
      <c r="H75" s="20" t="n">
        <v>2.48612453</v>
      </c>
      <c r="I75" s="18" t="n">
        <v>0</v>
      </c>
      <c r="J75" s="20" t="n">
        <v>0</v>
      </c>
      <c r="K75" s="18" t="n">
        <v>0</v>
      </c>
      <c r="L75" s="20" t="n">
        <v>0</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(2676.0/B77*100)</f>
        <v/>
      </c>
      <c r="D77" s="19" t="n">
        <v>293</v>
      </c>
      <c r="E77" s="18" t="n">
        <v>24.05558309</v>
      </c>
      <c r="F77" s="20" t="n">
        <v>2.68661451</v>
      </c>
      <c r="G77" s="18" t="n">
        <v>70.44737438999999</v>
      </c>
      <c r="H77" s="20" t="n">
        <v>2.82587624</v>
      </c>
      <c r="I77" s="18" t="n">
        <v>0</v>
      </c>
      <c r="J77" s="20" t="n">
        <v>0</v>
      </c>
      <c r="K77" s="18" t="n">
        <v>2.42878956</v>
      </c>
      <c r="L77" s="20" t="n">
        <v>0.86271815</v>
      </c>
      <c r="M77" s="18" t="n">
        <v>0</v>
      </c>
      <c r="N77" s="20" t="n">
        <v>0</v>
      </c>
      <c r="O77" s="18" t="n">
        <v>0</v>
      </c>
      <c r="P77" s="20" t="n">
        <v>0</v>
      </c>
      <c r="Q77" s="18" t="n">
        <v>3.06825295</v>
      </c>
      <c r="R77" s="20" t="n">
        <v>0.85329103</v>
      </c>
    </row>
    <row r="78" spans="1:18">
      <c r="A78" s="15" t="s">
        <v>638</v>
      </c>
      <c r="B78" s="17" t="n">
        <v>7115</v>
      </c>
      <c r="C78" s="18">
        <f>(6297.0/B78*100)</f>
        <v/>
      </c>
      <c r="D78" s="19" t="n">
        <v>818</v>
      </c>
      <c r="E78" s="18" t="n">
        <v>13.36020391</v>
      </c>
      <c r="F78" s="20" t="n">
        <v>1.48010366</v>
      </c>
      <c r="G78" s="18" t="n">
        <v>84.92266539000001</v>
      </c>
      <c r="H78" s="20" t="n">
        <v>1.49345485</v>
      </c>
      <c r="I78" s="18" t="n">
        <v>0</v>
      </c>
      <c r="J78" s="20" t="n">
        <v>0</v>
      </c>
      <c r="K78" s="18" t="n">
        <v>0.96120208</v>
      </c>
      <c r="L78" s="20" t="n">
        <v>0.3720684</v>
      </c>
      <c r="M78" s="18" t="n">
        <v>0</v>
      </c>
      <c r="N78" s="20" t="n">
        <v>0</v>
      </c>
      <c r="O78" s="18" t="n">
        <v>0</v>
      </c>
      <c r="P78" s="20" t="n">
        <v>0</v>
      </c>
      <c r="Q78" s="18" t="n">
        <v>0.75592863</v>
      </c>
      <c r="R78" s="20" t="n">
        <v>0.3790501</v>
      </c>
    </row>
    <row r="79" spans="1:18">
      <c r="A79" s="15" t="s">
        <v>639</v>
      </c>
      <c r="B79" s="17" t="n">
        <v>3154</v>
      </c>
      <c r="C79" s="18">
        <f>(2809.0/B79*100)</f>
        <v/>
      </c>
      <c r="D79" s="19" t="n">
        <v>345</v>
      </c>
      <c r="E79" s="18" t="n">
        <v>7.59432466</v>
      </c>
      <c r="F79" s="20" t="n">
        <v>1.15378514</v>
      </c>
      <c r="G79" s="18" t="n">
        <v>90.26372615</v>
      </c>
      <c r="H79" s="20" t="n">
        <v>1.63026949</v>
      </c>
      <c r="I79" s="18" t="n">
        <v>0</v>
      </c>
      <c r="J79" s="20" t="n">
        <v>0</v>
      </c>
      <c r="K79" s="18" t="n">
        <v>1.11319826</v>
      </c>
      <c r="L79" s="20" t="n">
        <v>0.66469198</v>
      </c>
      <c r="M79" s="18" t="n">
        <v>0</v>
      </c>
      <c r="N79" s="20" t="n">
        <v>0</v>
      </c>
      <c r="O79" s="18" t="n">
        <v>0</v>
      </c>
      <c r="P79" s="20" t="n">
        <v>0</v>
      </c>
      <c r="Q79" s="18" t="n">
        <v>1.02875094</v>
      </c>
      <c r="R79" s="20" t="n">
        <v>0.52435331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(14263.0/B82*100)</f>
        <v/>
      </c>
      <c r="D82" s="19" t="n">
        <v>1698</v>
      </c>
      <c r="E82" s="18" t="n">
        <v>4.74841868</v>
      </c>
      <c r="F82" s="20" t="n">
        <v>0.85061627</v>
      </c>
      <c r="G82" s="18" t="n">
        <v>94.44622448</v>
      </c>
      <c r="H82" s="20" t="n">
        <v>0.91822698</v>
      </c>
      <c r="I82" s="18" t="n">
        <v>0</v>
      </c>
      <c r="J82" s="20" t="n">
        <v>0</v>
      </c>
      <c r="K82" s="18" t="n">
        <v>0.06296815</v>
      </c>
      <c r="L82" s="20" t="n">
        <v>0.03853665</v>
      </c>
      <c r="M82" s="18" t="n">
        <v>0</v>
      </c>
      <c r="N82" s="20" t="n">
        <v>0</v>
      </c>
      <c r="O82" s="18" t="n">
        <v>0</v>
      </c>
      <c r="P82" s="20" t="n">
        <v>0</v>
      </c>
      <c r="Q82" s="18" t="n">
        <v>0.7423887</v>
      </c>
      <c r="R82" s="20" t="n">
        <v>0.31314371</v>
      </c>
    </row>
    <row r="83" spans="1:18">
      <c r="A83" s="15" t="s">
        <v>643</v>
      </c>
      <c r="B83" s="17" t="n">
        <v>808</v>
      </c>
      <c r="C83" s="18">
        <f>(721.0/B83*100)</f>
        <v/>
      </c>
      <c r="D83" s="19" t="n">
        <v>87</v>
      </c>
      <c r="E83" s="18" t="n">
        <v>4.16723565</v>
      </c>
      <c r="F83" s="20" t="n">
        <v>2.44902607</v>
      </c>
      <c r="G83" s="18" t="n">
        <v>95.83276435000001</v>
      </c>
      <c r="H83" s="20" t="n">
        <v>2.44902607</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(842.0/B84*100)</f>
        <v/>
      </c>
      <c r="D84" s="19" t="n">
        <v>96</v>
      </c>
      <c r="E84" s="18" t="n">
        <v>6.17739288</v>
      </c>
      <c r="F84" s="20" t="n">
        <v>2.39562483</v>
      </c>
      <c r="G84" s="18" t="n">
        <v>93.82260712</v>
      </c>
      <c r="H84" s="20" t="n">
        <v>2.39562483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668</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(6354.0/B7*100)</f>
        <v/>
      </c>
      <c r="D7" s="19" t="n">
        <v>809</v>
      </c>
      <c r="E7" s="18" t="n">
        <v>43.10557089</v>
      </c>
      <c r="F7" s="20" t="n">
        <v>2.07731944</v>
      </c>
      <c r="G7" s="18" t="n">
        <v>20.30559357</v>
      </c>
      <c r="H7" s="20" t="n">
        <v>1.65126155</v>
      </c>
      <c r="I7" s="18" t="n">
        <v>30.10272111</v>
      </c>
      <c r="J7" s="20" t="n">
        <v>1.5071437</v>
      </c>
      <c r="K7" s="18" t="n">
        <v>0</v>
      </c>
      <c r="L7" s="20" t="n">
        <v>0</v>
      </c>
      <c r="M7" s="18" t="n">
        <v>0.14834785</v>
      </c>
      <c r="N7" s="20" t="n">
        <v>0.08732607000000001</v>
      </c>
      <c r="O7" s="18" t="n">
        <v>0.01244713</v>
      </c>
      <c r="P7" s="20" t="n">
        <v>0.01255394</v>
      </c>
      <c r="Q7" s="18" t="n">
        <v>0</v>
      </c>
      <c r="R7" s="20" t="n">
        <v>0</v>
      </c>
      <c r="S7" s="18" t="n">
        <v>6.32531945</v>
      </c>
      <c r="T7" s="20" t="n">
        <v>1.14531045</v>
      </c>
    </row>
    <row r="8" spans="1:20">
      <c r="A8" s="15" t="s">
        <v>566</v>
      </c>
      <c r="B8" s="17" t="n">
        <v>3443</v>
      </c>
      <c r="C8" s="18">
        <f>(3061.0/B8*100)</f>
        <v/>
      </c>
      <c r="D8" s="19" t="n">
        <v>382</v>
      </c>
      <c r="E8" s="18" t="n">
        <v>52.91476304</v>
      </c>
      <c r="F8" s="20" t="n">
        <v>2.43019626</v>
      </c>
      <c r="G8" s="18" t="n">
        <v>15.44251411</v>
      </c>
      <c r="H8" s="20" t="n">
        <v>1.67271955</v>
      </c>
      <c r="I8" s="18" t="n">
        <v>22.74595344</v>
      </c>
      <c r="J8" s="20" t="n">
        <v>2.07489659</v>
      </c>
      <c r="K8" s="18" t="n">
        <v>0</v>
      </c>
      <c r="L8" s="20" t="n">
        <v>0</v>
      </c>
      <c r="M8" s="18" t="n">
        <v>0</v>
      </c>
      <c r="N8" s="20" t="n">
        <v>0</v>
      </c>
      <c r="O8" s="18" t="n">
        <v>0</v>
      </c>
      <c r="P8" s="20" t="n">
        <v>0</v>
      </c>
      <c r="Q8" s="18" t="n">
        <v>0</v>
      </c>
      <c r="R8" s="20" t="n">
        <v>0</v>
      </c>
      <c r="S8" s="18" t="n">
        <v>8.8967694</v>
      </c>
      <c r="T8" s="20" t="n">
        <v>1.55896461</v>
      </c>
    </row>
    <row r="9" spans="1:20">
      <c r="A9" s="15" t="s">
        <v>567</v>
      </c>
      <c r="B9" s="17" t="n">
        <v>4752</v>
      </c>
      <c r="C9" s="18">
        <f>(4263.0/B9*100)</f>
        <v/>
      </c>
      <c r="D9" s="19" t="n">
        <v>489</v>
      </c>
      <c r="E9" s="18" t="n">
        <v>39.08529217</v>
      </c>
      <c r="F9" s="20" t="n">
        <v>2.12827181</v>
      </c>
      <c r="G9" s="18" t="n">
        <v>22.1453183</v>
      </c>
      <c r="H9" s="20" t="n">
        <v>1.67036137</v>
      </c>
      <c r="I9" s="18" t="n">
        <v>28.5056167</v>
      </c>
      <c r="J9" s="20" t="n">
        <v>1.97903366</v>
      </c>
      <c r="K9" s="18" t="n">
        <v>0</v>
      </c>
      <c r="L9" s="20" t="n">
        <v>0</v>
      </c>
      <c r="M9" s="18" t="n">
        <v>0.18659923</v>
      </c>
      <c r="N9" s="20" t="n">
        <v>0.18762322</v>
      </c>
      <c r="O9" s="18" t="n">
        <v>0.36198808</v>
      </c>
      <c r="P9" s="20" t="n">
        <v>0.26331104</v>
      </c>
      <c r="Q9" s="18" t="n">
        <v>0</v>
      </c>
      <c r="R9" s="20" t="n">
        <v>0</v>
      </c>
      <c r="S9" s="18" t="n">
        <v>9.71518552</v>
      </c>
      <c r="T9" s="20" t="n">
        <v>1.21928871</v>
      </c>
    </row>
    <row r="10" spans="1:20">
      <c r="A10" s="15" t="s">
        <v>568</v>
      </c>
      <c r="B10" s="17" t="n">
        <v>10022</v>
      </c>
      <c r="C10" s="18">
        <f>(8924.0/B10*100)</f>
        <v/>
      </c>
      <c r="D10" s="19" t="n">
        <v>1098</v>
      </c>
      <c r="E10" s="18" t="n">
        <v>44.49420804</v>
      </c>
      <c r="F10" s="20" t="n">
        <v>2.15542149</v>
      </c>
      <c r="G10" s="18" t="n">
        <v>17.64471071</v>
      </c>
      <c r="H10" s="20" t="n">
        <v>1.58764349</v>
      </c>
      <c r="I10" s="18" t="n">
        <v>32.15288387</v>
      </c>
      <c r="J10" s="20" t="n">
        <v>2.26246247</v>
      </c>
      <c r="K10" s="18" t="n">
        <v>0</v>
      </c>
      <c r="L10" s="20" t="n">
        <v>0</v>
      </c>
      <c r="M10" s="18" t="n">
        <v>0.2683377</v>
      </c>
      <c r="N10" s="20" t="n">
        <v>0.2343826</v>
      </c>
      <c r="O10" s="18" t="n">
        <v>0</v>
      </c>
      <c r="P10" s="20" t="n">
        <v>0</v>
      </c>
      <c r="Q10" s="18" t="n">
        <v>0</v>
      </c>
      <c r="R10" s="20" t="n">
        <v>0</v>
      </c>
      <c r="S10" s="18" t="n">
        <v>5.43985968</v>
      </c>
      <c r="T10" s="20" t="n">
        <v>1.00586727</v>
      </c>
    </row>
    <row r="11" spans="1:20">
      <c r="A11" s="15" t="s">
        <v>569</v>
      </c>
      <c r="B11" s="17" t="n">
        <v>3500</v>
      </c>
      <c r="C11" s="18">
        <f>(3139.0/B11*100)</f>
        <v/>
      </c>
      <c r="D11" s="19" t="n">
        <v>361</v>
      </c>
      <c r="E11" s="18" t="n">
        <v>60.49939713</v>
      </c>
      <c r="F11" s="20" t="n">
        <v>3.06188035</v>
      </c>
      <c r="G11" s="18" t="n">
        <v>14.02963805</v>
      </c>
      <c r="H11" s="20" t="n">
        <v>2.08411959</v>
      </c>
      <c r="I11" s="18" t="n">
        <v>14.46448092</v>
      </c>
      <c r="J11" s="20" t="n">
        <v>1.97045318</v>
      </c>
      <c r="K11" s="18" t="n">
        <v>0</v>
      </c>
      <c r="L11" s="20" t="n">
        <v>0</v>
      </c>
      <c r="M11" s="18" t="n">
        <v>0.2716856</v>
      </c>
      <c r="N11" s="20" t="n">
        <v>0.2698449</v>
      </c>
      <c r="O11" s="18" t="n">
        <v>0.38389112</v>
      </c>
      <c r="P11" s="20" t="n">
        <v>0.39827678</v>
      </c>
      <c r="Q11" s="18" t="n">
        <v>0</v>
      </c>
      <c r="R11" s="20" t="n">
        <v>0</v>
      </c>
      <c r="S11" s="18" t="n">
        <v>10.35090717</v>
      </c>
      <c r="T11" s="20" t="n">
        <v>1.87620218</v>
      </c>
    </row>
    <row r="12" spans="1:20">
      <c r="A12" s="15" t="s">
        <v>570</v>
      </c>
      <c r="B12" s="17" t="n">
        <v>3422</v>
      </c>
      <c r="C12" s="18">
        <f>(3067.0/B12*100)</f>
        <v/>
      </c>
      <c r="D12" s="19" t="n">
        <v>355</v>
      </c>
      <c r="E12" s="18" t="n">
        <v>52.53836935</v>
      </c>
      <c r="F12" s="20" t="n">
        <v>3.0616295</v>
      </c>
      <c r="G12" s="18" t="n">
        <v>20.68100561</v>
      </c>
      <c r="H12" s="20" t="n">
        <v>2.49849823</v>
      </c>
      <c r="I12" s="18" t="n">
        <v>16.48484855</v>
      </c>
      <c r="J12" s="20" t="n">
        <v>2.13477315</v>
      </c>
      <c r="K12" s="18" t="n">
        <v>0</v>
      </c>
      <c r="L12" s="20" t="n">
        <v>0</v>
      </c>
      <c r="M12" s="18" t="n">
        <v>0.16298761</v>
      </c>
      <c r="N12" s="20" t="n">
        <v>0.15839553</v>
      </c>
      <c r="O12" s="18" t="n">
        <v>0.27337339</v>
      </c>
      <c r="P12" s="20" t="n">
        <v>0.27397726</v>
      </c>
      <c r="Q12" s="18" t="n">
        <v>0</v>
      </c>
      <c r="R12" s="20" t="n">
        <v>0</v>
      </c>
      <c r="S12" s="18" t="n">
        <v>9.859415479999999</v>
      </c>
      <c r="T12" s="20" t="n">
        <v>1.46041986</v>
      </c>
    </row>
    <row r="13" spans="1:20">
      <c r="A13" s="15" t="s">
        <v>571</v>
      </c>
      <c r="B13" s="17" t="n">
        <v>3602</v>
      </c>
      <c r="C13" s="18">
        <f>(3195.0/B13*100)</f>
        <v/>
      </c>
      <c r="D13" s="19" t="n">
        <v>407</v>
      </c>
      <c r="E13" s="18" t="n">
        <v>46.77264527</v>
      </c>
      <c r="F13" s="20" t="n">
        <v>3.0898728</v>
      </c>
      <c r="G13" s="18" t="n">
        <v>15.92714648</v>
      </c>
      <c r="H13" s="20" t="n">
        <v>2.11066481</v>
      </c>
      <c r="I13" s="18" t="n">
        <v>23.44938777</v>
      </c>
      <c r="J13" s="20" t="n">
        <v>2.32020402</v>
      </c>
      <c r="K13" s="18" t="n">
        <v>0</v>
      </c>
      <c r="L13" s="20" t="n">
        <v>0</v>
      </c>
      <c r="M13" s="18" t="n">
        <v>0.91100424</v>
      </c>
      <c r="N13" s="20" t="n">
        <v>0.61321061</v>
      </c>
      <c r="O13" s="18" t="n">
        <v>0</v>
      </c>
      <c r="P13" s="20" t="n">
        <v>0</v>
      </c>
      <c r="Q13" s="18" t="n">
        <v>0</v>
      </c>
      <c r="R13" s="20" t="n">
        <v>0</v>
      </c>
      <c r="S13" s="18" t="n">
        <v>12.93981624</v>
      </c>
      <c r="T13" s="20" t="n">
        <v>2.3408503</v>
      </c>
    </row>
    <row r="14" spans="1:20">
      <c r="A14" s="15" t="s">
        <v>572</v>
      </c>
      <c r="B14" s="17" t="n">
        <v>2788</v>
      </c>
      <c r="C14" s="18">
        <f>(2497.0/B14*100)</f>
        <v/>
      </c>
      <c r="D14" s="19" t="n">
        <v>291</v>
      </c>
      <c r="E14" s="18" t="n">
        <v>24.76936111</v>
      </c>
      <c r="F14" s="20" t="n">
        <v>3.16598934</v>
      </c>
      <c r="G14" s="18" t="n">
        <v>18.34341483</v>
      </c>
      <c r="H14" s="20" t="n">
        <v>2.76508458</v>
      </c>
      <c r="I14" s="18" t="n">
        <v>53.954487</v>
      </c>
      <c r="J14" s="20" t="n">
        <v>2.80421389</v>
      </c>
      <c r="K14" s="18" t="n">
        <v>0</v>
      </c>
      <c r="L14" s="20" t="n">
        <v>0</v>
      </c>
      <c r="M14" s="18" t="n">
        <v>0.26470287</v>
      </c>
      <c r="N14" s="20" t="n">
        <v>0.2719683</v>
      </c>
      <c r="O14" s="18" t="n">
        <v>0</v>
      </c>
      <c r="P14" s="20" t="n">
        <v>0</v>
      </c>
      <c r="Q14" s="18" t="n">
        <v>0</v>
      </c>
      <c r="R14" s="20" t="n">
        <v>0</v>
      </c>
      <c r="S14" s="18" t="n">
        <v>2.66803418</v>
      </c>
      <c r="T14" s="20" t="n">
        <v>0.89137001</v>
      </c>
    </row>
    <row r="15" spans="1:20">
      <c r="A15" s="15" t="s">
        <v>573</v>
      </c>
      <c r="B15" s="17" t="n">
        <v>2863</v>
      </c>
      <c r="C15" s="18">
        <f>(2527.0/B15*100)</f>
        <v/>
      </c>
      <c r="D15" s="19" t="n">
        <v>336</v>
      </c>
      <c r="E15" s="18" t="n">
        <v>35.99587473</v>
      </c>
      <c r="F15" s="20" t="n">
        <v>2.68403335</v>
      </c>
      <c r="G15" s="18" t="n">
        <v>18.55577101</v>
      </c>
      <c r="H15" s="20" t="n">
        <v>2.33991237</v>
      </c>
      <c r="I15" s="18" t="n">
        <v>44.53848863</v>
      </c>
      <c r="J15" s="20" t="n">
        <v>2.68524202</v>
      </c>
      <c r="K15" s="18" t="n">
        <v>0</v>
      </c>
      <c r="L15" s="20" t="n">
        <v>0</v>
      </c>
      <c r="M15" s="18" t="n">
        <v>0</v>
      </c>
      <c r="N15" s="20" t="n">
        <v>0</v>
      </c>
      <c r="O15" s="18" t="n">
        <v>0</v>
      </c>
      <c r="P15" s="20" t="n">
        <v>0</v>
      </c>
      <c r="Q15" s="18" t="n">
        <v>0</v>
      </c>
      <c r="R15" s="20" t="n">
        <v>0</v>
      </c>
      <c r="S15" s="18" t="n">
        <v>0.90986563</v>
      </c>
      <c r="T15" s="20" t="n">
        <v>0.56464193</v>
      </c>
    </row>
    <row r="16" spans="1:20">
      <c r="A16" s="15" t="s">
        <v>574</v>
      </c>
      <c r="B16" s="17" t="n">
        <v>3111</v>
      </c>
      <c r="C16" s="18">
        <f>(2774.0/B16*100)</f>
        <v/>
      </c>
      <c r="D16" s="19" t="n">
        <v>337</v>
      </c>
      <c r="E16" s="18" t="n">
        <v>25.85987652</v>
      </c>
      <c r="F16" s="20" t="n">
        <v>2.43164618</v>
      </c>
      <c r="G16" s="18" t="n">
        <v>15.01737413</v>
      </c>
      <c r="H16" s="20" t="n">
        <v>2.12213755</v>
      </c>
      <c r="I16" s="18" t="n">
        <v>43.38604931</v>
      </c>
      <c r="J16" s="20" t="n">
        <v>3.26356271</v>
      </c>
      <c r="K16" s="18" t="n">
        <v>0</v>
      </c>
      <c r="L16" s="20" t="n">
        <v>0</v>
      </c>
      <c r="M16" s="18" t="n">
        <v>0</v>
      </c>
      <c r="N16" s="20" t="n">
        <v>0</v>
      </c>
      <c r="O16" s="18" t="n">
        <v>0</v>
      </c>
      <c r="P16" s="20" t="n">
        <v>0</v>
      </c>
      <c r="Q16" s="18" t="n">
        <v>0</v>
      </c>
      <c r="R16" s="20" t="n">
        <v>0</v>
      </c>
      <c r="S16" s="18" t="n">
        <v>15.73670005</v>
      </c>
      <c r="T16" s="20" t="n">
        <v>2.5018145</v>
      </c>
    </row>
    <row r="17" spans="1:20">
      <c r="A17" s="15" t="s">
        <v>575</v>
      </c>
      <c r="B17" s="17" t="n">
        <v>3197</v>
      </c>
      <c r="C17" s="18">
        <f>(2836.0/B17*100)</f>
        <v/>
      </c>
      <c r="D17" s="19" t="n">
        <v>361</v>
      </c>
      <c r="E17" s="18" t="n">
        <v>59.56685194</v>
      </c>
      <c r="F17" s="20" t="n">
        <v>2.87917381</v>
      </c>
      <c r="G17" s="18" t="n">
        <v>10.40692454</v>
      </c>
      <c r="H17" s="20" t="n">
        <v>1.63982715</v>
      </c>
      <c r="I17" s="18" t="n">
        <v>22.15033358</v>
      </c>
      <c r="J17" s="20" t="n">
        <v>2.49136487</v>
      </c>
      <c r="K17" s="18" t="n">
        <v>0</v>
      </c>
      <c r="L17" s="20" t="n">
        <v>0</v>
      </c>
      <c r="M17" s="18" t="n">
        <v>0</v>
      </c>
      <c r="N17" s="20" t="n">
        <v>0</v>
      </c>
      <c r="O17" s="18" t="n">
        <v>0</v>
      </c>
      <c r="P17" s="20" t="n">
        <v>0</v>
      </c>
      <c r="Q17" s="18" t="n">
        <v>0</v>
      </c>
      <c r="R17" s="20" t="n">
        <v>0</v>
      </c>
      <c r="S17" s="18" t="n">
        <v>7.87588994</v>
      </c>
      <c r="T17" s="20" t="n">
        <v>1.48390339</v>
      </c>
    </row>
    <row r="18" spans="1:20">
      <c r="A18" s="15" t="s">
        <v>576</v>
      </c>
      <c r="B18" s="17" t="n">
        <v>2706</v>
      </c>
      <c r="C18" s="18">
        <f>(2410.0/B18*100)</f>
        <v/>
      </c>
      <c r="D18" s="19" t="n">
        <v>296</v>
      </c>
      <c r="E18" s="18" t="n">
        <v>51.65830078</v>
      </c>
      <c r="F18" s="20" t="n">
        <v>3.16655986</v>
      </c>
      <c r="G18" s="18" t="n">
        <v>15.59707959</v>
      </c>
      <c r="H18" s="20" t="n">
        <v>2.24243657</v>
      </c>
      <c r="I18" s="18" t="n">
        <v>13.18201162</v>
      </c>
      <c r="J18" s="20" t="n">
        <v>1.8086443</v>
      </c>
      <c r="K18" s="18" t="n">
        <v>0</v>
      </c>
      <c r="L18" s="20" t="n">
        <v>0</v>
      </c>
      <c r="M18" s="18" t="n">
        <v>0</v>
      </c>
      <c r="N18" s="20" t="n">
        <v>0</v>
      </c>
      <c r="O18" s="18" t="n">
        <v>0</v>
      </c>
      <c r="P18" s="20" t="n">
        <v>0</v>
      </c>
      <c r="Q18" s="18" t="n">
        <v>0</v>
      </c>
      <c r="R18" s="20" t="n">
        <v>0</v>
      </c>
      <c r="S18" s="18" t="n">
        <v>19.56260801</v>
      </c>
      <c r="T18" s="20" t="n">
        <v>2.84706446</v>
      </c>
    </row>
    <row r="19" spans="1:20">
      <c r="A19" s="15" t="s">
        <v>577</v>
      </c>
      <c r="B19" s="17" t="n">
        <v>2850</v>
      </c>
      <c r="C19" s="18">
        <f>(2544.0/B19*100)</f>
        <v/>
      </c>
      <c r="D19" s="19" t="n">
        <v>306</v>
      </c>
      <c r="E19" s="18" t="n">
        <v>52.34308708</v>
      </c>
      <c r="F19" s="20" t="n">
        <v>2.82260113</v>
      </c>
      <c r="G19" s="18" t="n">
        <v>16.14831966</v>
      </c>
      <c r="H19" s="20" t="n">
        <v>1.70559672</v>
      </c>
      <c r="I19" s="18" t="n">
        <v>18.77274092</v>
      </c>
      <c r="J19" s="20" t="n">
        <v>2.26104804</v>
      </c>
      <c r="K19" s="18" t="n">
        <v>0</v>
      </c>
      <c r="L19" s="20" t="n">
        <v>0</v>
      </c>
      <c r="M19" s="18" t="n">
        <v>0</v>
      </c>
      <c r="N19" s="20" t="n">
        <v>0</v>
      </c>
      <c r="O19" s="18" t="n">
        <v>0</v>
      </c>
      <c r="P19" s="20" t="n">
        <v>0</v>
      </c>
      <c r="Q19" s="18" t="n">
        <v>0</v>
      </c>
      <c r="R19" s="20" t="n">
        <v>0</v>
      </c>
      <c r="S19" s="18" t="n">
        <v>12.73585235</v>
      </c>
      <c r="T19" s="20" t="n">
        <v>2.7213317</v>
      </c>
    </row>
    <row r="20" spans="1:20">
      <c r="A20" s="15" t="s">
        <v>578</v>
      </c>
      <c r="B20" s="17" t="n">
        <v>1741</v>
      </c>
      <c r="C20" s="18">
        <f>(1549.0/B20*100)</f>
        <v/>
      </c>
      <c r="D20" s="19" t="n">
        <v>192</v>
      </c>
      <c r="E20" s="18" t="n">
        <v>48.73059973</v>
      </c>
      <c r="F20" s="20" t="n">
        <v>3.2841293</v>
      </c>
      <c r="G20" s="18" t="n">
        <v>18.78754406</v>
      </c>
      <c r="H20" s="20" t="n">
        <v>2.49114753</v>
      </c>
      <c r="I20" s="18" t="n">
        <v>22.55736333</v>
      </c>
      <c r="J20" s="20" t="n">
        <v>2.71182632</v>
      </c>
      <c r="K20" s="18" t="n">
        <v>0</v>
      </c>
      <c r="L20" s="20" t="n">
        <v>0</v>
      </c>
      <c r="M20" s="18" t="n">
        <v>0.96116687</v>
      </c>
      <c r="N20" s="20" t="n">
        <v>0.66995415</v>
      </c>
      <c r="O20" s="18" t="n">
        <v>0.6432257300000001</v>
      </c>
      <c r="P20" s="20" t="n">
        <v>0.65856215</v>
      </c>
      <c r="Q20" s="18" t="n">
        <v>0</v>
      </c>
      <c r="R20" s="20" t="n">
        <v>0</v>
      </c>
      <c r="S20" s="18" t="n">
        <v>8.32010028</v>
      </c>
      <c r="T20" s="20" t="n">
        <v>2.05973942</v>
      </c>
    </row>
    <row r="21" spans="1:20">
      <c r="A21" s="15" t="s">
        <v>579</v>
      </c>
      <c r="B21" s="17" t="n">
        <v>2833</v>
      </c>
      <c r="C21" s="18">
        <f>(2501.0/B21*100)</f>
        <v/>
      </c>
      <c r="D21" s="19" t="n">
        <v>332</v>
      </c>
      <c r="E21" s="18" t="n">
        <v>37.9113749</v>
      </c>
      <c r="F21" s="20" t="n">
        <v>3.49281667</v>
      </c>
      <c r="G21" s="18" t="n">
        <v>18.98844877</v>
      </c>
      <c r="H21" s="20" t="n">
        <v>2.30561363</v>
      </c>
      <c r="I21" s="18" t="n">
        <v>38.30826317</v>
      </c>
      <c r="J21" s="20" t="n">
        <v>3.22249153</v>
      </c>
      <c r="K21" s="18" t="n">
        <v>0</v>
      </c>
      <c r="L21" s="20" t="n">
        <v>0</v>
      </c>
      <c r="M21" s="18" t="n">
        <v>0</v>
      </c>
      <c r="N21" s="20" t="n">
        <v>0</v>
      </c>
      <c r="O21" s="18" t="n">
        <v>0</v>
      </c>
      <c r="P21" s="20" t="n">
        <v>0</v>
      </c>
      <c r="Q21" s="18" t="n">
        <v>0</v>
      </c>
      <c r="R21" s="20" t="n">
        <v>0</v>
      </c>
      <c r="S21" s="18" t="n">
        <v>4.79191316</v>
      </c>
      <c r="T21" s="20" t="n">
        <v>1.31840583</v>
      </c>
    </row>
    <row r="22" spans="1:20">
      <c r="A22" s="15" t="s">
        <v>580</v>
      </c>
      <c r="B22" s="17" t="n">
        <v>3667</v>
      </c>
      <c r="C22" s="18">
        <f>(3283.0/B22*100)</f>
        <v/>
      </c>
      <c r="D22" s="19" t="n">
        <v>384</v>
      </c>
      <c r="E22" s="18" t="n">
        <v>33.05026588</v>
      </c>
      <c r="F22" s="20" t="n">
        <v>2.55385834</v>
      </c>
      <c r="G22" s="18" t="n">
        <v>20.49819677</v>
      </c>
      <c r="H22" s="20" t="n">
        <v>2.31134115</v>
      </c>
      <c r="I22" s="18" t="n">
        <v>28.84592759</v>
      </c>
      <c r="J22" s="20" t="n">
        <v>3.04256858</v>
      </c>
      <c r="K22" s="18" t="n">
        <v>0</v>
      </c>
      <c r="L22" s="20" t="n">
        <v>0</v>
      </c>
      <c r="M22" s="18" t="n">
        <v>1.74952936</v>
      </c>
      <c r="N22" s="20" t="n">
        <v>0.63089126</v>
      </c>
      <c r="O22" s="18" t="n">
        <v>0</v>
      </c>
      <c r="P22" s="20" t="n">
        <v>0</v>
      </c>
      <c r="Q22" s="18" t="n">
        <v>0</v>
      </c>
      <c r="R22" s="20" t="n">
        <v>0</v>
      </c>
      <c r="S22" s="18" t="n">
        <v>15.8560804</v>
      </c>
      <c r="T22" s="20" t="n">
        <v>2.09073717</v>
      </c>
    </row>
    <row r="23" spans="1:20">
      <c r="A23" s="15" t="s">
        <v>581</v>
      </c>
      <c r="B23" s="17" t="n">
        <v>5792</v>
      </c>
      <c r="C23" s="18">
        <f>(5162.0/B23*100)</f>
        <v/>
      </c>
      <c r="D23" s="19" t="n">
        <v>630</v>
      </c>
      <c r="E23" s="18" t="n">
        <v>43.87267481</v>
      </c>
      <c r="F23" s="20" t="n">
        <v>2.6929901</v>
      </c>
      <c r="G23" s="18" t="n">
        <v>18.12684818</v>
      </c>
      <c r="H23" s="20" t="n">
        <v>2.14345375</v>
      </c>
      <c r="I23" s="18" t="n">
        <v>24.71238592</v>
      </c>
      <c r="J23" s="20" t="n">
        <v>2.09434072</v>
      </c>
      <c r="K23" s="18" t="n">
        <v>0</v>
      </c>
      <c r="L23" s="20" t="n">
        <v>0</v>
      </c>
      <c r="M23" s="18" t="n">
        <v>0</v>
      </c>
      <c r="N23" s="20" t="n">
        <v>0</v>
      </c>
      <c r="O23" s="18" t="n">
        <v>0</v>
      </c>
      <c r="P23" s="20" t="n">
        <v>0</v>
      </c>
      <c r="Q23" s="18" t="n">
        <v>0</v>
      </c>
      <c r="R23" s="20" t="n">
        <v>0</v>
      </c>
      <c r="S23" s="18" t="n">
        <v>13.28809109</v>
      </c>
      <c r="T23" s="20" t="n">
        <v>2.13320111</v>
      </c>
    </row>
    <row r="24" spans="1:20">
      <c r="A24" s="15" t="s">
        <v>582</v>
      </c>
      <c r="B24" s="17" t="n">
        <v>3309</v>
      </c>
      <c r="C24" s="18">
        <f>(2946.0/B24*100)</f>
        <v/>
      </c>
      <c r="D24" s="19" t="n">
        <v>363</v>
      </c>
      <c r="E24" s="18" t="n">
        <v>17.17921696</v>
      </c>
      <c r="F24" s="20" t="n">
        <v>1.9916467</v>
      </c>
      <c r="G24" s="18" t="n">
        <v>28.74410861</v>
      </c>
      <c r="H24" s="20" t="n">
        <v>2.84936316</v>
      </c>
      <c r="I24" s="18" t="n">
        <v>43.72750853</v>
      </c>
      <c r="J24" s="20" t="n">
        <v>2.86745925</v>
      </c>
      <c r="K24" s="18" t="n">
        <v>0</v>
      </c>
      <c r="L24" s="20" t="n">
        <v>0</v>
      </c>
      <c r="M24" s="18" t="n">
        <v>0</v>
      </c>
      <c r="N24" s="20" t="n">
        <v>0</v>
      </c>
      <c r="O24" s="18" t="n">
        <v>0</v>
      </c>
      <c r="P24" s="20" t="n">
        <v>0</v>
      </c>
      <c r="Q24" s="18" t="n">
        <v>0</v>
      </c>
      <c r="R24" s="20" t="n">
        <v>0</v>
      </c>
      <c r="S24" s="18" t="n">
        <v>10.3491659</v>
      </c>
      <c r="T24" s="20" t="n">
        <v>1.64032353</v>
      </c>
    </row>
    <row r="25" spans="1:20">
      <c r="A25" s="15" t="s">
        <v>583</v>
      </c>
      <c r="B25" s="17" t="n">
        <v>2669</v>
      </c>
      <c r="C25" s="18">
        <f>(2359.0/B25*100)</f>
        <v/>
      </c>
      <c r="D25" s="19" t="n">
        <v>310</v>
      </c>
      <c r="E25" s="18" t="n">
        <v>34.20559681</v>
      </c>
      <c r="F25" s="20" t="n">
        <v>2.67784181</v>
      </c>
      <c r="G25" s="18" t="n">
        <v>40.62705006</v>
      </c>
      <c r="H25" s="20" t="n">
        <v>3.01733431</v>
      </c>
      <c r="I25" s="18" t="n">
        <v>19.29385749</v>
      </c>
      <c r="J25" s="20" t="n">
        <v>2.637982</v>
      </c>
      <c r="K25" s="18" t="n">
        <v>0</v>
      </c>
      <c r="L25" s="20" t="n">
        <v>0</v>
      </c>
      <c r="M25" s="18" t="n">
        <v>0.3178854</v>
      </c>
      <c r="N25" s="20" t="n">
        <v>0.31908965</v>
      </c>
      <c r="O25" s="18" t="n">
        <v>0</v>
      </c>
      <c r="P25" s="20" t="n">
        <v>0</v>
      </c>
      <c r="Q25" s="18" t="n">
        <v>0</v>
      </c>
      <c r="R25" s="20" t="n">
        <v>0</v>
      </c>
      <c r="S25" s="18" t="n">
        <v>5.55561025</v>
      </c>
      <c r="T25" s="20" t="n">
        <v>1.36835903</v>
      </c>
    </row>
    <row r="26" spans="1:20">
      <c r="A26" s="15" t="s">
        <v>584</v>
      </c>
      <c r="B26" s="17" t="n">
        <v>2419</v>
      </c>
      <c r="C26" s="18">
        <f>(2146.0/B26*100)</f>
        <v/>
      </c>
      <c r="D26" s="19" t="n">
        <v>273</v>
      </c>
      <c r="E26" s="18" t="n">
        <v>48.35261475</v>
      </c>
      <c r="F26" s="20" t="n">
        <v>3.09574533</v>
      </c>
      <c r="G26" s="18" t="n">
        <v>23.94400518</v>
      </c>
      <c r="H26" s="20" t="n">
        <v>2.81854414</v>
      </c>
      <c r="I26" s="18" t="n">
        <v>21.01150469</v>
      </c>
      <c r="J26" s="20" t="n">
        <v>2.69913859</v>
      </c>
      <c r="K26" s="18" t="n">
        <v>0</v>
      </c>
      <c r="L26" s="20" t="n">
        <v>0</v>
      </c>
      <c r="M26" s="18" t="n">
        <v>0</v>
      </c>
      <c r="N26" s="20" t="n">
        <v>0</v>
      </c>
      <c r="O26" s="18" t="n">
        <v>0.33184272</v>
      </c>
      <c r="P26" s="20" t="n">
        <v>0.32889249</v>
      </c>
      <c r="Q26" s="18" t="n">
        <v>0</v>
      </c>
      <c r="R26" s="20" t="n">
        <v>0</v>
      </c>
      <c r="S26" s="18" t="n">
        <v>6.36003267</v>
      </c>
      <c r="T26" s="20" t="n">
        <v>1.52395392</v>
      </c>
    </row>
    <row r="27" spans="1:20">
      <c r="A27" s="15" t="s">
        <v>585</v>
      </c>
      <c r="B27" s="17" t="n">
        <v>2683</v>
      </c>
      <c r="C27" s="18">
        <f>(2392.0/B27*100)</f>
        <v/>
      </c>
      <c r="D27" s="19" t="n">
        <v>291</v>
      </c>
      <c r="E27" s="18" t="n">
        <v>50.01251396</v>
      </c>
      <c r="F27" s="20" t="n">
        <v>3.02171809</v>
      </c>
      <c r="G27" s="18" t="n">
        <v>9.77710203</v>
      </c>
      <c r="H27" s="20" t="n">
        <v>1.65945816</v>
      </c>
      <c r="I27" s="18" t="n">
        <v>28.15873321</v>
      </c>
      <c r="J27" s="20" t="n">
        <v>2.6400089</v>
      </c>
      <c r="K27" s="18" t="n">
        <v>0</v>
      </c>
      <c r="L27" s="20" t="n">
        <v>0</v>
      </c>
      <c r="M27" s="18" t="n">
        <v>0</v>
      </c>
      <c r="N27" s="20" t="n">
        <v>0</v>
      </c>
      <c r="O27" s="18" t="n">
        <v>0</v>
      </c>
      <c r="P27" s="20" t="n">
        <v>0</v>
      </c>
      <c r="Q27" s="18" t="n">
        <v>0</v>
      </c>
      <c r="R27" s="20" t="n">
        <v>0</v>
      </c>
      <c r="S27" s="18" t="n">
        <v>12.05165081</v>
      </c>
      <c r="T27" s="20" t="n">
        <v>1.62780475</v>
      </c>
    </row>
    <row r="28" spans="1:20">
      <c r="A28" s="15" t="s">
        <v>586</v>
      </c>
      <c r="B28" s="17" t="n">
        <v>3803</v>
      </c>
      <c r="C28" s="18">
        <f>(3404.0/B28*100)</f>
        <v/>
      </c>
      <c r="D28" s="19" t="n">
        <v>399</v>
      </c>
      <c r="E28" s="18" t="n">
        <v>75.41324209</v>
      </c>
      <c r="F28" s="20" t="n">
        <v>2.6886262</v>
      </c>
      <c r="G28" s="18" t="n">
        <v>10.94770078</v>
      </c>
      <c r="H28" s="20" t="n">
        <v>1.71432196</v>
      </c>
      <c r="I28" s="18" t="n">
        <v>7.23360859</v>
      </c>
      <c r="J28" s="20" t="n">
        <v>1.61833305</v>
      </c>
      <c r="K28" s="18" t="n">
        <v>0</v>
      </c>
      <c r="L28" s="20" t="n">
        <v>0</v>
      </c>
      <c r="M28" s="18" t="n">
        <v>0.70284117</v>
      </c>
      <c r="N28" s="20" t="n">
        <v>0.51418148</v>
      </c>
      <c r="O28" s="18" t="n">
        <v>0</v>
      </c>
      <c r="P28" s="20" t="n">
        <v>0</v>
      </c>
      <c r="Q28" s="18" t="n">
        <v>0</v>
      </c>
      <c r="R28" s="20" t="n">
        <v>0</v>
      </c>
      <c r="S28" s="18" t="n">
        <v>5.70260736</v>
      </c>
      <c r="T28" s="20" t="n">
        <v>1.31799032</v>
      </c>
    </row>
    <row r="29" spans="1:20">
      <c r="A29" s="15" t="s">
        <v>587</v>
      </c>
      <c r="B29" s="17" t="n">
        <v>2700</v>
      </c>
      <c r="C29" s="18">
        <f>(2399.0/B29*100)</f>
        <v/>
      </c>
      <c r="D29" s="19" t="n">
        <v>301</v>
      </c>
      <c r="E29" s="18" t="n">
        <v>43.35819559</v>
      </c>
      <c r="F29" s="20" t="n">
        <v>2.95953921</v>
      </c>
      <c r="G29" s="18" t="n">
        <v>23.4077681</v>
      </c>
      <c r="H29" s="20" t="n">
        <v>2.4694896</v>
      </c>
      <c r="I29" s="18" t="n">
        <v>27.23337776</v>
      </c>
      <c r="J29" s="20" t="n">
        <v>2.66993084</v>
      </c>
      <c r="K29" s="18" t="n">
        <v>0</v>
      </c>
      <c r="L29" s="20" t="n">
        <v>0</v>
      </c>
      <c r="M29" s="18" t="n">
        <v>0</v>
      </c>
      <c r="N29" s="20" t="n">
        <v>0</v>
      </c>
      <c r="O29" s="18" t="n">
        <v>0</v>
      </c>
      <c r="P29" s="20" t="n">
        <v>0</v>
      </c>
      <c r="Q29" s="18" t="n">
        <v>0</v>
      </c>
      <c r="R29" s="20" t="n">
        <v>0</v>
      </c>
      <c r="S29" s="18" t="n">
        <v>6.00065855</v>
      </c>
      <c r="T29" s="20" t="n">
        <v>1.64705684</v>
      </c>
    </row>
    <row r="30" spans="1:20">
      <c r="A30" s="15" t="s">
        <v>588</v>
      </c>
      <c r="B30" s="17" t="n">
        <v>2257</v>
      </c>
      <c r="C30" s="18">
        <f>(2008.0/B30*100)</f>
        <v/>
      </c>
      <c r="D30" s="19" t="n">
        <v>249</v>
      </c>
      <c r="E30" s="18" t="n">
        <v>34.80885068</v>
      </c>
      <c r="F30" s="20" t="n">
        <v>2.54000267</v>
      </c>
      <c r="G30" s="18" t="n">
        <v>14.53058465</v>
      </c>
      <c r="H30" s="20" t="n">
        <v>2.36340665</v>
      </c>
      <c r="I30" s="18" t="n">
        <v>43.53583351</v>
      </c>
      <c r="J30" s="20" t="n">
        <v>3.17961715</v>
      </c>
      <c r="K30" s="18" t="n">
        <v>0</v>
      </c>
      <c r="L30" s="20" t="n">
        <v>0</v>
      </c>
      <c r="M30" s="18" t="n">
        <v>0.39352761</v>
      </c>
      <c r="N30" s="20" t="n">
        <v>0.38546452</v>
      </c>
      <c r="O30" s="18" t="n">
        <v>0</v>
      </c>
      <c r="P30" s="20" t="n">
        <v>0</v>
      </c>
      <c r="Q30" s="18" t="n">
        <v>0</v>
      </c>
      <c r="R30" s="20" t="n">
        <v>0</v>
      </c>
      <c r="S30" s="18" t="n">
        <v>6.73120355</v>
      </c>
      <c r="T30" s="20" t="n">
        <v>1.46777515</v>
      </c>
    </row>
    <row r="31" spans="1:20">
      <c r="A31" s="15" t="s">
        <v>589</v>
      </c>
      <c r="B31" s="17" t="n">
        <v>2706</v>
      </c>
      <c r="C31" s="18">
        <f>(2405.0/B31*100)</f>
        <v/>
      </c>
      <c r="D31" s="19" t="n">
        <v>301</v>
      </c>
      <c r="E31" s="18" t="n">
        <v>44.96254655</v>
      </c>
      <c r="F31" s="20" t="n">
        <v>2.65851982</v>
      </c>
      <c r="G31" s="18" t="n">
        <v>17.57002045</v>
      </c>
      <c r="H31" s="20" t="n">
        <v>2.09910532</v>
      </c>
      <c r="I31" s="18" t="n">
        <v>23.90458577</v>
      </c>
      <c r="J31" s="20" t="n">
        <v>2.5326665</v>
      </c>
      <c r="K31" s="18" t="n">
        <v>0</v>
      </c>
      <c r="L31" s="20" t="n">
        <v>0</v>
      </c>
      <c r="M31" s="18" t="n">
        <v>0</v>
      </c>
      <c r="N31" s="20" t="n">
        <v>0</v>
      </c>
      <c r="O31" s="18" t="n">
        <v>0</v>
      </c>
      <c r="P31" s="20" t="n">
        <v>0</v>
      </c>
      <c r="Q31" s="18" t="n">
        <v>0</v>
      </c>
      <c r="R31" s="20" t="n">
        <v>0</v>
      </c>
      <c r="S31" s="18" t="n">
        <v>13.56284723</v>
      </c>
      <c r="T31" s="20" t="n">
        <v>2.02614871</v>
      </c>
    </row>
    <row r="32" spans="1:20">
      <c r="A32" s="15" t="s">
        <v>590</v>
      </c>
      <c r="B32" s="17" t="n">
        <v>2209</v>
      </c>
      <c r="C32" s="18">
        <f>(1963.0/B32*100)</f>
        <v/>
      </c>
      <c r="D32" s="19" t="n">
        <v>246</v>
      </c>
      <c r="E32" s="18" t="n">
        <v>52.78235536</v>
      </c>
      <c r="F32" s="20" t="n">
        <v>3.54637947</v>
      </c>
      <c r="G32" s="18" t="n">
        <v>20.04936514</v>
      </c>
      <c r="H32" s="20" t="n">
        <v>2.78825882</v>
      </c>
      <c r="I32" s="18" t="n">
        <v>20.03529919</v>
      </c>
      <c r="J32" s="20" t="n">
        <v>2.50086614</v>
      </c>
      <c r="K32" s="18" t="n">
        <v>0</v>
      </c>
      <c r="L32" s="20" t="n">
        <v>0</v>
      </c>
      <c r="M32" s="18" t="n">
        <v>0</v>
      </c>
      <c r="N32" s="20" t="n">
        <v>0</v>
      </c>
      <c r="O32" s="18" t="n">
        <v>0</v>
      </c>
      <c r="P32" s="20" t="n">
        <v>0</v>
      </c>
      <c r="Q32" s="18" t="n">
        <v>0</v>
      </c>
      <c r="R32" s="20" t="n">
        <v>0</v>
      </c>
      <c r="S32" s="18" t="n">
        <v>7.13298031</v>
      </c>
      <c r="T32" s="20" t="n">
        <v>1.624236</v>
      </c>
    </row>
    <row r="33" spans="1:20">
      <c r="A33" s="15" t="s">
        <v>591</v>
      </c>
      <c r="B33" s="17" t="n">
        <v>3651</v>
      </c>
      <c r="C33" s="18">
        <f>(3267.0/B33*100)</f>
        <v/>
      </c>
      <c r="D33" s="19" t="n">
        <v>384</v>
      </c>
      <c r="E33" s="18" t="n">
        <v>44.96210027</v>
      </c>
      <c r="F33" s="20" t="n">
        <v>2.53986659</v>
      </c>
      <c r="G33" s="18" t="n">
        <v>17.1539559</v>
      </c>
      <c r="H33" s="20" t="n">
        <v>2.05318513</v>
      </c>
      <c r="I33" s="18" t="n">
        <v>28.90155307</v>
      </c>
      <c r="J33" s="20" t="n">
        <v>2.4856647</v>
      </c>
      <c r="K33" s="18" t="n">
        <v>0</v>
      </c>
      <c r="L33" s="20" t="n">
        <v>0</v>
      </c>
      <c r="M33" s="18" t="n">
        <v>0</v>
      </c>
      <c r="N33" s="20" t="n">
        <v>0</v>
      </c>
      <c r="O33" s="18" t="n">
        <v>0</v>
      </c>
      <c r="P33" s="20" t="n">
        <v>0</v>
      </c>
      <c r="Q33" s="18" t="n">
        <v>0</v>
      </c>
      <c r="R33" s="20" t="n">
        <v>0</v>
      </c>
      <c r="S33" s="18" t="n">
        <v>8.982390759999999</v>
      </c>
      <c r="T33" s="20" t="n">
        <v>1.92714998</v>
      </c>
    </row>
    <row r="34" spans="1:20">
      <c r="A34" s="15" t="s">
        <v>592</v>
      </c>
      <c r="B34" s="17" t="n">
        <v>3035</v>
      </c>
      <c r="C34" s="18">
        <f>(2733.0/B34*100)</f>
        <v/>
      </c>
      <c r="D34" s="19" t="n">
        <v>302</v>
      </c>
      <c r="E34" s="18" t="n">
        <v>54.48491865</v>
      </c>
      <c r="F34" s="20" t="n">
        <v>2.66469354</v>
      </c>
      <c r="G34" s="18" t="n">
        <v>17.66832237</v>
      </c>
      <c r="H34" s="20" t="n">
        <v>2.12746555</v>
      </c>
      <c r="I34" s="18" t="n">
        <v>15.71891405</v>
      </c>
      <c r="J34" s="20" t="n">
        <v>1.89973247</v>
      </c>
      <c r="K34" s="18" t="n">
        <v>0</v>
      </c>
      <c r="L34" s="20" t="n">
        <v>0</v>
      </c>
      <c r="M34" s="18" t="n">
        <v>0</v>
      </c>
      <c r="N34" s="20" t="n">
        <v>0</v>
      </c>
      <c r="O34" s="18" t="n">
        <v>0.31965575</v>
      </c>
      <c r="P34" s="20" t="n">
        <v>0.31722803</v>
      </c>
      <c r="Q34" s="18" t="n">
        <v>0</v>
      </c>
      <c r="R34" s="20" t="n">
        <v>0</v>
      </c>
      <c r="S34" s="18" t="n">
        <v>11.80818918</v>
      </c>
      <c r="T34" s="20" t="n">
        <v>2.01164897</v>
      </c>
    </row>
    <row r="35" spans="1:20">
      <c r="A35" s="15" t="s">
        <v>593</v>
      </c>
      <c r="B35" s="17" t="n">
        <v>2901</v>
      </c>
      <c r="C35" s="18">
        <f>(2593.0/B35*100)</f>
        <v/>
      </c>
      <c r="D35" s="19" t="n">
        <v>308</v>
      </c>
      <c r="E35" s="18" t="n">
        <v>48.69473052</v>
      </c>
      <c r="F35" s="20" t="n">
        <v>3.61524157</v>
      </c>
      <c r="G35" s="18" t="n">
        <v>27.69337228</v>
      </c>
      <c r="H35" s="20" t="n">
        <v>3.03433129</v>
      </c>
      <c r="I35" s="18" t="n">
        <v>16.28363273</v>
      </c>
      <c r="J35" s="20" t="n">
        <v>2.80299696</v>
      </c>
      <c r="K35" s="18" t="n">
        <v>0</v>
      </c>
      <c r="L35" s="20" t="n">
        <v>0</v>
      </c>
      <c r="M35" s="18" t="n">
        <v>0</v>
      </c>
      <c r="N35" s="20" t="n">
        <v>0</v>
      </c>
      <c r="O35" s="18" t="n">
        <v>0</v>
      </c>
      <c r="P35" s="20" t="n">
        <v>0</v>
      </c>
      <c r="Q35" s="18" t="n">
        <v>0</v>
      </c>
      <c r="R35" s="20" t="n">
        <v>0</v>
      </c>
      <c r="S35" s="18" t="n">
        <v>7.32826447</v>
      </c>
      <c r="T35" s="20" t="n">
        <v>1.90337583</v>
      </c>
    </row>
    <row r="36" spans="1:20">
      <c r="A36" s="15" t="s">
        <v>594</v>
      </c>
      <c r="B36" s="17" t="n">
        <v>3404</v>
      </c>
      <c r="C36" s="18">
        <f>(3025.0/B36*100)</f>
        <v/>
      </c>
      <c r="D36" s="19" t="n">
        <v>379</v>
      </c>
      <c r="E36" s="18" t="n">
        <v>48.28565882</v>
      </c>
      <c r="F36" s="20" t="n">
        <v>2.9188245</v>
      </c>
      <c r="G36" s="18" t="n">
        <v>17.81611366</v>
      </c>
      <c r="H36" s="20" t="n">
        <v>2.04370081</v>
      </c>
      <c r="I36" s="18" t="n">
        <v>27.48060222</v>
      </c>
      <c r="J36" s="20" t="n">
        <v>2.48690964</v>
      </c>
      <c r="K36" s="18" t="n">
        <v>0</v>
      </c>
      <c r="L36" s="20" t="n">
        <v>0</v>
      </c>
      <c r="M36" s="18" t="n">
        <v>0</v>
      </c>
      <c r="N36" s="20" t="n">
        <v>0</v>
      </c>
      <c r="O36" s="18" t="n">
        <v>0</v>
      </c>
      <c r="P36" s="20" t="n">
        <v>0</v>
      </c>
      <c r="Q36" s="18" t="n">
        <v>0</v>
      </c>
      <c r="R36" s="20" t="n">
        <v>0</v>
      </c>
      <c r="S36" s="18" t="n">
        <v>6.41762531</v>
      </c>
      <c r="T36" s="20" t="n">
        <v>1.30456678</v>
      </c>
    </row>
    <row r="37" spans="1:20">
      <c r="A37" s="15" t="s">
        <v>595</v>
      </c>
      <c r="B37" s="17" t="n">
        <v>2731</v>
      </c>
      <c r="C37" s="18">
        <f>(2448.0/B37*100)</f>
        <v/>
      </c>
      <c r="D37" s="19" t="n">
        <v>283</v>
      </c>
      <c r="E37" s="18" t="n">
        <v>35.89403956</v>
      </c>
      <c r="F37" s="20" t="n">
        <v>2.80670855</v>
      </c>
      <c r="G37" s="18" t="n">
        <v>24.64993347</v>
      </c>
      <c r="H37" s="20" t="n">
        <v>2.80986039</v>
      </c>
      <c r="I37" s="18" t="n">
        <v>23.58399677</v>
      </c>
      <c r="J37" s="20" t="n">
        <v>2.54927861</v>
      </c>
      <c r="K37" s="18" t="n">
        <v>0</v>
      </c>
      <c r="L37" s="20" t="n">
        <v>0</v>
      </c>
      <c r="M37" s="18" t="n">
        <v>0.39668611</v>
      </c>
      <c r="N37" s="20" t="n">
        <v>0.3942254</v>
      </c>
      <c r="O37" s="18" t="n">
        <v>0</v>
      </c>
      <c r="P37" s="20" t="n">
        <v>0</v>
      </c>
      <c r="Q37" s="18" t="n">
        <v>0</v>
      </c>
      <c r="R37" s="20" t="n">
        <v>0</v>
      </c>
      <c r="S37" s="18" t="n">
        <v>15.47534408</v>
      </c>
      <c r="T37" s="20" t="n">
        <v>2.26685546</v>
      </c>
    </row>
    <row r="38" spans="1:20">
      <c r="A38" s="15" t="s">
        <v>596</v>
      </c>
      <c r="B38" s="17" t="n">
        <v>2807</v>
      </c>
      <c r="C38" s="18">
        <f>(2512.0/B38*100)</f>
        <v/>
      </c>
      <c r="D38" s="19" t="n">
        <v>295</v>
      </c>
      <c r="E38" s="18" t="n">
        <v>46.18348392</v>
      </c>
      <c r="F38" s="20" t="n">
        <v>3.41938285</v>
      </c>
      <c r="G38" s="18" t="n">
        <v>20.77536334</v>
      </c>
      <c r="H38" s="20" t="n">
        <v>2.66808183</v>
      </c>
      <c r="I38" s="18" t="n">
        <v>22.49767264</v>
      </c>
      <c r="J38" s="20" t="n">
        <v>2.83207085</v>
      </c>
      <c r="K38" s="18" t="n">
        <v>0</v>
      </c>
      <c r="L38" s="20" t="n">
        <v>0</v>
      </c>
      <c r="M38" s="18" t="n">
        <v>0</v>
      </c>
      <c r="N38" s="20" t="n">
        <v>0</v>
      </c>
      <c r="O38" s="18" t="n">
        <v>2.70606194</v>
      </c>
      <c r="P38" s="20" t="n">
        <v>1.21655336</v>
      </c>
      <c r="Q38" s="18" t="n">
        <v>0</v>
      </c>
      <c r="R38" s="20" t="n">
        <v>0</v>
      </c>
      <c r="S38" s="18" t="n">
        <v>7.83741816</v>
      </c>
      <c r="T38" s="20" t="n">
        <v>1.94657997</v>
      </c>
    </row>
    <row r="39" spans="1:20">
      <c r="A39" s="15" t="s">
        <v>597</v>
      </c>
      <c r="B39" s="17" t="n">
        <v>2938</v>
      </c>
      <c r="C39" s="18">
        <f>(2616.0/B39*100)</f>
        <v/>
      </c>
      <c r="D39" s="19" t="n">
        <v>322</v>
      </c>
      <c r="E39" s="18" t="n">
        <v>57.70810137</v>
      </c>
      <c r="F39" s="20" t="n">
        <v>2.73072672</v>
      </c>
      <c r="G39" s="18" t="n">
        <v>15.92212515</v>
      </c>
      <c r="H39" s="20" t="n">
        <v>2.38288855</v>
      </c>
      <c r="I39" s="18" t="n">
        <v>13.29862033</v>
      </c>
      <c r="J39" s="20" t="n">
        <v>1.52286367</v>
      </c>
      <c r="K39" s="18" t="n">
        <v>0</v>
      </c>
      <c r="L39" s="20" t="n">
        <v>0</v>
      </c>
      <c r="M39" s="18" t="n">
        <v>0</v>
      </c>
      <c r="N39" s="20" t="n">
        <v>0</v>
      </c>
      <c r="O39" s="18" t="n">
        <v>0</v>
      </c>
      <c r="P39" s="20" t="n">
        <v>0</v>
      </c>
      <c r="Q39" s="18" t="n">
        <v>0</v>
      </c>
      <c r="R39" s="20" t="n">
        <v>0</v>
      </c>
      <c r="S39" s="18" t="n">
        <v>13.07115315</v>
      </c>
      <c r="T39" s="20" t="n">
        <v>1.75147466</v>
      </c>
    </row>
    <row r="40" spans="1:20">
      <c r="A40" s="15" t="s">
        <v>598</v>
      </c>
      <c r="B40" s="17" t="n">
        <v>6922</v>
      </c>
      <c r="C40" s="18">
        <f>(6130.0/B40*100)</f>
        <v/>
      </c>
      <c r="D40" s="19" t="n">
        <v>792</v>
      </c>
      <c r="E40" s="18" t="n">
        <v>29.65581793</v>
      </c>
      <c r="F40" s="20" t="n">
        <v>2.67998843</v>
      </c>
      <c r="G40" s="18" t="n">
        <v>12.92249743</v>
      </c>
      <c r="H40" s="20" t="n">
        <v>1.46222526</v>
      </c>
      <c r="I40" s="18" t="n">
        <v>49.80707895</v>
      </c>
      <c r="J40" s="20" t="n">
        <v>2.6209019</v>
      </c>
      <c r="K40" s="18" t="n">
        <v>0</v>
      </c>
      <c r="L40" s="20" t="n">
        <v>0</v>
      </c>
      <c r="M40" s="18" t="n">
        <v>0.06052805</v>
      </c>
      <c r="N40" s="20" t="n">
        <v>0.04178054</v>
      </c>
      <c r="O40" s="18" t="n">
        <v>0</v>
      </c>
      <c r="P40" s="20" t="n">
        <v>0</v>
      </c>
      <c r="Q40" s="18" t="n">
        <v>0</v>
      </c>
      <c r="R40" s="20" t="n">
        <v>0</v>
      </c>
      <c r="S40" s="18" t="n">
        <v>7.55407763</v>
      </c>
      <c r="T40" s="20" t="n">
        <v>1.35036192</v>
      </c>
    </row>
    <row r="41" spans="1:20">
      <c r="A41" s="15" t="s">
        <v>599</v>
      </c>
      <c r="B41" s="17" t="n">
        <v>2854</v>
      </c>
      <c r="C41" s="18">
        <f>(2575.0/B41*100)</f>
        <v/>
      </c>
      <c r="D41" s="19" t="n">
        <v>279</v>
      </c>
      <c r="E41" s="18" t="n">
        <v>46.34925148</v>
      </c>
      <c r="F41" s="20" t="n">
        <v>3.10558298</v>
      </c>
      <c r="G41" s="18" t="n">
        <v>15.62154156</v>
      </c>
      <c r="H41" s="20" t="n">
        <v>2.34744568</v>
      </c>
      <c r="I41" s="18" t="n">
        <v>34.79827906</v>
      </c>
      <c r="J41" s="20" t="n">
        <v>2.75816731</v>
      </c>
      <c r="K41" s="18" t="n">
        <v>0</v>
      </c>
      <c r="L41" s="20" t="n">
        <v>0</v>
      </c>
      <c r="M41" s="18" t="n">
        <v>0</v>
      </c>
      <c r="N41" s="20" t="n">
        <v>0</v>
      </c>
      <c r="O41" s="18" t="n">
        <v>0</v>
      </c>
      <c r="P41" s="20" t="n">
        <v>0</v>
      </c>
      <c r="Q41" s="18" t="n">
        <v>0</v>
      </c>
      <c r="R41" s="20" t="n">
        <v>0</v>
      </c>
      <c r="S41" s="18" t="n">
        <v>3.2309279</v>
      </c>
      <c r="T41" s="20" t="n">
        <v>1.0434265</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12073</v>
      </c>
      <c r="C46" s="18">
        <f>(11053.0/B46*100)</f>
        <v/>
      </c>
      <c r="D46" s="19" t="n">
        <v>1020</v>
      </c>
      <c r="E46" s="18" t="n">
        <v>56.92905021</v>
      </c>
      <c r="F46" s="20" t="n">
        <v>2.04098693</v>
      </c>
      <c r="G46" s="18" t="n">
        <v>13.73878991</v>
      </c>
      <c r="H46" s="20" t="n">
        <v>1.38058631</v>
      </c>
      <c r="I46" s="18" t="n">
        <v>10.57685455</v>
      </c>
      <c r="J46" s="20" t="n">
        <v>1.28511722</v>
      </c>
      <c r="K46" s="18" t="n">
        <v>0</v>
      </c>
      <c r="L46" s="20" t="n">
        <v>0</v>
      </c>
      <c r="M46" s="18" t="n">
        <v>1.32494002</v>
      </c>
      <c r="N46" s="20" t="n">
        <v>0.45338145</v>
      </c>
      <c r="O46" s="18" t="n">
        <v>0.31002753</v>
      </c>
      <c r="P46" s="20" t="n">
        <v>0.20506485</v>
      </c>
      <c r="Q46" s="18" t="n">
        <v>0</v>
      </c>
      <c r="R46" s="20" t="n">
        <v>0</v>
      </c>
      <c r="S46" s="18" t="n">
        <v>17.12033779</v>
      </c>
      <c r="T46" s="20" t="n">
        <v>1.59838056</v>
      </c>
    </row>
    <row r="47" spans="1:20">
      <c r="A47" s="15" t="s">
        <v>606</v>
      </c>
      <c r="B47" s="17" t="n">
        <v>2823</v>
      </c>
      <c r="C47" s="18">
        <f>(2543.0/B47*100)</f>
        <v/>
      </c>
      <c r="D47" s="19" t="n">
        <v>280</v>
      </c>
      <c r="E47" s="18" t="n">
        <v>41.33962169</v>
      </c>
      <c r="F47" s="20" t="n">
        <v>2.63329741</v>
      </c>
      <c r="G47" s="18" t="n">
        <v>15.10570512</v>
      </c>
      <c r="H47" s="20" t="n">
        <v>2.11300902</v>
      </c>
      <c r="I47" s="18" t="n">
        <v>22.88346683</v>
      </c>
      <c r="J47" s="20" t="n">
        <v>3.18747629</v>
      </c>
      <c r="K47" s="18" t="n">
        <v>0</v>
      </c>
      <c r="L47" s="20" t="n">
        <v>0</v>
      </c>
      <c r="M47" s="18" t="n">
        <v>0</v>
      </c>
      <c r="N47" s="20" t="n">
        <v>0</v>
      </c>
      <c r="O47" s="18" t="n">
        <v>0.34529332</v>
      </c>
      <c r="P47" s="20" t="n">
        <v>0.34358042</v>
      </c>
      <c r="Q47" s="18" t="n">
        <v>0</v>
      </c>
      <c r="R47" s="20" t="n">
        <v>0</v>
      </c>
      <c r="S47" s="18" t="n">
        <v>20.32591304</v>
      </c>
      <c r="T47" s="20" t="n">
        <v>2.61667702</v>
      </c>
    </row>
    <row r="48" spans="1:20">
      <c r="A48" s="15" t="s">
        <v>607</v>
      </c>
      <c r="B48" s="17" t="n">
        <v>4682</v>
      </c>
      <c r="C48" s="18">
        <f>(4157.0/B48*100)</f>
        <v/>
      </c>
      <c r="D48" s="19" t="n">
        <v>525</v>
      </c>
      <c r="E48" s="18" t="n">
        <v>37.88690629</v>
      </c>
      <c r="F48" s="20" t="n">
        <v>2.7507785</v>
      </c>
      <c r="G48" s="18" t="n">
        <v>24.61770376</v>
      </c>
      <c r="H48" s="20" t="n">
        <v>2.60403624</v>
      </c>
      <c r="I48" s="18" t="n">
        <v>28.11906197</v>
      </c>
      <c r="J48" s="20" t="n">
        <v>2.73940752</v>
      </c>
      <c r="K48" s="18" t="n">
        <v>0</v>
      </c>
      <c r="L48" s="20" t="n">
        <v>0</v>
      </c>
      <c r="M48" s="18" t="n">
        <v>0.58436174</v>
      </c>
      <c r="N48" s="20" t="n">
        <v>0.41601435</v>
      </c>
      <c r="O48" s="18" t="n">
        <v>0</v>
      </c>
      <c r="P48" s="20" t="n">
        <v>0</v>
      </c>
      <c r="Q48" s="18" t="n">
        <v>0</v>
      </c>
      <c r="R48" s="20" t="n">
        <v>0</v>
      </c>
      <c r="S48" s="18" t="n">
        <v>8.791966240000001</v>
      </c>
      <c r="T48" s="20" t="n">
        <v>2.0336582</v>
      </c>
    </row>
    <row r="49" spans="1:20">
      <c r="A49" s="15" t="s">
        <v>608</v>
      </c>
      <c r="B49" s="17" t="n">
        <v>6158</v>
      </c>
      <c r="C49" s="18">
        <f>(5507.0/B49*100)</f>
        <v/>
      </c>
      <c r="D49" s="19" t="n">
        <v>651</v>
      </c>
      <c r="E49" s="18" t="n">
        <v>67.12633622</v>
      </c>
      <c r="F49" s="20" t="n">
        <v>2.69654149</v>
      </c>
      <c r="G49" s="18" t="n">
        <v>9.670870409999999</v>
      </c>
      <c r="H49" s="20" t="n">
        <v>1.45094845</v>
      </c>
      <c r="I49" s="18" t="n">
        <v>14.98097955</v>
      </c>
      <c r="J49" s="20" t="n">
        <v>1.74445164</v>
      </c>
      <c r="K49" s="18" t="n">
        <v>0</v>
      </c>
      <c r="L49" s="20" t="n">
        <v>0</v>
      </c>
      <c r="M49" s="18" t="n">
        <v>2.13370284</v>
      </c>
      <c r="N49" s="20" t="n">
        <v>0.95526148</v>
      </c>
      <c r="O49" s="18" t="n">
        <v>0.33489595</v>
      </c>
      <c r="P49" s="20" t="n">
        <v>0.2111806</v>
      </c>
      <c r="Q49" s="18" t="n">
        <v>0</v>
      </c>
      <c r="R49" s="20" t="n">
        <v>0</v>
      </c>
      <c r="S49" s="18" t="n">
        <v>5.75321502</v>
      </c>
      <c r="T49" s="20" t="n">
        <v>1.26588255</v>
      </c>
    </row>
    <row r="50" spans="1:20">
      <c r="A50" s="15" t="s">
        <v>609</v>
      </c>
      <c r="B50" s="17" t="n">
        <v>3494</v>
      </c>
      <c r="C50" s="18">
        <f>(3166.0/B50*100)</f>
        <v/>
      </c>
      <c r="D50" s="19" t="n">
        <v>328</v>
      </c>
      <c r="E50" s="18" t="n">
        <v>70.47982684</v>
      </c>
      <c r="F50" s="20" t="n">
        <v>3.07360949</v>
      </c>
      <c r="G50" s="18" t="n">
        <v>12.75143339</v>
      </c>
      <c r="H50" s="20" t="n">
        <v>2.12312862</v>
      </c>
      <c r="I50" s="18" t="n">
        <v>8.6897777</v>
      </c>
      <c r="J50" s="20" t="n">
        <v>1.8701809</v>
      </c>
      <c r="K50" s="18" t="n">
        <v>0</v>
      </c>
      <c r="L50" s="20" t="n">
        <v>0</v>
      </c>
      <c r="M50" s="18" t="n">
        <v>0.27975326</v>
      </c>
      <c r="N50" s="20" t="n">
        <v>0.19210659</v>
      </c>
      <c r="O50" s="18" t="n">
        <v>0</v>
      </c>
      <c r="P50" s="20" t="n">
        <v>0</v>
      </c>
      <c r="Q50" s="18" t="n">
        <v>0</v>
      </c>
      <c r="R50" s="20" t="n">
        <v>0</v>
      </c>
      <c r="S50" s="18" t="n">
        <v>7.7992088</v>
      </c>
      <c r="T50" s="20" t="n">
        <v>1.77955573</v>
      </c>
    </row>
    <row r="51" spans="1:20">
      <c r="A51" s="15" t="s">
        <v>610</v>
      </c>
      <c r="B51" s="17" t="n">
        <v>3013</v>
      </c>
      <c r="C51" s="18">
        <f>(2683.0/B51*100)</f>
        <v/>
      </c>
      <c r="D51" s="19" t="n">
        <v>330</v>
      </c>
      <c r="E51" s="18" t="n">
        <v>47.14969394</v>
      </c>
      <c r="F51" s="20" t="n">
        <v>2.57246146</v>
      </c>
      <c r="G51" s="18" t="n">
        <v>23.40963617</v>
      </c>
      <c r="H51" s="20" t="n">
        <v>2.44443563</v>
      </c>
      <c r="I51" s="18" t="n">
        <v>14.99202868</v>
      </c>
      <c r="J51" s="20" t="n">
        <v>2.05768247</v>
      </c>
      <c r="K51" s="18" t="n">
        <v>0</v>
      </c>
      <c r="L51" s="20" t="n">
        <v>0</v>
      </c>
      <c r="M51" s="18" t="n">
        <v>0</v>
      </c>
      <c r="N51" s="20" t="n">
        <v>0</v>
      </c>
      <c r="O51" s="18" t="n">
        <v>0</v>
      </c>
      <c r="P51" s="20" t="n">
        <v>0</v>
      </c>
      <c r="Q51" s="18" t="n">
        <v>0</v>
      </c>
      <c r="R51" s="20" t="n">
        <v>0</v>
      </c>
      <c r="S51" s="18" t="n">
        <v>14.44864121</v>
      </c>
      <c r="T51" s="20" t="n">
        <v>1.79039382</v>
      </c>
    </row>
    <row r="52" spans="1:20">
      <c r="A52" s="15" t="s">
        <v>611</v>
      </c>
      <c r="B52" s="17" t="n">
        <v>2760</v>
      </c>
      <c r="C52" s="18">
        <f>(2437.0/B52*100)</f>
        <v/>
      </c>
      <c r="D52" s="19" t="n">
        <v>323</v>
      </c>
      <c r="E52" s="18" t="n">
        <v>49.69932922</v>
      </c>
      <c r="F52" s="20" t="n">
        <v>2.92562766</v>
      </c>
      <c r="G52" s="18" t="n">
        <v>14.99523828</v>
      </c>
      <c r="H52" s="20" t="n">
        <v>1.96745933</v>
      </c>
      <c r="I52" s="18" t="n">
        <v>17.97947355</v>
      </c>
      <c r="J52" s="20" t="n">
        <v>2.40470159</v>
      </c>
      <c r="K52" s="18" t="n">
        <v>0</v>
      </c>
      <c r="L52" s="20" t="n">
        <v>0</v>
      </c>
      <c r="M52" s="18" t="n">
        <v>0</v>
      </c>
      <c r="N52" s="20" t="n">
        <v>0</v>
      </c>
      <c r="O52" s="18" t="n">
        <v>0</v>
      </c>
      <c r="P52" s="20" t="n">
        <v>0</v>
      </c>
      <c r="Q52" s="18" t="n">
        <v>0</v>
      </c>
      <c r="R52" s="20" t="n">
        <v>0</v>
      </c>
      <c r="S52" s="18" t="n">
        <v>17.32595896</v>
      </c>
      <c r="T52" s="20" t="n">
        <v>2.09827555</v>
      </c>
    </row>
    <row r="53" spans="1:20">
      <c r="A53" s="15" t="s">
        <v>612</v>
      </c>
      <c r="B53" s="17" t="n">
        <v>2474</v>
      </c>
      <c r="C53" s="18">
        <f>(2207.0/B53*100)</f>
        <v/>
      </c>
      <c r="D53" s="19" t="n">
        <v>267</v>
      </c>
      <c r="E53" s="18" t="n">
        <v>60.46538217</v>
      </c>
      <c r="F53" s="20" t="n">
        <v>3.3772836</v>
      </c>
      <c r="G53" s="18" t="n">
        <v>3.02539999</v>
      </c>
      <c r="H53" s="20" t="n">
        <v>1.08917911</v>
      </c>
      <c r="I53" s="18" t="n">
        <v>2.57883712</v>
      </c>
      <c r="J53" s="20" t="n">
        <v>1.11995259</v>
      </c>
      <c r="K53" s="18" t="n">
        <v>0</v>
      </c>
      <c r="L53" s="20" t="n">
        <v>0</v>
      </c>
      <c r="M53" s="18" t="n">
        <v>20.68108119</v>
      </c>
      <c r="N53" s="20" t="n">
        <v>2.58615613</v>
      </c>
      <c r="O53" s="18" t="n">
        <v>0.42579296</v>
      </c>
      <c r="P53" s="20" t="n">
        <v>0.48870388</v>
      </c>
      <c r="Q53" s="18" t="n">
        <v>0</v>
      </c>
      <c r="R53" s="20" t="n">
        <v>0</v>
      </c>
      <c r="S53" s="18" t="n">
        <v>12.82350657</v>
      </c>
      <c r="T53" s="20" t="n">
        <v>2.32954878</v>
      </c>
    </row>
    <row r="54" spans="1:20">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2675</v>
      </c>
      <c r="C55" s="18">
        <f>(2382.0/B55*100)</f>
        <v/>
      </c>
      <c r="D55" s="19" t="n">
        <v>293</v>
      </c>
      <c r="E55" s="18" t="n">
        <v>34.74437099</v>
      </c>
      <c r="F55" s="20" t="n">
        <v>3.44519943</v>
      </c>
      <c r="G55" s="18" t="n">
        <v>27.64849447</v>
      </c>
      <c r="H55" s="20" t="n">
        <v>2.45915389</v>
      </c>
      <c r="I55" s="18" t="n">
        <v>29.43460778</v>
      </c>
      <c r="J55" s="20" t="n">
        <v>2.69820551</v>
      </c>
      <c r="K55" s="18" t="n">
        <v>0</v>
      </c>
      <c r="L55" s="20" t="n">
        <v>0</v>
      </c>
      <c r="M55" s="18" t="n">
        <v>0.67248217</v>
      </c>
      <c r="N55" s="20" t="n">
        <v>0.65440873</v>
      </c>
      <c r="O55" s="18" t="n">
        <v>0</v>
      </c>
      <c r="P55" s="20" t="n">
        <v>0</v>
      </c>
      <c r="Q55" s="18" t="n">
        <v>0</v>
      </c>
      <c r="R55" s="20" t="n">
        <v>0</v>
      </c>
      <c r="S55" s="18" t="n">
        <v>7.50004459</v>
      </c>
      <c r="T55" s="20" t="n">
        <v>1.48123415</v>
      </c>
    </row>
    <row r="56" spans="1:20">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3201</v>
      </c>
      <c r="C61" s="18">
        <f>(2835.0/B61*100)</f>
        <v/>
      </c>
      <c r="D61" s="19" t="n">
        <v>366</v>
      </c>
      <c r="E61" s="18" t="n">
        <v>60.18343994</v>
      </c>
      <c r="F61" s="20" t="n">
        <v>2.81051272</v>
      </c>
      <c r="G61" s="18" t="n">
        <v>20.23430999</v>
      </c>
      <c r="H61" s="20" t="n">
        <v>2.31594184</v>
      </c>
      <c r="I61" s="18" t="n">
        <v>13.34746832</v>
      </c>
      <c r="J61" s="20" t="n">
        <v>1.81684697</v>
      </c>
      <c r="K61" s="18" t="n">
        <v>0</v>
      </c>
      <c r="L61" s="20" t="n">
        <v>0</v>
      </c>
      <c r="M61" s="18" t="n">
        <v>0</v>
      </c>
      <c r="N61" s="20" t="n">
        <v>0</v>
      </c>
      <c r="O61" s="18" t="n">
        <v>0</v>
      </c>
      <c r="P61" s="20" t="n">
        <v>0</v>
      </c>
      <c r="Q61" s="18" t="n">
        <v>0</v>
      </c>
      <c r="R61" s="20" t="n">
        <v>0</v>
      </c>
      <c r="S61" s="18" t="n">
        <v>6.23478176</v>
      </c>
      <c r="T61" s="20" t="n">
        <v>1.33960878</v>
      </c>
    </row>
    <row r="62" spans="1:20">
      <c r="A62" s="15" t="s">
        <v>622</v>
      </c>
      <c r="B62" s="17" t="n">
        <v>2230</v>
      </c>
      <c r="C62" s="18">
        <f>(1979.0/B62*100)</f>
        <v/>
      </c>
      <c r="D62" s="19" t="n">
        <v>251</v>
      </c>
      <c r="E62" s="18" t="n">
        <v>34.18167126</v>
      </c>
      <c r="F62" s="20" t="n">
        <v>3.30869304</v>
      </c>
      <c r="G62" s="18" t="n">
        <v>32.28368832</v>
      </c>
      <c r="H62" s="20" t="n">
        <v>3.28911719</v>
      </c>
      <c r="I62" s="18" t="n">
        <v>29.91436339</v>
      </c>
      <c r="J62" s="20" t="n">
        <v>2.96324808</v>
      </c>
      <c r="K62" s="18" t="n">
        <v>0</v>
      </c>
      <c r="L62" s="20" t="n">
        <v>0</v>
      </c>
      <c r="M62" s="18" t="n">
        <v>0</v>
      </c>
      <c r="N62" s="20" t="n">
        <v>0</v>
      </c>
      <c r="O62" s="18" t="n">
        <v>0</v>
      </c>
      <c r="P62" s="20" t="n">
        <v>0</v>
      </c>
      <c r="Q62" s="18" t="n">
        <v>0</v>
      </c>
      <c r="R62" s="20" t="n">
        <v>0</v>
      </c>
      <c r="S62" s="18" t="n">
        <v>3.62027703</v>
      </c>
      <c r="T62" s="20" t="n">
        <v>1.31774036</v>
      </c>
    </row>
    <row r="63" spans="1:20">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2771</v>
      </c>
      <c r="C67" s="18">
        <f>(2482.0/B67*100)</f>
        <v/>
      </c>
      <c r="D67" s="19" t="n">
        <v>289</v>
      </c>
      <c r="E67" s="18" t="n">
        <v>45.82970227</v>
      </c>
      <c r="F67" s="20" t="n">
        <v>2.94112412</v>
      </c>
      <c r="G67" s="18" t="n">
        <v>14.91260194</v>
      </c>
      <c r="H67" s="20" t="n">
        <v>2.12239165</v>
      </c>
      <c r="I67" s="18" t="n">
        <v>13.49982017</v>
      </c>
      <c r="J67" s="20" t="n">
        <v>2.08094384</v>
      </c>
      <c r="K67" s="18" t="n">
        <v>0</v>
      </c>
      <c r="L67" s="20" t="n">
        <v>0</v>
      </c>
      <c r="M67" s="18" t="n">
        <v>0.35677693</v>
      </c>
      <c r="N67" s="20" t="n">
        <v>0.35535038</v>
      </c>
      <c r="O67" s="18" t="n">
        <v>0.58828204</v>
      </c>
      <c r="P67" s="20" t="n">
        <v>0.41153291</v>
      </c>
      <c r="Q67" s="18" t="n">
        <v>0</v>
      </c>
      <c r="R67" s="20" t="n">
        <v>0</v>
      </c>
      <c r="S67" s="18" t="n">
        <v>24.81281666</v>
      </c>
      <c r="T67" s="20" t="n">
        <v>2.76057984</v>
      </c>
    </row>
    <row r="68" spans="1:20">
      <c r="A68" s="15" t="s">
        <v>628</v>
      </c>
      <c r="B68" s="17" t="n">
        <v>3460</v>
      </c>
      <c r="C68" s="18">
        <f>(3148.0/B68*100)</f>
        <v/>
      </c>
      <c r="D68" s="19" t="n">
        <v>312</v>
      </c>
      <c r="E68" s="18" t="n">
        <v>67.9014604</v>
      </c>
      <c r="F68" s="20" t="n">
        <v>2.6835399</v>
      </c>
      <c r="G68" s="18" t="n">
        <v>8.87759934</v>
      </c>
      <c r="H68" s="20" t="n">
        <v>1.69934627</v>
      </c>
      <c r="I68" s="18" t="n">
        <v>11.60613885</v>
      </c>
      <c r="J68" s="20" t="n">
        <v>1.8786216</v>
      </c>
      <c r="K68" s="18" t="n">
        <v>0</v>
      </c>
      <c r="L68" s="20" t="n">
        <v>0</v>
      </c>
      <c r="M68" s="18" t="n">
        <v>0.30947709</v>
      </c>
      <c r="N68" s="20" t="n">
        <v>0.33645639</v>
      </c>
      <c r="O68" s="18" t="n">
        <v>0.32484133</v>
      </c>
      <c r="P68" s="20" t="n">
        <v>0.32742384</v>
      </c>
      <c r="Q68" s="18" t="n">
        <v>0</v>
      </c>
      <c r="R68" s="20" t="n">
        <v>0</v>
      </c>
      <c r="S68" s="18" t="n">
        <v>10.980483</v>
      </c>
      <c r="T68" s="20" t="n">
        <v>1.8532572</v>
      </c>
    </row>
    <row r="69" spans="1:20">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6034</v>
      </c>
      <c r="C70" s="18">
        <f>(5359.0/B70*100)</f>
        <v/>
      </c>
      <c r="D70" s="19" t="n">
        <v>675</v>
      </c>
      <c r="E70" s="18" t="n">
        <v>54.42094808</v>
      </c>
      <c r="F70" s="20" t="n">
        <v>2.01700771</v>
      </c>
      <c r="G70" s="18" t="n">
        <v>10.72930142</v>
      </c>
      <c r="H70" s="20" t="n">
        <v>1.22359967</v>
      </c>
      <c r="I70" s="18" t="n">
        <v>15.93329763</v>
      </c>
      <c r="J70" s="20" t="n">
        <v>1.42258735</v>
      </c>
      <c r="K70" s="18" t="n">
        <v>0</v>
      </c>
      <c r="L70" s="20" t="n">
        <v>0</v>
      </c>
      <c r="M70" s="18" t="n">
        <v>1.45749362</v>
      </c>
      <c r="N70" s="20" t="n">
        <v>0.46728169</v>
      </c>
      <c r="O70" s="18" t="n">
        <v>0.15539285</v>
      </c>
      <c r="P70" s="20" t="n">
        <v>0.15316817</v>
      </c>
      <c r="Q70" s="18" t="n">
        <v>0</v>
      </c>
      <c r="R70" s="20" t="n">
        <v>0</v>
      </c>
      <c r="S70" s="18" t="n">
        <v>17.30356639</v>
      </c>
      <c r="T70" s="20" t="n">
        <v>1.28282372</v>
      </c>
    </row>
    <row r="71" spans="1:20">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3107</v>
      </c>
      <c r="C72" s="18">
        <f>(2775.0/B72*100)</f>
        <v/>
      </c>
      <c r="D72" s="19" t="n">
        <v>332</v>
      </c>
      <c r="E72" s="18" t="n">
        <v>33.80793162</v>
      </c>
      <c r="F72" s="20" t="n">
        <v>2.57480469</v>
      </c>
      <c r="G72" s="18" t="n">
        <v>34.85962166</v>
      </c>
      <c r="H72" s="20" t="n">
        <v>2.80573284</v>
      </c>
      <c r="I72" s="18" t="n">
        <v>18.39525037</v>
      </c>
      <c r="J72" s="20" t="n">
        <v>2.17171135</v>
      </c>
      <c r="K72" s="18" t="n">
        <v>0</v>
      </c>
      <c r="L72" s="20" t="n">
        <v>0</v>
      </c>
      <c r="M72" s="18" t="n">
        <v>0</v>
      </c>
      <c r="N72" s="20" t="n">
        <v>0</v>
      </c>
      <c r="O72" s="18" t="n">
        <v>0</v>
      </c>
      <c r="P72" s="20" t="n">
        <v>0</v>
      </c>
      <c r="Q72" s="18" t="n">
        <v>0</v>
      </c>
      <c r="R72" s="20" t="n">
        <v>0</v>
      </c>
      <c r="S72" s="18" t="n">
        <v>12.93719635</v>
      </c>
      <c r="T72" s="20" t="n">
        <v>2.07103746</v>
      </c>
    </row>
    <row r="73" spans="1:20">
      <c r="A73" s="15" t="s">
        <v>633</v>
      </c>
      <c r="B73" s="17" t="n">
        <v>2973</v>
      </c>
      <c r="C73" s="18">
        <f>(2651.0/B73*100)</f>
        <v/>
      </c>
      <c r="D73" s="19" t="n">
        <v>322</v>
      </c>
      <c r="E73" s="18" t="n">
        <v>27.11182521</v>
      </c>
      <c r="F73" s="20" t="n">
        <v>2.61372121</v>
      </c>
      <c r="G73" s="18" t="n">
        <v>21.95608417</v>
      </c>
      <c r="H73" s="20" t="n">
        <v>2.08803694</v>
      </c>
      <c r="I73" s="18" t="n">
        <v>50.58787764</v>
      </c>
      <c r="J73" s="20" t="n">
        <v>2.94170734</v>
      </c>
      <c r="K73" s="18" t="n">
        <v>0</v>
      </c>
      <c r="L73" s="20" t="n">
        <v>0</v>
      </c>
      <c r="M73" s="18" t="n">
        <v>0</v>
      </c>
      <c r="N73" s="20" t="n">
        <v>0</v>
      </c>
      <c r="O73" s="18" t="n">
        <v>0</v>
      </c>
      <c r="P73" s="20" t="n">
        <v>0</v>
      </c>
      <c r="Q73" s="18" t="n">
        <v>0</v>
      </c>
      <c r="R73" s="20" t="n">
        <v>0</v>
      </c>
      <c r="S73" s="18" t="n">
        <v>0.34421298</v>
      </c>
      <c r="T73" s="20" t="n">
        <v>0.24961559</v>
      </c>
    </row>
    <row r="74" spans="1:20">
      <c r="A74" s="15" t="s">
        <v>634</v>
      </c>
      <c r="B74" s="17" t="n">
        <v>3819</v>
      </c>
      <c r="C74" s="18">
        <f>(3365.0/B74*100)</f>
        <v/>
      </c>
      <c r="D74" s="19" t="n">
        <v>454</v>
      </c>
      <c r="E74" s="18" t="n">
        <v>62.96685024</v>
      </c>
      <c r="F74" s="20" t="n">
        <v>2.88147409</v>
      </c>
      <c r="G74" s="18" t="n">
        <v>11.91938414</v>
      </c>
      <c r="H74" s="20" t="n">
        <v>2.02909422</v>
      </c>
      <c r="I74" s="18" t="n">
        <v>18.96071979</v>
      </c>
      <c r="J74" s="20" t="n">
        <v>2.23544678</v>
      </c>
      <c r="K74" s="18" t="n">
        <v>0</v>
      </c>
      <c r="L74" s="20" t="n">
        <v>0</v>
      </c>
      <c r="M74" s="18" t="n">
        <v>0.24192275</v>
      </c>
      <c r="N74" s="20" t="n">
        <v>0.2425786</v>
      </c>
      <c r="O74" s="18" t="n">
        <v>0</v>
      </c>
      <c r="P74" s="20" t="n">
        <v>0</v>
      </c>
      <c r="Q74" s="18" t="n">
        <v>0</v>
      </c>
      <c r="R74" s="20" t="n">
        <v>0</v>
      </c>
      <c r="S74" s="18" t="n">
        <v>5.91112308</v>
      </c>
      <c r="T74" s="20" t="n">
        <v>1.04438466</v>
      </c>
    </row>
    <row r="75" spans="1:20">
      <c r="A75" s="15" t="s">
        <v>635</v>
      </c>
      <c r="B75" s="17" t="n">
        <v>4652</v>
      </c>
      <c r="C75" s="18">
        <f>(4178.0/B75*100)</f>
        <v/>
      </c>
      <c r="D75" s="19" t="n">
        <v>474</v>
      </c>
      <c r="E75" s="18" t="n">
        <v>73.73057043999999</v>
      </c>
      <c r="F75" s="20" t="n">
        <v>2.40550385</v>
      </c>
      <c r="G75" s="18" t="n">
        <v>13.20384125</v>
      </c>
      <c r="H75" s="20" t="n">
        <v>1.92568019</v>
      </c>
      <c r="I75" s="18" t="n">
        <v>11.64236802</v>
      </c>
      <c r="J75" s="20" t="n">
        <v>1.41465992</v>
      </c>
      <c r="K75" s="18" t="n">
        <v>0</v>
      </c>
      <c r="L75" s="20" t="n">
        <v>0</v>
      </c>
      <c r="M75" s="18" t="n">
        <v>0</v>
      </c>
      <c r="N75" s="20" t="n">
        <v>0</v>
      </c>
      <c r="O75" s="18" t="n">
        <v>0</v>
      </c>
      <c r="P75" s="20" t="n">
        <v>0</v>
      </c>
      <c r="Q75" s="18" t="n">
        <v>0</v>
      </c>
      <c r="R75" s="20" t="n">
        <v>0</v>
      </c>
      <c r="S75" s="18" t="n">
        <v>1.42322029</v>
      </c>
      <c r="T75" s="20" t="n">
        <v>0.58548889</v>
      </c>
    </row>
    <row r="76" spans="1:20">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2969</v>
      </c>
      <c r="C77" s="18">
        <f>(2686.0/B77*100)</f>
        <v/>
      </c>
      <c r="D77" s="19" t="n">
        <v>283</v>
      </c>
      <c r="E77" s="18" t="n">
        <v>55.43882172</v>
      </c>
      <c r="F77" s="20" t="n">
        <v>2.7342296</v>
      </c>
      <c r="G77" s="18" t="n">
        <v>3.81128533</v>
      </c>
      <c r="H77" s="20" t="n">
        <v>1.03888138</v>
      </c>
      <c r="I77" s="18" t="n">
        <v>5.56385929</v>
      </c>
      <c r="J77" s="20" t="n">
        <v>1.41702315</v>
      </c>
      <c r="K77" s="18" t="n">
        <v>0</v>
      </c>
      <c r="L77" s="20" t="n">
        <v>0</v>
      </c>
      <c r="M77" s="18" t="n">
        <v>3.71115977</v>
      </c>
      <c r="N77" s="20" t="n">
        <v>1.06000509</v>
      </c>
      <c r="O77" s="18" t="n">
        <v>0.73894967</v>
      </c>
      <c r="P77" s="20" t="n">
        <v>0.7345590400000001</v>
      </c>
      <c r="Q77" s="18" t="n">
        <v>0</v>
      </c>
      <c r="R77" s="20" t="n">
        <v>0</v>
      </c>
      <c r="S77" s="18" t="n">
        <v>30.73592422</v>
      </c>
      <c r="T77" s="20" t="n">
        <v>2.92063729</v>
      </c>
    </row>
    <row r="78" spans="1:20">
      <c r="A78" s="15" t="s">
        <v>638</v>
      </c>
      <c r="B78" s="17" t="n">
        <v>7115</v>
      </c>
      <c r="C78" s="18">
        <f>(6297.0/B78*100)</f>
        <v/>
      </c>
      <c r="D78" s="19" t="n">
        <v>818</v>
      </c>
      <c r="E78" s="18" t="n">
        <v>56.22052729</v>
      </c>
      <c r="F78" s="20" t="n">
        <v>2.27780479</v>
      </c>
      <c r="G78" s="18" t="n">
        <v>16.78971571</v>
      </c>
      <c r="H78" s="20" t="n">
        <v>1.39522216</v>
      </c>
      <c r="I78" s="18" t="n">
        <v>18.22241061</v>
      </c>
      <c r="J78" s="20" t="n">
        <v>1.90263315</v>
      </c>
      <c r="K78" s="18" t="n">
        <v>0</v>
      </c>
      <c r="L78" s="20" t="n">
        <v>0</v>
      </c>
      <c r="M78" s="18" t="n">
        <v>0.96157523</v>
      </c>
      <c r="N78" s="20" t="n">
        <v>0.37221024</v>
      </c>
      <c r="O78" s="18" t="n">
        <v>0.04231415</v>
      </c>
      <c r="P78" s="20" t="n">
        <v>0.04387807</v>
      </c>
      <c r="Q78" s="18" t="n">
        <v>0</v>
      </c>
      <c r="R78" s="20" t="n">
        <v>0</v>
      </c>
      <c r="S78" s="18" t="n">
        <v>7.76345701</v>
      </c>
      <c r="T78" s="20" t="n">
        <v>1.45670764</v>
      </c>
    </row>
    <row r="79" spans="1:20">
      <c r="A79" s="15" t="s">
        <v>639</v>
      </c>
      <c r="B79" s="17" t="n">
        <v>3154</v>
      </c>
      <c r="C79" s="18">
        <f>(2819.0/B79*100)</f>
        <v/>
      </c>
      <c r="D79" s="19" t="n">
        <v>335</v>
      </c>
      <c r="E79" s="18" t="n">
        <v>44.87701049</v>
      </c>
      <c r="F79" s="20" t="n">
        <v>2.88551488</v>
      </c>
      <c r="G79" s="18" t="n">
        <v>13.02796974</v>
      </c>
      <c r="H79" s="20" t="n">
        <v>2.29727744</v>
      </c>
      <c r="I79" s="18" t="n">
        <v>22.19834919</v>
      </c>
      <c r="J79" s="20" t="n">
        <v>2.16357743</v>
      </c>
      <c r="K79" s="18" t="n">
        <v>0</v>
      </c>
      <c r="L79" s="20" t="n">
        <v>0</v>
      </c>
      <c r="M79" s="18" t="n">
        <v>1.42376133</v>
      </c>
      <c r="N79" s="20" t="n">
        <v>0.72590794</v>
      </c>
      <c r="O79" s="18" t="n">
        <v>0</v>
      </c>
      <c r="P79" s="20" t="n">
        <v>0</v>
      </c>
      <c r="Q79" s="18" t="n">
        <v>0</v>
      </c>
      <c r="R79" s="20" t="n">
        <v>0</v>
      </c>
      <c r="S79" s="18" t="n">
        <v>18.47290925</v>
      </c>
      <c r="T79" s="20" t="n">
        <v>2.35663195</v>
      </c>
    </row>
    <row r="80" spans="1:20">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15961</v>
      </c>
      <c r="C82" s="18">
        <f>(14282.0/B82*100)</f>
        <v/>
      </c>
      <c r="D82" s="19" t="n">
        <v>1679</v>
      </c>
      <c r="E82" s="18" t="n">
        <v>47.39949458</v>
      </c>
      <c r="F82" s="20" t="n">
        <v>1.8350874</v>
      </c>
      <c r="G82" s="18" t="n">
        <v>19.77079402</v>
      </c>
      <c r="H82" s="20" t="n">
        <v>1.37249418</v>
      </c>
      <c r="I82" s="18" t="n">
        <v>25.70601091</v>
      </c>
      <c r="J82" s="20" t="n">
        <v>1.44522944</v>
      </c>
      <c r="K82" s="18" t="n">
        <v>0</v>
      </c>
      <c r="L82" s="20" t="n">
        <v>0</v>
      </c>
      <c r="M82" s="18" t="n">
        <v>0.06339101</v>
      </c>
      <c r="N82" s="20" t="n">
        <v>0.03878897</v>
      </c>
      <c r="O82" s="18" t="n">
        <v>0</v>
      </c>
      <c r="P82" s="20" t="n">
        <v>0</v>
      </c>
      <c r="Q82" s="18" t="n">
        <v>0</v>
      </c>
      <c r="R82" s="20" t="n">
        <v>0</v>
      </c>
      <c r="S82" s="18" t="n">
        <v>7.06030948</v>
      </c>
      <c r="T82" s="20" t="n">
        <v>0.85265094</v>
      </c>
    </row>
    <row r="83" spans="1:20">
      <c r="A83" s="15" t="s">
        <v>643</v>
      </c>
      <c r="B83" s="17" t="n">
        <v>808</v>
      </c>
      <c r="C83" s="18">
        <f>(722.0/B83*100)</f>
        <v/>
      </c>
      <c r="D83" s="19" t="n">
        <v>86</v>
      </c>
      <c r="E83" s="18" t="n">
        <v>41.88201497</v>
      </c>
      <c r="F83" s="20" t="n">
        <v>5.19466145</v>
      </c>
      <c r="G83" s="18" t="n">
        <v>23.05539251</v>
      </c>
      <c r="H83" s="20" t="n">
        <v>4.92455556</v>
      </c>
      <c r="I83" s="18" t="n">
        <v>33.9993308</v>
      </c>
      <c r="J83" s="20" t="n">
        <v>4.55758846</v>
      </c>
      <c r="K83" s="18" t="n">
        <v>0</v>
      </c>
      <c r="L83" s="20" t="n">
        <v>0</v>
      </c>
      <c r="M83" s="18" t="n">
        <v>0</v>
      </c>
      <c r="N83" s="20" t="n">
        <v>0</v>
      </c>
      <c r="O83" s="18" t="n">
        <v>0</v>
      </c>
      <c r="P83" s="20" t="n">
        <v>0</v>
      </c>
      <c r="Q83" s="18" t="n">
        <v>0</v>
      </c>
      <c r="R83" s="20" t="n">
        <v>0</v>
      </c>
      <c r="S83" s="18" t="n">
        <v>1.06326172</v>
      </c>
      <c r="T83" s="20" t="n">
        <v>1.02691926</v>
      </c>
    </row>
    <row r="84" spans="1:20">
      <c r="A84" s="23" t="s">
        <v>644</v>
      </c>
      <c r="B84" s="24" t="n">
        <v>938</v>
      </c>
      <c r="C84" s="25">
        <f>(842.0/B84*100)</f>
        <v/>
      </c>
      <c r="D84" s="19" t="n">
        <v>96</v>
      </c>
      <c r="E84" s="18" t="n">
        <v>44.96689074</v>
      </c>
      <c r="F84" s="20" t="n">
        <v>4.09123805</v>
      </c>
      <c r="G84" s="18" t="n">
        <v>18.61580017</v>
      </c>
      <c r="H84" s="20" t="n">
        <v>4.5829542</v>
      </c>
      <c r="I84" s="18" t="n">
        <v>34.09057744</v>
      </c>
      <c r="J84" s="20" t="n">
        <v>4.86739293</v>
      </c>
      <c r="K84" s="18" t="n">
        <v>0</v>
      </c>
      <c r="L84" s="20" t="n">
        <v>0</v>
      </c>
      <c r="M84" s="18" t="n">
        <v>0</v>
      </c>
      <c r="N84" s="20" t="n">
        <v>0</v>
      </c>
      <c r="O84" s="18" t="n">
        <v>0</v>
      </c>
      <c r="P84" s="20" t="n">
        <v>0</v>
      </c>
      <c r="Q84" s="18" t="n">
        <v>0</v>
      </c>
      <c r="R84" s="20" t="n">
        <v>0</v>
      </c>
      <c r="S84" s="18" t="n">
        <v>2.32673165</v>
      </c>
      <c r="T84" s="20" t="n">
        <v>1.73603705</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(6351.0/B7*100)</f>
        <v/>
      </c>
      <c r="D7" s="19" t="n">
        <v>812</v>
      </c>
      <c r="E7" s="18" t="n">
        <v>42.69569922</v>
      </c>
      <c r="F7" s="20" t="n">
        <v>2.07366855</v>
      </c>
      <c r="G7" s="18" t="n">
        <v>56.81977723</v>
      </c>
      <c r="H7" s="20" t="n">
        <v>2.1105393</v>
      </c>
      <c r="I7" s="18" t="n">
        <v>0</v>
      </c>
      <c r="J7" s="20" t="n">
        <v>0</v>
      </c>
      <c r="K7" s="18" t="n">
        <v>0.14747181</v>
      </c>
      <c r="L7" s="20" t="n">
        <v>0.08683471</v>
      </c>
      <c r="M7" s="18" t="n">
        <v>0</v>
      </c>
      <c r="N7" s="20" t="n">
        <v>0</v>
      </c>
      <c r="O7" s="18" t="n">
        <v>0</v>
      </c>
      <c r="P7" s="20" t="n">
        <v>0</v>
      </c>
      <c r="Q7" s="18" t="n">
        <v>0.33705174</v>
      </c>
      <c r="R7" s="20" t="n">
        <v>0.2372327</v>
      </c>
    </row>
    <row r="8" spans="1:18">
      <c r="A8" s="15" t="s">
        <v>566</v>
      </c>
      <c r="B8" s="17" t="n">
        <v>3443</v>
      </c>
      <c r="C8" s="18">
        <f>(3061.0/B8*100)</f>
        <v/>
      </c>
      <c r="D8" s="19" t="n">
        <v>382</v>
      </c>
      <c r="E8" s="18" t="n">
        <v>42.21243673</v>
      </c>
      <c r="F8" s="20" t="n">
        <v>2.69132549</v>
      </c>
      <c r="G8" s="18" t="n">
        <v>56.89780038</v>
      </c>
      <c r="H8" s="20" t="n">
        <v>2.58916186</v>
      </c>
      <c r="I8" s="18" t="n">
        <v>0</v>
      </c>
      <c r="J8" s="20" t="n">
        <v>0</v>
      </c>
      <c r="K8" s="18" t="n">
        <v>0</v>
      </c>
      <c r="L8" s="20" t="n">
        <v>0</v>
      </c>
      <c r="M8" s="18" t="n">
        <v>0</v>
      </c>
      <c r="N8" s="20" t="n">
        <v>0</v>
      </c>
      <c r="O8" s="18" t="n">
        <v>0</v>
      </c>
      <c r="P8" s="20" t="n">
        <v>0</v>
      </c>
      <c r="Q8" s="18" t="n">
        <v>0.88976289</v>
      </c>
      <c r="R8" s="20" t="n">
        <v>0.55920364</v>
      </c>
    </row>
    <row r="9" spans="1:18">
      <c r="A9" s="15" t="s">
        <v>567</v>
      </c>
      <c r="B9" s="17" t="n">
        <v>4752</v>
      </c>
      <c r="C9" s="18">
        <f>(4259.0/B9*100)</f>
        <v/>
      </c>
      <c r="D9" s="19" t="n">
        <v>493</v>
      </c>
      <c r="E9" s="18" t="n">
        <v>54.66156464</v>
      </c>
      <c r="F9" s="20" t="n">
        <v>2.27657251</v>
      </c>
      <c r="G9" s="18" t="n">
        <v>44.31458418</v>
      </c>
      <c r="H9" s="20" t="n">
        <v>2.3100802</v>
      </c>
      <c r="I9" s="18" t="n">
        <v>0</v>
      </c>
      <c r="J9" s="20" t="n">
        <v>0</v>
      </c>
      <c r="K9" s="18" t="n">
        <v>0.18498337</v>
      </c>
      <c r="L9" s="20" t="n">
        <v>0.18599096</v>
      </c>
      <c r="M9" s="18" t="n">
        <v>0</v>
      </c>
      <c r="N9" s="20" t="n">
        <v>0</v>
      </c>
      <c r="O9" s="18" t="n">
        <v>0</v>
      </c>
      <c r="P9" s="20" t="n">
        <v>0</v>
      </c>
      <c r="Q9" s="18" t="n">
        <v>0.83886781</v>
      </c>
      <c r="R9" s="20" t="n">
        <v>0.40877248</v>
      </c>
    </row>
    <row r="10" spans="1:18">
      <c r="A10" s="15" t="s">
        <v>568</v>
      </c>
      <c r="B10" s="17" t="n">
        <v>10022</v>
      </c>
      <c r="C10" s="18">
        <f>(8924.0/B10*100)</f>
        <v/>
      </c>
      <c r="D10" s="19" t="n">
        <v>1098</v>
      </c>
      <c r="E10" s="18" t="n">
        <v>50.60276582</v>
      </c>
      <c r="F10" s="20" t="n">
        <v>2.15571139</v>
      </c>
      <c r="G10" s="18" t="n">
        <v>48.07029957</v>
      </c>
      <c r="H10" s="20" t="n">
        <v>2.14882149</v>
      </c>
      <c r="I10" s="18" t="n">
        <v>0</v>
      </c>
      <c r="J10" s="20" t="n">
        <v>0</v>
      </c>
      <c r="K10" s="18" t="n">
        <v>0.56320116</v>
      </c>
      <c r="L10" s="20" t="n">
        <v>0.31027585</v>
      </c>
      <c r="M10" s="18" t="n">
        <v>0</v>
      </c>
      <c r="N10" s="20" t="n">
        <v>0</v>
      </c>
      <c r="O10" s="18" t="n">
        <v>0</v>
      </c>
      <c r="P10" s="20" t="n">
        <v>0</v>
      </c>
      <c r="Q10" s="18" t="n">
        <v>0.76373345</v>
      </c>
      <c r="R10" s="20" t="n">
        <v>0.36182631</v>
      </c>
    </row>
    <row r="11" spans="1:18">
      <c r="A11" s="15" t="s">
        <v>569</v>
      </c>
      <c r="B11" s="17" t="n">
        <v>3500</v>
      </c>
      <c r="C11" s="18">
        <f>(3137.0/B11*100)</f>
        <v/>
      </c>
      <c r="D11" s="19" t="n">
        <v>363</v>
      </c>
      <c r="E11" s="18" t="n">
        <v>57.36148727</v>
      </c>
      <c r="F11" s="20" t="n">
        <v>3.30118005</v>
      </c>
      <c r="G11" s="18" t="n">
        <v>40.0355432</v>
      </c>
      <c r="H11" s="20" t="n">
        <v>3.50930587</v>
      </c>
      <c r="I11" s="18" t="n">
        <v>0</v>
      </c>
      <c r="J11" s="20" t="n">
        <v>0</v>
      </c>
      <c r="K11" s="18" t="n">
        <v>0.27046815</v>
      </c>
      <c r="L11" s="20" t="n">
        <v>0.26864555</v>
      </c>
      <c r="M11" s="18" t="n">
        <v>0</v>
      </c>
      <c r="N11" s="20" t="n">
        <v>0</v>
      </c>
      <c r="O11" s="18" t="n">
        <v>0</v>
      </c>
      <c r="P11" s="20" t="n">
        <v>0</v>
      </c>
      <c r="Q11" s="18" t="n">
        <v>2.33250138</v>
      </c>
      <c r="R11" s="20" t="n">
        <v>0.9030477099999999</v>
      </c>
    </row>
    <row r="12" spans="1:18">
      <c r="A12" s="15" t="s">
        <v>570</v>
      </c>
      <c r="B12" s="17" t="n">
        <v>3422</v>
      </c>
      <c r="C12" s="18">
        <f>(3066.0/B12*100)</f>
        <v/>
      </c>
      <c r="D12" s="19" t="n">
        <v>356</v>
      </c>
      <c r="E12" s="18" t="n">
        <v>45.65797474</v>
      </c>
      <c r="F12" s="20" t="n">
        <v>2.71856449</v>
      </c>
      <c r="G12" s="18" t="n">
        <v>54.05517569</v>
      </c>
      <c r="H12" s="20" t="n">
        <v>2.73324176</v>
      </c>
      <c r="I12" s="18" t="n">
        <v>0</v>
      </c>
      <c r="J12" s="20" t="n">
        <v>0</v>
      </c>
      <c r="K12" s="18" t="n">
        <v>0.16236002</v>
      </c>
      <c r="L12" s="20" t="n">
        <v>0.1577751</v>
      </c>
      <c r="M12" s="18" t="n">
        <v>0</v>
      </c>
      <c r="N12" s="20" t="n">
        <v>0</v>
      </c>
      <c r="O12" s="18" t="n">
        <v>0</v>
      </c>
      <c r="P12" s="20" t="n">
        <v>0</v>
      </c>
      <c r="Q12" s="18" t="n">
        <v>0.12448955</v>
      </c>
      <c r="R12" s="20" t="n">
        <v>0.12452048</v>
      </c>
    </row>
    <row r="13" spans="1:18">
      <c r="A13" s="15" t="s">
        <v>571</v>
      </c>
      <c r="B13" s="17" t="n">
        <v>3602</v>
      </c>
      <c r="C13" s="18">
        <f>(3195.0/B13*100)</f>
        <v/>
      </c>
      <c r="D13" s="19" t="n">
        <v>407</v>
      </c>
      <c r="E13" s="18" t="n">
        <v>51.02235835</v>
      </c>
      <c r="F13" s="20" t="n">
        <v>3.20192749</v>
      </c>
      <c r="G13" s="18" t="n">
        <v>47.148868</v>
      </c>
      <c r="H13" s="20" t="n">
        <v>3.06599956</v>
      </c>
      <c r="I13" s="18" t="n">
        <v>0</v>
      </c>
      <c r="J13" s="20" t="n">
        <v>0</v>
      </c>
      <c r="K13" s="18" t="n">
        <v>0.91100424</v>
      </c>
      <c r="L13" s="20" t="n">
        <v>0.61321061</v>
      </c>
      <c r="M13" s="18" t="n">
        <v>0</v>
      </c>
      <c r="N13" s="20" t="n">
        <v>0</v>
      </c>
      <c r="O13" s="18" t="n">
        <v>0</v>
      </c>
      <c r="P13" s="20" t="n">
        <v>0</v>
      </c>
      <c r="Q13" s="18" t="n">
        <v>0.9177694</v>
      </c>
      <c r="R13" s="20" t="n">
        <v>0.58165418</v>
      </c>
    </row>
    <row r="14" spans="1:18">
      <c r="A14" s="15" t="s">
        <v>572</v>
      </c>
      <c r="B14" s="17" t="n">
        <v>2788</v>
      </c>
      <c r="C14" s="18">
        <f>(2496.0/B14*100)</f>
        <v/>
      </c>
      <c r="D14" s="19" t="n">
        <v>292</v>
      </c>
      <c r="E14" s="18" t="n">
        <v>31.97862794</v>
      </c>
      <c r="F14" s="20" t="n">
        <v>2.47051545</v>
      </c>
      <c r="G14" s="18" t="n">
        <v>67.75756844</v>
      </c>
      <c r="H14" s="20" t="n">
        <v>2.46340685</v>
      </c>
      <c r="I14" s="18" t="n">
        <v>0</v>
      </c>
      <c r="J14" s="20" t="n">
        <v>0</v>
      </c>
      <c r="K14" s="18" t="n">
        <v>0.26380363</v>
      </c>
      <c r="L14" s="20" t="n">
        <v>0.27107409</v>
      </c>
      <c r="M14" s="18" t="n">
        <v>0</v>
      </c>
      <c r="N14" s="20" t="n">
        <v>0</v>
      </c>
      <c r="O14" s="18" t="n">
        <v>0</v>
      </c>
      <c r="P14" s="20" t="n">
        <v>0</v>
      </c>
      <c r="Q14" s="18" t="n">
        <v>0</v>
      </c>
      <c r="R14" s="20" t="n">
        <v>0</v>
      </c>
    </row>
    <row r="15" spans="1:18">
      <c r="A15" s="15" t="s">
        <v>573</v>
      </c>
      <c r="B15" s="17" t="n">
        <v>2863</v>
      </c>
      <c r="C15" s="18">
        <f>(2526.0/B15*100)</f>
        <v/>
      </c>
      <c r="D15" s="19" t="n">
        <v>337</v>
      </c>
      <c r="E15" s="18" t="n">
        <v>45.88121742</v>
      </c>
      <c r="F15" s="20" t="n">
        <v>2.75997266</v>
      </c>
      <c r="G15" s="18" t="n">
        <v>54.11878258</v>
      </c>
      <c r="H15" s="20" t="n">
        <v>2.75997266</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(2772.0/B16*100)</f>
        <v/>
      </c>
      <c r="D16" s="19" t="n">
        <v>339</v>
      </c>
      <c r="E16" s="18" t="n">
        <v>0</v>
      </c>
      <c r="F16" s="20" t="n">
        <v>0</v>
      </c>
      <c r="G16" s="18" t="n">
        <v>0</v>
      </c>
      <c r="H16" s="20" t="n">
        <v>0</v>
      </c>
      <c r="I16" s="18" t="n">
        <v>0</v>
      </c>
      <c r="J16" s="20" t="n">
        <v>0</v>
      </c>
      <c r="K16" s="18" t="n">
        <v>0</v>
      </c>
      <c r="L16" s="20" t="n">
        <v>0</v>
      </c>
      <c r="M16" s="18" t="n">
        <v>100</v>
      </c>
      <c r="N16" s="20" t="n">
        <v>0</v>
      </c>
      <c r="O16" s="18" t="n">
        <v>0</v>
      </c>
      <c r="P16" s="20" t="n">
        <v>0</v>
      </c>
      <c r="Q16" s="18" t="n">
        <v>0</v>
      </c>
      <c r="R16" s="20" t="n">
        <v>0</v>
      </c>
    </row>
    <row r="17" spans="1:18">
      <c r="A17" s="15" t="s">
        <v>575</v>
      </c>
      <c r="B17" s="17" t="n">
        <v>3197</v>
      </c>
      <c r="C17" s="18">
        <f>(2836.0/B17*100)</f>
        <v/>
      </c>
      <c r="D17" s="19" t="n">
        <v>361</v>
      </c>
      <c r="E17" s="18" t="n">
        <v>49.18861968</v>
      </c>
      <c r="F17" s="20" t="n">
        <v>2.92738936</v>
      </c>
      <c r="G17" s="18" t="n">
        <v>50.46952028</v>
      </c>
      <c r="H17" s="20" t="n">
        <v>2.89518336</v>
      </c>
      <c r="I17" s="18" t="n">
        <v>0</v>
      </c>
      <c r="J17" s="20" t="n">
        <v>0</v>
      </c>
      <c r="K17" s="18" t="n">
        <v>0.34186004</v>
      </c>
      <c r="L17" s="20" t="n">
        <v>0.3467547</v>
      </c>
      <c r="M17" s="18" t="n">
        <v>0</v>
      </c>
      <c r="N17" s="20" t="n">
        <v>0</v>
      </c>
      <c r="O17" s="18" t="n">
        <v>0</v>
      </c>
      <c r="P17" s="20" t="n">
        <v>0</v>
      </c>
      <c r="Q17" s="18" t="n">
        <v>0</v>
      </c>
      <c r="R17" s="20" t="n">
        <v>0</v>
      </c>
    </row>
    <row r="18" spans="1:18">
      <c r="A18" s="15" t="s">
        <v>576</v>
      </c>
      <c r="B18" s="17" t="n">
        <v>2706</v>
      </c>
      <c r="C18" s="18">
        <f>(2410.0/B18*100)</f>
        <v/>
      </c>
      <c r="D18" s="19" t="n">
        <v>296</v>
      </c>
      <c r="E18" s="18" t="n">
        <v>50.21003393</v>
      </c>
      <c r="F18" s="20" t="n">
        <v>3.01660735</v>
      </c>
      <c r="G18" s="18" t="n">
        <v>46.36349316</v>
      </c>
      <c r="H18" s="20" t="n">
        <v>2.93378172</v>
      </c>
      <c r="I18" s="18" t="n">
        <v>0</v>
      </c>
      <c r="J18" s="20" t="n">
        <v>0</v>
      </c>
      <c r="K18" s="18" t="n">
        <v>0.07966863</v>
      </c>
      <c r="L18" s="20" t="n">
        <v>0.08098681000000001</v>
      </c>
      <c r="M18" s="18" t="n">
        <v>0</v>
      </c>
      <c r="N18" s="20" t="n">
        <v>0</v>
      </c>
      <c r="O18" s="18" t="n">
        <v>0</v>
      </c>
      <c r="P18" s="20" t="n">
        <v>0</v>
      </c>
      <c r="Q18" s="18" t="n">
        <v>3.34680428</v>
      </c>
      <c r="R18" s="20" t="n">
        <v>1.51858566</v>
      </c>
    </row>
    <row r="19" spans="1:18">
      <c r="A19" s="15" t="s">
        <v>577</v>
      </c>
      <c r="B19" s="17" t="n">
        <v>2850</v>
      </c>
      <c r="C19" s="18">
        <f>(2544.0/B19*100)</f>
        <v/>
      </c>
      <c r="D19" s="19" t="n">
        <v>306</v>
      </c>
      <c r="E19" s="18" t="n">
        <v>38.65199279</v>
      </c>
      <c r="F19" s="20" t="n">
        <v>2.73515159</v>
      </c>
      <c r="G19" s="18" t="n">
        <v>61.34800721</v>
      </c>
      <c r="H19" s="20" t="n">
        <v>2.73515159</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(1549.0/B20*100)</f>
        <v/>
      </c>
      <c r="D20" s="19" t="n">
        <v>192</v>
      </c>
      <c r="E20" s="18" t="n">
        <v>71.90452019999999</v>
      </c>
      <c r="F20" s="20" t="n">
        <v>3.36355351</v>
      </c>
      <c r="G20" s="18" t="n">
        <v>24.48729344</v>
      </c>
      <c r="H20" s="20" t="n">
        <v>2.96741875</v>
      </c>
      <c r="I20" s="18" t="n">
        <v>0</v>
      </c>
      <c r="J20" s="20" t="n">
        <v>0</v>
      </c>
      <c r="K20" s="18" t="n">
        <v>0.96116687</v>
      </c>
      <c r="L20" s="20" t="n">
        <v>0.66995415</v>
      </c>
      <c r="M20" s="18" t="n">
        <v>0</v>
      </c>
      <c r="N20" s="20" t="n">
        <v>0</v>
      </c>
      <c r="O20" s="18" t="n">
        <v>0</v>
      </c>
      <c r="P20" s="20" t="n">
        <v>0</v>
      </c>
      <c r="Q20" s="18" t="n">
        <v>2.64701949</v>
      </c>
      <c r="R20" s="20" t="n">
        <v>1.20718707</v>
      </c>
    </row>
    <row r="21" spans="1:18">
      <c r="A21" s="15" t="s">
        <v>579</v>
      </c>
      <c r="B21" s="17" t="n">
        <v>2833</v>
      </c>
      <c r="C21" s="18">
        <f>(2500.0/B21*100)</f>
        <v/>
      </c>
      <c r="D21" s="19" t="n">
        <v>333</v>
      </c>
      <c r="E21" s="18" t="n">
        <v>53.1068004</v>
      </c>
      <c r="F21" s="20" t="n">
        <v>2.81803985</v>
      </c>
      <c r="G21" s="18" t="n">
        <v>46.44434531</v>
      </c>
      <c r="H21" s="20" t="n">
        <v>2.76527499</v>
      </c>
      <c r="I21" s="18" t="n">
        <v>0</v>
      </c>
      <c r="J21" s="20" t="n">
        <v>0</v>
      </c>
      <c r="K21" s="18" t="n">
        <v>0</v>
      </c>
      <c r="L21" s="20" t="n">
        <v>0</v>
      </c>
      <c r="M21" s="18" t="n">
        <v>0</v>
      </c>
      <c r="N21" s="20" t="n">
        <v>0</v>
      </c>
      <c r="O21" s="18" t="n">
        <v>0</v>
      </c>
      <c r="P21" s="20" t="n">
        <v>0</v>
      </c>
      <c r="Q21" s="18" t="n">
        <v>0.44885429</v>
      </c>
      <c r="R21" s="20" t="n">
        <v>0.42739987</v>
      </c>
    </row>
    <row r="22" spans="1:18">
      <c r="A22" s="15" t="s">
        <v>580</v>
      </c>
      <c r="B22" s="17" t="n">
        <v>3667</v>
      </c>
      <c r="C22" s="18">
        <f>(3283.0/B22*100)</f>
        <v/>
      </c>
      <c r="D22" s="19" t="n">
        <v>384</v>
      </c>
      <c r="E22" s="18" t="n">
        <v>47.21161043</v>
      </c>
      <c r="F22" s="20" t="n">
        <v>2.73329994</v>
      </c>
      <c r="G22" s="18" t="n">
        <v>48.28681542</v>
      </c>
      <c r="H22" s="20" t="n">
        <v>2.74962935</v>
      </c>
      <c r="I22" s="18" t="n">
        <v>0</v>
      </c>
      <c r="J22" s="20" t="n">
        <v>0</v>
      </c>
      <c r="K22" s="18" t="n">
        <v>1.74952936</v>
      </c>
      <c r="L22" s="20" t="n">
        <v>0.63089126</v>
      </c>
      <c r="M22" s="18" t="n">
        <v>0</v>
      </c>
      <c r="N22" s="20" t="n">
        <v>0</v>
      </c>
      <c r="O22" s="18" t="n">
        <v>0</v>
      </c>
      <c r="P22" s="20" t="n">
        <v>0</v>
      </c>
      <c r="Q22" s="18" t="n">
        <v>2.75204479</v>
      </c>
      <c r="R22" s="20" t="n">
        <v>0.9749363599999999</v>
      </c>
    </row>
    <row r="23" spans="1:18">
      <c r="A23" s="15" t="s">
        <v>581</v>
      </c>
      <c r="B23" s="17" t="n">
        <v>5792</v>
      </c>
      <c r="C23" s="18">
        <f>(5162.0/B23*100)</f>
        <v/>
      </c>
      <c r="D23" s="19" t="n">
        <v>630</v>
      </c>
      <c r="E23" s="18" t="n">
        <v>55.936154</v>
      </c>
      <c r="F23" s="20" t="n">
        <v>2.86620301</v>
      </c>
      <c r="G23" s="18" t="n">
        <v>43.76273483</v>
      </c>
      <c r="H23" s="20" t="n">
        <v>2.86100168</v>
      </c>
      <c r="I23" s="18" t="n">
        <v>0</v>
      </c>
      <c r="J23" s="20" t="n">
        <v>0</v>
      </c>
      <c r="K23" s="18" t="n">
        <v>0.27872368</v>
      </c>
      <c r="L23" s="20" t="n">
        <v>0.28945761</v>
      </c>
      <c r="M23" s="18" t="n">
        <v>0</v>
      </c>
      <c r="N23" s="20" t="n">
        <v>0</v>
      </c>
      <c r="O23" s="18" t="n">
        <v>0</v>
      </c>
      <c r="P23" s="20" t="n">
        <v>0</v>
      </c>
      <c r="Q23" s="18" t="n">
        <v>0.02238749</v>
      </c>
      <c r="R23" s="20" t="n">
        <v>0.0224023</v>
      </c>
    </row>
    <row r="24" spans="1:18">
      <c r="A24" s="15" t="s">
        <v>582</v>
      </c>
      <c r="B24" s="17" t="n">
        <v>3309</v>
      </c>
      <c r="C24" s="18">
        <f>(2944.0/B24*100)</f>
        <v/>
      </c>
      <c r="D24" s="19" t="n">
        <v>365</v>
      </c>
      <c r="E24" s="18" t="n">
        <v>48.64882346</v>
      </c>
      <c r="F24" s="20" t="n">
        <v>2.4210062</v>
      </c>
      <c r="G24" s="18" t="n">
        <v>50.8250966</v>
      </c>
      <c r="H24" s="20" t="n">
        <v>2.43620183</v>
      </c>
      <c r="I24" s="18" t="n">
        <v>0</v>
      </c>
      <c r="J24" s="20" t="n">
        <v>0</v>
      </c>
      <c r="K24" s="18" t="n">
        <v>0</v>
      </c>
      <c r="L24" s="20" t="n">
        <v>0</v>
      </c>
      <c r="M24" s="18" t="n">
        <v>0</v>
      </c>
      <c r="N24" s="20" t="n">
        <v>0</v>
      </c>
      <c r="O24" s="18" t="n">
        <v>0</v>
      </c>
      <c r="P24" s="20" t="n">
        <v>0</v>
      </c>
      <c r="Q24" s="18" t="n">
        <v>0.52607993</v>
      </c>
      <c r="R24" s="20" t="n">
        <v>0.37127564</v>
      </c>
    </row>
    <row r="25" spans="1:18">
      <c r="A25" s="15" t="s">
        <v>583</v>
      </c>
      <c r="B25" s="17" t="n">
        <v>2669</v>
      </c>
      <c r="C25" s="18">
        <f>(2359.0/B25*100)</f>
        <v/>
      </c>
      <c r="D25" s="19" t="n">
        <v>310</v>
      </c>
      <c r="E25" s="18" t="n">
        <v>61.37125436</v>
      </c>
      <c r="F25" s="20" t="n">
        <v>3.44391021</v>
      </c>
      <c r="G25" s="18" t="n">
        <v>37.97787953</v>
      </c>
      <c r="H25" s="20" t="n">
        <v>3.37094912</v>
      </c>
      <c r="I25" s="18" t="n">
        <v>0</v>
      </c>
      <c r="J25" s="20" t="n">
        <v>0</v>
      </c>
      <c r="K25" s="18" t="n">
        <v>0.3178854</v>
      </c>
      <c r="L25" s="20" t="n">
        <v>0.31908965</v>
      </c>
      <c r="M25" s="18" t="n">
        <v>0</v>
      </c>
      <c r="N25" s="20" t="n">
        <v>0</v>
      </c>
      <c r="O25" s="18" t="n">
        <v>0</v>
      </c>
      <c r="P25" s="20" t="n">
        <v>0</v>
      </c>
      <c r="Q25" s="18" t="n">
        <v>0.33298071</v>
      </c>
      <c r="R25" s="20" t="n">
        <v>0.33062849</v>
      </c>
    </row>
    <row r="26" spans="1:18">
      <c r="A26" s="15" t="s">
        <v>584</v>
      </c>
      <c r="B26" s="17" t="n">
        <v>2419</v>
      </c>
      <c r="C26" s="18">
        <f>(2145.0/B26*100)</f>
        <v/>
      </c>
      <c r="D26" s="19" t="n">
        <v>274</v>
      </c>
      <c r="E26" s="18" t="n">
        <v>50.15708704</v>
      </c>
      <c r="F26" s="20" t="n">
        <v>3.32055468</v>
      </c>
      <c r="G26" s="18" t="n">
        <v>49.19525822</v>
      </c>
      <c r="H26" s="20" t="n">
        <v>3.32439703</v>
      </c>
      <c r="I26" s="18" t="n">
        <v>0</v>
      </c>
      <c r="J26" s="20" t="n">
        <v>0</v>
      </c>
      <c r="K26" s="18" t="n">
        <v>0</v>
      </c>
      <c r="L26" s="20" t="n">
        <v>0</v>
      </c>
      <c r="M26" s="18" t="n">
        <v>0</v>
      </c>
      <c r="N26" s="20" t="n">
        <v>0</v>
      </c>
      <c r="O26" s="18" t="n">
        <v>0</v>
      </c>
      <c r="P26" s="20" t="n">
        <v>0</v>
      </c>
      <c r="Q26" s="18" t="n">
        <v>0.6476547499999999</v>
      </c>
      <c r="R26" s="20" t="n">
        <v>0.45314064</v>
      </c>
    </row>
    <row r="27" spans="1:18">
      <c r="A27" s="15" t="s">
        <v>585</v>
      </c>
      <c r="B27" s="17" t="n">
        <v>2683</v>
      </c>
      <c r="C27" s="18">
        <f>(2391.0/B27*100)</f>
        <v/>
      </c>
      <c r="D27" s="19" t="n">
        <v>292</v>
      </c>
      <c r="E27" s="18" t="n">
        <v>53.45525593</v>
      </c>
      <c r="F27" s="20" t="n">
        <v>2.84282797</v>
      </c>
      <c r="G27" s="18" t="n">
        <v>44.8431495</v>
      </c>
      <c r="H27" s="20" t="n">
        <v>3.02573968</v>
      </c>
      <c r="I27" s="18" t="n">
        <v>0</v>
      </c>
      <c r="J27" s="20" t="n">
        <v>0</v>
      </c>
      <c r="K27" s="18" t="n">
        <v>0.32977662</v>
      </c>
      <c r="L27" s="20" t="n">
        <v>0.32998969</v>
      </c>
      <c r="M27" s="18" t="n">
        <v>0</v>
      </c>
      <c r="N27" s="20" t="n">
        <v>0</v>
      </c>
      <c r="O27" s="18" t="n">
        <v>0</v>
      </c>
      <c r="P27" s="20" t="n">
        <v>0</v>
      </c>
      <c r="Q27" s="18" t="n">
        <v>1.37181796</v>
      </c>
      <c r="R27" s="20" t="n">
        <v>0.67708815</v>
      </c>
    </row>
    <row r="28" spans="1:18">
      <c r="A28" s="15" t="s">
        <v>586</v>
      </c>
      <c r="B28" s="17" t="n">
        <v>3803</v>
      </c>
      <c r="C28" s="18">
        <f>(3402.0/B28*100)</f>
        <v/>
      </c>
      <c r="D28" s="19" t="n">
        <v>401</v>
      </c>
      <c r="E28" s="18" t="n">
        <v>51.35427292</v>
      </c>
      <c r="F28" s="20" t="n">
        <v>2.54111374</v>
      </c>
      <c r="G28" s="18" t="n">
        <v>47.42668179</v>
      </c>
      <c r="H28" s="20" t="n">
        <v>2.62091637</v>
      </c>
      <c r="I28" s="18" t="n">
        <v>0</v>
      </c>
      <c r="J28" s="20" t="n">
        <v>0</v>
      </c>
      <c r="K28" s="18" t="n">
        <v>0.70000271</v>
      </c>
      <c r="L28" s="20" t="n">
        <v>0.51202557</v>
      </c>
      <c r="M28" s="18" t="n">
        <v>0</v>
      </c>
      <c r="N28" s="20" t="n">
        <v>0</v>
      </c>
      <c r="O28" s="18" t="n">
        <v>0</v>
      </c>
      <c r="P28" s="20" t="n">
        <v>0</v>
      </c>
      <c r="Q28" s="18" t="n">
        <v>0.51904258</v>
      </c>
      <c r="R28" s="20" t="n">
        <v>0.36864275</v>
      </c>
    </row>
    <row r="29" spans="1:18">
      <c r="A29" s="15" t="s">
        <v>587</v>
      </c>
      <c r="B29" s="17" t="n">
        <v>2700</v>
      </c>
      <c r="C29" s="18">
        <f>(2399.0/B29*100)</f>
        <v/>
      </c>
      <c r="D29" s="19" t="n">
        <v>301</v>
      </c>
      <c r="E29" s="18" t="n">
        <v>48.95518983</v>
      </c>
      <c r="F29" s="20" t="n">
        <v>3.02051417</v>
      </c>
      <c r="G29" s="18" t="n">
        <v>50.77359817</v>
      </c>
      <c r="H29" s="20" t="n">
        <v>2.99429523</v>
      </c>
      <c r="I29" s="18" t="n">
        <v>0</v>
      </c>
      <c r="J29" s="20" t="n">
        <v>0</v>
      </c>
      <c r="K29" s="18" t="n">
        <v>0</v>
      </c>
      <c r="L29" s="20" t="n">
        <v>0</v>
      </c>
      <c r="M29" s="18" t="n">
        <v>0</v>
      </c>
      <c r="N29" s="20" t="n">
        <v>0</v>
      </c>
      <c r="O29" s="18" t="n">
        <v>0</v>
      </c>
      <c r="P29" s="20" t="n">
        <v>0</v>
      </c>
      <c r="Q29" s="18" t="n">
        <v>0.271212</v>
      </c>
      <c r="R29" s="20" t="n">
        <v>0.2641274</v>
      </c>
    </row>
    <row r="30" spans="1:18">
      <c r="A30" s="15" t="s">
        <v>588</v>
      </c>
      <c r="B30" s="17" t="n">
        <v>2257</v>
      </c>
      <c r="C30" s="18">
        <f>(2006.0/B30*100)</f>
        <v/>
      </c>
      <c r="D30" s="19" t="n">
        <v>251</v>
      </c>
      <c r="E30" s="18" t="n">
        <v>38.94261285</v>
      </c>
      <c r="F30" s="20" t="n">
        <v>3.46283657</v>
      </c>
      <c r="G30" s="18" t="n">
        <v>57.80059993</v>
      </c>
      <c r="H30" s="20" t="n">
        <v>3.26403433</v>
      </c>
      <c r="I30" s="18" t="n">
        <v>0</v>
      </c>
      <c r="J30" s="20" t="n">
        <v>0</v>
      </c>
      <c r="K30" s="18" t="n">
        <v>0.39018398</v>
      </c>
      <c r="L30" s="20" t="n">
        <v>0.38207482</v>
      </c>
      <c r="M30" s="18" t="n">
        <v>0</v>
      </c>
      <c r="N30" s="20" t="n">
        <v>0</v>
      </c>
      <c r="O30" s="18" t="n">
        <v>0</v>
      </c>
      <c r="P30" s="20" t="n">
        <v>0</v>
      </c>
      <c r="Q30" s="18" t="n">
        <v>2.86660324</v>
      </c>
      <c r="R30" s="20" t="n">
        <v>1.18436123</v>
      </c>
    </row>
    <row r="31" spans="1:18">
      <c r="A31" s="15" t="s">
        <v>589</v>
      </c>
      <c r="B31" s="17" t="n">
        <v>2706</v>
      </c>
      <c r="C31" s="18">
        <f>(2403.0/B31*100)</f>
        <v/>
      </c>
      <c r="D31" s="19" t="n">
        <v>303</v>
      </c>
      <c r="E31" s="18" t="n">
        <v>49.39897104</v>
      </c>
      <c r="F31" s="20" t="n">
        <v>2.75212101</v>
      </c>
      <c r="G31" s="18" t="n">
        <v>49.24424727</v>
      </c>
      <c r="H31" s="20" t="n">
        <v>2.47846051</v>
      </c>
      <c r="I31" s="18" t="n">
        <v>0</v>
      </c>
      <c r="J31" s="20" t="n">
        <v>0</v>
      </c>
      <c r="K31" s="18" t="n">
        <v>0</v>
      </c>
      <c r="L31" s="20" t="n">
        <v>0</v>
      </c>
      <c r="M31" s="18" t="n">
        <v>0</v>
      </c>
      <c r="N31" s="20" t="n">
        <v>0</v>
      </c>
      <c r="O31" s="18" t="n">
        <v>0</v>
      </c>
      <c r="P31" s="20" t="n">
        <v>0</v>
      </c>
      <c r="Q31" s="18" t="n">
        <v>1.35678169</v>
      </c>
      <c r="R31" s="20" t="n">
        <v>0.8302546</v>
      </c>
    </row>
    <row r="32" spans="1:18">
      <c r="A32" s="15" t="s">
        <v>590</v>
      </c>
      <c r="B32" s="17" t="n">
        <v>2209</v>
      </c>
      <c r="C32" s="18">
        <f>(1963.0/B32*100)</f>
        <v/>
      </c>
      <c r="D32" s="19" t="n">
        <v>246</v>
      </c>
      <c r="E32" s="18" t="n">
        <v>41.20184689</v>
      </c>
      <c r="F32" s="20" t="n">
        <v>3.10303204</v>
      </c>
      <c r="G32" s="18" t="n">
        <v>58.79815311</v>
      </c>
      <c r="H32" s="20" t="n">
        <v>3.10303204</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(3262.0/B33*100)</f>
        <v/>
      </c>
      <c r="D33" s="19" t="n">
        <v>389</v>
      </c>
      <c r="E33" s="18" t="n">
        <v>50.73604905</v>
      </c>
      <c r="F33" s="20" t="n">
        <v>2.67406096</v>
      </c>
      <c r="G33" s="18" t="n">
        <v>47.9481703</v>
      </c>
      <c r="H33" s="20" t="n">
        <v>2.66860547</v>
      </c>
      <c r="I33" s="18" t="n">
        <v>0</v>
      </c>
      <c r="J33" s="20" t="n">
        <v>0</v>
      </c>
      <c r="K33" s="18" t="n">
        <v>0</v>
      </c>
      <c r="L33" s="20" t="n">
        <v>0</v>
      </c>
      <c r="M33" s="18" t="n">
        <v>0</v>
      </c>
      <c r="N33" s="20" t="n">
        <v>0</v>
      </c>
      <c r="O33" s="18" t="n">
        <v>0</v>
      </c>
      <c r="P33" s="20" t="n">
        <v>0</v>
      </c>
      <c r="Q33" s="18" t="n">
        <v>1.31578065</v>
      </c>
      <c r="R33" s="20" t="n">
        <v>0.62553263</v>
      </c>
    </row>
    <row r="34" spans="1:18">
      <c r="A34" s="15" t="s">
        <v>592</v>
      </c>
      <c r="B34" s="17" t="n">
        <v>3035</v>
      </c>
      <c r="C34" s="18">
        <f>(2730.0/B34*100)</f>
        <v/>
      </c>
      <c r="D34" s="19" t="n">
        <v>305</v>
      </c>
      <c r="E34" s="18" t="n">
        <v>45.9591727</v>
      </c>
      <c r="F34" s="20" t="n">
        <v>2.48281354</v>
      </c>
      <c r="G34" s="18" t="n">
        <v>53.20964793</v>
      </c>
      <c r="H34" s="20" t="n">
        <v>2.46271743</v>
      </c>
      <c r="I34" s="18" t="n">
        <v>0</v>
      </c>
      <c r="J34" s="20" t="n">
        <v>0</v>
      </c>
      <c r="K34" s="18" t="n">
        <v>0</v>
      </c>
      <c r="L34" s="20" t="n">
        <v>0</v>
      </c>
      <c r="M34" s="18" t="n">
        <v>0</v>
      </c>
      <c r="N34" s="20" t="n">
        <v>0</v>
      </c>
      <c r="O34" s="18" t="n">
        <v>0</v>
      </c>
      <c r="P34" s="20" t="n">
        <v>0</v>
      </c>
      <c r="Q34" s="18" t="n">
        <v>0.83117938</v>
      </c>
      <c r="R34" s="20" t="n">
        <v>0.44181104</v>
      </c>
    </row>
    <row r="35" spans="1:18">
      <c r="A35" s="15" t="s">
        <v>593</v>
      </c>
      <c r="B35" s="17" t="n">
        <v>2901</v>
      </c>
      <c r="C35" s="18">
        <f>(2593.0/B35*100)</f>
        <v/>
      </c>
      <c r="D35" s="19" t="n">
        <v>308</v>
      </c>
      <c r="E35" s="18" t="n">
        <v>34.7752474</v>
      </c>
      <c r="F35" s="20" t="n">
        <v>3.03755073</v>
      </c>
      <c r="G35" s="18" t="n">
        <v>64.73659649</v>
      </c>
      <c r="H35" s="20" t="n">
        <v>3.04638825</v>
      </c>
      <c r="I35" s="18" t="n">
        <v>0</v>
      </c>
      <c r="J35" s="20" t="n">
        <v>0</v>
      </c>
      <c r="K35" s="18" t="n">
        <v>0</v>
      </c>
      <c r="L35" s="20" t="n">
        <v>0</v>
      </c>
      <c r="M35" s="18" t="n">
        <v>0</v>
      </c>
      <c r="N35" s="20" t="n">
        <v>0</v>
      </c>
      <c r="O35" s="18" t="n">
        <v>0</v>
      </c>
      <c r="P35" s="20" t="n">
        <v>0</v>
      </c>
      <c r="Q35" s="18" t="n">
        <v>0.48815612</v>
      </c>
      <c r="R35" s="20" t="n">
        <v>0.30749944</v>
      </c>
    </row>
    <row r="36" spans="1:18">
      <c r="A36" s="15" t="s">
        <v>594</v>
      </c>
      <c r="B36" s="17" t="n">
        <v>3404</v>
      </c>
      <c r="C36" s="18">
        <f>(3025.0/B36*100)</f>
        <v/>
      </c>
      <c r="D36" s="19" t="n">
        <v>379</v>
      </c>
      <c r="E36" s="18" t="n">
        <v>45.63087167</v>
      </c>
      <c r="F36" s="20" t="n">
        <v>2.88872445</v>
      </c>
      <c r="G36" s="18" t="n">
        <v>53.6070335</v>
      </c>
      <c r="H36" s="20" t="n">
        <v>2.94397494</v>
      </c>
      <c r="I36" s="18" t="n">
        <v>0</v>
      </c>
      <c r="J36" s="20" t="n">
        <v>0</v>
      </c>
      <c r="K36" s="18" t="n">
        <v>0</v>
      </c>
      <c r="L36" s="20" t="n">
        <v>0</v>
      </c>
      <c r="M36" s="18" t="n">
        <v>0</v>
      </c>
      <c r="N36" s="20" t="n">
        <v>0</v>
      </c>
      <c r="O36" s="18" t="n">
        <v>0</v>
      </c>
      <c r="P36" s="20" t="n">
        <v>0</v>
      </c>
      <c r="Q36" s="18" t="n">
        <v>0.76209483</v>
      </c>
      <c r="R36" s="20" t="n">
        <v>0.4343564</v>
      </c>
    </row>
    <row r="37" spans="1:18">
      <c r="A37" s="15" t="s">
        <v>595</v>
      </c>
      <c r="B37" s="17" t="n">
        <v>2731</v>
      </c>
      <c r="C37" s="18">
        <f>(2447.0/B37*100)</f>
        <v/>
      </c>
      <c r="D37" s="19" t="n">
        <v>284</v>
      </c>
      <c r="E37" s="18" t="n">
        <v>53.8863338</v>
      </c>
      <c r="F37" s="20" t="n">
        <v>3.20636073</v>
      </c>
      <c r="G37" s="18" t="n">
        <v>43.69291021</v>
      </c>
      <c r="H37" s="20" t="n">
        <v>3.08162675</v>
      </c>
      <c r="I37" s="18" t="n">
        <v>0</v>
      </c>
      <c r="J37" s="20" t="n">
        <v>0</v>
      </c>
      <c r="K37" s="18" t="n">
        <v>0.39515153</v>
      </c>
      <c r="L37" s="20" t="n">
        <v>0.39265707</v>
      </c>
      <c r="M37" s="18" t="n">
        <v>0</v>
      </c>
      <c r="N37" s="20" t="n">
        <v>0</v>
      </c>
      <c r="O37" s="18" t="n">
        <v>0</v>
      </c>
      <c r="P37" s="20" t="n">
        <v>0</v>
      </c>
      <c r="Q37" s="18" t="n">
        <v>2.02560446</v>
      </c>
      <c r="R37" s="20" t="n">
        <v>0.83029053</v>
      </c>
    </row>
    <row r="38" spans="1:18">
      <c r="A38" s="15" t="s">
        <v>596</v>
      </c>
      <c r="B38" s="17" t="n">
        <v>2807</v>
      </c>
      <c r="C38" s="18">
        <f>(2510.0/B38*100)</f>
        <v/>
      </c>
      <c r="D38" s="19" t="n">
        <v>297</v>
      </c>
      <c r="E38" s="18" t="n">
        <v>50.60333565</v>
      </c>
      <c r="F38" s="20" t="n">
        <v>3.07045506</v>
      </c>
      <c r="G38" s="18" t="n">
        <v>48.21638173</v>
      </c>
      <c r="H38" s="20" t="n">
        <v>2.96516287</v>
      </c>
      <c r="I38" s="18" t="n">
        <v>0</v>
      </c>
      <c r="J38" s="20" t="n">
        <v>0</v>
      </c>
      <c r="K38" s="18" t="n">
        <v>0</v>
      </c>
      <c r="L38" s="20" t="n">
        <v>0</v>
      </c>
      <c r="M38" s="18" t="n">
        <v>0</v>
      </c>
      <c r="N38" s="20" t="n">
        <v>0</v>
      </c>
      <c r="O38" s="18" t="n">
        <v>0</v>
      </c>
      <c r="P38" s="20" t="n">
        <v>0</v>
      </c>
      <c r="Q38" s="18" t="n">
        <v>1.18028262</v>
      </c>
      <c r="R38" s="20" t="n">
        <v>0.56023955</v>
      </c>
    </row>
    <row r="39" spans="1:18">
      <c r="A39" s="15" t="s">
        <v>597</v>
      </c>
      <c r="B39" s="17" t="n">
        <v>2938</v>
      </c>
      <c r="C39" s="18">
        <f>(2616.0/B39*100)</f>
        <v/>
      </c>
      <c r="D39" s="19" t="n">
        <v>322</v>
      </c>
      <c r="E39" s="18" t="n">
        <v>64.23583635</v>
      </c>
      <c r="F39" s="20" t="n">
        <v>2.6118524</v>
      </c>
      <c r="G39" s="18" t="n">
        <v>35.0831792</v>
      </c>
      <c r="H39" s="20" t="n">
        <v>2.64143964</v>
      </c>
      <c r="I39" s="18" t="n">
        <v>0</v>
      </c>
      <c r="J39" s="20" t="n">
        <v>0</v>
      </c>
      <c r="K39" s="18" t="n">
        <v>0</v>
      </c>
      <c r="L39" s="20" t="n">
        <v>0</v>
      </c>
      <c r="M39" s="18" t="n">
        <v>0</v>
      </c>
      <c r="N39" s="20" t="n">
        <v>0</v>
      </c>
      <c r="O39" s="18" t="n">
        <v>0</v>
      </c>
      <c r="P39" s="20" t="n">
        <v>0</v>
      </c>
      <c r="Q39" s="18" t="n">
        <v>0.68098446</v>
      </c>
      <c r="R39" s="20" t="n">
        <v>0.58867495</v>
      </c>
    </row>
    <row r="40" spans="1:18">
      <c r="A40" s="15" t="s">
        <v>598</v>
      </c>
      <c r="B40" s="17" t="n">
        <v>6922</v>
      </c>
      <c r="C40" s="18">
        <f>(6129.0/B40*100)</f>
        <v/>
      </c>
      <c r="D40" s="19" t="n">
        <v>793</v>
      </c>
      <c r="E40" s="18" t="n">
        <v>37.19053908</v>
      </c>
      <c r="F40" s="20" t="n">
        <v>2.71629736</v>
      </c>
      <c r="G40" s="18" t="n">
        <v>62.11504473</v>
      </c>
      <c r="H40" s="20" t="n">
        <v>2.65985328</v>
      </c>
      <c r="I40" s="18" t="n">
        <v>0</v>
      </c>
      <c r="J40" s="20" t="n">
        <v>0</v>
      </c>
      <c r="K40" s="18" t="n">
        <v>0.06031314</v>
      </c>
      <c r="L40" s="20" t="n">
        <v>0.04163514</v>
      </c>
      <c r="M40" s="18" t="n">
        <v>0</v>
      </c>
      <c r="N40" s="20" t="n">
        <v>0</v>
      </c>
      <c r="O40" s="18" t="n">
        <v>0</v>
      </c>
      <c r="P40" s="20" t="n">
        <v>0</v>
      </c>
      <c r="Q40" s="18" t="n">
        <v>0.63410304</v>
      </c>
      <c r="R40" s="20" t="n">
        <v>0.40906387</v>
      </c>
    </row>
    <row r="41" spans="1:18">
      <c r="A41" s="15" t="s">
        <v>599</v>
      </c>
      <c r="B41" s="17" t="n">
        <v>2854</v>
      </c>
      <c r="C41" s="18">
        <f>(2574.0/B41*100)</f>
        <v/>
      </c>
      <c r="D41" s="19" t="n">
        <v>280</v>
      </c>
      <c r="E41" s="18" t="n">
        <v>46.32773027</v>
      </c>
      <c r="F41" s="20" t="n">
        <v>3.08703148</v>
      </c>
      <c r="G41" s="18" t="n">
        <v>53.67226973</v>
      </c>
      <c r="H41" s="20" t="n">
        <v>3.08703148</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(11023.0/B46*100)</f>
        <v/>
      </c>
      <c r="D46" s="19" t="n">
        <v>1050</v>
      </c>
      <c r="E46" s="18" t="n">
        <v>53.17584706</v>
      </c>
      <c r="F46" s="20" t="n">
        <v>2.0800832</v>
      </c>
      <c r="G46" s="18" t="n">
        <v>43.72728425</v>
      </c>
      <c r="H46" s="20" t="n">
        <v>2.14852089</v>
      </c>
      <c r="I46" s="18" t="n">
        <v>0</v>
      </c>
      <c r="J46" s="20" t="n">
        <v>0</v>
      </c>
      <c r="K46" s="18" t="n">
        <v>1.29045012</v>
      </c>
      <c r="L46" s="20" t="n">
        <v>0.44149501</v>
      </c>
      <c r="M46" s="18" t="n">
        <v>0</v>
      </c>
      <c r="N46" s="20" t="n">
        <v>0</v>
      </c>
      <c r="O46" s="18" t="n">
        <v>0</v>
      </c>
      <c r="P46" s="20" t="n">
        <v>0</v>
      </c>
      <c r="Q46" s="18" t="n">
        <v>1.80641857</v>
      </c>
      <c r="R46" s="20" t="n">
        <v>0.58793696</v>
      </c>
    </row>
    <row r="47" spans="1:18">
      <c r="A47" s="15" t="s">
        <v>606</v>
      </c>
      <c r="B47" s="17" t="n">
        <v>2823</v>
      </c>
      <c r="C47" s="18">
        <f>(2541.0/B47*100)</f>
        <v/>
      </c>
      <c r="D47" s="19" t="n">
        <v>282</v>
      </c>
      <c r="E47" s="18" t="n">
        <v>51.74611893</v>
      </c>
      <c r="F47" s="20" t="n">
        <v>2.76838876</v>
      </c>
      <c r="G47" s="18" t="n">
        <v>46.20377944</v>
      </c>
      <c r="H47" s="20" t="n">
        <v>2.94083176</v>
      </c>
      <c r="I47" s="18" t="n">
        <v>0</v>
      </c>
      <c r="J47" s="20" t="n">
        <v>0</v>
      </c>
      <c r="K47" s="18" t="n">
        <v>0</v>
      </c>
      <c r="L47" s="20" t="n">
        <v>0</v>
      </c>
      <c r="M47" s="18" t="n">
        <v>0</v>
      </c>
      <c r="N47" s="20" t="n">
        <v>0</v>
      </c>
      <c r="O47" s="18" t="n">
        <v>0</v>
      </c>
      <c r="P47" s="20" t="n">
        <v>0</v>
      </c>
      <c r="Q47" s="18" t="n">
        <v>2.05010162</v>
      </c>
      <c r="R47" s="20" t="n">
        <v>0.80869677</v>
      </c>
    </row>
    <row r="48" spans="1:18">
      <c r="A48" s="15" t="s">
        <v>607</v>
      </c>
      <c r="B48" s="17" t="n">
        <v>4682</v>
      </c>
      <c r="C48" s="18">
        <f>(4157.0/B48*100)</f>
        <v/>
      </c>
      <c r="D48" s="19" t="n">
        <v>525</v>
      </c>
      <c r="E48" s="18" t="n">
        <v>53.78896941</v>
      </c>
      <c r="F48" s="20" t="n">
        <v>3.2681574</v>
      </c>
      <c r="G48" s="18" t="n">
        <v>45.36613292</v>
      </c>
      <c r="H48" s="20" t="n">
        <v>3.26602174</v>
      </c>
      <c r="I48" s="18" t="n">
        <v>0</v>
      </c>
      <c r="J48" s="20" t="n">
        <v>0</v>
      </c>
      <c r="K48" s="18" t="n">
        <v>0.58436174</v>
      </c>
      <c r="L48" s="20" t="n">
        <v>0.41601435</v>
      </c>
      <c r="M48" s="18" t="n">
        <v>0</v>
      </c>
      <c r="N48" s="20" t="n">
        <v>0</v>
      </c>
      <c r="O48" s="18" t="n">
        <v>0</v>
      </c>
      <c r="P48" s="20" t="n">
        <v>0</v>
      </c>
      <c r="Q48" s="18" t="n">
        <v>0.26053593</v>
      </c>
      <c r="R48" s="20" t="n">
        <v>0.18597744</v>
      </c>
    </row>
    <row r="49" spans="1:18">
      <c r="A49" s="15" t="s">
        <v>608</v>
      </c>
      <c r="B49" s="17" t="n">
        <v>6158</v>
      </c>
      <c r="C49" s="18">
        <f>(5505.0/B49*100)</f>
        <v/>
      </c>
      <c r="D49" s="19" t="n">
        <v>653</v>
      </c>
      <c r="E49" s="18" t="n">
        <v>51.8396574</v>
      </c>
      <c r="F49" s="20" t="n">
        <v>2.6103073</v>
      </c>
      <c r="G49" s="18" t="n">
        <v>45.40899894</v>
      </c>
      <c r="H49" s="20" t="n">
        <v>2.58496478</v>
      </c>
      <c r="I49" s="18" t="n">
        <v>0</v>
      </c>
      <c r="J49" s="20" t="n">
        <v>0</v>
      </c>
      <c r="K49" s="18" t="n">
        <v>2.3395599</v>
      </c>
      <c r="L49" s="20" t="n">
        <v>0.96545886</v>
      </c>
      <c r="M49" s="18" t="n">
        <v>0</v>
      </c>
      <c r="N49" s="20" t="n">
        <v>0</v>
      </c>
      <c r="O49" s="18" t="n">
        <v>0</v>
      </c>
      <c r="P49" s="20" t="n">
        <v>0</v>
      </c>
      <c r="Q49" s="18" t="n">
        <v>0.41178377</v>
      </c>
      <c r="R49" s="20" t="n">
        <v>0.29195996</v>
      </c>
    </row>
    <row r="50" spans="1:18">
      <c r="A50" s="15" t="s">
        <v>609</v>
      </c>
      <c r="B50" s="17" t="n">
        <v>3494</v>
      </c>
      <c r="C50" s="18">
        <f>(3164.0/B50*100)</f>
        <v/>
      </c>
      <c r="D50" s="19" t="n">
        <v>330</v>
      </c>
      <c r="E50" s="18" t="n">
        <v>65.07354288000001</v>
      </c>
      <c r="F50" s="20" t="n">
        <v>2.90855436</v>
      </c>
      <c r="G50" s="18" t="n">
        <v>33.35340652</v>
      </c>
      <c r="H50" s="20" t="n">
        <v>2.81744595</v>
      </c>
      <c r="I50" s="18" t="n">
        <v>0</v>
      </c>
      <c r="J50" s="20" t="n">
        <v>0</v>
      </c>
      <c r="K50" s="18" t="n">
        <v>0.27696067</v>
      </c>
      <c r="L50" s="20" t="n">
        <v>0.19024415</v>
      </c>
      <c r="M50" s="18" t="n">
        <v>0</v>
      </c>
      <c r="N50" s="20" t="n">
        <v>0</v>
      </c>
      <c r="O50" s="18" t="n">
        <v>0</v>
      </c>
      <c r="P50" s="20" t="n">
        <v>0</v>
      </c>
      <c r="Q50" s="18" t="n">
        <v>1.29608993</v>
      </c>
      <c r="R50" s="20" t="n">
        <v>0.63208205</v>
      </c>
    </row>
    <row r="51" spans="1:18">
      <c r="A51" s="15" t="s">
        <v>610</v>
      </c>
      <c r="B51" s="17" t="n">
        <v>3013</v>
      </c>
      <c r="C51" s="18">
        <f>(2683.0/B51*100)</f>
        <v/>
      </c>
      <c r="D51" s="19" t="n">
        <v>330</v>
      </c>
      <c r="E51" s="18" t="n">
        <v>55.97420043</v>
      </c>
      <c r="F51" s="20" t="n">
        <v>2.7173114</v>
      </c>
      <c r="G51" s="18" t="n">
        <v>43.11441994</v>
      </c>
      <c r="H51" s="20" t="n">
        <v>2.73478145</v>
      </c>
      <c r="I51" s="18" t="n">
        <v>0</v>
      </c>
      <c r="J51" s="20" t="n">
        <v>0</v>
      </c>
      <c r="K51" s="18" t="n">
        <v>0</v>
      </c>
      <c r="L51" s="20" t="n">
        <v>0</v>
      </c>
      <c r="M51" s="18" t="n">
        <v>0</v>
      </c>
      <c r="N51" s="20" t="n">
        <v>0</v>
      </c>
      <c r="O51" s="18" t="n">
        <v>0</v>
      </c>
      <c r="P51" s="20" t="n">
        <v>0</v>
      </c>
      <c r="Q51" s="18" t="n">
        <v>0.91137963</v>
      </c>
      <c r="R51" s="20" t="n">
        <v>0.52118276</v>
      </c>
    </row>
    <row r="52" spans="1:18">
      <c r="A52" s="15" t="s">
        <v>611</v>
      </c>
      <c r="B52" s="17" t="n">
        <v>2760</v>
      </c>
      <c r="C52" s="18">
        <f>(2436.0/B52*100)</f>
        <v/>
      </c>
      <c r="D52" s="19" t="n">
        <v>324</v>
      </c>
      <c r="E52" s="18" t="n">
        <v>50.28619746</v>
      </c>
      <c r="F52" s="20" t="n">
        <v>3.0983672</v>
      </c>
      <c r="G52" s="18" t="n">
        <v>48.74524189</v>
      </c>
      <c r="H52" s="20" t="n">
        <v>3.11478986</v>
      </c>
      <c r="I52" s="18" t="n">
        <v>0</v>
      </c>
      <c r="J52" s="20" t="n">
        <v>0</v>
      </c>
      <c r="K52" s="18" t="n">
        <v>0</v>
      </c>
      <c r="L52" s="20" t="n">
        <v>0</v>
      </c>
      <c r="M52" s="18" t="n">
        <v>0</v>
      </c>
      <c r="N52" s="20" t="n">
        <v>0</v>
      </c>
      <c r="O52" s="18" t="n">
        <v>0</v>
      </c>
      <c r="P52" s="20" t="n">
        <v>0</v>
      </c>
      <c r="Q52" s="18" t="n">
        <v>0.96856065</v>
      </c>
      <c r="R52" s="20" t="n">
        <v>0.48901264</v>
      </c>
    </row>
    <row r="53" spans="1:18">
      <c r="A53" s="15" t="s">
        <v>612</v>
      </c>
      <c r="B53" s="17" t="n">
        <v>2474</v>
      </c>
      <c r="C53" s="18">
        <f>(2206.0/B53*100)</f>
        <v/>
      </c>
      <c r="D53" s="19" t="n">
        <v>268</v>
      </c>
      <c r="E53" s="18" t="n">
        <v>51.14122372</v>
      </c>
      <c r="F53" s="20" t="n">
        <v>3.30988189</v>
      </c>
      <c r="G53" s="18" t="n">
        <v>25.19558638</v>
      </c>
      <c r="H53" s="20" t="n">
        <v>3.0176542</v>
      </c>
      <c r="I53" s="18" t="n">
        <v>0</v>
      </c>
      <c r="J53" s="20" t="n">
        <v>0</v>
      </c>
      <c r="K53" s="18" t="n">
        <v>21.34596893</v>
      </c>
      <c r="L53" s="20" t="n">
        <v>2.5257949</v>
      </c>
      <c r="M53" s="18" t="n">
        <v>0</v>
      </c>
      <c r="N53" s="20" t="n">
        <v>0</v>
      </c>
      <c r="O53" s="18" t="n">
        <v>0</v>
      </c>
      <c r="P53" s="20" t="n">
        <v>0</v>
      </c>
      <c r="Q53" s="18" t="n">
        <v>2.31722097</v>
      </c>
      <c r="R53" s="20" t="n">
        <v>0.91681504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(2381.0/B55*100)</f>
        <v/>
      </c>
      <c r="D55" s="19" t="n">
        <v>294</v>
      </c>
      <c r="E55" s="18" t="n">
        <v>59.59753401</v>
      </c>
      <c r="F55" s="20" t="n">
        <v>2.89623495</v>
      </c>
      <c r="G55" s="18" t="n">
        <v>39.73226771</v>
      </c>
      <c r="H55" s="20" t="n">
        <v>2.84502913</v>
      </c>
      <c r="I55" s="18" t="n">
        <v>0</v>
      </c>
      <c r="J55" s="20" t="n">
        <v>0</v>
      </c>
      <c r="K55" s="18" t="n">
        <v>0.67019828</v>
      </c>
      <c r="L55" s="20" t="n">
        <v>0.65222255</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(2834.0/B61*100)</f>
        <v/>
      </c>
      <c r="D61" s="19" t="n">
        <v>367</v>
      </c>
      <c r="E61" s="18" t="n">
        <v>52.39309417</v>
      </c>
      <c r="F61" s="20" t="n">
        <v>2.30765718</v>
      </c>
      <c r="G61" s="18" t="n">
        <v>47.1790717</v>
      </c>
      <c r="H61" s="20" t="n">
        <v>2.31449363</v>
      </c>
      <c r="I61" s="18" t="n">
        <v>0</v>
      </c>
      <c r="J61" s="20" t="n">
        <v>0</v>
      </c>
      <c r="K61" s="18" t="n">
        <v>0</v>
      </c>
      <c r="L61" s="20" t="n">
        <v>0</v>
      </c>
      <c r="M61" s="18" t="n">
        <v>0</v>
      </c>
      <c r="N61" s="20" t="n">
        <v>0</v>
      </c>
      <c r="O61" s="18" t="n">
        <v>0</v>
      </c>
      <c r="P61" s="20" t="n">
        <v>0</v>
      </c>
      <c r="Q61" s="18" t="n">
        <v>0.42783413</v>
      </c>
      <c r="R61" s="20" t="n">
        <v>0.3098749</v>
      </c>
    </row>
    <row r="62" spans="1:18">
      <c r="A62" s="15" t="s">
        <v>622</v>
      </c>
      <c r="B62" s="17" t="n">
        <v>2230</v>
      </c>
      <c r="C62" s="18">
        <f>(1978.0/B62*100)</f>
        <v/>
      </c>
      <c r="D62" s="19" t="n">
        <v>252</v>
      </c>
      <c r="E62" s="18" t="n">
        <v>62.2134926</v>
      </c>
      <c r="F62" s="20" t="n">
        <v>3.3261268</v>
      </c>
      <c r="G62" s="18" t="n">
        <v>37.7865074</v>
      </c>
      <c r="H62" s="20" t="n">
        <v>3.3261268</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(2482.0/B67*100)</f>
        <v/>
      </c>
      <c r="D67" s="19" t="n">
        <v>289</v>
      </c>
      <c r="E67" s="18" t="n">
        <v>69.77365763</v>
      </c>
      <c r="F67" s="20" t="n">
        <v>3.05847736</v>
      </c>
      <c r="G67" s="18" t="n">
        <v>27.82463796</v>
      </c>
      <c r="H67" s="20" t="n">
        <v>2.83088981</v>
      </c>
      <c r="I67" s="18" t="n">
        <v>0</v>
      </c>
      <c r="J67" s="20" t="n">
        <v>0</v>
      </c>
      <c r="K67" s="18" t="n">
        <v>0.67462859</v>
      </c>
      <c r="L67" s="20" t="n">
        <v>0.47416808</v>
      </c>
      <c r="M67" s="18" t="n">
        <v>0</v>
      </c>
      <c r="N67" s="20" t="n">
        <v>0</v>
      </c>
      <c r="O67" s="18" t="n">
        <v>0</v>
      </c>
      <c r="P67" s="20" t="n">
        <v>0</v>
      </c>
      <c r="Q67" s="18" t="n">
        <v>1.72707582</v>
      </c>
      <c r="R67" s="20" t="n">
        <v>0.77976017</v>
      </c>
    </row>
    <row r="68" spans="1:18">
      <c r="A68" s="15" t="s">
        <v>628</v>
      </c>
      <c r="B68" s="17" t="n">
        <v>3460</v>
      </c>
      <c r="C68" s="18">
        <f>(3142.0/B68*100)</f>
        <v/>
      </c>
      <c r="D68" s="19" t="n">
        <v>318</v>
      </c>
      <c r="E68" s="18" t="n">
        <v>43.86642537</v>
      </c>
      <c r="F68" s="20" t="n">
        <v>2.66808941</v>
      </c>
      <c r="G68" s="18" t="n">
        <v>54.78263901</v>
      </c>
      <c r="H68" s="20" t="n">
        <v>2.73932435</v>
      </c>
      <c r="I68" s="18" t="n">
        <v>0</v>
      </c>
      <c r="J68" s="20" t="n">
        <v>0</v>
      </c>
      <c r="K68" s="18" t="n">
        <v>0.3037891</v>
      </c>
      <c r="L68" s="20" t="n">
        <v>0.33074595</v>
      </c>
      <c r="M68" s="18" t="n">
        <v>0</v>
      </c>
      <c r="N68" s="20" t="n">
        <v>0</v>
      </c>
      <c r="O68" s="18" t="n">
        <v>0</v>
      </c>
      <c r="P68" s="20" t="n">
        <v>0</v>
      </c>
      <c r="Q68" s="18" t="n">
        <v>1.04714651</v>
      </c>
      <c r="R68" s="20" t="n">
        <v>0.52570182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(5359.0/B70*100)</f>
        <v/>
      </c>
      <c r="D70" s="19" t="n">
        <v>675</v>
      </c>
      <c r="E70" s="18" t="n">
        <v>51.13432789</v>
      </c>
      <c r="F70" s="20" t="n">
        <v>2.00956133</v>
      </c>
      <c r="G70" s="18" t="n">
        <v>44.79504005</v>
      </c>
      <c r="H70" s="20" t="n">
        <v>1.99005535</v>
      </c>
      <c r="I70" s="18" t="n">
        <v>0</v>
      </c>
      <c r="J70" s="20" t="n">
        <v>0</v>
      </c>
      <c r="K70" s="18" t="n">
        <v>1.60203909</v>
      </c>
      <c r="L70" s="20" t="n">
        <v>0.53042354</v>
      </c>
      <c r="M70" s="18" t="n">
        <v>0</v>
      </c>
      <c r="N70" s="20" t="n">
        <v>0</v>
      </c>
      <c r="O70" s="18" t="n">
        <v>0</v>
      </c>
      <c r="P70" s="20" t="n">
        <v>0</v>
      </c>
      <c r="Q70" s="18" t="n">
        <v>2.46859297</v>
      </c>
      <c r="R70" s="20" t="n">
        <v>0.59265758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(2775.0/B72*100)</f>
        <v/>
      </c>
      <c r="D72" s="19" t="n">
        <v>332</v>
      </c>
      <c r="E72" s="18" t="n">
        <v>50.39084879</v>
      </c>
      <c r="F72" s="20" t="n">
        <v>2.86665815</v>
      </c>
      <c r="G72" s="18" t="n">
        <v>48.53362183</v>
      </c>
      <c r="H72" s="20" t="n">
        <v>2.93450145</v>
      </c>
      <c r="I72" s="18" t="n">
        <v>0</v>
      </c>
      <c r="J72" s="20" t="n">
        <v>0</v>
      </c>
      <c r="K72" s="18" t="n">
        <v>0</v>
      </c>
      <c r="L72" s="20" t="n">
        <v>0</v>
      </c>
      <c r="M72" s="18" t="n">
        <v>0</v>
      </c>
      <c r="N72" s="20" t="n">
        <v>0</v>
      </c>
      <c r="O72" s="18" t="n">
        <v>0</v>
      </c>
      <c r="P72" s="20" t="n">
        <v>0</v>
      </c>
      <c r="Q72" s="18" t="n">
        <v>1.07552938</v>
      </c>
      <c r="R72" s="20" t="n">
        <v>0.34033552</v>
      </c>
    </row>
    <row r="73" spans="1:18">
      <c r="A73" s="15" t="s">
        <v>633</v>
      </c>
      <c r="B73" s="17" t="n">
        <v>2973</v>
      </c>
      <c r="C73" s="18">
        <f>(2650.0/B73*100)</f>
        <v/>
      </c>
      <c r="D73" s="19" t="n">
        <v>323</v>
      </c>
      <c r="E73" s="18" t="n">
        <v>48.06556505</v>
      </c>
      <c r="F73" s="20" t="n">
        <v>2.39438078</v>
      </c>
      <c r="G73" s="18" t="n">
        <v>51.93443495</v>
      </c>
      <c r="H73" s="20" t="n">
        <v>2.39438078</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(3365.0/B74*100)</f>
        <v/>
      </c>
      <c r="D74" s="19" t="n">
        <v>454</v>
      </c>
      <c r="E74" s="18" t="n">
        <v>61.94435476</v>
      </c>
      <c r="F74" s="20" t="n">
        <v>2.51521383</v>
      </c>
      <c r="G74" s="18" t="n">
        <v>37.59616866</v>
      </c>
      <c r="H74" s="20" t="n">
        <v>2.53022606</v>
      </c>
      <c r="I74" s="18" t="n">
        <v>0</v>
      </c>
      <c r="J74" s="20" t="n">
        <v>0</v>
      </c>
      <c r="K74" s="18" t="n">
        <v>0.24192882</v>
      </c>
      <c r="L74" s="20" t="n">
        <v>0.2425848</v>
      </c>
      <c r="M74" s="18" t="n">
        <v>0</v>
      </c>
      <c r="N74" s="20" t="n">
        <v>0</v>
      </c>
      <c r="O74" s="18" t="n">
        <v>0</v>
      </c>
      <c r="P74" s="20" t="n">
        <v>0</v>
      </c>
      <c r="Q74" s="18" t="n">
        <v>0.21754776</v>
      </c>
      <c r="R74" s="20" t="n">
        <v>0.15665702</v>
      </c>
    </row>
    <row r="75" spans="1:18">
      <c r="A75" s="15" t="s">
        <v>635</v>
      </c>
      <c r="B75" s="17" t="n">
        <v>4652</v>
      </c>
      <c r="C75" s="18">
        <f>(4175.0/B75*100)</f>
        <v/>
      </c>
      <c r="D75" s="19" t="n">
        <v>477</v>
      </c>
      <c r="E75" s="18" t="n">
        <v>70.11051227999999</v>
      </c>
      <c r="F75" s="20" t="n">
        <v>2.79540727</v>
      </c>
      <c r="G75" s="18" t="n">
        <v>29.88948772</v>
      </c>
      <c r="H75" s="20" t="n">
        <v>2.79540727</v>
      </c>
      <c r="I75" s="18" t="n">
        <v>0</v>
      </c>
      <c r="J75" s="20" t="n">
        <v>0</v>
      </c>
      <c r="K75" s="18" t="n">
        <v>0</v>
      </c>
      <c r="L75" s="20" t="n">
        <v>0</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(2683.0/B77*100)</f>
        <v/>
      </c>
      <c r="D77" s="19" t="n">
        <v>286</v>
      </c>
      <c r="E77" s="18" t="n">
        <v>50.228294</v>
      </c>
      <c r="F77" s="20" t="n">
        <v>3.03970105</v>
      </c>
      <c r="G77" s="18" t="n">
        <v>42.36850037</v>
      </c>
      <c r="H77" s="20" t="n">
        <v>3.06945203</v>
      </c>
      <c r="I77" s="18" t="n">
        <v>0</v>
      </c>
      <c r="J77" s="20" t="n">
        <v>0</v>
      </c>
      <c r="K77" s="18" t="n">
        <v>4.74498878</v>
      </c>
      <c r="L77" s="20" t="n">
        <v>1.22297226</v>
      </c>
      <c r="M77" s="18" t="n">
        <v>0</v>
      </c>
      <c r="N77" s="20" t="n">
        <v>0</v>
      </c>
      <c r="O77" s="18" t="n">
        <v>0</v>
      </c>
      <c r="P77" s="20" t="n">
        <v>0</v>
      </c>
      <c r="Q77" s="18" t="n">
        <v>2.65821685</v>
      </c>
      <c r="R77" s="20" t="n">
        <v>1.23705109</v>
      </c>
    </row>
    <row r="78" spans="1:18">
      <c r="A78" s="15" t="s">
        <v>638</v>
      </c>
      <c r="B78" s="17" t="n">
        <v>7115</v>
      </c>
      <c r="C78" s="18">
        <f>(6298.0/B78*100)</f>
        <v/>
      </c>
      <c r="D78" s="19" t="n">
        <v>817</v>
      </c>
      <c r="E78" s="18" t="n">
        <v>44.63371258</v>
      </c>
      <c r="F78" s="20" t="n">
        <v>2.18075522</v>
      </c>
      <c r="G78" s="18" t="n">
        <v>53.56989993</v>
      </c>
      <c r="H78" s="20" t="n">
        <v>2.18420005</v>
      </c>
      <c r="I78" s="18" t="n">
        <v>0</v>
      </c>
      <c r="J78" s="20" t="n">
        <v>0</v>
      </c>
      <c r="K78" s="18" t="n">
        <v>0.96218421</v>
      </c>
      <c r="L78" s="20" t="n">
        <v>0.37244606</v>
      </c>
      <c r="M78" s="18" t="n">
        <v>0</v>
      </c>
      <c r="N78" s="20" t="n">
        <v>0</v>
      </c>
      <c r="O78" s="18" t="n">
        <v>0</v>
      </c>
      <c r="P78" s="20" t="n">
        <v>0</v>
      </c>
      <c r="Q78" s="18" t="n">
        <v>0.83420329</v>
      </c>
      <c r="R78" s="20" t="n">
        <v>0.42776933</v>
      </c>
    </row>
    <row r="79" spans="1:18">
      <c r="A79" s="15" t="s">
        <v>639</v>
      </c>
      <c r="B79" s="17" t="n">
        <v>3154</v>
      </c>
      <c r="C79" s="18">
        <f>(2817.0/B79*100)</f>
        <v/>
      </c>
      <c r="D79" s="19" t="n">
        <v>337</v>
      </c>
      <c r="E79" s="18" t="n">
        <v>54.50008313</v>
      </c>
      <c r="F79" s="20" t="n">
        <v>2.52335328</v>
      </c>
      <c r="G79" s="18" t="n">
        <v>42.25933982</v>
      </c>
      <c r="H79" s="20" t="n">
        <v>2.42417073</v>
      </c>
      <c r="I79" s="18" t="n">
        <v>0</v>
      </c>
      <c r="J79" s="20" t="n">
        <v>0</v>
      </c>
      <c r="K79" s="18" t="n">
        <v>1.41593647</v>
      </c>
      <c r="L79" s="20" t="n">
        <v>0.72249778</v>
      </c>
      <c r="M79" s="18" t="n">
        <v>0</v>
      </c>
      <c r="N79" s="20" t="n">
        <v>0</v>
      </c>
      <c r="O79" s="18" t="n">
        <v>0</v>
      </c>
      <c r="P79" s="20" t="n">
        <v>0</v>
      </c>
      <c r="Q79" s="18" t="n">
        <v>1.82464058</v>
      </c>
      <c r="R79" s="20" t="n">
        <v>0.54713031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(14277.0/B82*100)</f>
        <v/>
      </c>
      <c r="D82" s="19" t="n">
        <v>1684</v>
      </c>
      <c r="E82" s="18" t="n">
        <v>46.73543586</v>
      </c>
      <c r="F82" s="20" t="n">
        <v>1.8485988</v>
      </c>
      <c r="G82" s="18" t="n">
        <v>52.15010518</v>
      </c>
      <c r="H82" s="20" t="n">
        <v>1.86440064</v>
      </c>
      <c r="I82" s="18" t="n">
        <v>0</v>
      </c>
      <c r="J82" s="20" t="n">
        <v>0</v>
      </c>
      <c r="K82" s="18" t="n">
        <v>0.0632958</v>
      </c>
      <c r="L82" s="20" t="n">
        <v>0.0387309</v>
      </c>
      <c r="M82" s="18" t="n">
        <v>0</v>
      </c>
      <c r="N82" s="20" t="n">
        <v>0</v>
      </c>
      <c r="O82" s="18" t="n">
        <v>0</v>
      </c>
      <c r="P82" s="20" t="n">
        <v>0</v>
      </c>
      <c r="Q82" s="18" t="n">
        <v>1.05116317</v>
      </c>
      <c r="R82" s="20" t="n">
        <v>0.33048931</v>
      </c>
    </row>
    <row r="83" spans="1:18">
      <c r="A83" s="15" t="s">
        <v>643</v>
      </c>
      <c r="B83" s="17" t="n">
        <v>808</v>
      </c>
      <c r="C83" s="18">
        <f>(721.0/B83*100)</f>
        <v/>
      </c>
      <c r="D83" s="19" t="n">
        <v>87</v>
      </c>
      <c r="E83" s="18" t="n">
        <v>39.33340666</v>
      </c>
      <c r="F83" s="20" t="n">
        <v>5.27481438</v>
      </c>
      <c r="G83" s="18" t="n">
        <v>60.66659334</v>
      </c>
      <c r="H83" s="20" t="n">
        <v>5.27481438</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(842.0/B84*100)</f>
        <v/>
      </c>
      <c r="D84" s="19" t="n">
        <v>96</v>
      </c>
      <c r="E84" s="18" t="n">
        <v>46.01432055</v>
      </c>
      <c r="F84" s="20" t="n">
        <v>4.87279783</v>
      </c>
      <c r="G84" s="18" t="n">
        <v>53.98567945</v>
      </c>
      <c r="H84" s="20" t="n">
        <v>4.87279783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(6354.0/B7*100)</f>
        <v/>
      </c>
      <c r="D7" s="19" t="n">
        <v>809</v>
      </c>
      <c r="E7" s="18" t="n">
        <v>70.05437098</v>
      </c>
      <c r="F7" s="20" t="n">
        <v>1.93905392</v>
      </c>
      <c r="G7" s="18" t="n">
        <v>23.92991661</v>
      </c>
      <c r="H7" s="20" t="n">
        <v>1.75347443</v>
      </c>
      <c r="I7" s="18" t="n">
        <v>0</v>
      </c>
      <c r="J7" s="20" t="n">
        <v>0</v>
      </c>
      <c r="K7" s="18" t="n">
        <v>0.35606871</v>
      </c>
      <c r="L7" s="20" t="n">
        <v>0.2244568</v>
      </c>
      <c r="M7" s="18" t="n">
        <v>0.01244713</v>
      </c>
      <c r="N7" s="20" t="n">
        <v>0.01255394</v>
      </c>
      <c r="O7" s="18" t="n">
        <v>0</v>
      </c>
      <c r="P7" s="20" t="n">
        <v>0</v>
      </c>
      <c r="Q7" s="18" t="n">
        <v>5.64719657</v>
      </c>
      <c r="R7" s="20" t="n">
        <v>0.86849386</v>
      </c>
    </row>
    <row r="8" spans="1:18">
      <c r="A8" s="15" t="s">
        <v>566</v>
      </c>
      <c r="B8" s="17" t="n">
        <v>3443</v>
      </c>
      <c r="C8" s="18">
        <f>(3061.0/B8*100)</f>
        <v/>
      </c>
      <c r="D8" s="19" t="n">
        <v>382</v>
      </c>
      <c r="E8" s="18" t="n">
        <v>58.50464924</v>
      </c>
      <c r="F8" s="20" t="n">
        <v>2.68504452</v>
      </c>
      <c r="G8" s="18" t="n">
        <v>27.47559874</v>
      </c>
      <c r="H8" s="20" t="n">
        <v>2.73784927</v>
      </c>
      <c r="I8" s="18" t="n">
        <v>0</v>
      </c>
      <c r="J8" s="20" t="n">
        <v>0</v>
      </c>
      <c r="K8" s="18" t="n">
        <v>0</v>
      </c>
      <c r="L8" s="20" t="n">
        <v>0</v>
      </c>
      <c r="M8" s="18" t="n">
        <v>0</v>
      </c>
      <c r="N8" s="20" t="n">
        <v>0</v>
      </c>
      <c r="O8" s="18" t="n">
        <v>0</v>
      </c>
      <c r="P8" s="20" t="n">
        <v>0</v>
      </c>
      <c r="Q8" s="18" t="n">
        <v>14.01975202</v>
      </c>
      <c r="R8" s="20" t="n">
        <v>2.10929845</v>
      </c>
    </row>
    <row r="9" spans="1:18">
      <c r="A9" s="15" t="s">
        <v>567</v>
      </c>
      <c r="B9" s="17" t="n">
        <v>4752</v>
      </c>
      <c r="C9" s="18">
        <f>(4263.0/B9*100)</f>
        <v/>
      </c>
      <c r="D9" s="19" t="n">
        <v>489</v>
      </c>
      <c r="E9" s="18" t="n">
        <v>62.32931073</v>
      </c>
      <c r="F9" s="20" t="n">
        <v>2.49081013</v>
      </c>
      <c r="G9" s="18" t="n">
        <v>27.53861891</v>
      </c>
      <c r="H9" s="20" t="n">
        <v>2.09650574</v>
      </c>
      <c r="I9" s="18" t="n">
        <v>0</v>
      </c>
      <c r="J9" s="20" t="n">
        <v>0</v>
      </c>
      <c r="K9" s="18" t="n">
        <v>0.9658649500000001</v>
      </c>
      <c r="L9" s="20" t="n">
        <v>0.43137643</v>
      </c>
      <c r="M9" s="18" t="n">
        <v>0.36198808</v>
      </c>
      <c r="N9" s="20" t="n">
        <v>0.26331104</v>
      </c>
      <c r="O9" s="18" t="n">
        <v>0</v>
      </c>
      <c r="P9" s="20" t="n">
        <v>0</v>
      </c>
      <c r="Q9" s="18" t="n">
        <v>8.80421733</v>
      </c>
      <c r="R9" s="20" t="n">
        <v>1.32854979</v>
      </c>
    </row>
    <row r="10" spans="1:18">
      <c r="A10" s="15" t="s">
        <v>568</v>
      </c>
      <c r="B10" s="17" t="n">
        <v>10022</v>
      </c>
      <c r="C10" s="18">
        <f>(8924.0/B10*100)</f>
        <v/>
      </c>
      <c r="D10" s="19" t="n">
        <v>1098</v>
      </c>
      <c r="E10" s="18" t="n">
        <v>66.68561566</v>
      </c>
      <c r="F10" s="20" t="n">
        <v>2.11536615</v>
      </c>
      <c r="G10" s="18" t="n">
        <v>28.39103804</v>
      </c>
      <c r="H10" s="20" t="n">
        <v>1.94611996</v>
      </c>
      <c r="I10" s="18" t="n">
        <v>0</v>
      </c>
      <c r="J10" s="20" t="n">
        <v>0</v>
      </c>
      <c r="K10" s="18" t="n">
        <v>0.56265113</v>
      </c>
      <c r="L10" s="20" t="n">
        <v>0.30996745</v>
      </c>
      <c r="M10" s="18" t="n">
        <v>0</v>
      </c>
      <c r="N10" s="20" t="n">
        <v>0</v>
      </c>
      <c r="O10" s="18" t="n">
        <v>0</v>
      </c>
      <c r="P10" s="20" t="n">
        <v>0</v>
      </c>
      <c r="Q10" s="18" t="n">
        <v>4.36069517</v>
      </c>
      <c r="R10" s="20" t="n">
        <v>0.72363825</v>
      </c>
    </row>
    <row r="11" spans="1:18">
      <c r="A11" s="15" t="s">
        <v>569</v>
      </c>
      <c r="B11" s="17" t="n">
        <v>3500</v>
      </c>
      <c r="C11" s="18">
        <f>(3139.0/B11*100)</f>
        <v/>
      </c>
      <c r="D11" s="19" t="n">
        <v>361</v>
      </c>
      <c r="E11" s="18" t="n">
        <v>70.42257707</v>
      </c>
      <c r="F11" s="20" t="n">
        <v>3.01680831</v>
      </c>
      <c r="G11" s="18" t="n">
        <v>13.72470825</v>
      </c>
      <c r="H11" s="20" t="n">
        <v>2.06944884</v>
      </c>
      <c r="I11" s="18" t="n">
        <v>0</v>
      </c>
      <c r="J11" s="20" t="n">
        <v>0</v>
      </c>
      <c r="K11" s="18" t="n">
        <v>0.2716856</v>
      </c>
      <c r="L11" s="20" t="n">
        <v>0.2698449</v>
      </c>
      <c r="M11" s="18" t="n">
        <v>0.38389112</v>
      </c>
      <c r="N11" s="20" t="n">
        <v>0.39827678</v>
      </c>
      <c r="O11" s="18" t="n">
        <v>0</v>
      </c>
      <c r="P11" s="20" t="n">
        <v>0</v>
      </c>
      <c r="Q11" s="18" t="n">
        <v>15.19713796</v>
      </c>
      <c r="R11" s="20" t="n">
        <v>2.76059073</v>
      </c>
    </row>
    <row r="12" spans="1:18">
      <c r="A12" s="15" t="s">
        <v>570</v>
      </c>
      <c r="B12" s="17" t="n">
        <v>3422</v>
      </c>
      <c r="C12" s="18">
        <f>(3067.0/B12*100)</f>
        <v/>
      </c>
      <c r="D12" s="19" t="n">
        <v>355</v>
      </c>
      <c r="E12" s="18" t="n">
        <v>58.99715491</v>
      </c>
      <c r="F12" s="20" t="n">
        <v>2.3068177</v>
      </c>
      <c r="G12" s="18" t="n">
        <v>29.04586992</v>
      </c>
      <c r="H12" s="20" t="n">
        <v>1.88821971</v>
      </c>
      <c r="I12" s="18" t="n">
        <v>0</v>
      </c>
      <c r="J12" s="20" t="n">
        <v>0</v>
      </c>
      <c r="K12" s="18" t="n">
        <v>0.44670492</v>
      </c>
      <c r="L12" s="20" t="n">
        <v>0.33740854</v>
      </c>
      <c r="M12" s="18" t="n">
        <v>0.27337339</v>
      </c>
      <c r="N12" s="20" t="n">
        <v>0.27397726</v>
      </c>
      <c r="O12" s="18" t="n">
        <v>0</v>
      </c>
      <c r="P12" s="20" t="n">
        <v>0</v>
      </c>
      <c r="Q12" s="18" t="n">
        <v>11.23689686</v>
      </c>
      <c r="R12" s="20" t="n">
        <v>1.5850765</v>
      </c>
    </row>
    <row r="13" spans="1:18">
      <c r="A13" s="15" t="s">
        <v>571</v>
      </c>
      <c r="B13" s="17" t="n">
        <v>3602</v>
      </c>
      <c r="C13" s="18">
        <f>(3195.0/B13*100)</f>
        <v/>
      </c>
      <c r="D13" s="19" t="n">
        <v>407</v>
      </c>
      <c r="E13" s="18" t="n">
        <v>48.80597081</v>
      </c>
      <c r="F13" s="20" t="n">
        <v>2.94246304</v>
      </c>
      <c r="G13" s="18" t="n">
        <v>40.10096553</v>
      </c>
      <c r="H13" s="20" t="n">
        <v>2.67321529</v>
      </c>
      <c r="I13" s="18" t="n">
        <v>0</v>
      </c>
      <c r="J13" s="20" t="n">
        <v>0</v>
      </c>
      <c r="K13" s="18" t="n">
        <v>0.91100424</v>
      </c>
      <c r="L13" s="20" t="n">
        <v>0.61321061</v>
      </c>
      <c r="M13" s="18" t="n">
        <v>0</v>
      </c>
      <c r="N13" s="20" t="n">
        <v>0</v>
      </c>
      <c r="O13" s="18" t="n">
        <v>0</v>
      </c>
      <c r="P13" s="20" t="n">
        <v>0</v>
      </c>
      <c r="Q13" s="18" t="n">
        <v>10.18205942</v>
      </c>
      <c r="R13" s="20" t="n">
        <v>2.06623021</v>
      </c>
    </row>
    <row r="14" spans="1:18">
      <c r="A14" s="15" t="s">
        <v>572</v>
      </c>
      <c r="B14" s="17" t="n">
        <v>2788</v>
      </c>
      <c r="C14" s="18">
        <f>(2497.0/B14*100)</f>
        <v/>
      </c>
      <c r="D14" s="19" t="n">
        <v>291</v>
      </c>
      <c r="E14" s="18" t="n">
        <v>74.68060026000001</v>
      </c>
      <c r="F14" s="20" t="n">
        <v>2.93748116</v>
      </c>
      <c r="G14" s="18" t="n">
        <v>20.08418112</v>
      </c>
      <c r="H14" s="20" t="n">
        <v>2.58282059</v>
      </c>
      <c r="I14" s="18" t="n">
        <v>0</v>
      </c>
      <c r="J14" s="20" t="n">
        <v>0</v>
      </c>
      <c r="K14" s="18" t="n">
        <v>0.26470287</v>
      </c>
      <c r="L14" s="20" t="n">
        <v>0.2719683</v>
      </c>
      <c r="M14" s="18" t="n">
        <v>0</v>
      </c>
      <c r="N14" s="20" t="n">
        <v>0</v>
      </c>
      <c r="O14" s="18" t="n">
        <v>0</v>
      </c>
      <c r="P14" s="20" t="n">
        <v>0</v>
      </c>
      <c r="Q14" s="18" t="n">
        <v>4.97051575</v>
      </c>
      <c r="R14" s="20" t="n">
        <v>1.17001505</v>
      </c>
    </row>
    <row r="15" spans="1:18">
      <c r="A15" s="15" t="s">
        <v>573</v>
      </c>
      <c r="B15" s="17" t="n">
        <v>2863</v>
      </c>
      <c r="C15" s="18">
        <f>(2527.0/B15*100)</f>
        <v/>
      </c>
      <c r="D15" s="19" t="n">
        <v>336</v>
      </c>
      <c r="E15" s="18" t="n">
        <v>59.73763764</v>
      </c>
      <c r="F15" s="20" t="n">
        <v>2.83158486</v>
      </c>
      <c r="G15" s="18" t="n">
        <v>34.67385685</v>
      </c>
      <c r="H15" s="20" t="n">
        <v>2.6405012</v>
      </c>
      <c r="I15" s="18" t="n">
        <v>0</v>
      </c>
      <c r="J15" s="20" t="n">
        <v>0</v>
      </c>
      <c r="K15" s="18" t="n">
        <v>0</v>
      </c>
      <c r="L15" s="20" t="n">
        <v>0</v>
      </c>
      <c r="M15" s="18" t="n">
        <v>0.55557816</v>
      </c>
      <c r="N15" s="20" t="n">
        <v>0.38796349</v>
      </c>
      <c r="O15" s="18" t="n">
        <v>0</v>
      </c>
      <c r="P15" s="20" t="n">
        <v>0</v>
      </c>
      <c r="Q15" s="18" t="n">
        <v>5.03292735</v>
      </c>
      <c r="R15" s="20" t="n">
        <v>1.21381096</v>
      </c>
    </row>
    <row r="16" spans="1:18">
      <c r="A16" s="15" t="s">
        <v>574</v>
      </c>
      <c r="B16" s="17" t="n">
        <v>3111</v>
      </c>
      <c r="C16" s="18">
        <f>(2774.0/B16*100)</f>
        <v/>
      </c>
      <c r="D16" s="19" t="n">
        <v>337</v>
      </c>
      <c r="E16" s="18" t="n">
        <v>50.46144863</v>
      </c>
      <c r="F16" s="20" t="n">
        <v>2.90869795</v>
      </c>
      <c r="G16" s="18" t="n">
        <v>31.61539306</v>
      </c>
      <c r="H16" s="20" t="n">
        <v>2.7053976</v>
      </c>
      <c r="I16" s="18" t="n">
        <v>0</v>
      </c>
      <c r="J16" s="20" t="n">
        <v>0</v>
      </c>
      <c r="K16" s="18" t="n">
        <v>0.54901039</v>
      </c>
      <c r="L16" s="20" t="n">
        <v>0.37908966</v>
      </c>
      <c r="M16" s="18" t="n">
        <v>0</v>
      </c>
      <c r="N16" s="20" t="n">
        <v>0</v>
      </c>
      <c r="O16" s="18" t="n">
        <v>0</v>
      </c>
      <c r="P16" s="20" t="n">
        <v>0</v>
      </c>
      <c r="Q16" s="18" t="n">
        <v>17.37414792</v>
      </c>
      <c r="R16" s="20" t="n">
        <v>2.44623064</v>
      </c>
    </row>
    <row r="17" spans="1:18">
      <c r="A17" s="15" t="s">
        <v>575</v>
      </c>
      <c r="B17" s="17" t="n">
        <v>3197</v>
      </c>
      <c r="C17" s="18">
        <f>(2836.0/B17*100)</f>
        <v/>
      </c>
      <c r="D17" s="19" t="n">
        <v>361</v>
      </c>
      <c r="E17" s="18" t="n">
        <v>53.21686315</v>
      </c>
      <c r="F17" s="20" t="n">
        <v>2.20419387</v>
      </c>
      <c r="G17" s="18" t="n">
        <v>36.87713817</v>
      </c>
      <c r="H17" s="20" t="n">
        <v>2.2045154</v>
      </c>
      <c r="I17" s="18" t="n">
        <v>0</v>
      </c>
      <c r="J17" s="20" t="n">
        <v>0</v>
      </c>
      <c r="K17" s="18" t="n">
        <v>0.34186004</v>
      </c>
      <c r="L17" s="20" t="n">
        <v>0.3467547</v>
      </c>
      <c r="M17" s="18" t="n">
        <v>0</v>
      </c>
      <c r="N17" s="20" t="n">
        <v>0</v>
      </c>
      <c r="O17" s="18" t="n">
        <v>0</v>
      </c>
      <c r="P17" s="20" t="n">
        <v>0</v>
      </c>
      <c r="Q17" s="18" t="n">
        <v>9.56413865</v>
      </c>
      <c r="R17" s="20" t="n">
        <v>1.66649718</v>
      </c>
    </row>
    <row r="18" spans="1:18">
      <c r="A18" s="15" t="s">
        <v>576</v>
      </c>
      <c r="B18" s="17" t="n">
        <v>2706</v>
      </c>
      <c r="C18" s="18">
        <f>(2410.0/B18*100)</f>
        <v/>
      </c>
      <c r="D18" s="19" t="n">
        <v>296</v>
      </c>
      <c r="E18" s="18" t="n">
        <v>57.30460655</v>
      </c>
      <c r="F18" s="20" t="n">
        <v>3.24280253</v>
      </c>
      <c r="G18" s="18" t="n">
        <v>25.78076235</v>
      </c>
      <c r="H18" s="20" t="n">
        <v>2.64402646</v>
      </c>
      <c r="I18" s="18" t="n">
        <v>0</v>
      </c>
      <c r="J18" s="20" t="n">
        <v>0</v>
      </c>
      <c r="K18" s="18" t="n">
        <v>0.07966863</v>
      </c>
      <c r="L18" s="20" t="n">
        <v>0.08098681000000001</v>
      </c>
      <c r="M18" s="18" t="n">
        <v>0</v>
      </c>
      <c r="N18" s="20" t="n">
        <v>0</v>
      </c>
      <c r="O18" s="18" t="n">
        <v>0</v>
      </c>
      <c r="P18" s="20" t="n">
        <v>0</v>
      </c>
      <c r="Q18" s="18" t="n">
        <v>16.83496247</v>
      </c>
      <c r="R18" s="20" t="n">
        <v>2.56408489</v>
      </c>
    </row>
    <row r="19" spans="1:18">
      <c r="A19" s="15" t="s">
        <v>577</v>
      </c>
      <c r="B19" s="17" t="n">
        <v>2850</v>
      </c>
      <c r="C19" s="18">
        <f>(2544.0/B19*100)</f>
        <v/>
      </c>
      <c r="D19" s="19" t="n">
        <v>306</v>
      </c>
      <c r="E19" s="18" t="n">
        <v>48.20905986</v>
      </c>
      <c r="F19" s="20" t="n">
        <v>3.3267026</v>
      </c>
      <c r="G19" s="18" t="n">
        <v>33.64387949</v>
      </c>
      <c r="H19" s="20" t="n">
        <v>2.7318966</v>
      </c>
      <c r="I19" s="18" t="n">
        <v>0</v>
      </c>
      <c r="J19" s="20" t="n">
        <v>0</v>
      </c>
      <c r="K19" s="18" t="n">
        <v>0</v>
      </c>
      <c r="L19" s="20" t="n">
        <v>0</v>
      </c>
      <c r="M19" s="18" t="n">
        <v>0</v>
      </c>
      <c r="N19" s="20" t="n">
        <v>0</v>
      </c>
      <c r="O19" s="18" t="n">
        <v>0</v>
      </c>
      <c r="P19" s="20" t="n">
        <v>0</v>
      </c>
      <c r="Q19" s="18" t="n">
        <v>18.14706065</v>
      </c>
      <c r="R19" s="20" t="n">
        <v>2.7942328</v>
      </c>
    </row>
    <row r="20" spans="1:18">
      <c r="A20" s="15" t="s">
        <v>578</v>
      </c>
      <c r="B20" s="17" t="n">
        <v>1741</v>
      </c>
      <c r="C20" s="18">
        <f>(1549.0/B20*100)</f>
        <v/>
      </c>
      <c r="D20" s="19" t="n">
        <v>192</v>
      </c>
      <c r="E20" s="18" t="n">
        <v>64.81155465000001</v>
      </c>
      <c r="F20" s="20" t="n">
        <v>3.549628</v>
      </c>
      <c r="G20" s="18" t="n">
        <v>26.03040021</v>
      </c>
      <c r="H20" s="20" t="n">
        <v>3.16107279</v>
      </c>
      <c r="I20" s="18" t="n">
        <v>0</v>
      </c>
      <c r="J20" s="20" t="n">
        <v>0</v>
      </c>
      <c r="K20" s="18" t="n">
        <v>0.96116687</v>
      </c>
      <c r="L20" s="20" t="n">
        <v>0.66995415</v>
      </c>
      <c r="M20" s="18" t="n">
        <v>0.6432257300000001</v>
      </c>
      <c r="N20" s="20" t="n">
        <v>0.65856215</v>
      </c>
      <c r="O20" s="18" t="n">
        <v>0</v>
      </c>
      <c r="P20" s="20" t="n">
        <v>0</v>
      </c>
      <c r="Q20" s="18" t="n">
        <v>7.55365254</v>
      </c>
      <c r="R20" s="20" t="n">
        <v>1.79632794</v>
      </c>
    </row>
    <row r="21" spans="1:18">
      <c r="A21" s="15" t="s">
        <v>579</v>
      </c>
      <c r="B21" s="17" t="n">
        <v>2833</v>
      </c>
      <c r="C21" s="18">
        <f>(2501.0/B21*100)</f>
        <v/>
      </c>
      <c r="D21" s="19" t="n">
        <v>332</v>
      </c>
      <c r="E21" s="18" t="n">
        <v>64.04826774999999</v>
      </c>
      <c r="F21" s="20" t="n">
        <v>2.81295677</v>
      </c>
      <c r="G21" s="18" t="n">
        <v>32.59096386</v>
      </c>
      <c r="H21" s="20" t="n">
        <v>2.50042219</v>
      </c>
      <c r="I21" s="18" t="n">
        <v>0</v>
      </c>
      <c r="J21" s="20" t="n">
        <v>0</v>
      </c>
      <c r="K21" s="18" t="n">
        <v>0</v>
      </c>
      <c r="L21" s="20" t="n">
        <v>0</v>
      </c>
      <c r="M21" s="18" t="n">
        <v>0</v>
      </c>
      <c r="N21" s="20" t="n">
        <v>0</v>
      </c>
      <c r="O21" s="18" t="n">
        <v>0</v>
      </c>
      <c r="P21" s="20" t="n">
        <v>0</v>
      </c>
      <c r="Q21" s="18" t="n">
        <v>3.36076838</v>
      </c>
      <c r="R21" s="20" t="n">
        <v>1.06257582</v>
      </c>
    </row>
    <row r="22" spans="1:18">
      <c r="A22" s="15" t="s">
        <v>580</v>
      </c>
      <c r="B22" s="17" t="n">
        <v>3667</v>
      </c>
      <c r="C22" s="18">
        <f>(3283.0/B22*100)</f>
        <v/>
      </c>
      <c r="D22" s="19" t="n">
        <v>384</v>
      </c>
      <c r="E22" s="18" t="n">
        <v>71.17892784999999</v>
      </c>
      <c r="F22" s="20" t="n">
        <v>2.45215651</v>
      </c>
      <c r="G22" s="18" t="n">
        <v>11.22545808</v>
      </c>
      <c r="H22" s="20" t="n">
        <v>1.84618944</v>
      </c>
      <c r="I22" s="18" t="n">
        <v>0</v>
      </c>
      <c r="J22" s="20" t="n">
        <v>0</v>
      </c>
      <c r="K22" s="18" t="n">
        <v>1.74952936</v>
      </c>
      <c r="L22" s="20" t="n">
        <v>0.63089126</v>
      </c>
      <c r="M22" s="18" t="n">
        <v>0</v>
      </c>
      <c r="N22" s="20" t="n">
        <v>0</v>
      </c>
      <c r="O22" s="18" t="n">
        <v>0</v>
      </c>
      <c r="P22" s="20" t="n">
        <v>0</v>
      </c>
      <c r="Q22" s="18" t="n">
        <v>15.84608472</v>
      </c>
      <c r="R22" s="20" t="n">
        <v>1.87236936</v>
      </c>
    </row>
    <row r="23" spans="1:18">
      <c r="A23" s="15" t="s">
        <v>581</v>
      </c>
      <c r="B23" s="17" t="n">
        <v>5792</v>
      </c>
      <c r="C23" s="18">
        <f>(5162.0/B23*100)</f>
        <v/>
      </c>
      <c r="D23" s="19" t="n">
        <v>630</v>
      </c>
      <c r="E23" s="18" t="n">
        <v>57.34683781</v>
      </c>
      <c r="F23" s="20" t="n">
        <v>2.68544123</v>
      </c>
      <c r="G23" s="18" t="n">
        <v>26.18284653</v>
      </c>
      <c r="H23" s="20" t="n">
        <v>2.28621523</v>
      </c>
      <c r="I23" s="18" t="n">
        <v>0</v>
      </c>
      <c r="J23" s="20" t="n">
        <v>0</v>
      </c>
      <c r="K23" s="18" t="n">
        <v>0.7941354</v>
      </c>
      <c r="L23" s="20" t="n">
        <v>0.61696626</v>
      </c>
      <c r="M23" s="18" t="n">
        <v>0</v>
      </c>
      <c r="N23" s="20" t="n">
        <v>0</v>
      </c>
      <c r="O23" s="18" t="n">
        <v>0</v>
      </c>
      <c r="P23" s="20" t="n">
        <v>0</v>
      </c>
      <c r="Q23" s="18" t="n">
        <v>15.67618026</v>
      </c>
      <c r="R23" s="20" t="n">
        <v>2.23948236</v>
      </c>
    </row>
    <row r="24" spans="1:18">
      <c r="A24" s="15" t="s">
        <v>582</v>
      </c>
      <c r="B24" s="17" t="n">
        <v>3309</v>
      </c>
      <c r="C24" s="18">
        <f>(2946.0/B24*100)</f>
        <v/>
      </c>
      <c r="D24" s="19" t="n">
        <v>363</v>
      </c>
      <c r="E24" s="18" t="n">
        <v>43.94527023</v>
      </c>
      <c r="F24" s="20" t="n">
        <v>2.60588747</v>
      </c>
      <c r="G24" s="18" t="n">
        <v>41.14317037</v>
      </c>
      <c r="H24" s="20" t="n">
        <v>2.8798451</v>
      </c>
      <c r="I24" s="18" t="n">
        <v>0</v>
      </c>
      <c r="J24" s="20" t="n">
        <v>0</v>
      </c>
      <c r="K24" s="18" t="n">
        <v>0.59157156</v>
      </c>
      <c r="L24" s="20" t="n">
        <v>0.39725123</v>
      </c>
      <c r="M24" s="18" t="n">
        <v>0</v>
      </c>
      <c r="N24" s="20" t="n">
        <v>0</v>
      </c>
      <c r="O24" s="18" t="n">
        <v>0</v>
      </c>
      <c r="P24" s="20" t="n">
        <v>0</v>
      </c>
      <c r="Q24" s="18" t="n">
        <v>14.31998784</v>
      </c>
      <c r="R24" s="20" t="n">
        <v>2.1679982</v>
      </c>
    </row>
    <row r="25" spans="1:18">
      <c r="A25" s="15" t="s">
        <v>583</v>
      </c>
      <c r="B25" s="17" t="n">
        <v>2669</v>
      </c>
      <c r="C25" s="18">
        <f>(2359.0/B25*100)</f>
        <v/>
      </c>
      <c r="D25" s="19" t="n">
        <v>310</v>
      </c>
      <c r="E25" s="18" t="n">
        <v>70.45674319</v>
      </c>
      <c r="F25" s="20" t="n">
        <v>2.52785644</v>
      </c>
      <c r="G25" s="18" t="n">
        <v>20.1664282</v>
      </c>
      <c r="H25" s="20" t="n">
        <v>1.99982731</v>
      </c>
      <c r="I25" s="18" t="n">
        <v>0</v>
      </c>
      <c r="J25" s="20" t="n">
        <v>0</v>
      </c>
      <c r="K25" s="18" t="n">
        <v>0.3178854</v>
      </c>
      <c r="L25" s="20" t="n">
        <v>0.31908965</v>
      </c>
      <c r="M25" s="18" t="n">
        <v>0</v>
      </c>
      <c r="N25" s="20" t="n">
        <v>0</v>
      </c>
      <c r="O25" s="18" t="n">
        <v>0</v>
      </c>
      <c r="P25" s="20" t="n">
        <v>0</v>
      </c>
      <c r="Q25" s="18" t="n">
        <v>9.058943210000001</v>
      </c>
      <c r="R25" s="20" t="n">
        <v>1.5762677</v>
      </c>
    </row>
    <row r="26" spans="1:18">
      <c r="A26" s="15" t="s">
        <v>584</v>
      </c>
      <c r="B26" s="17" t="n">
        <v>2419</v>
      </c>
      <c r="C26" s="18">
        <f>(2146.0/B26*100)</f>
        <v/>
      </c>
      <c r="D26" s="19" t="n">
        <v>273</v>
      </c>
      <c r="E26" s="18" t="n">
        <v>71.37403102</v>
      </c>
      <c r="F26" s="20" t="n">
        <v>2.69103234</v>
      </c>
      <c r="G26" s="18" t="n">
        <v>21.7735303</v>
      </c>
      <c r="H26" s="20" t="n">
        <v>2.35362252</v>
      </c>
      <c r="I26" s="18" t="n">
        <v>0</v>
      </c>
      <c r="J26" s="20" t="n">
        <v>0</v>
      </c>
      <c r="K26" s="18" t="n">
        <v>0</v>
      </c>
      <c r="L26" s="20" t="n">
        <v>0</v>
      </c>
      <c r="M26" s="18" t="n">
        <v>0.33184272</v>
      </c>
      <c r="N26" s="20" t="n">
        <v>0.32889249</v>
      </c>
      <c r="O26" s="18" t="n">
        <v>0</v>
      </c>
      <c r="P26" s="20" t="n">
        <v>0</v>
      </c>
      <c r="Q26" s="18" t="n">
        <v>6.52059597</v>
      </c>
      <c r="R26" s="20" t="n">
        <v>1.60793666</v>
      </c>
    </row>
    <row r="27" spans="1:18">
      <c r="A27" s="15" t="s">
        <v>585</v>
      </c>
      <c r="B27" s="17" t="n">
        <v>2683</v>
      </c>
      <c r="C27" s="18">
        <f>(2392.0/B27*100)</f>
        <v/>
      </c>
      <c r="D27" s="19" t="n">
        <v>291</v>
      </c>
      <c r="E27" s="18" t="n">
        <v>58.08166948</v>
      </c>
      <c r="F27" s="20" t="n">
        <v>2.91297427</v>
      </c>
      <c r="G27" s="18" t="n">
        <v>27.48398548</v>
      </c>
      <c r="H27" s="20" t="n">
        <v>2.46474215</v>
      </c>
      <c r="I27" s="18" t="n">
        <v>0</v>
      </c>
      <c r="J27" s="20" t="n">
        <v>0</v>
      </c>
      <c r="K27" s="18" t="n">
        <v>0.33088196</v>
      </c>
      <c r="L27" s="20" t="n">
        <v>0.33107445</v>
      </c>
      <c r="M27" s="18" t="n">
        <v>0</v>
      </c>
      <c r="N27" s="20" t="n">
        <v>0</v>
      </c>
      <c r="O27" s="18" t="n">
        <v>0</v>
      </c>
      <c r="P27" s="20" t="n">
        <v>0</v>
      </c>
      <c r="Q27" s="18" t="n">
        <v>14.10346308</v>
      </c>
      <c r="R27" s="20" t="n">
        <v>1.86000317</v>
      </c>
    </row>
    <row r="28" spans="1:18">
      <c r="A28" s="15" t="s">
        <v>586</v>
      </c>
      <c r="B28" s="17" t="n">
        <v>3803</v>
      </c>
      <c r="C28" s="18">
        <f>(3404.0/B28*100)</f>
        <v/>
      </c>
      <c r="D28" s="19" t="n">
        <v>399</v>
      </c>
      <c r="E28" s="18" t="n">
        <v>85.99968529</v>
      </c>
      <c r="F28" s="20" t="n">
        <v>1.90645157</v>
      </c>
      <c r="G28" s="18" t="n">
        <v>7.74276194</v>
      </c>
      <c r="H28" s="20" t="n">
        <v>1.28530404</v>
      </c>
      <c r="I28" s="18" t="n">
        <v>0</v>
      </c>
      <c r="J28" s="20" t="n">
        <v>0</v>
      </c>
      <c r="K28" s="18" t="n">
        <v>0.70284117</v>
      </c>
      <c r="L28" s="20" t="n">
        <v>0.51418148</v>
      </c>
      <c r="M28" s="18" t="n">
        <v>0</v>
      </c>
      <c r="N28" s="20" t="n">
        <v>0</v>
      </c>
      <c r="O28" s="18" t="n">
        <v>0</v>
      </c>
      <c r="P28" s="20" t="n">
        <v>0</v>
      </c>
      <c r="Q28" s="18" t="n">
        <v>5.5547116</v>
      </c>
      <c r="R28" s="20" t="n">
        <v>1.50280463</v>
      </c>
    </row>
    <row r="29" spans="1:18">
      <c r="A29" s="15" t="s">
        <v>587</v>
      </c>
      <c r="B29" s="17" t="n">
        <v>2700</v>
      </c>
      <c r="C29" s="18">
        <f>(2399.0/B29*100)</f>
        <v/>
      </c>
      <c r="D29" s="19" t="n">
        <v>301</v>
      </c>
      <c r="E29" s="18" t="n">
        <v>68.10068252000001</v>
      </c>
      <c r="F29" s="20" t="n">
        <v>2.83944681</v>
      </c>
      <c r="G29" s="18" t="n">
        <v>27.97733388</v>
      </c>
      <c r="H29" s="20" t="n">
        <v>2.79242081</v>
      </c>
      <c r="I29" s="18" t="n">
        <v>0</v>
      </c>
      <c r="J29" s="20" t="n">
        <v>0</v>
      </c>
      <c r="K29" s="18" t="n">
        <v>0</v>
      </c>
      <c r="L29" s="20" t="n">
        <v>0</v>
      </c>
      <c r="M29" s="18" t="n">
        <v>0</v>
      </c>
      <c r="N29" s="20" t="n">
        <v>0</v>
      </c>
      <c r="O29" s="18" t="n">
        <v>0</v>
      </c>
      <c r="P29" s="20" t="n">
        <v>0</v>
      </c>
      <c r="Q29" s="18" t="n">
        <v>3.92198359</v>
      </c>
      <c r="R29" s="20" t="n">
        <v>1.1664939</v>
      </c>
    </row>
    <row r="30" spans="1:18">
      <c r="A30" s="15" t="s">
        <v>588</v>
      </c>
      <c r="B30" s="17" t="n">
        <v>2257</v>
      </c>
      <c r="C30" s="18">
        <f>(2008.0/B30*100)</f>
        <v/>
      </c>
      <c r="D30" s="19" t="n">
        <v>249</v>
      </c>
      <c r="E30" s="18" t="n">
        <v>56.90862594</v>
      </c>
      <c r="F30" s="20" t="n">
        <v>3.09527253</v>
      </c>
      <c r="G30" s="18" t="n">
        <v>32.46232984</v>
      </c>
      <c r="H30" s="20" t="n">
        <v>2.77185961</v>
      </c>
      <c r="I30" s="18" t="n">
        <v>0</v>
      </c>
      <c r="J30" s="20" t="n">
        <v>0</v>
      </c>
      <c r="K30" s="18" t="n">
        <v>0.83711382</v>
      </c>
      <c r="L30" s="20" t="n">
        <v>0.59379083</v>
      </c>
      <c r="M30" s="18" t="n">
        <v>0.93582668</v>
      </c>
      <c r="N30" s="20" t="n">
        <v>0.65873634</v>
      </c>
      <c r="O30" s="18" t="n">
        <v>0</v>
      </c>
      <c r="P30" s="20" t="n">
        <v>0</v>
      </c>
      <c r="Q30" s="18" t="n">
        <v>8.85610372</v>
      </c>
      <c r="R30" s="20" t="n">
        <v>1.85210609</v>
      </c>
    </row>
    <row r="31" spans="1:18">
      <c r="A31" s="15" t="s">
        <v>589</v>
      </c>
      <c r="B31" s="17" t="n">
        <v>2706</v>
      </c>
      <c r="C31" s="18">
        <f>(2405.0/B31*100)</f>
        <v/>
      </c>
      <c r="D31" s="19" t="n">
        <v>301</v>
      </c>
      <c r="E31" s="18" t="n">
        <v>61.73775931</v>
      </c>
      <c r="F31" s="20" t="n">
        <v>2.78687244</v>
      </c>
      <c r="G31" s="18" t="n">
        <v>25.78785796</v>
      </c>
      <c r="H31" s="20" t="n">
        <v>2.40617661</v>
      </c>
      <c r="I31" s="18" t="n">
        <v>0</v>
      </c>
      <c r="J31" s="20" t="n">
        <v>0</v>
      </c>
      <c r="K31" s="18" t="n">
        <v>0.32357145</v>
      </c>
      <c r="L31" s="20" t="n">
        <v>0.2944669</v>
      </c>
      <c r="M31" s="18" t="n">
        <v>0</v>
      </c>
      <c r="N31" s="20" t="n">
        <v>0</v>
      </c>
      <c r="O31" s="18" t="n">
        <v>0</v>
      </c>
      <c r="P31" s="20" t="n">
        <v>0</v>
      </c>
      <c r="Q31" s="18" t="n">
        <v>12.15081128</v>
      </c>
      <c r="R31" s="20" t="n">
        <v>1.90071264</v>
      </c>
    </row>
    <row r="32" spans="1:18">
      <c r="A32" s="15" t="s">
        <v>590</v>
      </c>
      <c r="B32" s="17" t="n">
        <v>2209</v>
      </c>
      <c r="C32" s="18">
        <f>(1963.0/B32*100)</f>
        <v/>
      </c>
      <c r="D32" s="19" t="n">
        <v>246</v>
      </c>
      <c r="E32" s="18" t="n">
        <v>60.72509436</v>
      </c>
      <c r="F32" s="20" t="n">
        <v>3.06884735</v>
      </c>
      <c r="G32" s="18" t="n">
        <v>33.83761873</v>
      </c>
      <c r="H32" s="20" t="n">
        <v>3.03509301</v>
      </c>
      <c r="I32" s="18" t="n">
        <v>0</v>
      </c>
      <c r="J32" s="20" t="n">
        <v>0</v>
      </c>
      <c r="K32" s="18" t="n">
        <v>0.36958463</v>
      </c>
      <c r="L32" s="20" t="n">
        <v>0.3787021</v>
      </c>
      <c r="M32" s="18" t="n">
        <v>0</v>
      </c>
      <c r="N32" s="20" t="n">
        <v>0</v>
      </c>
      <c r="O32" s="18" t="n">
        <v>0</v>
      </c>
      <c r="P32" s="20" t="n">
        <v>0</v>
      </c>
      <c r="Q32" s="18" t="n">
        <v>5.06770229</v>
      </c>
      <c r="R32" s="20" t="n">
        <v>1.36531426</v>
      </c>
    </row>
    <row r="33" spans="1:18">
      <c r="A33" s="15" t="s">
        <v>591</v>
      </c>
      <c r="B33" s="17" t="n">
        <v>3651</v>
      </c>
      <c r="C33" s="18">
        <f>(3267.0/B33*100)</f>
        <v/>
      </c>
      <c r="D33" s="19" t="n">
        <v>384</v>
      </c>
      <c r="E33" s="18" t="n">
        <v>65.92000839000001</v>
      </c>
      <c r="F33" s="20" t="n">
        <v>2.68532227</v>
      </c>
      <c r="G33" s="18" t="n">
        <v>20.96078228</v>
      </c>
      <c r="H33" s="20" t="n">
        <v>1.73945808</v>
      </c>
      <c r="I33" s="18" t="n">
        <v>0</v>
      </c>
      <c r="J33" s="20" t="n">
        <v>0</v>
      </c>
      <c r="K33" s="18" t="n">
        <v>0</v>
      </c>
      <c r="L33" s="20" t="n">
        <v>0</v>
      </c>
      <c r="M33" s="18" t="n">
        <v>0</v>
      </c>
      <c r="N33" s="20" t="n">
        <v>0</v>
      </c>
      <c r="O33" s="18" t="n">
        <v>0</v>
      </c>
      <c r="P33" s="20" t="n">
        <v>0</v>
      </c>
      <c r="Q33" s="18" t="n">
        <v>13.11920933</v>
      </c>
      <c r="R33" s="20" t="n">
        <v>2.14847694</v>
      </c>
    </row>
    <row r="34" spans="1:18">
      <c r="A34" s="15" t="s">
        <v>592</v>
      </c>
      <c r="B34" s="17" t="n">
        <v>3035</v>
      </c>
      <c r="C34" s="18">
        <f>(2732.0/B34*100)</f>
        <v/>
      </c>
      <c r="D34" s="19" t="n">
        <v>303</v>
      </c>
      <c r="E34" s="18" t="n">
        <v>58.73217851</v>
      </c>
      <c r="F34" s="20" t="n">
        <v>2.55340397</v>
      </c>
      <c r="G34" s="18" t="n">
        <v>24.98908049</v>
      </c>
      <c r="H34" s="20" t="n">
        <v>2.11742351</v>
      </c>
      <c r="I34" s="18" t="n">
        <v>0</v>
      </c>
      <c r="J34" s="20" t="n">
        <v>0</v>
      </c>
      <c r="K34" s="18" t="n">
        <v>0.31910008</v>
      </c>
      <c r="L34" s="20" t="n">
        <v>0.31666937</v>
      </c>
      <c r="M34" s="18" t="n">
        <v>0.31910008</v>
      </c>
      <c r="N34" s="20" t="n">
        <v>0.31666937</v>
      </c>
      <c r="O34" s="18" t="n">
        <v>0</v>
      </c>
      <c r="P34" s="20" t="n">
        <v>0</v>
      </c>
      <c r="Q34" s="18" t="n">
        <v>15.64054085</v>
      </c>
      <c r="R34" s="20" t="n">
        <v>1.95578964</v>
      </c>
    </row>
    <row r="35" spans="1:18">
      <c r="A35" s="15" t="s">
        <v>593</v>
      </c>
      <c r="B35" s="17" t="n">
        <v>2901</v>
      </c>
      <c r="C35" s="18">
        <f>(2593.0/B35*100)</f>
        <v/>
      </c>
      <c r="D35" s="19" t="n">
        <v>308</v>
      </c>
      <c r="E35" s="18" t="n">
        <v>57.66784425</v>
      </c>
      <c r="F35" s="20" t="n">
        <v>3.59787111</v>
      </c>
      <c r="G35" s="18" t="n">
        <v>35.16056424</v>
      </c>
      <c r="H35" s="20" t="n">
        <v>3.26522305</v>
      </c>
      <c r="I35" s="18" t="n">
        <v>0</v>
      </c>
      <c r="J35" s="20" t="n">
        <v>0</v>
      </c>
      <c r="K35" s="18" t="n">
        <v>0</v>
      </c>
      <c r="L35" s="20" t="n">
        <v>0</v>
      </c>
      <c r="M35" s="18" t="n">
        <v>0</v>
      </c>
      <c r="N35" s="20" t="n">
        <v>0</v>
      </c>
      <c r="O35" s="18" t="n">
        <v>0</v>
      </c>
      <c r="P35" s="20" t="n">
        <v>0</v>
      </c>
      <c r="Q35" s="18" t="n">
        <v>7.17159151</v>
      </c>
      <c r="R35" s="20" t="n">
        <v>1.67035712</v>
      </c>
    </row>
    <row r="36" spans="1:18">
      <c r="A36" s="15" t="s">
        <v>594</v>
      </c>
      <c r="B36" s="17" t="n">
        <v>3404</v>
      </c>
      <c r="C36" s="18">
        <f>(3025.0/B36*100)</f>
        <v/>
      </c>
      <c r="D36" s="19" t="n">
        <v>379</v>
      </c>
      <c r="E36" s="18" t="n">
        <v>69.05446815000001</v>
      </c>
      <c r="F36" s="20" t="n">
        <v>2.35244865</v>
      </c>
      <c r="G36" s="18" t="n">
        <v>23.7044728</v>
      </c>
      <c r="H36" s="20" t="n">
        <v>2.09807205</v>
      </c>
      <c r="I36" s="18" t="n">
        <v>0</v>
      </c>
      <c r="J36" s="20" t="n">
        <v>0</v>
      </c>
      <c r="K36" s="18" t="n">
        <v>0</v>
      </c>
      <c r="L36" s="20" t="n">
        <v>0</v>
      </c>
      <c r="M36" s="18" t="n">
        <v>0</v>
      </c>
      <c r="N36" s="20" t="n">
        <v>0</v>
      </c>
      <c r="O36" s="18" t="n">
        <v>0</v>
      </c>
      <c r="P36" s="20" t="n">
        <v>0</v>
      </c>
      <c r="Q36" s="18" t="n">
        <v>7.24105906</v>
      </c>
      <c r="R36" s="20" t="n">
        <v>1.52268994</v>
      </c>
    </row>
    <row r="37" spans="1:18">
      <c r="A37" s="15" t="s">
        <v>595</v>
      </c>
      <c r="B37" s="17" t="n">
        <v>2731</v>
      </c>
      <c r="C37" s="18">
        <f>(2448.0/B37*100)</f>
        <v/>
      </c>
      <c r="D37" s="19" t="n">
        <v>283</v>
      </c>
      <c r="E37" s="18" t="n">
        <v>60.82846972</v>
      </c>
      <c r="F37" s="20" t="n">
        <v>2.90267768</v>
      </c>
      <c r="G37" s="18" t="n">
        <v>23.90374634</v>
      </c>
      <c r="H37" s="20" t="n">
        <v>2.56584063</v>
      </c>
      <c r="I37" s="18" t="n">
        <v>0</v>
      </c>
      <c r="J37" s="20" t="n">
        <v>0</v>
      </c>
      <c r="K37" s="18" t="n">
        <v>0.39668611</v>
      </c>
      <c r="L37" s="20" t="n">
        <v>0.3942254</v>
      </c>
      <c r="M37" s="18" t="n">
        <v>0</v>
      </c>
      <c r="N37" s="20" t="n">
        <v>0</v>
      </c>
      <c r="O37" s="18" t="n">
        <v>0</v>
      </c>
      <c r="P37" s="20" t="n">
        <v>0</v>
      </c>
      <c r="Q37" s="18" t="n">
        <v>14.87109783</v>
      </c>
      <c r="R37" s="20" t="n">
        <v>2.10802753</v>
      </c>
    </row>
    <row r="38" spans="1:18">
      <c r="A38" s="15" t="s">
        <v>596</v>
      </c>
      <c r="B38" s="17" t="n">
        <v>2807</v>
      </c>
      <c r="C38" s="18">
        <f>(2512.0/B38*100)</f>
        <v/>
      </c>
      <c r="D38" s="19" t="n">
        <v>295</v>
      </c>
      <c r="E38" s="18" t="n">
        <v>57.46365269</v>
      </c>
      <c r="F38" s="20" t="n">
        <v>2.8444879</v>
      </c>
      <c r="G38" s="18" t="n">
        <v>30.73123019</v>
      </c>
      <c r="H38" s="20" t="n">
        <v>3.14533116</v>
      </c>
      <c r="I38" s="18" t="n">
        <v>0</v>
      </c>
      <c r="J38" s="20" t="n">
        <v>0</v>
      </c>
      <c r="K38" s="18" t="n">
        <v>0</v>
      </c>
      <c r="L38" s="20" t="n">
        <v>0</v>
      </c>
      <c r="M38" s="18" t="n">
        <v>3.36591001</v>
      </c>
      <c r="N38" s="20" t="n">
        <v>1.24576221</v>
      </c>
      <c r="O38" s="18" t="n">
        <v>0</v>
      </c>
      <c r="P38" s="20" t="n">
        <v>0</v>
      </c>
      <c r="Q38" s="18" t="n">
        <v>8.43920711</v>
      </c>
      <c r="R38" s="20" t="n">
        <v>1.83634394</v>
      </c>
    </row>
    <row r="39" spans="1:18">
      <c r="A39" s="15" t="s">
        <v>597</v>
      </c>
      <c r="B39" s="17" t="n">
        <v>2938</v>
      </c>
      <c r="C39" s="18">
        <f>(2616.0/B39*100)</f>
        <v/>
      </c>
      <c r="D39" s="19" t="n">
        <v>322</v>
      </c>
      <c r="E39" s="18" t="n">
        <v>63.02724625</v>
      </c>
      <c r="F39" s="20" t="n">
        <v>2.50841179</v>
      </c>
      <c r="G39" s="18" t="n">
        <v>27.73845537</v>
      </c>
      <c r="H39" s="20" t="n">
        <v>2.41658815</v>
      </c>
      <c r="I39" s="18" t="n">
        <v>0</v>
      </c>
      <c r="J39" s="20" t="n">
        <v>0</v>
      </c>
      <c r="K39" s="18" t="n">
        <v>0</v>
      </c>
      <c r="L39" s="20" t="n">
        <v>0</v>
      </c>
      <c r="M39" s="18" t="n">
        <v>0</v>
      </c>
      <c r="N39" s="20" t="n">
        <v>0</v>
      </c>
      <c r="O39" s="18" t="n">
        <v>0</v>
      </c>
      <c r="P39" s="20" t="n">
        <v>0</v>
      </c>
      <c r="Q39" s="18" t="n">
        <v>9.23429838</v>
      </c>
      <c r="R39" s="20" t="n">
        <v>1.85264702</v>
      </c>
    </row>
    <row r="40" spans="1:18">
      <c r="A40" s="15" t="s">
        <v>598</v>
      </c>
      <c r="B40" s="17" t="n">
        <v>6922</v>
      </c>
      <c r="C40" s="18">
        <f>(6130.0/B40*100)</f>
        <v/>
      </c>
      <c r="D40" s="19" t="n">
        <v>792</v>
      </c>
      <c r="E40" s="18" t="n">
        <v>61.28536541</v>
      </c>
      <c r="F40" s="20" t="n">
        <v>2.93665875</v>
      </c>
      <c r="G40" s="18" t="n">
        <v>31.48027335</v>
      </c>
      <c r="H40" s="20" t="n">
        <v>2.86596988</v>
      </c>
      <c r="I40" s="18" t="n">
        <v>0</v>
      </c>
      <c r="J40" s="20" t="n">
        <v>0</v>
      </c>
      <c r="K40" s="18" t="n">
        <v>0.45545521</v>
      </c>
      <c r="L40" s="20" t="n">
        <v>0.36357486</v>
      </c>
      <c r="M40" s="18" t="n">
        <v>0</v>
      </c>
      <c r="N40" s="20" t="n">
        <v>0</v>
      </c>
      <c r="O40" s="18" t="n">
        <v>0</v>
      </c>
      <c r="P40" s="20" t="n">
        <v>0</v>
      </c>
      <c r="Q40" s="18" t="n">
        <v>6.77890604</v>
      </c>
      <c r="R40" s="20" t="n">
        <v>1.35360457</v>
      </c>
    </row>
    <row r="41" spans="1:18">
      <c r="A41" s="15" t="s">
        <v>599</v>
      </c>
      <c r="B41" s="17" t="n">
        <v>2854</v>
      </c>
      <c r="C41" s="18">
        <f>(2575.0/B41*100)</f>
        <v/>
      </c>
      <c r="D41" s="19" t="n">
        <v>279</v>
      </c>
      <c r="E41" s="18" t="n">
        <v>77.89187244999999</v>
      </c>
      <c r="F41" s="20" t="n">
        <v>2.64330371</v>
      </c>
      <c r="G41" s="18" t="n">
        <v>20.02285825</v>
      </c>
      <c r="H41" s="20" t="n">
        <v>2.55768311</v>
      </c>
      <c r="I41" s="18" t="n">
        <v>0</v>
      </c>
      <c r="J41" s="20" t="n">
        <v>0</v>
      </c>
      <c r="K41" s="18" t="n">
        <v>0</v>
      </c>
      <c r="L41" s="20" t="n">
        <v>0</v>
      </c>
      <c r="M41" s="18" t="n">
        <v>0</v>
      </c>
      <c r="N41" s="20" t="n">
        <v>0</v>
      </c>
      <c r="O41" s="18" t="n">
        <v>0</v>
      </c>
      <c r="P41" s="20" t="n">
        <v>0</v>
      </c>
      <c r="Q41" s="18" t="n">
        <v>2.0852693</v>
      </c>
      <c r="R41" s="20" t="n">
        <v>0.93786822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(11053.0/B46*100)</f>
        <v/>
      </c>
      <c r="D46" s="19" t="n">
        <v>1020</v>
      </c>
      <c r="E46" s="18" t="n">
        <v>61.83237897</v>
      </c>
      <c r="F46" s="20" t="n">
        <v>2.23816295</v>
      </c>
      <c r="G46" s="18" t="n">
        <v>11.37906018</v>
      </c>
      <c r="H46" s="20" t="n">
        <v>1.2032362</v>
      </c>
      <c r="I46" s="18" t="n">
        <v>0</v>
      </c>
      <c r="J46" s="20" t="n">
        <v>0</v>
      </c>
      <c r="K46" s="18" t="n">
        <v>1.56722198</v>
      </c>
      <c r="L46" s="20" t="n">
        <v>0.47443054</v>
      </c>
      <c r="M46" s="18" t="n">
        <v>0.31002753</v>
      </c>
      <c r="N46" s="20" t="n">
        <v>0.20506485</v>
      </c>
      <c r="O46" s="18" t="n">
        <v>0</v>
      </c>
      <c r="P46" s="20" t="n">
        <v>0</v>
      </c>
      <c r="Q46" s="18" t="n">
        <v>24.91131133</v>
      </c>
      <c r="R46" s="20" t="n">
        <v>2.08792563</v>
      </c>
    </row>
    <row r="47" spans="1:18">
      <c r="A47" s="15" t="s">
        <v>606</v>
      </c>
      <c r="B47" s="17" t="n">
        <v>2823</v>
      </c>
      <c r="C47" s="18">
        <f>(2543.0/B47*100)</f>
        <v/>
      </c>
      <c r="D47" s="19" t="n">
        <v>280</v>
      </c>
      <c r="E47" s="18" t="n">
        <v>70.54303525</v>
      </c>
      <c r="F47" s="20" t="n">
        <v>2.91491411</v>
      </c>
      <c r="G47" s="18" t="n">
        <v>8.26192079</v>
      </c>
      <c r="H47" s="20" t="n">
        <v>1.66927804</v>
      </c>
      <c r="I47" s="18" t="n">
        <v>0</v>
      </c>
      <c r="J47" s="20" t="n">
        <v>0</v>
      </c>
      <c r="K47" s="18" t="n">
        <v>0.68541209</v>
      </c>
      <c r="L47" s="20" t="n">
        <v>0.47731909</v>
      </c>
      <c r="M47" s="18" t="n">
        <v>0.34529332</v>
      </c>
      <c r="N47" s="20" t="n">
        <v>0.34358042</v>
      </c>
      <c r="O47" s="18" t="n">
        <v>0</v>
      </c>
      <c r="P47" s="20" t="n">
        <v>0</v>
      </c>
      <c r="Q47" s="18" t="n">
        <v>20.16433855</v>
      </c>
      <c r="R47" s="20" t="n">
        <v>2.87040253</v>
      </c>
    </row>
    <row r="48" spans="1:18">
      <c r="A48" s="15" t="s">
        <v>607</v>
      </c>
      <c r="B48" s="17" t="n">
        <v>4682</v>
      </c>
      <c r="C48" s="18">
        <f>(4157.0/B48*100)</f>
        <v/>
      </c>
      <c r="D48" s="19" t="n">
        <v>525</v>
      </c>
      <c r="E48" s="18" t="n">
        <v>42.40744004</v>
      </c>
      <c r="F48" s="20" t="n">
        <v>2.53911153</v>
      </c>
      <c r="G48" s="18" t="n">
        <v>47.96082818</v>
      </c>
      <c r="H48" s="20" t="n">
        <v>3.07639174</v>
      </c>
      <c r="I48" s="18" t="n">
        <v>0</v>
      </c>
      <c r="J48" s="20" t="n">
        <v>0</v>
      </c>
      <c r="K48" s="18" t="n">
        <v>0.58436174</v>
      </c>
      <c r="L48" s="20" t="n">
        <v>0.41601435</v>
      </c>
      <c r="M48" s="18" t="n">
        <v>0</v>
      </c>
      <c r="N48" s="20" t="n">
        <v>0</v>
      </c>
      <c r="O48" s="18" t="n">
        <v>0</v>
      </c>
      <c r="P48" s="20" t="n">
        <v>0</v>
      </c>
      <c r="Q48" s="18" t="n">
        <v>9.04737005</v>
      </c>
      <c r="R48" s="20" t="n">
        <v>1.84248073</v>
      </c>
    </row>
    <row r="49" spans="1:18">
      <c r="A49" s="15" t="s">
        <v>608</v>
      </c>
      <c r="B49" s="17" t="n">
        <v>6158</v>
      </c>
      <c r="C49" s="18">
        <f>(5507.0/B49*100)</f>
        <v/>
      </c>
      <c r="D49" s="19" t="n">
        <v>651</v>
      </c>
      <c r="E49" s="18" t="n">
        <v>78.47290303</v>
      </c>
      <c r="F49" s="20" t="n">
        <v>1.96614527</v>
      </c>
      <c r="G49" s="18" t="n">
        <v>11.02413126</v>
      </c>
      <c r="H49" s="20" t="n">
        <v>1.35213015</v>
      </c>
      <c r="I49" s="18" t="n">
        <v>0</v>
      </c>
      <c r="J49" s="20" t="n">
        <v>0</v>
      </c>
      <c r="K49" s="18" t="n">
        <v>2.64331717</v>
      </c>
      <c r="L49" s="20" t="n">
        <v>1.05784444</v>
      </c>
      <c r="M49" s="18" t="n">
        <v>0.33489595</v>
      </c>
      <c r="N49" s="20" t="n">
        <v>0.2111806</v>
      </c>
      <c r="O49" s="18" t="n">
        <v>0</v>
      </c>
      <c r="P49" s="20" t="n">
        <v>0</v>
      </c>
      <c r="Q49" s="18" t="n">
        <v>7.52475258</v>
      </c>
      <c r="R49" s="20" t="n">
        <v>1.31928392</v>
      </c>
    </row>
    <row r="50" spans="1:18">
      <c r="A50" s="15" t="s">
        <v>609</v>
      </c>
      <c r="B50" s="17" t="n">
        <v>3494</v>
      </c>
      <c r="C50" s="18">
        <f>(3166.0/B50*100)</f>
        <v/>
      </c>
      <c r="D50" s="19" t="n">
        <v>328</v>
      </c>
      <c r="E50" s="18" t="n">
        <v>77.25790000000001</v>
      </c>
      <c r="F50" s="20" t="n">
        <v>2.58988033</v>
      </c>
      <c r="G50" s="18" t="n">
        <v>15.21538227</v>
      </c>
      <c r="H50" s="20" t="n">
        <v>1.8805237</v>
      </c>
      <c r="I50" s="18" t="n">
        <v>0</v>
      </c>
      <c r="J50" s="20" t="n">
        <v>0</v>
      </c>
      <c r="K50" s="18" t="n">
        <v>0.5504412400000001</v>
      </c>
      <c r="L50" s="20" t="n">
        <v>0.32913185</v>
      </c>
      <c r="M50" s="18" t="n">
        <v>0</v>
      </c>
      <c r="N50" s="20" t="n">
        <v>0</v>
      </c>
      <c r="O50" s="18" t="n">
        <v>0</v>
      </c>
      <c r="P50" s="20" t="n">
        <v>0</v>
      </c>
      <c r="Q50" s="18" t="n">
        <v>6.9762765</v>
      </c>
      <c r="R50" s="20" t="n">
        <v>1.7535372</v>
      </c>
    </row>
    <row r="51" spans="1:18">
      <c r="A51" s="15" t="s">
        <v>610</v>
      </c>
      <c r="B51" s="17" t="n">
        <v>3013</v>
      </c>
      <c r="C51" s="18">
        <f>(2683.0/B51*100)</f>
        <v/>
      </c>
      <c r="D51" s="19" t="n">
        <v>330</v>
      </c>
      <c r="E51" s="18" t="n">
        <v>69.40762932</v>
      </c>
      <c r="F51" s="20" t="n">
        <v>2.56581898</v>
      </c>
      <c r="G51" s="18" t="n">
        <v>20.02110208</v>
      </c>
      <c r="H51" s="20" t="n">
        <v>2.3263457</v>
      </c>
      <c r="I51" s="18" t="n">
        <v>0</v>
      </c>
      <c r="J51" s="20" t="n">
        <v>0</v>
      </c>
      <c r="K51" s="18" t="n">
        <v>0</v>
      </c>
      <c r="L51" s="20" t="n">
        <v>0</v>
      </c>
      <c r="M51" s="18" t="n">
        <v>0</v>
      </c>
      <c r="N51" s="20" t="n">
        <v>0</v>
      </c>
      <c r="O51" s="18" t="n">
        <v>0</v>
      </c>
      <c r="P51" s="20" t="n">
        <v>0</v>
      </c>
      <c r="Q51" s="18" t="n">
        <v>10.5712686</v>
      </c>
      <c r="R51" s="20" t="n">
        <v>1.44456953</v>
      </c>
    </row>
    <row r="52" spans="1:18">
      <c r="A52" s="15" t="s">
        <v>611</v>
      </c>
      <c r="B52" s="17" t="n">
        <v>2760</v>
      </c>
      <c r="C52" s="18">
        <f>(2437.0/B52*100)</f>
        <v/>
      </c>
      <c r="D52" s="19" t="n">
        <v>323</v>
      </c>
      <c r="E52" s="18" t="n">
        <v>67.0161356</v>
      </c>
      <c r="F52" s="20" t="n">
        <v>2.91550283</v>
      </c>
      <c r="G52" s="18" t="n">
        <v>13.91290506</v>
      </c>
      <c r="H52" s="20" t="n">
        <v>1.93379272</v>
      </c>
      <c r="I52" s="18" t="n">
        <v>0</v>
      </c>
      <c r="J52" s="20" t="n">
        <v>0</v>
      </c>
      <c r="K52" s="18" t="n">
        <v>0</v>
      </c>
      <c r="L52" s="20" t="n">
        <v>0</v>
      </c>
      <c r="M52" s="18" t="n">
        <v>0</v>
      </c>
      <c r="N52" s="20" t="n">
        <v>0</v>
      </c>
      <c r="O52" s="18" t="n">
        <v>0</v>
      </c>
      <c r="P52" s="20" t="n">
        <v>0</v>
      </c>
      <c r="Q52" s="18" t="n">
        <v>19.07095934</v>
      </c>
      <c r="R52" s="20" t="n">
        <v>2.26777658</v>
      </c>
    </row>
    <row r="53" spans="1:18">
      <c r="A53" s="15" t="s">
        <v>612</v>
      </c>
      <c r="B53" s="17" t="n">
        <v>2474</v>
      </c>
      <c r="C53" s="18">
        <f>(2207.0/B53*100)</f>
        <v/>
      </c>
      <c r="D53" s="19" t="n">
        <v>267</v>
      </c>
      <c r="E53" s="18" t="n">
        <v>61.81430211</v>
      </c>
      <c r="F53" s="20" t="n">
        <v>3.50248318</v>
      </c>
      <c r="G53" s="18" t="n">
        <v>1.25850058</v>
      </c>
      <c r="H53" s="20" t="n">
        <v>0.69451175</v>
      </c>
      <c r="I53" s="18" t="n">
        <v>0</v>
      </c>
      <c r="J53" s="20" t="n">
        <v>0</v>
      </c>
      <c r="K53" s="18" t="n">
        <v>24.13959658</v>
      </c>
      <c r="L53" s="20" t="n">
        <v>2.74921146</v>
      </c>
      <c r="M53" s="18" t="n">
        <v>0.42579296</v>
      </c>
      <c r="N53" s="20" t="n">
        <v>0.48870388</v>
      </c>
      <c r="O53" s="18" t="n">
        <v>0</v>
      </c>
      <c r="P53" s="20" t="n">
        <v>0</v>
      </c>
      <c r="Q53" s="18" t="n">
        <v>12.36180776</v>
      </c>
      <c r="R53" s="20" t="n">
        <v>2.17110995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(2382.0/B55*100)</f>
        <v/>
      </c>
      <c r="D55" s="19" t="n">
        <v>293</v>
      </c>
      <c r="E55" s="18" t="n">
        <v>45.56016878</v>
      </c>
      <c r="F55" s="20" t="n">
        <v>2.98901664</v>
      </c>
      <c r="G55" s="18" t="n">
        <v>46.66465767</v>
      </c>
      <c r="H55" s="20" t="n">
        <v>3.03589091</v>
      </c>
      <c r="I55" s="18" t="n">
        <v>0</v>
      </c>
      <c r="J55" s="20" t="n">
        <v>0</v>
      </c>
      <c r="K55" s="18" t="n">
        <v>0.67248217</v>
      </c>
      <c r="L55" s="20" t="n">
        <v>0.65440873</v>
      </c>
      <c r="M55" s="18" t="n">
        <v>0</v>
      </c>
      <c r="N55" s="20" t="n">
        <v>0</v>
      </c>
      <c r="O55" s="18" t="n">
        <v>0</v>
      </c>
      <c r="P55" s="20" t="n">
        <v>0</v>
      </c>
      <c r="Q55" s="18" t="n">
        <v>7.10269137</v>
      </c>
      <c r="R55" s="20" t="n">
        <v>1.42060012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(2835.0/B61*100)</f>
        <v/>
      </c>
      <c r="D61" s="19" t="n">
        <v>366</v>
      </c>
      <c r="E61" s="18" t="n">
        <v>71.29214354</v>
      </c>
      <c r="F61" s="20" t="n">
        <v>2.04261419</v>
      </c>
      <c r="G61" s="18" t="n">
        <v>19.30069959</v>
      </c>
      <c r="H61" s="20" t="n">
        <v>1.96764349</v>
      </c>
      <c r="I61" s="18" t="n">
        <v>0</v>
      </c>
      <c r="J61" s="20" t="n">
        <v>0</v>
      </c>
      <c r="K61" s="18" t="n">
        <v>0</v>
      </c>
      <c r="L61" s="20" t="n">
        <v>0</v>
      </c>
      <c r="M61" s="18" t="n">
        <v>0</v>
      </c>
      <c r="N61" s="20" t="n">
        <v>0</v>
      </c>
      <c r="O61" s="18" t="n">
        <v>0</v>
      </c>
      <c r="P61" s="20" t="n">
        <v>0</v>
      </c>
      <c r="Q61" s="18" t="n">
        <v>9.40715687</v>
      </c>
      <c r="R61" s="20" t="n">
        <v>1.51790393</v>
      </c>
    </row>
    <row r="62" spans="1:18">
      <c r="A62" s="15" t="s">
        <v>622</v>
      </c>
      <c r="B62" s="17" t="n">
        <v>2230</v>
      </c>
      <c r="C62" s="18">
        <f>(1979.0/B62*100)</f>
        <v/>
      </c>
      <c r="D62" s="19" t="n">
        <v>251</v>
      </c>
      <c r="E62" s="18" t="n">
        <v>73.73538139999999</v>
      </c>
      <c r="F62" s="20" t="n">
        <v>2.47462765</v>
      </c>
      <c r="G62" s="18" t="n">
        <v>23.45460825</v>
      </c>
      <c r="H62" s="20" t="n">
        <v>2.55928</v>
      </c>
      <c r="I62" s="18" t="n">
        <v>0</v>
      </c>
      <c r="J62" s="20" t="n">
        <v>0</v>
      </c>
      <c r="K62" s="18" t="n">
        <v>0</v>
      </c>
      <c r="L62" s="20" t="n">
        <v>0</v>
      </c>
      <c r="M62" s="18" t="n">
        <v>0</v>
      </c>
      <c r="N62" s="20" t="n">
        <v>0</v>
      </c>
      <c r="O62" s="18" t="n">
        <v>0</v>
      </c>
      <c r="P62" s="20" t="n">
        <v>0</v>
      </c>
      <c r="Q62" s="18" t="n">
        <v>2.81001035</v>
      </c>
      <c r="R62" s="20" t="n">
        <v>1.15200085</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(2482.0/B67*100)</f>
        <v/>
      </c>
      <c r="D67" s="19" t="n">
        <v>289</v>
      </c>
      <c r="E67" s="18" t="n">
        <v>62.31663732</v>
      </c>
      <c r="F67" s="20" t="n">
        <v>2.5314016</v>
      </c>
      <c r="G67" s="18" t="n">
        <v>9.721781379999999</v>
      </c>
      <c r="H67" s="20" t="n">
        <v>1.68779888</v>
      </c>
      <c r="I67" s="18" t="n">
        <v>0</v>
      </c>
      <c r="J67" s="20" t="n">
        <v>0</v>
      </c>
      <c r="K67" s="18" t="n">
        <v>0.97161801</v>
      </c>
      <c r="L67" s="20" t="n">
        <v>0.55062696</v>
      </c>
      <c r="M67" s="18" t="n">
        <v>0.58828204</v>
      </c>
      <c r="N67" s="20" t="n">
        <v>0.41153291</v>
      </c>
      <c r="O67" s="18" t="n">
        <v>0</v>
      </c>
      <c r="P67" s="20" t="n">
        <v>0</v>
      </c>
      <c r="Q67" s="18" t="n">
        <v>26.40168125</v>
      </c>
      <c r="R67" s="20" t="n">
        <v>2.55836799</v>
      </c>
    </row>
    <row r="68" spans="1:18">
      <c r="A68" s="15" t="s">
        <v>628</v>
      </c>
      <c r="B68" s="17" t="n">
        <v>3460</v>
      </c>
      <c r="C68" s="18">
        <f>(3148.0/B68*100)</f>
        <v/>
      </c>
      <c r="D68" s="19" t="n">
        <v>312</v>
      </c>
      <c r="E68" s="18" t="n">
        <v>72.39689978</v>
      </c>
      <c r="F68" s="20" t="n">
        <v>2.05890819</v>
      </c>
      <c r="G68" s="18" t="n">
        <v>14.88202701</v>
      </c>
      <c r="H68" s="20" t="n">
        <v>1.84350051</v>
      </c>
      <c r="I68" s="18" t="n">
        <v>0</v>
      </c>
      <c r="J68" s="20" t="n">
        <v>0</v>
      </c>
      <c r="K68" s="18" t="n">
        <v>0.30947709</v>
      </c>
      <c r="L68" s="20" t="n">
        <v>0.33645639</v>
      </c>
      <c r="M68" s="18" t="n">
        <v>0.32484133</v>
      </c>
      <c r="N68" s="20" t="n">
        <v>0.32742384</v>
      </c>
      <c r="O68" s="18" t="n">
        <v>0</v>
      </c>
      <c r="P68" s="20" t="n">
        <v>0</v>
      </c>
      <c r="Q68" s="18" t="n">
        <v>12.08675479</v>
      </c>
      <c r="R68" s="20" t="n">
        <v>1.52841703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(5359.0/B70*100)</f>
        <v/>
      </c>
      <c r="D70" s="19" t="n">
        <v>675</v>
      </c>
      <c r="E70" s="18" t="n">
        <v>60.23674668</v>
      </c>
      <c r="F70" s="20" t="n">
        <v>1.91804203</v>
      </c>
      <c r="G70" s="18" t="n">
        <v>17.33008694</v>
      </c>
      <c r="H70" s="20" t="n">
        <v>1.46947907</v>
      </c>
      <c r="I70" s="18" t="n">
        <v>0</v>
      </c>
      <c r="J70" s="20" t="n">
        <v>0</v>
      </c>
      <c r="K70" s="18" t="n">
        <v>2.32876855</v>
      </c>
      <c r="L70" s="20" t="n">
        <v>0.6268566800000001</v>
      </c>
      <c r="M70" s="18" t="n">
        <v>0.15539285</v>
      </c>
      <c r="N70" s="20" t="n">
        <v>0.15316817</v>
      </c>
      <c r="O70" s="18" t="n">
        <v>0</v>
      </c>
      <c r="P70" s="20" t="n">
        <v>0</v>
      </c>
      <c r="Q70" s="18" t="n">
        <v>19.94900498</v>
      </c>
      <c r="R70" s="20" t="n">
        <v>1.59937036</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(2775.0/B72*100)</f>
        <v/>
      </c>
      <c r="D72" s="19" t="n">
        <v>332</v>
      </c>
      <c r="E72" s="18" t="n">
        <v>54.58049013</v>
      </c>
      <c r="F72" s="20" t="n">
        <v>3.05123139</v>
      </c>
      <c r="G72" s="18" t="n">
        <v>31.85974422</v>
      </c>
      <c r="H72" s="20" t="n">
        <v>2.99222653</v>
      </c>
      <c r="I72" s="18" t="n">
        <v>0</v>
      </c>
      <c r="J72" s="20" t="n">
        <v>0</v>
      </c>
      <c r="K72" s="18" t="n">
        <v>0</v>
      </c>
      <c r="L72" s="20" t="n">
        <v>0</v>
      </c>
      <c r="M72" s="18" t="n">
        <v>0</v>
      </c>
      <c r="N72" s="20" t="n">
        <v>0</v>
      </c>
      <c r="O72" s="18" t="n">
        <v>0</v>
      </c>
      <c r="P72" s="20" t="n">
        <v>0</v>
      </c>
      <c r="Q72" s="18" t="n">
        <v>13.55976565</v>
      </c>
      <c r="R72" s="20" t="n">
        <v>2.37979695</v>
      </c>
    </row>
    <row r="73" spans="1:18">
      <c r="A73" s="15" t="s">
        <v>633</v>
      </c>
      <c r="B73" s="17" t="n">
        <v>2973</v>
      </c>
      <c r="C73" s="18">
        <f>(2651.0/B73*100)</f>
        <v/>
      </c>
      <c r="D73" s="19" t="n">
        <v>322</v>
      </c>
      <c r="E73" s="18" t="n">
        <v>61.1561911</v>
      </c>
      <c r="F73" s="20" t="n">
        <v>3.34448876</v>
      </c>
      <c r="G73" s="18" t="n">
        <v>35.46389721</v>
      </c>
      <c r="H73" s="20" t="n">
        <v>2.82077263</v>
      </c>
      <c r="I73" s="18" t="n">
        <v>0</v>
      </c>
      <c r="J73" s="20" t="n">
        <v>0</v>
      </c>
      <c r="K73" s="18" t="n">
        <v>0</v>
      </c>
      <c r="L73" s="20" t="n">
        <v>0</v>
      </c>
      <c r="M73" s="18" t="n">
        <v>0</v>
      </c>
      <c r="N73" s="20" t="n">
        <v>0</v>
      </c>
      <c r="O73" s="18" t="n">
        <v>0</v>
      </c>
      <c r="P73" s="20" t="n">
        <v>0</v>
      </c>
      <c r="Q73" s="18" t="n">
        <v>3.3799117</v>
      </c>
      <c r="R73" s="20" t="n">
        <v>1.95873377</v>
      </c>
    </row>
    <row r="74" spans="1:18">
      <c r="A74" s="15" t="s">
        <v>634</v>
      </c>
      <c r="B74" s="17" t="n">
        <v>3819</v>
      </c>
      <c r="C74" s="18">
        <f>(3365.0/B74*100)</f>
        <v/>
      </c>
      <c r="D74" s="19" t="n">
        <v>454</v>
      </c>
      <c r="E74" s="18" t="n">
        <v>61.75943118</v>
      </c>
      <c r="F74" s="20" t="n">
        <v>2.92664376</v>
      </c>
      <c r="G74" s="18" t="n">
        <v>30.34570534</v>
      </c>
      <c r="H74" s="20" t="n">
        <v>2.89277963</v>
      </c>
      <c r="I74" s="18" t="n">
        <v>0</v>
      </c>
      <c r="J74" s="20" t="n">
        <v>0</v>
      </c>
      <c r="K74" s="18" t="n">
        <v>0.24192275</v>
      </c>
      <c r="L74" s="20" t="n">
        <v>0.2425786</v>
      </c>
      <c r="M74" s="18" t="n">
        <v>0</v>
      </c>
      <c r="N74" s="20" t="n">
        <v>0</v>
      </c>
      <c r="O74" s="18" t="n">
        <v>0</v>
      </c>
      <c r="P74" s="20" t="n">
        <v>0</v>
      </c>
      <c r="Q74" s="18" t="n">
        <v>7.65294073</v>
      </c>
      <c r="R74" s="20" t="n">
        <v>1.48581339</v>
      </c>
    </row>
    <row r="75" spans="1:18">
      <c r="A75" s="15" t="s">
        <v>635</v>
      </c>
      <c r="B75" s="17" t="n">
        <v>4652</v>
      </c>
      <c r="C75" s="18">
        <f>(4177.0/B75*100)</f>
        <v/>
      </c>
      <c r="D75" s="19" t="n">
        <v>475</v>
      </c>
      <c r="E75" s="18" t="n">
        <v>91.15918309</v>
      </c>
      <c r="F75" s="20" t="n">
        <v>1.46993894</v>
      </c>
      <c r="G75" s="18" t="n">
        <v>6.32197865</v>
      </c>
      <c r="H75" s="20" t="n">
        <v>1.28757055</v>
      </c>
      <c r="I75" s="18" t="n">
        <v>0</v>
      </c>
      <c r="J75" s="20" t="n">
        <v>0</v>
      </c>
      <c r="K75" s="18" t="n">
        <v>0</v>
      </c>
      <c r="L75" s="20" t="n">
        <v>0</v>
      </c>
      <c r="M75" s="18" t="n">
        <v>0</v>
      </c>
      <c r="N75" s="20" t="n">
        <v>0</v>
      </c>
      <c r="O75" s="18" t="n">
        <v>0</v>
      </c>
      <c r="P75" s="20" t="n">
        <v>0</v>
      </c>
      <c r="Q75" s="18" t="n">
        <v>2.51883825</v>
      </c>
      <c r="R75" s="20" t="n">
        <v>0.85758211</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(2686.0/B77*100)</f>
        <v/>
      </c>
      <c r="D77" s="19" t="n">
        <v>283</v>
      </c>
      <c r="E77" s="18" t="n">
        <v>55.86088656</v>
      </c>
      <c r="F77" s="20" t="n">
        <v>2.73125112</v>
      </c>
      <c r="G77" s="18" t="n">
        <v>14.70118868</v>
      </c>
      <c r="H77" s="20" t="n">
        <v>2.21522281</v>
      </c>
      <c r="I77" s="18" t="n">
        <v>0</v>
      </c>
      <c r="J77" s="20" t="n">
        <v>0</v>
      </c>
      <c r="K77" s="18" t="n">
        <v>5.75739763</v>
      </c>
      <c r="L77" s="20" t="n">
        <v>1.25203896</v>
      </c>
      <c r="M77" s="18" t="n">
        <v>0.73894967</v>
      </c>
      <c r="N77" s="20" t="n">
        <v>0.7345590400000001</v>
      </c>
      <c r="O77" s="18" t="n">
        <v>0</v>
      </c>
      <c r="P77" s="20" t="n">
        <v>0</v>
      </c>
      <c r="Q77" s="18" t="n">
        <v>22.94157746</v>
      </c>
      <c r="R77" s="20" t="n">
        <v>2.59539338</v>
      </c>
    </row>
    <row r="78" spans="1:18">
      <c r="A78" s="15" t="s">
        <v>638</v>
      </c>
      <c r="B78" s="17" t="n">
        <v>7115</v>
      </c>
      <c r="C78" s="18">
        <f>(6297.0/B78*100)</f>
        <v/>
      </c>
      <c r="D78" s="19" t="n">
        <v>818</v>
      </c>
      <c r="E78" s="18" t="n">
        <v>71.32115478999999</v>
      </c>
      <c r="F78" s="20" t="n">
        <v>1.65754003</v>
      </c>
      <c r="G78" s="18" t="n">
        <v>20.30065571</v>
      </c>
      <c r="H78" s="20" t="n">
        <v>1.42050527</v>
      </c>
      <c r="I78" s="18" t="n">
        <v>0</v>
      </c>
      <c r="J78" s="20" t="n">
        <v>0</v>
      </c>
      <c r="K78" s="18" t="n">
        <v>1.16073157</v>
      </c>
      <c r="L78" s="20" t="n">
        <v>0.42857503</v>
      </c>
      <c r="M78" s="18" t="n">
        <v>0.04231415</v>
      </c>
      <c r="N78" s="20" t="n">
        <v>0.04387807</v>
      </c>
      <c r="O78" s="18" t="n">
        <v>0</v>
      </c>
      <c r="P78" s="20" t="n">
        <v>0</v>
      </c>
      <c r="Q78" s="18" t="n">
        <v>7.17514378</v>
      </c>
      <c r="R78" s="20" t="n">
        <v>1.03198362</v>
      </c>
    </row>
    <row r="79" spans="1:18">
      <c r="A79" s="15" t="s">
        <v>639</v>
      </c>
      <c r="B79" s="17" t="n">
        <v>3154</v>
      </c>
      <c r="C79" s="18">
        <f>(2819.0/B79*100)</f>
        <v/>
      </c>
      <c r="D79" s="19" t="n">
        <v>335</v>
      </c>
      <c r="E79" s="18" t="n">
        <v>61.08003249</v>
      </c>
      <c r="F79" s="20" t="n">
        <v>2.87788195</v>
      </c>
      <c r="G79" s="18" t="n">
        <v>7.79980345</v>
      </c>
      <c r="H79" s="20" t="n">
        <v>1.29717287</v>
      </c>
      <c r="I79" s="18" t="n">
        <v>0</v>
      </c>
      <c r="J79" s="20" t="n">
        <v>0</v>
      </c>
      <c r="K79" s="18" t="n">
        <v>1.42376133</v>
      </c>
      <c r="L79" s="20" t="n">
        <v>0.72590794</v>
      </c>
      <c r="M79" s="18" t="n">
        <v>0</v>
      </c>
      <c r="N79" s="20" t="n">
        <v>0</v>
      </c>
      <c r="O79" s="18" t="n">
        <v>0</v>
      </c>
      <c r="P79" s="20" t="n">
        <v>0</v>
      </c>
      <c r="Q79" s="18" t="n">
        <v>29.69640272</v>
      </c>
      <c r="R79" s="20" t="n">
        <v>2.77131167</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(14281.0/B82*100)</f>
        <v/>
      </c>
      <c r="D82" s="19" t="n">
        <v>1680</v>
      </c>
      <c r="E82" s="18" t="n">
        <v>67.40005963999999</v>
      </c>
      <c r="F82" s="20" t="n">
        <v>1.71199363</v>
      </c>
      <c r="G82" s="18" t="n">
        <v>23.9930679</v>
      </c>
      <c r="H82" s="20" t="n">
        <v>1.52126762</v>
      </c>
      <c r="I82" s="18" t="n">
        <v>0</v>
      </c>
      <c r="J82" s="20" t="n">
        <v>0</v>
      </c>
      <c r="K82" s="18" t="n">
        <v>0.06338572000000001</v>
      </c>
      <c r="L82" s="20" t="n">
        <v>0.03878569</v>
      </c>
      <c r="M82" s="18" t="n">
        <v>0</v>
      </c>
      <c r="N82" s="20" t="n">
        <v>0</v>
      </c>
      <c r="O82" s="18" t="n">
        <v>0</v>
      </c>
      <c r="P82" s="20" t="n">
        <v>0</v>
      </c>
      <c r="Q82" s="18" t="n">
        <v>8.54348675</v>
      </c>
      <c r="R82" s="20" t="n">
        <v>0.98698202</v>
      </c>
    </row>
    <row r="83" spans="1:18">
      <c r="A83" s="15" t="s">
        <v>643</v>
      </c>
      <c r="B83" s="17" t="n">
        <v>808</v>
      </c>
      <c r="C83" s="18">
        <f>(721.0/B83*100)</f>
        <v/>
      </c>
      <c r="D83" s="19" t="n">
        <v>87</v>
      </c>
      <c r="E83" s="18" t="n">
        <v>72.03086643</v>
      </c>
      <c r="F83" s="20" t="n">
        <v>4.65943156</v>
      </c>
      <c r="G83" s="18" t="n">
        <v>26.91879934</v>
      </c>
      <c r="H83" s="20" t="n">
        <v>4.61866953</v>
      </c>
      <c r="I83" s="18" t="n">
        <v>0</v>
      </c>
      <c r="J83" s="20" t="n">
        <v>0</v>
      </c>
      <c r="K83" s="18" t="n">
        <v>0</v>
      </c>
      <c r="L83" s="20" t="n">
        <v>0</v>
      </c>
      <c r="M83" s="18" t="n">
        <v>0</v>
      </c>
      <c r="N83" s="20" t="n">
        <v>0</v>
      </c>
      <c r="O83" s="18" t="n">
        <v>0</v>
      </c>
      <c r="P83" s="20" t="n">
        <v>0</v>
      </c>
      <c r="Q83" s="18" t="n">
        <v>1.05033423</v>
      </c>
      <c r="R83" s="20" t="n">
        <v>1.01451284</v>
      </c>
    </row>
    <row r="84" spans="1:18">
      <c r="A84" s="23" t="s">
        <v>644</v>
      </c>
      <c r="B84" s="24" t="n">
        <v>938</v>
      </c>
      <c r="C84" s="25">
        <f>(842.0/B84*100)</f>
        <v/>
      </c>
      <c r="D84" s="19" t="n">
        <v>96</v>
      </c>
      <c r="E84" s="18" t="n">
        <v>76.44724643000001</v>
      </c>
      <c r="F84" s="20" t="n">
        <v>4.04777643</v>
      </c>
      <c r="G84" s="18" t="n">
        <v>22.3517771</v>
      </c>
      <c r="H84" s="20" t="n">
        <v>4.11921561</v>
      </c>
      <c r="I84" s="18" t="n">
        <v>0</v>
      </c>
      <c r="J84" s="20" t="n">
        <v>0</v>
      </c>
      <c r="K84" s="18" t="n">
        <v>0</v>
      </c>
      <c r="L84" s="20" t="n">
        <v>0</v>
      </c>
      <c r="M84" s="18" t="n">
        <v>0</v>
      </c>
      <c r="N84" s="20" t="n">
        <v>0</v>
      </c>
      <c r="O84" s="18" t="n">
        <v>0</v>
      </c>
      <c r="P84" s="20" t="n">
        <v>0</v>
      </c>
      <c r="Q84" s="18" t="n">
        <v>1.20097648</v>
      </c>
      <c r="R84" s="20" t="n">
        <v>1.27031704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(6366.0/B7*100)</f>
        <v/>
      </c>
      <c r="D7" s="19" t="n">
        <v>797</v>
      </c>
      <c r="E7" s="18" t="n">
        <v>82.07565782</v>
      </c>
      <c r="F7" s="20" t="n">
        <v>1.45098379</v>
      </c>
      <c r="G7" s="18" t="n">
        <v>16.63416739</v>
      </c>
      <c r="H7" s="20" t="n">
        <v>1.44746036</v>
      </c>
      <c r="I7" s="18" t="n">
        <v>0</v>
      </c>
      <c r="J7" s="20" t="n">
        <v>0</v>
      </c>
      <c r="K7" s="18" t="n">
        <v>0.3628487</v>
      </c>
      <c r="L7" s="20" t="n">
        <v>0.2288562</v>
      </c>
      <c r="M7" s="18" t="n">
        <v>0</v>
      </c>
      <c r="N7" s="20" t="n">
        <v>0</v>
      </c>
      <c r="O7" s="18" t="n">
        <v>0</v>
      </c>
      <c r="P7" s="20" t="n">
        <v>0</v>
      </c>
      <c r="Q7" s="18" t="n">
        <v>0.92732609</v>
      </c>
      <c r="R7" s="20" t="n">
        <v>0.36621364</v>
      </c>
    </row>
    <row r="8" spans="1:18">
      <c r="A8" s="15" t="s">
        <v>566</v>
      </c>
      <c r="B8" s="17" t="n">
        <v>3443</v>
      </c>
      <c r="C8" s="18">
        <f>(3062.0/B8*100)</f>
        <v/>
      </c>
      <c r="D8" s="19" t="n">
        <v>381</v>
      </c>
      <c r="E8" s="18" t="n">
        <v>89.90439689999999</v>
      </c>
      <c r="F8" s="20" t="n">
        <v>1.50964891</v>
      </c>
      <c r="G8" s="18" t="n">
        <v>9.085282019999999</v>
      </c>
      <c r="H8" s="20" t="n">
        <v>1.51406151</v>
      </c>
      <c r="I8" s="18" t="n">
        <v>0</v>
      </c>
      <c r="J8" s="20" t="n">
        <v>0</v>
      </c>
      <c r="K8" s="18" t="n">
        <v>0</v>
      </c>
      <c r="L8" s="20" t="n">
        <v>0</v>
      </c>
      <c r="M8" s="18" t="n">
        <v>0</v>
      </c>
      <c r="N8" s="20" t="n">
        <v>0</v>
      </c>
      <c r="O8" s="18" t="n">
        <v>0</v>
      </c>
      <c r="P8" s="20" t="n">
        <v>0</v>
      </c>
      <c r="Q8" s="18" t="n">
        <v>1.01032109</v>
      </c>
      <c r="R8" s="20" t="n">
        <v>0.82775383</v>
      </c>
    </row>
    <row r="9" spans="1:18">
      <c r="A9" s="15" t="s">
        <v>567</v>
      </c>
      <c r="B9" s="17" t="n">
        <v>4752</v>
      </c>
      <c r="C9" s="18">
        <f>(4269.0/B9*100)</f>
        <v/>
      </c>
      <c r="D9" s="19" t="n">
        <v>483</v>
      </c>
      <c r="E9" s="18" t="n">
        <v>91.60218836999999</v>
      </c>
      <c r="F9" s="20" t="n">
        <v>1.34432681</v>
      </c>
      <c r="G9" s="18" t="n">
        <v>5.63285405</v>
      </c>
      <c r="H9" s="20" t="n">
        <v>1.11406778</v>
      </c>
      <c r="I9" s="18" t="n">
        <v>0</v>
      </c>
      <c r="J9" s="20" t="n">
        <v>0</v>
      </c>
      <c r="K9" s="18" t="n">
        <v>1.144817</v>
      </c>
      <c r="L9" s="20" t="n">
        <v>0.46838728</v>
      </c>
      <c r="M9" s="18" t="n">
        <v>0</v>
      </c>
      <c r="N9" s="20" t="n">
        <v>0</v>
      </c>
      <c r="O9" s="18" t="n">
        <v>0</v>
      </c>
      <c r="P9" s="20" t="n">
        <v>0</v>
      </c>
      <c r="Q9" s="18" t="n">
        <v>1.62014059</v>
      </c>
      <c r="R9" s="20" t="n">
        <v>0.82129576</v>
      </c>
    </row>
    <row r="10" spans="1:18">
      <c r="A10" s="15" t="s">
        <v>568</v>
      </c>
      <c r="B10" s="17" t="n">
        <v>10022</v>
      </c>
      <c r="C10" s="18">
        <f>(8927.0/B10*100)</f>
        <v/>
      </c>
      <c r="D10" s="19" t="n">
        <v>1095</v>
      </c>
      <c r="E10" s="18" t="n">
        <v>79.4509896</v>
      </c>
      <c r="F10" s="20" t="n">
        <v>1.82887348</v>
      </c>
      <c r="G10" s="18" t="n">
        <v>19.11015456</v>
      </c>
      <c r="H10" s="20" t="n">
        <v>1.74468702</v>
      </c>
      <c r="I10" s="18" t="n">
        <v>0</v>
      </c>
      <c r="J10" s="20" t="n">
        <v>0</v>
      </c>
      <c r="K10" s="18" t="n">
        <v>1.07442061</v>
      </c>
      <c r="L10" s="20" t="n">
        <v>0.46041193</v>
      </c>
      <c r="M10" s="18" t="n">
        <v>0</v>
      </c>
      <c r="N10" s="20" t="n">
        <v>0</v>
      </c>
      <c r="O10" s="18" t="n">
        <v>0</v>
      </c>
      <c r="P10" s="20" t="n">
        <v>0</v>
      </c>
      <c r="Q10" s="18" t="n">
        <v>0.36443522</v>
      </c>
      <c r="R10" s="20" t="n">
        <v>0.20841584</v>
      </c>
    </row>
    <row r="11" spans="1:18">
      <c r="A11" s="15" t="s">
        <v>569</v>
      </c>
      <c r="B11" s="17" t="n">
        <v>3500</v>
      </c>
      <c r="C11" s="18">
        <f>(3143.0/B11*100)</f>
        <v/>
      </c>
      <c r="D11" s="19" t="n">
        <v>357</v>
      </c>
      <c r="E11" s="18" t="n">
        <v>89.85137065000001</v>
      </c>
      <c r="F11" s="20" t="n">
        <v>1.79595598</v>
      </c>
      <c r="G11" s="18" t="n">
        <v>8.14727574</v>
      </c>
      <c r="H11" s="20" t="n">
        <v>1.64982428</v>
      </c>
      <c r="I11" s="18" t="n">
        <v>0</v>
      </c>
      <c r="J11" s="20" t="n">
        <v>0</v>
      </c>
      <c r="K11" s="18" t="n">
        <v>0.27621069</v>
      </c>
      <c r="L11" s="20" t="n">
        <v>0.27433485</v>
      </c>
      <c r="M11" s="18" t="n">
        <v>0</v>
      </c>
      <c r="N11" s="20" t="n">
        <v>0</v>
      </c>
      <c r="O11" s="18" t="n">
        <v>0</v>
      </c>
      <c r="P11" s="20" t="n">
        <v>0</v>
      </c>
      <c r="Q11" s="18" t="n">
        <v>1.72514293</v>
      </c>
      <c r="R11" s="20" t="n">
        <v>0.72077291</v>
      </c>
    </row>
    <row r="12" spans="1:18">
      <c r="A12" s="15" t="s">
        <v>570</v>
      </c>
      <c r="B12" s="17" t="n">
        <v>3422</v>
      </c>
      <c r="C12" s="18">
        <f>(3069.0/B12*100)</f>
        <v/>
      </c>
      <c r="D12" s="19" t="n">
        <v>353</v>
      </c>
      <c r="E12" s="18" t="n">
        <v>87.06162908</v>
      </c>
      <c r="F12" s="20" t="n">
        <v>1.74484382</v>
      </c>
      <c r="G12" s="18" t="n">
        <v>12.07004001</v>
      </c>
      <c r="H12" s="20" t="n">
        <v>1.6742707</v>
      </c>
      <c r="I12" s="18" t="n">
        <v>0</v>
      </c>
      <c r="J12" s="20" t="n">
        <v>0</v>
      </c>
      <c r="K12" s="18" t="n">
        <v>0.44991044</v>
      </c>
      <c r="L12" s="20" t="n">
        <v>0.33985091</v>
      </c>
      <c r="M12" s="18" t="n">
        <v>0</v>
      </c>
      <c r="N12" s="20" t="n">
        <v>0</v>
      </c>
      <c r="O12" s="18" t="n">
        <v>0</v>
      </c>
      <c r="P12" s="20" t="n">
        <v>0</v>
      </c>
      <c r="Q12" s="18" t="n">
        <v>0.41842046</v>
      </c>
      <c r="R12" s="20" t="n">
        <v>0.29434917</v>
      </c>
    </row>
    <row r="13" spans="1:18">
      <c r="A13" s="15" t="s">
        <v>571</v>
      </c>
      <c r="B13" s="17" t="n">
        <v>3602</v>
      </c>
      <c r="C13" s="18">
        <f>(3197.0/B13*100)</f>
        <v/>
      </c>
      <c r="D13" s="19" t="n">
        <v>405</v>
      </c>
      <c r="E13" s="18" t="n">
        <v>85.14425196000001</v>
      </c>
      <c r="F13" s="20" t="n">
        <v>1.96898371</v>
      </c>
      <c r="G13" s="18" t="n">
        <v>12.44361391</v>
      </c>
      <c r="H13" s="20" t="n">
        <v>1.92110486</v>
      </c>
      <c r="I13" s="18" t="n">
        <v>0</v>
      </c>
      <c r="J13" s="20" t="n">
        <v>0</v>
      </c>
      <c r="K13" s="18" t="n">
        <v>0.9590681599999999</v>
      </c>
      <c r="L13" s="20" t="n">
        <v>0.61674299</v>
      </c>
      <c r="M13" s="18" t="n">
        <v>0</v>
      </c>
      <c r="N13" s="20" t="n">
        <v>0</v>
      </c>
      <c r="O13" s="18" t="n">
        <v>0</v>
      </c>
      <c r="P13" s="20" t="n">
        <v>0</v>
      </c>
      <c r="Q13" s="18" t="n">
        <v>1.45306596</v>
      </c>
      <c r="R13" s="20" t="n">
        <v>0.76996594</v>
      </c>
    </row>
    <row r="14" spans="1:18">
      <c r="A14" s="15" t="s">
        <v>572</v>
      </c>
      <c r="B14" s="17" t="n">
        <v>2788</v>
      </c>
      <c r="C14" s="18">
        <f>(2497.0/B14*100)</f>
        <v/>
      </c>
      <c r="D14" s="19" t="n">
        <v>291</v>
      </c>
      <c r="E14" s="18" t="n">
        <v>79.69835197</v>
      </c>
      <c r="F14" s="20" t="n">
        <v>2.5562014</v>
      </c>
      <c r="G14" s="18" t="n">
        <v>20.03694516</v>
      </c>
      <c r="H14" s="20" t="n">
        <v>2.52345044</v>
      </c>
      <c r="I14" s="18" t="n">
        <v>0</v>
      </c>
      <c r="J14" s="20" t="n">
        <v>0</v>
      </c>
      <c r="K14" s="18" t="n">
        <v>0.26470287</v>
      </c>
      <c r="L14" s="20" t="n">
        <v>0.2719683</v>
      </c>
      <c r="M14" s="18" t="n">
        <v>0</v>
      </c>
      <c r="N14" s="20" t="n">
        <v>0</v>
      </c>
      <c r="O14" s="18" t="n">
        <v>0</v>
      </c>
      <c r="P14" s="20" t="n">
        <v>0</v>
      </c>
      <c r="Q14" s="18" t="n">
        <v>0</v>
      </c>
      <c r="R14" s="20" t="n">
        <v>0</v>
      </c>
    </row>
    <row r="15" spans="1:18">
      <c r="A15" s="15" t="s">
        <v>573</v>
      </c>
      <c r="B15" s="17" t="n">
        <v>2863</v>
      </c>
      <c r="C15" s="18">
        <f>(2529.0/B15*100)</f>
        <v/>
      </c>
      <c r="D15" s="19" t="n">
        <v>334</v>
      </c>
      <c r="E15" s="18" t="n">
        <v>74.16135324</v>
      </c>
      <c r="F15" s="20" t="n">
        <v>2.15303233</v>
      </c>
      <c r="G15" s="18" t="n">
        <v>25.83864676</v>
      </c>
      <c r="H15" s="20" t="n">
        <v>2.15303233</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(2776.0/B16*100)</f>
        <v/>
      </c>
      <c r="D16" s="19" t="n">
        <v>335</v>
      </c>
      <c r="E16" s="18" t="n">
        <v>87.93056244</v>
      </c>
      <c r="F16" s="20" t="n">
        <v>1.8792611</v>
      </c>
      <c r="G16" s="18" t="n">
        <v>8.618221050000001</v>
      </c>
      <c r="H16" s="20" t="n">
        <v>1.44282134</v>
      </c>
      <c r="I16" s="18" t="n">
        <v>0</v>
      </c>
      <c r="J16" s="20" t="n">
        <v>0</v>
      </c>
      <c r="K16" s="18" t="n">
        <v>1.89995286</v>
      </c>
      <c r="L16" s="20" t="n">
        <v>0.8022547</v>
      </c>
      <c r="M16" s="18" t="n">
        <v>0</v>
      </c>
      <c r="N16" s="20" t="n">
        <v>0</v>
      </c>
      <c r="O16" s="18" t="n">
        <v>0</v>
      </c>
      <c r="P16" s="20" t="n">
        <v>0</v>
      </c>
      <c r="Q16" s="18" t="n">
        <v>1.55126366</v>
      </c>
      <c r="R16" s="20" t="n">
        <v>0.74678162</v>
      </c>
    </row>
    <row r="17" spans="1:18">
      <c r="A17" s="15" t="s">
        <v>575</v>
      </c>
      <c r="B17" s="17" t="n">
        <v>3197</v>
      </c>
      <c r="C17" s="18">
        <f>(2837.0/B17*100)</f>
        <v/>
      </c>
      <c r="D17" s="19" t="n">
        <v>360</v>
      </c>
      <c r="E17" s="18" t="n">
        <v>87.24534084</v>
      </c>
      <c r="F17" s="20" t="n">
        <v>1.85554674</v>
      </c>
      <c r="G17" s="18" t="n">
        <v>10.90258559</v>
      </c>
      <c r="H17" s="20" t="n">
        <v>1.70034379</v>
      </c>
      <c r="I17" s="18" t="n">
        <v>0</v>
      </c>
      <c r="J17" s="20" t="n">
        <v>0</v>
      </c>
      <c r="K17" s="18" t="n">
        <v>0.34287505</v>
      </c>
      <c r="L17" s="20" t="n">
        <v>0.34778217</v>
      </c>
      <c r="M17" s="18" t="n">
        <v>0</v>
      </c>
      <c r="N17" s="20" t="n">
        <v>0</v>
      </c>
      <c r="O17" s="18" t="n">
        <v>0</v>
      </c>
      <c r="P17" s="20" t="n">
        <v>0</v>
      </c>
      <c r="Q17" s="18" t="n">
        <v>1.50919852</v>
      </c>
      <c r="R17" s="20" t="n">
        <v>0.41463892</v>
      </c>
    </row>
    <row r="18" spans="1:18">
      <c r="A18" s="15" t="s">
        <v>576</v>
      </c>
      <c r="B18" s="17" t="n">
        <v>2706</v>
      </c>
      <c r="C18" s="18">
        <f>(2412.0/B18*100)</f>
        <v/>
      </c>
      <c r="D18" s="19" t="n">
        <v>294</v>
      </c>
      <c r="E18" s="18" t="n">
        <v>91.28968713</v>
      </c>
      <c r="F18" s="20" t="n">
        <v>1.64159716</v>
      </c>
      <c r="G18" s="18" t="n">
        <v>7.39046425</v>
      </c>
      <c r="H18" s="20" t="n">
        <v>1.52627951</v>
      </c>
      <c r="I18" s="18" t="n">
        <v>0</v>
      </c>
      <c r="J18" s="20" t="n">
        <v>0</v>
      </c>
      <c r="K18" s="18" t="n">
        <v>0.08021114</v>
      </c>
      <c r="L18" s="20" t="n">
        <v>0.08154690000000001</v>
      </c>
      <c r="M18" s="18" t="n">
        <v>0</v>
      </c>
      <c r="N18" s="20" t="n">
        <v>0</v>
      </c>
      <c r="O18" s="18" t="n">
        <v>0</v>
      </c>
      <c r="P18" s="20" t="n">
        <v>0</v>
      </c>
      <c r="Q18" s="18" t="n">
        <v>1.23963748</v>
      </c>
      <c r="R18" s="20" t="n">
        <v>0.65569104</v>
      </c>
    </row>
    <row r="19" spans="1:18">
      <c r="A19" s="15" t="s">
        <v>577</v>
      </c>
      <c r="B19" s="17" t="n">
        <v>2850</v>
      </c>
      <c r="C19" s="18">
        <f>(2547.0/B19*100)</f>
        <v/>
      </c>
      <c r="D19" s="19" t="n">
        <v>303</v>
      </c>
      <c r="E19" s="18" t="n">
        <v>90.16221059</v>
      </c>
      <c r="F19" s="20" t="n">
        <v>1.96015712</v>
      </c>
      <c r="G19" s="18" t="n">
        <v>9.533712489999999</v>
      </c>
      <c r="H19" s="20" t="n">
        <v>1.88964989</v>
      </c>
      <c r="I19" s="18" t="n">
        <v>0</v>
      </c>
      <c r="J19" s="20" t="n">
        <v>0</v>
      </c>
      <c r="K19" s="18" t="n">
        <v>0</v>
      </c>
      <c r="L19" s="20" t="n">
        <v>0</v>
      </c>
      <c r="M19" s="18" t="n">
        <v>0</v>
      </c>
      <c r="N19" s="20" t="n">
        <v>0</v>
      </c>
      <c r="O19" s="18" t="n">
        <v>0</v>
      </c>
      <c r="P19" s="20" t="n">
        <v>0</v>
      </c>
      <c r="Q19" s="18" t="n">
        <v>0.30407691</v>
      </c>
      <c r="R19" s="20" t="n">
        <v>0.280991</v>
      </c>
    </row>
    <row r="20" spans="1:18">
      <c r="A20" s="15" t="s">
        <v>578</v>
      </c>
      <c r="B20" s="17" t="n">
        <v>1741</v>
      </c>
      <c r="C20" s="18">
        <f>(1550.0/B20*100)</f>
        <v/>
      </c>
      <c r="D20" s="19" t="n">
        <v>191</v>
      </c>
      <c r="E20" s="18" t="n">
        <v>87.08941589</v>
      </c>
      <c r="F20" s="20" t="n">
        <v>2.41314249</v>
      </c>
      <c r="G20" s="18" t="n">
        <v>10.36617503</v>
      </c>
      <c r="H20" s="20" t="n">
        <v>2.06446978</v>
      </c>
      <c r="I20" s="18" t="n">
        <v>0</v>
      </c>
      <c r="J20" s="20" t="n">
        <v>0</v>
      </c>
      <c r="K20" s="18" t="n">
        <v>1.44012255</v>
      </c>
      <c r="L20" s="20" t="n">
        <v>0.82558296</v>
      </c>
      <c r="M20" s="18" t="n">
        <v>0</v>
      </c>
      <c r="N20" s="20" t="n">
        <v>0</v>
      </c>
      <c r="O20" s="18" t="n">
        <v>0</v>
      </c>
      <c r="P20" s="20" t="n">
        <v>0</v>
      </c>
      <c r="Q20" s="18" t="n">
        <v>1.10428653</v>
      </c>
      <c r="R20" s="20" t="n">
        <v>0.80814337</v>
      </c>
    </row>
    <row r="21" spans="1:18">
      <c r="A21" s="15" t="s">
        <v>579</v>
      </c>
      <c r="B21" s="17" t="n">
        <v>2833</v>
      </c>
      <c r="C21" s="18">
        <f>(2502.0/B21*100)</f>
        <v/>
      </c>
      <c r="D21" s="19" t="n">
        <v>331</v>
      </c>
      <c r="E21" s="18" t="n">
        <v>85.57083084999999</v>
      </c>
      <c r="F21" s="20" t="n">
        <v>1.90579974</v>
      </c>
      <c r="G21" s="18" t="n">
        <v>12.85524771</v>
      </c>
      <c r="H21" s="20" t="n">
        <v>1.73878319</v>
      </c>
      <c r="I21" s="18" t="n">
        <v>0</v>
      </c>
      <c r="J21" s="20" t="n">
        <v>0</v>
      </c>
      <c r="K21" s="18" t="n">
        <v>0.30529106</v>
      </c>
      <c r="L21" s="20" t="n">
        <v>0.3207416</v>
      </c>
      <c r="M21" s="18" t="n">
        <v>0</v>
      </c>
      <c r="N21" s="20" t="n">
        <v>0</v>
      </c>
      <c r="O21" s="18" t="n">
        <v>0</v>
      </c>
      <c r="P21" s="20" t="n">
        <v>0</v>
      </c>
      <c r="Q21" s="18" t="n">
        <v>1.26863038</v>
      </c>
      <c r="R21" s="20" t="n">
        <v>0.62858562</v>
      </c>
    </row>
    <row r="22" spans="1:18">
      <c r="A22" s="15" t="s">
        <v>580</v>
      </c>
      <c r="B22" s="17" t="n">
        <v>3667</v>
      </c>
      <c r="C22" s="18">
        <f>(3337.0/B22*100)</f>
        <v/>
      </c>
      <c r="D22" s="19" t="n">
        <v>330</v>
      </c>
      <c r="E22" s="18" t="n">
        <v>87.81576257</v>
      </c>
      <c r="F22" s="20" t="n">
        <v>1.87047448</v>
      </c>
      <c r="G22" s="18" t="n">
        <v>9.528055500000001</v>
      </c>
      <c r="H22" s="20" t="n">
        <v>1.74957636</v>
      </c>
      <c r="I22" s="18" t="n">
        <v>0</v>
      </c>
      <c r="J22" s="20" t="n">
        <v>0</v>
      </c>
      <c r="K22" s="18" t="n">
        <v>2.03674195</v>
      </c>
      <c r="L22" s="20" t="n">
        <v>0.73448641</v>
      </c>
      <c r="M22" s="18" t="n">
        <v>0</v>
      </c>
      <c r="N22" s="20" t="n">
        <v>0</v>
      </c>
      <c r="O22" s="18" t="n">
        <v>0</v>
      </c>
      <c r="P22" s="20" t="n">
        <v>0</v>
      </c>
      <c r="Q22" s="18" t="n">
        <v>0.61943998</v>
      </c>
      <c r="R22" s="20" t="n">
        <v>0.43966828</v>
      </c>
    </row>
    <row r="23" spans="1:18">
      <c r="A23" s="15" t="s">
        <v>581</v>
      </c>
      <c r="B23" s="17" t="n">
        <v>5792</v>
      </c>
      <c r="C23" s="18">
        <f>(5164.0/B23*100)</f>
        <v/>
      </c>
      <c r="D23" s="19" t="n">
        <v>628</v>
      </c>
      <c r="E23" s="18" t="n">
        <v>92.24081726</v>
      </c>
      <c r="F23" s="20" t="n">
        <v>1.34915098</v>
      </c>
      <c r="G23" s="18" t="n">
        <v>5.88790279</v>
      </c>
      <c r="H23" s="20" t="n">
        <v>1.18518624</v>
      </c>
      <c r="I23" s="18" t="n">
        <v>0</v>
      </c>
      <c r="J23" s="20" t="n">
        <v>0</v>
      </c>
      <c r="K23" s="18" t="n">
        <v>1.30567881</v>
      </c>
      <c r="L23" s="20" t="n">
        <v>0.7578541</v>
      </c>
      <c r="M23" s="18" t="n">
        <v>0</v>
      </c>
      <c r="N23" s="20" t="n">
        <v>0</v>
      </c>
      <c r="O23" s="18" t="n">
        <v>0</v>
      </c>
      <c r="P23" s="20" t="n">
        <v>0</v>
      </c>
      <c r="Q23" s="18" t="n">
        <v>0.5656011399999999</v>
      </c>
      <c r="R23" s="20" t="n">
        <v>0.62748003</v>
      </c>
    </row>
    <row r="24" spans="1:18">
      <c r="A24" s="15" t="s">
        <v>582</v>
      </c>
      <c r="B24" s="17" t="n">
        <v>3309</v>
      </c>
      <c r="C24" s="18">
        <f>(2948.0/B24*100)</f>
        <v/>
      </c>
      <c r="D24" s="19" t="n">
        <v>361</v>
      </c>
      <c r="E24" s="18" t="n">
        <v>84.42101375999999</v>
      </c>
      <c r="F24" s="20" t="n">
        <v>1.85253479</v>
      </c>
      <c r="G24" s="18" t="n">
        <v>14.14560611</v>
      </c>
      <c r="H24" s="20" t="n">
        <v>1.75260913</v>
      </c>
      <c r="I24" s="18" t="n">
        <v>0</v>
      </c>
      <c r="J24" s="20" t="n">
        <v>0</v>
      </c>
      <c r="K24" s="18" t="n">
        <v>0.59442098</v>
      </c>
      <c r="L24" s="20" t="n">
        <v>0.39925165</v>
      </c>
      <c r="M24" s="18" t="n">
        <v>0</v>
      </c>
      <c r="N24" s="20" t="n">
        <v>0</v>
      </c>
      <c r="O24" s="18" t="n">
        <v>0</v>
      </c>
      <c r="P24" s="20" t="n">
        <v>0</v>
      </c>
      <c r="Q24" s="18" t="n">
        <v>0.83895915</v>
      </c>
      <c r="R24" s="20" t="n">
        <v>0.47197573</v>
      </c>
    </row>
    <row r="25" spans="1:18">
      <c r="A25" s="15" t="s">
        <v>583</v>
      </c>
      <c r="B25" s="17" t="n">
        <v>2669</v>
      </c>
      <c r="C25" s="18">
        <f>(2359.0/B25*100)</f>
        <v/>
      </c>
      <c r="D25" s="19" t="n">
        <v>310</v>
      </c>
      <c r="E25" s="18" t="n">
        <v>88.1574265</v>
      </c>
      <c r="F25" s="20" t="n">
        <v>1.79427646</v>
      </c>
      <c r="G25" s="18" t="n">
        <v>11.26714366</v>
      </c>
      <c r="H25" s="20" t="n">
        <v>1.79905498</v>
      </c>
      <c r="I25" s="18" t="n">
        <v>0</v>
      </c>
      <c r="J25" s="20" t="n">
        <v>0</v>
      </c>
      <c r="K25" s="18" t="n">
        <v>0.57542984</v>
      </c>
      <c r="L25" s="20" t="n">
        <v>0.4117318</v>
      </c>
      <c r="M25" s="18" t="n">
        <v>0</v>
      </c>
      <c r="N25" s="20" t="n">
        <v>0</v>
      </c>
      <c r="O25" s="18" t="n">
        <v>0</v>
      </c>
      <c r="P25" s="20" t="n">
        <v>0</v>
      </c>
      <c r="Q25" s="18" t="n">
        <v>0</v>
      </c>
      <c r="R25" s="20" t="n">
        <v>0</v>
      </c>
    </row>
    <row r="26" spans="1:18">
      <c r="A26" s="15" t="s">
        <v>584</v>
      </c>
      <c r="B26" s="17" t="n">
        <v>2419</v>
      </c>
      <c r="C26" s="18">
        <f>(2146.0/B26*100)</f>
        <v/>
      </c>
      <c r="D26" s="19" t="n">
        <v>273</v>
      </c>
      <c r="E26" s="18" t="n">
        <v>90.20990456</v>
      </c>
      <c r="F26" s="20" t="n">
        <v>1.73257498</v>
      </c>
      <c r="G26" s="18" t="n">
        <v>9.79009544</v>
      </c>
      <c r="H26" s="20" t="n">
        <v>1.73257498</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(2398.0/B27*100)</f>
        <v/>
      </c>
      <c r="D27" s="19" t="n">
        <v>285</v>
      </c>
      <c r="E27" s="18" t="n">
        <v>86.78253332</v>
      </c>
      <c r="F27" s="20" t="n">
        <v>2.3134074</v>
      </c>
      <c r="G27" s="18" t="n">
        <v>12.18461036</v>
      </c>
      <c r="H27" s="20" t="n">
        <v>2.26831885</v>
      </c>
      <c r="I27" s="18" t="n">
        <v>0</v>
      </c>
      <c r="J27" s="20" t="n">
        <v>0</v>
      </c>
      <c r="K27" s="18" t="n">
        <v>0.33771243</v>
      </c>
      <c r="L27" s="20" t="n">
        <v>0.33790326</v>
      </c>
      <c r="M27" s="18" t="n">
        <v>0</v>
      </c>
      <c r="N27" s="20" t="n">
        <v>0</v>
      </c>
      <c r="O27" s="18" t="n">
        <v>0</v>
      </c>
      <c r="P27" s="20" t="n">
        <v>0</v>
      </c>
      <c r="Q27" s="18" t="n">
        <v>0.69514388</v>
      </c>
      <c r="R27" s="20" t="n">
        <v>0.48323212</v>
      </c>
    </row>
    <row r="28" spans="1:18">
      <c r="A28" s="15" t="s">
        <v>586</v>
      </c>
      <c r="B28" s="17" t="n">
        <v>3803</v>
      </c>
      <c r="C28" s="18">
        <f>(3415.0/B28*100)</f>
        <v/>
      </c>
      <c r="D28" s="19" t="n">
        <v>388</v>
      </c>
      <c r="E28" s="18" t="n">
        <v>94.69939402999999</v>
      </c>
      <c r="F28" s="20" t="n">
        <v>1.31464173</v>
      </c>
      <c r="G28" s="18" t="n">
        <v>4.15729308</v>
      </c>
      <c r="H28" s="20" t="n">
        <v>1.14045104</v>
      </c>
      <c r="I28" s="18" t="n">
        <v>0</v>
      </c>
      <c r="J28" s="20" t="n">
        <v>0</v>
      </c>
      <c r="K28" s="18" t="n">
        <v>0.91082126</v>
      </c>
      <c r="L28" s="20" t="n">
        <v>0.56243642</v>
      </c>
      <c r="M28" s="18" t="n">
        <v>0</v>
      </c>
      <c r="N28" s="20" t="n">
        <v>0</v>
      </c>
      <c r="O28" s="18" t="n">
        <v>0</v>
      </c>
      <c r="P28" s="20" t="n">
        <v>0</v>
      </c>
      <c r="Q28" s="18" t="n">
        <v>0.23249163</v>
      </c>
      <c r="R28" s="20" t="n">
        <v>0.23253327</v>
      </c>
    </row>
    <row r="29" spans="1:18">
      <c r="A29" s="15" t="s">
        <v>587</v>
      </c>
      <c r="B29" s="17" t="n">
        <v>2700</v>
      </c>
      <c r="C29" s="18">
        <f>(2399.0/B29*100)</f>
        <v/>
      </c>
      <c r="D29" s="19" t="n">
        <v>301</v>
      </c>
      <c r="E29" s="18" t="n">
        <v>88.73794663</v>
      </c>
      <c r="F29" s="20" t="n">
        <v>1.65126042</v>
      </c>
      <c r="G29" s="18" t="n">
        <v>11.26205337</v>
      </c>
      <c r="H29" s="20" t="n">
        <v>1.65126042</v>
      </c>
      <c r="I29" s="18" t="n">
        <v>0</v>
      </c>
      <c r="J29" s="20" t="n">
        <v>0</v>
      </c>
      <c r="K29" s="18" t="n">
        <v>0</v>
      </c>
      <c r="L29" s="20" t="n">
        <v>0</v>
      </c>
      <c r="M29" s="18" t="n">
        <v>0</v>
      </c>
      <c r="N29" s="20" t="n">
        <v>0</v>
      </c>
      <c r="O29" s="18" t="n">
        <v>0</v>
      </c>
      <c r="P29" s="20" t="n">
        <v>0</v>
      </c>
      <c r="Q29" s="18" t="n">
        <v>0</v>
      </c>
      <c r="R29" s="20" t="n">
        <v>0</v>
      </c>
    </row>
    <row r="30" spans="1:18">
      <c r="A30" s="15" t="s">
        <v>588</v>
      </c>
      <c r="B30" s="17" t="n">
        <v>2257</v>
      </c>
      <c r="C30" s="18">
        <f>(2009.0/B30*100)</f>
        <v/>
      </c>
      <c r="D30" s="19" t="n">
        <v>248</v>
      </c>
      <c r="E30" s="18" t="n">
        <v>82.01823419999999</v>
      </c>
      <c r="F30" s="20" t="n">
        <v>2.19833844</v>
      </c>
      <c r="G30" s="18" t="n">
        <v>15.71828576</v>
      </c>
      <c r="H30" s="20" t="n">
        <v>1.90272485</v>
      </c>
      <c r="I30" s="18" t="n">
        <v>0</v>
      </c>
      <c r="J30" s="20" t="n">
        <v>0</v>
      </c>
      <c r="K30" s="18" t="n">
        <v>0.8414543799999999</v>
      </c>
      <c r="L30" s="20" t="n">
        <v>0.59693498</v>
      </c>
      <c r="M30" s="18" t="n">
        <v>0</v>
      </c>
      <c r="N30" s="20" t="n">
        <v>0</v>
      </c>
      <c r="O30" s="18" t="n">
        <v>0</v>
      </c>
      <c r="P30" s="20" t="n">
        <v>0</v>
      </c>
      <c r="Q30" s="18" t="n">
        <v>1.42202566</v>
      </c>
      <c r="R30" s="20" t="n">
        <v>0.83644603</v>
      </c>
    </row>
    <row r="31" spans="1:18">
      <c r="A31" s="15" t="s">
        <v>589</v>
      </c>
      <c r="B31" s="17" t="n">
        <v>2706</v>
      </c>
      <c r="C31" s="18">
        <f>(2406.0/B31*100)</f>
        <v/>
      </c>
      <c r="D31" s="19" t="n">
        <v>300</v>
      </c>
      <c r="E31" s="18" t="n">
        <v>84.02217115000001</v>
      </c>
      <c r="F31" s="20" t="n">
        <v>2.36752716</v>
      </c>
      <c r="G31" s="18" t="n">
        <v>13.08154713</v>
      </c>
      <c r="H31" s="20" t="n">
        <v>2.15765289</v>
      </c>
      <c r="I31" s="18" t="n">
        <v>0</v>
      </c>
      <c r="J31" s="20" t="n">
        <v>0</v>
      </c>
      <c r="K31" s="18" t="n">
        <v>0.66575361</v>
      </c>
      <c r="L31" s="20" t="n">
        <v>0.4232394</v>
      </c>
      <c r="M31" s="18" t="n">
        <v>0</v>
      </c>
      <c r="N31" s="20" t="n">
        <v>0</v>
      </c>
      <c r="O31" s="18" t="n">
        <v>0</v>
      </c>
      <c r="P31" s="20" t="n">
        <v>0</v>
      </c>
      <c r="Q31" s="18" t="n">
        <v>2.23052811</v>
      </c>
      <c r="R31" s="20" t="n">
        <v>0.83404482</v>
      </c>
    </row>
    <row r="32" spans="1:18">
      <c r="A32" s="15" t="s">
        <v>590</v>
      </c>
      <c r="B32" s="17" t="n">
        <v>2209</v>
      </c>
      <c r="C32" s="18">
        <f>(1963.0/B32*100)</f>
        <v/>
      </c>
      <c r="D32" s="19" t="n">
        <v>246</v>
      </c>
      <c r="E32" s="18" t="n">
        <v>84.61133868</v>
      </c>
      <c r="F32" s="20" t="n">
        <v>2.40457083</v>
      </c>
      <c r="G32" s="18" t="n">
        <v>14.64608539</v>
      </c>
      <c r="H32" s="20" t="n">
        <v>2.24841763</v>
      </c>
      <c r="I32" s="18" t="n">
        <v>0</v>
      </c>
      <c r="J32" s="20" t="n">
        <v>0</v>
      </c>
      <c r="K32" s="18" t="n">
        <v>0.36958463</v>
      </c>
      <c r="L32" s="20" t="n">
        <v>0.3787021</v>
      </c>
      <c r="M32" s="18" t="n">
        <v>0</v>
      </c>
      <c r="N32" s="20" t="n">
        <v>0</v>
      </c>
      <c r="O32" s="18" t="n">
        <v>0</v>
      </c>
      <c r="P32" s="20" t="n">
        <v>0</v>
      </c>
      <c r="Q32" s="18" t="n">
        <v>0.3729913</v>
      </c>
      <c r="R32" s="20" t="n">
        <v>0.37118342</v>
      </c>
    </row>
    <row r="33" spans="1:18">
      <c r="A33" s="15" t="s">
        <v>591</v>
      </c>
      <c r="B33" s="17" t="n">
        <v>3651</v>
      </c>
      <c r="C33" s="18">
        <f>(3273.0/B33*100)</f>
        <v/>
      </c>
      <c r="D33" s="19" t="n">
        <v>378</v>
      </c>
      <c r="E33" s="18" t="n">
        <v>91.63536494</v>
      </c>
      <c r="F33" s="20" t="n">
        <v>1.51133254</v>
      </c>
      <c r="G33" s="18" t="n">
        <v>8.364635059999999</v>
      </c>
      <c r="H33" s="20" t="n">
        <v>1.51133254</v>
      </c>
      <c r="I33" s="18" t="n">
        <v>0</v>
      </c>
      <c r="J33" s="20" t="n">
        <v>0</v>
      </c>
      <c r="K33" s="18" t="n">
        <v>0</v>
      </c>
      <c r="L33" s="20" t="n">
        <v>0</v>
      </c>
      <c r="M33" s="18" t="n">
        <v>0</v>
      </c>
      <c r="N33" s="20" t="n">
        <v>0</v>
      </c>
      <c r="O33" s="18" t="n">
        <v>0</v>
      </c>
      <c r="P33" s="20" t="n">
        <v>0</v>
      </c>
      <c r="Q33" s="18" t="n">
        <v>0</v>
      </c>
      <c r="R33" s="20" t="n">
        <v>0</v>
      </c>
    </row>
    <row r="34" spans="1:18">
      <c r="A34" s="15" t="s">
        <v>592</v>
      </c>
      <c r="B34" s="17" t="n">
        <v>3035</v>
      </c>
      <c r="C34" s="18">
        <f>(2734.0/B34*100)</f>
        <v/>
      </c>
      <c r="D34" s="19" t="n">
        <v>301</v>
      </c>
      <c r="E34" s="18" t="n">
        <v>90.77412227000001</v>
      </c>
      <c r="F34" s="20" t="n">
        <v>1.85602528</v>
      </c>
      <c r="G34" s="18" t="n">
        <v>8.63902261</v>
      </c>
      <c r="H34" s="20" t="n">
        <v>1.71269775</v>
      </c>
      <c r="I34" s="18" t="n">
        <v>0</v>
      </c>
      <c r="J34" s="20" t="n">
        <v>0</v>
      </c>
      <c r="K34" s="18" t="n">
        <v>0.32243514</v>
      </c>
      <c r="L34" s="20" t="n">
        <v>0.31991362</v>
      </c>
      <c r="M34" s="18" t="n">
        <v>0</v>
      </c>
      <c r="N34" s="20" t="n">
        <v>0</v>
      </c>
      <c r="O34" s="18" t="n">
        <v>0</v>
      </c>
      <c r="P34" s="20" t="n">
        <v>0</v>
      </c>
      <c r="Q34" s="18" t="n">
        <v>0.26441998</v>
      </c>
      <c r="R34" s="20" t="n">
        <v>0.26669469</v>
      </c>
    </row>
    <row r="35" spans="1:18">
      <c r="A35" s="15" t="s">
        <v>593</v>
      </c>
      <c r="B35" s="17" t="n">
        <v>2901</v>
      </c>
      <c r="C35" s="18">
        <f>(2595.0/B35*100)</f>
        <v/>
      </c>
      <c r="D35" s="19" t="n">
        <v>306</v>
      </c>
      <c r="E35" s="18" t="n">
        <v>89.45869442</v>
      </c>
      <c r="F35" s="20" t="n">
        <v>2.31926027</v>
      </c>
      <c r="G35" s="18" t="n">
        <v>10.54130558</v>
      </c>
      <c r="H35" s="20" t="n">
        <v>2.31926027</v>
      </c>
      <c r="I35" s="18" t="n">
        <v>0</v>
      </c>
      <c r="J35" s="20" t="n">
        <v>0</v>
      </c>
      <c r="K35" s="18" t="n">
        <v>0</v>
      </c>
      <c r="L35" s="20" t="n">
        <v>0</v>
      </c>
      <c r="M35" s="18" t="n">
        <v>0</v>
      </c>
      <c r="N35" s="20" t="n">
        <v>0</v>
      </c>
      <c r="O35" s="18" t="n">
        <v>0</v>
      </c>
      <c r="P35" s="20" t="n">
        <v>0</v>
      </c>
      <c r="Q35" s="18" t="n">
        <v>0</v>
      </c>
      <c r="R35" s="20" t="n">
        <v>0</v>
      </c>
    </row>
    <row r="36" spans="1:18">
      <c r="A36" s="15" t="s">
        <v>594</v>
      </c>
      <c r="B36" s="17" t="n">
        <v>3404</v>
      </c>
      <c r="C36" s="18">
        <f>(3030.0/B36*100)</f>
        <v/>
      </c>
      <c r="D36" s="19" t="n">
        <v>374</v>
      </c>
      <c r="E36" s="18" t="n">
        <v>89.7245787</v>
      </c>
      <c r="F36" s="20" t="n">
        <v>2.07062818</v>
      </c>
      <c r="G36" s="18" t="n">
        <v>10.01853709</v>
      </c>
      <c r="H36" s="20" t="n">
        <v>1.99906664</v>
      </c>
      <c r="I36" s="18" t="n">
        <v>0</v>
      </c>
      <c r="J36" s="20" t="n">
        <v>0</v>
      </c>
      <c r="K36" s="18" t="n">
        <v>0</v>
      </c>
      <c r="L36" s="20" t="n">
        <v>0</v>
      </c>
      <c r="M36" s="18" t="n">
        <v>0</v>
      </c>
      <c r="N36" s="20" t="n">
        <v>0</v>
      </c>
      <c r="O36" s="18" t="n">
        <v>0</v>
      </c>
      <c r="P36" s="20" t="n">
        <v>0</v>
      </c>
      <c r="Q36" s="18" t="n">
        <v>0.25688422</v>
      </c>
      <c r="R36" s="20" t="n">
        <v>0.25002976</v>
      </c>
    </row>
    <row r="37" spans="1:18">
      <c r="A37" s="15" t="s">
        <v>595</v>
      </c>
      <c r="B37" s="17" t="n">
        <v>2731</v>
      </c>
      <c r="C37" s="18">
        <f>(2454.0/B37*100)</f>
        <v/>
      </c>
      <c r="D37" s="19" t="n">
        <v>277</v>
      </c>
      <c r="E37" s="18" t="n">
        <v>77.61633628</v>
      </c>
      <c r="F37" s="20" t="n">
        <v>2.6699441</v>
      </c>
      <c r="G37" s="18" t="n">
        <v>20.5537585</v>
      </c>
      <c r="H37" s="20" t="n">
        <v>2.73574936</v>
      </c>
      <c r="I37" s="18" t="n">
        <v>0</v>
      </c>
      <c r="J37" s="20" t="n">
        <v>0</v>
      </c>
      <c r="K37" s="18" t="n">
        <v>0.40438424</v>
      </c>
      <c r="L37" s="20" t="n">
        <v>0.40201989</v>
      </c>
      <c r="M37" s="18" t="n">
        <v>0</v>
      </c>
      <c r="N37" s="20" t="n">
        <v>0</v>
      </c>
      <c r="O37" s="18" t="n">
        <v>0</v>
      </c>
      <c r="P37" s="20" t="n">
        <v>0</v>
      </c>
      <c r="Q37" s="18" t="n">
        <v>1.42552097</v>
      </c>
      <c r="R37" s="20" t="n">
        <v>0.70288456</v>
      </c>
    </row>
    <row r="38" spans="1:18">
      <c r="A38" s="15" t="s">
        <v>596</v>
      </c>
      <c r="B38" s="17" t="n">
        <v>2807</v>
      </c>
      <c r="C38" s="18">
        <f>(2516.0/B38*100)</f>
        <v/>
      </c>
      <c r="D38" s="19" t="n">
        <v>291</v>
      </c>
      <c r="E38" s="18" t="n">
        <v>85.64622026000001</v>
      </c>
      <c r="F38" s="20" t="n">
        <v>2.27434289</v>
      </c>
      <c r="G38" s="18" t="n">
        <v>12.34903046</v>
      </c>
      <c r="H38" s="20" t="n">
        <v>2.18134432</v>
      </c>
      <c r="I38" s="18" t="n">
        <v>0</v>
      </c>
      <c r="J38" s="20" t="n">
        <v>0</v>
      </c>
      <c r="K38" s="18" t="n">
        <v>0.34969719</v>
      </c>
      <c r="L38" s="20" t="n">
        <v>0.35786862</v>
      </c>
      <c r="M38" s="18" t="n">
        <v>0</v>
      </c>
      <c r="N38" s="20" t="n">
        <v>0</v>
      </c>
      <c r="O38" s="18" t="n">
        <v>0</v>
      </c>
      <c r="P38" s="20" t="n">
        <v>0</v>
      </c>
      <c r="Q38" s="18" t="n">
        <v>1.65505209</v>
      </c>
      <c r="R38" s="20" t="n">
        <v>0.8477183</v>
      </c>
    </row>
    <row r="39" spans="1:18">
      <c r="A39" s="15" t="s">
        <v>597</v>
      </c>
      <c r="B39" s="17" t="n">
        <v>2938</v>
      </c>
      <c r="C39" s="18">
        <f>(2616.0/B39*100)</f>
        <v/>
      </c>
      <c r="D39" s="19" t="n">
        <v>322</v>
      </c>
      <c r="E39" s="18" t="n">
        <v>94.09566258</v>
      </c>
      <c r="F39" s="20" t="n">
        <v>1.63965366</v>
      </c>
      <c r="G39" s="18" t="n">
        <v>5.18519791</v>
      </c>
      <c r="H39" s="20" t="n">
        <v>1.46707528</v>
      </c>
      <c r="I39" s="18" t="n">
        <v>0</v>
      </c>
      <c r="J39" s="20" t="n">
        <v>0</v>
      </c>
      <c r="K39" s="18" t="n">
        <v>0</v>
      </c>
      <c r="L39" s="20" t="n">
        <v>0</v>
      </c>
      <c r="M39" s="18" t="n">
        <v>0</v>
      </c>
      <c r="N39" s="20" t="n">
        <v>0</v>
      </c>
      <c r="O39" s="18" t="n">
        <v>0</v>
      </c>
      <c r="P39" s="20" t="n">
        <v>0</v>
      </c>
      <c r="Q39" s="18" t="n">
        <v>0.71913952</v>
      </c>
      <c r="R39" s="20" t="n">
        <v>0.51669305</v>
      </c>
    </row>
    <row r="40" spans="1:18">
      <c r="A40" s="15" t="s">
        <v>598</v>
      </c>
      <c r="B40" s="17" t="n">
        <v>6922</v>
      </c>
      <c r="C40" s="18">
        <f>(6131.0/B40*100)</f>
        <v/>
      </c>
      <c r="D40" s="19" t="n">
        <v>791</v>
      </c>
      <c r="E40" s="18" t="n">
        <v>84.11815485</v>
      </c>
      <c r="F40" s="20" t="n">
        <v>1.95492336</v>
      </c>
      <c r="G40" s="18" t="n">
        <v>14.73386301</v>
      </c>
      <c r="H40" s="20" t="n">
        <v>1.96124748</v>
      </c>
      <c r="I40" s="18" t="n">
        <v>0</v>
      </c>
      <c r="J40" s="20" t="n">
        <v>0</v>
      </c>
      <c r="K40" s="18" t="n">
        <v>0.45558624</v>
      </c>
      <c r="L40" s="20" t="n">
        <v>0.3636897</v>
      </c>
      <c r="M40" s="18" t="n">
        <v>0</v>
      </c>
      <c r="N40" s="20" t="n">
        <v>0</v>
      </c>
      <c r="O40" s="18" t="n">
        <v>0</v>
      </c>
      <c r="P40" s="20" t="n">
        <v>0</v>
      </c>
      <c r="Q40" s="18" t="n">
        <v>0.6923959</v>
      </c>
      <c r="R40" s="20" t="n">
        <v>0.3358515</v>
      </c>
    </row>
    <row r="41" spans="1:18">
      <c r="A41" s="15" t="s">
        <v>599</v>
      </c>
      <c r="B41" s="17" t="n">
        <v>2854</v>
      </c>
      <c r="C41" s="18">
        <f>(2576.0/B41*100)</f>
        <v/>
      </c>
      <c r="D41" s="19" t="n">
        <v>278</v>
      </c>
      <c r="E41" s="18" t="n">
        <v>85.22392148</v>
      </c>
      <c r="F41" s="20" t="n">
        <v>2.61794339</v>
      </c>
      <c r="G41" s="18" t="n">
        <v>14.77607852</v>
      </c>
      <c r="H41" s="20" t="n">
        <v>2.61794339</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(11087.0/B46*100)</f>
        <v/>
      </c>
      <c r="D46" s="19" t="n">
        <v>986</v>
      </c>
      <c r="E46" s="18" t="n">
        <v>91.63747635</v>
      </c>
      <c r="F46" s="20" t="n">
        <v>1.1779517</v>
      </c>
      <c r="G46" s="18" t="n">
        <v>4.36169406</v>
      </c>
      <c r="H46" s="20" t="n">
        <v>0.83769155</v>
      </c>
      <c r="I46" s="18" t="n">
        <v>0</v>
      </c>
      <c r="J46" s="20" t="n">
        <v>0</v>
      </c>
      <c r="K46" s="18" t="n">
        <v>1.76081099</v>
      </c>
      <c r="L46" s="20" t="n">
        <v>0.50801487</v>
      </c>
      <c r="M46" s="18" t="n">
        <v>0</v>
      </c>
      <c r="N46" s="20" t="n">
        <v>0</v>
      </c>
      <c r="O46" s="18" t="n">
        <v>0</v>
      </c>
      <c r="P46" s="20" t="n">
        <v>0</v>
      </c>
      <c r="Q46" s="18" t="n">
        <v>2.24001861</v>
      </c>
      <c r="R46" s="20" t="n">
        <v>0.67190872</v>
      </c>
    </row>
    <row r="47" spans="1:18">
      <c r="A47" s="15" t="s">
        <v>606</v>
      </c>
      <c r="B47" s="17" t="n">
        <v>2823</v>
      </c>
      <c r="C47" s="18">
        <f>(2546.0/B47*100)</f>
        <v/>
      </c>
      <c r="D47" s="19" t="n">
        <v>277</v>
      </c>
      <c r="E47" s="18" t="n">
        <v>91.67864572000001</v>
      </c>
      <c r="F47" s="20" t="n">
        <v>1.70130808</v>
      </c>
      <c r="G47" s="18" t="n">
        <v>6.22494647</v>
      </c>
      <c r="H47" s="20" t="n">
        <v>1.41672109</v>
      </c>
      <c r="I47" s="18" t="n">
        <v>0</v>
      </c>
      <c r="J47" s="20" t="n">
        <v>0</v>
      </c>
      <c r="K47" s="18" t="n">
        <v>0.6923573200000001</v>
      </c>
      <c r="L47" s="20" t="n">
        <v>0.48226689</v>
      </c>
      <c r="M47" s="18" t="n">
        <v>0</v>
      </c>
      <c r="N47" s="20" t="n">
        <v>0</v>
      </c>
      <c r="O47" s="18" t="n">
        <v>0</v>
      </c>
      <c r="P47" s="20" t="n">
        <v>0</v>
      </c>
      <c r="Q47" s="18" t="n">
        <v>1.40405048</v>
      </c>
      <c r="R47" s="20" t="n">
        <v>0.66944926</v>
      </c>
    </row>
    <row r="48" spans="1:18">
      <c r="A48" s="15" t="s">
        <v>607</v>
      </c>
      <c r="B48" s="17" t="n">
        <v>4682</v>
      </c>
      <c r="C48" s="18">
        <f>(4158.0/B48*100)</f>
        <v/>
      </c>
      <c r="D48" s="19" t="n">
        <v>524</v>
      </c>
      <c r="E48" s="18" t="n">
        <v>92.85773854999999</v>
      </c>
      <c r="F48" s="20" t="n">
        <v>1.27227335</v>
      </c>
      <c r="G48" s="18" t="n">
        <v>6.55637327</v>
      </c>
      <c r="H48" s="20" t="n">
        <v>1.27866233</v>
      </c>
      <c r="I48" s="18" t="n">
        <v>0</v>
      </c>
      <c r="J48" s="20" t="n">
        <v>0</v>
      </c>
      <c r="K48" s="18" t="n">
        <v>0.58588819</v>
      </c>
      <c r="L48" s="20" t="n">
        <v>0.4171337</v>
      </c>
      <c r="M48" s="18" t="n">
        <v>0</v>
      </c>
      <c r="N48" s="20" t="n">
        <v>0</v>
      </c>
      <c r="O48" s="18" t="n">
        <v>0</v>
      </c>
      <c r="P48" s="20" t="n">
        <v>0</v>
      </c>
      <c r="Q48" s="18" t="n">
        <v>0</v>
      </c>
      <c r="R48" s="20" t="n">
        <v>0</v>
      </c>
    </row>
    <row r="49" spans="1:18">
      <c r="A49" s="15" t="s">
        <v>608</v>
      </c>
      <c r="B49" s="17" t="n">
        <v>6158</v>
      </c>
      <c r="C49" s="18">
        <f>(5510.0/B49*100)</f>
        <v/>
      </c>
      <c r="D49" s="19" t="n">
        <v>648</v>
      </c>
      <c r="E49" s="18" t="n">
        <v>89.2588605</v>
      </c>
      <c r="F49" s="20" t="n">
        <v>1.56297812</v>
      </c>
      <c r="G49" s="18" t="n">
        <v>6.4119886</v>
      </c>
      <c r="H49" s="20" t="n">
        <v>1.08569968</v>
      </c>
      <c r="I49" s="18" t="n">
        <v>0</v>
      </c>
      <c r="J49" s="20" t="n">
        <v>0</v>
      </c>
      <c r="K49" s="18" t="n">
        <v>3.06455689</v>
      </c>
      <c r="L49" s="20" t="n">
        <v>1.0793124</v>
      </c>
      <c r="M49" s="18" t="n">
        <v>0</v>
      </c>
      <c r="N49" s="20" t="n">
        <v>0</v>
      </c>
      <c r="O49" s="18" t="n">
        <v>0</v>
      </c>
      <c r="P49" s="20" t="n">
        <v>0</v>
      </c>
      <c r="Q49" s="18" t="n">
        <v>1.26459401</v>
      </c>
      <c r="R49" s="20" t="n">
        <v>0.60878568</v>
      </c>
    </row>
    <row r="50" spans="1:18">
      <c r="A50" s="15" t="s">
        <v>609</v>
      </c>
      <c r="B50" s="17" t="n">
        <v>3494</v>
      </c>
      <c r="C50" s="18">
        <f>(3169.0/B50*100)</f>
        <v/>
      </c>
      <c r="D50" s="19" t="n">
        <v>325</v>
      </c>
      <c r="E50" s="18" t="n">
        <v>89.64023401</v>
      </c>
      <c r="F50" s="20" t="n">
        <v>1.87922551</v>
      </c>
      <c r="G50" s="18" t="n">
        <v>7.46452349</v>
      </c>
      <c r="H50" s="20" t="n">
        <v>1.58978851</v>
      </c>
      <c r="I50" s="18" t="n">
        <v>0</v>
      </c>
      <c r="J50" s="20" t="n">
        <v>0</v>
      </c>
      <c r="K50" s="18" t="n">
        <v>0.8057634299999999</v>
      </c>
      <c r="L50" s="20" t="n">
        <v>0.41516453</v>
      </c>
      <c r="M50" s="18" t="n">
        <v>0</v>
      </c>
      <c r="N50" s="20" t="n">
        <v>0</v>
      </c>
      <c r="O50" s="18" t="n">
        <v>0</v>
      </c>
      <c r="P50" s="20" t="n">
        <v>0</v>
      </c>
      <c r="Q50" s="18" t="n">
        <v>2.08947908</v>
      </c>
      <c r="R50" s="20" t="n">
        <v>0.95375537</v>
      </c>
    </row>
    <row r="51" spans="1:18">
      <c r="A51" s="15" t="s">
        <v>610</v>
      </c>
      <c r="B51" s="17" t="n">
        <v>3013</v>
      </c>
      <c r="C51" s="18">
        <f>(2684.0/B51*100)</f>
        <v/>
      </c>
      <c r="D51" s="19" t="n">
        <v>329</v>
      </c>
      <c r="E51" s="18" t="n">
        <v>89.01414629</v>
      </c>
      <c r="F51" s="20" t="n">
        <v>1.8676793</v>
      </c>
      <c r="G51" s="18" t="n">
        <v>9.988213310000001</v>
      </c>
      <c r="H51" s="20" t="n">
        <v>1.77670476</v>
      </c>
      <c r="I51" s="18" t="n">
        <v>0</v>
      </c>
      <c r="J51" s="20" t="n">
        <v>0</v>
      </c>
      <c r="K51" s="18" t="n">
        <v>0</v>
      </c>
      <c r="L51" s="20" t="n">
        <v>0</v>
      </c>
      <c r="M51" s="18" t="n">
        <v>0</v>
      </c>
      <c r="N51" s="20" t="n">
        <v>0</v>
      </c>
      <c r="O51" s="18" t="n">
        <v>0</v>
      </c>
      <c r="P51" s="20" t="n">
        <v>0</v>
      </c>
      <c r="Q51" s="18" t="n">
        <v>0.99764041</v>
      </c>
      <c r="R51" s="20" t="n">
        <v>0.59626648</v>
      </c>
    </row>
    <row r="52" spans="1:18">
      <c r="A52" s="15" t="s">
        <v>611</v>
      </c>
      <c r="B52" s="17" t="n">
        <v>2760</v>
      </c>
      <c r="C52" s="18">
        <f>(2438.0/B52*100)</f>
        <v/>
      </c>
      <c r="D52" s="19" t="n">
        <v>322</v>
      </c>
      <c r="E52" s="18" t="n">
        <v>93.51638135</v>
      </c>
      <c r="F52" s="20" t="n">
        <v>1.6973318</v>
      </c>
      <c r="G52" s="18" t="n">
        <v>5.92160031</v>
      </c>
      <c r="H52" s="20" t="n">
        <v>1.52099806</v>
      </c>
      <c r="I52" s="18" t="n">
        <v>0</v>
      </c>
      <c r="J52" s="20" t="n">
        <v>0</v>
      </c>
      <c r="K52" s="18" t="n">
        <v>0</v>
      </c>
      <c r="L52" s="20" t="n">
        <v>0</v>
      </c>
      <c r="M52" s="18" t="n">
        <v>0</v>
      </c>
      <c r="N52" s="20" t="n">
        <v>0</v>
      </c>
      <c r="O52" s="18" t="n">
        <v>0</v>
      </c>
      <c r="P52" s="20" t="n">
        <v>0</v>
      </c>
      <c r="Q52" s="18" t="n">
        <v>0.5620183399999999</v>
      </c>
      <c r="R52" s="20" t="n">
        <v>0.40550338</v>
      </c>
    </row>
    <row r="53" spans="1:18">
      <c r="A53" s="15" t="s">
        <v>612</v>
      </c>
      <c r="B53" s="17" t="n">
        <v>2474</v>
      </c>
      <c r="C53" s="18">
        <f>(2208.0/B53*100)</f>
        <v/>
      </c>
      <c r="D53" s="19" t="n">
        <v>266</v>
      </c>
      <c r="E53" s="18" t="n">
        <v>68.52577329</v>
      </c>
      <c r="F53" s="20" t="n">
        <v>2.97956179</v>
      </c>
      <c r="G53" s="18" t="n">
        <v>2.2252391</v>
      </c>
      <c r="H53" s="20" t="n">
        <v>1.01311262</v>
      </c>
      <c r="I53" s="18" t="n">
        <v>0</v>
      </c>
      <c r="J53" s="20" t="n">
        <v>0</v>
      </c>
      <c r="K53" s="18" t="n">
        <v>25.84337004</v>
      </c>
      <c r="L53" s="20" t="n">
        <v>2.84048352</v>
      </c>
      <c r="M53" s="18" t="n">
        <v>0</v>
      </c>
      <c r="N53" s="20" t="n">
        <v>0</v>
      </c>
      <c r="O53" s="18" t="n">
        <v>0</v>
      </c>
      <c r="P53" s="20" t="n">
        <v>0</v>
      </c>
      <c r="Q53" s="18" t="n">
        <v>3.40561757</v>
      </c>
      <c r="R53" s="20" t="n">
        <v>1.15325402</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(2383.0/B55*100)</f>
        <v/>
      </c>
      <c r="D55" s="19" t="n">
        <v>292</v>
      </c>
      <c r="E55" s="18" t="n">
        <v>87.5453715</v>
      </c>
      <c r="F55" s="20" t="n">
        <v>1.97250292</v>
      </c>
      <c r="G55" s="18" t="n">
        <v>11.77970532</v>
      </c>
      <c r="H55" s="20" t="n">
        <v>1.8663782</v>
      </c>
      <c r="I55" s="18" t="n">
        <v>0</v>
      </c>
      <c r="J55" s="20" t="n">
        <v>0</v>
      </c>
      <c r="K55" s="18" t="n">
        <v>0.67492318</v>
      </c>
      <c r="L55" s="20" t="n">
        <v>0.6567548</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(2836.0/B61*100)</f>
        <v/>
      </c>
      <c r="D61" s="19" t="n">
        <v>365</v>
      </c>
      <c r="E61" s="18" t="n">
        <v>90.83336918000001</v>
      </c>
      <c r="F61" s="20" t="n">
        <v>1.7203396</v>
      </c>
      <c r="G61" s="18" t="n">
        <v>8.678326370000001</v>
      </c>
      <c r="H61" s="20" t="n">
        <v>1.66502646</v>
      </c>
      <c r="I61" s="18" t="n">
        <v>0</v>
      </c>
      <c r="J61" s="20" t="n">
        <v>0</v>
      </c>
      <c r="K61" s="18" t="n">
        <v>0</v>
      </c>
      <c r="L61" s="20" t="n">
        <v>0</v>
      </c>
      <c r="M61" s="18" t="n">
        <v>0</v>
      </c>
      <c r="N61" s="20" t="n">
        <v>0</v>
      </c>
      <c r="O61" s="18" t="n">
        <v>0</v>
      </c>
      <c r="P61" s="20" t="n">
        <v>0</v>
      </c>
      <c r="Q61" s="18" t="n">
        <v>0.48830445</v>
      </c>
      <c r="R61" s="20" t="n">
        <v>0.37757588</v>
      </c>
    </row>
    <row r="62" spans="1:18">
      <c r="A62" s="15" t="s">
        <v>622</v>
      </c>
      <c r="B62" s="17" t="n">
        <v>2230</v>
      </c>
      <c r="C62" s="18">
        <f>(1981.0/B62*100)</f>
        <v/>
      </c>
      <c r="D62" s="19" t="n">
        <v>249</v>
      </c>
      <c r="E62" s="18" t="n">
        <v>91.96862797999999</v>
      </c>
      <c r="F62" s="20" t="n">
        <v>1.75225777</v>
      </c>
      <c r="G62" s="18" t="n">
        <v>8.031372019999999</v>
      </c>
      <c r="H62" s="20" t="n">
        <v>1.75225777</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(2483.0/B67*100)</f>
        <v/>
      </c>
      <c r="D67" s="19" t="n">
        <v>288</v>
      </c>
      <c r="E67" s="18" t="n">
        <v>93.93131741000001</v>
      </c>
      <c r="F67" s="20" t="n">
        <v>1.4472575</v>
      </c>
      <c r="G67" s="18" t="n">
        <v>2.39532554</v>
      </c>
      <c r="H67" s="20" t="n">
        <v>0.80710576</v>
      </c>
      <c r="I67" s="18" t="n">
        <v>0</v>
      </c>
      <c r="J67" s="20" t="n">
        <v>0</v>
      </c>
      <c r="K67" s="18" t="n">
        <v>0.97452856</v>
      </c>
      <c r="L67" s="20" t="n">
        <v>0.5522078499999999</v>
      </c>
      <c r="M67" s="18" t="n">
        <v>0</v>
      </c>
      <c r="N67" s="20" t="n">
        <v>0</v>
      </c>
      <c r="O67" s="18" t="n">
        <v>0</v>
      </c>
      <c r="P67" s="20" t="n">
        <v>0</v>
      </c>
      <c r="Q67" s="18" t="n">
        <v>2.69882848</v>
      </c>
      <c r="R67" s="20" t="n">
        <v>0.96827095</v>
      </c>
    </row>
    <row r="68" spans="1:18">
      <c r="A68" s="15" t="s">
        <v>628</v>
      </c>
      <c r="B68" s="17" t="n">
        <v>3460</v>
      </c>
      <c r="C68" s="18">
        <f>(3158.0/B68*100)</f>
        <v/>
      </c>
      <c r="D68" s="19" t="n">
        <v>302</v>
      </c>
      <c r="E68" s="18" t="n">
        <v>94.0990487</v>
      </c>
      <c r="F68" s="20" t="n">
        <v>1.08999989</v>
      </c>
      <c r="G68" s="18" t="n">
        <v>5.27869282</v>
      </c>
      <c r="H68" s="20" t="n">
        <v>1.07705859</v>
      </c>
      <c r="I68" s="18" t="n">
        <v>0</v>
      </c>
      <c r="J68" s="20" t="n">
        <v>0</v>
      </c>
      <c r="K68" s="18" t="n">
        <v>0.3188404</v>
      </c>
      <c r="L68" s="20" t="n">
        <v>0.34546695</v>
      </c>
      <c r="M68" s="18" t="n">
        <v>0</v>
      </c>
      <c r="N68" s="20" t="n">
        <v>0</v>
      </c>
      <c r="O68" s="18" t="n">
        <v>0</v>
      </c>
      <c r="P68" s="20" t="n">
        <v>0</v>
      </c>
      <c r="Q68" s="18" t="n">
        <v>0.30341808</v>
      </c>
      <c r="R68" s="20" t="n">
        <v>0.30469515</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(5360.0/B70*100)</f>
        <v/>
      </c>
      <c r="D70" s="19" t="n">
        <v>674</v>
      </c>
      <c r="E70" s="18" t="n">
        <v>88.50461163999999</v>
      </c>
      <c r="F70" s="20" t="n">
        <v>1.2285883</v>
      </c>
      <c r="G70" s="18" t="n">
        <v>7.19398651</v>
      </c>
      <c r="H70" s="20" t="n">
        <v>0.89686487</v>
      </c>
      <c r="I70" s="18" t="n">
        <v>0</v>
      </c>
      <c r="J70" s="20" t="n">
        <v>0</v>
      </c>
      <c r="K70" s="18" t="n">
        <v>3.07873502</v>
      </c>
      <c r="L70" s="20" t="n">
        <v>0.8045033700000001</v>
      </c>
      <c r="M70" s="18" t="n">
        <v>0</v>
      </c>
      <c r="N70" s="20" t="n">
        <v>0</v>
      </c>
      <c r="O70" s="18" t="n">
        <v>0</v>
      </c>
      <c r="P70" s="20" t="n">
        <v>0</v>
      </c>
      <c r="Q70" s="18" t="n">
        <v>1.22266683</v>
      </c>
      <c r="R70" s="20" t="n">
        <v>0.43020421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(2775.0/B72*100)</f>
        <v/>
      </c>
      <c r="D72" s="19" t="n">
        <v>332</v>
      </c>
      <c r="E72" s="18" t="n">
        <v>89.38663454</v>
      </c>
      <c r="F72" s="20" t="n">
        <v>1.8931526</v>
      </c>
      <c r="G72" s="18" t="n">
        <v>9.633896869999999</v>
      </c>
      <c r="H72" s="20" t="n">
        <v>1.78181949</v>
      </c>
      <c r="I72" s="18" t="n">
        <v>0</v>
      </c>
      <c r="J72" s="20" t="n">
        <v>0</v>
      </c>
      <c r="K72" s="18" t="n">
        <v>0</v>
      </c>
      <c r="L72" s="20" t="n">
        <v>0</v>
      </c>
      <c r="M72" s="18" t="n">
        <v>0</v>
      </c>
      <c r="N72" s="20" t="n">
        <v>0</v>
      </c>
      <c r="O72" s="18" t="n">
        <v>0</v>
      </c>
      <c r="P72" s="20" t="n">
        <v>0</v>
      </c>
      <c r="Q72" s="18" t="n">
        <v>0.9794686</v>
      </c>
      <c r="R72" s="20" t="n">
        <v>0.5279862</v>
      </c>
    </row>
    <row r="73" spans="1:18">
      <c r="A73" s="15" t="s">
        <v>633</v>
      </c>
      <c r="B73" s="17" t="n">
        <v>2973</v>
      </c>
      <c r="C73" s="18">
        <f>(2651.0/B73*100)</f>
        <v/>
      </c>
      <c r="D73" s="19" t="n">
        <v>322</v>
      </c>
      <c r="E73" s="18" t="n">
        <v>85.28347805999999</v>
      </c>
      <c r="F73" s="20" t="n">
        <v>2.26974376</v>
      </c>
      <c r="G73" s="18" t="n">
        <v>14.0371736</v>
      </c>
      <c r="H73" s="20" t="n">
        <v>2.26186164</v>
      </c>
      <c r="I73" s="18" t="n">
        <v>0</v>
      </c>
      <c r="J73" s="20" t="n">
        <v>0</v>
      </c>
      <c r="K73" s="18" t="n">
        <v>0</v>
      </c>
      <c r="L73" s="20" t="n">
        <v>0</v>
      </c>
      <c r="M73" s="18" t="n">
        <v>0</v>
      </c>
      <c r="N73" s="20" t="n">
        <v>0</v>
      </c>
      <c r="O73" s="18" t="n">
        <v>0</v>
      </c>
      <c r="P73" s="20" t="n">
        <v>0</v>
      </c>
      <c r="Q73" s="18" t="n">
        <v>0.67934835</v>
      </c>
      <c r="R73" s="20" t="n">
        <v>0.48518851</v>
      </c>
    </row>
    <row r="74" spans="1:18">
      <c r="A74" s="15" t="s">
        <v>634</v>
      </c>
      <c r="B74" s="17" t="n">
        <v>3819</v>
      </c>
      <c r="C74" s="18">
        <f>(3366.0/B74*100)</f>
        <v/>
      </c>
      <c r="D74" s="19" t="n">
        <v>453</v>
      </c>
      <c r="E74" s="18" t="n">
        <v>88.44631527999999</v>
      </c>
      <c r="F74" s="20" t="n">
        <v>1.78162473</v>
      </c>
      <c r="G74" s="18" t="n">
        <v>11.31131616</v>
      </c>
      <c r="H74" s="20" t="n">
        <v>1.76629343</v>
      </c>
      <c r="I74" s="18" t="n">
        <v>0</v>
      </c>
      <c r="J74" s="20" t="n">
        <v>0</v>
      </c>
      <c r="K74" s="18" t="n">
        <v>0.24236857</v>
      </c>
      <c r="L74" s="20" t="n">
        <v>0.24302914</v>
      </c>
      <c r="M74" s="18" t="n">
        <v>0</v>
      </c>
      <c r="N74" s="20" t="n">
        <v>0</v>
      </c>
      <c r="O74" s="18" t="n">
        <v>0</v>
      </c>
      <c r="P74" s="20" t="n">
        <v>0</v>
      </c>
      <c r="Q74" s="18" t="n">
        <v>0</v>
      </c>
      <c r="R74" s="20" t="n">
        <v>0</v>
      </c>
    </row>
    <row r="75" spans="1:18">
      <c r="A75" s="15" t="s">
        <v>635</v>
      </c>
      <c r="B75" s="17" t="n">
        <v>4652</v>
      </c>
      <c r="C75" s="18">
        <f>(4184.0/B75*100)</f>
        <v/>
      </c>
      <c r="D75" s="19" t="n">
        <v>468</v>
      </c>
      <c r="E75" s="18" t="n">
        <v>90.85821989</v>
      </c>
      <c r="F75" s="20" t="n">
        <v>1.87060618</v>
      </c>
      <c r="G75" s="18" t="n">
        <v>8.488835509999999</v>
      </c>
      <c r="H75" s="20" t="n">
        <v>1.75371118</v>
      </c>
      <c r="I75" s="18" t="n">
        <v>0</v>
      </c>
      <c r="J75" s="20" t="n">
        <v>0</v>
      </c>
      <c r="K75" s="18" t="n">
        <v>0</v>
      </c>
      <c r="L75" s="20" t="n">
        <v>0</v>
      </c>
      <c r="M75" s="18" t="n">
        <v>0</v>
      </c>
      <c r="N75" s="20" t="n">
        <v>0</v>
      </c>
      <c r="O75" s="18" t="n">
        <v>0</v>
      </c>
      <c r="P75" s="20" t="n">
        <v>0</v>
      </c>
      <c r="Q75" s="18" t="n">
        <v>0.6529446</v>
      </c>
      <c r="R75" s="20" t="n">
        <v>0.45172089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(2688.0/B77*100)</f>
        <v/>
      </c>
      <c r="D77" s="19" t="n">
        <v>281</v>
      </c>
      <c r="E77" s="18" t="n">
        <v>85.5141294</v>
      </c>
      <c r="F77" s="20" t="n">
        <v>2.06996629</v>
      </c>
      <c r="G77" s="18" t="n">
        <v>4.37308549</v>
      </c>
      <c r="H77" s="20" t="n">
        <v>1.41161687</v>
      </c>
      <c r="I77" s="18" t="n">
        <v>0</v>
      </c>
      <c r="J77" s="20" t="n">
        <v>0</v>
      </c>
      <c r="K77" s="18" t="n">
        <v>6.82146954</v>
      </c>
      <c r="L77" s="20" t="n">
        <v>1.42836449</v>
      </c>
      <c r="M77" s="18" t="n">
        <v>0</v>
      </c>
      <c r="N77" s="20" t="n">
        <v>0</v>
      </c>
      <c r="O77" s="18" t="n">
        <v>0</v>
      </c>
      <c r="P77" s="20" t="n">
        <v>0</v>
      </c>
      <c r="Q77" s="18" t="n">
        <v>3.29131557</v>
      </c>
      <c r="R77" s="20" t="n">
        <v>1.184897</v>
      </c>
    </row>
    <row r="78" spans="1:18">
      <c r="A78" s="15" t="s">
        <v>638</v>
      </c>
      <c r="B78" s="17" t="n">
        <v>7115</v>
      </c>
      <c r="C78" s="18">
        <f>(6298.0/B78*100)</f>
        <v/>
      </c>
      <c r="D78" s="19" t="n">
        <v>817</v>
      </c>
      <c r="E78" s="18" t="n">
        <v>92.54282092</v>
      </c>
      <c r="F78" s="20" t="n">
        <v>1.12521083</v>
      </c>
      <c r="G78" s="18" t="n">
        <v>6.03145272</v>
      </c>
      <c r="H78" s="20" t="n">
        <v>0.99504057</v>
      </c>
      <c r="I78" s="18" t="n">
        <v>0</v>
      </c>
      <c r="J78" s="20" t="n">
        <v>0</v>
      </c>
      <c r="K78" s="18" t="n">
        <v>1.16146667</v>
      </c>
      <c r="L78" s="20" t="n">
        <v>0.42885205</v>
      </c>
      <c r="M78" s="18" t="n">
        <v>0</v>
      </c>
      <c r="N78" s="20" t="n">
        <v>0</v>
      </c>
      <c r="O78" s="18" t="n">
        <v>0</v>
      </c>
      <c r="P78" s="20" t="n">
        <v>0</v>
      </c>
      <c r="Q78" s="18" t="n">
        <v>0.26425969</v>
      </c>
      <c r="R78" s="20" t="n">
        <v>0.19373393</v>
      </c>
    </row>
    <row r="79" spans="1:18">
      <c r="A79" s="15" t="s">
        <v>639</v>
      </c>
      <c r="B79" s="17" t="n">
        <v>3154</v>
      </c>
      <c r="C79" s="18">
        <f>(2824.0/B79*100)</f>
        <v/>
      </c>
      <c r="D79" s="19" t="n">
        <v>330</v>
      </c>
      <c r="E79" s="18" t="n">
        <v>88.29399205999999</v>
      </c>
      <c r="F79" s="20" t="n">
        <v>1.77757257</v>
      </c>
      <c r="G79" s="18" t="n">
        <v>7.6072192</v>
      </c>
      <c r="H79" s="20" t="n">
        <v>1.3379498</v>
      </c>
      <c r="I79" s="18" t="n">
        <v>0</v>
      </c>
      <c r="J79" s="20" t="n">
        <v>0</v>
      </c>
      <c r="K79" s="18" t="n">
        <v>1.44511853</v>
      </c>
      <c r="L79" s="20" t="n">
        <v>0.73643363</v>
      </c>
      <c r="M79" s="18" t="n">
        <v>0</v>
      </c>
      <c r="N79" s="20" t="n">
        <v>0</v>
      </c>
      <c r="O79" s="18" t="n">
        <v>0</v>
      </c>
      <c r="P79" s="20" t="n">
        <v>0</v>
      </c>
      <c r="Q79" s="18" t="n">
        <v>2.65367022</v>
      </c>
      <c r="R79" s="20" t="n">
        <v>0.77297253</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(14297.0/B82*100)</f>
        <v/>
      </c>
      <c r="D82" s="19" t="n">
        <v>1664</v>
      </c>
      <c r="E82" s="18" t="n">
        <v>88.18243455</v>
      </c>
      <c r="F82" s="20" t="n">
        <v>1.15083181</v>
      </c>
      <c r="G82" s="18" t="n">
        <v>11.35391183</v>
      </c>
      <c r="H82" s="20" t="n">
        <v>1.15493425</v>
      </c>
      <c r="I82" s="18" t="n">
        <v>0</v>
      </c>
      <c r="J82" s="20" t="n">
        <v>0</v>
      </c>
      <c r="K82" s="18" t="n">
        <v>0.08076166</v>
      </c>
      <c r="L82" s="20" t="n">
        <v>0.04234827</v>
      </c>
      <c r="M82" s="18" t="n">
        <v>0</v>
      </c>
      <c r="N82" s="20" t="n">
        <v>0</v>
      </c>
      <c r="O82" s="18" t="n">
        <v>0</v>
      </c>
      <c r="P82" s="20" t="n">
        <v>0</v>
      </c>
      <c r="Q82" s="18" t="n">
        <v>0.38289196</v>
      </c>
      <c r="R82" s="20" t="n">
        <v>0.19773089</v>
      </c>
    </row>
    <row r="83" spans="1:18">
      <c r="A83" s="15" t="s">
        <v>643</v>
      </c>
      <c r="B83" s="17" t="n">
        <v>808</v>
      </c>
      <c r="C83" s="18">
        <f>(723.0/B83*100)</f>
        <v/>
      </c>
      <c r="D83" s="19" t="n">
        <v>85</v>
      </c>
      <c r="E83" s="18" t="n">
        <v>87.11483975</v>
      </c>
      <c r="F83" s="20" t="n">
        <v>2.67655023</v>
      </c>
      <c r="G83" s="18" t="n">
        <v>12.88516025</v>
      </c>
      <c r="H83" s="20" t="n">
        <v>2.67655023</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(843.0/B84*100)</f>
        <v/>
      </c>
      <c r="D84" s="19" t="n">
        <v>95</v>
      </c>
      <c r="E84" s="18" t="n">
        <v>84.15095545</v>
      </c>
      <c r="F84" s="20" t="n">
        <v>4.21948069</v>
      </c>
      <c r="G84" s="18" t="n">
        <v>15.84904455</v>
      </c>
      <c r="H84" s="20" t="n">
        <v>4.21948069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(6368.0/B7*100)</f>
        <v/>
      </c>
      <c r="D7" s="19" t="n">
        <v>795</v>
      </c>
      <c r="E7" s="18" t="n">
        <v>40.94629183</v>
      </c>
      <c r="F7" s="20" t="n">
        <v>1.98049328</v>
      </c>
      <c r="G7" s="18" t="n">
        <v>57.84441131</v>
      </c>
      <c r="H7" s="20" t="n">
        <v>1.97522944</v>
      </c>
      <c r="I7" s="18" t="n">
        <v>0</v>
      </c>
      <c r="J7" s="20" t="n">
        <v>0</v>
      </c>
      <c r="K7" s="18" t="n">
        <v>0.36357069</v>
      </c>
      <c r="L7" s="20" t="n">
        <v>0.22958618</v>
      </c>
      <c r="M7" s="18" t="n">
        <v>0</v>
      </c>
      <c r="N7" s="20" t="n">
        <v>0</v>
      </c>
      <c r="O7" s="18" t="n">
        <v>0</v>
      </c>
      <c r="P7" s="20" t="n">
        <v>0</v>
      </c>
      <c r="Q7" s="18" t="n">
        <v>0.84572616</v>
      </c>
      <c r="R7" s="20" t="n">
        <v>0.36315933</v>
      </c>
    </row>
    <row r="8" spans="1:18">
      <c r="A8" s="15" t="s">
        <v>566</v>
      </c>
      <c r="B8" s="17" t="n">
        <v>3443</v>
      </c>
      <c r="C8" s="18">
        <f>(3062.0/B8*100)</f>
        <v/>
      </c>
      <c r="D8" s="19" t="n">
        <v>381</v>
      </c>
      <c r="E8" s="18" t="n">
        <v>46.08214825</v>
      </c>
      <c r="F8" s="20" t="n">
        <v>2.66433396</v>
      </c>
      <c r="G8" s="18" t="n">
        <v>52.90753066</v>
      </c>
      <c r="H8" s="20" t="n">
        <v>2.70561345</v>
      </c>
      <c r="I8" s="18" t="n">
        <v>0</v>
      </c>
      <c r="J8" s="20" t="n">
        <v>0</v>
      </c>
      <c r="K8" s="18" t="n">
        <v>0</v>
      </c>
      <c r="L8" s="20" t="n">
        <v>0</v>
      </c>
      <c r="M8" s="18" t="n">
        <v>0</v>
      </c>
      <c r="N8" s="20" t="n">
        <v>0</v>
      </c>
      <c r="O8" s="18" t="n">
        <v>0</v>
      </c>
      <c r="P8" s="20" t="n">
        <v>0</v>
      </c>
      <c r="Q8" s="18" t="n">
        <v>1.01032109</v>
      </c>
      <c r="R8" s="20" t="n">
        <v>0.82775383</v>
      </c>
    </row>
    <row r="9" spans="1:18">
      <c r="A9" s="15" t="s">
        <v>567</v>
      </c>
      <c r="B9" s="17" t="n">
        <v>4752</v>
      </c>
      <c r="C9" s="18">
        <f>(4271.0/B9*100)</f>
        <v/>
      </c>
      <c r="D9" s="19" t="n">
        <v>481</v>
      </c>
      <c r="E9" s="18" t="n">
        <v>47.09959618</v>
      </c>
      <c r="F9" s="20" t="n">
        <v>2.17934341</v>
      </c>
      <c r="G9" s="18" t="n">
        <v>50.70706189</v>
      </c>
      <c r="H9" s="20" t="n">
        <v>2.27186379</v>
      </c>
      <c r="I9" s="18" t="n">
        <v>0</v>
      </c>
      <c r="J9" s="20" t="n">
        <v>0</v>
      </c>
      <c r="K9" s="18" t="n">
        <v>1.15083574</v>
      </c>
      <c r="L9" s="20" t="n">
        <v>0.47071779</v>
      </c>
      <c r="M9" s="18" t="n">
        <v>0</v>
      </c>
      <c r="N9" s="20" t="n">
        <v>0</v>
      </c>
      <c r="O9" s="18" t="n">
        <v>0</v>
      </c>
      <c r="P9" s="20" t="n">
        <v>0</v>
      </c>
      <c r="Q9" s="18" t="n">
        <v>1.04250619</v>
      </c>
      <c r="R9" s="20" t="n">
        <v>0.54087648</v>
      </c>
    </row>
    <row r="10" spans="1:18">
      <c r="A10" s="15" t="s">
        <v>568</v>
      </c>
      <c r="B10" s="17" t="n">
        <v>10022</v>
      </c>
      <c r="C10" s="18">
        <f>(8930.0/B10*100)</f>
        <v/>
      </c>
      <c r="D10" s="19" t="n">
        <v>1092</v>
      </c>
      <c r="E10" s="18" t="n">
        <v>33.48117071</v>
      </c>
      <c r="F10" s="20" t="n">
        <v>2.3455779</v>
      </c>
      <c r="G10" s="18" t="n">
        <v>65.11503155</v>
      </c>
      <c r="H10" s="20" t="n">
        <v>2.30895957</v>
      </c>
      <c r="I10" s="18" t="n">
        <v>0</v>
      </c>
      <c r="J10" s="20" t="n">
        <v>0</v>
      </c>
      <c r="K10" s="18" t="n">
        <v>1.21215485</v>
      </c>
      <c r="L10" s="20" t="n">
        <v>0.47078106</v>
      </c>
      <c r="M10" s="18" t="n">
        <v>0</v>
      </c>
      <c r="N10" s="20" t="n">
        <v>0</v>
      </c>
      <c r="O10" s="18" t="n">
        <v>0</v>
      </c>
      <c r="P10" s="20" t="n">
        <v>0</v>
      </c>
      <c r="Q10" s="18" t="n">
        <v>0.19164288</v>
      </c>
      <c r="R10" s="20" t="n">
        <v>0.12785151</v>
      </c>
    </row>
    <row r="11" spans="1:18">
      <c r="A11" s="15" t="s">
        <v>569</v>
      </c>
      <c r="B11" s="17" t="n">
        <v>3500</v>
      </c>
      <c r="C11" s="18">
        <f>(3143.0/B11*100)</f>
        <v/>
      </c>
      <c r="D11" s="19" t="n">
        <v>357</v>
      </c>
      <c r="E11" s="18" t="n">
        <v>66.26623103</v>
      </c>
      <c r="F11" s="20" t="n">
        <v>2.54517406</v>
      </c>
      <c r="G11" s="18" t="n">
        <v>32.28065452</v>
      </c>
      <c r="H11" s="20" t="n">
        <v>2.42258939</v>
      </c>
      <c r="I11" s="18" t="n">
        <v>0</v>
      </c>
      <c r="J11" s="20" t="n">
        <v>0</v>
      </c>
      <c r="K11" s="18" t="n">
        <v>0.27621069</v>
      </c>
      <c r="L11" s="20" t="n">
        <v>0.27433485</v>
      </c>
      <c r="M11" s="18" t="n">
        <v>0</v>
      </c>
      <c r="N11" s="20" t="n">
        <v>0</v>
      </c>
      <c r="O11" s="18" t="n">
        <v>0</v>
      </c>
      <c r="P11" s="20" t="n">
        <v>0</v>
      </c>
      <c r="Q11" s="18" t="n">
        <v>1.17690377</v>
      </c>
      <c r="R11" s="20" t="n">
        <v>0.57285408</v>
      </c>
    </row>
    <row r="12" spans="1:18">
      <c r="A12" s="15" t="s">
        <v>570</v>
      </c>
      <c r="B12" s="17" t="n">
        <v>3422</v>
      </c>
      <c r="C12" s="18">
        <f>(3068.0/B12*100)</f>
        <v/>
      </c>
      <c r="D12" s="19" t="n">
        <v>354</v>
      </c>
      <c r="E12" s="18" t="n">
        <v>54.48959296</v>
      </c>
      <c r="F12" s="20" t="n">
        <v>3.03603622</v>
      </c>
      <c r="G12" s="18" t="n">
        <v>45.0624776</v>
      </c>
      <c r="H12" s="20" t="n">
        <v>3.04353276</v>
      </c>
      <c r="I12" s="18" t="n">
        <v>0</v>
      </c>
      <c r="J12" s="20" t="n">
        <v>0</v>
      </c>
      <c r="K12" s="18" t="n">
        <v>0.44792944</v>
      </c>
      <c r="L12" s="20" t="n">
        <v>0.33834443</v>
      </c>
      <c r="M12" s="18" t="n">
        <v>0</v>
      </c>
      <c r="N12" s="20" t="n">
        <v>0</v>
      </c>
      <c r="O12" s="18" t="n">
        <v>0</v>
      </c>
      <c r="P12" s="20" t="n">
        <v>0</v>
      </c>
      <c r="Q12" s="18" t="n">
        <v>0</v>
      </c>
      <c r="R12" s="20" t="n">
        <v>0</v>
      </c>
    </row>
    <row r="13" spans="1:18">
      <c r="A13" s="15" t="s">
        <v>571</v>
      </c>
      <c r="B13" s="17" t="n">
        <v>3602</v>
      </c>
      <c r="C13" s="18">
        <f>(3201.0/B13*100)</f>
        <v/>
      </c>
      <c r="D13" s="19" t="n">
        <v>401</v>
      </c>
      <c r="E13" s="18" t="n">
        <v>45.71332683</v>
      </c>
      <c r="F13" s="20" t="n">
        <v>3.118306</v>
      </c>
      <c r="G13" s="18" t="n">
        <v>51.06566959</v>
      </c>
      <c r="H13" s="20" t="n">
        <v>3.0850833</v>
      </c>
      <c r="I13" s="18" t="n">
        <v>0</v>
      </c>
      <c r="J13" s="20" t="n">
        <v>0</v>
      </c>
      <c r="K13" s="18" t="n">
        <v>0.97000641</v>
      </c>
      <c r="L13" s="20" t="n">
        <v>0.62381265</v>
      </c>
      <c r="M13" s="18" t="n">
        <v>0</v>
      </c>
      <c r="N13" s="20" t="n">
        <v>0</v>
      </c>
      <c r="O13" s="18" t="n">
        <v>0</v>
      </c>
      <c r="P13" s="20" t="n">
        <v>0</v>
      </c>
      <c r="Q13" s="18" t="n">
        <v>2.25099717</v>
      </c>
      <c r="R13" s="20" t="n">
        <v>1.02839808</v>
      </c>
    </row>
    <row r="14" spans="1:18">
      <c r="A14" s="15" t="s">
        <v>572</v>
      </c>
      <c r="B14" s="17" t="n">
        <v>2788</v>
      </c>
      <c r="C14" s="18">
        <f>(2497.0/B14*100)</f>
        <v/>
      </c>
      <c r="D14" s="19" t="n">
        <v>291</v>
      </c>
      <c r="E14" s="18" t="n">
        <v>43.3659368</v>
      </c>
      <c r="F14" s="20" t="n">
        <v>3.01065795</v>
      </c>
      <c r="G14" s="18" t="n">
        <v>56.36936033</v>
      </c>
      <c r="H14" s="20" t="n">
        <v>3.02592478</v>
      </c>
      <c r="I14" s="18" t="n">
        <v>0</v>
      </c>
      <c r="J14" s="20" t="n">
        <v>0</v>
      </c>
      <c r="K14" s="18" t="n">
        <v>0.26470287</v>
      </c>
      <c r="L14" s="20" t="n">
        <v>0.2719683</v>
      </c>
      <c r="M14" s="18" t="n">
        <v>0</v>
      </c>
      <c r="N14" s="20" t="n">
        <v>0</v>
      </c>
      <c r="O14" s="18" t="n">
        <v>0</v>
      </c>
      <c r="P14" s="20" t="n">
        <v>0</v>
      </c>
      <c r="Q14" s="18" t="n">
        <v>0</v>
      </c>
      <c r="R14" s="20" t="n">
        <v>0</v>
      </c>
    </row>
    <row r="15" spans="1:18">
      <c r="A15" s="15" t="s">
        <v>573</v>
      </c>
      <c r="B15" s="17" t="n">
        <v>2863</v>
      </c>
      <c r="C15" s="18">
        <f>(2530.0/B15*100)</f>
        <v/>
      </c>
      <c r="D15" s="19" t="n">
        <v>333</v>
      </c>
      <c r="E15" s="18" t="n">
        <v>39.88730352</v>
      </c>
      <c r="F15" s="20" t="n">
        <v>2.57123924</v>
      </c>
      <c r="G15" s="18" t="n">
        <v>59.42345655</v>
      </c>
      <c r="H15" s="20" t="n">
        <v>2.58454012</v>
      </c>
      <c r="I15" s="18" t="n">
        <v>0</v>
      </c>
      <c r="J15" s="20" t="n">
        <v>0</v>
      </c>
      <c r="K15" s="18" t="n">
        <v>0.68923992</v>
      </c>
      <c r="L15" s="20" t="n">
        <v>0.42634162</v>
      </c>
      <c r="M15" s="18" t="n">
        <v>0</v>
      </c>
      <c r="N15" s="20" t="n">
        <v>0</v>
      </c>
      <c r="O15" s="18" t="n">
        <v>0</v>
      </c>
      <c r="P15" s="20" t="n">
        <v>0</v>
      </c>
      <c r="Q15" s="18" t="n">
        <v>0</v>
      </c>
      <c r="R15" s="20" t="n">
        <v>0</v>
      </c>
    </row>
    <row r="16" spans="1:18">
      <c r="A16" s="15" t="s">
        <v>574</v>
      </c>
      <c r="B16" s="17" t="n">
        <v>3111</v>
      </c>
      <c r="C16" s="18">
        <f>(2776.0/B16*100)</f>
        <v/>
      </c>
      <c r="D16" s="19" t="n">
        <v>335</v>
      </c>
      <c r="E16" s="18" t="n">
        <v>41.90629759</v>
      </c>
      <c r="F16" s="20" t="n">
        <v>2.58436387</v>
      </c>
      <c r="G16" s="18" t="n">
        <v>54.66530558</v>
      </c>
      <c r="H16" s="20" t="n">
        <v>2.85040427</v>
      </c>
      <c r="I16" s="18" t="n">
        <v>0</v>
      </c>
      <c r="J16" s="20" t="n">
        <v>0</v>
      </c>
      <c r="K16" s="18" t="n">
        <v>1.89995286</v>
      </c>
      <c r="L16" s="20" t="n">
        <v>0.8022547</v>
      </c>
      <c r="M16" s="18" t="n">
        <v>0</v>
      </c>
      <c r="N16" s="20" t="n">
        <v>0</v>
      </c>
      <c r="O16" s="18" t="n">
        <v>0</v>
      </c>
      <c r="P16" s="20" t="n">
        <v>0</v>
      </c>
      <c r="Q16" s="18" t="n">
        <v>1.52844397</v>
      </c>
      <c r="R16" s="20" t="n">
        <v>0.67143911</v>
      </c>
    </row>
    <row r="17" spans="1:18">
      <c r="A17" s="15" t="s">
        <v>575</v>
      </c>
      <c r="B17" s="17" t="n">
        <v>3197</v>
      </c>
      <c r="C17" s="18">
        <f>(2839.0/B17*100)</f>
        <v/>
      </c>
      <c r="D17" s="19" t="n">
        <v>358</v>
      </c>
      <c r="E17" s="18" t="n">
        <v>42.00903025</v>
      </c>
      <c r="F17" s="20" t="n">
        <v>2.66627673</v>
      </c>
      <c r="G17" s="18" t="n">
        <v>57.24692852</v>
      </c>
      <c r="H17" s="20" t="n">
        <v>2.76453464</v>
      </c>
      <c r="I17" s="18" t="n">
        <v>0</v>
      </c>
      <c r="J17" s="20" t="n">
        <v>0</v>
      </c>
      <c r="K17" s="18" t="n">
        <v>0.3449577</v>
      </c>
      <c r="L17" s="20" t="n">
        <v>0.34988369</v>
      </c>
      <c r="M17" s="18" t="n">
        <v>0</v>
      </c>
      <c r="N17" s="20" t="n">
        <v>0</v>
      </c>
      <c r="O17" s="18" t="n">
        <v>0</v>
      </c>
      <c r="P17" s="20" t="n">
        <v>0</v>
      </c>
      <c r="Q17" s="18" t="n">
        <v>0.39908354</v>
      </c>
      <c r="R17" s="20" t="n">
        <v>0.4134793</v>
      </c>
    </row>
    <row r="18" spans="1:18">
      <c r="A18" s="15" t="s">
        <v>576</v>
      </c>
      <c r="B18" s="17" t="n">
        <v>2706</v>
      </c>
      <c r="C18" s="18">
        <f>(2412.0/B18*100)</f>
        <v/>
      </c>
      <c r="D18" s="19" t="n">
        <v>294</v>
      </c>
      <c r="E18" s="18" t="n">
        <v>60.38017628</v>
      </c>
      <c r="F18" s="20" t="n">
        <v>3.18431608</v>
      </c>
      <c r="G18" s="18" t="n">
        <v>37.65660033</v>
      </c>
      <c r="H18" s="20" t="n">
        <v>3.0977521</v>
      </c>
      <c r="I18" s="18" t="n">
        <v>0</v>
      </c>
      <c r="J18" s="20" t="n">
        <v>0</v>
      </c>
      <c r="K18" s="18" t="n">
        <v>0.39284374</v>
      </c>
      <c r="L18" s="20" t="n">
        <v>0.32552361</v>
      </c>
      <c r="M18" s="18" t="n">
        <v>0</v>
      </c>
      <c r="N18" s="20" t="n">
        <v>0</v>
      </c>
      <c r="O18" s="18" t="n">
        <v>0</v>
      </c>
      <c r="P18" s="20" t="n">
        <v>0</v>
      </c>
      <c r="Q18" s="18" t="n">
        <v>1.57037965</v>
      </c>
      <c r="R18" s="20" t="n">
        <v>1.28425122</v>
      </c>
    </row>
    <row r="19" spans="1:18">
      <c r="A19" s="15" t="s">
        <v>577</v>
      </c>
      <c r="B19" s="17" t="n">
        <v>2850</v>
      </c>
      <c r="C19" s="18">
        <f>(2547.0/B19*100)</f>
        <v/>
      </c>
      <c r="D19" s="19" t="n">
        <v>303</v>
      </c>
      <c r="E19" s="18" t="n">
        <v>55.22706439</v>
      </c>
      <c r="F19" s="20" t="n">
        <v>2.90590219</v>
      </c>
      <c r="G19" s="18" t="n">
        <v>44.4688587</v>
      </c>
      <c r="H19" s="20" t="n">
        <v>2.87375046</v>
      </c>
      <c r="I19" s="18" t="n">
        <v>0</v>
      </c>
      <c r="J19" s="20" t="n">
        <v>0</v>
      </c>
      <c r="K19" s="18" t="n">
        <v>0</v>
      </c>
      <c r="L19" s="20" t="n">
        <v>0</v>
      </c>
      <c r="M19" s="18" t="n">
        <v>0</v>
      </c>
      <c r="N19" s="20" t="n">
        <v>0</v>
      </c>
      <c r="O19" s="18" t="n">
        <v>0</v>
      </c>
      <c r="P19" s="20" t="n">
        <v>0</v>
      </c>
      <c r="Q19" s="18" t="n">
        <v>0.30407691</v>
      </c>
      <c r="R19" s="20" t="n">
        <v>0.280991</v>
      </c>
    </row>
    <row r="20" spans="1:18">
      <c r="A20" s="15" t="s">
        <v>578</v>
      </c>
      <c r="B20" s="17" t="n">
        <v>1741</v>
      </c>
      <c r="C20" s="18">
        <f>(1551.0/B20*100)</f>
        <v/>
      </c>
      <c r="D20" s="19" t="n">
        <v>190</v>
      </c>
      <c r="E20" s="18" t="n">
        <v>41.36361819</v>
      </c>
      <c r="F20" s="20" t="n">
        <v>4.1467964</v>
      </c>
      <c r="G20" s="18" t="n">
        <v>55.60632272</v>
      </c>
      <c r="H20" s="20" t="n">
        <v>4.13167719</v>
      </c>
      <c r="I20" s="18" t="n">
        <v>0</v>
      </c>
      <c r="J20" s="20" t="n">
        <v>0</v>
      </c>
      <c r="K20" s="18" t="n">
        <v>1.44749169</v>
      </c>
      <c r="L20" s="20" t="n">
        <v>0.8295060399999999</v>
      </c>
      <c r="M20" s="18" t="n">
        <v>0</v>
      </c>
      <c r="N20" s="20" t="n">
        <v>0</v>
      </c>
      <c r="O20" s="18" t="n">
        <v>0</v>
      </c>
      <c r="P20" s="20" t="n">
        <v>0</v>
      </c>
      <c r="Q20" s="18" t="n">
        <v>1.5825674</v>
      </c>
      <c r="R20" s="20" t="n">
        <v>0.93688672</v>
      </c>
    </row>
    <row r="21" spans="1:18">
      <c r="A21" s="15" t="s">
        <v>579</v>
      </c>
      <c r="B21" s="17" t="n">
        <v>2833</v>
      </c>
      <c r="C21" s="18">
        <f>(2502.0/B21*100)</f>
        <v/>
      </c>
      <c r="D21" s="19" t="n">
        <v>331</v>
      </c>
      <c r="E21" s="18" t="n">
        <v>42.02171545</v>
      </c>
      <c r="F21" s="20" t="n">
        <v>2.86159351</v>
      </c>
      <c r="G21" s="18" t="n">
        <v>56.65057405</v>
      </c>
      <c r="H21" s="20" t="n">
        <v>2.95928489</v>
      </c>
      <c r="I21" s="18" t="n">
        <v>0</v>
      </c>
      <c r="J21" s="20" t="n">
        <v>0</v>
      </c>
      <c r="K21" s="18" t="n">
        <v>0.30529106</v>
      </c>
      <c r="L21" s="20" t="n">
        <v>0.3207416</v>
      </c>
      <c r="M21" s="18" t="n">
        <v>0</v>
      </c>
      <c r="N21" s="20" t="n">
        <v>0</v>
      </c>
      <c r="O21" s="18" t="n">
        <v>0</v>
      </c>
      <c r="P21" s="20" t="n">
        <v>0</v>
      </c>
      <c r="Q21" s="18" t="n">
        <v>1.02241944</v>
      </c>
      <c r="R21" s="20" t="n">
        <v>0.58415329</v>
      </c>
    </row>
    <row r="22" spans="1:18">
      <c r="A22" s="15" t="s">
        <v>580</v>
      </c>
      <c r="B22" s="17" t="n">
        <v>3667</v>
      </c>
      <c r="C22" s="18">
        <f>(3337.0/B22*100)</f>
        <v/>
      </c>
      <c r="D22" s="19" t="n">
        <v>330</v>
      </c>
      <c r="E22" s="18" t="n">
        <v>61.9450071</v>
      </c>
      <c r="F22" s="20" t="n">
        <v>2.8272059</v>
      </c>
      <c r="G22" s="18" t="n">
        <v>34.60236551</v>
      </c>
      <c r="H22" s="20" t="n">
        <v>2.82694958</v>
      </c>
      <c r="I22" s="18" t="n">
        <v>0</v>
      </c>
      <c r="J22" s="20" t="n">
        <v>0</v>
      </c>
      <c r="K22" s="18" t="n">
        <v>2.03674195</v>
      </c>
      <c r="L22" s="20" t="n">
        <v>0.73448641</v>
      </c>
      <c r="M22" s="18" t="n">
        <v>0</v>
      </c>
      <c r="N22" s="20" t="n">
        <v>0</v>
      </c>
      <c r="O22" s="18" t="n">
        <v>0</v>
      </c>
      <c r="P22" s="20" t="n">
        <v>0</v>
      </c>
      <c r="Q22" s="18" t="n">
        <v>1.41588544</v>
      </c>
      <c r="R22" s="20" t="n">
        <v>0.63502338</v>
      </c>
    </row>
    <row r="23" spans="1:18">
      <c r="A23" s="15" t="s">
        <v>581</v>
      </c>
      <c r="B23" s="17" t="n">
        <v>5792</v>
      </c>
      <c r="C23" s="18">
        <f>(5168.0/B23*100)</f>
        <v/>
      </c>
      <c r="D23" s="19" t="n">
        <v>624</v>
      </c>
      <c r="E23" s="18" t="n">
        <v>49.65178815</v>
      </c>
      <c r="F23" s="20" t="n">
        <v>2.7248739</v>
      </c>
      <c r="G23" s="18" t="n">
        <v>48.93084924</v>
      </c>
      <c r="H23" s="20" t="n">
        <v>2.73370318</v>
      </c>
      <c r="I23" s="18" t="n">
        <v>0</v>
      </c>
      <c r="J23" s="20" t="n">
        <v>0</v>
      </c>
      <c r="K23" s="18" t="n">
        <v>1.30757687</v>
      </c>
      <c r="L23" s="20" t="n">
        <v>0.75888603</v>
      </c>
      <c r="M23" s="18" t="n">
        <v>0</v>
      </c>
      <c r="N23" s="20" t="n">
        <v>0</v>
      </c>
      <c r="O23" s="18" t="n">
        <v>0</v>
      </c>
      <c r="P23" s="20" t="n">
        <v>0</v>
      </c>
      <c r="Q23" s="18" t="n">
        <v>0.10978574</v>
      </c>
      <c r="R23" s="20" t="n">
        <v>0.10680246</v>
      </c>
    </row>
    <row r="24" spans="1:18">
      <c r="A24" s="15" t="s">
        <v>582</v>
      </c>
      <c r="B24" s="17" t="n">
        <v>3309</v>
      </c>
      <c r="C24" s="18">
        <f>(2949.0/B24*100)</f>
        <v/>
      </c>
      <c r="D24" s="19" t="n">
        <v>360</v>
      </c>
      <c r="E24" s="18" t="n">
        <v>34.76174723</v>
      </c>
      <c r="F24" s="20" t="n">
        <v>2.26937874</v>
      </c>
      <c r="G24" s="18" t="n">
        <v>64.38624494</v>
      </c>
      <c r="H24" s="20" t="n">
        <v>2.19663635</v>
      </c>
      <c r="I24" s="18" t="n">
        <v>0</v>
      </c>
      <c r="J24" s="20" t="n">
        <v>0</v>
      </c>
      <c r="K24" s="18" t="n">
        <v>0.5960158800000001</v>
      </c>
      <c r="L24" s="20" t="n">
        <v>0.40034079</v>
      </c>
      <c r="M24" s="18" t="n">
        <v>0</v>
      </c>
      <c r="N24" s="20" t="n">
        <v>0</v>
      </c>
      <c r="O24" s="18" t="n">
        <v>0</v>
      </c>
      <c r="P24" s="20" t="n">
        <v>0</v>
      </c>
      <c r="Q24" s="18" t="n">
        <v>0.25599195</v>
      </c>
      <c r="R24" s="20" t="n">
        <v>0.25649612</v>
      </c>
    </row>
    <row r="25" spans="1:18">
      <c r="A25" s="15" t="s">
        <v>583</v>
      </c>
      <c r="B25" s="17" t="n">
        <v>2669</v>
      </c>
      <c r="C25" s="18">
        <f>(2359.0/B25*100)</f>
        <v/>
      </c>
      <c r="D25" s="19" t="n">
        <v>310</v>
      </c>
      <c r="E25" s="18" t="n">
        <v>33.98027053</v>
      </c>
      <c r="F25" s="20" t="n">
        <v>2.43214041</v>
      </c>
      <c r="G25" s="18" t="n">
        <v>65.44429963</v>
      </c>
      <c r="H25" s="20" t="n">
        <v>2.51617698</v>
      </c>
      <c r="I25" s="18" t="n">
        <v>0</v>
      </c>
      <c r="J25" s="20" t="n">
        <v>0</v>
      </c>
      <c r="K25" s="18" t="n">
        <v>0.57542984</v>
      </c>
      <c r="L25" s="20" t="n">
        <v>0.4117318</v>
      </c>
      <c r="M25" s="18" t="n">
        <v>0</v>
      </c>
      <c r="N25" s="20" t="n">
        <v>0</v>
      </c>
      <c r="O25" s="18" t="n">
        <v>0</v>
      </c>
      <c r="P25" s="20" t="n">
        <v>0</v>
      </c>
      <c r="Q25" s="18" t="n">
        <v>0</v>
      </c>
      <c r="R25" s="20" t="n">
        <v>0</v>
      </c>
    </row>
    <row r="26" spans="1:18">
      <c r="A26" s="15" t="s">
        <v>584</v>
      </c>
      <c r="B26" s="17" t="n">
        <v>2419</v>
      </c>
      <c r="C26" s="18">
        <f>(2147.0/B26*100)</f>
        <v/>
      </c>
      <c r="D26" s="19" t="n">
        <v>272</v>
      </c>
      <c r="E26" s="18" t="n">
        <v>50.72994144</v>
      </c>
      <c r="F26" s="20" t="n">
        <v>3.64410315</v>
      </c>
      <c r="G26" s="18" t="n">
        <v>49.27005856</v>
      </c>
      <c r="H26" s="20" t="n">
        <v>3.64410315</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(2402.0/B27*100)</f>
        <v/>
      </c>
      <c r="D27" s="19" t="n">
        <v>281</v>
      </c>
      <c r="E27" s="18" t="n">
        <v>53.07460115</v>
      </c>
      <c r="F27" s="20" t="n">
        <v>2.93607569</v>
      </c>
      <c r="G27" s="18" t="n">
        <v>46.22973648</v>
      </c>
      <c r="H27" s="20" t="n">
        <v>2.91994855</v>
      </c>
      <c r="I27" s="18" t="n">
        <v>0</v>
      </c>
      <c r="J27" s="20" t="n">
        <v>0</v>
      </c>
      <c r="K27" s="18" t="n">
        <v>0.34258788</v>
      </c>
      <c r="L27" s="20" t="n">
        <v>0.34278877</v>
      </c>
      <c r="M27" s="18" t="n">
        <v>0</v>
      </c>
      <c r="N27" s="20" t="n">
        <v>0</v>
      </c>
      <c r="O27" s="18" t="n">
        <v>0</v>
      </c>
      <c r="P27" s="20" t="n">
        <v>0</v>
      </c>
      <c r="Q27" s="18" t="n">
        <v>0.35307449</v>
      </c>
      <c r="R27" s="20" t="n">
        <v>0.34881798</v>
      </c>
    </row>
    <row r="28" spans="1:18">
      <c r="A28" s="15" t="s">
        <v>586</v>
      </c>
      <c r="B28" s="17" t="n">
        <v>3803</v>
      </c>
      <c r="C28" s="18">
        <f>(3419.0/B28*100)</f>
        <v/>
      </c>
      <c r="D28" s="19" t="n">
        <v>384</v>
      </c>
      <c r="E28" s="18" t="n">
        <v>65.54954592999999</v>
      </c>
      <c r="F28" s="20" t="n">
        <v>2.81892368</v>
      </c>
      <c r="G28" s="18" t="n">
        <v>33.29248446</v>
      </c>
      <c r="H28" s="20" t="n">
        <v>2.75591289</v>
      </c>
      <c r="I28" s="18" t="n">
        <v>0</v>
      </c>
      <c r="J28" s="20" t="n">
        <v>0</v>
      </c>
      <c r="K28" s="18" t="n">
        <v>0.92249755</v>
      </c>
      <c r="L28" s="20" t="n">
        <v>0.5680003</v>
      </c>
      <c r="M28" s="18" t="n">
        <v>0</v>
      </c>
      <c r="N28" s="20" t="n">
        <v>0</v>
      </c>
      <c r="O28" s="18" t="n">
        <v>0</v>
      </c>
      <c r="P28" s="20" t="n">
        <v>0</v>
      </c>
      <c r="Q28" s="18" t="n">
        <v>0.23547206</v>
      </c>
      <c r="R28" s="20" t="n">
        <v>0.23550929</v>
      </c>
    </row>
    <row r="29" spans="1:18">
      <c r="A29" s="15" t="s">
        <v>587</v>
      </c>
      <c r="B29" s="17" t="n">
        <v>2700</v>
      </c>
      <c r="C29" s="18">
        <f>(2399.0/B29*100)</f>
        <v/>
      </c>
      <c r="D29" s="19" t="n">
        <v>301</v>
      </c>
      <c r="E29" s="18" t="n">
        <v>40.25293965</v>
      </c>
      <c r="F29" s="20" t="n">
        <v>2.79778758</v>
      </c>
      <c r="G29" s="18" t="n">
        <v>59.47584835</v>
      </c>
      <c r="H29" s="20" t="n">
        <v>2.80202359</v>
      </c>
      <c r="I29" s="18" t="n">
        <v>0</v>
      </c>
      <c r="J29" s="20" t="n">
        <v>0</v>
      </c>
      <c r="K29" s="18" t="n">
        <v>0</v>
      </c>
      <c r="L29" s="20" t="n">
        <v>0</v>
      </c>
      <c r="M29" s="18" t="n">
        <v>0</v>
      </c>
      <c r="N29" s="20" t="n">
        <v>0</v>
      </c>
      <c r="O29" s="18" t="n">
        <v>0</v>
      </c>
      <c r="P29" s="20" t="n">
        <v>0</v>
      </c>
      <c r="Q29" s="18" t="n">
        <v>0.271212</v>
      </c>
      <c r="R29" s="20" t="n">
        <v>0.2641274</v>
      </c>
    </row>
    <row r="30" spans="1:18">
      <c r="A30" s="15" t="s">
        <v>588</v>
      </c>
      <c r="B30" s="17" t="n">
        <v>2257</v>
      </c>
      <c r="C30" s="18">
        <f>(2010.0/B30*100)</f>
        <v/>
      </c>
      <c r="D30" s="19" t="n">
        <v>247</v>
      </c>
      <c r="E30" s="18" t="n">
        <v>44.73531349</v>
      </c>
      <c r="F30" s="20" t="n">
        <v>2.98474027</v>
      </c>
      <c r="G30" s="18" t="n">
        <v>52.7812039</v>
      </c>
      <c r="H30" s="20" t="n">
        <v>2.94235799</v>
      </c>
      <c r="I30" s="18" t="n">
        <v>0</v>
      </c>
      <c r="J30" s="20" t="n">
        <v>0</v>
      </c>
      <c r="K30" s="18" t="n">
        <v>1.36496399</v>
      </c>
      <c r="L30" s="20" t="n">
        <v>0.8170876</v>
      </c>
      <c r="M30" s="18" t="n">
        <v>0</v>
      </c>
      <c r="N30" s="20" t="n">
        <v>0</v>
      </c>
      <c r="O30" s="18" t="n">
        <v>0</v>
      </c>
      <c r="P30" s="20" t="n">
        <v>0</v>
      </c>
      <c r="Q30" s="18" t="n">
        <v>1.11851862</v>
      </c>
      <c r="R30" s="20" t="n">
        <v>0.78212586</v>
      </c>
    </row>
    <row r="31" spans="1:18">
      <c r="A31" s="15" t="s">
        <v>589</v>
      </c>
      <c r="B31" s="17" t="n">
        <v>2706</v>
      </c>
      <c r="C31" s="18">
        <f>(2406.0/B31*100)</f>
        <v/>
      </c>
      <c r="D31" s="19" t="n">
        <v>300</v>
      </c>
      <c r="E31" s="18" t="n">
        <v>27.28342153</v>
      </c>
      <c r="F31" s="20" t="n">
        <v>2.64690379</v>
      </c>
      <c r="G31" s="18" t="n">
        <v>69.79395362</v>
      </c>
      <c r="H31" s="20" t="n">
        <v>2.81769022</v>
      </c>
      <c r="I31" s="18" t="n">
        <v>0</v>
      </c>
      <c r="J31" s="20" t="n">
        <v>0</v>
      </c>
      <c r="K31" s="18" t="n">
        <v>0.66575361</v>
      </c>
      <c r="L31" s="20" t="n">
        <v>0.4232394</v>
      </c>
      <c r="M31" s="18" t="n">
        <v>0</v>
      </c>
      <c r="N31" s="20" t="n">
        <v>0</v>
      </c>
      <c r="O31" s="18" t="n">
        <v>0</v>
      </c>
      <c r="P31" s="20" t="n">
        <v>0</v>
      </c>
      <c r="Q31" s="18" t="n">
        <v>2.25687124</v>
      </c>
      <c r="R31" s="20" t="n">
        <v>0.86789877</v>
      </c>
    </row>
    <row r="32" spans="1:18">
      <c r="A32" s="15" t="s">
        <v>590</v>
      </c>
      <c r="B32" s="17" t="n">
        <v>2209</v>
      </c>
      <c r="C32" s="18">
        <f>(1963.0/B32*100)</f>
        <v/>
      </c>
      <c r="D32" s="19" t="n">
        <v>246</v>
      </c>
      <c r="E32" s="18" t="n">
        <v>57.66356257</v>
      </c>
      <c r="F32" s="20" t="n">
        <v>2.888547</v>
      </c>
      <c r="G32" s="18" t="n">
        <v>41.5938615</v>
      </c>
      <c r="H32" s="20" t="n">
        <v>2.9054156</v>
      </c>
      <c r="I32" s="18" t="n">
        <v>0</v>
      </c>
      <c r="J32" s="20" t="n">
        <v>0</v>
      </c>
      <c r="K32" s="18" t="n">
        <v>0.36958463</v>
      </c>
      <c r="L32" s="20" t="n">
        <v>0.3787021</v>
      </c>
      <c r="M32" s="18" t="n">
        <v>0</v>
      </c>
      <c r="N32" s="20" t="n">
        <v>0</v>
      </c>
      <c r="O32" s="18" t="n">
        <v>0</v>
      </c>
      <c r="P32" s="20" t="n">
        <v>0</v>
      </c>
      <c r="Q32" s="18" t="n">
        <v>0.3729913</v>
      </c>
      <c r="R32" s="20" t="n">
        <v>0.37118342</v>
      </c>
    </row>
    <row r="33" spans="1:18">
      <c r="A33" s="15" t="s">
        <v>591</v>
      </c>
      <c r="B33" s="17" t="n">
        <v>3651</v>
      </c>
      <c r="C33" s="18">
        <f>(3275.0/B33*100)</f>
        <v/>
      </c>
      <c r="D33" s="19" t="n">
        <v>376</v>
      </c>
      <c r="E33" s="18" t="n">
        <v>42.46553937</v>
      </c>
      <c r="F33" s="20" t="n">
        <v>2.99056228</v>
      </c>
      <c r="G33" s="18" t="n">
        <v>56.51316053</v>
      </c>
      <c r="H33" s="20" t="n">
        <v>3.08353667</v>
      </c>
      <c r="I33" s="18" t="n">
        <v>0</v>
      </c>
      <c r="J33" s="20" t="n">
        <v>0</v>
      </c>
      <c r="K33" s="18" t="n">
        <v>0.38664944</v>
      </c>
      <c r="L33" s="20" t="n">
        <v>0.26372031</v>
      </c>
      <c r="M33" s="18" t="n">
        <v>0</v>
      </c>
      <c r="N33" s="20" t="n">
        <v>0</v>
      </c>
      <c r="O33" s="18" t="n">
        <v>0</v>
      </c>
      <c r="P33" s="20" t="n">
        <v>0</v>
      </c>
      <c r="Q33" s="18" t="n">
        <v>0.63465067</v>
      </c>
      <c r="R33" s="20" t="n">
        <v>0.43408512</v>
      </c>
    </row>
    <row r="34" spans="1:18">
      <c r="A34" s="15" t="s">
        <v>592</v>
      </c>
      <c r="B34" s="17" t="n">
        <v>3035</v>
      </c>
      <c r="C34" s="18">
        <f>(2736.0/B34*100)</f>
        <v/>
      </c>
      <c r="D34" s="19" t="n">
        <v>299</v>
      </c>
      <c r="E34" s="18" t="n">
        <v>58.66034717</v>
      </c>
      <c r="F34" s="20" t="n">
        <v>2.92084321</v>
      </c>
      <c r="G34" s="18" t="n">
        <v>40.50378829</v>
      </c>
      <c r="H34" s="20" t="n">
        <v>2.88527137</v>
      </c>
      <c r="I34" s="18" t="n">
        <v>0</v>
      </c>
      <c r="J34" s="20" t="n">
        <v>0</v>
      </c>
      <c r="K34" s="18" t="n">
        <v>0.83586453</v>
      </c>
      <c r="L34" s="20" t="n">
        <v>0.57869901</v>
      </c>
      <c r="M34" s="18" t="n">
        <v>0</v>
      </c>
      <c r="N34" s="20" t="n">
        <v>0</v>
      </c>
      <c r="O34" s="18" t="n">
        <v>0</v>
      </c>
      <c r="P34" s="20" t="n">
        <v>0</v>
      </c>
      <c r="Q34" s="18" t="n">
        <v>0</v>
      </c>
      <c r="R34" s="20" t="n">
        <v>0</v>
      </c>
    </row>
    <row r="35" spans="1:18">
      <c r="A35" s="15" t="s">
        <v>593</v>
      </c>
      <c r="B35" s="17" t="n">
        <v>2901</v>
      </c>
      <c r="C35" s="18">
        <f>(2595.0/B35*100)</f>
        <v/>
      </c>
      <c r="D35" s="19" t="n">
        <v>306</v>
      </c>
      <c r="E35" s="18" t="n">
        <v>40.43240467</v>
      </c>
      <c r="F35" s="20" t="n">
        <v>3.92490272</v>
      </c>
      <c r="G35" s="18" t="n">
        <v>59.45327279</v>
      </c>
      <c r="H35" s="20" t="n">
        <v>3.90949956</v>
      </c>
      <c r="I35" s="18" t="n">
        <v>0</v>
      </c>
      <c r="J35" s="20" t="n">
        <v>0</v>
      </c>
      <c r="K35" s="18" t="n">
        <v>0</v>
      </c>
      <c r="L35" s="20" t="n">
        <v>0</v>
      </c>
      <c r="M35" s="18" t="n">
        <v>0</v>
      </c>
      <c r="N35" s="20" t="n">
        <v>0</v>
      </c>
      <c r="O35" s="18" t="n">
        <v>0</v>
      </c>
      <c r="P35" s="20" t="n">
        <v>0</v>
      </c>
      <c r="Q35" s="18" t="n">
        <v>0.11432254</v>
      </c>
      <c r="R35" s="20" t="n">
        <v>0.11320067</v>
      </c>
    </row>
    <row r="36" spans="1:18">
      <c r="A36" s="15" t="s">
        <v>594</v>
      </c>
      <c r="B36" s="17" t="n">
        <v>3404</v>
      </c>
      <c r="C36" s="18">
        <f>(3031.0/B36*100)</f>
        <v/>
      </c>
      <c r="D36" s="19" t="n">
        <v>373</v>
      </c>
      <c r="E36" s="18" t="n">
        <v>46.2600546</v>
      </c>
      <c r="F36" s="20" t="n">
        <v>2.44111929</v>
      </c>
      <c r="G36" s="18" t="n">
        <v>53.12083642</v>
      </c>
      <c r="H36" s="20" t="n">
        <v>2.4605954</v>
      </c>
      <c r="I36" s="18" t="n">
        <v>0</v>
      </c>
      <c r="J36" s="20" t="n">
        <v>0</v>
      </c>
      <c r="K36" s="18" t="n">
        <v>0.27210905</v>
      </c>
      <c r="L36" s="20" t="n">
        <v>0.270943</v>
      </c>
      <c r="M36" s="18" t="n">
        <v>0</v>
      </c>
      <c r="N36" s="20" t="n">
        <v>0</v>
      </c>
      <c r="O36" s="18" t="n">
        <v>0</v>
      </c>
      <c r="P36" s="20" t="n">
        <v>0</v>
      </c>
      <c r="Q36" s="18" t="n">
        <v>0.34699993</v>
      </c>
      <c r="R36" s="20" t="n">
        <v>0.32716107</v>
      </c>
    </row>
    <row r="37" spans="1:18">
      <c r="A37" s="15" t="s">
        <v>595</v>
      </c>
      <c r="B37" s="17" t="n">
        <v>2731</v>
      </c>
      <c r="C37" s="18">
        <f>(2456.0/B37*100)</f>
        <v/>
      </c>
      <c r="D37" s="19" t="n">
        <v>275</v>
      </c>
      <c r="E37" s="18" t="n">
        <v>27.13978659</v>
      </c>
      <c r="F37" s="20" t="n">
        <v>2.50532275</v>
      </c>
      <c r="G37" s="18" t="n">
        <v>71.07379314000001</v>
      </c>
      <c r="H37" s="20" t="n">
        <v>2.42254478</v>
      </c>
      <c r="I37" s="18" t="n">
        <v>0</v>
      </c>
      <c r="J37" s="20" t="n">
        <v>0</v>
      </c>
      <c r="K37" s="18" t="n">
        <v>0.7323957800000001</v>
      </c>
      <c r="L37" s="20" t="n">
        <v>0.51259036</v>
      </c>
      <c r="M37" s="18" t="n">
        <v>0</v>
      </c>
      <c r="N37" s="20" t="n">
        <v>0</v>
      </c>
      <c r="O37" s="18" t="n">
        <v>0</v>
      </c>
      <c r="P37" s="20" t="n">
        <v>0</v>
      </c>
      <c r="Q37" s="18" t="n">
        <v>1.05402448</v>
      </c>
      <c r="R37" s="20" t="n">
        <v>0.60531125</v>
      </c>
    </row>
    <row r="38" spans="1:18">
      <c r="A38" s="15" t="s">
        <v>596</v>
      </c>
      <c r="B38" s="17" t="n">
        <v>2807</v>
      </c>
      <c r="C38" s="18">
        <f>(2516.0/B38*100)</f>
        <v/>
      </c>
      <c r="D38" s="19" t="n">
        <v>291</v>
      </c>
      <c r="E38" s="18" t="n">
        <v>48.90252514</v>
      </c>
      <c r="F38" s="20" t="n">
        <v>2.97613231</v>
      </c>
      <c r="G38" s="18" t="n">
        <v>49.17541282</v>
      </c>
      <c r="H38" s="20" t="n">
        <v>3.04689426</v>
      </c>
      <c r="I38" s="18" t="n">
        <v>0</v>
      </c>
      <c r="J38" s="20" t="n">
        <v>0</v>
      </c>
      <c r="K38" s="18" t="n">
        <v>0.34969719</v>
      </c>
      <c r="L38" s="20" t="n">
        <v>0.35786862</v>
      </c>
      <c r="M38" s="18" t="n">
        <v>0</v>
      </c>
      <c r="N38" s="20" t="n">
        <v>0</v>
      </c>
      <c r="O38" s="18" t="n">
        <v>0</v>
      </c>
      <c r="P38" s="20" t="n">
        <v>0</v>
      </c>
      <c r="Q38" s="18" t="n">
        <v>1.57236486</v>
      </c>
      <c r="R38" s="20" t="n">
        <v>0.71785937</v>
      </c>
    </row>
    <row r="39" spans="1:18">
      <c r="A39" s="15" t="s">
        <v>597</v>
      </c>
      <c r="B39" s="17" t="n">
        <v>2938</v>
      </c>
      <c r="C39" s="18">
        <f>(2616.0/B39*100)</f>
        <v/>
      </c>
      <c r="D39" s="19" t="n">
        <v>322</v>
      </c>
      <c r="E39" s="18" t="n">
        <v>53.07606448</v>
      </c>
      <c r="F39" s="20" t="n">
        <v>2.70305397</v>
      </c>
      <c r="G39" s="18" t="n">
        <v>45.63990545</v>
      </c>
      <c r="H39" s="20" t="n">
        <v>2.66695221</v>
      </c>
      <c r="I39" s="18" t="n">
        <v>0</v>
      </c>
      <c r="J39" s="20" t="n">
        <v>0</v>
      </c>
      <c r="K39" s="18" t="n">
        <v>0</v>
      </c>
      <c r="L39" s="20" t="n">
        <v>0</v>
      </c>
      <c r="M39" s="18" t="n">
        <v>0</v>
      </c>
      <c r="N39" s="20" t="n">
        <v>0</v>
      </c>
      <c r="O39" s="18" t="n">
        <v>0</v>
      </c>
      <c r="P39" s="20" t="n">
        <v>0</v>
      </c>
      <c r="Q39" s="18" t="n">
        <v>1.28403007</v>
      </c>
      <c r="R39" s="20" t="n">
        <v>0.62606074</v>
      </c>
    </row>
    <row r="40" spans="1:18">
      <c r="A40" s="15" t="s">
        <v>598</v>
      </c>
      <c r="B40" s="17" t="n">
        <v>6922</v>
      </c>
      <c r="C40" s="18">
        <f>(6131.0/B40*100)</f>
        <v/>
      </c>
      <c r="D40" s="19" t="n">
        <v>791</v>
      </c>
      <c r="E40" s="18" t="n">
        <v>35.52609817</v>
      </c>
      <c r="F40" s="20" t="n">
        <v>2.44233327</v>
      </c>
      <c r="G40" s="18" t="n">
        <v>62.95696274</v>
      </c>
      <c r="H40" s="20" t="n">
        <v>2.41119531</v>
      </c>
      <c r="I40" s="18" t="n">
        <v>0</v>
      </c>
      <c r="J40" s="20" t="n">
        <v>0</v>
      </c>
      <c r="K40" s="18" t="n">
        <v>0.5730541099999999</v>
      </c>
      <c r="L40" s="20" t="n">
        <v>0.37486573</v>
      </c>
      <c r="M40" s="18" t="n">
        <v>0</v>
      </c>
      <c r="N40" s="20" t="n">
        <v>0</v>
      </c>
      <c r="O40" s="18" t="n">
        <v>0</v>
      </c>
      <c r="P40" s="20" t="n">
        <v>0</v>
      </c>
      <c r="Q40" s="18" t="n">
        <v>0.94388498</v>
      </c>
      <c r="R40" s="20" t="n">
        <v>0.45535419</v>
      </c>
    </row>
    <row r="41" spans="1:18">
      <c r="A41" s="15" t="s">
        <v>599</v>
      </c>
      <c r="B41" s="17" t="n">
        <v>2854</v>
      </c>
      <c r="C41" s="18">
        <f>(2576.0/B41*100)</f>
        <v/>
      </c>
      <c r="D41" s="19" t="n">
        <v>278</v>
      </c>
      <c r="E41" s="18" t="n">
        <v>38.15224788</v>
      </c>
      <c r="F41" s="20" t="n">
        <v>2.97681685</v>
      </c>
      <c r="G41" s="18" t="n">
        <v>61.05721372</v>
      </c>
      <c r="H41" s="20" t="n">
        <v>2.97569893</v>
      </c>
      <c r="I41" s="18" t="n">
        <v>0</v>
      </c>
      <c r="J41" s="20" t="n">
        <v>0</v>
      </c>
      <c r="K41" s="18" t="n">
        <v>0.48750569</v>
      </c>
      <c r="L41" s="20" t="n">
        <v>0.51283424</v>
      </c>
      <c r="M41" s="18" t="n">
        <v>0</v>
      </c>
      <c r="N41" s="20" t="n">
        <v>0</v>
      </c>
      <c r="O41" s="18" t="n">
        <v>0</v>
      </c>
      <c r="P41" s="20" t="n">
        <v>0</v>
      </c>
      <c r="Q41" s="18" t="n">
        <v>0.3030327</v>
      </c>
      <c r="R41" s="20" t="n">
        <v>0.30001108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(11100.0/B46*100)</f>
        <v/>
      </c>
      <c r="D46" s="19" t="n">
        <v>973</v>
      </c>
      <c r="E46" s="18" t="n">
        <v>63.90428096</v>
      </c>
      <c r="F46" s="20" t="n">
        <v>1.9476972</v>
      </c>
      <c r="G46" s="18" t="n">
        <v>32.19423651</v>
      </c>
      <c r="H46" s="20" t="n">
        <v>1.92275456</v>
      </c>
      <c r="I46" s="18" t="n">
        <v>0</v>
      </c>
      <c r="J46" s="20" t="n">
        <v>0</v>
      </c>
      <c r="K46" s="18" t="n">
        <v>1.78474242</v>
      </c>
      <c r="L46" s="20" t="n">
        <v>0.51374213</v>
      </c>
      <c r="M46" s="18" t="n">
        <v>0</v>
      </c>
      <c r="N46" s="20" t="n">
        <v>0</v>
      </c>
      <c r="O46" s="18" t="n">
        <v>0</v>
      </c>
      <c r="P46" s="20" t="n">
        <v>0</v>
      </c>
      <c r="Q46" s="18" t="n">
        <v>2.11674012</v>
      </c>
      <c r="R46" s="20" t="n">
        <v>0.63208031</v>
      </c>
    </row>
    <row r="47" spans="1:18">
      <c r="A47" s="15" t="s">
        <v>606</v>
      </c>
      <c r="B47" s="17" t="n">
        <v>2823</v>
      </c>
      <c r="C47" s="18">
        <f>(2548.0/B47*100)</f>
        <v/>
      </c>
      <c r="D47" s="19" t="n">
        <v>275</v>
      </c>
      <c r="E47" s="18" t="n">
        <v>70.91219857999999</v>
      </c>
      <c r="F47" s="20" t="n">
        <v>2.76083558</v>
      </c>
      <c r="G47" s="18" t="n">
        <v>26.30340877</v>
      </c>
      <c r="H47" s="20" t="n">
        <v>2.66272514</v>
      </c>
      <c r="I47" s="18" t="n">
        <v>0</v>
      </c>
      <c r="J47" s="20" t="n">
        <v>0</v>
      </c>
      <c r="K47" s="18" t="n">
        <v>0.69719021</v>
      </c>
      <c r="L47" s="20" t="n">
        <v>0.48581012</v>
      </c>
      <c r="M47" s="18" t="n">
        <v>0</v>
      </c>
      <c r="N47" s="20" t="n">
        <v>0</v>
      </c>
      <c r="O47" s="18" t="n">
        <v>0</v>
      </c>
      <c r="P47" s="20" t="n">
        <v>0</v>
      </c>
      <c r="Q47" s="18" t="n">
        <v>2.08720243</v>
      </c>
      <c r="R47" s="20" t="n">
        <v>0.71076745</v>
      </c>
    </row>
    <row r="48" spans="1:18">
      <c r="A48" s="15" t="s">
        <v>607</v>
      </c>
      <c r="B48" s="17" t="n">
        <v>4682</v>
      </c>
      <c r="C48" s="18">
        <f>(4158.0/B48*100)</f>
        <v/>
      </c>
      <c r="D48" s="19" t="n">
        <v>524</v>
      </c>
      <c r="E48" s="18" t="n">
        <v>47.29961515</v>
      </c>
      <c r="F48" s="20" t="n">
        <v>2.7527812</v>
      </c>
      <c r="G48" s="18" t="n">
        <v>52.11449667</v>
      </c>
      <c r="H48" s="20" t="n">
        <v>2.76979274</v>
      </c>
      <c r="I48" s="18" t="n">
        <v>0</v>
      </c>
      <c r="J48" s="20" t="n">
        <v>0</v>
      </c>
      <c r="K48" s="18" t="n">
        <v>0.58588819</v>
      </c>
      <c r="L48" s="20" t="n">
        <v>0.4171337</v>
      </c>
      <c r="M48" s="18" t="n">
        <v>0</v>
      </c>
      <c r="N48" s="20" t="n">
        <v>0</v>
      </c>
      <c r="O48" s="18" t="n">
        <v>0</v>
      </c>
      <c r="P48" s="20" t="n">
        <v>0</v>
      </c>
      <c r="Q48" s="18" t="n">
        <v>0</v>
      </c>
      <c r="R48" s="20" t="n">
        <v>0</v>
      </c>
    </row>
    <row r="49" spans="1:18">
      <c r="A49" s="15" t="s">
        <v>608</v>
      </c>
      <c r="B49" s="17" t="n">
        <v>6158</v>
      </c>
      <c r="C49" s="18">
        <f>(5514.0/B49*100)</f>
        <v/>
      </c>
      <c r="D49" s="19" t="n">
        <v>644</v>
      </c>
      <c r="E49" s="18" t="n">
        <v>74.88857851</v>
      </c>
      <c r="F49" s="20" t="n">
        <v>2.21948423</v>
      </c>
      <c r="G49" s="18" t="n">
        <v>20.81793367</v>
      </c>
      <c r="H49" s="20" t="n">
        <v>1.87146349</v>
      </c>
      <c r="I49" s="18" t="n">
        <v>0</v>
      </c>
      <c r="J49" s="20" t="n">
        <v>0</v>
      </c>
      <c r="K49" s="18" t="n">
        <v>3.2364752</v>
      </c>
      <c r="L49" s="20" t="n">
        <v>1.09091979</v>
      </c>
      <c r="M49" s="18" t="n">
        <v>0</v>
      </c>
      <c r="N49" s="20" t="n">
        <v>0</v>
      </c>
      <c r="O49" s="18" t="n">
        <v>0</v>
      </c>
      <c r="P49" s="20" t="n">
        <v>0</v>
      </c>
      <c r="Q49" s="18" t="n">
        <v>1.05701262</v>
      </c>
      <c r="R49" s="20" t="n">
        <v>0.46689714</v>
      </c>
    </row>
    <row r="50" spans="1:18">
      <c r="A50" s="15" t="s">
        <v>609</v>
      </c>
      <c r="B50" s="17" t="n">
        <v>3494</v>
      </c>
      <c r="C50" s="18">
        <f>(3171.0/B50*100)</f>
        <v/>
      </c>
      <c r="D50" s="19" t="n">
        <v>323</v>
      </c>
      <c r="E50" s="18" t="n">
        <v>73.30587835999999</v>
      </c>
      <c r="F50" s="20" t="n">
        <v>2.77236916</v>
      </c>
      <c r="G50" s="18" t="n">
        <v>23.54234525</v>
      </c>
      <c r="H50" s="20" t="n">
        <v>2.75934256</v>
      </c>
      <c r="I50" s="18" t="n">
        <v>0</v>
      </c>
      <c r="J50" s="20" t="n">
        <v>0</v>
      </c>
      <c r="K50" s="18" t="n">
        <v>1.14348918</v>
      </c>
      <c r="L50" s="20" t="n">
        <v>0.52712339</v>
      </c>
      <c r="M50" s="18" t="n">
        <v>0</v>
      </c>
      <c r="N50" s="20" t="n">
        <v>0</v>
      </c>
      <c r="O50" s="18" t="n">
        <v>0</v>
      </c>
      <c r="P50" s="20" t="n">
        <v>0</v>
      </c>
      <c r="Q50" s="18" t="n">
        <v>2.0082872</v>
      </c>
      <c r="R50" s="20" t="n">
        <v>0.93721395</v>
      </c>
    </row>
    <row r="51" spans="1:18">
      <c r="A51" s="15" t="s">
        <v>610</v>
      </c>
      <c r="B51" s="17" t="n">
        <v>3013</v>
      </c>
      <c r="C51" s="18">
        <f>(2685.0/B51*100)</f>
        <v/>
      </c>
      <c r="D51" s="19" t="n">
        <v>328</v>
      </c>
      <c r="E51" s="18" t="n">
        <v>37.93882067</v>
      </c>
      <c r="F51" s="20" t="n">
        <v>2.2879071</v>
      </c>
      <c r="G51" s="18" t="n">
        <v>62.06117933</v>
      </c>
      <c r="H51" s="20" t="n">
        <v>2.2879071</v>
      </c>
      <c r="I51" s="18" t="n">
        <v>0</v>
      </c>
      <c r="J51" s="20" t="n">
        <v>0</v>
      </c>
      <c r="K51" s="18" t="n">
        <v>0</v>
      </c>
      <c r="L51" s="20" t="n">
        <v>0</v>
      </c>
      <c r="M51" s="18" t="n">
        <v>0</v>
      </c>
      <c r="N51" s="20" t="n">
        <v>0</v>
      </c>
      <c r="O51" s="18" t="n">
        <v>0</v>
      </c>
      <c r="P51" s="20" t="n">
        <v>0</v>
      </c>
      <c r="Q51" s="18" t="n">
        <v>0</v>
      </c>
      <c r="R51" s="20" t="n">
        <v>0</v>
      </c>
    </row>
    <row r="52" spans="1:18">
      <c r="A52" s="15" t="s">
        <v>611</v>
      </c>
      <c r="B52" s="17" t="n">
        <v>2760</v>
      </c>
      <c r="C52" s="18">
        <f>(2438.0/B52*100)</f>
        <v/>
      </c>
      <c r="D52" s="19" t="n">
        <v>322</v>
      </c>
      <c r="E52" s="18" t="n">
        <v>68.1849201</v>
      </c>
      <c r="F52" s="20" t="n">
        <v>2.45653475</v>
      </c>
      <c r="G52" s="18" t="n">
        <v>31.47430923</v>
      </c>
      <c r="H52" s="20" t="n">
        <v>2.45706915</v>
      </c>
      <c r="I52" s="18" t="n">
        <v>0</v>
      </c>
      <c r="J52" s="20" t="n">
        <v>0</v>
      </c>
      <c r="K52" s="18" t="n">
        <v>0</v>
      </c>
      <c r="L52" s="20" t="n">
        <v>0</v>
      </c>
      <c r="M52" s="18" t="n">
        <v>0</v>
      </c>
      <c r="N52" s="20" t="n">
        <v>0</v>
      </c>
      <c r="O52" s="18" t="n">
        <v>0</v>
      </c>
      <c r="P52" s="20" t="n">
        <v>0</v>
      </c>
      <c r="Q52" s="18" t="n">
        <v>0.34077067</v>
      </c>
      <c r="R52" s="20" t="n">
        <v>0.34207975</v>
      </c>
    </row>
    <row r="53" spans="1:18">
      <c r="A53" s="15" t="s">
        <v>612</v>
      </c>
      <c r="B53" s="17" t="n">
        <v>2474</v>
      </c>
      <c r="C53" s="18">
        <f>(2208.0/B53*100)</f>
        <v/>
      </c>
      <c r="D53" s="19" t="n">
        <v>266</v>
      </c>
      <c r="E53" s="18" t="n">
        <v>53.54556569</v>
      </c>
      <c r="F53" s="20" t="n">
        <v>3.05664262</v>
      </c>
      <c r="G53" s="18" t="n">
        <v>17.10576201</v>
      </c>
      <c r="H53" s="20" t="n">
        <v>2.25822933</v>
      </c>
      <c r="I53" s="18" t="n">
        <v>0</v>
      </c>
      <c r="J53" s="20" t="n">
        <v>0</v>
      </c>
      <c r="K53" s="18" t="n">
        <v>26.18249046</v>
      </c>
      <c r="L53" s="20" t="n">
        <v>2.87903102</v>
      </c>
      <c r="M53" s="18" t="n">
        <v>0</v>
      </c>
      <c r="N53" s="20" t="n">
        <v>0</v>
      </c>
      <c r="O53" s="18" t="n">
        <v>0</v>
      </c>
      <c r="P53" s="20" t="n">
        <v>0</v>
      </c>
      <c r="Q53" s="18" t="n">
        <v>3.16618183</v>
      </c>
      <c r="R53" s="20" t="n">
        <v>1.12064313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(2384.0/B55*100)</f>
        <v/>
      </c>
      <c r="D55" s="19" t="n">
        <v>291</v>
      </c>
      <c r="E55" s="18" t="n">
        <v>58.10798702</v>
      </c>
      <c r="F55" s="20" t="n">
        <v>2.99198489</v>
      </c>
      <c r="G55" s="18" t="n">
        <v>41.21494109</v>
      </c>
      <c r="H55" s="20" t="n">
        <v>3.05772265</v>
      </c>
      <c r="I55" s="18" t="n">
        <v>0</v>
      </c>
      <c r="J55" s="20" t="n">
        <v>0</v>
      </c>
      <c r="K55" s="18" t="n">
        <v>0.67707189</v>
      </c>
      <c r="L55" s="20" t="n">
        <v>0.65875789</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(2836.0/B61*100)</f>
        <v/>
      </c>
      <c r="D61" s="19" t="n">
        <v>365</v>
      </c>
      <c r="E61" s="18" t="n">
        <v>56.53126074</v>
      </c>
      <c r="F61" s="20" t="n">
        <v>2.97678121</v>
      </c>
      <c r="G61" s="18" t="n">
        <v>43.28190282</v>
      </c>
      <c r="H61" s="20" t="n">
        <v>2.97693934</v>
      </c>
      <c r="I61" s="18" t="n">
        <v>0</v>
      </c>
      <c r="J61" s="20" t="n">
        <v>0</v>
      </c>
      <c r="K61" s="18" t="n">
        <v>0</v>
      </c>
      <c r="L61" s="20" t="n">
        <v>0</v>
      </c>
      <c r="M61" s="18" t="n">
        <v>0</v>
      </c>
      <c r="N61" s="20" t="n">
        <v>0</v>
      </c>
      <c r="O61" s="18" t="n">
        <v>0</v>
      </c>
      <c r="P61" s="20" t="n">
        <v>0</v>
      </c>
      <c r="Q61" s="18" t="n">
        <v>0.18683644</v>
      </c>
      <c r="R61" s="20" t="n">
        <v>0.10775622</v>
      </c>
    </row>
    <row r="62" spans="1:18">
      <c r="A62" s="15" t="s">
        <v>622</v>
      </c>
      <c r="B62" s="17" t="n">
        <v>2230</v>
      </c>
      <c r="C62" s="18">
        <f>(1982.0/B62*100)</f>
        <v/>
      </c>
      <c r="D62" s="19" t="n">
        <v>248</v>
      </c>
      <c r="E62" s="18" t="n">
        <v>54.04028787</v>
      </c>
      <c r="F62" s="20" t="n">
        <v>3.1938378</v>
      </c>
      <c r="G62" s="18" t="n">
        <v>45.95971213</v>
      </c>
      <c r="H62" s="20" t="n">
        <v>3.1938378</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(2483.0/B67*100)</f>
        <v/>
      </c>
      <c r="D67" s="19" t="n">
        <v>288</v>
      </c>
      <c r="E67" s="18" t="n">
        <v>62.42601437</v>
      </c>
      <c r="F67" s="20" t="n">
        <v>2.91559565</v>
      </c>
      <c r="G67" s="18" t="n">
        <v>34.03434129</v>
      </c>
      <c r="H67" s="20" t="n">
        <v>2.76876641</v>
      </c>
      <c r="I67" s="18" t="n">
        <v>0</v>
      </c>
      <c r="J67" s="20" t="n">
        <v>0</v>
      </c>
      <c r="K67" s="18" t="n">
        <v>0.97452856</v>
      </c>
      <c r="L67" s="20" t="n">
        <v>0.5522078499999999</v>
      </c>
      <c r="M67" s="18" t="n">
        <v>0</v>
      </c>
      <c r="N67" s="20" t="n">
        <v>0</v>
      </c>
      <c r="O67" s="18" t="n">
        <v>0</v>
      </c>
      <c r="P67" s="20" t="n">
        <v>0</v>
      </c>
      <c r="Q67" s="18" t="n">
        <v>2.56511577</v>
      </c>
      <c r="R67" s="20" t="n">
        <v>0.88816439</v>
      </c>
    </row>
    <row r="68" spans="1:18">
      <c r="A68" s="15" t="s">
        <v>628</v>
      </c>
      <c r="B68" s="17" t="n">
        <v>3460</v>
      </c>
      <c r="C68" s="18">
        <f>(3163.0/B68*100)</f>
        <v/>
      </c>
      <c r="D68" s="19" t="n">
        <v>297</v>
      </c>
      <c r="E68" s="18" t="n">
        <v>67.59922666999999</v>
      </c>
      <c r="F68" s="20" t="n">
        <v>2.95854567</v>
      </c>
      <c r="G68" s="18" t="n">
        <v>31.20467008</v>
      </c>
      <c r="H68" s="20" t="n">
        <v>2.98178576</v>
      </c>
      <c r="I68" s="18" t="n">
        <v>0</v>
      </c>
      <c r="J68" s="20" t="n">
        <v>0</v>
      </c>
      <c r="K68" s="18" t="n">
        <v>0.64819653</v>
      </c>
      <c r="L68" s="20" t="n">
        <v>0.4766898</v>
      </c>
      <c r="M68" s="18" t="n">
        <v>0</v>
      </c>
      <c r="N68" s="20" t="n">
        <v>0</v>
      </c>
      <c r="O68" s="18" t="n">
        <v>0</v>
      </c>
      <c r="P68" s="20" t="n">
        <v>0</v>
      </c>
      <c r="Q68" s="18" t="n">
        <v>0.54790673</v>
      </c>
      <c r="R68" s="20" t="n">
        <v>0.38618978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(5360.0/B70*100)</f>
        <v/>
      </c>
      <c r="D70" s="19" t="n">
        <v>674</v>
      </c>
      <c r="E70" s="18" t="n">
        <v>57.90539605</v>
      </c>
      <c r="F70" s="20" t="n">
        <v>1.89887184</v>
      </c>
      <c r="G70" s="18" t="n">
        <v>37.5510116</v>
      </c>
      <c r="H70" s="20" t="n">
        <v>1.6690946</v>
      </c>
      <c r="I70" s="18" t="n">
        <v>0</v>
      </c>
      <c r="J70" s="20" t="n">
        <v>0</v>
      </c>
      <c r="K70" s="18" t="n">
        <v>3.50696818</v>
      </c>
      <c r="L70" s="20" t="n">
        <v>0.8161561899999999</v>
      </c>
      <c r="M70" s="18" t="n">
        <v>0</v>
      </c>
      <c r="N70" s="20" t="n">
        <v>0</v>
      </c>
      <c r="O70" s="18" t="n">
        <v>0</v>
      </c>
      <c r="P70" s="20" t="n">
        <v>0</v>
      </c>
      <c r="Q70" s="18" t="n">
        <v>1.03662418</v>
      </c>
      <c r="R70" s="20" t="n">
        <v>0.44323793</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(2778.0/B72*100)</f>
        <v/>
      </c>
      <c r="D72" s="19" t="n">
        <v>329</v>
      </c>
      <c r="E72" s="18" t="n">
        <v>60.09612719</v>
      </c>
      <c r="F72" s="20" t="n">
        <v>2.21846973</v>
      </c>
      <c r="G72" s="18" t="n">
        <v>39.18389999</v>
      </c>
      <c r="H72" s="20" t="n">
        <v>2.17137746</v>
      </c>
      <c r="I72" s="18" t="n">
        <v>0</v>
      </c>
      <c r="J72" s="20" t="n">
        <v>0</v>
      </c>
      <c r="K72" s="18" t="n">
        <v>0.18149355</v>
      </c>
      <c r="L72" s="20" t="n">
        <v>0.18220657</v>
      </c>
      <c r="M72" s="18" t="n">
        <v>0</v>
      </c>
      <c r="N72" s="20" t="n">
        <v>0</v>
      </c>
      <c r="O72" s="18" t="n">
        <v>0</v>
      </c>
      <c r="P72" s="20" t="n">
        <v>0</v>
      </c>
      <c r="Q72" s="18" t="n">
        <v>0.53847927</v>
      </c>
      <c r="R72" s="20" t="n">
        <v>0.42744509</v>
      </c>
    </row>
    <row r="73" spans="1:18">
      <c r="A73" s="15" t="s">
        <v>633</v>
      </c>
      <c r="B73" s="17" t="n">
        <v>2973</v>
      </c>
      <c r="C73" s="18">
        <f>(2652.0/B73*100)</f>
        <v/>
      </c>
      <c r="D73" s="19" t="n">
        <v>321</v>
      </c>
      <c r="E73" s="18" t="n">
        <v>57.94356397</v>
      </c>
      <c r="F73" s="20" t="n">
        <v>2.73694793</v>
      </c>
      <c r="G73" s="18" t="n">
        <v>41.3754711</v>
      </c>
      <c r="H73" s="20" t="n">
        <v>2.77992855</v>
      </c>
      <c r="I73" s="18" t="n">
        <v>0</v>
      </c>
      <c r="J73" s="20" t="n">
        <v>0</v>
      </c>
      <c r="K73" s="18" t="n">
        <v>0</v>
      </c>
      <c r="L73" s="20" t="n">
        <v>0</v>
      </c>
      <c r="M73" s="18" t="n">
        <v>0</v>
      </c>
      <c r="N73" s="20" t="n">
        <v>0</v>
      </c>
      <c r="O73" s="18" t="n">
        <v>0</v>
      </c>
      <c r="P73" s="20" t="n">
        <v>0</v>
      </c>
      <c r="Q73" s="18" t="n">
        <v>0.68096493</v>
      </c>
      <c r="R73" s="20" t="n">
        <v>0.48634441</v>
      </c>
    </row>
    <row r="74" spans="1:18">
      <c r="A74" s="15" t="s">
        <v>634</v>
      </c>
      <c r="B74" s="17" t="n">
        <v>3819</v>
      </c>
      <c r="C74" s="18">
        <f>(3366.0/B74*100)</f>
        <v/>
      </c>
      <c r="D74" s="19" t="n">
        <v>453</v>
      </c>
      <c r="E74" s="18" t="n">
        <v>32.71531611</v>
      </c>
      <c r="F74" s="20" t="n">
        <v>2.67745683</v>
      </c>
      <c r="G74" s="18" t="n">
        <v>67.04231532</v>
      </c>
      <c r="H74" s="20" t="n">
        <v>2.68349598</v>
      </c>
      <c r="I74" s="18" t="n">
        <v>0</v>
      </c>
      <c r="J74" s="20" t="n">
        <v>0</v>
      </c>
      <c r="K74" s="18" t="n">
        <v>0.24236857</v>
      </c>
      <c r="L74" s="20" t="n">
        <v>0.24302914</v>
      </c>
      <c r="M74" s="18" t="n">
        <v>0</v>
      </c>
      <c r="N74" s="20" t="n">
        <v>0</v>
      </c>
      <c r="O74" s="18" t="n">
        <v>0</v>
      </c>
      <c r="P74" s="20" t="n">
        <v>0</v>
      </c>
      <c r="Q74" s="18" t="n">
        <v>0</v>
      </c>
      <c r="R74" s="20" t="n">
        <v>0</v>
      </c>
    </row>
    <row r="75" spans="1:18">
      <c r="A75" s="15" t="s">
        <v>635</v>
      </c>
      <c r="B75" s="17" t="n">
        <v>4652</v>
      </c>
      <c r="C75" s="18">
        <f>(4188.0/B75*100)</f>
        <v/>
      </c>
      <c r="D75" s="19" t="n">
        <v>464</v>
      </c>
      <c r="E75" s="18" t="n">
        <v>54.26777088</v>
      </c>
      <c r="F75" s="20" t="n">
        <v>2.61001024</v>
      </c>
      <c r="G75" s="18" t="n">
        <v>45.40341679</v>
      </c>
      <c r="H75" s="20" t="n">
        <v>2.68957666</v>
      </c>
      <c r="I75" s="18" t="n">
        <v>0</v>
      </c>
      <c r="J75" s="20" t="n">
        <v>0</v>
      </c>
      <c r="K75" s="18" t="n">
        <v>0</v>
      </c>
      <c r="L75" s="20" t="n">
        <v>0</v>
      </c>
      <c r="M75" s="18" t="n">
        <v>0</v>
      </c>
      <c r="N75" s="20" t="n">
        <v>0</v>
      </c>
      <c r="O75" s="18" t="n">
        <v>0</v>
      </c>
      <c r="P75" s="20" t="n">
        <v>0</v>
      </c>
      <c r="Q75" s="18" t="n">
        <v>0.32881233</v>
      </c>
      <c r="R75" s="20" t="n">
        <v>0.3269374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(2687.0/B77*100)</f>
        <v/>
      </c>
      <c r="D77" s="19" t="n">
        <v>282</v>
      </c>
      <c r="E77" s="18" t="n">
        <v>58.09590404</v>
      </c>
      <c r="F77" s="20" t="n">
        <v>2.73889741</v>
      </c>
      <c r="G77" s="18" t="n">
        <v>33.06202894</v>
      </c>
      <c r="H77" s="20" t="n">
        <v>2.66793197</v>
      </c>
      <c r="I77" s="18" t="n">
        <v>0</v>
      </c>
      <c r="J77" s="20" t="n">
        <v>0</v>
      </c>
      <c r="K77" s="18" t="n">
        <v>7.30064943</v>
      </c>
      <c r="L77" s="20" t="n">
        <v>1.53872367</v>
      </c>
      <c r="M77" s="18" t="n">
        <v>0</v>
      </c>
      <c r="N77" s="20" t="n">
        <v>0</v>
      </c>
      <c r="O77" s="18" t="n">
        <v>0</v>
      </c>
      <c r="P77" s="20" t="n">
        <v>0</v>
      </c>
      <c r="Q77" s="18" t="n">
        <v>1.54141759</v>
      </c>
      <c r="R77" s="20" t="n">
        <v>0.79781818</v>
      </c>
    </row>
    <row r="78" spans="1:18">
      <c r="A78" s="15" t="s">
        <v>638</v>
      </c>
      <c r="B78" s="17" t="n">
        <v>7115</v>
      </c>
      <c r="C78" s="18">
        <f>(6298.0/B78*100)</f>
        <v/>
      </c>
      <c r="D78" s="19" t="n">
        <v>817</v>
      </c>
      <c r="E78" s="18" t="n">
        <v>50.20902108</v>
      </c>
      <c r="F78" s="20" t="n">
        <v>1.93685018</v>
      </c>
      <c r="G78" s="18" t="n">
        <v>48.21289695</v>
      </c>
      <c r="H78" s="20" t="n">
        <v>1.97557518</v>
      </c>
      <c r="I78" s="18" t="n">
        <v>0</v>
      </c>
      <c r="J78" s="20" t="n">
        <v>0</v>
      </c>
      <c r="K78" s="18" t="n">
        <v>1.20200887</v>
      </c>
      <c r="L78" s="20" t="n">
        <v>0.43133707</v>
      </c>
      <c r="M78" s="18" t="n">
        <v>0</v>
      </c>
      <c r="N78" s="20" t="n">
        <v>0</v>
      </c>
      <c r="O78" s="18" t="n">
        <v>0</v>
      </c>
      <c r="P78" s="20" t="n">
        <v>0</v>
      </c>
      <c r="Q78" s="18" t="n">
        <v>0.37607309</v>
      </c>
      <c r="R78" s="20" t="n">
        <v>0.2305153</v>
      </c>
    </row>
    <row r="79" spans="1:18">
      <c r="A79" s="15" t="s">
        <v>639</v>
      </c>
      <c r="B79" s="17" t="n">
        <v>3154</v>
      </c>
      <c r="C79" s="18">
        <f>(2825.0/B79*100)</f>
        <v/>
      </c>
      <c r="D79" s="19" t="n">
        <v>329</v>
      </c>
      <c r="E79" s="18" t="n">
        <v>65.31795651</v>
      </c>
      <c r="F79" s="20" t="n">
        <v>2.25032167</v>
      </c>
      <c r="G79" s="18" t="n">
        <v>30.27110577</v>
      </c>
      <c r="H79" s="20" t="n">
        <v>2.25094335</v>
      </c>
      <c r="I79" s="18" t="n">
        <v>0</v>
      </c>
      <c r="J79" s="20" t="n">
        <v>0</v>
      </c>
      <c r="K79" s="18" t="n">
        <v>2.14248533</v>
      </c>
      <c r="L79" s="20" t="n">
        <v>1.0158808</v>
      </c>
      <c r="M79" s="18" t="n">
        <v>0</v>
      </c>
      <c r="N79" s="20" t="n">
        <v>0</v>
      </c>
      <c r="O79" s="18" t="n">
        <v>0</v>
      </c>
      <c r="P79" s="20" t="n">
        <v>0</v>
      </c>
      <c r="Q79" s="18" t="n">
        <v>2.26845239</v>
      </c>
      <c r="R79" s="20" t="n">
        <v>0.92410236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(14301.0/B82*100)</f>
        <v/>
      </c>
      <c r="D82" s="19" t="n">
        <v>1660</v>
      </c>
      <c r="E82" s="18" t="n">
        <v>47.38322438</v>
      </c>
      <c r="F82" s="20" t="n">
        <v>1.80946492</v>
      </c>
      <c r="G82" s="18" t="n">
        <v>51.83347066</v>
      </c>
      <c r="H82" s="20" t="n">
        <v>1.75937432</v>
      </c>
      <c r="I82" s="18" t="n">
        <v>0</v>
      </c>
      <c r="J82" s="20" t="n">
        <v>0</v>
      </c>
      <c r="K82" s="18" t="n">
        <v>0.13465224</v>
      </c>
      <c r="L82" s="20" t="n">
        <v>0.06858300000000001</v>
      </c>
      <c r="M82" s="18" t="n">
        <v>0</v>
      </c>
      <c r="N82" s="20" t="n">
        <v>0</v>
      </c>
      <c r="O82" s="18" t="n">
        <v>0</v>
      </c>
      <c r="P82" s="20" t="n">
        <v>0</v>
      </c>
      <c r="Q82" s="18" t="n">
        <v>0.64865271</v>
      </c>
      <c r="R82" s="20" t="n">
        <v>0.28210237</v>
      </c>
    </row>
    <row r="83" spans="1:18">
      <c r="A83" s="15" t="s">
        <v>643</v>
      </c>
      <c r="B83" s="17" t="n">
        <v>808</v>
      </c>
      <c r="C83" s="18">
        <f>(723.0/B83*100)</f>
        <v/>
      </c>
      <c r="D83" s="19" t="n">
        <v>85</v>
      </c>
      <c r="E83" s="18" t="n">
        <v>26.61916504</v>
      </c>
      <c r="F83" s="20" t="n">
        <v>5.22216116</v>
      </c>
      <c r="G83" s="18" t="n">
        <v>73.38083496</v>
      </c>
      <c r="H83" s="20" t="n">
        <v>5.22216116</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(845.0/B84*100)</f>
        <v/>
      </c>
      <c r="D84" s="19" t="n">
        <v>93</v>
      </c>
      <c r="E84" s="18" t="n">
        <v>31.8862091</v>
      </c>
      <c r="F84" s="20" t="n">
        <v>6.10148824</v>
      </c>
      <c r="G84" s="18" t="n">
        <v>68.1137909</v>
      </c>
      <c r="H84" s="20" t="n">
        <v>6.10148824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(6370.0/B7*100)</f>
        <v/>
      </c>
      <c r="D7" s="19" t="n">
        <v>793</v>
      </c>
      <c r="E7" s="18" t="n">
        <v>39.08584414</v>
      </c>
      <c r="F7" s="20" t="n">
        <v>2.31965195</v>
      </c>
      <c r="G7" s="18" t="n">
        <v>59.69663428</v>
      </c>
      <c r="H7" s="20" t="n">
        <v>2.35690617</v>
      </c>
      <c r="I7" s="18" t="n">
        <v>0</v>
      </c>
      <c r="J7" s="20" t="n">
        <v>0</v>
      </c>
      <c r="K7" s="18" t="n">
        <v>0.56679935</v>
      </c>
      <c r="L7" s="20" t="n">
        <v>0.27543998</v>
      </c>
      <c r="M7" s="18" t="n">
        <v>0</v>
      </c>
      <c r="N7" s="20" t="n">
        <v>0</v>
      </c>
      <c r="O7" s="18" t="n">
        <v>0</v>
      </c>
      <c r="P7" s="20" t="n">
        <v>0</v>
      </c>
      <c r="Q7" s="18" t="n">
        <v>0.65072222</v>
      </c>
      <c r="R7" s="20" t="n">
        <v>0.29754347</v>
      </c>
    </row>
    <row r="8" spans="1:18">
      <c r="A8" s="15" t="s">
        <v>566</v>
      </c>
      <c r="B8" s="17" t="n">
        <v>3443</v>
      </c>
      <c r="C8" s="18">
        <f>(3063.0/B8*100)</f>
        <v/>
      </c>
      <c r="D8" s="19" t="n">
        <v>380</v>
      </c>
      <c r="E8" s="18" t="n">
        <v>40.91884488</v>
      </c>
      <c r="F8" s="20" t="n">
        <v>2.57631849</v>
      </c>
      <c r="G8" s="18" t="n">
        <v>58.06899288</v>
      </c>
      <c r="H8" s="20" t="n">
        <v>2.67352229</v>
      </c>
      <c r="I8" s="18" t="n">
        <v>0</v>
      </c>
      <c r="J8" s="20" t="n">
        <v>0</v>
      </c>
      <c r="K8" s="18" t="n">
        <v>0</v>
      </c>
      <c r="L8" s="20" t="n">
        <v>0</v>
      </c>
      <c r="M8" s="18" t="n">
        <v>0</v>
      </c>
      <c r="N8" s="20" t="n">
        <v>0</v>
      </c>
      <c r="O8" s="18" t="n">
        <v>0</v>
      </c>
      <c r="P8" s="20" t="n">
        <v>0</v>
      </c>
      <c r="Q8" s="18" t="n">
        <v>1.01216225</v>
      </c>
      <c r="R8" s="20" t="n">
        <v>0.82920616</v>
      </c>
    </row>
    <row r="9" spans="1:18">
      <c r="A9" s="15" t="s">
        <v>567</v>
      </c>
      <c r="B9" s="17" t="n">
        <v>4752</v>
      </c>
      <c r="C9" s="18">
        <f>(4273.0/B9*100)</f>
        <v/>
      </c>
      <c r="D9" s="19" t="n">
        <v>479</v>
      </c>
      <c r="E9" s="18" t="n">
        <v>51.4410143</v>
      </c>
      <c r="F9" s="20" t="n">
        <v>2.34790796</v>
      </c>
      <c r="G9" s="18" t="n">
        <v>45.73454465</v>
      </c>
      <c r="H9" s="20" t="n">
        <v>2.3510894</v>
      </c>
      <c r="I9" s="18" t="n">
        <v>0</v>
      </c>
      <c r="J9" s="20" t="n">
        <v>0</v>
      </c>
      <c r="K9" s="18" t="n">
        <v>1.54983506</v>
      </c>
      <c r="L9" s="20" t="n">
        <v>0.5668825</v>
      </c>
      <c r="M9" s="18" t="n">
        <v>0</v>
      </c>
      <c r="N9" s="20" t="n">
        <v>0</v>
      </c>
      <c r="O9" s="18" t="n">
        <v>0</v>
      </c>
      <c r="P9" s="20" t="n">
        <v>0</v>
      </c>
      <c r="Q9" s="18" t="n">
        <v>1.274606</v>
      </c>
      <c r="R9" s="20" t="n">
        <v>0.61258768</v>
      </c>
    </row>
    <row r="10" spans="1:18">
      <c r="A10" s="15" t="s">
        <v>568</v>
      </c>
      <c r="B10" s="17" t="n">
        <v>10022</v>
      </c>
      <c r="C10" s="18">
        <f>(8930.0/B10*100)</f>
        <v/>
      </c>
      <c r="D10" s="19" t="n">
        <v>1092</v>
      </c>
      <c r="E10" s="18" t="n">
        <v>40.51755352</v>
      </c>
      <c r="F10" s="20" t="n">
        <v>1.9767995</v>
      </c>
      <c r="G10" s="18" t="n">
        <v>57.86980768</v>
      </c>
      <c r="H10" s="20" t="n">
        <v>1.87754832</v>
      </c>
      <c r="I10" s="18" t="n">
        <v>0</v>
      </c>
      <c r="J10" s="20" t="n">
        <v>0</v>
      </c>
      <c r="K10" s="18" t="n">
        <v>1.21215485</v>
      </c>
      <c r="L10" s="20" t="n">
        <v>0.47078106</v>
      </c>
      <c r="M10" s="18" t="n">
        <v>0</v>
      </c>
      <c r="N10" s="20" t="n">
        <v>0</v>
      </c>
      <c r="O10" s="18" t="n">
        <v>0</v>
      </c>
      <c r="P10" s="20" t="n">
        <v>0</v>
      </c>
      <c r="Q10" s="18" t="n">
        <v>0.40048394</v>
      </c>
      <c r="R10" s="20" t="n">
        <v>0.18678013</v>
      </c>
    </row>
    <row r="11" spans="1:18">
      <c r="A11" s="15" t="s">
        <v>569</v>
      </c>
      <c r="B11" s="17" t="n">
        <v>3500</v>
      </c>
      <c r="C11" s="18">
        <f>(3144.0/B11*100)</f>
        <v/>
      </c>
      <c r="D11" s="19" t="n">
        <v>356</v>
      </c>
      <c r="E11" s="18" t="n">
        <v>62.82239398</v>
      </c>
      <c r="F11" s="20" t="n">
        <v>3.07793046</v>
      </c>
      <c r="G11" s="18" t="n">
        <v>32.05901182</v>
      </c>
      <c r="H11" s="20" t="n">
        <v>2.75358661</v>
      </c>
      <c r="I11" s="18" t="n">
        <v>0</v>
      </c>
      <c r="J11" s="20" t="n">
        <v>0</v>
      </c>
      <c r="K11" s="18" t="n">
        <v>0.58528886</v>
      </c>
      <c r="L11" s="20" t="n">
        <v>0.49124337</v>
      </c>
      <c r="M11" s="18" t="n">
        <v>0</v>
      </c>
      <c r="N11" s="20" t="n">
        <v>0</v>
      </c>
      <c r="O11" s="18" t="n">
        <v>0</v>
      </c>
      <c r="P11" s="20" t="n">
        <v>0</v>
      </c>
      <c r="Q11" s="18" t="n">
        <v>4.53330534</v>
      </c>
      <c r="R11" s="20" t="n">
        <v>1.29086897</v>
      </c>
    </row>
    <row r="12" spans="1:18">
      <c r="A12" s="15" t="s">
        <v>570</v>
      </c>
      <c r="B12" s="17" t="n">
        <v>3422</v>
      </c>
      <c r="C12" s="18">
        <f>(3068.0/B12*100)</f>
        <v/>
      </c>
      <c r="D12" s="19" t="n">
        <v>354</v>
      </c>
      <c r="E12" s="18" t="n">
        <v>44.63968839</v>
      </c>
      <c r="F12" s="20" t="n">
        <v>2.85458549</v>
      </c>
      <c r="G12" s="18" t="n">
        <v>53.77613785</v>
      </c>
      <c r="H12" s="20" t="n">
        <v>2.84096854</v>
      </c>
      <c r="I12" s="18" t="n">
        <v>0</v>
      </c>
      <c r="J12" s="20" t="n">
        <v>0</v>
      </c>
      <c r="K12" s="18" t="n">
        <v>0.84759162</v>
      </c>
      <c r="L12" s="20" t="n">
        <v>0.51752436</v>
      </c>
      <c r="M12" s="18" t="n">
        <v>0</v>
      </c>
      <c r="N12" s="20" t="n">
        <v>0</v>
      </c>
      <c r="O12" s="18" t="n">
        <v>0</v>
      </c>
      <c r="P12" s="20" t="n">
        <v>0</v>
      </c>
      <c r="Q12" s="18" t="n">
        <v>0.73658215</v>
      </c>
      <c r="R12" s="20" t="n">
        <v>0.47066073</v>
      </c>
    </row>
    <row r="13" spans="1:18">
      <c r="A13" s="15" t="s">
        <v>571</v>
      </c>
      <c r="B13" s="17" t="n">
        <v>3602</v>
      </c>
      <c r="C13" s="18">
        <f>(3202.0/B13*100)</f>
        <v/>
      </c>
      <c r="D13" s="19" t="n">
        <v>400</v>
      </c>
      <c r="E13" s="18" t="n">
        <v>43.20372574</v>
      </c>
      <c r="F13" s="20" t="n">
        <v>3.26327089</v>
      </c>
      <c r="G13" s="18" t="n">
        <v>52.85229492</v>
      </c>
      <c r="H13" s="20" t="n">
        <v>3.22651746</v>
      </c>
      <c r="I13" s="18" t="n">
        <v>0</v>
      </c>
      <c r="J13" s="20" t="n">
        <v>0</v>
      </c>
      <c r="K13" s="18" t="n">
        <v>1.51859778</v>
      </c>
      <c r="L13" s="20" t="n">
        <v>0.76549923</v>
      </c>
      <c r="M13" s="18" t="n">
        <v>0</v>
      </c>
      <c r="N13" s="20" t="n">
        <v>0</v>
      </c>
      <c r="O13" s="18" t="n">
        <v>0</v>
      </c>
      <c r="P13" s="20" t="n">
        <v>0</v>
      </c>
      <c r="Q13" s="18" t="n">
        <v>2.42538157</v>
      </c>
      <c r="R13" s="20" t="n">
        <v>1.03749557</v>
      </c>
    </row>
    <row r="14" spans="1:18">
      <c r="A14" s="15" t="s">
        <v>572</v>
      </c>
      <c r="B14" s="17" t="n">
        <v>2788</v>
      </c>
      <c r="C14" s="18">
        <f>(2497.0/B14*100)</f>
        <v/>
      </c>
      <c r="D14" s="19" t="n">
        <v>291</v>
      </c>
      <c r="E14" s="18" t="n">
        <v>61.49696594</v>
      </c>
      <c r="F14" s="20" t="n">
        <v>3.36162169</v>
      </c>
      <c r="G14" s="18" t="n">
        <v>38.23833119</v>
      </c>
      <c r="H14" s="20" t="n">
        <v>3.38710373</v>
      </c>
      <c r="I14" s="18" t="n">
        <v>0</v>
      </c>
      <c r="J14" s="20" t="n">
        <v>0</v>
      </c>
      <c r="K14" s="18" t="n">
        <v>0.26470287</v>
      </c>
      <c r="L14" s="20" t="n">
        <v>0.2719683</v>
      </c>
      <c r="M14" s="18" t="n">
        <v>0</v>
      </c>
      <c r="N14" s="20" t="n">
        <v>0</v>
      </c>
      <c r="O14" s="18" t="n">
        <v>0</v>
      </c>
      <c r="P14" s="20" t="n">
        <v>0</v>
      </c>
      <c r="Q14" s="18" t="n">
        <v>0</v>
      </c>
      <c r="R14" s="20" t="n">
        <v>0</v>
      </c>
    </row>
    <row r="15" spans="1:18">
      <c r="A15" s="15" t="s">
        <v>573</v>
      </c>
      <c r="B15" s="17" t="n">
        <v>2863</v>
      </c>
      <c r="C15" s="18">
        <f>(2531.0/B15*100)</f>
        <v/>
      </c>
      <c r="D15" s="19" t="n">
        <v>332</v>
      </c>
      <c r="E15" s="18" t="n">
        <v>36.24207585</v>
      </c>
      <c r="F15" s="20" t="n">
        <v>2.80082865</v>
      </c>
      <c r="G15" s="18" t="n">
        <v>63.06662598</v>
      </c>
      <c r="H15" s="20" t="n">
        <v>2.8392447</v>
      </c>
      <c r="I15" s="18" t="n">
        <v>0</v>
      </c>
      <c r="J15" s="20" t="n">
        <v>0</v>
      </c>
      <c r="K15" s="18" t="n">
        <v>0.69129817</v>
      </c>
      <c r="L15" s="20" t="n">
        <v>0.42773832</v>
      </c>
      <c r="M15" s="18" t="n">
        <v>0</v>
      </c>
      <c r="N15" s="20" t="n">
        <v>0</v>
      </c>
      <c r="O15" s="18" t="n">
        <v>0</v>
      </c>
      <c r="P15" s="20" t="n">
        <v>0</v>
      </c>
      <c r="Q15" s="18" t="n">
        <v>0</v>
      </c>
      <c r="R15" s="20" t="n">
        <v>0</v>
      </c>
    </row>
    <row r="16" spans="1:18">
      <c r="A16" s="15" t="s">
        <v>574</v>
      </c>
      <c r="B16" s="17" t="n">
        <v>3111</v>
      </c>
      <c r="C16" s="18">
        <f>(2777.0/B16*100)</f>
        <v/>
      </c>
      <c r="D16" s="19" t="n">
        <v>334</v>
      </c>
      <c r="E16" s="18" t="n">
        <v>43.45775228</v>
      </c>
      <c r="F16" s="20" t="n">
        <v>2.89882689</v>
      </c>
      <c r="G16" s="18" t="n">
        <v>52.21744529</v>
      </c>
      <c r="H16" s="20" t="n">
        <v>2.91846829</v>
      </c>
      <c r="I16" s="18" t="n">
        <v>0</v>
      </c>
      <c r="J16" s="20" t="n">
        <v>0</v>
      </c>
      <c r="K16" s="18" t="n">
        <v>2.18528832</v>
      </c>
      <c r="L16" s="20" t="n">
        <v>0.83883029</v>
      </c>
      <c r="M16" s="18" t="n">
        <v>0</v>
      </c>
      <c r="N16" s="20" t="n">
        <v>0</v>
      </c>
      <c r="O16" s="18" t="n">
        <v>0</v>
      </c>
      <c r="P16" s="20" t="n">
        <v>0</v>
      </c>
      <c r="Q16" s="18" t="n">
        <v>2.1395141</v>
      </c>
      <c r="R16" s="20" t="n">
        <v>0.88167026</v>
      </c>
    </row>
    <row r="17" spans="1:18">
      <c r="A17" s="15" t="s">
        <v>575</v>
      </c>
      <c r="B17" s="17" t="n">
        <v>3197</v>
      </c>
      <c r="C17" s="18">
        <f>(2840.0/B17*100)</f>
        <v/>
      </c>
      <c r="D17" s="19" t="n">
        <v>357</v>
      </c>
      <c r="E17" s="18" t="n">
        <v>37.63019092</v>
      </c>
      <c r="F17" s="20" t="n">
        <v>2.70966107</v>
      </c>
      <c r="G17" s="18" t="n">
        <v>61.04429944</v>
      </c>
      <c r="H17" s="20" t="n">
        <v>2.64373972</v>
      </c>
      <c r="I17" s="18" t="n">
        <v>0</v>
      </c>
      <c r="J17" s="20" t="n">
        <v>0</v>
      </c>
      <c r="K17" s="18" t="n">
        <v>0.34599223</v>
      </c>
      <c r="L17" s="20" t="n">
        <v>0.35091951</v>
      </c>
      <c r="M17" s="18" t="n">
        <v>0</v>
      </c>
      <c r="N17" s="20" t="n">
        <v>0</v>
      </c>
      <c r="O17" s="18" t="n">
        <v>0</v>
      </c>
      <c r="P17" s="20" t="n">
        <v>0</v>
      </c>
      <c r="Q17" s="18" t="n">
        <v>0.97951741</v>
      </c>
      <c r="R17" s="20" t="n">
        <v>0.61839006</v>
      </c>
    </row>
    <row r="18" spans="1:18">
      <c r="A18" s="15" t="s">
        <v>576</v>
      </c>
      <c r="B18" s="17" t="n">
        <v>2706</v>
      </c>
      <c r="C18" s="18">
        <f>(2411.0/B18*100)</f>
        <v/>
      </c>
      <c r="D18" s="19" t="n">
        <v>295</v>
      </c>
      <c r="E18" s="18" t="n">
        <v>64.70148544</v>
      </c>
      <c r="F18" s="20" t="n">
        <v>2.57529775</v>
      </c>
      <c r="G18" s="18" t="n">
        <v>33.71700908</v>
      </c>
      <c r="H18" s="20" t="n">
        <v>2.61982479</v>
      </c>
      <c r="I18" s="18" t="n">
        <v>0</v>
      </c>
      <c r="J18" s="20" t="n">
        <v>0</v>
      </c>
      <c r="K18" s="18" t="n">
        <v>0.6585668</v>
      </c>
      <c r="L18" s="20" t="n">
        <v>0.421335</v>
      </c>
      <c r="M18" s="18" t="n">
        <v>0</v>
      </c>
      <c r="N18" s="20" t="n">
        <v>0</v>
      </c>
      <c r="O18" s="18" t="n">
        <v>0</v>
      </c>
      <c r="P18" s="20" t="n">
        <v>0</v>
      </c>
      <c r="Q18" s="18" t="n">
        <v>0.92293868</v>
      </c>
      <c r="R18" s="20" t="n">
        <v>0.53447932</v>
      </c>
    </row>
    <row r="19" spans="1:18">
      <c r="A19" s="15" t="s">
        <v>577</v>
      </c>
      <c r="B19" s="17" t="n">
        <v>2850</v>
      </c>
      <c r="C19" s="18">
        <f>(2547.0/B19*100)</f>
        <v/>
      </c>
      <c r="D19" s="19" t="n">
        <v>303</v>
      </c>
      <c r="E19" s="18" t="n">
        <v>47.80339068</v>
      </c>
      <c r="F19" s="20" t="n">
        <v>2.73745437</v>
      </c>
      <c r="G19" s="18" t="n">
        <v>51.8925324</v>
      </c>
      <c r="H19" s="20" t="n">
        <v>2.77973982</v>
      </c>
      <c r="I19" s="18" t="n">
        <v>0</v>
      </c>
      <c r="J19" s="20" t="n">
        <v>0</v>
      </c>
      <c r="K19" s="18" t="n">
        <v>0</v>
      </c>
      <c r="L19" s="20" t="n">
        <v>0</v>
      </c>
      <c r="M19" s="18" t="n">
        <v>0</v>
      </c>
      <c r="N19" s="20" t="n">
        <v>0</v>
      </c>
      <c r="O19" s="18" t="n">
        <v>0</v>
      </c>
      <c r="P19" s="20" t="n">
        <v>0</v>
      </c>
      <c r="Q19" s="18" t="n">
        <v>0.30407691</v>
      </c>
      <c r="R19" s="20" t="n">
        <v>0.280991</v>
      </c>
    </row>
    <row r="20" spans="1:18">
      <c r="A20" s="15" t="s">
        <v>578</v>
      </c>
      <c r="B20" s="17" t="n">
        <v>1741</v>
      </c>
      <c r="C20" s="18">
        <f>(1551.0/B20*100)</f>
        <v/>
      </c>
      <c r="D20" s="19" t="n">
        <v>190</v>
      </c>
      <c r="E20" s="18" t="n">
        <v>68.11409135</v>
      </c>
      <c r="F20" s="20" t="n">
        <v>3.48994365</v>
      </c>
      <c r="G20" s="18" t="n">
        <v>28.74260801</v>
      </c>
      <c r="H20" s="20" t="n">
        <v>3.43586984</v>
      </c>
      <c r="I20" s="18" t="n">
        <v>0</v>
      </c>
      <c r="J20" s="20" t="n">
        <v>0</v>
      </c>
      <c r="K20" s="18" t="n">
        <v>1.44749169</v>
      </c>
      <c r="L20" s="20" t="n">
        <v>0.8295060399999999</v>
      </c>
      <c r="M20" s="18" t="n">
        <v>0</v>
      </c>
      <c r="N20" s="20" t="n">
        <v>0</v>
      </c>
      <c r="O20" s="18" t="n">
        <v>0</v>
      </c>
      <c r="P20" s="20" t="n">
        <v>0</v>
      </c>
      <c r="Q20" s="18" t="n">
        <v>1.69580895</v>
      </c>
      <c r="R20" s="20" t="n">
        <v>1.01128686</v>
      </c>
    </row>
    <row r="21" spans="1:18">
      <c r="A21" s="15" t="s">
        <v>579</v>
      </c>
      <c r="B21" s="17" t="n">
        <v>2833</v>
      </c>
      <c r="C21" s="18">
        <f>(2502.0/B21*100)</f>
        <v/>
      </c>
      <c r="D21" s="19" t="n">
        <v>331</v>
      </c>
      <c r="E21" s="18" t="n">
        <v>35.49034471</v>
      </c>
      <c r="F21" s="20" t="n">
        <v>2.53863291</v>
      </c>
      <c r="G21" s="18" t="n">
        <v>63.18194479</v>
      </c>
      <c r="H21" s="20" t="n">
        <v>2.51321214</v>
      </c>
      <c r="I21" s="18" t="n">
        <v>0</v>
      </c>
      <c r="J21" s="20" t="n">
        <v>0</v>
      </c>
      <c r="K21" s="18" t="n">
        <v>0.30529106</v>
      </c>
      <c r="L21" s="20" t="n">
        <v>0.3207416</v>
      </c>
      <c r="M21" s="18" t="n">
        <v>0</v>
      </c>
      <c r="N21" s="20" t="n">
        <v>0</v>
      </c>
      <c r="O21" s="18" t="n">
        <v>0</v>
      </c>
      <c r="P21" s="20" t="n">
        <v>0</v>
      </c>
      <c r="Q21" s="18" t="n">
        <v>1.02241944</v>
      </c>
      <c r="R21" s="20" t="n">
        <v>0.58415329</v>
      </c>
    </row>
    <row r="22" spans="1:18">
      <c r="A22" s="15" t="s">
        <v>580</v>
      </c>
      <c r="B22" s="17" t="n">
        <v>3667</v>
      </c>
      <c r="C22" s="18">
        <f>(3339.0/B22*100)</f>
        <v/>
      </c>
      <c r="D22" s="19" t="n">
        <v>328</v>
      </c>
      <c r="E22" s="18" t="n">
        <v>64.9418488</v>
      </c>
      <c r="F22" s="20" t="n">
        <v>3.05126374</v>
      </c>
      <c r="G22" s="18" t="n">
        <v>30.1197445</v>
      </c>
      <c r="H22" s="20" t="n">
        <v>2.90390601</v>
      </c>
      <c r="I22" s="18" t="n">
        <v>0</v>
      </c>
      <c r="J22" s="20" t="n">
        <v>0</v>
      </c>
      <c r="K22" s="18" t="n">
        <v>2.34775316</v>
      </c>
      <c r="L22" s="20" t="n">
        <v>0.80027476</v>
      </c>
      <c r="M22" s="18" t="n">
        <v>0</v>
      </c>
      <c r="N22" s="20" t="n">
        <v>0</v>
      </c>
      <c r="O22" s="18" t="n">
        <v>0</v>
      </c>
      <c r="P22" s="20" t="n">
        <v>0</v>
      </c>
      <c r="Q22" s="18" t="n">
        <v>2.59065354</v>
      </c>
      <c r="R22" s="20" t="n">
        <v>0.88198771</v>
      </c>
    </row>
    <row r="23" spans="1:18">
      <c r="A23" s="15" t="s">
        <v>581</v>
      </c>
      <c r="B23" s="17" t="n">
        <v>5792</v>
      </c>
      <c r="C23" s="18">
        <f>(5170.0/B23*100)</f>
        <v/>
      </c>
      <c r="D23" s="19" t="n">
        <v>622</v>
      </c>
      <c r="E23" s="18" t="n">
        <v>38.75391481</v>
      </c>
      <c r="F23" s="20" t="n">
        <v>2.94580201</v>
      </c>
      <c r="G23" s="18" t="n">
        <v>58.51839014</v>
      </c>
      <c r="H23" s="20" t="n">
        <v>2.84637519</v>
      </c>
      <c r="I23" s="18" t="n">
        <v>0</v>
      </c>
      <c r="J23" s="20" t="n">
        <v>0</v>
      </c>
      <c r="K23" s="18" t="n">
        <v>1.45967868</v>
      </c>
      <c r="L23" s="20" t="n">
        <v>0.78412914</v>
      </c>
      <c r="M23" s="18" t="n">
        <v>0</v>
      </c>
      <c r="N23" s="20" t="n">
        <v>0</v>
      </c>
      <c r="O23" s="18" t="n">
        <v>0</v>
      </c>
      <c r="P23" s="20" t="n">
        <v>0</v>
      </c>
      <c r="Q23" s="18" t="n">
        <v>1.26801637</v>
      </c>
      <c r="R23" s="20" t="n">
        <v>0.58291617</v>
      </c>
    </row>
    <row r="24" spans="1:18">
      <c r="A24" s="15" t="s">
        <v>582</v>
      </c>
      <c r="B24" s="17" t="n">
        <v>3309</v>
      </c>
      <c r="C24" s="18">
        <f>(2949.0/B24*100)</f>
        <v/>
      </c>
      <c r="D24" s="19" t="n">
        <v>360</v>
      </c>
      <c r="E24" s="18" t="n">
        <v>32.73476564</v>
      </c>
      <c r="F24" s="20" t="n">
        <v>2.65585963</v>
      </c>
      <c r="G24" s="18" t="n">
        <v>66.08742836</v>
      </c>
      <c r="H24" s="20" t="n">
        <v>2.73615942</v>
      </c>
      <c r="I24" s="18" t="n">
        <v>0</v>
      </c>
      <c r="J24" s="20" t="n">
        <v>0</v>
      </c>
      <c r="K24" s="18" t="n">
        <v>0.5960158800000001</v>
      </c>
      <c r="L24" s="20" t="n">
        <v>0.40034079</v>
      </c>
      <c r="M24" s="18" t="n">
        <v>0</v>
      </c>
      <c r="N24" s="20" t="n">
        <v>0</v>
      </c>
      <c r="O24" s="18" t="n">
        <v>0</v>
      </c>
      <c r="P24" s="20" t="n">
        <v>0</v>
      </c>
      <c r="Q24" s="18" t="n">
        <v>0.58179012</v>
      </c>
      <c r="R24" s="20" t="n">
        <v>0.38575077</v>
      </c>
    </row>
    <row r="25" spans="1:18">
      <c r="A25" s="15" t="s">
        <v>583</v>
      </c>
      <c r="B25" s="17" t="n">
        <v>2669</v>
      </c>
      <c r="C25" s="18">
        <f>(2359.0/B25*100)</f>
        <v/>
      </c>
      <c r="D25" s="19" t="n">
        <v>310</v>
      </c>
      <c r="E25" s="18" t="n">
        <v>63.01978116</v>
      </c>
      <c r="F25" s="20" t="n">
        <v>3.20081512</v>
      </c>
      <c r="G25" s="18" t="n">
        <v>36.404789</v>
      </c>
      <c r="H25" s="20" t="n">
        <v>3.18495564</v>
      </c>
      <c r="I25" s="18" t="n">
        <v>0</v>
      </c>
      <c r="J25" s="20" t="n">
        <v>0</v>
      </c>
      <c r="K25" s="18" t="n">
        <v>0.57542984</v>
      </c>
      <c r="L25" s="20" t="n">
        <v>0.4117318</v>
      </c>
      <c r="M25" s="18" t="n">
        <v>0</v>
      </c>
      <c r="N25" s="20" t="n">
        <v>0</v>
      </c>
      <c r="O25" s="18" t="n">
        <v>0</v>
      </c>
      <c r="P25" s="20" t="n">
        <v>0</v>
      </c>
      <c r="Q25" s="18" t="n">
        <v>0</v>
      </c>
      <c r="R25" s="20" t="n">
        <v>0</v>
      </c>
    </row>
    <row r="26" spans="1:18">
      <c r="A26" s="15" t="s">
        <v>584</v>
      </c>
      <c r="B26" s="17" t="n">
        <v>2419</v>
      </c>
      <c r="C26" s="18">
        <f>(2147.0/B26*100)</f>
        <v/>
      </c>
      <c r="D26" s="19" t="n">
        <v>272</v>
      </c>
      <c r="E26" s="18" t="n">
        <v>53.9307905</v>
      </c>
      <c r="F26" s="20" t="n">
        <v>3.18533681</v>
      </c>
      <c r="G26" s="18" t="n">
        <v>46.0692095</v>
      </c>
      <c r="H26" s="20" t="n">
        <v>3.18533681</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(2404.0/B27*100)</f>
        <v/>
      </c>
      <c r="D27" s="19" t="n">
        <v>279</v>
      </c>
      <c r="E27" s="18" t="n">
        <v>48.38976426</v>
      </c>
      <c r="F27" s="20" t="n">
        <v>3.2968036</v>
      </c>
      <c r="G27" s="18" t="n">
        <v>50.21016769</v>
      </c>
      <c r="H27" s="20" t="n">
        <v>3.33299843</v>
      </c>
      <c r="I27" s="18" t="n">
        <v>0</v>
      </c>
      <c r="J27" s="20" t="n">
        <v>0</v>
      </c>
      <c r="K27" s="18" t="n">
        <v>0.34498115</v>
      </c>
      <c r="L27" s="20" t="n">
        <v>0.34518743</v>
      </c>
      <c r="M27" s="18" t="n">
        <v>0</v>
      </c>
      <c r="N27" s="20" t="n">
        <v>0</v>
      </c>
      <c r="O27" s="18" t="n">
        <v>0</v>
      </c>
      <c r="P27" s="20" t="n">
        <v>0</v>
      </c>
      <c r="Q27" s="18" t="n">
        <v>1.0550869</v>
      </c>
      <c r="R27" s="20" t="n">
        <v>0.60849953</v>
      </c>
    </row>
    <row r="28" spans="1:18">
      <c r="A28" s="15" t="s">
        <v>586</v>
      </c>
      <c r="B28" s="17" t="n">
        <v>3803</v>
      </c>
      <c r="C28" s="18">
        <f>(3422.0/B28*100)</f>
        <v/>
      </c>
      <c r="D28" s="19" t="n">
        <v>381</v>
      </c>
      <c r="E28" s="18" t="n">
        <v>67.27393239</v>
      </c>
      <c r="F28" s="20" t="n">
        <v>2.8987936</v>
      </c>
      <c r="G28" s="18" t="n">
        <v>31.33488193</v>
      </c>
      <c r="H28" s="20" t="n">
        <v>2.74571808</v>
      </c>
      <c r="I28" s="18" t="n">
        <v>0</v>
      </c>
      <c r="J28" s="20" t="n">
        <v>0</v>
      </c>
      <c r="K28" s="18" t="n">
        <v>0.93320193</v>
      </c>
      <c r="L28" s="20" t="n">
        <v>0.57466523</v>
      </c>
      <c r="M28" s="18" t="n">
        <v>0</v>
      </c>
      <c r="N28" s="20" t="n">
        <v>0</v>
      </c>
      <c r="O28" s="18" t="n">
        <v>0</v>
      </c>
      <c r="P28" s="20" t="n">
        <v>0</v>
      </c>
      <c r="Q28" s="18" t="n">
        <v>0.45798374</v>
      </c>
      <c r="R28" s="20" t="n">
        <v>0.32567158</v>
      </c>
    </row>
    <row r="29" spans="1:18">
      <c r="A29" s="15" t="s">
        <v>587</v>
      </c>
      <c r="B29" s="17" t="n">
        <v>2700</v>
      </c>
      <c r="C29" s="18">
        <f>(2399.0/B29*100)</f>
        <v/>
      </c>
      <c r="D29" s="19" t="n">
        <v>301</v>
      </c>
      <c r="E29" s="18" t="n">
        <v>46.05751678</v>
      </c>
      <c r="F29" s="20" t="n">
        <v>2.89389034</v>
      </c>
      <c r="G29" s="18" t="n">
        <v>53.94248322</v>
      </c>
      <c r="H29" s="20" t="n">
        <v>2.89389034</v>
      </c>
      <c r="I29" s="18" t="n">
        <v>0</v>
      </c>
      <c r="J29" s="20" t="n">
        <v>0</v>
      </c>
      <c r="K29" s="18" t="n">
        <v>0</v>
      </c>
      <c r="L29" s="20" t="n">
        <v>0</v>
      </c>
      <c r="M29" s="18" t="n">
        <v>0</v>
      </c>
      <c r="N29" s="20" t="n">
        <v>0</v>
      </c>
      <c r="O29" s="18" t="n">
        <v>0</v>
      </c>
      <c r="P29" s="20" t="n">
        <v>0</v>
      </c>
      <c r="Q29" s="18" t="n">
        <v>0</v>
      </c>
      <c r="R29" s="20" t="n">
        <v>0</v>
      </c>
    </row>
    <row r="30" spans="1:18">
      <c r="A30" s="15" t="s">
        <v>588</v>
      </c>
      <c r="B30" s="17" t="n">
        <v>2257</v>
      </c>
      <c r="C30" s="18">
        <f>(2012.0/B30*100)</f>
        <v/>
      </c>
      <c r="D30" s="19" t="n">
        <v>245</v>
      </c>
      <c r="E30" s="18" t="n">
        <v>44.12260123</v>
      </c>
      <c r="F30" s="20" t="n">
        <v>3.16996094</v>
      </c>
      <c r="G30" s="18" t="n">
        <v>53.37497038</v>
      </c>
      <c r="H30" s="20" t="n">
        <v>3.23677349</v>
      </c>
      <c r="I30" s="18" t="n">
        <v>0</v>
      </c>
      <c r="J30" s="20" t="n">
        <v>0</v>
      </c>
      <c r="K30" s="18" t="n">
        <v>1.37537691</v>
      </c>
      <c r="L30" s="20" t="n">
        <v>0.82354739</v>
      </c>
      <c r="M30" s="18" t="n">
        <v>0</v>
      </c>
      <c r="N30" s="20" t="n">
        <v>0</v>
      </c>
      <c r="O30" s="18" t="n">
        <v>0</v>
      </c>
      <c r="P30" s="20" t="n">
        <v>0</v>
      </c>
      <c r="Q30" s="18" t="n">
        <v>1.12705148</v>
      </c>
      <c r="R30" s="20" t="n">
        <v>0.78901982</v>
      </c>
    </row>
    <row r="31" spans="1:18">
      <c r="A31" s="15" t="s">
        <v>589</v>
      </c>
      <c r="B31" s="17" t="n">
        <v>2706</v>
      </c>
      <c r="C31" s="18">
        <f>(2407.0/B31*100)</f>
        <v/>
      </c>
      <c r="D31" s="19" t="n">
        <v>299</v>
      </c>
      <c r="E31" s="18" t="n">
        <v>43.19616945</v>
      </c>
      <c r="F31" s="20" t="n">
        <v>2.99293174</v>
      </c>
      <c r="G31" s="18" t="n">
        <v>52.90346768</v>
      </c>
      <c r="H31" s="20" t="n">
        <v>3.18858448</v>
      </c>
      <c r="I31" s="18" t="n">
        <v>0</v>
      </c>
      <c r="J31" s="20" t="n">
        <v>0</v>
      </c>
      <c r="K31" s="18" t="n">
        <v>0.98058931</v>
      </c>
      <c r="L31" s="20" t="n">
        <v>0.52040268</v>
      </c>
      <c r="M31" s="18" t="n">
        <v>0</v>
      </c>
      <c r="N31" s="20" t="n">
        <v>0</v>
      </c>
      <c r="O31" s="18" t="n">
        <v>0</v>
      </c>
      <c r="P31" s="20" t="n">
        <v>0</v>
      </c>
      <c r="Q31" s="18" t="n">
        <v>2.91977356</v>
      </c>
      <c r="R31" s="20" t="n">
        <v>0.9498240100000001</v>
      </c>
    </row>
    <row r="32" spans="1:18">
      <c r="A32" s="15" t="s">
        <v>590</v>
      </c>
      <c r="B32" s="17" t="n">
        <v>2209</v>
      </c>
      <c r="C32" s="18">
        <f>(1963.0/B32*100)</f>
        <v/>
      </c>
      <c r="D32" s="19" t="n">
        <v>246</v>
      </c>
      <c r="E32" s="18" t="n">
        <v>44.74928217</v>
      </c>
      <c r="F32" s="20" t="n">
        <v>3.39061523</v>
      </c>
      <c r="G32" s="18" t="n">
        <v>54.13593419</v>
      </c>
      <c r="H32" s="20" t="n">
        <v>3.43829799</v>
      </c>
      <c r="I32" s="18" t="n">
        <v>0</v>
      </c>
      <c r="J32" s="20" t="n">
        <v>0</v>
      </c>
      <c r="K32" s="18" t="n">
        <v>0.36958463</v>
      </c>
      <c r="L32" s="20" t="n">
        <v>0.3787021</v>
      </c>
      <c r="M32" s="18" t="n">
        <v>0</v>
      </c>
      <c r="N32" s="20" t="n">
        <v>0</v>
      </c>
      <c r="O32" s="18" t="n">
        <v>0</v>
      </c>
      <c r="P32" s="20" t="n">
        <v>0</v>
      </c>
      <c r="Q32" s="18" t="n">
        <v>0.74519901</v>
      </c>
      <c r="R32" s="20" t="n">
        <v>0.52141192</v>
      </c>
    </row>
    <row r="33" spans="1:18">
      <c r="A33" s="15" t="s">
        <v>591</v>
      </c>
      <c r="B33" s="17" t="n">
        <v>3651</v>
      </c>
      <c r="C33" s="18">
        <f>(3279.0/B33*100)</f>
        <v/>
      </c>
      <c r="D33" s="19" t="n">
        <v>372</v>
      </c>
      <c r="E33" s="18" t="n">
        <v>45.42380546</v>
      </c>
      <c r="F33" s="20" t="n">
        <v>2.79294925</v>
      </c>
      <c r="G33" s="18" t="n">
        <v>53.64635007</v>
      </c>
      <c r="H33" s="20" t="n">
        <v>2.6462966</v>
      </c>
      <c r="I33" s="18" t="n">
        <v>0</v>
      </c>
      <c r="J33" s="20" t="n">
        <v>0</v>
      </c>
      <c r="K33" s="18" t="n">
        <v>0.39186859</v>
      </c>
      <c r="L33" s="20" t="n">
        <v>0.26441565</v>
      </c>
      <c r="M33" s="18" t="n">
        <v>0</v>
      </c>
      <c r="N33" s="20" t="n">
        <v>0</v>
      </c>
      <c r="O33" s="18" t="n">
        <v>0</v>
      </c>
      <c r="P33" s="20" t="n">
        <v>0</v>
      </c>
      <c r="Q33" s="18" t="n">
        <v>0.53797588</v>
      </c>
      <c r="R33" s="20" t="n">
        <v>0.52096049</v>
      </c>
    </row>
    <row r="34" spans="1:18">
      <c r="A34" s="15" t="s">
        <v>592</v>
      </c>
      <c r="B34" s="17" t="n">
        <v>3035</v>
      </c>
      <c r="C34" s="18">
        <f>(2737.0/B34*100)</f>
        <v/>
      </c>
      <c r="D34" s="19" t="n">
        <v>298</v>
      </c>
      <c r="E34" s="18" t="n">
        <v>60.45265996</v>
      </c>
      <c r="F34" s="20" t="n">
        <v>2.77631452</v>
      </c>
      <c r="G34" s="18" t="n">
        <v>38.3575389</v>
      </c>
      <c r="H34" s="20" t="n">
        <v>2.82786257</v>
      </c>
      <c r="I34" s="18" t="n">
        <v>0</v>
      </c>
      <c r="J34" s="20" t="n">
        <v>0</v>
      </c>
      <c r="K34" s="18" t="n">
        <v>0.83844455</v>
      </c>
      <c r="L34" s="20" t="n">
        <v>0.58045132</v>
      </c>
      <c r="M34" s="18" t="n">
        <v>0</v>
      </c>
      <c r="N34" s="20" t="n">
        <v>0</v>
      </c>
      <c r="O34" s="18" t="n">
        <v>0</v>
      </c>
      <c r="P34" s="20" t="n">
        <v>0</v>
      </c>
      <c r="Q34" s="18" t="n">
        <v>0.35135659</v>
      </c>
      <c r="R34" s="20" t="n">
        <v>0.35877447</v>
      </c>
    </row>
    <row r="35" spans="1:18">
      <c r="A35" s="15" t="s">
        <v>593</v>
      </c>
      <c r="B35" s="17" t="n">
        <v>2901</v>
      </c>
      <c r="C35" s="18">
        <f>(2595.0/B35*100)</f>
        <v/>
      </c>
      <c r="D35" s="19" t="n">
        <v>306</v>
      </c>
      <c r="E35" s="18" t="n">
        <v>46.06888674</v>
      </c>
      <c r="F35" s="20" t="n">
        <v>3.4390505</v>
      </c>
      <c r="G35" s="18" t="n">
        <v>53.65495458</v>
      </c>
      <c r="H35" s="20" t="n">
        <v>3.41990496</v>
      </c>
      <c r="I35" s="18" t="n">
        <v>0</v>
      </c>
      <c r="J35" s="20" t="n">
        <v>0</v>
      </c>
      <c r="K35" s="18" t="n">
        <v>0</v>
      </c>
      <c r="L35" s="20" t="n">
        <v>0</v>
      </c>
      <c r="M35" s="18" t="n">
        <v>0</v>
      </c>
      <c r="N35" s="20" t="n">
        <v>0</v>
      </c>
      <c r="O35" s="18" t="n">
        <v>0</v>
      </c>
      <c r="P35" s="20" t="n">
        <v>0</v>
      </c>
      <c r="Q35" s="18" t="n">
        <v>0.27615868</v>
      </c>
      <c r="R35" s="20" t="n">
        <v>0.19495433</v>
      </c>
    </row>
    <row r="36" spans="1:18">
      <c r="A36" s="15" t="s">
        <v>594</v>
      </c>
      <c r="B36" s="17" t="n">
        <v>3404</v>
      </c>
      <c r="C36" s="18">
        <f>(3036.0/B36*100)</f>
        <v/>
      </c>
      <c r="D36" s="19" t="n">
        <v>368</v>
      </c>
      <c r="E36" s="18" t="n">
        <v>48.63241017</v>
      </c>
      <c r="F36" s="20" t="n">
        <v>2.98461057</v>
      </c>
      <c r="G36" s="18" t="n">
        <v>50.5178061</v>
      </c>
      <c r="H36" s="20" t="n">
        <v>2.87750454</v>
      </c>
      <c r="I36" s="18" t="n">
        <v>0</v>
      </c>
      <c r="J36" s="20" t="n">
        <v>0</v>
      </c>
      <c r="K36" s="18" t="n">
        <v>0.27563643</v>
      </c>
      <c r="L36" s="20" t="n">
        <v>0.27446151</v>
      </c>
      <c r="M36" s="18" t="n">
        <v>0</v>
      </c>
      <c r="N36" s="20" t="n">
        <v>0</v>
      </c>
      <c r="O36" s="18" t="n">
        <v>0</v>
      </c>
      <c r="P36" s="20" t="n">
        <v>0</v>
      </c>
      <c r="Q36" s="18" t="n">
        <v>0.5741473</v>
      </c>
      <c r="R36" s="20" t="n">
        <v>0.40252611</v>
      </c>
    </row>
    <row r="37" spans="1:18">
      <c r="A37" s="15" t="s">
        <v>595</v>
      </c>
      <c r="B37" s="17" t="n">
        <v>2731</v>
      </c>
      <c r="C37" s="18">
        <f>(2457.0/B37*100)</f>
        <v/>
      </c>
      <c r="D37" s="19" t="n">
        <v>274</v>
      </c>
      <c r="E37" s="18" t="n">
        <v>40.86623605</v>
      </c>
      <c r="F37" s="20" t="n">
        <v>2.74725855</v>
      </c>
      <c r="G37" s="18" t="n">
        <v>56.24793353</v>
      </c>
      <c r="H37" s="20" t="n">
        <v>2.91419489</v>
      </c>
      <c r="I37" s="18" t="n">
        <v>0</v>
      </c>
      <c r="J37" s="20" t="n">
        <v>0</v>
      </c>
      <c r="K37" s="18" t="n">
        <v>0.73512658</v>
      </c>
      <c r="L37" s="20" t="n">
        <v>0.51289595</v>
      </c>
      <c r="M37" s="18" t="n">
        <v>0</v>
      </c>
      <c r="N37" s="20" t="n">
        <v>0</v>
      </c>
      <c r="O37" s="18" t="n">
        <v>0</v>
      </c>
      <c r="P37" s="20" t="n">
        <v>0</v>
      </c>
      <c r="Q37" s="18" t="n">
        <v>2.15070384</v>
      </c>
      <c r="R37" s="20" t="n">
        <v>0.83365204</v>
      </c>
    </row>
    <row r="38" spans="1:18">
      <c r="A38" s="15" t="s">
        <v>596</v>
      </c>
      <c r="B38" s="17" t="n">
        <v>2807</v>
      </c>
      <c r="C38" s="18">
        <f>(2516.0/B38*100)</f>
        <v/>
      </c>
      <c r="D38" s="19" t="n">
        <v>291</v>
      </c>
      <c r="E38" s="18" t="n">
        <v>40.32356265</v>
      </c>
      <c r="F38" s="20" t="n">
        <v>3.33532645</v>
      </c>
      <c r="G38" s="18" t="n">
        <v>58.43135085</v>
      </c>
      <c r="H38" s="20" t="n">
        <v>3.35607224</v>
      </c>
      <c r="I38" s="18" t="n">
        <v>0</v>
      </c>
      <c r="J38" s="20" t="n">
        <v>0</v>
      </c>
      <c r="K38" s="18" t="n">
        <v>0.34969719</v>
      </c>
      <c r="L38" s="20" t="n">
        <v>0.35786862</v>
      </c>
      <c r="M38" s="18" t="n">
        <v>0</v>
      </c>
      <c r="N38" s="20" t="n">
        <v>0</v>
      </c>
      <c r="O38" s="18" t="n">
        <v>0</v>
      </c>
      <c r="P38" s="20" t="n">
        <v>0</v>
      </c>
      <c r="Q38" s="18" t="n">
        <v>0.89538931</v>
      </c>
      <c r="R38" s="20" t="n">
        <v>0.50898548</v>
      </c>
    </row>
    <row r="39" spans="1:18">
      <c r="A39" s="15" t="s">
        <v>597</v>
      </c>
      <c r="B39" s="17" t="n">
        <v>2938</v>
      </c>
      <c r="C39" s="18">
        <f>(2616.0/B39*100)</f>
        <v/>
      </c>
      <c r="D39" s="19" t="n">
        <v>322</v>
      </c>
      <c r="E39" s="18" t="n">
        <v>52.37860772</v>
      </c>
      <c r="F39" s="20" t="n">
        <v>2.68104165</v>
      </c>
      <c r="G39" s="18" t="n">
        <v>46.14176185</v>
      </c>
      <c r="H39" s="20" t="n">
        <v>2.68024365</v>
      </c>
      <c r="I39" s="18" t="n">
        <v>0</v>
      </c>
      <c r="J39" s="20" t="n">
        <v>0</v>
      </c>
      <c r="K39" s="18" t="n">
        <v>0.29735762</v>
      </c>
      <c r="L39" s="20" t="n">
        <v>0.29101866</v>
      </c>
      <c r="M39" s="18" t="n">
        <v>0</v>
      </c>
      <c r="N39" s="20" t="n">
        <v>0</v>
      </c>
      <c r="O39" s="18" t="n">
        <v>0</v>
      </c>
      <c r="P39" s="20" t="n">
        <v>0</v>
      </c>
      <c r="Q39" s="18" t="n">
        <v>1.18227281</v>
      </c>
      <c r="R39" s="20" t="n">
        <v>0.64280043</v>
      </c>
    </row>
    <row r="40" spans="1:18">
      <c r="A40" s="15" t="s">
        <v>598</v>
      </c>
      <c r="B40" s="17" t="n">
        <v>6922</v>
      </c>
      <c r="C40" s="18">
        <f>(6131.0/B40*100)</f>
        <v/>
      </c>
      <c r="D40" s="19" t="n">
        <v>791</v>
      </c>
      <c r="E40" s="18" t="n">
        <v>31.78430654</v>
      </c>
      <c r="F40" s="20" t="n">
        <v>2.52989954</v>
      </c>
      <c r="G40" s="18" t="n">
        <v>65.88857699</v>
      </c>
      <c r="H40" s="20" t="n">
        <v>2.54168535</v>
      </c>
      <c r="I40" s="18" t="n">
        <v>0</v>
      </c>
      <c r="J40" s="20" t="n">
        <v>0</v>
      </c>
      <c r="K40" s="18" t="n">
        <v>0.5730541099999999</v>
      </c>
      <c r="L40" s="20" t="n">
        <v>0.37486573</v>
      </c>
      <c r="M40" s="18" t="n">
        <v>0</v>
      </c>
      <c r="N40" s="20" t="n">
        <v>0</v>
      </c>
      <c r="O40" s="18" t="n">
        <v>0</v>
      </c>
      <c r="P40" s="20" t="n">
        <v>0</v>
      </c>
      <c r="Q40" s="18" t="n">
        <v>1.75406236</v>
      </c>
      <c r="R40" s="20" t="n">
        <v>0.7365958</v>
      </c>
    </row>
    <row r="41" spans="1:18">
      <c r="A41" s="15" t="s">
        <v>599</v>
      </c>
      <c r="B41" s="17" t="n">
        <v>2854</v>
      </c>
      <c r="C41" s="18">
        <f>(2577.0/B41*100)</f>
        <v/>
      </c>
      <c r="D41" s="19" t="n">
        <v>277</v>
      </c>
      <c r="E41" s="18" t="n">
        <v>40.44001814</v>
      </c>
      <c r="F41" s="20" t="n">
        <v>2.81187354</v>
      </c>
      <c r="G41" s="18" t="n">
        <v>58.51298021</v>
      </c>
      <c r="H41" s="20" t="n">
        <v>2.92422079</v>
      </c>
      <c r="I41" s="18" t="n">
        <v>0</v>
      </c>
      <c r="J41" s="20" t="n">
        <v>0</v>
      </c>
      <c r="K41" s="18" t="n">
        <v>1.04700166</v>
      </c>
      <c r="L41" s="20" t="n">
        <v>0.66497621</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(11117.0/B46*100)</f>
        <v/>
      </c>
      <c r="D46" s="19" t="n">
        <v>956</v>
      </c>
      <c r="E46" s="18" t="n">
        <v>67.69398142999999</v>
      </c>
      <c r="F46" s="20" t="n">
        <v>2.13659777</v>
      </c>
      <c r="G46" s="18" t="n">
        <v>27.79029872</v>
      </c>
      <c r="H46" s="20" t="n">
        <v>1.83209333</v>
      </c>
      <c r="I46" s="18" t="n">
        <v>0</v>
      </c>
      <c r="J46" s="20" t="n">
        <v>0</v>
      </c>
      <c r="K46" s="18" t="n">
        <v>2.13749848</v>
      </c>
      <c r="L46" s="20" t="n">
        <v>0.56886633</v>
      </c>
      <c r="M46" s="18" t="n">
        <v>0</v>
      </c>
      <c r="N46" s="20" t="n">
        <v>0</v>
      </c>
      <c r="O46" s="18" t="n">
        <v>0</v>
      </c>
      <c r="P46" s="20" t="n">
        <v>0</v>
      </c>
      <c r="Q46" s="18" t="n">
        <v>2.37822136</v>
      </c>
      <c r="R46" s="20" t="n">
        <v>0.65339013</v>
      </c>
    </row>
    <row r="47" spans="1:18">
      <c r="A47" s="15" t="s">
        <v>606</v>
      </c>
      <c r="B47" s="17" t="n">
        <v>2823</v>
      </c>
      <c r="C47" s="18">
        <f>(2549.0/B47*100)</f>
        <v/>
      </c>
      <c r="D47" s="19" t="n">
        <v>274</v>
      </c>
      <c r="E47" s="18" t="n">
        <v>57.35484777</v>
      </c>
      <c r="F47" s="20" t="n">
        <v>3.21495821</v>
      </c>
      <c r="G47" s="18" t="n">
        <v>38.38927698</v>
      </c>
      <c r="H47" s="20" t="n">
        <v>3.2270044</v>
      </c>
      <c r="I47" s="18" t="n">
        <v>0</v>
      </c>
      <c r="J47" s="20" t="n">
        <v>0</v>
      </c>
      <c r="K47" s="18" t="n">
        <v>1.00826559</v>
      </c>
      <c r="L47" s="20" t="n">
        <v>0.58004265</v>
      </c>
      <c r="M47" s="18" t="n">
        <v>0</v>
      </c>
      <c r="N47" s="20" t="n">
        <v>0</v>
      </c>
      <c r="O47" s="18" t="n">
        <v>0</v>
      </c>
      <c r="P47" s="20" t="n">
        <v>0</v>
      </c>
      <c r="Q47" s="18" t="n">
        <v>3.24760966</v>
      </c>
      <c r="R47" s="20" t="n">
        <v>0.80703589</v>
      </c>
    </row>
    <row r="48" spans="1:18">
      <c r="A48" s="15" t="s">
        <v>607</v>
      </c>
      <c r="B48" s="17" t="n">
        <v>4682</v>
      </c>
      <c r="C48" s="18">
        <f>(4158.0/B48*100)</f>
        <v/>
      </c>
      <c r="D48" s="19" t="n">
        <v>524</v>
      </c>
      <c r="E48" s="18" t="n">
        <v>58.64684296</v>
      </c>
      <c r="F48" s="20" t="n">
        <v>2.88289707</v>
      </c>
      <c r="G48" s="18" t="n">
        <v>40.47365224</v>
      </c>
      <c r="H48" s="20" t="n">
        <v>2.83253701</v>
      </c>
      <c r="I48" s="18" t="n">
        <v>0</v>
      </c>
      <c r="J48" s="20" t="n">
        <v>0</v>
      </c>
      <c r="K48" s="18" t="n">
        <v>0.58588819</v>
      </c>
      <c r="L48" s="20" t="n">
        <v>0.4171337</v>
      </c>
      <c r="M48" s="18" t="n">
        <v>0</v>
      </c>
      <c r="N48" s="20" t="n">
        <v>0</v>
      </c>
      <c r="O48" s="18" t="n">
        <v>0</v>
      </c>
      <c r="P48" s="20" t="n">
        <v>0</v>
      </c>
      <c r="Q48" s="18" t="n">
        <v>0.29361661</v>
      </c>
      <c r="R48" s="20" t="n">
        <v>0.29476532</v>
      </c>
    </row>
    <row r="49" spans="1:18">
      <c r="A49" s="15" t="s">
        <v>608</v>
      </c>
      <c r="B49" s="17" t="n">
        <v>6158</v>
      </c>
      <c r="C49" s="18">
        <f>(5516.0/B49*100)</f>
        <v/>
      </c>
      <c r="D49" s="19" t="n">
        <v>642</v>
      </c>
      <c r="E49" s="18" t="n">
        <v>68.99875805000001</v>
      </c>
      <c r="F49" s="20" t="n">
        <v>2.4632668</v>
      </c>
      <c r="G49" s="18" t="n">
        <v>24.44507358</v>
      </c>
      <c r="H49" s="20" t="n">
        <v>2.16004717</v>
      </c>
      <c r="I49" s="18" t="n">
        <v>0</v>
      </c>
      <c r="J49" s="20" t="n">
        <v>0</v>
      </c>
      <c r="K49" s="18" t="n">
        <v>4.29512988</v>
      </c>
      <c r="L49" s="20" t="n">
        <v>1.23456715</v>
      </c>
      <c r="M49" s="18" t="n">
        <v>0</v>
      </c>
      <c r="N49" s="20" t="n">
        <v>0</v>
      </c>
      <c r="O49" s="18" t="n">
        <v>0</v>
      </c>
      <c r="P49" s="20" t="n">
        <v>0</v>
      </c>
      <c r="Q49" s="18" t="n">
        <v>2.26103849</v>
      </c>
      <c r="R49" s="20" t="n">
        <v>0.8124188</v>
      </c>
    </row>
    <row r="50" spans="1:18">
      <c r="A50" s="15" t="s">
        <v>609</v>
      </c>
      <c r="B50" s="17" t="n">
        <v>3494</v>
      </c>
      <c r="C50" s="18">
        <f>(3174.0/B50*100)</f>
        <v/>
      </c>
      <c r="D50" s="19" t="n">
        <v>320</v>
      </c>
      <c r="E50" s="18" t="n">
        <v>71.52798155000001</v>
      </c>
      <c r="F50" s="20" t="n">
        <v>2.45378874</v>
      </c>
      <c r="G50" s="18" t="n">
        <v>26.80249697</v>
      </c>
      <c r="H50" s="20" t="n">
        <v>2.3778431</v>
      </c>
      <c r="I50" s="18" t="n">
        <v>0</v>
      </c>
      <c r="J50" s="20" t="n">
        <v>0</v>
      </c>
      <c r="K50" s="18" t="n">
        <v>1.15370065</v>
      </c>
      <c r="L50" s="20" t="n">
        <v>0.52970582</v>
      </c>
      <c r="M50" s="18" t="n">
        <v>0</v>
      </c>
      <c r="N50" s="20" t="n">
        <v>0</v>
      </c>
      <c r="O50" s="18" t="n">
        <v>0</v>
      </c>
      <c r="P50" s="20" t="n">
        <v>0</v>
      </c>
      <c r="Q50" s="18" t="n">
        <v>0.51582083</v>
      </c>
      <c r="R50" s="20" t="n">
        <v>0.32865987</v>
      </c>
    </row>
    <row r="51" spans="1:18">
      <c r="A51" s="15" t="s">
        <v>610</v>
      </c>
      <c r="B51" s="17" t="n">
        <v>3013</v>
      </c>
      <c r="C51" s="18">
        <f>(2685.0/B51*100)</f>
        <v/>
      </c>
      <c r="D51" s="19" t="n">
        <v>328</v>
      </c>
      <c r="E51" s="18" t="n">
        <v>49.63633378</v>
      </c>
      <c r="F51" s="20" t="n">
        <v>2.7974234</v>
      </c>
      <c r="G51" s="18" t="n">
        <v>50.36366622</v>
      </c>
      <c r="H51" s="20" t="n">
        <v>2.7974234</v>
      </c>
      <c r="I51" s="18" t="n">
        <v>0</v>
      </c>
      <c r="J51" s="20" t="n">
        <v>0</v>
      </c>
      <c r="K51" s="18" t="n">
        <v>0</v>
      </c>
      <c r="L51" s="20" t="n">
        <v>0</v>
      </c>
      <c r="M51" s="18" t="n">
        <v>0</v>
      </c>
      <c r="N51" s="20" t="n">
        <v>0</v>
      </c>
      <c r="O51" s="18" t="n">
        <v>0</v>
      </c>
      <c r="P51" s="20" t="n">
        <v>0</v>
      </c>
      <c r="Q51" s="18" t="n">
        <v>0</v>
      </c>
      <c r="R51" s="20" t="n">
        <v>0</v>
      </c>
    </row>
    <row r="52" spans="1:18">
      <c r="A52" s="15" t="s">
        <v>611</v>
      </c>
      <c r="B52" s="17" t="n">
        <v>2760</v>
      </c>
      <c r="C52" s="18">
        <f>(2439.0/B52*100)</f>
        <v/>
      </c>
      <c r="D52" s="19" t="n">
        <v>321</v>
      </c>
      <c r="E52" s="18" t="n">
        <v>55.76950195</v>
      </c>
      <c r="F52" s="20" t="n">
        <v>3.18745935</v>
      </c>
      <c r="G52" s="18" t="n">
        <v>43.3858333</v>
      </c>
      <c r="H52" s="20" t="n">
        <v>3.09258534</v>
      </c>
      <c r="I52" s="18" t="n">
        <v>0</v>
      </c>
      <c r="J52" s="20" t="n">
        <v>0</v>
      </c>
      <c r="K52" s="18" t="n">
        <v>0.20858949</v>
      </c>
      <c r="L52" s="20" t="n">
        <v>0.20839224</v>
      </c>
      <c r="M52" s="18" t="n">
        <v>0</v>
      </c>
      <c r="N52" s="20" t="n">
        <v>0</v>
      </c>
      <c r="O52" s="18" t="n">
        <v>0</v>
      </c>
      <c r="P52" s="20" t="n">
        <v>0</v>
      </c>
      <c r="Q52" s="18" t="n">
        <v>0.63607526</v>
      </c>
      <c r="R52" s="20" t="n">
        <v>0.45273589</v>
      </c>
    </row>
    <row r="53" spans="1:18">
      <c r="A53" s="15" t="s">
        <v>612</v>
      </c>
      <c r="B53" s="17" t="n">
        <v>2474</v>
      </c>
      <c r="C53" s="18">
        <f>(2208.0/B53*100)</f>
        <v/>
      </c>
      <c r="D53" s="19" t="n">
        <v>266</v>
      </c>
      <c r="E53" s="18" t="n">
        <v>55.86856411</v>
      </c>
      <c r="F53" s="20" t="n">
        <v>3.3792659</v>
      </c>
      <c r="G53" s="18" t="n">
        <v>13.44603864</v>
      </c>
      <c r="H53" s="20" t="n">
        <v>1.93554252</v>
      </c>
      <c r="I53" s="18" t="n">
        <v>0</v>
      </c>
      <c r="J53" s="20" t="n">
        <v>0</v>
      </c>
      <c r="K53" s="18" t="n">
        <v>27.15615799</v>
      </c>
      <c r="L53" s="20" t="n">
        <v>2.92353673</v>
      </c>
      <c r="M53" s="18" t="n">
        <v>0</v>
      </c>
      <c r="N53" s="20" t="n">
        <v>0</v>
      </c>
      <c r="O53" s="18" t="n">
        <v>0</v>
      </c>
      <c r="P53" s="20" t="n">
        <v>0</v>
      </c>
      <c r="Q53" s="18" t="n">
        <v>3.52923926</v>
      </c>
      <c r="R53" s="20" t="n">
        <v>1.29873485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(2384.0/B55*100)</f>
        <v/>
      </c>
      <c r="D55" s="19" t="n">
        <v>291</v>
      </c>
      <c r="E55" s="18" t="n">
        <v>56.65617039</v>
      </c>
      <c r="F55" s="20" t="n">
        <v>3.28946947</v>
      </c>
      <c r="G55" s="18" t="n">
        <v>42.66675772</v>
      </c>
      <c r="H55" s="20" t="n">
        <v>3.26965133</v>
      </c>
      <c r="I55" s="18" t="n">
        <v>0</v>
      </c>
      <c r="J55" s="20" t="n">
        <v>0</v>
      </c>
      <c r="K55" s="18" t="n">
        <v>0.67707189</v>
      </c>
      <c r="L55" s="20" t="n">
        <v>0.65875789</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(2837.0/B61*100)</f>
        <v/>
      </c>
      <c r="D61" s="19" t="n">
        <v>364</v>
      </c>
      <c r="E61" s="18" t="n">
        <v>57.58612736</v>
      </c>
      <c r="F61" s="20" t="n">
        <v>2.32449043</v>
      </c>
      <c r="G61" s="18" t="n">
        <v>42.28974103</v>
      </c>
      <c r="H61" s="20" t="n">
        <v>2.32213027</v>
      </c>
      <c r="I61" s="18" t="n">
        <v>0</v>
      </c>
      <c r="J61" s="20" t="n">
        <v>0</v>
      </c>
      <c r="K61" s="18" t="n">
        <v>0</v>
      </c>
      <c r="L61" s="20" t="n">
        <v>0</v>
      </c>
      <c r="M61" s="18" t="n">
        <v>0</v>
      </c>
      <c r="N61" s="20" t="n">
        <v>0</v>
      </c>
      <c r="O61" s="18" t="n">
        <v>0</v>
      </c>
      <c r="P61" s="20" t="n">
        <v>0</v>
      </c>
      <c r="Q61" s="18" t="n">
        <v>0.12413161</v>
      </c>
      <c r="R61" s="20" t="n">
        <v>0.08745636</v>
      </c>
    </row>
    <row r="62" spans="1:18">
      <c r="A62" s="15" t="s">
        <v>622</v>
      </c>
      <c r="B62" s="17" t="n">
        <v>2230</v>
      </c>
      <c r="C62" s="18">
        <f>(1983.0/B62*100)</f>
        <v/>
      </c>
      <c r="D62" s="19" t="n">
        <v>247</v>
      </c>
      <c r="E62" s="18" t="n">
        <v>48.92721856</v>
      </c>
      <c r="F62" s="20" t="n">
        <v>3.08274756</v>
      </c>
      <c r="G62" s="18" t="n">
        <v>51.07278144</v>
      </c>
      <c r="H62" s="20" t="n">
        <v>3.08274756</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(2485.0/B67*100)</f>
        <v/>
      </c>
      <c r="D67" s="19" t="n">
        <v>286</v>
      </c>
      <c r="E67" s="18" t="n">
        <v>63.49497608</v>
      </c>
      <c r="F67" s="20" t="n">
        <v>3.11187157</v>
      </c>
      <c r="G67" s="18" t="n">
        <v>31.63592081</v>
      </c>
      <c r="H67" s="20" t="n">
        <v>3.08302938</v>
      </c>
      <c r="I67" s="18" t="n">
        <v>0</v>
      </c>
      <c r="J67" s="20" t="n">
        <v>0</v>
      </c>
      <c r="K67" s="18" t="n">
        <v>1.55291612</v>
      </c>
      <c r="L67" s="20" t="n">
        <v>0.79267719</v>
      </c>
      <c r="M67" s="18" t="n">
        <v>0</v>
      </c>
      <c r="N67" s="20" t="n">
        <v>0</v>
      </c>
      <c r="O67" s="18" t="n">
        <v>0</v>
      </c>
      <c r="P67" s="20" t="n">
        <v>0</v>
      </c>
      <c r="Q67" s="18" t="n">
        <v>3.31618699</v>
      </c>
      <c r="R67" s="20" t="n">
        <v>1.02791839</v>
      </c>
    </row>
    <row r="68" spans="1:18">
      <c r="A68" s="15" t="s">
        <v>628</v>
      </c>
      <c r="B68" s="17" t="n">
        <v>3460</v>
      </c>
      <c r="C68" s="18">
        <f>(3169.0/B68*100)</f>
        <v/>
      </c>
      <c r="D68" s="19" t="n">
        <v>291</v>
      </c>
      <c r="E68" s="18" t="n">
        <v>66.11973067</v>
      </c>
      <c r="F68" s="20" t="n">
        <v>2.6075013</v>
      </c>
      <c r="G68" s="18" t="n">
        <v>32.46853354</v>
      </c>
      <c r="H68" s="20" t="n">
        <v>2.65245721</v>
      </c>
      <c r="I68" s="18" t="n">
        <v>0</v>
      </c>
      <c r="J68" s="20" t="n">
        <v>0</v>
      </c>
      <c r="K68" s="18" t="n">
        <v>0.66119614</v>
      </c>
      <c r="L68" s="20" t="n">
        <v>0.48446314</v>
      </c>
      <c r="M68" s="18" t="n">
        <v>0</v>
      </c>
      <c r="N68" s="20" t="n">
        <v>0</v>
      </c>
      <c r="O68" s="18" t="n">
        <v>0</v>
      </c>
      <c r="P68" s="20" t="n">
        <v>0</v>
      </c>
      <c r="Q68" s="18" t="n">
        <v>0.75053965</v>
      </c>
      <c r="R68" s="20" t="n">
        <v>0.5281991700000001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(5360.0/B70*100)</f>
        <v/>
      </c>
      <c r="D70" s="19" t="n">
        <v>674</v>
      </c>
      <c r="E70" s="18" t="n">
        <v>58.40557046</v>
      </c>
      <c r="F70" s="20" t="n">
        <v>1.77692508</v>
      </c>
      <c r="G70" s="18" t="n">
        <v>36.56868565</v>
      </c>
      <c r="H70" s="20" t="n">
        <v>1.68126429</v>
      </c>
      <c r="I70" s="18" t="n">
        <v>0</v>
      </c>
      <c r="J70" s="20" t="n">
        <v>0</v>
      </c>
      <c r="K70" s="18" t="n">
        <v>3.79486926</v>
      </c>
      <c r="L70" s="20" t="n">
        <v>0.8154628900000001</v>
      </c>
      <c r="M70" s="18" t="n">
        <v>0</v>
      </c>
      <c r="N70" s="20" t="n">
        <v>0</v>
      </c>
      <c r="O70" s="18" t="n">
        <v>0</v>
      </c>
      <c r="P70" s="20" t="n">
        <v>0</v>
      </c>
      <c r="Q70" s="18" t="n">
        <v>1.23087463</v>
      </c>
      <c r="R70" s="20" t="n">
        <v>0.43999103</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(2781.0/B72*100)</f>
        <v/>
      </c>
      <c r="D72" s="19" t="n">
        <v>326</v>
      </c>
      <c r="E72" s="18" t="n">
        <v>49.73655376</v>
      </c>
      <c r="F72" s="20" t="n">
        <v>3.20251144</v>
      </c>
      <c r="G72" s="18" t="n">
        <v>48.01512948</v>
      </c>
      <c r="H72" s="20" t="n">
        <v>3.26167848</v>
      </c>
      <c r="I72" s="18" t="n">
        <v>0</v>
      </c>
      <c r="J72" s="20" t="n">
        <v>0</v>
      </c>
      <c r="K72" s="18" t="n">
        <v>0.48531393</v>
      </c>
      <c r="L72" s="20" t="n">
        <v>0.28512955</v>
      </c>
      <c r="M72" s="18" t="n">
        <v>0</v>
      </c>
      <c r="N72" s="20" t="n">
        <v>0</v>
      </c>
      <c r="O72" s="18" t="n">
        <v>0</v>
      </c>
      <c r="P72" s="20" t="n">
        <v>0</v>
      </c>
      <c r="Q72" s="18" t="n">
        <v>1.76300284</v>
      </c>
      <c r="R72" s="20" t="n">
        <v>0.77215486</v>
      </c>
    </row>
    <row r="73" spans="1:18">
      <c r="A73" s="15" t="s">
        <v>633</v>
      </c>
      <c r="B73" s="17" t="n">
        <v>2973</v>
      </c>
      <c r="C73" s="18">
        <f>(2652.0/B73*100)</f>
        <v/>
      </c>
      <c r="D73" s="19" t="n">
        <v>321</v>
      </c>
      <c r="E73" s="18" t="n">
        <v>49.32198341</v>
      </c>
      <c r="F73" s="20" t="n">
        <v>2.97127891</v>
      </c>
      <c r="G73" s="18" t="n">
        <v>49.99705166</v>
      </c>
      <c r="H73" s="20" t="n">
        <v>2.92234901</v>
      </c>
      <c r="I73" s="18" t="n">
        <v>0</v>
      </c>
      <c r="J73" s="20" t="n">
        <v>0</v>
      </c>
      <c r="K73" s="18" t="n">
        <v>0</v>
      </c>
      <c r="L73" s="20" t="n">
        <v>0</v>
      </c>
      <c r="M73" s="18" t="n">
        <v>0</v>
      </c>
      <c r="N73" s="20" t="n">
        <v>0</v>
      </c>
      <c r="O73" s="18" t="n">
        <v>0</v>
      </c>
      <c r="P73" s="20" t="n">
        <v>0</v>
      </c>
      <c r="Q73" s="18" t="n">
        <v>0.68096493</v>
      </c>
      <c r="R73" s="20" t="n">
        <v>0.48634441</v>
      </c>
    </row>
    <row r="74" spans="1:18">
      <c r="A74" s="15" t="s">
        <v>634</v>
      </c>
      <c r="B74" s="17" t="n">
        <v>3819</v>
      </c>
      <c r="C74" s="18">
        <f>(3366.0/B74*100)</f>
        <v/>
      </c>
      <c r="D74" s="19" t="n">
        <v>453</v>
      </c>
      <c r="E74" s="18" t="n">
        <v>60.37186714</v>
      </c>
      <c r="F74" s="20" t="n">
        <v>2.56441789</v>
      </c>
      <c r="G74" s="18" t="n">
        <v>39.3857643</v>
      </c>
      <c r="H74" s="20" t="n">
        <v>2.56221751</v>
      </c>
      <c r="I74" s="18" t="n">
        <v>0</v>
      </c>
      <c r="J74" s="20" t="n">
        <v>0</v>
      </c>
      <c r="K74" s="18" t="n">
        <v>0.24236857</v>
      </c>
      <c r="L74" s="20" t="n">
        <v>0.24302914</v>
      </c>
      <c r="M74" s="18" t="n">
        <v>0</v>
      </c>
      <c r="N74" s="20" t="n">
        <v>0</v>
      </c>
      <c r="O74" s="18" t="n">
        <v>0</v>
      </c>
      <c r="P74" s="20" t="n">
        <v>0</v>
      </c>
      <c r="Q74" s="18" t="n">
        <v>0</v>
      </c>
      <c r="R74" s="20" t="n">
        <v>0</v>
      </c>
    </row>
    <row r="75" spans="1:18">
      <c r="A75" s="15" t="s">
        <v>635</v>
      </c>
      <c r="B75" s="17" t="n">
        <v>4652</v>
      </c>
      <c r="C75" s="18">
        <f>(4188.0/B75*100)</f>
        <v/>
      </c>
      <c r="D75" s="19" t="n">
        <v>464</v>
      </c>
      <c r="E75" s="18" t="n">
        <v>71.97674481</v>
      </c>
      <c r="F75" s="20" t="n">
        <v>2.6846666</v>
      </c>
      <c r="G75" s="18" t="n">
        <v>27.02922932</v>
      </c>
      <c r="H75" s="20" t="n">
        <v>2.64122753</v>
      </c>
      <c r="I75" s="18" t="n">
        <v>0</v>
      </c>
      <c r="J75" s="20" t="n">
        <v>0</v>
      </c>
      <c r="K75" s="18" t="n">
        <v>0</v>
      </c>
      <c r="L75" s="20" t="n">
        <v>0</v>
      </c>
      <c r="M75" s="18" t="n">
        <v>0</v>
      </c>
      <c r="N75" s="20" t="n">
        <v>0</v>
      </c>
      <c r="O75" s="18" t="n">
        <v>0</v>
      </c>
      <c r="P75" s="20" t="n">
        <v>0</v>
      </c>
      <c r="Q75" s="18" t="n">
        <v>0.99402587</v>
      </c>
      <c r="R75" s="20" t="n">
        <v>0.5729683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(2691.0/B77*100)</f>
        <v/>
      </c>
      <c r="D77" s="19" t="n">
        <v>278</v>
      </c>
      <c r="E77" s="18" t="n">
        <v>60.75399869</v>
      </c>
      <c r="F77" s="20" t="n">
        <v>3.29772938</v>
      </c>
      <c r="G77" s="18" t="n">
        <v>27.43506209</v>
      </c>
      <c r="H77" s="20" t="n">
        <v>3.03771621</v>
      </c>
      <c r="I77" s="18" t="n">
        <v>0</v>
      </c>
      <c r="J77" s="20" t="n">
        <v>0</v>
      </c>
      <c r="K77" s="18" t="n">
        <v>8.526388649999999</v>
      </c>
      <c r="L77" s="20" t="n">
        <v>1.73070023</v>
      </c>
      <c r="M77" s="18" t="n">
        <v>0</v>
      </c>
      <c r="N77" s="20" t="n">
        <v>0</v>
      </c>
      <c r="O77" s="18" t="n">
        <v>0</v>
      </c>
      <c r="P77" s="20" t="n">
        <v>0</v>
      </c>
      <c r="Q77" s="18" t="n">
        <v>3.28455057</v>
      </c>
      <c r="R77" s="20" t="n">
        <v>1.08087248</v>
      </c>
    </row>
    <row r="78" spans="1:18">
      <c r="A78" s="15" t="s">
        <v>638</v>
      </c>
      <c r="B78" s="17" t="n">
        <v>7115</v>
      </c>
      <c r="C78" s="18">
        <f>(6298.0/B78*100)</f>
        <v/>
      </c>
      <c r="D78" s="19" t="n">
        <v>817</v>
      </c>
      <c r="E78" s="18" t="n">
        <v>55.59070444</v>
      </c>
      <c r="F78" s="20" t="n">
        <v>1.74879604</v>
      </c>
      <c r="G78" s="18" t="n">
        <v>42.71135318</v>
      </c>
      <c r="H78" s="20" t="n">
        <v>1.69497257</v>
      </c>
      <c r="I78" s="18" t="n">
        <v>0</v>
      </c>
      <c r="J78" s="20" t="n">
        <v>0</v>
      </c>
      <c r="K78" s="18" t="n">
        <v>1.20200887</v>
      </c>
      <c r="L78" s="20" t="n">
        <v>0.43133707</v>
      </c>
      <c r="M78" s="18" t="n">
        <v>0</v>
      </c>
      <c r="N78" s="20" t="n">
        <v>0</v>
      </c>
      <c r="O78" s="18" t="n">
        <v>0</v>
      </c>
      <c r="P78" s="20" t="n">
        <v>0</v>
      </c>
      <c r="Q78" s="18" t="n">
        <v>0.4959335</v>
      </c>
      <c r="R78" s="20" t="n">
        <v>0.282295</v>
      </c>
    </row>
    <row r="79" spans="1:18">
      <c r="A79" s="15" t="s">
        <v>639</v>
      </c>
      <c r="B79" s="17" t="n">
        <v>3154</v>
      </c>
      <c r="C79" s="18">
        <f>(2827.0/B79*100)</f>
        <v/>
      </c>
      <c r="D79" s="19" t="n">
        <v>327</v>
      </c>
      <c r="E79" s="18" t="n">
        <v>59.11293104</v>
      </c>
      <c r="F79" s="20" t="n">
        <v>3.0155974</v>
      </c>
      <c r="G79" s="18" t="n">
        <v>32.0770651</v>
      </c>
      <c r="H79" s="20" t="n">
        <v>2.79556171</v>
      </c>
      <c r="I79" s="18" t="n">
        <v>0</v>
      </c>
      <c r="J79" s="20" t="n">
        <v>0</v>
      </c>
      <c r="K79" s="18" t="n">
        <v>2.6300418</v>
      </c>
      <c r="L79" s="20" t="n">
        <v>1.06398444</v>
      </c>
      <c r="M79" s="18" t="n">
        <v>0</v>
      </c>
      <c r="N79" s="20" t="n">
        <v>0</v>
      </c>
      <c r="O79" s="18" t="n">
        <v>0</v>
      </c>
      <c r="P79" s="20" t="n">
        <v>0</v>
      </c>
      <c r="Q79" s="18" t="n">
        <v>6.17996206</v>
      </c>
      <c r="R79" s="20" t="n">
        <v>1.36934314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(14315.0/B82*100)</f>
        <v/>
      </c>
      <c r="D82" s="19" t="n">
        <v>1646</v>
      </c>
      <c r="E82" s="18" t="n">
        <v>49.70988901</v>
      </c>
      <c r="F82" s="20" t="n">
        <v>1.9279858</v>
      </c>
      <c r="G82" s="18" t="n">
        <v>49.40026773</v>
      </c>
      <c r="H82" s="20" t="n">
        <v>1.90662432</v>
      </c>
      <c r="I82" s="18" t="n">
        <v>0</v>
      </c>
      <c r="J82" s="20" t="n">
        <v>0</v>
      </c>
      <c r="K82" s="18" t="n">
        <v>0.13606186</v>
      </c>
      <c r="L82" s="20" t="n">
        <v>0.06935232</v>
      </c>
      <c r="M82" s="18" t="n">
        <v>0</v>
      </c>
      <c r="N82" s="20" t="n">
        <v>0</v>
      </c>
      <c r="O82" s="18" t="n">
        <v>0</v>
      </c>
      <c r="P82" s="20" t="n">
        <v>0</v>
      </c>
      <c r="Q82" s="18" t="n">
        <v>0.7537814</v>
      </c>
      <c r="R82" s="20" t="n">
        <v>0.37122232</v>
      </c>
    </row>
    <row r="83" spans="1:18">
      <c r="A83" s="15" t="s">
        <v>643</v>
      </c>
      <c r="B83" s="17" t="n">
        <v>808</v>
      </c>
      <c r="C83" s="18">
        <f>(724.0/B83*100)</f>
        <v/>
      </c>
      <c r="D83" s="19" t="n">
        <v>84</v>
      </c>
      <c r="E83" s="18" t="n">
        <v>43.07626262</v>
      </c>
      <c r="F83" s="20" t="n">
        <v>5.06273341</v>
      </c>
      <c r="G83" s="18" t="n">
        <v>56.92373738</v>
      </c>
      <c r="H83" s="20" t="n">
        <v>5.06273341</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(846.0/B84*100)</f>
        <v/>
      </c>
      <c r="D84" s="19" t="n">
        <v>92</v>
      </c>
      <c r="E84" s="18" t="n">
        <v>37.78641461</v>
      </c>
      <c r="F84" s="20" t="n">
        <v>5.74057328</v>
      </c>
      <c r="G84" s="18" t="n">
        <v>62.21358539</v>
      </c>
      <c r="H84" s="20" t="n">
        <v>5.74057328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(6379.0/B7*100)</f>
        <v/>
      </c>
      <c r="D7" s="19" t="n">
        <v>784</v>
      </c>
      <c r="E7" s="18" t="n">
        <v>30.66309892</v>
      </c>
      <c r="F7" s="20" t="n">
        <v>2.1265902</v>
      </c>
      <c r="G7" s="18" t="n">
        <v>67.99733566</v>
      </c>
      <c r="H7" s="20" t="n">
        <v>2.09120797</v>
      </c>
      <c r="I7" s="18" t="n">
        <v>0</v>
      </c>
      <c r="J7" s="20" t="n">
        <v>0</v>
      </c>
      <c r="K7" s="18" t="n">
        <v>0.90207171</v>
      </c>
      <c r="L7" s="20" t="n">
        <v>0.38196955</v>
      </c>
      <c r="M7" s="18" t="n">
        <v>0</v>
      </c>
      <c r="N7" s="20" t="n">
        <v>0</v>
      </c>
      <c r="O7" s="18" t="n">
        <v>0</v>
      </c>
      <c r="P7" s="20" t="n">
        <v>0</v>
      </c>
      <c r="Q7" s="18" t="n">
        <v>0.43749371</v>
      </c>
      <c r="R7" s="20" t="n">
        <v>0.24393407</v>
      </c>
    </row>
    <row r="8" spans="1:18">
      <c r="A8" s="15" t="s">
        <v>566</v>
      </c>
      <c r="B8" s="17" t="n">
        <v>3443</v>
      </c>
      <c r="C8" s="18">
        <f>(3056.0/B8*100)</f>
        <v/>
      </c>
      <c r="D8" s="19" t="n">
        <v>387</v>
      </c>
      <c r="E8" s="18" t="n">
        <v>28.88143015</v>
      </c>
      <c r="F8" s="20" t="n">
        <v>2.61195238</v>
      </c>
      <c r="G8" s="18" t="n">
        <v>70.44368095</v>
      </c>
      <c r="H8" s="20" t="n">
        <v>2.59306098</v>
      </c>
      <c r="I8" s="18" t="n">
        <v>0</v>
      </c>
      <c r="J8" s="20" t="n">
        <v>0</v>
      </c>
      <c r="K8" s="18" t="n">
        <v>0.1180563</v>
      </c>
      <c r="L8" s="20" t="n">
        <v>0.11711824</v>
      </c>
      <c r="M8" s="18" t="n">
        <v>0</v>
      </c>
      <c r="N8" s="20" t="n">
        <v>0</v>
      </c>
      <c r="O8" s="18" t="n">
        <v>0</v>
      </c>
      <c r="P8" s="20" t="n">
        <v>0</v>
      </c>
      <c r="Q8" s="18" t="n">
        <v>0.55683259</v>
      </c>
      <c r="R8" s="20" t="n">
        <v>0.31185776</v>
      </c>
    </row>
    <row r="9" spans="1:18">
      <c r="A9" s="15" t="s">
        <v>567</v>
      </c>
      <c r="B9" s="17" t="n">
        <v>4752</v>
      </c>
      <c r="C9" s="18">
        <f>(4202.0/B9*100)</f>
        <v/>
      </c>
      <c r="D9" s="19" t="n">
        <v>550</v>
      </c>
      <c r="E9" s="18" t="n">
        <v>30.2014097</v>
      </c>
      <c r="F9" s="20" t="n">
        <v>2.48026036</v>
      </c>
      <c r="G9" s="18" t="n">
        <v>67.53834981999999</v>
      </c>
      <c r="H9" s="20" t="n">
        <v>2.61844409</v>
      </c>
      <c r="I9" s="18" t="n">
        <v>0</v>
      </c>
      <c r="J9" s="20" t="n">
        <v>0</v>
      </c>
      <c r="K9" s="18" t="n">
        <v>1.83858093</v>
      </c>
      <c r="L9" s="20" t="n">
        <v>0.62684122</v>
      </c>
      <c r="M9" s="18" t="n">
        <v>0</v>
      </c>
      <c r="N9" s="20" t="n">
        <v>0</v>
      </c>
      <c r="O9" s="18" t="n">
        <v>0</v>
      </c>
      <c r="P9" s="20" t="n">
        <v>0</v>
      </c>
      <c r="Q9" s="18" t="n">
        <v>0.42165955</v>
      </c>
      <c r="R9" s="20" t="n">
        <v>0.30373221</v>
      </c>
    </row>
    <row r="10" spans="1:18">
      <c r="A10" s="15" t="s">
        <v>568</v>
      </c>
      <c r="B10" s="17" t="n">
        <v>10022</v>
      </c>
      <c r="C10" s="18">
        <f>(8931.0/B10*100)</f>
        <v/>
      </c>
      <c r="D10" s="19" t="n">
        <v>1091</v>
      </c>
      <c r="E10" s="18" t="n">
        <v>29.77554537</v>
      </c>
      <c r="F10" s="20" t="n">
        <v>1.86737536</v>
      </c>
      <c r="G10" s="18" t="n">
        <v>68.88119417999999</v>
      </c>
      <c r="H10" s="20" t="n">
        <v>1.9621978</v>
      </c>
      <c r="I10" s="18" t="n">
        <v>0</v>
      </c>
      <c r="J10" s="20" t="n">
        <v>0</v>
      </c>
      <c r="K10" s="18" t="n">
        <v>1.21227379</v>
      </c>
      <c r="L10" s="20" t="n">
        <v>0.47082764</v>
      </c>
      <c r="M10" s="18" t="n">
        <v>0</v>
      </c>
      <c r="N10" s="20" t="n">
        <v>0</v>
      </c>
      <c r="O10" s="18" t="n">
        <v>0</v>
      </c>
      <c r="P10" s="20" t="n">
        <v>0</v>
      </c>
      <c r="Q10" s="18" t="n">
        <v>0.13098666</v>
      </c>
      <c r="R10" s="20" t="n">
        <v>0.1203999</v>
      </c>
    </row>
    <row r="11" spans="1:18">
      <c r="A11" s="15" t="s">
        <v>569</v>
      </c>
      <c r="B11" s="17" t="n">
        <v>3500</v>
      </c>
      <c r="C11" s="18">
        <f>(3148.0/B11*100)</f>
        <v/>
      </c>
      <c r="D11" s="19" t="n">
        <v>352</v>
      </c>
      <c r="E11" s="18" t="n">
        <v>41.50953705</v>
      </c>
      <c r="F11" s="20" t="n">
        <v>3.71958358</v>
      </c>
      <c r="G11" s="18" t="n">
        <v>56.83930526</v>
      </c>
      <c r="H11" s="20" t="n">
        <v>3.66719392</v>
      </c>
      <c r="I11" s="18" t="n">
        <v>0</v>
      </c>
      <c r="J11" s="20" t="n">
        <v>0</v>
      </c>
      <c r="K11" s="18" t="n">
        <v>1.03131435</v>
      </c>
      <c r="L11" s="20" t="n">
        <v>0.6408469</v>
      </c>
      <c r="M11" s="18" t="n">
        <v>0</v>
      </c>
      <c r="N11" s="20" t="n">
        <v>0</v>
      </c>
      <c r="O11" s="18" t="n">
        <v>0</v>
      </c>
      <c r="P11" s="20" t="n">
        <v>0</v>
      </c>
      <c r="Q11" s="18" t="n">
        <v>0.61984334</v>
      </c>
      <c r="R11" s="20" t="n">
        <v>0.39411057</v>
      </c>
    </row>
    <row r="12" spans="1:18">
      <c r="A12" s="15" t="s">
        <v>570</v>
      </c>
      <c r="B12" s="17" t="n">
        <v>3422</v>
      </c>
      <c r="C12" s="18">
        <f>(3035.0/B12*100)</f>
        <v/>
      </c>
      <c r="D12" s="19" t="n">
        <v>387</v>
      </c>
      <c r="E12" s="18" t="n">
        <v>31.89775127</v>
      </c>
      <c r="F12" s="20" t="n">
        <v>3.95666422</v>
      </c>
      <c r="G12" s="18" t="n">
        <v>66.58775417</v>
      </c>
      <c r="H12" s="20" t="n">
        <v>3.88711709</v>
      </c>
      <c r="I12" s="18" t="n">
        <v>0</v>
      </c>
      <c r="J12" s="20" t="n">
        <v>0</v>
      </c>
      <c r="K12" s="18" t="n">
        <v>1.17680004</v>
      </c>
      <c r="L12" s="20" t="n">
        <v>0.5358245</v>
      </c>
      <c r="M12" s="18" t="n">
        <v>0</v>
      </c>
      <c r="N12" s="20" t="n">
        <v>0</v>
      </c>
      <c r="O12" s="18" t="n">
        <v>0</v>
      </c>
      <c r="P12" s="20" t="n">
        <v>0</v>
      </c>
      <c r="Q12" s="18" t="n">
        <v>0.33769451</v>
      </c>
      <c r="R12" s="20" t="n">
        <v>0.26787527</v>
      </c>
    </row>
    <row r="13" spans="1:18">
      <c r="A13" s="15" t="s">
        <v>571</v>
      </c>
      <c r="B13" s="17" t="n">
        <v>3602</v>
      </c>
      <c r="C13" s="18">
        <f>(3059.0/B13*100)</f>
        <v/>
      </c>
      <c r="D13" s="19" t="n">
        <v>543</v>
      </c>
      <c r="E13" s="18" t="n">
        <v>26.05778535</v>
      </c>
      <c r="F13" s="20" t="n">
        <v>2.04303959</v>
      </c>
      <c r="G13" s="18" t="n">
        <v>71.74925411</v>
      </c>
      <c r="H13" s="20" t="n">
        <v>2.17348073</v>
      </c>
      <c r="I13" s="18" t="n">
        <v>0</v>
      </c>
      <c r="J13" s="20" t="n">
        <v>0</v>
      </c>
      <c r="K13" s="18" t="n">
        <v>1.94881924</v>
      </c>
      <c r="L13" s="20" t="n">
        <v>0.76568934</v>
      </c>
      <c r="M13" s="18" t="n">
        <v>0</v>
      </c>
      <c r="N13" s="20" t="n">
        <v>0</v>
      </c>
      <c r="O13" s="18" t="n">
        <v>0</v>
      </c>
      <c r="P13" s="20" t="n">
        <v>0</v>
      </c>
      <c r="Q13" s="18" t="n">
        <v>0.2441413</v>
      </c>
      <c r="R13" s="20" t="n">
        <v>0.1845295</v>
      </c>
    </row>
    <row r="14" spans="1:18">
      <c r="A14" s="15" t="s">
        <v>572</v>
      </c>
      <c r="B14" s="17" t="n">
        <v>2788</v>
      </c>
      <c r="C14" s="18">
        <f>(2498.0/B14*100)</f>
        <v/>
      </c>
      <c r="D14" s="19" t="n">
        <v>290</v>
      </c>
      <c r="E14" s="18" t="n">
        <v>17.05112193</v>
      </c>
      <c r="F14" s="20" t="n">
        <v>2.32393735</v>
      </c>
      <c r="G14" s="18" t="n">
        <v>82.68346975</v>
      </c>
      <c r="H14" s="20" t="n">
        <v>2.35941127</v>
      </c>
      <c r="I14" s="18" t="n">
        <v>0</v>
      </c>
      <c r="J14" s="20" t="n">
        <v>0</v>
      </c>
      <c r="K14" s="18" t="n">
        <v>0.26540832</v>
      </c>
      <c r="L14" s="20" t="n">
        <v>0.27269415</v>
      </c>
      <c r="M14" s="18" t="n">
        <v>0</v>
      </c>
      <c r="N14" s="20" t="n">
        <v>0</v>
      </c>
      <c r="O14" s="18" t="n">
        <v>0</v>
      </c>
      <c r="P14" s="20" t="n">
        <v>0</v>
      </c>
      <c r="Q14" s="18" t="n">
        <v>0</v>
      </c>
      <c r="R14" s="20" t="n">
        <v>0</v>
      </c>
    </row>
    <row r="15" spans="1:18">
      <c r="A15" s="15" t="s">
        <v>573</v>
      </c>
      <c r="B15" s="17" t="n">
        <v>2863</v>
      </c>
      <c r="C15" s="18">
        <f>(2520.0/B15*100)</f>
        <v/>
      </c>
      <c r="D15" s="19" t="n">
        <v>343</v>
      </c>
      <c r="E15" s="18" t="n">
        <v>18.59194607</v>
      </c>
      <c r="F15" s="20" t="n">
        <v>2.18153519</v>
      </c>
      <c r="G15" s="18" t="n">
        <v>79.93275343000001</v>
      </c>
      <c r="H15" s="20" t="n">
        <v>2.29064919</v>
      </c>
      <c r="I15" s="18" t="n">
        <v>0</v>
      </c>
      <c r="J15" s="20" t="n">
        <v>0</v>
      </c>
      <c r="K15" s="18" t="n">
        <v>1.21739223</v>
      </c>
      <c r="L15" s="20" t="n">
        <v>0.56728904</v>
      </c>
      <c r="M15" s="18" t="n">
        <v>0</v>
      </c>
      <c r="N15" s="20" t="n">
        <v>0</v>
      </c>
      <c r="O15" s="18" t="n">
        <v>0</v>
      </c>
      <c r="P15" s="20" t="n">
        <v>0</v>
      </c>
      <c r="Q15" s="18" t="n">
        <v>0.25790827</v>
      </c>
      <c r="R15" s="20" t="n">
        <v>0.27150474</v>
      </c>
    </row>
    <row r="16" spans="1:18">
      <c r="A16" s="15" t="s">
        <v>574</v>
      </c>
      <c r="B16" s="17" t="n">
        <v>3111</v>
      </c>
      <c r="C16" s="18">
        <f>(2777.0/B16*100)</f>
        <v/>
      </c>
      <c r="D16" s="19" t="n">
        <v>334</v>
      </c>
      <c r="E16" s="18" t="n">
        <v>28.33077023</v>
      </c>
      <c r="F16" s="20" t="n">
        <v>2.22042537</v>
      </c>
      <c r="G16" s="18" t="n">
        <v>67.8588302</v>
      </c>
      <c r="H16" s="20" t="n">
        <v>2.32374384</v>
      </c>
      <c r="I16" s="18" t="n">
        <v>0</v>
      </c>
      <c r="J16" s="20" t="n">
        <v>0</v>
      </c>
      <c r="K16" s="18" t="n">
        <v>2.46573407</v>
      </c>
      <c r="L16" s="20" t="n">
        <v>0.91144062</v>
      </c>
      <c r="M16" s="18" t="n">
        <v>0</v>
      </c>
      <c r="N16" s="20" t="n">
        <v>0</v>
      </c>
      <c r="O16" s="18" t="n">
        <v>0</v>
      </c>
      <c r="P16" s="20" t="n">
        <v>0</v>
      </c>
      <c r="Q16" s="18" t="n">
        <v>1.3446655</v>
      </c>
      <c r="R16" s="20" t="n">
        <v>0.8091978</v>
      </c>
    </row>
    <row r="17" spans="1:18">
      <c r="A17" s="15" t="s">
        <v>575</v>
      </c>
      <c r="B17" s="17" t="n">
        <v>3197</v>
      </c>
      <c r="C17" s="18">
        <f>(2791.0/B17*100)</f>
        <v/>
      </c>
      <c r="D17" s="19" t="n">
        <v>406</v>
      </c>
      <c r="E17" s="18" t="n">
        <v>32.92566091</v>
      </c>
      <c r="F17" s="20" t="n">
        <v>3.02361835</v>
      </c>
      <c r="G17" s="18" t="n">
        <v>65.78049849</v>
      </c>
      <c r="H17" s="20" t="n">
        <v>2.91813875</v>
      </c>
      <c r="I17" s="18" t="n">
        <v>0</v>
      </c>
      <c r="J17" s="20" t="n">
        <v>0</v>
      </c>
      <c r="K17" s="18" t="n">
        <v>0.30284676</v>
      </c>
      <c r="L17" s="20" t="n">
        <v>0.30728877</v>
      </c>
      <c r="M17" s="18" t="n">
        <v>0</v>
      </c>
      <c r="N17" s="20" t="n">
        <v>0</v>
      </c>
      <c r="O17" s="18" t="n">
        <v>0</v>
      </c>
      <c r="P17" s="20" t="n">
        <v>0</v>
      </c>
      <c r="Q17" s="18" t="n">
        <v>0.99099384</v>
      </c>
      <c r="R17" s="20" t="n">
        <v>0.69193439</v>
      </c>
    </row>
    <row r="18" spans="1:18">
      <c r="A18" s="15" t="s">
        <v>576</v>
      </c>
      <c r="B18" s="17" t="n">
        <v>2706</v>
      </c>
      <c r="C18" s="18">
        <f>(2411.0/B18*100)</f>
        <v/>
      </c>
      <c r="D18" s="19" t="n">
        <v>295</v>
      </c>
      <c r="E18" s="18" t="n">
        <v>40.28226483</v>
      </c>
      <c r="F18" s="20" t="n">
        <v>3.3403476</v>
      </c>
      <c r="G18" s="18" t="n">
        <v>58.15624527</v>
      </c>
      <c r="H18" s="20" t="n">
        <v>3.28118716</v>
      </c>
      <c r="I18" s="18" t="n">
        <v>0</v>
      </c>
      <c r="J18" s="20" t="n">
        <v>0</v>
      </c>
      <c r="K18" s="18" t="n">
        <v>1.07153255</v>
      </c>
      <c r="L18" s="20" t="n">
        <v>0.58338011</v>
      </c>
      <c r="M18" s="18" t="n">
        <v>0</v>
      </c>
      <c r="N18" s="20" t="n">
        <v>0</v>
      </c>
      <c r="O18" s="18" t="n">
        <v>0</v>
      </c>
      <c r="P18" s="20" t="n">
        <v>0</v>
      </c>
      <c r="Q18" s="18" t="n">
        <v>0.48995735</v>
      </c>
      <c r="R18" s="20" t="n">
        <v>0.27039261</v>
      </c>
    </row>
    <row r="19" spans="1:18">
      <c r="A19" s="15" t="s">
        <v>577</v>
      </c>
      <c r="B19" s="17" t="n">
        <v>2850</v>
      </c>
      <c r="C19" s="18">
        <f>(2551.0/B19*100)</f>
        <v/>
      </c>
      <c r="D19" s="19" t="n">
        <v>299</v>
      </c>
      <c r="E19" s="18" t="n">
        <v>26.13810282</v>
      </c>
      <c r="F19" s="20" t="n">
        <v>2.50398546</v>
      </c>
      <c r="G19" s="18" t="n">
        <v>73.55485464</v>
      </c>
      <c r="H19" s="20" t="n">
        <v>2.47576781</v>
      </c>
      <c r="I19" s="18" t="n">
        <v>0</v>
      </c>
      <c r="J19" s="20" t="n">
        <v>0</v>
      </c>
      <c r="K19" s="18" t="n">
        <v>0</v>
      </c>
      <c r="L19" s="20" t="n">
        <v>0</v>
      </c>
      <c r="M19" s="18" t="n">
        <v>0</v>
      </c>
      <c r="N19" s="20" t="n">
        <v>0</v>
      </c>
      <c r="O19" s="18" t="n">
        <v>0</v>
      </c>
      <c r="P19" s="20" t="n">
        <v>0</v>
      </c>
      <c r="Q19" s="18" t="n">
        <v>0.30704254</v>
      </c>
      <c r="R19" s="20" t="n">
        <v>0.29670187</v>
      </c>
    </row>
    <row r="20" spans="1:18">
      <c r="A20" s="15" t="s">
        <v>578</v>
      </c>
      <c r="B20" s="17" t="n">
        <v>1741</v>
      </c>
      <c r="C20" s="18">
        <f>(1554.0/B20*100)</f>
        <v/>
      </c>
      <c r="D20" s="19" t="n">
        <v>187</v>
      </c>
      <c r="E20" s="18" t="n">
        <v>29.49482986</v>
      </c>
      <c r="F20" s="20" t="n">
        <v>3.97849598</v>
      </c>
      <c r="G20" s="18" t="n">
        <v>69.03558689</v>
      </c>
      <c r="H20" s="20" t="n">
        <v>4.06670351</v>
      </c>
      <c r="I20" s="18" t="n">
        <v>0</v>
      </c>
      <c r="J20" s="20" t="n">
        <v>0</v>
      </c>
      <c r="K20" s="18" t="n">
        <v>1.46958325</v>
      </c>
      <c r="L20" s="20" t="n">
        <v>0.84158588</v>
      </c>
      <c r="M20" s="18" t="n">
        <v>0</v>
      </c>
      <c r="N20" s="20" t="n">
        <v>0</v>
      </c>
      <c r="O20" s="18" t="n">
        <v>0</v>
      </c>
      <c r="P20" s="20" t="n">
        <v>0</v>
      </c>
      <c r="Q20" s="18" t="n">
        <v>0</v>
      </c>
      <c r="R20" s="20" t="n">
        <v>0</v>
      </c>
    </row>
    <row r="21" spans="1:18">
      <c r="A21" s="15" t="s">
        <v>579</v>
      </c>
      <c r="B21" s="17" t="n">
        <v>2833</v>
      </c>
      <c r="C21" s="18">
        <f>(2503.0/B21*100)</f>
        <v/>
      </c>
      <c r="D21" s="19" t="n">
        <v>330</v>
      </c>
      <c r="E21" s="18" t="n">
        <v>25.98546974</v>
      </c>
      <c r="F21" s="20" t="n">
        <v>2.69942413</v>
      </c>
      <c r="G21" s="18" t="n">
        <v>73.25564715</v>
      </c>
      <c r="H21" s="20" t="n">
        <v>2.7556263</v>
      </c>
      <c r="I21" s="18" t="n">
        <v>0</v>
      </c>
      <c r="J21" s="20" t="n">
        <v>0</v>
      </c>
      <c r="K21" s="18" t="n">
        <v>0.30630773</v>
      </c>
      <c r="L21" s="20" t="n">
        <v>0.32179455</v>
      </c>
      <c r="M21" s="18" t="n">
        <v>0</v>
      </c>
      <c r="N21" s="20" t="n">
        <v>0</v>
      </c>
      <c r="O21" s="18" t="n">
        <v>0</v>
      </c>
      <c r="P21" s="20" t="n">
        <v>0</v>
      </c>
      <c r="Q21" s="18" t="n">
        <v>0.45257538</v>
      </c>
      <c r="R21" s="20" t="n">
        <v>0.43092945</v>
      </c>
    </row>
    <row r="22" spans="1:18">
      <c r="A22" s="15" t="s">
        <v>580</v>
      </c>
      <c r="B22" s="17" t="n">
        <v>3667</v>
      </c>
      <c r="C22" s="18">
        <f>(3293.0/B22*100)</f>
        <v/>
      </c>
      <c r="D22" s="19" t="n">
        <v>374</v>
      </c>
      <c r="E22" s="18" t="n">
        <v>46.35336238</v>
      </c>
      <c r="F22" s="20" t="n">
        <v>3.01944948</v>
      </c>
      <c r="G22" s="18" t="n">
        <v>51.59129758</v>
      </c>
      <c r="H22" s="20" t="n">
        <v>3.11441654</v>
      </c>
      <c r="I22" s="18" t="n">
        <v>0</v>
      </c>
      <c r="J22" s="20" t="n">
        <v>0</v>
      </c>
      <c r="K22" s="18" t="n">
        <v>2.05534004</v>
      </c>
      <c r="L22" s="20" t="n">
        <v>0.69897024</v>
      </c>
      <c r="M22" s="18" t="n">
        <v>0</v>
      </c>
      <c r="N22" s="20" t="n">
        <v>0</v>
      </c>
      <c r="O22" s="18" t="n">
        <v>0</v>
      </c>
      <c r="P22" s="20" t="n">
        <v>0</v>
      </c>
      <c r="Q22" s="18" t="n">
        <v>0</v>
      </c>
      <c r="R22" s="20" t="n">
        <v>0</v>
      </c>
    </row>
    <row r="23" spans="1:18">
      <c r="A23" s="15" t="s">
        <v>581</v>
      </c>
      <c r="B23" s="17" t="n">
        <v>5792</v>
      </c>
      <c r="C23" s="18">
        <f>(5178.0/B23*100)</f>
        <v/>
      </c>
      <c r="D23" s="19" t="n">
        <v>614</v>
      </c>
      <c r="E23" s="18" t="n">
        <v>28.43772623</v>
      </c>
      <c r="F23" s="20" t="n">
        <v>3.03306062</v>
      </c>
      <c r="G23" s="18" t="n">
        <v>69.74376227</v>
      </c>
      <c r="H23" s="20" t="n">
        <v>3.02976261</v>
      </c>
      <c r="I23" s="18" t="n">
        <v>0</v>
      </c>
      <c r="J23" s="20" t="n">
        <v>0</v>
      </c>
      <c r="K23" s="18" t="n">
        <v>1.75504607</v>
      </c>
      <c r="L23" s="20" t="n">
        <v>0.8133756599999999</v>
      </c>
      <c r="M23" s="18" t="n">
        <v>0</v>
      </c>
      <c r="N23" s="20" t="n">
        <v>0</v>
      </c>
      <c r="O23" s="18" t="n">
        <v>0</v>
      </c>
      <c r="P23" s="20" t="n">
        <v>0</v>
      </c>
      <c r="Q23" s="18" t="n">
        <v>0.06346541999999999</v>
      </c>
      <c r="R23" s="20" t="n">
        <v>0.06735356000000001</v>
      </c>
    </row>
    <row r="24" spans="1:18">
      <c r="A24" s="15" t="s">
        <v>582</v>
      </c>
      <c r="B24" s="17" t="n">
        <v>3309</v>
      </c>
      <c r="C24" s="18">
        <f>(2950.0/B24*100)</f>
        <v/>
      </c>
      <c r="D24" s="19" t="n">
        <v>359</v>
      </c>
      <c r="E24" s="18" t="n">
        <v>41.71791827</v>
      </c>
      <c r="F24" s="20" t="n">
        <v>2.13510327</v>
      </c>
      <c r="G24" s="18" t="n">
        <v>56.83276561</v>
      </c>
      <c r="H24" s="20" t="n">
        <v>2.14416739</v>
      </c>
      <c r="I24" s="18" t="n">
        <v>0</v>
      </c>
      <c r="J24" s="20" t="n">
        <v>0</v>
      </c>
      <c r="K24" s="18" t="n">
        <v>1.17136417</v>
      </c>
      <c r="L24" s="20" t="n">
        <v>0.56469331</v>
      </c>
      <c r="M24" s="18" t="n">
        <v>0</v>
      </c>
      <c r="N24" s="20" t="n">
        <v>0</v>
      </c>
      <c r="O24" s="18" t="n">
        <v>0</v>
      </c>
      <c r="P24" s="20" t="n">
        <v>0</v>
      </c>
      <c r="Q24" s="18" t="n">
        <v>0.27795194</v>
      </c>
      <c r="R24" s="20" t="n">
        <v>0.27224549</v>
      </c>
    </row>
    <row r="25" spans="1:18">
      <c r="A25" s="15" t="s">
        <v>583</v>
      </c>
      <c r="B25" s="17" t="n">
        <v>2669</v>
      </c>
      <c r="C25" s="18">
        <f>(2359.0/B25*100)</f>
        <v/>
      </c>
      <c r="D25" s="19" t="n">
        <v>310</v>
      </c>
      <c r="E25" s="18" t="n">
        <v>26.2337999</v>
      </c>
      <c r="F25" s="20" t="n">
        <v>2.49092297</v>
      </c>
      <c r="G25" s="18" t="n">
        <v>73.19077025999999</v>
      </c>
      <c r="H25" s="20" t="n">
        <v>2.52268215</v>
      </c>
      <c r="I25" s="18" t="n">
        <v>0</v>
      </c>
      <c r="J25" s="20" t="n">
        <v>0</v>
      </c>
      <c r="K25" s="18" t="n">
        <v>0.57542984</v>
      </c>
      <c r="L25" s="20" t="n">
        <v>0.4117318</v>
      </c>
      <c r="M25" s="18" t="n">
        <v>0</v>
      </c>
      <c r="N25" s="20" t="n">
        <v>0</v>
      </c>
      <c r="O25" s="18" t="n">
        <v>0</v>
      </c>
      <c r="P25" s="20" t="n">
        <v>0</v>
      </c>
      <c r="Q25" s="18" t="n">
        <v>0</v>
      </c>
      <c r="R25" s="20" t="n">
        <v>0</v>
      </c>
    </row>
    <row r="26" spans="1:18">
      <c r="A26" s="15" t="s">
        <v>584</v>
      </c>
      <c r="B26" s="17" t="n">
        <v>2419</v>
      </c>
      <c r="C26" s="18">
        <f>(2150.0/B26*100)</f>
        <v/>
      </c>
      <c r="D26" s="19" t="n">
        <v>269</v>
      </c>
      <c r="E26" s="18" t="n">
        <v>27.61276139</v>
      </c>
      <c r="F26" s="20" t="n">
        <v>2.99630111</v>
      </c>
      <c r="G26" s="18" t="n">
        <v>72.08222838</v>
      </c>
      <c r="H26" s="20" t="n">
        <v>3.04879867</v>
      </c>
      <c r="I26" s="18" t="n">
        <v>0</v>
      </c>
      <c r="J26" s="20" t="n">
        <v>0</v>
      </c>
      <c r="K26" s="18" t="n">
        <v>0</v>
      </c>
      <c r="L26" s="20" t="n">
        <v>0</v>
      </c>
      <c r="M26" s="18" t="n">
        <v>0</v>
      </c>
      <c r="N26" s="20" t="n">
        <v>0</v>
      </c>
      <c r="O26" s="18" t="n">
        <v>0</v>
      </c>
      <c r="P26" s="20" t="n">
        <v>0</v>
      </c>
      <c r="Q26" s="18" t="n">
        <v>0.30501023</v>
      </c>
      <c r="R26" s="20" t="n">
        <v>0.30573653</v>
      </c>
    </row>
    <row r="27" spans="1:18">
      <c r="A27" s="15" t="s">
        <v>585</v>
      </c>
      <c r="B27" s="17" t="n">
        <v>2683</v>
      </c>
      <c r="C27" s="18">
        <f>(2409.0/B27*100)</f>
        <v/>
      </c>
      <c r="D27" s="19" t="n">
        <v>274</v>
      </c>
      <c r="E27" s="18" t="n">
        <v>30.05485797</v>
      </c>
      <c r="F27" s="20" t="n">
        <v>3.09571218</v>
      </c>
      <c r="G27" s="18" t="n">
        <v>68.5072572</v>
      </c>
      <c r="H27" s="20" t="n">
        <v>3.07605044</v>
      </c>
      <c r="I27" s="18" t="n">
        <v>0</v>
      </c>
      <c r="J27" s="20" t="n">
        <v>0</v>
      </c>
      <c r="K27" s="18" t="n">
        <v>1.0795409</v>
      </c>
      <c r="L27" s="20" t="n">
        <v>0.6205672800000001</v>
      </c>
      <c r="M27" s="18" t="n">
        <v>0</v>
      </c>
      <c r="N27" s="20" t="n">
        <v>0</v>
      </c>
      <c r="O27" s="18" t="n">
        <v>0</v>
      </c>
      <c r="P27" s="20" t="n">
        <v>0</v>
      </c>
      <c r="Q27" s="18" t="n">
        <v>0.35834393</v>
      </c>
      <c r="R27" s="20" t="n">
        <v>0.35972491</v>
      </c>
    </row>
    <row r="28" spans="1:18">
      <c r="A28" s="15" t="s">
        <v>586</v>
      </c>
      <c r="B28" s="17" t="n">
        <v>3803</v>
      </c>
      <c r="C28" s="18">
        <f>(3427.0/B28*100)</f>
        <v/>
      </c>
      <c r="D28" s="19" t="n">
        <v>376</v>
      </c>
      <c r="E28" s="18" t="n">
        <v>42.66665919</v>
      </c>
      <c r="F28" s="20" t="n">
        <v>3.13255289</v>
      </c>
      <c r="G28" s="18" t="n">
        <v>56.39054979</v>
      </c>
      <c r="H28" s="20" t="n">
        <v>3.08468937</v>
      </c>
      <c r="I28" s="18" t="n">
        <v>0</v>
      </c>
      <c r="J28" s="20" t="n">
        <v>0</v>
      </c>
      <c r="K28" s="18" t="n">
        <v>0.94279103</v>
      </c>
      <c r="L28" s="20" t="n">
        <v>0.58058583</v>
      </c>
      <c r="M28" s="18" t="n">
        <v>0</v>
      </c>
      <c r="N28" s="20" t="n">
        <v>0</v>
      </c>
      <c r="O28" s="18" t="n">
        <v>0</v>
      </c>
      <c r="P28" s="20" t="n">
        <v>0</v>
      </c>
      <c r="Q28" s="18" t="n">
        <v>0</v>
      </c>
      <c r="R28" s="20" t="n">
        <v>0</v>
      </c>
    </row>
    <row r="29" spans="1:18">
      <c r="A29" s="15" t="s">
        <v>587</v>
      </c>
      <c r="B29" s="17" t="n">
        <v>2700</v>
      </c>
      <c r="C29" s="18">
        <f>(2344.0/B29*100)</f>
        <v/>
      </c>
      <c r="D29" s="19" t="n">
        <v>356</v>
      </c>
      <c r="E29" s="18" t="n">
        <v>33.13031268</v>
      </c>
      <c r="F29" s="20" t="n">
        <v>2.8343217</v>
      </c>
      <c r="G29" s="18" t="n">
        <v>66.27676221999999</v>
      </c>
      <c r="H29" s="20" t="n">
        <v>2.88208043</v>
      </c>
      <c r="I29" s="18" t="n">
        <v>0</v>
      </c>
      <c r="J29" s="20" t="n">
        <v>0</v>
      </c>
      <c r="K29" s="18" t="n">
        <v>0.29718679</v>
      </c>
      <c r="L29" s="20" t="n">
        <v>0.32948504</v>
      </c>
      <c r="M29" s="18" t="n">
        <v>0</v>
      </c>
      <c r="N29" s="20" t="n">
        <v>0</v>
      </c>
      <c r="O29" s="18" t="n">
        <v>0</v>
      </c>
      <c r="P29" s="20" t="n">
        <v>0</v>
      </c>
      <c r="Q29" s="18" t="n">
        <v>0.29573831</v>
      </c>
      <c r="R29" s="20" t="n">
        <v>0.29358786</v>
      </c>
    </row>
    <row r="30" spans="1:18">
      <c r="A30" s="15" t="s">
        <v>588</v>
      </c>
      <c r="B30" s="17" t="n">
        <v>2257</v>
      </c>
      <c r="C30" s="18">
        <f>(2016.0/B30*100)</f>
        <v/>
      </c>
      <c r="D30" s="19" t="n">
        <v>241</v>
      </c>
      <c r="E30" s="18" t="n">
        <v>32.83608524</v>
      </c>
      <c r="F30" s="20" t="n">
        <v>3.06407916</v>
      </c>
      <c r="G30" s="18" t="n">
        <v>65.4535236</v>
      </c>
      <c r="H30" s="20" t="n">
        <v>3.05414022</v>
      </c>
      <c r="I30" s="18" t="n">
        <v>0</v>
      </c>
      <c r="J30" s="20" t="n">
        <v>0</v>
      </c>
      <c r="K30" s="18" t="n">
        <v>1.39930012</v>
      </c>
      <c r="L30" s="20" t="n">
        <v>0.83869374</v>
      </c>
      <c r="M30" s="18" t="n">
        <v>0</v>
      </c>
      <c r="N30" s="20" t="n">
        <v>0</v>
      </c>
      <c r="O30" s="18" t="n">
        <v>0</v>
      </c>
      <c r="P30" s="20" t="n">
        <v>0</v>
      </c>
      <c r="Q30" s="18" t="n">
        <v>0.31109104</v>
      </c>
      <c r="R30" s="20" t="n">
        <v>0.30738809</v>
      </c>
    </row>
    <row r="31" spans="1:18">
      <c r="A31" s="15" t="s">
        <v>589</v>
      </c>
      <c r="B31" s="17" t="n">
        <v>2706</v>
      </c>
      <c r="C31" s="18">
        <f>(2410.0/B31*100)</f>
        <v/>
      </c>
      <c r="D31" s="19" t="n">
        <v>296</v>
      </c>
      <c r="E31" s="18" t="n">
        <v>24.85694744</v>
      </c>
      <c r="F31" s="20" t="n">
        <v>3.01986354</v>
      </c>
      <c r="G31" s="18" t="n">
        <v>72.75298036</v>
      </c>
      <c r="H31" s="20" t="n">
        <v>3.0221154</v>
      </c>
      <c r="I31" s="18" t="n">
        <v>0</v>
      </c>
      <c r="J31" s="20" t="n">
        <v>0</v>
      </c>
      <c r="K31" s="18" t="n">
        <v>1.70721858</v>
      </c>
      <c r="L31" s="20" t="n">
        <v>0.7850901300000001</v>
      </c>
      <c r="M31" s="18" t="n">
        <v>0</v>
      </c>
      <c r="N31" s="20" t="n">
        <v>0</v>
      </c>
      <c r="O31" s="18" t="n">
        <v>0</v>
      </c>
      <c r="P31" s="20" t="n">
        <v>0</v>
      </c>
      <c r="Q31" s="18" t="n">
        <v>0.6828536200000001</v>
      </c>
      <c r="R31" s="20" t="n">
        <v>0.48867815</v>
      </c>
    </row>
    <row r="32" spans="1:18">
      <c r="A32" s="15" t="s">
        <v>590</v>
      </c>
      <c r="B32" s="17" t="n">
        <v>2209</v>
      </c>
      <c r="C32" s="18">
        <f>(1964.0/B32*100)</f>
        <v/>
      </c>
      <c r="D32" s="19" t="n">
        <v>245</v>
      </c>
      <c r="E32" s="18" t="n">
        <v>21.118676</v>
      </c>
      <c r="F32" s="20" t="n">
        <v>2.62108855</v>
      </c>
      <c r="G32" s="18" t="n">
        <v>78.51034257000001</v>
      </c>
      <c r="H32" s="20" t="n">
        <v>2.6807218</v>
      </c>
      <c r="I32" s="18" t="n">
        <v>0</v>
      </c>
      <c r="J32" s="20" t="n">
        <v>0</v>
      </c>
      <c r="K32" s="18" t="n">
        <v>0.37098143</v>
      </c>
      <c r="L32" s="20" t="n">
        <v>0.38018433</v>
      </c>
      <c r="M32" s="18" t="n">
        <v>0</v>
      </c>
      <c r="N32" s="20" t="n">
        <v>0</v>
      </c>
      <c r="O32" s="18" t="n">
        <v>0</v>
      </c>
      <c r="P32" s="20" t="n">
        <v>0</v>
      </c>
      <c r="Q32" s="18" t="n">
        <v>0</v>
      </c>
      <c r="R32" s="20" t="n">
        <v>0</v>
      </c>
    </row>
    <row r="33" spans="1:18">
      <c r="A33" s="15" t="s">
        <v>591</v>
      </c>
      <c r="B33" s="17" t="n">
        <v>3651</v>
      </c>
      <c r="C33" s="18">
        <f>(3288.0/B33*100)</f>
        <v/>
      </c>
      <c r="D33" s="19" t="n">
        <v>363</v>
      </c>
      <c r="E33" s="18" t="n">
        <v>29.66326516</v>
      </c>
      <c r="F33" s="20" t="n">
        <v>2.64318832</v>
      </c>
      <c r="G33" s="18" t="n">
        <v>69.51631699000001</v>
      </c>
      <c r="H33" s="20" t="n">
        <v>2.68252514</v>
      </c>
      <c r="I33" s="18" t="n">
        <v>0</v>
      </c>
      <c r="J33" s="20" t="n">
        <v>0</v>
      </c>
      <c r="K33" s="18" t="n">
        <v>0.82041785</v>
      </c>
      <c r="L33" s="20" t="n">
        <v>0.48267236</v>
      </c>
      <c r="M33" s="18" t="n">
        <v>0</v>
      </c>
      <c r="N33" s="20" t="n">
        <v>0</v>
      </c>
      <c r="O33" s="18" t="n">
        <v>0</v>
      </c>
      <c r="P33" s="20" t="n">
        <v>0</v>
      </c>
      <c r="Q33" s="18" t="n">
        <v>0</v>
      </c>
      <c r="R33" s="20" t="n">
        <v>0</v>
      </c>
    </row>
    <row r="34" spans="1:18">
      <c r="A34" s="15" t="s">
        <v>592</v>
      </c>
      <c r="B34" s="17" t="n">
        <v>3035</v>
      </c>
      <c r="C34" s="18">
        <f>(2673.0/B34*100)</f>
        <v/>
      </c>
      <c r="D34" s="19" t="n">
        <v>362</v>
      </c>
      <c r="E34" s="18" t="n">
        <v>42.2987801</v>
      </c>
      <c r="F34" s="20" t="n">
        <v>3.02734768</v>
      </c>
      <c r="G34" s="18" t="n">
        <v>56.32809332</v>
      </c>
      <c r="H34" s="20" t="n">
        <v>3.19614232</v>
      </c>
      <c r="I34" s="18" t="n">
        <v>0</v>
      </c>
      <c r="J34" s="20" t="n">
        <v>0</v>
      </c>
      <c r="K34" s="18" t="n">
        <v>0.67401016</v>
      </c>
      <c r="L34" s="20" t="n">
        <v>0.46776557</v>
      </c>
      <c r="M34" s="18" t="n">
        <v>0</v>
      </c>
      <c r="N34" s="20" t="n">
        <v>0</v>
      </c>
      <c r="O34" s="18" t="n">
        <v>0</v>
      </c>
      <c r="P34" s="20" t="n">
        <v>0</v>
      </c>
      <c r="Q34" s="18" t="n">
        <v>0.69911643</v>
      </c>
      <c r="R34" s="20" t="n">
        <v>0.50106363</v>
      </c>
    </row>
    <row r="35" spans="1:18">
      <c r="A35" s="15" t="s">
        <v>593</v>
      </c>
      <c r="B35" s="17" t="n">
        <v>2901</v>
      </c>
      <c r="C35" s="18">
        <f>(2560.0/B35*100)</f>
        <v/>
      </c>
      <c r="D35" s="19" t="n">
        <v>341</v>
      </c>
      <c r="E35" s="18" t="n">
        <v>23.58706076</v>
      </c>
      <c r="F35" s="20" t="n">
        <v>2.66938161</v>
      </c>
      <c r="G35" s="18" t="n">
        <v>76.41293924</v>
      </c>
      <c r="H35" s="20" t="n">
        <v>2.66938161</v>
      </c>
      <c r="I35" s="18" t="n">
        <v>0</v>
      </c>
      <c r="J35" s="20" t="n">
        <v>0</v>
      </c>
      <c r="K35" s="18" t="n">
        <v>0</v>
      </c>
      <c r="L35" s="20" t="n">
        <v>0</v>
      </c>
      <c r="M35" s="18" t="n">
        <v>0</v>
      </c>
      <c r="N35" s="20" t="n">
        <v>0</v>
      </c>
      <c r="O35" s="18" t="n">
        <v>0</v>
      </c>
      <c r="P35" s="20" t="n">
        <v>0</v>
      </c>
      <c r="Q35" s="18" t="n">
        <v>0</v>
      </c>
      <c r="R35" s="20" t="n">
        <v>0</v>
      </c>
    </row>
    <row r="36" spans="1:18">
      <c r="A36" s="15" t="s">
        <v>594</v>
      </c>
      <c r="B36" s="17" t="n">
        <v>3404</v>
      </c>
      <c r="C36" s="18">
        <f>(3039.0/B36*100)</f>
        <v/>
      </c>
      <c r="D36" s="19" t="n">
        <v>365</v>
      </c>
      <c r="E36" s="18" t="n">
        <v>30.06679678</v>
      </c>
      <c r="F36" s="20" t="n">
        <v>2.84053131</v>
      </c>
      <c r="G36" s="18" t="n">
        <v>69.20655897</v>
      </c>
      <c r="H36" s="20" t="n">
        <v>2.72158156</v>
      </c>
      <c r="I36" s="18" t="n">
        <v>0</v>
      </c>
      <c r="J36" s="20" t="n">
        <v>0</v>
      </c>
      <c r="K36" s="18" t="n">
        <v>0.27705236</v>
      </c>
      <c r="L36" s="20" t="n">
        <v>0.27585022</v>
      </c>
      <c r="M36" s="18" t="n">
        <v>0</v>
      </c>
      <c r="N36" s="20" t="n">
        <v>0</v>
      </c>
      <c r="O36" s="18" t="n">
        <v>0</v>
      </c>
      <c r="P36" s="20" t="n">
        <v>0</v>
      </c>
      <c r="Q36" s="18" t="n">
        <v>0.44959189</v>
      </c>
      <c r="R36" s="20" t="n">
        <v>0.50228922</v>
      </c>
    </row>
    <row r="37" spans="1:18">
      <c r="A37" s="15" t="s">
        <v>595</v>
      </c>
      <c r="B37" s="17" t="n">
        <v>2731</v>
      </c>
      <c r="C37" s="18">
        <f>(2463.0/B37*100)</f>
        <v/>
      </c>
      <c r="D37" s="19" t="n">
        <v>268</v>
      </c>
      <c r="E37" s="18" t="n">
        <v>18.89871763</v>
      </c>
      <c r="F37" s="20" t="n">
        <v>1.87686484</v>
      </c>
      <c r="G37" s="18" t="n">
        <v>79.92618138</v>
      </c>
      <c r="H37" s="20" t="n">
        <v>1.92816169</v>
      </c>
      <c r="I37" s="18" t="n">
        <v>0</v>
      </c>
      <c r="J37" s="20" t="n">
        <v>0</v>
      </c>
      <c r="K37" s="18" t="n">
        <v>1.17510099</v>
      </c>
      <c r="L37" s="20" t="n">
        <v>0.6596364300000001</v>
      </c>
      <c r="M37" s="18" t="n">
        <v>0</v>
      </c>
      <c r="N37" s="20" t="n">
        <v>0</v>
      </c>
      <c r="O37" s="18" t="n">
        <v>0</v>
      </c>
      <c r="P37" s="20" t="n">
        <v>0</v>
      </c>
      <c r="Q37" s="18" t="n">
        <v>0</v>
      </c>
      <c r="R37" s="20" t="n">
        <v>0</v>
      </c>
    </row>
    <row r="38" spans="1:18">
      <c r="A38" s="15" t="s">
        <v>596</v>
      </c>
      <c r="B38" s="17" t="n">
        <v>2807</v>
      </c>
      <c r="C38" s="18">
        <f>(2516.0/B38*100)</f>
        <v/>
      </c>
      <c r="D38" s="19" t="n">
        <v>291</v>
      </c>
      <c r="E38" s="18" t="n">
        <v>27.05815228</v>
      </c>
      <c r="F38" s="20" t="n">
        <v>2.57340748</v>
      </c>
      <c r="G38" s="18" t="n">
        <v>71.69828990000001</v>
      </c>
      <c r="H38" s="20" t="n">
        <v>2.56405292</v>
      </c>
      <c r="I38" s="18" t="n">
        <v>0</v>
      </c>
      <c r="J38" s="20" t="n">
        <v>0</v>
      </c>
      <c r="K38" s="18" t="n">
        <v>0.70307099</v>
      </c>
      <c r="L38" s="20" t="n">
        <v>0.49446827</v>
      </c>
      <c r="M38" s="18" t="n">
        <v>0</v>
      </c>
      <c r="N38" s="20" t="n">
        <v>0</v>
      </c>
      <c r="O38" s="18" t="n">
        <v>0</v>
      </c>
      <c r="P38" s="20" t="n">
        <v>0</v>
      </c>
      <c r="Q38" s="18" t="n">
        <v>0.54048684</v>
      </c>
      <c r="R38" s="20" t="n">
        <v>0.38577705</v>
      </c>
    </row>
    <row r="39" spans="1:18">
      <c r="A39" s="15" t="s">
        <v>597</v>
      </c>
      <c r="B39" s="17" t="n">
        <v>2938</v>
      </c>
      <c r="C39" s="18">
        <f>(2616.0/B39*100)</f>
        <v/>
      </c>
      <c r="D39" s="19" t="n">
        <v>322</v>
      </c>
      <c r="E39" s="18" t="n">
        <v>38.5790331</v>
      </c>
      <c r="F39" s="20" t="n">
        <v>2.86018743</v>
      </c>
      <c r="G39" s="18" t="n">
        <v>60.95093778</v>
      </c>
      <c r="H39" s="20" t="n">
        <v>2.95750654</v>
      </c>
      <c r="I39" s="18" t="n">
        <v>0</v>
      </c>
      <c r="J39" s="20" t="n">
        <v>0</v>
      </c>
      <c r="K39" s="18" t="n">
        <v>0.47002911</v>
      </c>
      <c r="L39" s="20" t="n">
        <v>0.38062574</v>
      </c>
      <c r="M39" s="18" t="n">
        <v>0</v>
      </c>
      <c r="N39" s="20" t="n">
        <v>0</v>
      </c>
      <c r="O39" s="18" t="n">
        <v>0</v>
      </c>
      <c r="P39" s="20" t="n">
        <v>0</v>
      </c>
      <c r="Q39" s="18" t="n">
        <v>0</v>
      </c>
      <c r="R39" s="20" t="n">
        <v>0</v>
      </c>
    </row>
    <row r="40" spans="1:18">
      <c r="A40" s="15" t="s">
        <v>598</v>
      </c>
      <c r="B40" s="17" t="n">
        <v>6922</v>
      </c>
      <c r="C40" s="18">
        <f>(6134.0/B40*100)</f>
        <v/>
      </c>
      <c r="D40" s="19" t="n">
        <v>788</v>
      </c>
      <c r="E40" s="18" t="n">
        <v>30.93254228</v>
      </c>
      <c r="F40" s="20" t="n">
        <v>2.40293566</v>
      </c>
      <c r="G40" s="18" t="n">
        <v>68.45268801</v>
      </c>
      <c r="H40" s="20" t="n">
        <v>2.39401239</v>
      </c>
      <c r="I40" s="18" t="n">
        <v>0</v>
      </c>
      <c r="J40" s="20" t="n">
        <v>0</v>
      </c>
      <c r="K40" s="18" t="n">
        <v>0.5964616</v>
      </c>
      <c r="L40" s="20" t="n">
        <v>0.37537861</v>
      </c>
      <c r="M40" s="18" t="n">
        <v>0</v>
      </c>
      <c r="N40" s="20" t="n">
        <v>0</v>
      </c>
      <c r="O40" s="18" t="n">
        <v>0</v>
      </c>
      <c r="P40" s="20" t="n">
        <v>0</v>
      </c>
      <c r="Q40" s="18" t="n">
        <v>0.01830811</v>
      </c>
      <c r="R40" s="20" t="n">
        <v>0.01827152</v>
      </c>
    </row>
    <row r="41" spans="1:18">
      <c r="A41" s="15" t="s">
        <v>599</v>
      </c>
      <c r="B41" s="17" t="n">
        <v>2854</v>
      </c>
      <c r="C41" s="18">
        <f>(2564.0/B41*100)</f>
        <v/>
      </c>
      <c r="D41" s="19" t="n">
        <v>290</v>
      </c>
      <c r="E41" s="18" t="n">
        <v>35.54257345</v>
      </c>
      <c r="F41" s="20" t="n">
        <v>2.93988368</v>
      </c>
      <c r="G41" s="18" t="n">
        <v>63.16649776</v>
      </c>
      <c r="H41" s="20" t="n">
        <v>2.98350958</v>
      </c>
      <c r="I41" s="18" t="n">
        <v>0</v>
      </c>
      <c r="J41" s="20" t="n">
        <v>0</v>
      </c>
      <c r="K41" s="18" t="n">
        <v>1.29092879</v>
      </c>
      <c r="L41" s="20" t="n">
        <v>0.67990994</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(11151.0/B46*100)</f>
        <v/>
      </c>
      <c r="D46" s="19" t="n">
        <v>922</v>
      </c>
      <c r="E46" s="18" t="n">
        <v>39.15523028</v>
      </c>
      <c r="F46" s="20" t="n">
        <v>1.96089721</v>
      </c>
      <c r="G46" s="18" t="n">
        <v>56.72314511</v>
      </c>
      <c r="H46" s="20" t="n">
        <v>2.12864972</v>
      </c>
      <c r="I46" s="18" t="n">
        <v>0</v>
      </c>
      <c r="J46" s="20" t="n">
        <v>0</v>
      </c>
      <c r="K46" s="18" t="n">
        <v>2.77802698</v>
      </c>
      <c r="L46" s="20" t="n">
        <v>0.6805078</v>
      </c>
      <c r="M46" s="18" t="n">
        <v>0</v>
      </c>
      <c r="N46" s="20" t="n">
        <v>0</v>
      </c>
      <c r="O46" s="18" t="n">
        <v>0</v>
      </c>
      <c r="P46" s="20" t="n">
        <v>0</v>
      </c>
      <c r="Q46" s="18" t="n">
        <v>1.34359762</v>
      </c>
      <c r="R46" s="20" t="n">
        <v>0.4652374</v>
      </c>
    </row>
    <row r="47" spans="1:18">
      <c r="A47" s="15" t="s">
        <v>606</v>
      </c>
      <c r="B47" s="17" t="n">
        <v>2823</v>
      </c>
      <c r="C47" s="18">
        <f>(2555.0/B47*100)</f>
        <v/>
      </c>
      <c r="D47" s="19" t="n">
        <v>268</v>
      </c>
      <c r="E47" s="18" t="n">
        <v>45.87574936</v>
      </c>
      <c r="F47" s="20" t="n">
        <v>3.04597412</v>
      </c>
      <c r="G47" s="18" t="n">
        <v>51.9866526</v>
      </c>
      <c r="H47" s="20" t="n">
        <v>3.08353457</v>
      </c>
      <c r="I47" s="18" t="n">
        <v>0</v>
      </c>
      <c r="J47" s="20" t="n">
        <v>0</v>
      </c>
      <c r="K47" s="18" t="n">
        <v>1.41428673</v>
      </c>
      <c r="L47" s="20" t="n">
        <v>0.65904853</v>
      </c>
      <c r="M47" s="18" t="n">
        <v>0</v>
      </c>
      <c r="N47" s="20" t="n">
        <v>0</v>
      </c>
      <c r="O47" s="18" t="n">
        <v>0</v>
      </c>
      <c r="P47" s="20" t="n">
        <v>0</v>
      </c>
      <c r="Q47" s="18" t="n">
        <v>0.72331131</v>
      </c>
      <c r="R47" s="20" t="n">
        <v>0.05859075</v>
      </c>
    </row>
    <row r="48" spans="1:18">
      <c r="A48" s="15" t="s">
        <v>607</v>
      </c>
      <c r="B48" s="17" t="n">
        <v>4682</v>
      </c>
      <c r="C48" s="18">
        <f>(4160.0/B48*100)</f>
        <v/>
      </c>
      <c r="D48" s="19" t="n">
        <v>522</v>
      </c>
      <c r="E48" s="18" t="n">
        <v>32.07313972</v>
      </c>
      <c r="F48" s="20" t="n">
        <v>2.60632668</v>
      </c>
      <c r="G48" s="18" t="n">
        <v>67.04333805</v>
      </c>
      <c r="H48" s="20" t="n">
        <v>2.65775627</v>
      </c>
      <c r="I48" s="18" t="n">
        <v>0</v>
      </c>
      <c r="J48" s="20" t="n">
        <v>0</v>
      </c>
      <c r="K48" s="18" t="n">
        <v>0.58856442</v>
      </c>
      <c r="L48" s="20" t="n">
        <v>0.41922295</v>
      </c>
      <c r="M48" s="18" t="n">
        <v>0</v>
      </c>
      <c r="N48" s="20" t="n">
        <v>0</v>
      </c>
      <c r="O48" s="18" t="n">
        <v>0</v>
      </c>
      <c r="P48" s="20" t="n">
        <v>0</v>
      </c>
      <c r="Q48" s="18" t="n">
        <v>0.2949578</v>
      </c>
      <c r="R48" s="20" t="n">
        <v>0.29613172</v>
      </c>
    </row>
    <row r="49" spans="1:18">
      <c r="A49" s="15" t="s">
        <v>608</v>
      </c>
      <c r="B49" s="17" t="n">
        <v>6158</v>
      </c>
      <c r="C49" s="18">
        <f>(5523.0/B49*100)</f>
        <v/>
      </c>
      <c r="D49" s="19" t="n">
        <v>635</v>
      </c>
      <c r="E49" s="18" t="n">
        <v>47.2715871</v>
      </c>
      <c r="F49" s="20" t="n">
        <v>2.75661198</v>
      </c>
      <c r="G49" s="18" t="n">
        <v>47.56439369</v>
      </c>
      <c r="H49" s="20" t="n">
        <v>2.77103682</v>
      </c>
      <c r="I49" s="18" t="n">
        <v>0</v>
      </c>
      <c r="J49" s="20" t="n">
        <v>0</v>
      </c>
      <c r="K49" s="18" t="n">
        <v>5.15690666</v>
      </c>
      <c r="L49" s="20" t="n">
        <v>1.36775808</v>
      </c>
      <c r="M49" s="18" t="n">
        <v>0</v>
      </c>
      <c r="N49" s="20" t="n">
        <v>0</v>
      </c>
      <c r="O49" s="18" t="n">
        <v>0</v>
      </c>
      <c r="P49" s="20" t="n">
        <v>0</v>
      </c>
      <c r="Q49" s="18" t="n">
        <v>0.00711255</v>
      </c>
      <c r="R49" s="20" t="n">
        <v>0.00712189</v>
      </c>
    </row>
    <row r="50" spans="1:18">
      <c r="A50" s="15" t="s">
        <v>609</v>
      </c>
      <c r="B50" s="17" t="n">
        <v>3494</v>
      </c>
      <c r="C50" s="18">
        <f>(2844.0/B50*100)</f>
        <v/>
      </c>
      <c r="D50" s="19" t="n">
        <v>650</v>
      </c>
      <c r="E50" s="18" t="n">
        <v>42.35384698</v>
      </c>
      <c r="F50" s="20" t="n">
        <v>2.33648635</v>
      </c>
      <c r="G50" s="18" t="n">
        <v>56.92843951</v>
      </c>
      <c r="H50" s="20" t="n">
        <v>2.33318615</v>
      </c>
      <c r="I50" s="18" t="n">
        <v>0</v>
      </c>
      <c r="J50" s="20" t="n">
        <v>0</v>
      </c>
      <c r="K50" s="18" t="n">
        <v>0.55589976</v>
      </c>
      <c r="L50" s="20" t="n">
        <v>0.25309578</v>
      </c>
      <c r="M50" s="18" t="n">
        <v>0</v>
      </c>
      <c r="N50" s="20" t="n">
        <v>0</v>
      </c>
      <c r="O50" s="18" t="n">
        <v>0</v>
      </c>
      <c r="P50" s="20" t="n">
        <v>0</v>
      </c>
      <c r="Q50" s="18" t="n">
        <v>0.16181375</v>
      </c>
      <c r="R50" s="20" t="n">
        <v>0.16172544</v>
      </c>
    </row>
    <row r="51" spans="1:18">
      <c r="A51" s="15" t="s">
        <v>610</v>
      </c>
      <c r="B51" s="17" t="n">
        <v>3013</v>
      </c>
      <c r="C51" s="18">
        <f>(2688.0/B51*100)</f>
        <v/>
      </c>
      <c r="D51" s="19" t="n">
        <v>325</v>
      </c>
      <c r="E51" s="18" t="n">
        <v>21.35847105</v>
      </c>
      <c r="F51" s="20" t="n">
        <v>2.22512974</v>
      </c>
      <c r="G51" s="18" t="n">
        <v>78.33788688</v>
      </c>
      <c r="H51" s="20" t="n">
        <v>2.19737629</v>
      </c>
      <c r="I51" s="18" t="n">
        <v>0</v>
      </c>
      <c r="J51" s="20" t="n">
        <v>0</v>
      </c>
      <c r="K51" s="18" t="n">
        <v>0</v>
      </c>
      <c r="L51" s="20" t="n">
        <v>0</v>
      </c>
      <c r="M51" s="18" t="n">
        <v>0</v>
      </c>
      <c r="N51" s="20" t="n">
        <v>0</v>
      </c>
      <c r="O51" s="18" t="n">
        <v>0</v>
      </c>
      <c r="P51" s="20" t="n">
        <v>0</v>
      </c>
      <c r="Q51" s="18" t="n">
        <v>0.30364207</v>
      </c>
      <c r="R51" s="20" t="n">
        <v>0.30256052</v>
      </c>
    </row>
    <row r="52" spans="1:18">
      <c r="A52" s="15" t="s">
        <v>611</v>
      </c>
      <c r="B52" s="17" t="n">
        <v>2760</v>
      </c>
      <c r="C52" s="18">
        <f>(2440.0/B52*100)</f>
        <v/>
      </c>
      <c r="D52" s="19" t="n">
        <v>320</v>
      </c>
      <c r="E52" s="18" t="n">
        <v>41.63949711</v>
      </c>
      <c r="F52" s="20" t="n">
        <v>2.72257694</v>
      </c>
      <c r="G52" s="18" t="n">
        <v>58.15144826</v>
      </c>
      <c r="H52" s="20" t="n">
        <v>2.72027408</v>
      </c>
      <c r="I52" s="18" t="n">
        <v>0</v>
      </c>
      <c r="J52" s="20" t="n">
        <v>0</v>
      </c>
      <c r="K52" s="18" t="n">
        <v>0.20905463</v>
      </c>
      <c r="L52" s="20" t="n">
        <v>0.2088571</v>
      </c>
      <c r="M52" s="18" t="n">
        <v>0</v>
      </c>
      <c r="N52" s="20" t="n">
        <v>0</v>
      </c>
      <c r="O52" s="18" t="n">
        <v>0</v>
      </c>
      <c r="P52" s="20" t="n">
        <v>0</v>
      </c>
      <c r="Q52" s="18" t="n">
        <v>0</v>
      </c>
      <c r="R52" s="20" t="n">
        <v>0</v>
      </c>
    </row>
    <row r="53" spans="1:18">
      <c r="A53" s="15" t="s">
        <v>612</v>
      </c>
      <c r="B53" s="17" t="n">
        <v>2474</v>
      </c>
      <c r="C53" s="18">
        <f>(2210.0/B53*100)</f>
        <v/>
      </c>
      <c r="D53" s="19" t="n">
        <v>264</v>
      </c>
      <c r="E53" s="18" t="n">
        <v>46.80973478</v>
      </c>
      <c r="F53" s="20" t="n">
        <v>3.13454192</v>
      </c>
      <c r="G53" s="18" t="n">
        <v>23.20994675</v>
      </c>
      <c r="H53" s="20" t="n">
        <v>2.93479895</v>
      </c>
      <c r="I53" s="18" t="n">
        <v>0</v>
      </c>
      <c r="J53" s="20" t="n">
        <v>0</v>
      </c>
      <c r="K53" s="18" t="n">
        <v>28.57087571</v>
      </c>
      <c r="L53" s="20" t="n">
        <v>2.98484522</v>
      </c>
      <c r="M53" s="18" t="n">
        <v>0</v>
      </c>
      <c r="N53" s="20" t="n">
        <v>0</v>
      </c>
      <c r="O53" s="18" t="n">
        <v>0</v>
      </c>
      <c r="P53" s="20" t="n">
        <v>0</v>
      </c>
      <c r="Q53" s="18" t="n">
        <v>1.40944275</v>
      </c>
      <c r="R53" s="20" t="n">
        <v>0.69689559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(2386.0/B55*100)</f>
        <v/>
      </c>
      <c r="D55" s="19" t="n">
        <v>289</v>
      </c>
      <c r="E55" s="18" t="n">
        <v>26.4062365</v>
      </c>
      <c r="F55" s="20" t="n">
        <v>2.59080547</v>
      </c>
      <c r="G55" s="18" t="n">
        <v>72.64285499</v>
      </c>
      <c r="H55" s="20" t="n">
        <v>2.58614644</v>
      </c>
      <c r="I55" s="18" t="n">
        <v>0</v>
      </c>
      <c r="J55" s="20" t="n">
        <v>0</v>
      </c>
      <c r="K55" s="18" t="n">
        <v>0.95090852</v>
      </c>
      <c r="L55" s="20" t="n">
        <v>0.71063506</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(2838.0/B61*100)</f>
        <v/>
      </c>
      <c r="D61" s="19" t="n">
        <v>363</v>
      </c>
      <c r="E61" s="18" t="n">
        <v>27.90082868</v>
      </c>
      <c r="F61" s="20" t="n">
        <v>2.4961543</v>
      </c>
      <c r="G61" s="18" t="n">
        <v>70.93783904999999</v>
      </c>
      <c r="H61" s="20" t="n">
        <v>2.51374556</v>
      </c>
      <c r="I61" s="18" t="n">
        <v>0</v>
      </c>
      <c r="J61" s="20" t="n">
        <v>0</v>
      </c>
      <c r="K61" s="18" t="n">
        <v>0.31267791</v>
      </c>
      <c r="L61" s="20" t="n">
        <v>0.30956533</v>
      </c>
      <c r="M61" s="18" t="n">
        <v>0</v>
      </c>
      <c r="N61" s="20" t="n">
        <v>0</v>
      </c>
      <c r="O61" s="18" t="n">
        <v>0</v>
      </c>
      <c r="P61" s="20" t="n">
        <v>0</v>
      </c>
      <c r="Q61" s="18" t="n">
        <v>0.8486543600000001</v>
      </c>
      <c r="R61" s="20" t="n">
        <v>0.6077987500000001</v>
      </c>
    </row>
    <row r="62" spans="1:18">
      <c r="A62" s="15" t="s">
        <v>622</v>
      </c>
      <c r="B62" s="17" t="n">
        <v>2230</v>
      </c>
      <c r="C62" s="18">
        <f>(1985.0/B62*100)</f>
        <v/>
      </c>
      <c r="D62" s="19" t="n">
        <v>245</v>
      </c>
      <c r="E62" s="18" t="n">
        <v>28.11200769</v>
      </c>
      <c r="F62" s="20" t="n">
        <v>2.39602259</v>
      </c>
      <c r="G62" s="18" t="n">
        <v>71.88799231</v>
      </c>
      <c r="H62" s="20" t="n">
        <v>2.39602259</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(2487.0/B67*100)</f>
        <v/>
      </c>
      <c r="D67" s="19" t="n">
        <v>284</v>
      </c>
      <c r="E67" s="18" t="n">
        <v>42.46737637</v>
      </c>
      <c r="F67" s="20" t="n">
        <v>3.0686739</v>
      </c>
      <c r="G67" s="18" t="n">
        <v>54.71961461</v>
      </c>
      <c r="H67" s="20" t="n">
        <v>3.16058831</v>
      </c>
      <c r="I67" s="18" t="n">
        <v>0</v>
      </c>
      <c r="J67" s="20" t="n">
        <v>0</v>
      </c>
      <c r="K67" s="18" t="n">
        <v>1.86065918</v>
      </c>
      <c r="L67" s="20" t="n">
        <v>0.84945543</v>
      </c>
      <c r="M67" s="18" t="n">
        <v>0</v>
      </c>
      <c r="N67" s="20" t="n">
        <v>0</v>
      </c>
      <c r="O67" s="18" t="n">
        <v>0</v>
      </c>
      <c r="P67" s="20" t="n">
        <v>0</v>
      </c>
      <c r="Q67" s="18" t="n">
        <v>0.95234984</v>
      </c>
      <c r="R67" s="20" t="n">
        <v>0.55962028</v>
      </c>
    </row>
    <row r="68" spans="1:18">
      <c r="A68" s="15" t="s">
        <v>628</v>
      </c>
      <c r="B68" s="17" t="n">
        <v>3460</v>
      </c>
      <c r="C68" s="18">
        <f>(3179.0/B68*100)</f>
        <v/>
      </c>
      <c r="D68" s="19" t="n">
        <v>281</v>
      </c>
      <c r="E68" s="18" t="n">
        <v>49.00856808</v>
      </c>
      <c r="F68" s="20" t="n">
        <v>2.98004705</v>
      </c>
      <c r="G68" s="18" t="n">
        <v>50.30773287</v>
      </c>
      <c r="H68" s="20" t="n">
        <v>2.8855275</v>
      </c>
      <c r="I68" s="18" t="n">
        <v>0</v>
      </c>
      <c r="J68" s="20" t="n">
        <v>0</v>
      </c>
      <c r="K68" s="18" t="n">
        <v>0.68369905</v>
      </c>
      <c r="L68" s="20" t="n">
        <v>0.5017200000000001</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(5360.0/B70*100)</f>
        <v/>
      </c>
      <c r="D70" s="19" t="n">
        <v>674</v>
      </c>
      <c r="E70" s="18" t="n">
        <v>49.64153461</v>
      </c>
      <c r="F70" s="20" t="n">
        <v>2.06101065</v>
      </c>
      <c r="G70" s="18" t="n">
        <v>45.76695566</v>
      </c>
      <c r="H70" s="20" t="n">
        <v>2.01259452</v>
      </c>
      <c r="I70" s="18" t="n">
        <v>0</v>
      </c>
      <c r="J70" s="20" t="n">
        <v>0</v>
      </c>
      <c r="K70" s="18" t="n">
        <v>4.22007073</v>
      </c>
      <c r="L70" s="20" t="n">
        <v>0.85597744</v>
      </c>
      <c r="M70" s="18" t="n">
        <v>0</v>
      </c>
      <c r="N70" s="20" t="n">
        <v>0</v>
      </c>
      <c r="O70" s="18" t="n">
        <v>0</v>
      </c>
      <c r="P70" s="20" t="n">
        <v>0</v>
      </c>
      <c r="Q70" s="18" t="n">
        <v>0.371439</v>
      </c>
      <c r="R70" s="20" t="n">
        <v>0.2667706</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(2787.0/B72*100)</f>
        <v/>
      </c>
      <c r="D72" s="19" t="n">
        <v>320</v>
      </c>
      <c r="E72" s="18" t="n">
        <v>26.66665335</v>
      </c>
      <c r="F72" s="20" t="n">
        <v>2.33255229</v>
      </c>
      <c r="G72" s="18" t="n">
        <v>72.4842915</v>
      </c>
      <c r="H72" s="20" t="n">
        <v>2.26826866</v>
      </c>
      <c r="I72" s="18" t="n">
        <v>0</v>
      </c>
      <c r="J72" s="20" t="n">
        <v>0</v>
      </c>
      <c r="K72" s="18" t="n">
        <v>0.49517759</v>
      </c>
      <c r="L72" s="20" t="n">
        <v>0.29229931</v>
      </c>
      <c r="M72" s="18" t="n">
        <v>0</v>
      </c>
      <c r="N72" s="20" t="n">
        <v>0</v>
      </c>
      <c r="O72" s="18" t="n">
        <v>0</v>
      </c>
      <c r="P72" s="20" t="n">
        <v>0</v>
      </c>
      <c r="Q72" s="18" t="n">
        <v>0.35387756</v>
      </c>
      <c r="R72" s="20" t="n">
        <v>0.35393917</v>
      </c>
    </row>
    <row r="73" spans="1:18">
      <c r="A73" s="15" t="s">
        <v>633</v>
      </c>
      <c r="B73" s="17" t="n">
        <v>2973</v>
      </c>
      <c r="C73" s="18">
        <f>(2653.0/B73*100)</f>
        <v/>
      </c>
      <c r="D73" s="19" t="n">
        <v>320</v>
      </c>
      <c r="E73" s="18" t="n">
        <v>27.54945105</v>
      </c>
      <c r="F73" s="20" t="n">
        <v>2.35971162</v>
      </c>
      <c r="G73" s="18" t="n">
        <v>72.45054895</v>
      </c>
      <c r="H73" s="20" t="n">
        <v>2.35971162</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(3366.0/B74*100)</f>
        <v/>
      </c>
      <c r="D74" s="19" t="n">
        <v>453</v>
      </c>
      <c r="E74" s="18" t="n">
        <v>32.64194455</v>
      </c>
      <c r="F74" s="20" t="n">
        <v>2.47195392</v>
      </c>
      <c r="G74" s="18" t="n">
        <v>67.11568689000001</v>
      </c>
      <c r="H74" s="20" t="n">
        <v>2.47842888</v>
      </c>
      <c r="I74" s="18" t="n">
        <v>0</v>
      </c>
      <c r="J74" s="20" t="n">
        <v>0</v>
      </c>
      <c r="K74" s="18" t="n">
        <v>0.24236857</v>
      </c>
      <c r="L74" s="20" t="n">
        <v>0.24302914</v>
      </c>
      <c r="M74" s="18" t="n">
        <v>0</v>
      </c>
      <c r="N74" s="20" t="n">
        <v>0</v>
      </c>
      <c r="O74" s="18" t="n">
        <v>0</v>
      </c>
      <c r="P74" s="20" t="n">
        <v>0</v>
      </c>
      <c r="Q74" s="18" t="n">
        <v>0</v>
      </c>
      <c r="R74" s="20" t="n">
        <v>0</v>
      </c>
    </row>
    <row r="75" spans="1:18">
      <c r="A75" s="15" t="s">
        <v>635</v>
      </c>
      <c r="B75" s="17" t="n">
        <v>4652</v>
      </c>
      <c r="C75" s="18">
        <f>(4194.0/B75*100)</f>
        <v/>
      </c>
      <c r="D75" s="19" t="n">
        <v>458</v>
      </c>
      <c r="E75" s="18" t="n">
        <v>47.36087653</v>
      </c>
      <c r="F75" s="20" t="n">
        <v>3.23732102</v>
      </c>
      <c r="G75" s="18" t="n">
        <v>52.32823007</v>
      </c>
      <c r="H75" s="20" t="n">
        <v>3.24048138</v>
      </c>
      <c r="I75" s="18" t="n">
        <v>0</v>
      </c>
      <c r="J75" s="20" t="n">
        <v>0</v>
      </c>
      <c r="K75" s="18" t="n">
        <v>0</v>
      </c>
      <c r="L75" s="20" t="n">
        <v>0</v>
      </c>
      <c r="M75" s="18" t="n">
        <v>0</v>
      </c>
      <c r="N75" s="20" t="n">
        <v>0</v>
      </c>
      <c r="O75" s="18" t="n">
        <v>0</v>
      </c>
      <c r="P75" s="20" t="n">
        <v>0</v>
      </c>
      <c r="Q75" s="18" t="n">
        <v>0.3108934</v>
      </c>
      <c r="R75" s="20" t="n">
        <v>0.21958985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(2692.0/B77*100)</f>
        <v/>
      </c>
      <c r="D77" s="19" t="n">
        <v>277</v>
      </c>
      <c r="E77" s="18" t="n">
        <v>54.09124429</v>
      </c>
      <c r="F77" s="20" t="n">
        <v>2.72196674</v>
      </c>
      <c r="G77" s="18" t="n">
        <v>36.03428769</v>
      </c>
      <c r="H77" s="20" t="n">
        <v>2.23017596</v>
      </c>
      <c r="I77" s="18" t="n">
        <v>0</v>
      </c>
      <c r="J77" s="20" t="n">
        <v>0</v>
      </c>
      <c r="K77" s="18" t="n">
        <v>9.02597667</v>
      </c>
      <c r="L77" s="20" t="n">
        <v>1.7707537</v>
      </c>
      <c r="M77" s="18" t="n">
        <v>0</v>
      </c>
      <c r="N77" s="20" t="n">
        <v>0</v>
      </c>
      <c r="O77" s="18" t="n">
        <v>0</v>
      </c>
      <c r="P77" s="20" t="n">
        <v>0</v>
      </c>
      <c r="Q77" s="18" t="n">
        <v>0.84849135</v>
      </c>
      <c r="R77" s="20" t="n">
        <v>0.59250689</v>
      </c>
    </row>
    <row r="78" spans="1:18">
      <c r="A78" s="15" t="s">
        <v>638</v>
      </c>
      <c r="B78" s="17" t="n">
        <v>7115</v>
      </c>
      <c r="C78" s="18">
        <f>(6299.0/B78*100)</f>
        <v/>
      </c>
      <c r="D78" s="19" t="n">
        <v>816</v>
      </c>
      <c r="E78" s="18" t="n">
        <v>43.11048251</v>
      </c>
      <c r="F78" s="20" t="n">
        <v>1.93638751</v>
      </c>
      <c r="G78" s="18" t="n">
        <v>55.54660554</v>
      </c>
      <c r="H78" s="20" t="n">
        <v>1.99844926</v>
      </c>
      <c r="I78" s="18" t="n">
        <v>0</v>
      </c>
      <c r="J78" s="20" t="n">
        <v>0</v>
      </c>
      <c r="K78" s="18" t="n">
        <v>1.29107776</v>
      </c>
      <c r="L78" s="20" t="n">
        <v>0.43842586</v>
      </c>
      <c r="M78" s="18" t="n">
        <v>0</v>
      </c>
      <c r="N78" s="20" t="n">
        <v>0</v>
      </c>
      <c r="O78" s="18" t="n">
        <v>0</v>
      </c>
      <c r="P78" s="20" t="n">
        <v>0</v>
      </c>
      <c r="Q78" s="18" t="n">
        <v>0.05183419</v>
      </c>
      <c r="R78" s="20" t="n">
        <v>0.0507485</v>
      </c>
    </row>
    <row r="79" spans="1:18">
      <c r="A79" s="15" t="s">
        <v>639</v>
      </c>
      <c r="B79" s="17" t="n">
        <v>3154</v>
      </c>
      <c r="C79" s="18">
        <f>(2835.0/B79*100)</f>
        <v/>
      </c>
      <c r="D79" s="19" t="n">
        <v>319</v>
      </c>
      <c r="E79" s="18" t="n">
        <v>42.12816207</v>
      </c>
      <c r="F79" s="20" t="n">
        <v>3.04410375</v>
      </c>
      <c r="G79" s="18" t="n">
        <v>53.88674398</v>
      </c>
      <c r="H79" s="20" t="n">
        <v>2.86629434</v>
      </c>
      <c r="I79" s="18" t="n">
        <v>0</v>
      </c>
      <c r="J79" s="20" t="n">
        <v>0</v>
      </c>
      <c r="K79" s="18" t="n">
        <v>3.66956363</v>
      </c>
      <c r="L79" s="20" t="n">
        <v>1.21966655</v>
      </c>
      <c r="M79" s="18" t="n">
        <v>0</v>
      </c>
      <c r="N79" s="20" t="n">
        <v>0</v>
      </c>
      <c r="O79" s="18" t="n">
        <v>0</v>
      </c>
      <c r="P79" s="20" t="n">
        <v>0</v>
      </c>
      <c r="Q79" s="18" t="n">
        <v>0.31553032</v>
      </c>
      <c r="R79" s="20" t="n">
        <v>0.31977704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(14334.0/B82*100)</f>
        <v/>
      </c>
      <c r="D82" s="19" t="n">
        <v>1627</v>
      </c>
      <c r="E82" s="18" t="n">
        <v>27.04810193</v>
      </c>
      <c r="F82" s="20" t="n">
        <v>1.73863509</v>
      </c>
      <c r="G82" s="18" t="n">
        <v>72.47273181</v>
      </c>
      <c r="H82" s="20" t="n">
        <v>1.74628825</v>
      </c>
      <c r="I82" s="18" t="n">
        <v>0</v>
      </c>
      <c r="J82" s="20" t="n">
        <v>0</v>
      </c>
      <c r="K82" s="18" t="n">
        <v>0.21119894</v>
      </c>
      <c r="L82" s="20" t="n">
        <v>0.08421927</v>
      </c>
      <c r="M82" s="18" t="n">
        <v>0</v>
      </c>
      <c r="N82" s="20" t="n">
        <v>0</v>
      </c>
      <c r="O82" s="18" t="n">
        <v>0</v>
      </c>
      <c r="P82" s="20" t="n">
        <v>0</v>
      </c>
      <c r="Q82" s="18" t="n">
        <v>0.26796732</v>
      </c>
      <c r="R82" s="20" t="n">
        <v>0.20092521</v>
      </c>
    </row>
    <row r="83" spans="1:18">
      <c r="A83" s="15" t="s">
        <v>643</v>
      </c>
      <c r="B83" s="17" t="n">
        <v>808</v>
      </c>
      <c r="C83" s="18">
        <f>(715.0/B83*100)</f>
        <v/>
      </c>
      <c r="D83" s="19" t="n">
        <v>93</v>
      </c>
      <c r="E83" s="18" t="n">
        <v>41.67321192</v>
      </c>
      <c r="F83" s="20" t="n">
        <v>4.50344881</v>
      </c>
      <c r="G83" s="18" t="n">
        <v>58.32678808</v>
      </c>
      <c r="H83" s="20" t="n">
        <v>4.50344881</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(828.0/B84*100)</f>
        <v/>
      </c>
      <c r="D84" s="19" t="n">
        <v>110</v>
      </c>
      <c r="E84" s="18" t="n">
        <v>29.88193291</v>
      </c>
      <c r="F84" s="20" t="n">
        <v>4.35249604</v>
      </c>
      <c r="G84" s="18" t="n">
        <v>70.11806709</v>
      </c>
      <c r="H84" s="20" t="n">
        <v>4.35249604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(6379.0/B7*100)</f>
        <v/>
      </c>
      <c r="D7" s="19" t="n">
        <v>784</v>
      </c>
      <c r="E7" s="18" t="n">
        <v>23.94145265</v>
      </c>
      <c r="F7" s="20" t="n">
        <v>1.84144746</v>
      </c>
      <c r="G7" s="18" t="n">
        <v>74.74623618</v>
      </c>
      <c r="H7" s="20" t="n">
        <v>1.84334065</v>
      </c>
      <c r="I7" s="18" t="n">
        <v>0</v>
      </c>
      <c r="J7" s="20" t="n">
        <v>0</v>
      </c>
      <c r="K7" s="18" t="n">
        <v>1.08455433</v>
      </c>
      <c r="L7" s="20" t="n">
        <v>0.42096174</v>
      </c>
      <c r="M7" s="18" t="n">
        <v>0</v>
      </c>
      <c r="N7" s="20" t="n">
        <v>0</v>
      </c>
      <c r="O7" s="18" t="n">
        <v>0</v>
      </c>
      <c r="P7" s="20" t="n">
        <v>0</v>
      </c>
      <c r="Q7" s="18" t="n">
        <v>0.22775684</v>
      </c>
      <c r="R7" s="20" t="n">
        <v>0.17318696</v>
      </c>
    </row>
    <row r="8" spans="1:18">
      <c r="A8" s="15" t="s">
        <v>566</v>
      </c>
      <c r="B8" s="17" t="n">
        <v>3443</v>
      </c>
      <c r="C8" s="18">
        <f>(3056.0/B8*100)</f>
        <v/>
      </c>
      <c r="D8" s="19" t="n">
        <v>387</v>
      </c>
      <c r="E8" s="18" t="n">
        <v>19.56845023</v>
      </c>
      <c r="F8" s="20" t="n">
        <v>2.15777499</v>
      </c>
      <c r="G8" s="18" t="n">
        <v>80.31349347</v>
      </c>
      <c r="H8" s="20" t="n">
        <v>2.16660908</v>
      </c>
      <c r="I8" s="18" t="n">
        <v>0</v>
      </c>
      <c r="J8" s="20" t="n">
        <v>0</v>
      </c>
      <c r="K8" s="18" t="n">
        <v>0.1180563</v>
      </c>
      <c r="L8" s="20" t="n">
        <v>0.11711824</v>
      </c>
      <c r="M8" s="18" t="n">
        <v>0</v>
      </c>
      <c r="N8" s="20" t="n">
        <v>0</v>
      </c>
      <c r="O8" s="18" t="n">
        <v>0</v>
      </c>
      <c r="P8" s="20" t="n">
        <v>0</v>
      </c>
      <c r="Q8" s="18" t="n">
        <v>0</v>
      </c>
      <c r="R8" s="20" t="n">
        <v>0</v>
      </c>
    </row>
    <row r="9" spans="1:18">
      <c r="A9" s="15" t="s">
        <v>567</v>
      </c>
      <c r="B9" s="17" t="n">
        <v>4752</v>
      </c>
      <c r="C9" s="18">
        <f>(4204.0/B9*100)</f>
        <v/>
      </c>
      <c r="D9" s="19" t="n">
        <v>548</v>
      </c>
      <c r="E9" s="18" t="n">
        <v>29.5213545</v>
      </c>
      <c r="F9" s="20" t="n">
        <v>1.93053363</v>
      </c>
      <c r="G9" s="18" t="n">
        <v>67.65218915</v>
      </c>
      <c r="H9" s="20" t="n">
        <v>2.13442491</v>
      </c>
      <c r="I9" s="18" t="n">
        <v>0</v>
      </c>
      <c r="J9" s="20" t="n">
        <v>0</v>
      </c>
      <c r="K9" s="18" t="n">
        <v>1.84228172</v>
      </c>
      <c r="L9" s="20" t="n">
        <v>0.62637476</v>
      </c>
      <c r="M9" s="18" t="n">
        <v>0</v>
      </c>
      <c r="N9" s="20" t="n">
        <v>0</v>
      </c>
      <c r="O9" s="18" t="n">
        <v>0</v>
      </c>
      <c r="P9" s="20" t="n">
        <v>0</v>
      </c>
      <c r="Q9" s="18" t="n">
        <v>0.9841746300000001</v>
      </c>
      <c r="R9" s="20" t="n">
        <v>0.43294704</v>
      </c>
    </row>
    <row r="10" spans="1:18">
      <c r="A10" s="15" t="s">
        <v>568</v>
      </c>
      <c r="B10" s="17" t="n">
        <v>10022</v>
      </c>
      <c r="C10" s="18">
        <f>(8932.0/B10*100)</f>
        <v/>
      </c>
      <c r="D10" s="19" t="n">
        <v>1090</v>
      </c>
      <c r="E10" s="18" t="n">
        <v>19.20212092</v>
      </c>
      <c r="F10" s="20" t="n">
        <v>1.86195849</v>
      </c>
      <c r="G10" s="18" t="n">
        <v>79.04149898</v>
      </c>
      <c r="H10" s="20" t="n">
        <v>1.9175723</v>
      </c>
      <c r="I10" s="18" t="n">
        <v>0</v>
      </c>
      <c r="J10" s="20" t="n">
        <v>0</v>
      </c>
      <c r="K10" s="18" t="n">
        <v>1.36269874</v>
      </c>
      <c r="L10" s="20" t="n">
        <v>0.479923</v>
      </c>
      <c r="M10" s="18" t="n">
        <v>0</v>
      </c>
      <c r="N10" s="20" t="n">
        <v>0</v>
      </c>
      <c r="O10" s="18" t="n">
        <v>0</v>
      </c>
      <c r="P10" s="20" t="n">
        <v>0</v>
      </c>
      <c r="Q10" s="18" t="n">
        <v>0.39368136</v>
      </c>
      <c r="R10" s="20" t="n">
        <v>0.26555052</v>
      </c>
    </row>
    <row r="11" spans="1:18">
      <c r="A11" s="15" t="s">
        <v>569</v>
      </c>
      <c r="B11" s="17" t="n">
        <v>3500</v>
      </c>
      <c r="C11" s="18">
        <f>(3151.0/B11*100)</f>
        <v/>
      </c>
      <c r="D11" s="19" t="n">
        <v>349</v>
      </c>
      <c r="E11" s="18" t="n">
        <v>48.73750771</v>
      </c>
      <c r="F11" s="20" t="n">
        <v>3.16669575</v>
      </c>
      <c r="G11" s="18" t="n">
        <v>49.94541428</v>
      </c>
      <c r="H11" s="20" t="n">
        <v>3.11708176</v>
      </c>
      <c r="I11" s="18" t="n">
        <v>0</v>
      </c>
      <c r="J11" s="20" t="n">
        <v>0</v>
      </c>
      <c r="K11" s="18" t="n">
        <v>1.04124838</v>
      </c>
      <c r="L11" s="20" t="n">
        <v>0.6472111</v>
      </c>
      <c r="M11" s="18" t="n">
        <v>0</v>
      </c>
      <c r="N11" s="20" t="n">
        <v>0</v>
      </c>
      <c r="O11" s="18" t="n">
        <v>0</v>
      </c>
      <c r="P11" s="20" t="n">
        <v>0</v>
      </c>
      <c r="Q11" s="18" t="n">
        <v>0.27582963</v>
      </c>
      <c r="R11" s="20" t="n">
        <v>0.27453075</v>
      </c>
    </row>
    <row r="12" spans="1:18">
      <c r="A12" s="15" t="s">
        <v>570</v>
      </c>
      <c r="B12" s="17" t="n">
        <v>3422</v>
      </c>
      <c r="C12" s="18">
        <f>(3038.0/B12*100)</f>
        <v/>
      </c>
      <c r="D12" s="19" t="n">
        <v>384</v>
      </c>
      <c r="E12" s="18" t="n">
        <v>27.62465702</v>
      </c>
      <c r="F12" s="20" t="n">
        <v>3.8959383</v>
      </c>
      <c r="G12" s="18" t="n">
        <v>71.09175799</v>
      </c>
      <c r="H12" s="20" t="n">
        <v>3.89210648</v>
      </c>
      <c r="I12" s="18" t="n">
        <v>0</v>
      </c>
      <c r="J12" s="20" t="n">
        <v>0</v>
      </c>
      <c r="K12" s="18" t="n">
        <v>1.19442475</v>
      </c>
      <c r="L12" s="20" t="n">
        <v>0.54359792</v>
      </c>
      <c r="M12" s="18" t="n">
        <v>0</v>
      </c>
      <c r="N12" s="20" t="n">
        <v>0</v>
      </c>
      <c r="O12" s="18" t="n">
        <v>0</v>
      </c>
      <c r="P12" s="20" t="n">
        <v>0</v>
      </c>
      <c r="Q12" s="18" t="n">
        <v>0.08916024</v>
      </c>
      <c r="R12" s="20" t="n">
        <v>0.09000932</v>
      </c>
    </row>
    <row r="13" spans="1:18">
      <c r="A13" s="15" t="s">
        <v>571</v>
      </c>
      <c r="B13" s="17" t="n">
        <v>3602</v>
      </c>
      <c r="C13" s="18">
        <f>(3061.0/B13*100)</f>
        <v/>
      </c>
      <c r="D13" s="19" t="n">
        <v>541</v>
      </c>
      <c r="E13" s="18" t="n">
        <v>20.35390534</v>
      </c>
      <c r="F13" s="20" t="n">
        <v>1.9506492</v>
      </c>
      <c r="G13" s="18" t="n">
        <v>76.62166671999999</v>
      </c>
      <c r="H13" s="20" t="n">
        <v>2.1168011</v>
      </c>
      <c r="I13" s="18" t="n">
        <v>0</v>
      </c>
      <c r="J13" s="20" t="n">
        <v>0</v>
      </c>
      <c r="K13" s="18" t="n">
        <v>2.39522902</v>
      </c>
      <c r="L13" s="20" t="n">
        <v>0.85527496</v>
      </c>
      <c r="M13" s="18" t="n">
        <v>0</v>
      </c>
      <c r="N13" s="20" t="n">
        <v>0</v>
      </c>
      <c r="O13" s="18" t="n">
        <v>0</v>
      </c>
      <c r="P13" s="20" t="n">
        <v>0</v>
      </c>
      <c r="Q13" s="18" t="n">
        <v>0.62919892</v>
      </c>
      <c r="R13" s="20" t="n">
        <v>0.44032728</v>
      </c>
    </row>
    <row r="14" spans="1:18">
      <c r="A14" s="15" t="s">
        <v>572</v>
      </c>
      <c r="B14" s="17" t="n">
        <v>2788</v>
      </c>
      <c r="C14" s="18">
        <f>(2498.0/B14*100)</f>
        <v/>
      </c>
      <c r="D14" s="19" t="n">
        <v>290</v>
      </c>
      <c r="E14" s="18" t="n">
        <v>26.76781463</v>
      </c>
      <c r="F14" s="20" t="n">
        <v>2.81159024</v>
      </c>
      <c r="G14" s="18" t="n">
        <v>72.70136872</v>
      </c>
      <c r="H14" s="20" t="n">
        <v>2.77836799</v>
      </c>
      <c r="I14" s="18" t="n">
        <v>0</v>
      </c>
      <c r="J14" s="20" t="n">
        <v>0</v>
      </c>
      <c r="K14" s="18" t="n">
        <v>0.26540832</v>
      </c>
      <c r="L14" s="20" t="n">
        <v>0.27269415</v>
      </c>
      <c r="M14" s="18" t="n">
        <v>0</v>
      </c>
      <c r="N14" s="20" t="n">
        <v>0</v>
      </c>
      <c r="O14" s="18" t="n">
        <v>0</v>
      </c>
      <c r="P14" s="20" t="n">
        <v>0</v>
      </c>
      <c r="Q14" s="18" t="n">
        <v>0.26540832</v>
      </c>
      <c r="R14" s="20" t="n">
        <v>0.27269415</v>
      </c>
    </row>
    <row r="15" spans="1:18">
      <c r="A15" s="15" t="s">
        <v>573</v>
      </c>
      <c r="B15" s="17" t="n">
        <v>2863</v>
      </c>
      <c r="C15" s="18">
        <f>(2520.0/B15*100)</f>
        <v/>
      </c>
      <c r="D15" s="19" t="n">
        <v>343</v>
      </c>
      <c r="E15" s="18" t="n">
        <v>24.38001127</v>
      </c>
      <c r="F15" s="20" t="n">
        <v>2.47543732</v>
      </c>
      <c r="G15" s="18" t="n">
        <v>73.78617341</v>
      </c>
      <c r="H15" s="20" t="n">
        <v>2.82914171</v>
      </c>
      <c r="I15" s="18" t="n">
        <v>0</v>
      </c>
      <c r="J15" s="20" t="n">
        <v>0</v>
      </c>
      <c r="K15" s="18" t="n">
        <v>1.21739223</v>
      </c>
      <c r="L15" s="20" t="n">
        <v>0.56728904</v>
      </c>
      <c r="M15" s="18" t="n">
        <v>0</v>
      </c>
      <c r="N15" s="20" t="n">
        <v>0</v>
      </c>
      <c r="O15" s="18" t="n">
        <v>0</v>
      </c>
      <c r="P15" s="20" t="n">
        <v>0</v>
      </c>
      <c r="Q15" s="18" t="n">
        <v>0.61642309</v>
      </c>
      <c r="R15" s="20" t="n">
        <v>0.64853211</v>
      </c>
    </row>
    <row r="16" spans="1:18">
      <c r="A16" s="15" t="s">
        <v>574</v>
      </c>
      <c r="B16" s="17" t="n">
        <v>3111</v>
      </c>
      <c r="C16" s="18">
        <f>(2779.0/B16*100)</f>
        <v/>
      </c>
      <c r="D16" s="19" t="n">
        <v>332</v>
      </c>
      <c r="E16" s="18" t="n">
        <v>24.30429822</v>
      </c>
      <c r="F16" s="20" t="n">
        <v>2.53414559</v>
      </c>
      <c r="G16" s="18" t="n">
        <v>71.91484567000001</v>
      </c>
      <c r="H16" s="20" t="n">
        <v>2.73544535</v>
      </c>
      <c r="I16" s="18" t="n">
        <v>0</v>
      </c>
      <c r="J16" s="20" t="n">
        <v>0</v>
      </c>
      <c r="K16" s="18" t="n">
        <v>2.82825014</v>
      </c>
      <c r="L16" s="20" t="n">
        <v>0.96960978</v>
      </c>
      <c r="M16" s="18" t="n">
        <v>0</v>
      </c>
      <c r="N16" s="20" t="n">
        <v>0</v>
      </c>
      <c r="O16" s="18" t="n">
        <v>0</v>
      </c>
      <c r="P16" s="20" t="n">
        <v>0</v>
      </c>
      <c r="Q16" s="18" t="n">
        <v>0.95260597</v>
      </c>
      <c r="R16" s="20" t="n">
        <v>0.59683784</v>
      </c>
    </row>
    <row r="17" spans="1:18">
      <c r="A17" s="15" t="s">
        <v>575</v>
      </c>
      <c r="B17" s="17" t="n">
        <v>3197</v>
      </c>
      <c r="C17" s="18">
        <f>(2792.0/B17*100)</f>
        <v/>
      </c>
      <c r="D17" s="19" t="n">
        <v>405</v>
      </c>
      <c r="E17" s="18" t="n">
        <v>20.28724973</v>
      </c>
      <c r="F17" s="20" t="n">
        <v>2.28011852</v>
      </c>
      <c r="G17" s="18" t="n">
        <v>78.52258429</v>
      </c>
      <c r="H17" s="20" t="n">
        <v>2.14243403</v>
      </c>
      <c r="I17" s="18" t="n">
        <v>0</v>
      </c>
      <c r="J17" s="20" t="n">
        <v>0</v>
      </c>
      <c r="K17" s="18" t="n">
        <v>0.49604511</v>
      </c>
      <c r="L17" s="20" t="n">
        <v>0.36451973</v>
      </c>
      <c r="M17" s="18" t="n">
        <v>0</v>
      </c>
      <c r="N17" s="20" t="n">
        <v>0</v>
      </c>
      <c r="O17" s="18" t="n">
        <v>0</v>
      </c>
      <c r="P17" s="20" t="n">
        <v>0</v>
      </c>
      <c r="Q17" s="18" t="n">
        <v>0.6941208800000001</v>
      </c>
      <c r="R17" s="20" t="n">
        <v>0.22744856</v>
      </c>
    </row>
    <row r="18" spans="1:18">
      <c r="A18" s="15" t="s">
        <v>576</v>
      </c>
      <c r="B18" s="17" t="n">
        <v>2706</v>
      </c>
      <c r="C18" s="18">
        <f>(2412.0/B18*100)</f>
        <v/>
      </c>
      <c r="D18" s="19" t="n">
        <v>294</v>
      </c>
      <c r="E18" s="18" t="n">
        <v>27.53080076</v>
      </c>
      <c r="F18" s="20" t="n">
        <v>2.7676431</v>
      </c>
      <c r="G18" s="18" t="n">
        <v>71.39342547</v>
      </c>
      <c r="H18" s="20" t="n">
        <v>2.73184426</v>
      </c>
      <c r="I18" s="18" t="n">
        <v>0</v>
      </c>
      <c r="J18" s="20" t="n">
        <v>0</v>
      </c>
      <c r="K18" s="18" t="n">
        <v>1.07577377</v>
      </c>
      <c r="L18" s="20" t="n">
        <v>0.58574602</v>
      </c>
      <c r="M18" s="18" t="n">
        <v>0</v>
      </c>
      <c r="N18" s="20" t="n">
        <v>0</v>
      </c>
      <c r="O18" s="18" t="n">
        <v>0</v>
      </c>
      <c r="P18" s="20" t="n">
        <v>0</v>
      </c>
      <c r="Q18" s="18" t="n">
        <v>0</v>
      </c>
      <c r="R18" s="20" t="n">
        <v>0</v>
      </c>
    </row>
    <row r="19" spans="1:18">
      <c r="A19" s="15" t="s">
        <v>577</v>
      </c>
      <c r="B19" s="17" t="n">
        <v>2850</v>
      </c>
      <c r="C19" s="18">
        <f>(2553.0/B19*100)</f>
        <v/>
      </c>
      <c r="D19" s="19" t="n">
        <v>297</v>
      </c>
      <c r="E19" s="18" t="n">
        <v>26.39142593</v>
      </c>
      <c r="F19" s="20" t="n">
        <v>3.164573</v>
      </c>
      <c r="G19" s="18" t="n">
        <v>73.60857407</v>
      </c>
      <c r="H19" s="20" t="n">
        <v>3.164573</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(1554.0/B20*100)</f>
        <v/>
      </c>
      <c r="D20" s="19" t="n">
        <v>187</v>
      </c>
      <c r="E20" s="18" t="n">
        <v>33.15522269</v>
      </c>
      <c r="F20" s="20" t="n">
        <v>3.61449487</v>
      </c>
      <c r="G20" s="18" t="n">
        <v>65.37519406</v>
      </c>
      <c r="H20" s="20" t="n">
        <v>3.68308739</v>
      </c>
      <c r="I20" s="18" t="n">
        <v>0</v>
      </c>
      <c r="J20" s="20" t="n">
        <v>0</v>
      </c>
      <c r="K20" s="18" t="n">
        <v>1.46958325</v>
      </c>
      <c r="L20" s="20" t="n">
        <v>0.84158588</v>
      </c>
      <c r="M20" s="18" t="n">
        <v>0</v>
      </c>
      <c r="N20" s="20" t="n">
        <v>0</v>
      </c>
      <c r="O20" s="18" t="n">
        <v>0</v>
      </c>
      <c r="P20" s="20" t="n">
        <v>0</v>
      </c>
      <c r="Q20" s="18" t="n">
        <v>0</v>
      </c>
      <c r="R20" s="20" t="n">
        <v>0</v>
      </c>
    </row>
    <row r="21" spans="1:18">
      <c r="A21" s="15" t="s">
        <v>579</v>
      </c>
      <c r="B21" s="17" t="n">
        <v>2833</v>
      </c>
      <c r="C21" s="18">
        <f>(2504.0/B21*100)</f>
        <v/>
      </c>
      <c r="D21" s="19" t="n">
        <v>329</v>
      </c>
      <c r="E21" s="18" t="n">
        <v>21.12748038</v>
      </c>
      <c r="F21" s="20" t="n">
        <v>2.5381197</v>
      </c>
      <c r="G21" s="18" t="n">
        <v>78.11105361</v>
      </c>
      <c r="H21" s="20" t="n">
        <v>2.55631781</v>
      </c>
      <c r="I21" s="18" t="n">
        <v>0</v>
      </c>
      <c r="J21" s="20" t="n">
        <v>0</v>
      </c>
      <c r="K21" s="18" t="n">
        <v>0.30735026</v>
      </c>
      <c r="L21" s="20" t="n">
        <v>0.32285812</v>
      </c>
      <c r="M21" s="18" t="n">
        <v>0</v>
      </c>
      <c r="N21" s="20" t="n">
        <v>0</v>
      </c>
      <c r="O21" s="18" t="n">
        <v>0</v>
      </c>
      <c r="P21" s="20" t="n">
        <v>0</v>
      </c>
      <c r="Q21" s="18" t="n">
        <v>0.45411574</v>
      </c>
      <c r="R21" s="20" t="n">
        <v>0.43238942</v>
      </c>
    </row>
    <row r="22" spans="1:18">
      <c r="A22" s="15" t="s">
        <v>580</v>
      </c>
      <c r="B22" s="17" t="n">
        <v>3667</v>
      </c>
      <c r="C22" s="18">
        <f>(3294.0/B22*100)</f>
        <v/>
      </c>
      <c r="D22" s="19" t="n">
        <v>373</v>
      </c>
      <c r="E22" s="18" t="n">
        <v>33.31061349</v>
      </c>
      <c r="F22" s="20" t="n">
        <v>2.48121501</v>
      </c>
      <c r="G22" s="18" t="n">
        <v>64.37643204</v>
      </c>
      <c r="H22" s="20" t="n">
        <v>2.61119111</v>
      </c>
      <c r="I22" s="18" t="n">
        <v>0</v>
      </c>
      <c r="J22" s="20" t="n">
        <v>0</v>
      </c>
      <c r="K22" s="18" t="n">
        <v>2.31295447</v>
      </c>
      <c r="L22" s="20" t="n">
        <v>0.7421424</v>
      </c>
      <c r="M22" s="18" t="n">
        <v>0</v>
      </c>
      <c r="N22" s="20" t="n">
        <v>0</v>
      </c>
      <c r="O22" s="18" t="n">
        <v>0</v>
      </c>
      <c r="P22" s="20" t="n">
        <v>0</v>
      </c>
      <c r="Q22" s="18" t="n">
        <v>0</v>
      </c>
      <c r="R22" s="20" t="n">
        <v>0</v>
      </c>
    </row>
    <row r="23" spans="1:18">
      <c r="A23" s="15" t="s">
        <v>581</v>
      </c>
      <c r="B23" s="17" t="n">
        <v>5792</v>
      </c>
      <c r="C23" s="18">
        <f>(5175.0/B23*100)</f>
        <v/>
      </c>
      <c r="D23" s="19" t="n">
        <v>617</v>
      </c>
      <c r="E23" s="18" t="n">
        <v>28.69815436</v>
      </c>
      <c r="F23" s="20" t="n">
        <v>3.29301508</v>
      </c>
      <c r="G23" s="18" t="n">
        <v>68.26915949000001</v>
      </c>
      <c r="H23" s="20" t="n">
        <v>3.19087531</v>
      </c>
      <c r="I23" s="18" t="n">
        <v>0</v>
      </c>
      <c r="J23" s="20" t="n">
        <v>0</v>
      </c>
      <c r="K23" s="18" t="n">
        <v>2.90743649</v>
      </c>
      <c r="L23" s="20" t="n">
        <v>1.10760737</v>
      </c>
      <c r="M23" s="18" t="n">
        <v>0</v>
      </c>
      <c r="N23" s="20" t="n">
        <v>0</v>
      </c>
      <c r="O23" s="18" t="n">
        <v>0</v>
      </c>
      <c r="P23" s="20" t="n">
        <v>0</v>
      </c>
      <c r="Q23" s="18" t="n">
        <v>0.12524966</v>
      </c>
      <c r="R23" s="20" t="n">
        <v>0.11748568</v>
      </c>
    </row>
    <row r="24" spans="1:18">
      <c r="A24" s="15" t="s">
        <v>582</v>
      </c>
      <c r="B24" s="17" t="n">
        <v>3309</v>
      </c>
      <c r="C24" s="18">
        <f>(2951.0/B24*100)</f>
        <v/>
      </c>
      <c r="D24" s="19" t="n">
        <v>358</v>
      </c>
      <c r="E24" s="18" t="n">
        <v>15.36041286</v>
      </c>
      <c r="F24" s="20" t="n">
        <v>1.96057405</v>
      </c>
      <c r="G24" s="18" t="n">
        <v>82.97152680000001</v>
      </c>
      <c r="H24" s="20" t="n">
        <v>2.20804642</v>
      </c>
      <c r="I24" s="18" t="n">
        <v>0</v>
      </c>
      <c r="J24" s="20" t="n">
        <v>0</v>
      </c>
      <c r="K24" s="18" t="n">
        <v>1.41379694</v>
      </c>
      <c r="L24" s="20" t="n">
        <v>0.61311318</v>
      </c>
      <c r="M24" s="18" t="n">
        <v>0</v>
      </c>
      <c r="N24" s="20" t="n">
        <v>0</v>
      </c>
      <c r="O24" s="18" t="n">
        <v>0</v>
      </c>
      <c r="P24" s="20" t="n">
        <v>0</v>
      </c>
      <c r="Q24" s="18" t="n">
        <v>0.2542634</v>
      </c>
      <c r="R24" s="20" t="n">
        <v>0.25345785</v>
      </c>
    </row>
    <row r="25" spans="1:18">
      <c r="A25" s="15" t="s">
        <v>583</v>
      </c>
      <c r="B25" s="17" t="n">
        <v>2669</v>
      </c>
      <c r="C25" s="18">
        <f>(2359.0/B25*100)</f>
        <v/>
      </c>
      <c r="D25" s="19" t="n">
        <v>310</v>
      </c>
      <c r="E25" s="18" t="n">
        <v>34.3656269</v>
      </c>
      <c r="F25" s="20" t="n">
        <v>2.78552066</v>
      </c>
      <c r="G25" s="18" t="n">
        <v>65.05894326000001</v>
      </c>
      <c r="H25" s="20" t="n">
        <v>2.81905085</v>
      </c>
      <c r="I25" s="18" t="n">
        <v>0</v>
      </c>
      <c r="J25" s="20" t="n">
        <v>0</v>
      </c>
      <c r="K25" s="18" t="n">
        <v>0.57542984</v>
      </c>
      <c r="L25" s="20" t="n">
        <v>0.4117318</v>
      </c>
      <c r="M25" s="18" t="n">
        <v>0</v>
      </c>
      <c r="N25" s="20" t="n">
        <v>0</v>
      </c>
      <c r="O25" s="18" t="n">
        <v>0</v>
      </c>
      <c r="P25" s="20" t="n">
        <v>0</v>
      </c>
      <c r="Q25" s="18" t="n">
        <v>0</v>
      </c>
      <c r="R25" s="20" t="n">
        <v>0</v>
      </c>
    </row>
    <row r="26" spans="1:18">
      <c r="A26" s="15" t="s">
        <v>584</v>
      </c>
      <c r="B26" s="17" t="n">
        <v>2419</v>
      </c>
      <c r="C26" s="18">
        <f>(2151.0/B26*100)</f>
        <v/>
      </c>
      <c r="D26" s="19" t="n">
        <v>268</v>
      </c>
      <c r="E26" s="18" t="n">
        <v>21.23292505</v>
      </c>
      <c r="F26" s="20" t="n">
        <v>2.96186685</v>
      </c>
      <c r="G26" s="18" t="n">
        <v>78.76707494999999</v>
      </c>
      <c r="H26" s="20" t="n">
        <v>2.96186685</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(2412.0/B27*100)</f>
        <v/>
      </c>
      <c r="D27" s="19" t="n">
        <v>271</v>
      </c>
      <c r="E27" s="18" t="n">
        <v>26.58839192</v>
      </c>
      <c r="F27" s="20" t="n">
        <v>2.43867751</v>
      </c>
      <c r="G27" s="18" t="n">
        <v>72.32042091</v>
      </c>
      <c r="H27" s="20" t="n">
        <v>2.48159122</v>
      </c>
      <c r="I27" s="18" t="n">
        <v>0</v>
      </c>
      <c r="J27" s="20" t="n">
        <v>0</v>
      </c>
      <c r="K27" s="18" t="n">
        <v>1.09118716</v>
      </c>
      <c r="L27" s="20" t="n">
        <v>0.62499408</v>
      </c>
      <c r="M27" s="18" t="n">
        <v>0</v>
      </c>
      <c r="N27" s="20" t="n">
        <v>0</v>
      </c>
      <c r="O27" s="18" t="n">
        <v>0</v>
      </c>
      <c r="P27" s="20" t="n">
        <v>0</v>
      </c>
      <c r="Q27" s="18" t="n">
        <v>0</v>
      </c>
      <c r="R27" s="20" t="n">
        <v>0</v>
      </c>
    </row>
    <row r="28" spans="1:18">
      <c r="A28" s="15" t="s">
        <v>586</v>
      </c>
      <c r="B28" s="17" t="n">
        <v>3803</v>
      </c>
      <c r="C28" s="18">
        <f>(3430.0/B28*100)</f>
        <v/>
      </c>
      <c r="D28" s="19" t="n">
        <v>373</v>
      </c>
      <c r="E28" s="18" t="n">
        <v>39.56328542</v>
      </c>
      <c r="F28" s="20" t="n">
        <v>3.22275948</v>
      </c>
      <c r="G28" s="18" t="n">
        <v>59.48406227</v>
      </c>
      <c r="H28" s="20" t="n">
        <v>3.27132969</v>
      </c>
      <c r="I28" s="18" t="n">
        <v>0</v>
      </c>
      <c r="J28" s="20" t="n">
        <v>0</v>
      </c>
      <c r="K28" s="18" t="n">
        <v>0.9526523099999999</v>
      </c>
      <c r="L28" s="20" t="n">
        <v>0.5869738799999999</v>
      </c>
      <c r="M28" s="18" t="n">
        <v>0</v>
      </c>
      <c r="N28" s="20" t="n">
        <v>0</v>
      </c>
      <c r="O28" s="18" t="n">
        <v>0</v>
      </c>
      <c r="P28" s="20" t="n">
        <v>0</v>
      </c>
      <c r="Q28" s="18" t="n">
        <v>0</v>
      </c>
      <c r="R28" s="20" t="n">
        <v>0</v>
      </c>
    </row>
    <row r="29" spans="1:18">
      <c r="A29" s="15" t="s">
        <v>587</v>
      </c>
      <c r="B29" s="17" t="n">
        <v>2700</v>
      </c>
      <c r="C29" s="18">
        <f>(2344.0/B29*100)</f>
        <v/>
      </c>
      <c r="D29" s="19" t="n">
        <v>356</v>
      </c>
      <c r="E29" s="18" t="n">
        <v>38.03549503</v>
      </c>
      <c r="F29" s="20" t="n">
        <v>2.29639245</v>
      </c>
      <c r="G29" s="18" t="n">
        <v>61.11686664</v>
      </c>
      <c r="H29" s="20" t="n">
        <v>2.37128737</v>
      </c>
      <c r="I29" s="18" t="n">
        <v>0</v>
      </c>
      <c r="J29" s="20" t="n">
        <v>0</v>
      </c>
      <c r="K29" s="18" t="n">
        <v>0.29718679</v>
      </c>
      <c r="L29" s="20" t="n">
        <v>0.32948504</v>
      </c>
      <c r="M29" s="18" t="n">
        <v>0</v>
      </c>
      <c r="N29" s="20" t="n">
        <v>0</v>
      </c>
      <c r="O29" s="18" t="n">
        <v>0</v>
      </c>
      <c r="P29" s="20" t="n">
        <v>0</v>
      </c>
      <c r="Q29" s="18" t="n">
        <v>0.55045153</v>
      </c>
      <c r="R29" s="20" t="n">
        <v>0.38183251</v>
      </c>
    </row>
    <row r="30" spans="1:18">
      <c r="A30" s="15" t="s">
        <v>588</v>
      </c>
      <c r="B30" s="17" t="n">
        <v>2257</v>
      </c>
      <c r="C30" s="18">
        <f>(2018.0/B30*100)</f>
        <v/>
      </c>
      <c r="D30" s="19" t="n">
        <v>239</v>
      </c>
      <c r="E30" s="18" t="n">
        <v>21.16270799</v>
      </c>
      <c r="F30" s="20" t="n">
        <v>2.63415388</v>
      </c>
      <c r="G30" s="18" t="n">
        <v>76.54473839000001</v>
      </c>
      <c r="H30" s="20" t="n">
        <v>2.8662703</v>
      </c>
      <c r="I30" s="18" t="n">
        <v>0</v>
      </c>
      <c r="J30" s="20" t="n">
        <v>0</v>
      </c>
      <c r="K30" s="18" t="n">
        <v>1.78890033</v>
      </c>
      <c r="L30" s="20" t="n">
        <v>0.9226490899999999</v>
      </c>
      <c r="M30" s="18" t="n">
        <v>0</v>
      </c>
      <c r="N30" s="20" t="n">
        <v>0</v>
      </c>
      <c r="O30" s="18" t="n">
        <v>0</v>
      </c>
      <c r="P30" s="20" t="n">
        <v>0</v>
      </c>
      <c r="Q30" s="18" t="n">
        <v>0.50365329</v>
      </c>
      <c r="R30" s="20" t="n">
        <v>0.5025322800000001</v>
      </c>
    </row>
    <row r="31" spans="1:18">
      <c r="A31" s="15" t="s">
        <v>589</v>
      </c>
      <c r="B31" s="17" t="n">
        <v>2706</v>
      </c>
      <c r="C31" s="18">
        <f>(2411.0/B31*100)</f>
        <v/>
      </c>
      <c r="D31" s="19" t="n">
        <v>295</v>
      </c>
      <c r="E31" s="18" t="n">
        <v>20.52317558</v>
      </c>
      <c r="F31" s="20" t="n">
        <v>2.93464934</v>
      </c>
      <c r="G31" s="18" t="n">
        <v>76.06343056</v>
      </c>
      <c r="H31" s="20" t="n">
        <v>3.16708234</v>
      </c>
      <c r="I31" s="18" t="n">
        <v>0</v>
      </c>
      <c r="J31" s="20" t="n">
        <v>0</v>
      </c>
      <c r="K31" s="18" t="n">
        <v>2.35830074</v>
      </c>
      <c r="L31" s="20" t="n">
        <v>0.9769045</v>
      </c>
      <c r="M31" s="18" t="n">
        <v>0</v>
      </c>
      <c r="N31" s="20" t="n">
        <v>0</v>
      </c>
      <c r="O31" s="18" t="n">
        <v>0</v>
      </c>
      <c r="P31" s="20" t="n">
        <v>0</v>
      </c>
      <c r="Q31" s="18" t="n">
        <v>1.05509312</v>
      </c>
      <c r="R31" s="20" t="n">
        <v>0.61006637</v>
      </c>
    </row>
    <row r="32" spans="1:18">
      <c r="A32" s="15" t="s">
        <v>590</v>
      </c>
      <c r="B32" s="17" t="n">
        <v>2209</v>
      </c>
      <c r="C32" s="18">
        <f>(1964.0/B32*100)</f>
        <v/>
      </c>
      <c r="D32" s="19" t="n">
        <v>245</v>
      </c>
      <c r="E32" s="18" t="n">
        <v>18.87945244</v>
      </c>
      <c r="F32" s="20" t="n">
        <v>2.74739108</v>
      </c>
      <c r="G32" s="18" t="n">
        <v>80.74956613000001</v>
      </c>
      <c r="H32" s="20" t="n">
        <v>2.75369097</v>
      </c>
      <c r="I32" s="18" t="n">
        <v>0</v>
      </c>
      <c r="J32" s="20" t="n">
        <v>0</v>
      </c>
      <c r="K32" s="18" t="n">
        <v>0.37098143</v>
      </c>
      <c r="L32" s="20" t="n">
        <v>0.38018433</v>
      </c>
      <c r="M32" s="18" t="n">
        <v>0</v>
      </c>
      <c r="N32" s="20" t="n">
        <v>0</v>
      </c>
      <c r="O32" s="18" t="n">
        <v>0</v>
      </c>
      <c r="P32" s="20" t="n">
        <v>0</v>
      </c>
      <c r="Q32" s="18" t="n">
        <v>0</v>
      </c>
      <c r="R32" s="20" t="n">
        <v>0</v>
      </c>
    </row>
    <row r="33" spans="1:18">
      <c r="A33" s="15" t="s">
        <v>591</v>
      </c>
      <c r="B33" s="17" t="n">
        <v>3651</v>
      </c>
      <c r="C33" s="18">
        <f>(3290.0/B33*100)</f>
        <v/>
      </c>
      <c r="D33" s="19" t="n">
        <v>361</v>
      </c>
      <c r="E33" s="18" t="n">
        <v>23.52343712</v>
      </c>
      <c r="F33" s="20" t="n">
        <v>2.65196002</v>
      </c>
      <c r="G33" s="18" t="n">
        <v>74.88714132</v>
      </c>
      <c r="H33" s="20" t="n">
        <v>2.70818151</v>
      </c>
      <c r="I33" s="18" t="n">
        <v>0</v>
      </c>
      <c r="J33" s="20" t="n">
        <v>0</v>
      </c>
      <c r="K33" s="18" t="n">
        <v>1.23201739</v>
      </c>
      <c r="L33" s="20" t="n">
        <v>0.65339189</v>
      </c>
      <c r="M33" s="18" t="n">
        <v>0</v>
      </c>
      <c r="N33" s="20" t="n">
        <v>0</v>
      </c>
      <c r="O33" s="18" t="n">
        <v>0</v>
      </c>
      <c r="P33" s="20" t="n">
        <v>0</v>
      </c>
      <c r="Q33" s="18" t="n">
        <v>0.35740417</v>
      </c>
      <c r="R33" s="20" t="n">
        <v>0.248048</v>
      </c>
    </row>
    <row r="34" spans="1:18">
      <c r="A34" s="15" t="s">
        <v>592</v>
      </c>
      <c r="B34" s="17" t="n">
        <v>3035</v>
      </c>
      <c r="C34" s="18">
        <f>(2674.0/B34*100)</f>
        <v/>
      </c>
      <c r="D34" s="19" t="n">
        <v>361</v>
      </c>
      <c r="E34" s="18" t="n">
        <v>41.3369227</v>
      </c>
      <c r="F34" s="20" t="n">
        <v>3.91578134</v>
      </c>
      <c r="G34" s="18" t="n">
        <v>57.44401671</v>
      </c>
      <c r="H34" s="20" t="n">
        <v>3.97297027</v>
      </c>
      <c r="I34" s="18" t="n">
        <v>0</v>
      </c>
      <c r="J34" s="20" t="n">
        <v>0</v>
      </c>
      <c r="K34" s="18" t="n">
        <v>0.6762540500000001</v>
      </c>
      <c r="L34" s="20" t="n">
        <v>0.46930156</v>
      </c>
      <c r="M34" s="18" t="n">
        <v>0</v>
      </c>
      <c r="N34" s="20" t="n">
        <v>0</v>
      </c>
      <c r="O34" s="18" t="n">
        <v>0</v>
      </c>
      <c r="P34" s="20" t="n">
        <v>0</v>
      </c>
      <c r="Q34" s="18" t="n">
        <v>0.54280655</v>
      </c>
      <c r="R34" s="20" t="n">
        <v>0.37990079</v>
      </c>
    </row>
    <row r="35" spans="1:18">
      <c r="A35" s="15" t="s">
        <v>593</v>
      </c>
      <c r="B35" s="17" t="n">
        <v>2901</v>
      </c>
      <c r="C35" s="18">
        <f>(2560.0/B35*100)</f>
        <v/>
      </c>
      <c r="D35" s="19" t="n">
        <v>341</v>
      </c>
      <c r="E35" s="18" t="n">
        <v>24.65860361</v>
      </c>
      <c r="F35" s="20" t="n">
        <v>2.68881753</v>
      </c>
      <c r="G35" s="18" t="n">
        <v>75.34139639</v>
      </c>
      <c r="H35" s="20" t="n">
        <v>2.68881753</v>
      </c>
      <c r="I35" s="18" t="n">
        <v>0</v>
      </c>
      <c r="J35" s="20" t="n">
        <v>0</v>
      </c>
      <c r="K35" s="18" t="n">
        <v>0</v>
      </c>
      <c r="L35" s="20" t="n">
        <v>0</v>
      </c>
      <c r="M35" s="18" t="n">
        <v>0</v>
      </c>
      <c r="N35" s="20" t="n">
        <v>0</v>
      </c>
      <c r="O35" s="18" t="n">
        <v>0</v>
      </c>
      <c r="P35" s="20" t="n">
        <v>0</v>
      </c>
      <c r="Q35" s="18" t="n">
        <v>0</v>
      </c>
      <c r="R35" s="20" t="n">
        <v>0</v>
      </c>
    </row>
    <row r="36" spans="1:18">
      <c r="A36" s="15" t="s">
        <v>594</v>
      </c>
      <c r="B36" s="17" t="n">
        <v>3404</v>
      </c>
      <c r="C36" s="18">
        <f>(3039.0/B36*100)</f>
        <v/>
      </c>
      <c r="D36" s="19" t="n">
        <v>365</v>
      </c>
      <c r="E36" s="18" t="n">
        <v>13.87787998</v>
      </c>
      <c r="F36" s="20" t="n">
        <v>1.95621042</v>
      </c>
      <c r="G36" s="18" t="n">
        <v>85.49176389</v>
      </c>
      <c r="H36" s="20" t="n">
        <v>1.94261436</v>
      </c>
      <c r="I36" s="18" t="n">
        <v>0</v>
      </c>
      <c r="J36" s="20" t="n">
        <v>0</v>
      </c>
      <c r="K36" s="18" t="n">
        <v>0.63035613</v>
      </c>
      <c r="L36" s="20" t="n">
        <v>0.4326989</v>
      </c>
      <c r="M36" s="18" t="n">
        <v>0</v>
      </c>
      <c r="N36" s="20" t="n">
        <v>0</v>
      </c>
      <c r="O36" s="18" t="n">
        <v>0</v>
      </c>
      <c r="P36" s="20" t="n">
        <v>0</v>
      </c>
      <c r="Q36" s="18" t="n">
        <v>0</v>
      </c>
      <c r="R36" s="20" t="n">
        <v>0</v>
      </c>
    </row>
    <row r="37" spans="1:18">
      <c r="A37" s="15" t="s">
        <v>595</v>
      </c>
      <c r="B37" s="17" t="n">
        <v>2731</v>
      </c>
      <c r="C37" s="18">
        <f>(2464.0/B37*100)</f>
        <v/>
      </c>
      <c r="D37" s="19" t="n">
        <v>267</v>
      </c>
      <c r="E37" s="18" t="n">
        <v>30.09116414</v>
      </c>
      <c r="F37" s="20" t="n">
        <v>3.0050555</v>
      </c>
      <c r="G37" s="18" t="n">
        <v>66.99223092</v>
      </c>
      <c r="H37" s="20" t="n">
        <v>3.16909081</v>
      </c>
      <c r="I37" s="18" t="n">
        <v>0</v>
      </c>
      <c r="J37" s="20" t="n">
        <v>0</v>
      </c>
      <c r="K37" s="18" t="n">
        <v>1.95021829</v>
      </c>
      <c r="L37" s="20" t="n">
        <v>0.84136124</v>
      </c>
      <c r="M37" s="18" t="n">
        <v>0</v>
      </c>
      <c r="N37" s="20" t="n">
        <v>0</v>
      </c>
      <c r="O37" s="18" t="n">
        <v>0</v>
      </c>
      <c r="P37" s="20" t="n">
        <v>0</v>
      </c>
      <c r="Q37" s="18" t="n">
        <v>0.96638665</v>
      </c>
      <c r="R37" s="20" t="n">
        <v>0.6372645300000001</v>
      </c>
    </row>
    <row r="38" spans="1:18">
      <c r="A38" s="15" t="s">
        <v>596</v>
      </c>
      <c r="B38" s="17" t="n">
        <v>2807</v>
      </c>
      <c r="C38" s="18">
        <f>(2516.0/B38*100)</f>
        <v/>
      </c>
      <c r="D38" s="19" t="n">
        <v>291</v>
      </c>
      <c r="E38" s="18" t="n">
        <v>21.47121334</v>
      </c>
      <c r="F38" s="20" t="n">
        <v>2.56257588</v>
      </c>
      <c r="G38" s="18" t="n">
        <v>77.57302704</v>
      </c>
      <c r="H38" s="20" t="n">
        <v>2.5264574</v>
      </c>
      <c r="I38" s="18" t="n">
        <v>0</v>
      </c>
      <c r="J38" s="20" t="n">
        <v>0</v>
      </c>
      <c r="K38" s="18" t="n">
        <v>0.70307099</v>
      </c>
      <c r="L38" s="20" t="n">
        <v>0.49446827</v>
      </c>
      <c r="M38" s="18" t="n">
        <v>0</v>
      </c>
      <c r="N38" s="20" t="n">
        <v>0</v>
      </c>
      <c r="O38" s="18" t="n">
        <v>0</v>
      </c>
      <c r="P38" s="20" t="n">
        <v>0</v>
      </c>
      <c r="Q38" s="18" t="n">
        <v>0.25268863</v>
      </c>
      <c r="R38" s="20" t="n">
        <v>0.26077891</v>
      </c>
    </row>
    <row r="39" spans="1:18">
      <c r="A39" s="15" t="s">
        <v>597</v>
      </c>
      <c r="B39" s="17" t="n">
        <v>2938</v>
      </c>
      <c r="C39" s="18">
        <f>(2616.0/B39*100)</f>
        <v/>
      </c>
      <c r="D39" s="19" t="n">
        <v>322</v>
      </c>
      <c r="E39" s="18" t="n">
        <v>41.84948709</v>
      </c>
      <c r="F39" s="20" t="n">
        <v>2.90419412</v>
      </c>
      <c r="G39" s="18" t="n">
        <v>57.6804838</v>
      </c>
      <c r="H39" s="20" t="n">
        <v>2.97685999</v>
      </c>
      <c r="I39" s="18" t="n">
        <v>0</v>
      </c>
      <c r="J39" s="20" t="n">
        <v>0</v>
      </c>
      <c r="K39" s="18" t="n">
        <v>0.47002911</v>
      </c>
      <c r="L39" s="20" t="n">
        <v>0.38062574</v>
      </c>
      <c r="M39" s="18" t="n">
        <v>0</v>
      </c>
      <c r="N39" s="20" t="n">
        <v>0</v>
      </c>
      <c r="O39" s="18" t="n">
        <v>0</v>
      </c>
      <c r="P39" s="20" t="n">
        <v>0</v>
      </c>
      <c r="Q39" s="18" t="n">
        <v>0</v>
      </c>
      <c r="R39" s="20" t="n">
        <v>0</v>
      </c>
    </row>
    <row r="40" spans="1:18">
      <c r="A40" s="15" t="s">
        <v>598</v>
      </c>
      <c r="B40" s="17" t="n">
        <v>6922</v>
      </c>
      <c r="C40" s="18">
        <f>(6134.0/B40*100)</f>
        <v/>
      </c>
      <c r="D40" s="19" t="n">
        <v>788</v>
      </c>
      <c r="E40" s="18" t="n">
        <v>20.12006113</v>
      </c>
      <c r="F40" s="20" t="n">
        <v>2.03457329</v>
      </c>
      <c r="G40" s="18" t="n">
        <v>79.17372958999999</v>
      </c>
      <c r="H40" s="20" t="n">
        <v>2.11575294</v>
      </c>
      <c r="I40" s="18" t="n">
        <v>0</v>
      </c>
      <c r="J40" s="20" t="n">
        <v>0</v>
      </c>
      <c r="K40" s="18" t="n">
        <v>0.66084463</v>
      </c>
      <c r="L40" s="20" t="n">
        <v>0.37783074</v>
      </c>
      <c r="M40" s="18" t="n">
        <v>0</v>
      </c>
      <c r="N40" s="20" t="n">
        <v>0</v>
      </c>
      <c r="O40" s="18" t="n">
        <v>0</v>
      </c>
      <c r="P40" s="20" t="n">
        <v>0</v>
      </c>
      <c r="Q40" s="18" t="n">
        <v>0.04536464</v>
      </c>
      <c r="R40" s="20" t="n">
        <v>0.02630341</v>
      </c>
    </row>
    <row r="41" spans="1:18">
      <c r="A41" s="15" t="s">
        <v>599</v>
      </c>
      <c r="B41" s="17" t="n">
        <v>2854</v>
      </c>
      <c r="C41" s="18">
        <f>(2564.0/B41*100)</f>
        <v/>
      </c>
      <c r="D41" s="19" t="n">
        <v>290</v>
      </c>
      <c r="E41" s="18" t="n">
        <v>20.00022592</v>
      </c>
      <c r="F41" s="20" t="n">
        <v>2.22515958</v>
      </c>
      <c r="G41" s="18" t="n">
        <v>78.42227506</v>
      </c>
      <c r="H41" s="20" t="n">
        <v>2.34165231</v>
      </c>
      <c r="I41" s="18" t="n">
        <v>0</v>
      </c>
      <c r="J41" s="20" t="n">
        <v>0</v>
      </c>
      <c r="K41" s="18" t="n">
        <v>1.29092879</v>
      </c>
      <c r="L41" s="20" t="n">
        <v>0.67990994</v>
      </c>
      <c r="M41" s="18" t="n">
        <v>0</v>
      </c>
      <c r="N41" s="20" t="n">
        <v>0</v>
      </c>
      <c r="O41" s="18" t="n">
        <v>0</v>
      </c>
      <c r="P41" s="20" t="n">
        <v>0</v>
      </c>
      <c r="Q41" s="18" t="n">
        <v>0.28657023</v>
      </c>
      <c r="R41" s="20" t="n">
        <v>0.28388269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(11165.0/B46*100)</f>
        <v/>
      </c>
      <c r="D46" s="19" t="n">
        <v>908</v>
      </c>
      <c r="E46" s="18" t="n">
        <v>57.79085172</v>
      </c>
      <c r="F46" s="20" t="n">
        <v>2.40211343</v>
      </c>
      <c r="G46" s="18" t="n">
        <v>38.05836894</v>
      </c>
      <c r="H46" s="20" t="n">
        <v>2.45654006</v>
      </c>
      <c r="I46" s="18" t="n">
        <v>0</v>
      </c>
      <c r="J46" s="20" t="n">
        <v>0</v>
      </c>
      <c r="K46" s="18" t="n">
        <v>3.01942091</v>
      </c>
      <c r="L46" s="20" t="n">
        <v>0.74342534</v>
      </c>
      <c r="M46" s="18" t="n">
        <v>0</v>
      </c>
      <c r="N46" s="20" t="n">
        <v>0</v>
      </c>
      <c r="O46" s="18" t="n">
        <v>0</v>
      </c>
      <c r="P46" s="20" t="n">
        <v>0</v>
      </c>
      <c r="Q46" s="18" t="n">
        <v>1.13135844</v>
      </c>
      <c r="R46" s="20" t="n">
        <v>0.49029676</v>
      </c>
    </row>
    <row r="47" spans="1:18">
      <c r="A47" s="15" t="s">
        <v>606</v>
      </c>
      <c r="B47" s="17" t="n">
        <v>2823</v>
      </c>
      <c r="C47" s="18">
        <f>(2558.0/B47*100)</f>
        <v/>
      </c>
      <c r="D47" s="19" t="n">
        <v>265</v>
      </c>
      <c r="E47" s="18" t="n">
        <v>46.13430676</v>
      </c>
      <c r="F47" s="20" t="n">
        <v>3.45143183</v>
      </c>
      <c r="G47" s="18" t="n">
        <v>50.96619188</v>
      </c>
      <c r="H47" s="20" t="n">
        <v>3.36130932</v>
      </c>
      <c r="I47" s="18" t="n">
        <v>0</v>
      </c>
      <c r="J47" s="20" t="n">
        <v>0</v>
      </c>
      <c r="K47" s="18" t="n">
        <v>2.16267665</v>
      </c>
      <c r="L47" s="20" t="n">
        <v>0.83468656</v>
      </c>
      <c r="M47" s="18" t="n">
        <v>0</v>
      </c>
      <c r="N47" s="20" t="n">
        <v>0</v>
      </c>
      <c r="O47" s="18" t="n">
        <v>0</v>
      </c>
      <c r="P47" s="20" t="n">
        <v>0</v>
      </c>
      <c r="Q47" s="18" t="n">
        <v>0.73682471</v>
      </c>
      <c r="R47" s="20" t="n">
        <v>0.53075763</v>
      </c>
    </row>
    <row r="48" spans="1:18">
      <c r="A48" s="15" t="s">
        <v>607</v>
      </c>
      <c r="B48" s="17" t="n">
        <v>4682</v>
      </c>
      <c r="C48" s="18">
        <f>(4160.0/B48*100)</f>
        <v/>
      </c>
      <c r="D48" s="19" t="n">
        <v>522</v>
      </c>
      <c r="E48" s="18" t="n">
        <v>17.02492645</v>
      </c>
      <c r="F48" s="20" t="n">
        <v>1.9262772</v>
      </c>
      <c r="G48" s="18" t="n">
        <v>82.09155133</v>
      </c>
      <c r="H48" s="20" t="n">
        <v>1.97049916</v>
      </c>
      <c r="I48" s="18" t="n">
        <v>0</v>
      </c>
      <c r="J48" s="20" t="n">
        <v>0</v>
      </c>
      <c r="K48" s="18" t="n">
        <v>0.58856442</v>
      </c>
      <c r="L48" s="20" t="n">
        <v>0.41922295</v>
      </c>
      <c r="M48" s="18" t="n">
        <v>0</v>
      </c>
      <c r="N48" s="20" t="n">
        <v>0</v>
      </c>
      <c r="O48" s="18" t="n">
        <v>0</v>
      </c>
      <c r="P48" s="20" t="n">
        <v>0</v>
      </c>
      <c r="Q48" s="18" t="n">
        <v>0.2949578</v>
      </c>
      <c r="R48" s="20" t="n">
        <v>0.29613172</v>
      </c>
    </row>
    <row r="49" spans="1:18">
      <c r="A49" s="15" t="s">
        <v>608</v>
      </c>
      <c r="B49" s="17" t="n">
        <v>6158</v>
      </c>
      <c r="C49" s="18">
        <f>(5524.0/B49*100)</f>
        <v/>
      </c>
      <c r="D49" s="19" t="n">
        <v>634</v>
      </c>
      <c r="E49" s="18" t="n">
        <v>24.61820412</v>
      </c>
      <c r="F49" s="20" t="n">
        <v>2.16337088</v>
      </c>
      <c r="G49" s="18" t="n">
        <v>69.32751813</v>
      </c>
      <c r="H49" s="20" t="n">
        <v>2.32374962</v>
      </c>
      <c r="I49" s="18" t="n">
        <v>0</v>
      </c>
      <c r="J49" s="20" t="n">
        <v>0</v>
      </c>
      <c r="K49" s="18" t="n">
        <v>6.04983648</v>
      </c>
      <c r="L49" s="20" t="n">
        <v>1.44606922</v>
      </c>
      <c r="M49" s="18" t="n">
        <v>0</v>
      </c>
      <c r="N49" s="20" t="n">
        <v>0</v>
      </c>
      <c r="O49" s="18" t="n">
        <v>0</v>
      </c>
      <c r="P49" s="20" t="n">
        <v>0</v>
      </c>
      <c r="Q49" s="18" t="n">
        <v>0.00444127</v>
      </c>
      <c r="R49" s="20" t="n">
        <v>0.00445748</v>
      </c>
    </row>
    <row r="50" spans="1:18">
      <c r="A50" s="15" t="s">
        <v>609</v>
      </c>
      <c r="B50" s="17" t="n">
        <v>3494</v>
      </c>
      <c r="C50" s="18">
        <f>(2846.0/B50*100)</f>
        <v/>
      </c>
      <c r="D50" s="19" t="n">
        <v>648</v>
      </c>
      <c r="E50" s="18" t="n">
        <v>29.14133922</v>
      </c>
      <c r="F50" s="20" t="n">
        <v>2.10003196</v>
      </c>
      <c r="G50" s="18" t="n">
        <v>69.70628376000001</v>
      </c>
      <c r="H50" s="20" t="n">
        <v>2.12158806</v>
      </c>
      <c r="I50" s="18" t="n">
        <v>0</v>
      </c>
      <c r="J50" s="20" t="n">
        <v>0</v>
      </c>
      <c r="K50" s="18" t="n">
        <v>0.55734208</v>
      </c>
      <c r="L50" s="20" t="n">
        <v>0.25377344</v>
      </c>
      <c r="M50" s="18" t="n">
        <v>0</v>
      </c>
      <c r="N50" s="20" t="n">
        <v>0</v>
      </c>
      <c r="O50" s="18" t="n">
        <v>0</v>
      </c>
      <c r="P50" s="20" t="n">
        <v>0</v>
      </c>
      <c r="Q50" s="18" t="n">
        <v>0.59503495</v>
      </c>
      <c r="R50" s="20" t="n">
        <v>0.32619547</v>
      </c>
    </row>
    <row r="51" spans="1:18">
      <c r="A51" s="15" t="s">
        <v>610</v>
      </c>
      <c r="B51" s="17" t="n">
        <v>3013</v>
      </c>
      <c r="C51" s="18">
        <f>(2688.0/B51*100)</f>
        <v/>
      </c>
      <c r="D51" s="19" t="n">
        <v>325</v>
      </c>
      <c r="E51" s="18" t="n">
        <v>30.33448707</v>
      </c>
      <c r="F51" s="20" t="n">
        <v>2.6136376</v>
      </c>
      <c r="G51" s="18" t="n">
        <v>68.87352029</v>
      </c>
      <c r="H51" s="20" t="n">
        <v>2.56045081</v>
      </c>
      <c r="I51" s="18" t="n">
        <v>0</v>
      </c>
      <c r="J51" s="20" t="n">
        <v>0</v>
      </c>
      <c r="K51" s="18" t="n">
        <v>0.43291617</v>
      </c>
      <c r="L51" s="20" t="n">
        <v>0.43462329</v>
      </c>
      <c r="M51" s="18" t="n">
        <v>0</v>
      </c>
      <c r="N51" s="20" t="n">
        <v>0</v>
      </c>
      <c r="O51" s="18" t="n">
        <v>0</v>
      </c>
      <c r="P51" s="20" t="n">
        <v>0</v>
      </c>
      <c r="Q51" s="18" t="n">
        <v>0.35907647</v>
      </c>
      <c r="R51" s="20" t="n">
        <v>0.35787942</v>
      </c>
    </row>
    <row r="52" spans="1:18">
      <c r="A52" s="15" t="s">
        <v>611</v>
      </c>
      <c r="B52" s="17" t="n">
        <v>2760</v>
      </c>
      <c r="C52" s="18">
        <f>(2442.0/B52*100)</f>
        <v/>
      </c>
      <c r="D52" s="19" t="n">
        <v>318</v>
      </c>
      <c r="E52" s="18" t="n">
        <v>27.10003952</v>
      </c>
      <c r="F52" s="20" t="n">
        <v>2.84859198</v>
      </c>
      <c r="G52" s="18" t="n">
        <v>72.25739014</v>
      </c>
      <c r="H52" s="20" t="n">
        <v>2.84571385</v>
      </c>
      <c r="I52" s="18" t="n">
        <v>0</v>
      </c>
      <c r="J52" s="20" t="n">
        <v>0</v>
      </c>
      <c r="K52" s="18" t="n">
        <v>0.20994704</v>
      </c>
      <c r="L52" s="20" t="n">
        <v>0.20973695</v>
      </c>
      <c r="M52" s="18" t="n">
        <v>0</v>
      </c>
      <c r="N52" s="20" t="n">
        <v>0</v>
      </c>
      <c r="O52" s="18" t="n">
        <v>0</v>
      </c>
      <c r="P52" s="20" t="n">
        <v>0</v>
      </c>
      <c r="Q52" s="18" t="n">
        <v>0.4326233</v>
      </c>
      <c r="R52" s="20" t="n">
        <v>0.42822689</v>
      </c>
    </row>
    <row r="53" spans="1:18">
      <c r="A53" s="15" t="s">
        <v>612</v>
      </c>
      <c r="B53" s="17" t="n">
        <v>2474</v>
      </c>
      <c r="C53" s="18">
        <f>(2210.0/B53*100)</f>
        <v/>
      </c>
      <c r="D53" s="19" t="n">
        <v>264</v>
      </c>
      <c r="E53" s="18" t="n">
        <v>48.43494152</v>
      </c>
      <c r="F53" s="20" t="n">
        <v>3.44841951</v>
      </c>
      <c r="G53" s="18" t="n">
        <v>20.18114844</v>
      </c>
      <c r="H53" s="20" t="n">
        <v>2.54021759</v>
      </c>
      <c r="I53" s="18" t="n">
        <v>0</v>
      </c>
      <c r="J53" s="20" t="n">
        <v>0</v>
      </c>
      <c r="K53" s="18" t="n">
        <v>30.17227621</v>
      </c>
      <c r="L53" s="20" t="n">
        <v>3.02541472</v>
      </c>
      <c r="M53" s="18" t="n">
        <v>0</v>
      </c>
      <c r="N53" s="20" t="n">
        <v>0</v>
      </c>
      <c r="O53" s="18" t="n">
        <v>0</v>
      </c>
      <c r="P53" s="20" t="n">
        <v>0</v>
      </c>
      <c r="Q53" s="18" t="n">
        <v>1.21163382</v>
      </c>
      <c r="R53" s="20" t="n">
        <v>0.67947914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(2386.0/B55*100)</f>
        <v/>
      </c>
      <c r="D55" s="19" t="n">
        <v>289</v>
      </c>
      <c r="E55" s="18" t="n">
        <v>18.35088004</v>
      </c>
      <c r="F55" s="20" t="n">
        <v>3.09557562</v>
      </c>
      <c r="G55" s="18" t="n">
        <v>80.69821143999999</v>
      </c>
      <c r="H55" s="20" t="n">
        <v>3.29962283</v>
      </c>
      <c r="I55" s="18" t="n">
        <v>0</v>
      </c>
      <c r="J55" s="20" t="n">
        <v>0</v>
      </c>
      <c r="K55" s="18" t="n">
        <v>0.95090852</v>
      </c>
      <c r="L55" s="20" t="n">
        <v>0.71063506</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(2838.0/B61*100)</f>
        <v/>
      </c>
      <c r="D61" s="19" t="n">
        <v>363</v>
      </c>
      <c r="E61" s="18" t="n">
        <v>29.31822142</v>
      </c>
      <c r="F61" s="20" t="n">
        <v>2.40918598</v>
      </c>
      <c r="G61" s="18" t="n">
        <v>69.85090508</v>
      </c>
      <c r="H61" s="20" t="n">
        <v>2.43186736</v>
      </c>
      <c r="I61" s="18" t="n">
        <v>0</v>
      </c>
      <c r="J61" s="20" t="n">
        <v>0</v>
      </c>
      <c r="K61" s="18" t="n">
        <v>0.8308735</v>
      </c>
      <c r="L61" s="20" t="n">
        <v>0.48962821</v>
      </c>
      <c r="M61" s="18" t="n">
        <v>0</v>
      </c>
      <c r="N61" s="20" t="n">
        <v>0</v>
      </c>
      <c r="O61" s="18" t="n">
        <v>0</v>
      </c>
      <c r="P61" s="20" t="n">
        <v>0</v>
      </c>
      <c r="Q61" s="18" t="n">
        <v>0</v>
      </c>
      <c r="R61" s="20" t="n">
        <v>0</v>
      </c>
    </row>
    <row r="62" spans="1:18">
      <c r="A62" s="15" t="s">
        <v>622</v>
      </c>
      <c r="B62" s="17" t="n">
        <v>2230</v>
      </c>
      <c r="C62" s="18">
        <f>(1986.0/B62*100)</f>
        <v/>
      </c>
      <c r="D62" s="19" t="n">
        <v>244</v>
      </c>
      <c r="E62" s="18" t="n">
        <v>13.50926515</v>
      </c>
      <c r="F62" s="20" t="n">
        <v>2.47043659</v>
      </c>
      <c r="G62" s="18" t="n">
        <v>86.49073485</v>
      </c>
      <c r="H62" s="20" t="n">
        <v>2.47043659</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(2487.0/B67*100)</f>
        <v/>
      </c>
      <c r="D67" s="19" t="n">
        <v>284</v>
      </c>
      <c r="E67" s="18" t="n">
        <v>52.54787419</v>
      </c>
      <c r="F67" s="20" t="n">
        <v>3.18054955</v>
      </c>
      <c r="G67" s="18" t="n">
        <v>44.6572147</v>
      </c>
      <c r="H67" s="20" t="n">
        <v>3.00405316</v>
      </c>
      <c r="I67" s="18" t="n">
        <v>0</v>
      </c>
      <c r="J67" s="20" t="n">
        <v>0</v>
      </c>
      <c r="K67" s="18" t="n">
        <v>2.17150457</v>
      </c>
      <c r="L67" s="20" t="n">
        <v>0.89330056</v>
      </c>
      <c r="M67" s="18" t="n">
        <v>0</v>
      </c>
      <c r="N67" s="20" t="n">
        <v>0</v>
      </c>
      <c r="O67" s="18" t="n">
        <v>0</v>
      </c>
      <c r="P67" s="20" t="n">
        <v>0</v>
      </c>
      <c r="Q67" s="18" t="n">
        <v>0.62340654</v>
      </c>
      <c r="R67" s="20" t="n">
        <v>0.44876357</v>
      </c>
    </row>
    <row r="68" spans="1:18">
      <c r="A68" s="15" t="s">
        <v>628</v>
      </c>
      <c r="B68" s="17" t="n">
        <v>3460</v>
      </c>
      <c r="C68" s="18">
        <f>(3187.0/B68*100)</f>
        <v/>
      </c>
      <c r="D68" s="19" t="n">
        <v>273</v>
      </c>
      <c r="E68" s="18" t="n">
        <v>51.3288658</v>
      </c>
      <c r="F68" s="20" t="n">
        <v>3.00926763</v>
      </c>
      <c r="G68" s="18" t="n">
        <v>47.96525607</v>
      </c>
      <c r="H68" s="20" t="n">
        <v>3.01091817</v>
      </c>
      <c r="I68" s="18" t="n">
        <v>0</v>
      </c>
      <c r="J68" s="20" t="n">
        <v>0</v>
      </c>
      <c r="K68" s="18" t="n">
        <v>0.70587813</v>
      </c>
      <c r="L68" s="20" t="n">
        <v>0.51791806</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(5361.0/B70*100)</f>
        <v/>
      </c>
      <c r="D70" s="19" t="n">
        <v>673</v>
      </c>
      <c r="E70" s="18" t="n">
        <v>41.08875308</v>
      </c>
      <c r="F70" s="20" t="n">
        <v>1.69728069</v>
      </c>
      <c r="G70" s="18" t="n">
        <v>52.99535136</v>
      </c>
      <c r="H70" s="20" t="n">
        <v>1.91100253</v>
      </c>
      <c r="I70" s="18" t="n">
        <v>0</v>
      </c>
      <c r="J70" s="20" t="n">
        <v>0</v>
      </c>
      <c r="K70" s="18" t="n">
        <v>5.25353581</v>
      </c>
      <c r="L70" s="20" t="n">
        <v>0.97411022</v>
      </c>
      <c r="M70" s="18" t="n">
        <v>0</v>
      </c>
      <c r="N70" s="20" t="n">
        <v>0</v>
      </c>
      <c r="O70" s="18" t="n">
        <v>0</v>
      </c>
      <c r="P70" s="20" t="n">
        <v>0</v>
      </c>
      <c r="Q70" s="18" t="n">
        <v>0.66235976</v>
      </c>
      <c r="R70" s="20" t="n">
        <v>0.33880695</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(2791.0/B72*100)</f>
        <v/>
      </c>
      <c r="D72" s="19" t="n">
        <v>316</v>
      </c>
      <c r="E72" s="18" t="n">
        <v>35.1898545</v>
      </c>
      <c r="F72" s="20" t="n">
        <v>3.25791234</v>
      </c>
      <c r="G72" s="18" t="n">
        <v>63.66849247</v>
      </c>
      <c r="H72" s="20" t="n">
        <v>3.16854528</v>
      </c>
      <c r="I72" s="18" t="n">
        <v>0</v>
      </c>
      <c r="J72" s="20" t="n">
        <v>0</v>
      </c>
      <c r="K72" s="18" t="n">
        <v>0.7824603999999999</v>
      </c>
      <c r="L72" s="20" t="n">
        <v>0.35932193</v>
      </c>
      <c r="M72" s="18" t="n">
        <v>0</v>
      </c>
      <c r="N72" s="20" t="n">
        <v>0</v>
      </c>
      <c r="O72" s="18" t="n">
        <v>0</v>
      </c>
      <c r="P72" s="20" t="n">
        <v>0</v>
      </c>
      <c r="Q72" s="18" t="n">
        <v>0.35919263</v>
      </c>
      <c r="R72" s="20" t="n">
        <v>0.35647036</v>
      </c>
    </row>
    <row r="73" spans="1:18">
      <c r="A73" s="15" t="s">
        <v>633</v>
      </c>
      <c r="B73" s="17" t="n">
        <v>2973</v>
      </c>
      <c r="C73" s="18">
        <f>(2654.0/B73*100)</f>
        <v/>
      </c>
      <c r="D73" s="19" t="n">
        <v>319</v>
      </c>
      <c r="E73" s="18" t="n">
        <v>19.20655512</v>
      </c>
      <c r="F73" s="20" t="n">
        <v>2.267567</v>
      </c>
      <c r="G73" s="18" t="n">
        <v>79.70200314</v>
      </c>
      <c r="H73" s="20" t="n">
        <v>2.3875264</v>
      </c>
      <c r="I73" s="18" t="n">
        <v>0</v>
      </c>
      <c r="J73" s="20" t="n">
        <v>0</v>
      </c>
      <c r="K73" s="18" t="n">
        <v>0.63997643</v>
      </c>
      <c r="L73" s="20" t="n">
        <v>0.46424754</v>
      </c>
      <c r="M73" s="18" t="n">
        <v>0</v>
      </c>
      <c r="N73" s="20" t="n">
        <v>0</v>
      </c>
      <c r="O73" s="18" t="n">
        <v>0</v>
      </c>
      <c r="P73" s="20" t="n">
        <v>0</v>
      </c>
      <c r="Q73" s="18" t="n">
        <v>0.4514653</v>
      </c>
      <c r="R73" s="20" t="n">
        <v>0.45395849</v>
      </c>
    </row>
    <row r="74" spans="1:18">
      <c r="A74" s="15" t="s">
        <v>634</v>
      </c>
      <c r="B74" s="17" t="n">
        <v>3819</v>
      </c>
      <c r="C74" s="18">
        <f>(3366.0/B74*100)</f>
        <v/>
      </c>
      <c r="D74" s="19" t="n">
        <v>453</v>
      </c>
      <c r="E74" s="18" t="n">
        <v>26.36710571</v>
      </c>
      <c r="F74" s="20" t="n">
        <v>1.97585321</v>
      </c>
      <c r="G74" s="18" t="n">
        <v>73.16954796</v>
      </c>
      <c r="H74" s="20" t="n">
        <v>1.99813804</v>
      </c>
      <c r="I74" s="18" t="n">
        <v>0</v>
      </c>
      <c r="J74" s="20" t="n">
        <v>0</v>
      </c>
      <c r="K74" s="18" t="n">
        <v>0.24236857</v>
      </c>
      <c r="L74" s="20" t="n">
        <v>0.24302914</v>
      </c>
      <c r="M74" s="18" t="n">
        <v>0</v>
      </c>
      <c r="N74" s="20" t="n">
        <v>0</v>
      </c>
      <c r="O74" s="18" t="n">
        <v>0</v>
      </c>
      <c r="P74" s="20" t="n">
        <v>0</v>
      </c>
      <c r="Q74" s="18" t="n">
        <v>0.22097776</v>
      </c>
      <c r="R74" s="20" t="n">
        <v>0.22007446</v>
      </c>
    </row>
    <row r="75" spans="1:18">
      <c r="A75" s="15" t="s">
        <v>635</v>
      </c>
      <c r="B75" s="17" t="n">
        <v>4652</v>
      </c>
      <c r="C75" s="18">
        <f>(4199.0/B75*100)</f>
        <v/>
      </c>
      <c r="D75" s="19" t="n">
        <v>453</v>
      </c>
      <c r="E75" s="18" t="n">
        <v>30.39818484</v>
      </c>
      <c r="F75" s="20" t="n">
        <v>2.50073851</v>
      </c>
      <c r="G75" s="18" t="n">
        <v>69.27837524</v>
      </c>
      <c r="H75" s="20" t="n">
        <v>2.46448031</v>
      </c>
      <c r="I75" s="18" t="n">
        <v>0</v>
      </c>
      <c r="J75" s="20" t="n">
        <v>0</v>
      </c>
      <c r="K75" s="18" t="n">
        <v>0</v>
      </c>
      <c r="L75" s="20" t="n">
        <v>0</v>
      </c>
      <c r="M75" s="18" t="n">
        <v>0</v>
      </c>
      <c r="N75" s="20" t="n">
        <v>0</v>
      </c>
      <c r="O75" s="18" t="n">
        <v>0</v>
      </c>
      <c r="P75" s="20" t="n">
        <v>0</v>
      </c>
      <c r="Q75" s="18" t="n">
        <v>0.32343992</v>
      </c>
      <c r="R75" s="20" t="n">
        <v>0.22225965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(2693.0/B77*100)</f>
        <v/>
      </c>
      <c r="D77" s="19" t="n">
        <v>276</v>
      </c>
      <c r="E77" s="18" t="n">
        <v>37.81455526</v>
      </c>
      <c r="F77" s="20" t="n">
        <v>2.90837258</v>
      </c>
      <c r="G77" s="18" t="n">
        <v>51.53422208</v>
      </c>
      <c r="H77" s="20" t="n">
        <v>2.93756297</v>
      </c>
      <c r="I77" s="18" t="n">
        <v>0</v>
      </c>
      <c r="J77" s="20" t="n">
        <v>0</v>
      </c>
      <c r="K77" s="18" t="n">
        <v>9.485422420000001</v>
      </c>
      <c r="L77" s="20" t="n">
        <v>1.75804475</v>
      </c>
      <c r="M77" s="18" t="n">
        <v>0</v>
      </c>
      <c r="N77" s="20" t="n">
        <v>0</v>
      </c>
      <c r="O77" s="18" t="n">
        <v>0</v>
      </c>
      <c r="P77" s="20" t="n">
        <v>0</v>
      </c>
      <c r="Q77" s="18" t="n">
        <v>1.16580023</v>
      </c>
      <c r="R77" s="20" t="n">
        <v>0.6762913699999999</v>
      </c>
    </row>
    <row r="78" spans="1:18">
      <c r="A78" s="15" t="s">
        <v>638</v>
      </c>
      <c r="B78" s="17" t="n">
        <v>7115</v>
      </c>
      <c r="C78" s="18">
        <f>(6299.0/B78*100)</f>
        <v/>
      </c>
      <c r="D78" s="19" t="n">
        <v>816</v>
      </c>
      <c r="E78" s="18" t="n">
        <v>35.3645055</v>
      </c>
      <c r="F78" s="20" t="n">
        <v>2.2768794</v>
      </c>
      <c r="G78" s="18" t="n">
        <v>62.71041521</v>
      </c>
      <c r="H78" s="20" t="n">
        <v>2.09671602</v>
      </c>
      <c r="I78" s="18" t="n">
        <v>0</v>
      </c>
      <c r="J78" s="20" t="n">
        <v>0</v>
      </c>
      <c r="K78" s="18" t="n">
        <v>1.80208217</v>
      </c>
      <c r="L78" s="20" t="n">
        <v>0.5200954</v>
      </c>
      <c r="M78" s="18" t="n">
        <v>0</v>
      </c>
      <c r="N78" s="20" t="n">
        <v>0</v>
      </c>
      <c r="O78" s="18" t="n">
        <v>0</v>
      </c>
      <c r="P78" s="20" t="n">
        <v>0</v>
      </c>
      <c r="Q78" s="18" t="n">
        <v>0.12299712</v>
      </c>
      <c r="R78" s="20" t="n">
        <v>0.08921489000000001</v>
      </c>
    </row>
    <row r="79" spans="1:18">
      <c r="A79" s="15" t="s">
        <v>639</v>
      </c>
      <c r="B79" s="17" t="n">
        <v>3154</v>
      </c>
      <c r="C79" s="18">
        <f>(2835.0/B79*100)</f>
        <v/>
      </c>
      <c r="D79" s="19" t="n">
        <v>319</v>
      </c>
      <c r="E79" s="18" t="n">
        <v>33.29624731</v>
      </c>
      <c r="F79" s="20" t="n">
        <v>3.07341109</v>
      </c>
      <c r="G79" s="18" t="n">
        <v>61.71605123</v>
      </c>
      <c r="H79" s="20" t="n">
        <v>3.06104318</v>
      </c>
      <c r="I79" s="18" t="n">
        <v>0</v>
      </c>
      <c r="J79" s="20" t="n">
        <v>0</v>
      </c>
      <c r="K79" s="18" t="n">
        <v>3.66956363</v>
      </c>
      <c r="L79" s="20" t="n">
        <v>1.21966655</v>
      </c>
      <c r="M79" s="18" t="n">
        <v>0</v>
      </c>
      <c r="N79" s="20" t="n">
        <v>0</v>
      </c>
      <c r="O79" s="18" t="n">
        <v>0</v>
      </c>
      <c r="P79" s="20" t="n">
        <v>0</v>
      </c>
      <c r="Q79" s="18" t="n">
        <v>1.31813783</v>
      </c>
      <c r="R79" s="20" t="n">
        <v>0.70230077</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(14339.0/B82*100)</f>
        <v/>
      </c>
      <c r="D82" s="19" t="n">
        <v>1622</v>
      </c>
      <c r="E82" s="18" t="n">
        <v>14.73747468</v>
      </c>
      <c r="F82" s="20" t="n">
        <v>1.41293638</v>
      </c>
      <c r="G82" s="18" t="n">
        <v>84.65261381000001</v>
      </c>
      <c r="H82" s="20" t="n">
        <v>1.40049713</v>
      </c>
      <c r="I82" s="18" t="n">
        <v>0</v>
      </c>
      <c r="J82" s="20" t="n">
        <v>0</v>
      </c>
      <c r="K82" s="18" t="n">
        <v>0.55160215</v>
      </c>
      <c r="L82" s="20" t="n">
        <v>0.17775538</v>
      </c>
      <c r="M82" s="18" t="n">
        <v>0</v>
      </c>
      <c r="N82" s="20" t="n">
        <v>0</v>
      </c>
      <c r="O82" s="18" t="n">
        <v>0</v>
      </c>
      <c r="P82" s="20" t="n">
        <v>0</v>
      </c>
      <c r="Q82" s="18" t="n">
        <v>0.05830936</v>
      </c>
      <c r="R82" s="20" t="n">
        <v>0.04223411</v>
      </c>
    </row>
    <row r="83" spans="1:18">
      <c r="A83" s="15" t="s">
        <v>643</v>
      </c>
      <c r="B83" s="17" t="n">
        <v>808</v>
      </c>
      <c r="C83" s="18">
        <f>(716.0/B83*100)</f>
        <v/>
      </c>
      <c r="D83" s="19" t="n">
        <v>92</v>
      </c>
      <c r="E83" s="18" t="n">
        <v>23.03088298</v>
      </c>
      <c r="F83" s="20" t="n">
        <v>3.90875369</v>
      </c>
      <c r="G83" s="18" t="n">
        <v>76.96911702</v>
      </c>
      <c r="H83" s="20" t="n">
        <v>3.90875369</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(828.0/B84*100)</f>
        <v/>
      </c>
      <c r="D84" s="19" t="n">
        <v>110</v>
      </c>
      <c r="E84" s="18" t="n">
        <v>17.36501076</v>
      </c>
      <c r="F84" s="20" t="n">
        <v>5.33842809</v>
      </c>
      <c r="G84" s="18" t="n">
        <v>82.63498924</v>
      </c>
      <c r="H84" s="20" t="n">
        <v>5.33842809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(6382.0/B7*100)</f>
        <v/>
      </c>
      <c r="D7" s="19" t="n">
        <v>781</v>
      </c>
      <c r="E7" s="18" t="n">
        <v>56.05430676</v>
      </c>
      <c r="F7" s="20" t="n">
        <v>1.67296674</v>
      </c>
      <c r="G7" s="18" t="n">
        <v>41.99744606</v>
      </c>
      <c r="H7" s="20" t="n">
        <v>1.69013506</v>
      </c>
      <c r="I7" s="18" t="n">
        <v>0</v>
      </c>
      <c r="J7" s="20" t="n">
        <v>0</v>
      </c>
      <c r="K7" s="18" t="n">
        <v>1.94824718</v>
      </c>
      <c r="L7" s="20" t="n">
        <v>0.59641852</v>
      </c>
      <c r="M7" s="18" t="n">
        <v>0</v>
      </c>
      <c r="N7" s="20" t="n">
        <v>0</v>
      </c>
      <c r="O7" s="18" t="n">
        <v>0</v>
      </c>
      <c r="P7" s="20" t="n">
        <v>0</v>
      </c>
      <c r="Q7" s="18" t="n">
        <v>0</v>
      </c>
      <c r="R7" s="20" t="n">
        <v>0</v>
      </c>
    </row>
    <row r="8" spans="1:18">
      <c r="A8" s="15" t="s">
        <v>566</v>
      </c>
      <c r="B8" s="17" t="n">
        <v>3443</v>
      </c>
      <c r="C8" s="18">
        <f>(3057.0/B8*100)</f>
        <v/>
      </c>
      <c r="D8" s="19" t="n">
        <v>386</v>
      </c>
      <c r="E8" s="18" t="n">
        <v>39.10983609</v>
      </c>
      <c r="F8" s="20" t="n">
        <v>3.06446345</v>
      </c>
      <c r="G8" s="18" t="n">
        <v>59.86487321</v>
      </c>
      <c r="H8" s="20" t="n">
        <v>3.17090714</v>
      </c>
      <c r="I8" s="18" t="n">
        <v>0</v>
      </c>
      <c r="J8" s="20" t="n">
        <v>0</v>
      </c>
      <c r="K8" s="18" t="n">
        <v>1.02529069</v>
      </c>
      <c r="L8" s="20" t="n">
        <v>0.65383512</v>
      </c>
      <c r="M8" s="18" t="n">
        <v>0</v>
      </c>
      <c r="N8" s="20" t="n">
        <v>0</v>
      </c>
      <c r="O8" s="18" t="n">
        <v>0</v>
      </c>
      <c r="P8" s="20" t="n">
        <v>0</v>
      </c>
      <c r="Q8" s="18" t="n">
        <v>0</v>
      </c>
      <c r="R8" s="20" t="n">
        <v>0</v>
      </c>
    </row>
    <row r="9" spans="1:18">
      <c r="A9" s="15" t="s">
        <v>567</v>
      </c>
      <c r="B9" s="17" t="n">
        <v>4752</v>
      </c>
      <c r="C9" s="18">
        <f>(4205.0/B9*100)</f>
        <v/>
      </c>
      <c r="D9" s="19" t="n">
        <v>547</v>
      </c>
      <c r="E9" s="18" t="n">
        <v>53.41972189</v>
      </c>
      <c r="F9" s="20" t="n">
        <v>2.21257629</v>
      </c>
      <c r="G9" s="18" t="n">
        <v>44.62283829</v>
      </c>
      <c r="H9" s="20" t="n">
        <v>2.1659896</v>
      </c>
      <c r="I9" s="18" t="n">
        <v>0</v>
      </c>
      <c r="J9" s="20" t="n">
        <v>0</v>
      </c>
      <c r="K9" s="18" t="n">
        <v>1.95743982</v>
      </c>
      <c r="L9" s="20" t="n">
        <v>0.63287083</v>
      </c>
      <c r="M9" s="18" t="n">
        <v>0</v>
      </c>
      <c r="N9" s="20" t="n">
        <v>0</v>
      </c>
      <c r="O9" s="18" t="n">
        <v>0</v>
      </c>
      <c r="P9" s="20" t="n">
        <v>0</v>
      </c>
      <c r="Q9" s="18" t="n">
        <v>0</v>
      </c>
      <c r="R9" s="20" t="n">
        <v>0</v>
      </c>
    </row>
    <row r="10" spans="1:18">
      <c r="A10" s="15" t="s">
        <v>568</v>
      </c>
      <c r="B10" s="17" t="n">
        <v>10022</v>
      </c>
      <c r="C10" s="18">
        <f>(8932.0/B10*100)</f>
        <v/>
      </c>
      <c r="D10" s="19" t="n">
        <v>1090</v>
      </c>
      <c r="E10" s="18" t="n">
        <v>57.52756675</v>
      </c>
      <c r="F10" s="20" t="n">
        <v>2.06667593</v>
      </c>
      <c r="G10" s="18" t="n">
        <v>41.00514213</v>
      </c>
      <c r="H10" s="20" t="n">
        <v>1.97762894</v>
      </c>
      <c r="I10" s="18" t="n">
        <v>0</v>
      </c>
      <c r="J10" s="20" t="n">
        <v>0</v>
      </c>
      <c r="K10" s="18" t="n">
        <v>1.46729112</v>
      </c>
      <c r="L10" s="20" t="n">
        <v>0.48169795</v>
      </c>
      <c r="M10" s="18" t="n">
        <v>0</v>
      </c>
      <c r="N10" s="20" t="n">
        <v>0</v>
      </c>
      <c r="O10" s="18" t="n">
        <v>0</v>
      </c>
      <c r="P10" s="20" t="n">
        <v>0</v>
      </c>
      <c r="Q10" s="18" t="n">
        <v>0</v>
      </c>
      <c r="R10" s="20" t="n">
        <v>0</v>
      </c>
    </row>
    <row r="11" spans="1:18">
      <c r="A11" s="15" t="s">
        <v>569</v>
      </c>
      <c r="B11" s="17" t="n">
        <v>3500</v>
      </c>
      <c r="C11" s="18">
        <f>(3153.0/B11*100)</f>
        <v/>
      </c>
      <c r="D11" s="19" t="n">
        <v>347</v>
      </c>
      <c r="E11" s="18" t="n">
        <v>66.71370383999999</v>
      </c>
      <c r="F11" s="20" t="n">
        <v>3.54962147</v>
      </c>
      <c r="G11" s="18" t="n">
        <v>29.53167719</v>
      </c>
      <c r="H11" s="20" t="n">
        <v>3.36992049</v>
      </c>
      <c r="I11" s="18" t="n">
        <v>0</v>
      </c>
      <c r="J11" s="20" t="n">
        <v>0</v>
      </c>
      <c r="K11" s="18" t="n">
        <v>3.75461897</v>
      </c>
      <c r="L11" s="20" t="n">
        <v>2.41292609</v>
      </c>
      <c r="M11" s="18" t="n">
        <v>0</v>
      </c>
      <c r="N11" s="20" t="n">
        <v>0</v>
      </c>
      <c r="O11" s="18" t="n">
        <v>0</v>
      </c>
      <c r="P11" s="20" t="n">
        <v>0</v>
      </c>
      <c r="Q11" s="18" t="n">
        <v>0</v>
      </c>
      <c r="R11" s="20" t="n">
        <v>0</v>
      </c>
    </row>
    <row r="12" spans="1:18">
      <c r="A12" s="15" t="s">
        <v>570</v>
      </c>
      <c r="B12" s="17" t="n">
        <v>3422</v>
      </c>
      <c r="C12" s="18">
        <f>(3037.0/B12*100)</f>
        <v/>
      </c>
      <c r="D12" s="19" t="n">
        <v>385</v>
      </c>
      <c r="E12" s="18" t="n">
        <v>51.49405705</v>
      </c>
      <c r="F12" s="20" t="n">
        <v>4.09669516</v>
      </c>
      <c r="G12" s="18" t="n">
        <v>46.9504383</v>
      </c>
      <c r="H12" s="20" t="n">
        <v>3.93718025</v>
      </c>
      <c r="I12" s="18" t="n">
        <v>0</v>
      </c>
      <c r="J12" s="20" t="n">
        <v>0</v>
      </c>
      <c r="K12" s="18" t="n">
        <v>1.55550465</v>
      </c>
      <c r="L12" s="20" t="n">
        <v>0.60863347</v>
      </c>
      <c r="M12" s="18" t="n">
        <v>0</v>
      </c>
      <c r="N12" s="20" t="n">
        <v>0</v>
      </c>
      <c r="O12" s="18" t="n">
        <v>0</v>
      </c>
      <c r="P12" s="20" t="n">
        <v>0</v>
      </c>
      <c r="Q12" s="18" t="n">
        <v>0</v>
      </c>
      <c r="R12" s="20" t="n">
        <v>0</v>
      </c>
    </row>
    <row r="13" spans="1:18">
      <c r="A13" s="15" t="s">
        <v>571</v>
      </c>
      <c r="B13" s="17" t="n">
        <v>3602</v>
      </c>
      <c r="C13" s="18">
        <f>(3062.0/B13*100)</f>
        <v/>
      </c>
      <c r="D13" s="19" t="n">
        <v>540</v>
      </c>
      <c r="E13" s="18" t="n">
        <v>48.66567265</v>
      </c>
      <c r="F13" s="20" t="n">
        <v>2.89633545</v>
      </c>
      <c r="G13" s="18" t="n">
        <v>48.62862288</v>
      </c>
      <c r="H13" s="20" t="n">
        <v>3.01295741</v>
      </c>
      <c r="I13" s="18" t="n">
        <v>0</v>
      </c>
      <c r="J13" s="20" t="n">
        <v>0</v>
      </c>
      <c r="K13" s="18" t="n">
        <v>2.70570447</v>
      </c>
      <c r="L13" s="20" t="n">
        <v>0.86494115</v>
      </c>
      <c r="M13" s="18" t="n">
        <v>0</v>
      </c>
      <c r="N13" s="20" t="n">
        <v>0</v>
      </c>
      <c r="O13" s="18" t="n">
        <v>0</v>
      </c>
      <c r="P13" s="20" t="n">
        <v>0</v>
      </c>
      <c r="Q13" s="18" t="n">
        <v>0</v>
      </c>
      <c r="R13" s="20" t="n">
        <v>0</v>
      </c>
    </row>
    <row r="14" spans="1:18">
      <c r="A14" s="15" t="s">
        <v>572</v>
      </c>
      <c r="B14" s="17" t="n">
        <v>2788</v>
      </c>
      <c r="C14" s="18">
        <f>(2498.0/B14*100)</f>
        <v/>
      </c>
      <c r="D14" s="19" t="n">
        <v>290</v>
      </c>
      <c r="E14" s="18" t="n">
        <v>54.17590281</v>
      </c>
      <c r="F14" s="20" t="n">
        <v>2.77133103</v>
      </c>
      <c r="G14" s="18" t="n">
        <v>45.25759503</v>
      </c>
      <c r="H14" s="20" t="n">
        <v>2.79756457</v>
      </c>
      <c r="I14" s="18" t="n">
        <v>0</v>
      </c>
      <c r="J14" s="20" t="n">
        <v>0</v>
      </c>
      <c r="K14" s="18" t="n">
        <v>0.56650216</v>
      </c>
      <c r="L14" s="20" t="n">
        <v>0.40867812</v>
      </c>
      <c r="M14" s="18" t="n">
        <v>0</v>
      </c>
      <c r="N14" s="20" t="n">
        <v>0</v>
      </c>
      <c r="O14" s="18" t="n">
        <v>0</v>
      </c>
      <c r="P14" s="20" t="n">
        <v>0</v>
      </c>
      <c r="Q14" s="18" t="n">
        <v>0</v>
      </c>
      <c r="R14" s="20" t="n">
        <v>0</v>
      </c>
    </row>
    <row r="15" spans="1:18">
      <c r="A15" s="15" t="s">
        <v>573</v>
      </c>
      <c r="B15" s="17" t="n">
        <v>2863</v>
      </c>
      <c r="C15" s="18">
        <f>(2520.0/B15*100)</f>
        <v/>
      </c>
      <c r="D15" s="19" t="n">
        <v>343</v>
      </c>
      <c r="E15" s="18" t="n">
        <v>25.76443259</v>
      </c>
      <c r="F15" s="20" t="n">
        <v>3.28500873</v>
      </c>
      <c r="G15" s="18" t="n">
        <v>73.01817518</v>
      </c>
      <c r="H15" s="20" t="n">
        <v>3.30477672</v>
      </c>
      <c r="I15" s="18" t="n">
        <v>0</v>
      </c>
      <c r="J15" s="20" t="n">
        <v>0</v>
      </c>
      <c r="K15" s="18" t="n">
        <v>1.21739223</v>
      </c>
      <c r="L15" s="20" t="n">
        <v>0.56728904</v>
      </c>
      <c r="M15" s="18" t="n">
        <v>0</v>
      </c>
      <c r="N15" s="20" t="n">
        <v>0</v>
      </c>
      <c r="O15" s="18" t="n">
        <v>0</v>
      </c>
      <c r="P15" s="20" t="n">
        <v>0</v>
      </c>
      <c r="Q15" s="18" t="n">
        <v>0</v>
      </c>
      <c r="R15" s="20" t="n">
        <v>0</v>
      </c>
    </row>
    <row r="16" spans="1:18">
      <c r="A16" s="15" t="s">
        <v>574</v>
      </c>
      <c r="B16" s="17" t="n">
        <v>3111</v>
      </c>
      <c r="C16" s="18">
        <f>(2779.0/B16*100)</f>
        <v/>
      </c>
      <c r="D16" s="19" t="n">
        <v>332</v>
      </c>
      <c r="E16" s="18" t="n">
        <v>53.20464335</v>
      </c>
      <c r="F16" s="20" t="n">
        <v>2.41325216</v>
      </c>
      <c r="G16" s="18" t="n">
        <v>43.20900308</v>
      </c>
      <c r="H16" s="20" t="n">
        <v>2.33662637</v>
      </c>
      <c r="I16" s="18" t="n">
        <v>0</v>
      </c>
      <c r="J16" s="20" t="n">
        <v>0</v>
      </c>
      <c r="K16" s="18" t="n">
        <v>3.58635357</v>
      </c>
      <c r="L16" s="20" t="n">
        <v>1.06461156</v>
      </c>
      <c r="M16" s="18" t="n">
        <v>0</v>
      </c>
      <c r="N16" s="20" t="n">
        <v>0</v>
      </c>
      <c r="O16" s="18" t="n">
        <v>0</v>
      </c>
      <c r="P16" s="20" t="n">
        <v>0</v>
      </c>
      <c r="Q16" s="18" t="n">
        <v>0</v>
      </c>
      <c r="R16" s="20" t="n">
        <v>0</v>
      </c>
    </row>
    <row r="17" spans="1:18">
      <c r="A17" s="15" t="s">
        <v>575</v>
      </c>
      <c r="B17" s="17" t="n">
        <v>3197</v>
      </c>
      <c r="C17" s="18">
        <f>(2793.0/B17*100)</f>
        <v/>
      </c>
      <c r="D17" s="19" t="n">
        <v>404</v>
      </c>
      <c r="E17" s="18" t="n">
        <v>35.91448405</v>
      </c>
      <c r="F17" s="20" t="n">
        <v>2.42808703</v>
      </c>
      <c r="G17" s="18" t="n">
        <v>62.45992498</v>
      </c>
      <c r="H17" s="20" t="n">
        <v>2.43558661</v>
      </c>
      <c r="I17" s="18" t="n">
        <v>0</v>
      </c>
      <c r="J17" s="20" t="n">
        <v>0</v>
      </c>
      <c r="K17" s="18" t="n">
        <v>1.62559097</v>
      </c>
      <c r="L17" s="20" t="n">
        <v>0.592791</v>
      </c>
      <c r="M17" s="18" t="n">
        <v>0</v>
      </c>
      <c r="N17" s="20" t="n">
        <v>0</v>
      </c>
      <c r="O17" s="18" t="n">
        <v>0</v>
      </c>
      <c r="P17" s="20" t="n">
        <v>0</v>
      </c>
      <c r="Q17" s="18" t="n">
        <v>0</v>
      </c>
      <c r="R17" s="20" t="n">
        <v>0</v>
      </c>
    </row>
    <row r="18" spans="1:18">
      <c r="A18" s="15" t="s">
        <v>576</v>
      </c>
      <c r="B18" s="17" t="n">
        <v>2706</v>
      </c>
      <c r="C18" s="18">
        <f>(2412.0/B18*100)</f>
        <v/>
      </c>
      <c r="D18" s="19" t="n">
        <v>294</v>
      </c>
      <c r="E18" s="18" t="n">
        <v>65.71501979</v>
      </c>
      <c r="F18" s="20" t="n">
        <v>2.80322687</v>
      </c>
      <c r="G18" s="18" t="n">
        <v>31.25572433</v>
      </c>
      <c r="H18" s="20" t="n">
        <v>2.50293692</v>
      </c>
      <c r="I18" s="18" t="n">
        <v>0</v>
      </c>
      <c r="J18" s="20" t="n">
        <v>0</v>
      </c>
      <c r="K18" s="18" t="n">
        <v>3.02925589</v>
      </c>
      <c r="L18" s="20" t="n">
        <v>1.53508058</v>
      </c>
      <c r="M18" s="18" t="n">
        <v>0</v>
      </c>
      <c r="N18" s="20" t="n">
        <v>0</v>
      </c>
      <c r="O18" s="18" t="n">
        <v>0</v>
      </c>
      <c r="P18" s="20" t="n">
        <v>0</v>
      </c>
      <c r="Q18" s="18" t="n">
        <v>0</v>
      </c>
      <c r="R18" s="20" t="n">
        <v>0</v>
      </c>
    </row>
    <row r="19" spans="1:18">
      <c r="A19" s="15" t="s">
        <v>577</v>
      </c>
      <c r="B19" s="17" t="n">
        <v>2850</v>
      </c>
      <c r="C19" s="18">
        <f>(2554.0/B19*100)</f>
        <v/>
      </c>
      <c r="D19" s="19" t="n">
        <v>296</v>
      </c>
      <c r="E19" s="18" t="n">
        <v>38.60142212</v>
      </c>
      <c r="F19" s="20" t="n">
        <v>2.75574099</v>
      </c>
      <c r="G19" s="18" t="n">
        <v>60.7738215</v>
      </c>
      <c r="H19" s="20" t="n">
        <v>2.81380102</v>
      </c>
      <c r="I19" s="18" t="n">
        <v>0</v>
      </c>
      <c r="J19" s="20" t="n">
        <v>0</v>
      </c>
      <c r="K19" s="18" t="n">
        <v>0.62475638</v>
      </c>
      <c r="L19" s="20" t="n">
        <v>0.4255192</v>
      </c>
      <c r="M19" s="18" t="n">
        <v>0</v>
      </c>
      <c r="N19" s="20" t="n">
        <v>0</v>
      </c>
      <c r="O19" s="18" t="n">
        <v>0</v>
      </c>
      <c r="P19" s="20" t="n">
        <v>0</v>
      </c>
      <c r="Q19" s="18" t="n">
        <v>0</v>
      </c>
      <c r="R19" s="20" t="n">
        <v>0</v>
      </c>
    </row>
    <row r="20" spans="1:18">
      <c r="A20" s="15" t="s">
        <v>578</v>
      </c>
      <c r="B20" s="17" t="n">
        <v>1741</v>
      </c>
      <c r="C20" s="18">
        <f>(1554.0/B20*100)</f>
        <v/>
      </c>
      <c r="D20" s="19" t="n">
        <v>187</v>
      </c>
      <c r="E20" s="18" t="n">
        <v>44.62437595</v>
      </c>
      <c r="F20" s="20" t="n">
        <v>4.2437443</v>
      </c>
      <c r="G20" s="18" t="n">
        <v>53.35219007</v>
      </c>
      <c r="H20" s="20" t="n">
        <v>4.3637785</v>
      </c>
      <c r="I20" s="18" t="n">
        <v>0</v>
      </c>
      <c r="J20" s="20" t="n">
        <v>0</v>
      </c>
      <c r="K20" s="18" t="n">
        <v>2.02343398</v>
      </c>
      <c r="L20" s="20" t="n">
        <v>0.99194445</v>
      </c>
      <c r="M20" s="18" t="n">
        <v>0</v>
      </c>
      <c r="N20" s="20" t="n">
        <v>0</v>
      </c>
      <c r="O20" s="18" t="n">
        <v>0</v>
      </c>
      <c r="P20" s="20" t="n">
        <v>0</v>
      </c>
      <c r="Q20" s="18" t="n">
        <v>0</v>
      </c>
      <c r="R20" s="20" t="n">
        <v>0</v>
      </c>
    </row>
    <row r="21" spans="1:18">
      <c r="A21" s="15" t="s">
        <v>579</v>
      </c>
      <c r="B21" s="17" t="n">
        <v>2833</v>
      </c>
      <c r="C21" s="18">
        <f>(2505.0/B21*100)</f>
        <v/>
      </c>
      <c r="D21" s="19" t="n">
        <v>328</v>
      </c>
      <c r="E21" s="18" t="n">
        <v>46.21490883</v>
      </c>
      <c r="F21" s="20" t="n">
        <v>2.92364297</v>
      </c>
      <c r="G21" s="18" t="n">
        <v>53.47693716</v>
      </c>
      <c r="H21" s="20" t="n">
        <v>3.08427427</v>
      </c>
      <c r="I21" s="18" t="n">
        <v>0</v>
      </c>
      <c r="J21" s="20" t="n">
        <v>0</v>
      </c>
      <c r="K21" s="18" t="n">
        <v>0.30815401</v>
      </c>
      <c r="L21" s="20" t="n">
        <v>0.32368105</v>
      </c>
      <c r="M21" s="18" t="n">
        <v>0</v>
      </c>
      <c r="N21" s="20" t="n">
        <v>0</v>
      </c>
      <c r="O21" s="18" t="n">
        <v>0</v>
      </c>
      <c r="P21" s="20" t="n">
        <v>0</v>
      </c>
      <c r="Q21" s="18" t="n">
        <v>0</v>
      </c>
      <c r="R21" s="20" t="n">
        <v>0</v>
      </c>
    </row>
    <row r="22" spans="1:18">
      <c r="A22" s="15" t="s">
        <v>580</v>
      </c>
      <c r="B22" s="17" t="n">
        <v>3667</v>
      </c>
      <c r="C22" s="18">
        <f>(3294.0/B22*100)</f>
        <v/>
      </c>
      <c r="D22" s="19" t="n">
        <v>373</v>
      </c>
      <c r="E22" s="18" t="n">
        <v>60.89402015</v>
      </c>
      <c r="F22" s="20" t="n">
        <v>2.26332389</v>
      </c>
      <c r="G22" s="18" t="n">
        <v>35.38677943</v>
      </c>
      <c r="H22" s="20" t="n">
        <v>2.25109269</v>
      </c>
      <c r="I22" s="18" t="n">
        <v>0</v>
      </c>
      <c r="J22" s="20" t="n">
        <v>0</v>
      </c>
      <c r="K22" s="18" t="n">
        <v>3.71920042</v>
      </c>
      <c r="L22" s="20" t="n">
        <v>1.00679413</v>
      </c>
      <c r="M22" s="18" t="n">
        <v>0</v>
      </c>
      <c r="N22" s="20" t="n">
        <v>0</v>
      </c>
      <c r="O22" s="18" t="n">
        <v>0</v>
      </c>
      <c r="P22" s="20" t="n">
        <v>0</v>
      </c>
      <c r="Q22" s="18" t="n">
        <v>0</v>
      </c>
      <c r="R22" s="20" t="n">
        <v>0</v>
      </c>
    </row>
    <row r="23" spans="1:18">
      <c r="A23" s="15" t="s">
        <v>581</v>
      </c>
      <c r="B23" s="17" t="n">
        <v>5792</v>
      </c>
      <c r="C23" s="18">
        <f>(5175.0/B23*100)</f>
        <v/>
      </c>
      <c r="D23" s="19" t="n">
        <v>617</v>
      </c>
      <c r="E23" s="18" t="n">
        <v>46.50304995</v>
      </c>
      <c r="F23" s="20" t="n">
        <v>3.14242252</v>
      </c>
      <c r="G23" s="18" t="n">
        <v>49.19340875</v>
      </c>
      <c r="H23" s="20" t="n">
        <v>3.00998807</v>
      </c>
      <c r="I23" s="18" t="n">
        <v>0</v>
      </c>
      <c r="J23" s="20" t="n">
        <v>0</v>
      </c>
      <c r="K23" s="18" t="n">
        <v>4.3035413</v>
      </c>
      <c r="L23" s="20" t="n">
        <v>1.61526049</v>
      </c>
      <c r="M23" s="18" t="n">
        <v>0</v>
      </c>
      <c r="N23" s="20" t="n">
        <v>0</v>
      </c>
      <c r="O23" s="18" t="n">
        <v>0</v>
      </c>
      <c r="P23" s="20" t="n">
        <v>0</v>
      </c>
      <c r="Q23" s="18" t="n">
        <v>0</v>
      </c>
      <c r="R23" s="20" t="n">
        <v>0</v>
      </c>
    </row>
    <row r="24" spans="1:18">
      <c r="A24" s="15" t="s">
        <v>582</v>
      </c>
      <c r="B24" s="17" t="n">
        <v>3309</v>
      </c>
      <c r="C24" s="18">
        <f>(2954.0/B24*100)</f>
        <v/>
      </c>
      <c r="D24" s="19" t="n">
        <v>355</v>
      </c>
      <c r="E24" s="18" t="n">
        <v>41.12979277</v>
      </c>
      <c r="F24" s="20" t="n">
        <v>2.98366687</v>
      </c>
      <c r="G24" s="18" t="n">
        <v>57.44484953</v>
      </c>
      <c r="H24" s="20" t="n">
        <v>2.90442379</v>
      </c>
      <c r="I24" s="18" t="n">
        <v>0</v>
      </c>
      <c r="J24" s="20" t="n">
        <v>0</v>
      </c>
      <c r="K24" s="18" t="n">
        <v>1.4253577</v>
      </c>
      <c r="L24" s="20" t="n">
        <v>0.61627349</v>
      </c>
      <c r="M24" s="18" t="n">
        <v>0</v>
      </c>
      <c r="N24" s="20" t="n">
        <v>0</v>
      </c>
      <c r="O24" s="18" t="n">
        <v>0</v>
      </c>
      <c r="P24" s="20" t="n">
        <v>0</v>
      </c>
      <c r="Q24" s="18" t="n">
        <v>0</v>
      </c>
      <c r="R24" s="20" t="n">
        <v>0</v>
      </c>
    </row>
    <row r="25" spans="1:18">
      <c r="A25" s="15" t="s">
        <v>583</v>
      </c>
      <c r="B25" s="17" t="n">
        <v>2669</v>
      </c>
      <c r="C25" s="18">
        <f>(2359.0/B25*100)</f>
        <v/>
      </c>
      <c r="D25" s="19" t="n">
        <v>310</v>
      </c>
      <c r="E25" s="18" t="n">
        <v>42.12339704</v>
      </c>
      <c r="F25" s="20" t="n">
        <v>2.74960033</v>
      </c>
      <c r="G25" s="18" t="n">
        <v>57.30117312</v>
      </c>
      <c r="H25" s="20" t="n">
        <v>2.82289488</v>
      </c>
      <c r="I25" s="18" t="n">
        <v>0</v>
      </c>
      <c r="J25" s="20" t="n">
        <v>0</v>
      </c>
      <c r="K25" s="18" t="n">
        <v>0.57542984</v>
      </c>
      <c r="L25" s="20" t="n">
        <v>0.4117318</v>
      </c>
      <c r="M25" s="18" t="n">
        <v>0</v>
      </c>
      <c r="N25" s="20" t="n">
        <v>0</v>
      </c>
      <c r="O25" s="18" t="n">
        <v>0</v>
      </c>
      <c r="P25" s="20" t="n">
        <v>0</v>
      </c>
      <c r="Q25" s="18" t="n">
        <v>0</v>
      </c>
      <c r="R25" s="20" t="n">
        <v>0</v>
      </c>
    </row>
    <row r="26" spans="1:18">
      <c r="A26" s="15" t="s">
        <v>584</v>
      </c>
      <c r="B26" s="17" t="n">
        <v>2419</v>
      </c>
      <c r="C26" s="18">
        <f>(2151.0/B26*100)</f>
        <v/>
      </c>
      <c r="D26" s="19" t="n">
        <v>268</v>
      </c>
      <c r="E26" s="18" t="n">
        <v>48.47447008</v>
      </c>
      <c r="F26" s="20" t="n">
        <v>3.32506008</v>
      </c>
      <c r="G26" s="18" t="n">
        <v>51.52552992</v>
      </c>
      <c r="H26" s="20" t="n">
        <v>3.32506008</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(2413.0/B27*100)</f>
        <v/>
      </c>
      <c r="D27" s="19" t="n">
        <v>270</v>
      </c>
      <c r="E27" s="18" t="n">
        <v>45.58077706</v>
      </c>
      <c r="F27" s="20" t="n">
        <v>3.11064488</v>
      </c>
      <c r="G27" s="18" t="n">
        <v>52.96054665</v>
      </c>
      <c r="H27" s="20" t="n">
        <v>3.17048903</v>
      </c>
      <c r="I27" s="18" t="n">
        <v>0</v>
      </c>
      <c r="J27" s="20" t="n">
        <v>0</v>
      </c>
      <c r="K27" s="18" t="n">
        <v>1.45867629</v>
      </c>
      <c r="L27" s="20" t="n">
        <v>0.72959732</v>
      </c>
      <c r="M27" s="18" t="n">
        <v>0</v>
      </c>
      <c r="N27" s="20" t="n">
        <v>0</v>
      </c>
      <c r="O27" s="18" t="n">
        <v>0</v>
      </c>
      <c r="P27" s="20" t="n">
        <v>0</v>
      </c>
      <c r="Q27" s="18" t="n">
        <v>0</v>
      </c>
      <c r="R27" s="20" t="n">
        <v>0</v>
      </c>
    </row>
    <row r="28" spans="1:18">
      <c r="A28" s="15" t="s">
        <v>586</v>
      </c>
      <c r="B28" s="17" t="n">
        <v>3803</v>
      </c>
      <c r="C28" s="18">
        <f>(3434.0/B28*100)</f>
        <v/>
      </c>
      <c r="D28" s="19" t="n">
        <v>369</v>
      </c>
      <c r="E28" s="18" t="n">
        <v>78.72197638</v>
      </c>
      <c r="F28" s="20" t="n">
        <v>2.33985517</v>
      </c>
      <c r="G28" s="18" t="n">
        <v>20.05647061</v>
      </c>
      <c r="H28" s="20" t="n">
        <v>2.30971023</v>
      </c>
      <c r="I28" s="18" t="n">
        <v>0</v>
      </c>
      <c r="J28" s="20" t="n">
        <v>0</v>
      </c>
      <c r="K28" s="18" t="n">
        <v>1.22155302</v>
      </c>
      <c r="L28" s="20" t="n">
        <v>0.6529940400000001</v>
      </c>
      <c r="M28" s="18" t="n">
        <v>0</v>
      </c>
      <c r="N28" s="20" t="n">
        <v>0</v>
      </c>
      <c r="O28" s="18" t="n">
        <v>0</v>
      </c>
      <c r="P28" s="20" t="n">
        <v>0</v>
      </c>
      <c r="Q28" s="18" t="n">
        <v>0</v>
      </c>
      <c r="R28" s="20" t="n">
        <v>0</v>
      </c>
    </row>
    <row r="29" spans="1:18">
      <c r="A29" s="15" t="s">
        <v>587</v>
      </c>
      <c r="B29" s="17" t="n">
        <v>2700</v>
      </c>
      <c r="C29" s="18">
        <f>(2344.0/B29*100)</f>
        <v/>
      </c>
      <c r="D29" s="19" t="n">
        <v>356</v>
      </c>
      <c r="E29" s="18" t="n">
        <v>43.02417612</v>
      </c>
      <c r="F29" s="20" t="n">
        <v>2.62226333</v>
      </c>
      <c r="G29" s="18" t="n">
        <v>56.18917243</v>
      </c>
      <c r="H29" s="20" t="n">
        <v>2.63012583</v>
      </c>
      <c r="I29" s="18" t="n">
        <v>0</v>
      </c>
      <c r="J29" s="20" t="n">
        <v>0</v>
      </c>
      <c r="K29" s="18" t="n">
        <v>0.78665146</v>
      </c>
      <c r="L29" s="20" t="n">
        <v>0.47268921</v>
      </c>
      <c r="M29" s="18" t="n">
        <v>0</v>
      </c>
      <c r="N29" s="20" t="n">
        <v>0</v>
      </c>
      <c r="O29" s="18" t="n">
        <v>0</v>
      </c>
      <c r="P29" s="20" t="n">
        <v>0</v>
      </c>
      <c r="Q29" s="18" t="n">
        <v>0</v>
      </c>
      <c r="R29" s="20" t="n">
        <v>0</v>
      </c>
    </row>
    <row r="30" spans="1:18">
      <c r="A30" s="15" t="s">
        <v>588</v>
      </c>
      <c r="B30" s="17" t="n">
        <v>2257</v>
      </c>
      <c r="C30" s="18">
        <f>(2018.0/B30*100)</f>
        <v/>
      </c>
      <c r="D30" s="19" t="n">
        <v>239</v>
      </c>
      <c r="E30" s="18" t="n">
        <v>60.69950102</v>
      </c>
      <c r="F30" s="20" t="n">
        <v>3.00966217</v>
      </c>
      <c r="G30" s="18" t="n">
        <v>37.51159865</v>
      </c>
      <c r="H30" s="20" t="n">
        <v>3.08804179</v>
      </c>
      <c r="I30" s="18" t="n">
        <v>0</v>
      </c>
      <c r="J30" s="20" t="n">
        <v>0</v>
      </c>
      <c r="K30" s="18" t="n">
        <v>1.78890033</v>
      </c>
      <c r="L30" s="20" t="n">
        <v>0.9226490899999999</v>
      </c>
      <c r="M30" s="18" t="n">
        <v>0</v>
      </c>
      <c r="N30" s="20" t="n">
        <v>0</v>
      </c>
      <c r="O30" s="18" t="n">
        <v>0</v>
      </c>
      <c r="P30" s="20" t="n">
        <v>0</v>
      </c>
      <c r="Q30" s="18" t="n">
        <v>0</v>
      </c>
      <c r="R30" s="20" t="n">
        <v>0</v>
      </c>
    </row>
    <row r="31" spans="1:18">
      <c r="A31" s="15" t="s">
        <v>589</v>
      </c>
      <c r="B31" s="17" t="n">
        <v>2706</v>
      </c>
      <c r="C31" s="18">
        <f>(2411.0/B31*100)</f>
        <v/>
      </c>
      <c r="D31" s="19" t="n">
        <v>295</v>
      </c>
      <c r="E31" s="18" t="n">
        <v>39.76135524</v>
      </c>
      <c r="F31" s="20" t="n">
        <v>2.89476229</v>
      </c>
      <c r="G31" s="18" t="n">
        <v>57.54931445</v>
      </c>
      <c r="H31" s="20" t="n">
        <v>3.05746368</v>
      </c>
      <c r="I31" s="18" t="n">
        <v>0</v>
      </c>
      <c r="J31" s="20" t="n">
        <v>0</v>
      </c>
      <c r="K31" s="18" t="n">
        <v>2.68933031</v>
      </c>
      <c r="L31" s="20" t="n">
        <v>1.10446148</v>
      </c>
      <c r="M31" s="18" t="n">
        <v>0</v>
      </c>
      <c r="N31" s="20" t="n">
        <v>0</v>
      </c>
      <c r="O31" s="18" t="n">
        <v>0</v>
      </c>
      <c r="P31" s="20" t="n">
        <v>0</v>
      </c>
      <c r="Q31" s="18" t="n">
        <v>0</v>
      </c>
      <c r="R31" s="20" t="n">
        <v>0</v>
      </c>
    </row>
    <row r="32" spans="1:18">
      <c r="A32" s="15" t="s">
        <v>590</v>
      </c>
      <c r="B32" s="17" t="n">
        <v>2209</v>
      </c>
      <c r="C32" s="18">
        <f>(1964.0/B32*100)</f>
        <v/>
      </c>
      <c r="D32" s="19" t="n">
        <v>245</v>
      </c>
      <c r="E32" s="18" t="n">
        <v>41.62460591</v>
      </c>
      <c r="F32" s="20" t="n">
        <v>3.04574606</v>
      </c>
      <c r="G32" s="18" t="n">
        <v>58.00441266</v>
      </c>
      <c r="H32" s="20" t="n">
        <v>2.98330907</v>
      </c>
      <c r="I32" s="18" t="n">
        <v>0</v>
      </c>
      <c r="J32" s="20" t="n">
        <v>0</v>
      </c>
      <c r="K32" s="18" t="n">
        <v>0.37098143</v>
      </c>
      <c r="L32" s="20" t="n">
        <v>0.38018433</v>
      </c>
      <c r="M32" s="18" t="n">
        <v>0</v>
      </c>
      <c r="N32" s="20" t="n">
        <v>0</v>
      </c>
      <c r="O32" s="18" t="n">
        <v>0</v>
      </c>
      <c r="P32" s="20" t="n">
        <v>0</v>
      </c>
      <c r="Q32" s="18" t="n">
        <v>0</v>
      </c>
      <c r="R32" s="20" t="n">
        <v>0</v>
      </c>
    </row>
    <row r="33" spans="1:18">
      <c r="A33" s="15" t="s">
        <v>591</v>
      </c>
      <c r="B33" s="17" t="n">
        <v>3651</v>
      </c>
      <c r="C33" s="18">
        <f>(3292.0/B33*100)</f>
        <v/>
      </c>
      <c r="D33" s="19" t="n">
        <v>359</v>
      </c>
      <c r="E33" s="18" t="n">
        <v>72.29766223</v>
      </c>
      <c r="F33" s="20" t="n">
        <v>2.93435087</v>
      </c>
      <c r="G33" s="18" t="n">
        <v>26.39123587</v>
      </c>
      <c r="H33" s="20" t="n">
        <v>2.91873297</v>
      </c>
      <c r="I33" s="18" t="n">
        <v>0</v>
      </c>
      <c r="J33" s="20" t="n">
        <v>0</v>
      </c>
      <c r="K33" s="18" t="n">
        <v>1.3111019</v>
      </c>
      <c r="L33" s="20" t="n">
        <v>0.6618721400000001</v>
      </c>
      <c r="M33" s="18" t="n">
        <v>0</v>
      </c>
      <c r="N33" s="20" t="n">
        <v>0</v>
      </c>
      <c r="O33" s="18" t="n">
        <v>0</v>
      </c>
      <c r="P33" s="20" t="n">
        <v>0</v>
      </c>
      <c r="Q33" s="18" t="n">
        <v>0</v>
      </c>
      <c r="R33" s="20" t="n">
        <v>0</v>
      </c>
    </row>
    <row r="34" spans="1:18">
      <c r="A34" s="15" t="s">
        <v>592</v>
      </c>
      <c r="B34" s="17" t="n">
        <v>3035</v>
      </c>
      <c r="C34" s="18">
        <f>(2675.0/B34*100)</f>
        <v/>
      </c>
      <c r="D34" s="19" t="n">
        <v>360</v>
      </c>
      <c r="E34" s="18" t="n">
        <v>48.33480379</v>
      </c>
      <c r="F34" s="20" t="n">
        <v>2.80462609</v>
      </c>
      <c r="G34" s="18" t="n">
        <v>50.13507746</v>
      </c>
      <c r="H34" s="20" t="n">
        <v>2.8654575</v>
      </c>
      <c r="I34" s="18" t="n">
        <v>0</v>
      </c>
      <c r="J34" s="20" t="n">
        <v>0</v>
      </c>
      <c r="K34" s="18" t="n">
        <v>1.53011876</v>
      </c>
      <c r="L34" s="20" t="n">
        <v>0.67145687</v>
      </c>
      <c r="M34" s="18" t="n">
        <v>0</v>
      </c>
      <c r="N34" s="20" t="n">
        <v>0</v>
      </c>
      <c r="O34" s="18" t="n">
        <v>0</v>
      </c>
      <c r="P34" s="20" t="n">
        <v>0</v>
      </c>
      <c r="Q34" s="18" t="n">
        <v>0</v>
      </c>
      <c r="R34" s="20" t="n">
        <v>0</v>
      </c>
    </row>
    <row r="35" spans="1:18">
      <c r="A35" s="15" t="s">
        <v>593</v>
      </c>
      <c r="B35" s="17" t="n">
        <v>2901</v>
      </c>
      <c r="C35" s="18">
        <f>(2560.0/B35*100)</f>
        <v/>
      </c>
      <c r="D35" s="19" t="n">
        <v>341</v>
      </c>
      <c r="E35" s="18" t="n">
        <v>29.53391244</v>
      </c>
      <c r="F35" s="20" t="n">
        <v>2.61366143</v>
      </c>
      <c r="G35" s="18" t="n">
        <v>69.42964119</v>
      </c>
      <c r="H35" s="20" t="n">
        <v>2.73279048</v>
      </c>
      <c r="I35" s="18" t="n">
        <v>0</v>
      </c>
      <c r="J35" s="20" t="n">
        <v>0</v>
      </c>
      <c r="K35" s="18" t="n">
        <v>1.03644637</v>
      </c>
      <c r="L35" s="20" t="n">
        <v>0.91372878</v>
      </c>
      <c r="M35" s="18" t="n">
        <v>0</v>
      </c>
      <c r="N35" s="20" t="n">
        <v>0</v>
      </c>
      <c r="O35" s="18" t="n">
        <v>0</v>
      </c>
      <c r="P35" s="20" t="n">
        <v>0</v>
      </c>
      <c r="Q35" s="18" t="n">
        <v>0</v>
      </c>
      <c r="R35" s="20" t="n">
        <v>0</v>
      </c>
    </row>
    <row r="36" spans="1:18">
      <c r="A36" s="15" t="s">
        <v>594</v>
      </c>
      <c r="B36" s="17" t="n">
        <v>3404</v>
      </c>
      <c r="C36" s="18">
        <f>(3039.0/B36*100)</f>
        <v/>
      </c>
      <c r="D36" s="19" t="n">
        <v>365</v>
      </c>
      <c r="E36" s="18" t="n">
        <v>50.90201374</v>
      </c>
      <c r="F36" s="20" t="n">
        <v>2.73161487</v>
      </c>
      <c r="G36" s="18" t="n">
        <v>47.88150063</v>
      </c>
      <c r="H36" s="20" t="n">
        <v>2.71622677</v>
      </c>
      <c r="I36" s="18" t="n">
        <v>0</v>
      </c>
      <c r="J36" s="20" t="n">
        <v>0</v>
      </c>
      <c r="K36" s="18" t="n">
        <v>1.21648563</v>
      </c>
      <c r="L36" s="20" t="n">
        <v>0.59140528</v>
      </c>
      <c r="M36" s="18" t="n">
        <v>0</v>
      </c>
      <c r="N36" s="20" t="n">
        <v>0</v>
      </c>
      <c r="O36" s="18" t="n">
        <v>0</v>
      </c>
      <c r="P36" s="20" t="n">
        <v>0</v>
      </c>
      <c r="Q36" s="18" t="n">
        <v>0</v>
      </c>
      <c r="R36" s="20" t="n">
        <v>0</v>
      </c>
    </row>
    <row r="37" spans="1:18">
      <c r="A37" s="15" t="s">
        <v>595</v>
      </c>
      <c r="B37" s="17" t="n">
        <v>2731</v>
      </c>
      <c r="C37" s="18">
        <f>(2465.0/B37*100)</f>
        <v/>
      </c>
      <c r="D37" s="19" t="n">
        <v>266</v>
      </c>
      <c r="E37" s="18" t="n">
        <v>45.44528226</v>
      </c>
      <c r="F37" s="20" t="n">
        <v>2.61376791</v>
      </c>
      <c r="G37" s="18" t="n">
        <v>52.59756824</v>
      </c>
      <c r="H37" s="20" t="n">
        <v>2.641931</v>
      </c>
      <c r="I37" s="18" t="n">
        <v>0</v>
      </c>
      <c r="J37" s="20" t="n">
        <v>0</v>
      </c>
      <c r="K37" s="18" t="n">
        <v>1.95714951</v>
      </c>
      <c r="L37" s="20" t="n">
        <v>0.84421818</v>
      </c>
      <c r="M37" s="18" t="n">
        <v>0</v>
      </c>
      <c r="N37" s="20" t="n">
        <v>0</v>
      </c>
      <c r="O37" s="18" t="n">
        <v>0</v>
      </c>
      <c r="P37" s="20" t="n">
        <v>0</v>
      </c>
      <c r="Q37" s="18" t="n">
        <v>0</v>
      </c>
      <c r="R37" s="20" t="n">
        <v>0</v>
      </c>
    </row>
    <row r="38" spans="1:18">
      <c r="A38" s="15" t="s">
        <v>596</v>
      </c>
      <c r="B38" s="17" t="n">
        <v>2807</v>
      </c>
      <c r="C38" s="18">
        <f>(2517.0/B38*100)</f>
        <v/>
      </c>
      <c r="D38" s="19" t="n">
        <v>290</v>
      </c>
      <c r="E38" s="18" t="n">
        <v>45.19820028</v>
      </c>
      <c r="F38" s="20" t="n">
        <v>3.31266537</v>
      </c>
      <c r="G38" s="18" t="n">
        <v>53.67307537</v>
      </c>
      <c r="H38" s="20" t="n">
        <v>3.2692398</v>
      </c>
      <c r="I38" s="18" t="n">
        <v>0</v>
      </c>
      <c r="J38" s="20" t="n">
        <v>0</v>
      </c>
      <c r="K38" s="18" t="n">
        <v>1.12872434</v>
      </c>
      <c r="L38" s="20" t="n">
        <v>0.59100509</v>
      </c>
      <c r="M38" s="18" t="n">
        <v>0</v>
      </c>
      <c r="N38" s="20" t="n">
        <v>0</v>
      </c>
      <c r="O38" s="18" t="n">
        <v>0</v>
      </c>
      <c r="P38" s="20" t="n">
        <v>0</v>
      </c>
      <c r="Q38" s="18" t="n">
        <v>0</v>
      </c>
      <c r="R38" s="20" t="n">
        <v>0</v>
      </c>
    </row>
    <row r="39" spans="1:18">
      <c r="A39" s="15" t="s">
        <v>597</v>
      </c>
      <c r="B39" s="17" t="n">
        <v>2938</v>
      </c>
      <c r="C39" s="18">
        <f>(2616.0/B39*100)</f>
        <v/>
      </c>
      <c r="D39" s="19" t="n">
        <v>322</v>
      </c>
      <c r="E39" s="18" t="n">
        <v>65.32116168</v>
      </c>
      <c r="F39" s="20" t="n">
        <v>3.1115277</v>
      </c>
      <c r="G39" s="18" t="n">
        <v>33.8489082</v>
      </c>
      <c r="H39" s="20" t="n">
        <v>3.13465842</v>
      </c>
      <c r="I39" s="18" t="n">
        <v>0</v>
      </c>
      <c r="J39" s="20" t="n">
        <v>0</v>
      </c>
      <c r="K39" s="18" t="n">
        <v>0.82993012</v>
      </c>
      <c r="L39" s="20" t="n">
        <v>0.64177474</v>
      </c>
      <c r="M39" s="18" t="n">
        <v>0</v>
      </c>
      <c r="N39" s="20" t="n">
        <v>0</v>
      </c>
      <c r="O39" s="18" t="n">
        <v>0</v>
      </c>
      <c r="P39" s="20" t="n">
        <v>0</v>
      </c>
      <c r="Q39" s="18" t="n">
        <v>0</v>
      </c>
      <c r="R39" s="20" t="n">
        <v>0</v>
      </c>
    </row>
    <row r="40" spans="1:18">
      <c r="A40" s="15" t="s">
        <v>598</v>
      </c>
      <c r="B40" s="17" t="n">
        <v>6922</v>
      </c>
      <c r="C40" s="18">
        <f>(6134.0/B40*100)</f>
        <v/>
      </c>
      <c r="D40" s="19" t="n">
        <v>788</v>
      </c>
      <c r="E40" s="18" t="n">
        <v>60.81496525</v>
      </c>
      <c r="F40" s="20" t="n">
        <v>2.84582842</v>
      </c>
      <c r="G40" s="18" t="n">
        <v>37.94580725</v>
      </c>
      <c r="H40" s="20" t="n">
        <v>2.8681176</v>
      </c>
      <c r="I40" s="18" t="n">
        <v>0</v>
      </c>
      <c r="J40" s="20" t="n">
        <v>0</v>
      </c>
      <c r="K40" s="18" t="n">
        <v>1.2392275</v>
      </c>
      <c r="L40" s="20" t="n">
        <v>0.62986361</v>
      </c>
      <c r="M40" s="18" t="n">
        <v>0</v>
      </c>
      <c r="N40" s="20" t="n">
        <v>0</v>
      </c>
      <c r="O40" s="18" t="n">
        <v>0</v>
      </c>
      <c r="P40" s="20" t="n">
        <v>0</v>
      </c>
      <c r="Q40" s="18" t="n">
        <v>0</v>
      </c>
      <c r="R40" s="20" t="n">
        <v>0</v>
      </c>
    </row>
    <row r="41" spans="1:18">
      <c r="A41" s="15" t="s">
        <v>599</v>
      </c>
      <c r="B41" s="17" t="n">
        <v>2854</v>
      </c>
      <c r="C41" s="18">
        <f>(2564.0/B41*100)</f>
        <v/>
      </c>
      <c r="D41" s="19" t="n">
        <v>290</v>
      </c>
      <c r="E41" s="18" t="n">
        <v>57.53283555</v>
      </c>
      <c r="F41" s="20" t="n">
        <v>2.97164017</v>
      </c>
      <c r="G41" s="18" t="n">
        <v>40.86501895</v>
      </c>
      <c r="H41" s="20" t="n">
        <v>3.09958764</v>
      </c>
      <c r="I41" s="18" t="n">
        <v>0</v>
      </c>
      <c r="J41" s="20" t="n">
        <v>0</v>
      </c>
      <c r="K41" s="18" t="n">
        <v>1.6021455</v>
      </c>
      <c r="L41" s="20" t="n">
        <v>0.728286</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(11190.0/B46*100)</f>
        <v/>
      </c>
      <c r="D46" s="19" t="n">
        <v>883</v>
      </c>
      <c r="E46" s="18" t="n">
        <v>68.14856429</v>
      </c>
      <c r="F46" s="20" t="n">
        <v>1.80388037</v>
      </c>
      <c r="G46" s="18" t="n">
        <v>27.389005</v>
      </c>
      <c r="H46" s="20" t="n">
        <v>1.60927045</v>
      </c>
      <c r="I46" s="18" t="n">
        <v>0</v>
      </c>
      <c r="J46" s="20" t="n">
        <v>0</v>
      </c>
      <c r="K46" s="18" t="n">
        <v>4.46243071</v>
      </c>
      <c r="L46" s="20" t="n">
        <v>0.98665921</v>
      </c>
      <c r="M46" s="18" t="n">
        <v>0</v>
      </c>
      <c r="N46" s="20" t="n">
        <v>0</v>
      </c>
      <c r="O46" s="18" t="n">
        <v>0</v>
      </c>
      <c r="P46" s="20" t="n">
        <v>0</v>
      </c>
      <c r="Q46" s="18" t="n">
        <v>0</v>
      </c>
      <c r="R46" s="20" t="n">
        <v>0</v>
      </c>
    </row>
    <row r="47" spans="1:18">
      <c r="A47" s="15" t="s">
        <v>606</v>
      </c>
      <c r="B47" s="17" t="n">
        <v>2823</v>
      </c>
      <c r="C47" s="18">
        <f>(2558.0/B47*100)</f>
        <v/>
      </c>
      <c r="D47" s="19" t="n">
        <v>265</v>
      </c>
      <c r="E47" s="18" t="n">
        <v>55.39155027</v>
      </c>
      <c r="F47" s="20" t="n">
        <v>2.76676621</v>
      </c>
      <c r="G47" s="18" t="n">
        <v>41.72378826</v>
      </c>
      <c r="H47" s="20" t="n">
        <v>2.83313078</v>
      </c>
      <c r="I47" s="18" t="n">
        <v>0</v>
      </c>
      <c r="J47" s="20" t="n">
        <v>0</v>
      </c>
      <c r="K47" s="18" t="n">
        <v>2.88466148</v>
      </c>
      <c r="L47" s="20" t="n">
        <v>0.9785854</v>
      </c>
      <c r="M47" s="18" t="n">
        <v>0</v>
      </c>
      <c r="N47" s="20" t="n">
        <v>0</v>
      </c>
      <c r="O47" s="18" t="n">
        <v>0</v>
      </c>
      <c r="P47" s="20" t="n">
        <v>0</v>
      </c>
      <c r="Q47" s="18" t="n">
        <v>0</v>
      </c>
      <c r="R47" s="20" t="n">
        <v>0</v>
      </c>
    </row>
    <row r="48" spans="1:18">
      <c r="A48" s="15" t="s">
        <v>607</v>
      </c>
      <c r="B48" s="17" t="n">
        <v>4682</v>
      </c>
      <c r="C48" s="18">
        <f>(4160.0/B48*100)</f>
        <v/>
      </c>
      <c r="D48" s="19" t="n">
        <v>522</v>
      </c>
      <c r="E48" s="18" t="n">
        <v>46.71536001</v>
      </c>
      <c r="F48" s="20" t="n">
        <v>3.44017554</v>
      </c>
      <c r="G48" s="18" t="n">
        <v>52.69607557</v>
      </c>
      <c r="H48" s="20" t="n">
        <v>3.4407729</v>
      </c>
      <c r="I48" s="18" t="n">
        <v>0</v>
      </c>
      <c r="J48" s="20" t="n">
        <v>0</v>
      </c>
      <c r="K48" s="18" t="n">
        <v>0.58856442</v>
      </c>
      <c r="L48" s="20" t="n">
        <v>0.41922295</v>
      </c>
      <c r="M48" s="18" t="n">
        <v>0</v>
      </c>
      <c r="N48" s="20" t="n">
        <v>0</v>
      </c>
      <c r="O48" s="18" t="n">
        <v>0</v>
      </c>
      <c r="P48" s="20" t="n">
        <v>0</v>
      </c>
      <c r="Q48" s="18" t="n">
        <v>0</v>
      </c>
      <c r="R48" s="20" t="n">
        <v>0</v>
      </c>
    </row>
    <row r="49" spans="1:18">
      <c r="A49" s="15" t="s">
        <v>608</v>
      </c>
      <c r="B49" s="17" t="n">
        <v>6158</v>
      </c>
      <c r="C49" s="18">
        <f>(5527.0/B49*100)</f>
        <v/>
      </c>
      <c r="D49" s="19" t="n">
        <v>631</v>
      </c>
      <c r="E49" s="18" t="n">
        <v>74.62977227</v>
      </c>
      <c r="F49" s="20" t="n">
        <v>2.05662603</v>
      </c>
      <c r="G49" s="18" t="n">
        <v>19.11883997</v>
      </c>
      <c r="H49" s="20" t="n">
        <v>2.04932042</v>
      </c>
      <c r="I49" s="18" t="n">
        <v>0</v>
      </c>
      <c r="J49" s="20" t="n">
        <v>0</v>
      </c>
      <c r="K49" s="18" t="n">
        <v>6.25138776</v>
      </c>
      <c r="L49" s="20" t="n">
        <v>1.44592834</v>
      </c>
      <c r="M49" s="18" t="n">
        <v>0</v>
      </c>
      <c r="N49" s="20" t="n">
        <v>0</v>
      </c>
      <c r="O49" s="18" t="n">
        <v>0</v>
      </c>
      <c r="P49" s="20" t="n">
        <v>0</v>
      </c>
      <c r="Q49" s="18" t="n">
        <v>0</v>
      </c>
      <c r="R49" s="20" t="n">
        <v>0</v>
      </c>
    </row>
    <row r="50" spans="1:18">
      <c r="A50" s="15" t="s">
        <v>609</v>
      </c>
      <c r="B50" s="17" t="n">
        <v>3494</v>
      </c>
      <c r="C50" s="18">
        <f>(2849.0/B50*100)</f>
        <v/>
      </c>
      <c r="D50" s="19" t="n">
        <v>645</v>
      </c>
      <c r="E50" s="18" t="n">
        <v>74.43258415</v>
      </c>
      <c r="F50" s="20" t="n">
        <v>1.61544355</v>
      </c>
      <c r="G50" s="18" t="n">
        <v>24.66173469</v>
      </c>
      <c r="H50" s="20" t="n">
        <v>1.62939859</v>
      </c>
      <c r="I50" s="18" t="n">
        <v>0</v>
      </c>
      <c r="J50" s="20" t="n">
        <v>0</v>
      </c>
      <c r="K50" s="18" t="n">
        <v>0.90568115</v>
      </c>
      <c r="L50" s="20" t="n">
        <v>0.32410541</v>
      </c>
      <c r="M50" s="18" t="n">
        <v>0</v>
      </c>
      <c r="N50" s="20" t="n">
        <v>0</v>
      </c>
      <c r="O50" s="18" t="n">
        <v>0</v>
      </c>
      <c r="P50" s="20" t="n">
        <v>0</v>
      </c>
      <c r="Q50" s="18" t="n">
        <v>0</v>
      </c>
      <c r="R50" s="20" t="n">
        <v>0</v>
      </c>
    </row>
    <row r="51" spans="1:18">
      <c r="A51" s="15" t="s">
        <v>610</v>
      </c>
      <c r="B51" s="17" t="n">
        <v>3013</v>
      </c>
      <c r="C51" s="18">
        <f>(2689.0/B51*100)</f>
        <v/>
      </c>
      <c r="D51" s="19" t="n">
        <v>324</v>
      </c>
      <c r="E51" s="18" t="n">
        <v>47.17036318</v>
      </c>
      <c r="F51" s="20" t="n">
        <v>2.69026483</v>
      </c>
      <c r="G51" s="18" t="n">
        <v>52.12632992</v>
      </c>
      <c r="H51" s="20" t="n">
        <v>2.72575225</v>
      </c>
      <c r="I51" s="18" t="n">
        <v>0</v>
      </c>
      <c r="J51" s="20" t="n">
        <v>0</v>
      </c>
      <c r="K51" s="18" t="n">
        <v>0.7033069</v>
      </c>
      <c r="L51" s="20" t="n">
        <v>0.50487536</v>
      </c>
      <c r="M51" s="18" t="n">
        <v>0</v>
      </c>
      <c r="N51" s="20" t="n">
        <v>0</v>
      </c>
      <c r="O51" s="18" t="n">
        <v>0</v>
      </c>
      <c r="P51" s="20" t="n">
        <v>0</v>
      </c>
      <c r="Q51" s="18" t="n">
        <v>0</v>
      </c>
      <c r="R51" s="20" t="n">
        <v>0</v>
      </c>
    </row>
    <row r="52" spans="1:18">
      <c r="A52" s="15" t="s">
        <v>611</v>
      </c>
      <c r="B52" s="17" t="n">
        <v>2760</v>
      </c>
      <c r="C52" s="18">
        <f>(2442.0/B52*100)</f>
        <v/>
      </c>
      <c r="D52" s="19" t="n">
        <v>318</v>
      </c>
      <c r="E52" s="18" t="n">
        <v>63.4911674</v>
      </c>
      <c r="F52" s="20" t="n">
        <v>2.69523434</v>
      </c>
      <c r="G52" s="18" t="n">
        <v>35.64656576</v>
      </c>
      <c r="H52" s="20" t="n">
        <v>2.60374655</v>
      </c>
      <c r="I52" s="18" t="n">
        <v>0</v>
      </c>
      <c r="J52" s="20" t="n">
        <v>0</v>
      </c>
      <c r="K52" s="18" t="n">
        <v>0.86226684</v>
      </c>
      <c r="L52" s="20" t="n">
        <v>0.50770158</v>
      </c>
      <c r="M52" s="18" t="n">
        <v>0</v>
      </c>
      <c r="N52" s="20" t="n">
        <v>0</v>
      </c>
      <c r="O52" s="18" t="n">
        <v>0</v>
      </c>
      <c r="P52" s="20" t="n">
        <v>0</v>
      </c>
      <c r="Q52" s="18" t="n">
        <v>0</v>
      </c>
      <c r="R52" s="20" t="n">
        <v>0</v>
      </c>
    </row>
    <row r="53" spans="1:18">
      <c r="A53" s="15" t="s">
        <v>612</v>
      </c>
      <c r="B53" s="17" t="n">
        <v>2474</v>
      </c>
      <c r="C53" s="18">
        <f>(2210.0/B53*100)</f>
        <v/>
      </c>
      <c r="D53" s="19" t="n">
        <v>264</v>
      </c>
      <c r="E53" s="18" t="n">
        <v>48.4173109</v>
      </c>
      <c r="F53" s="20" t="n">
        <v>3.17308207</v>
      </c>
      <c r="G53" s="18" t="n">
        <v>17.94094802</v>
      </c>
      <c r="H53" s="20" t="n">
        <v>2.62145408</v>
      </c>
      <c r="I53" s="18" t="n">
        <v>0</v>
      </c>
      <c r="J53" s="20" t="n">
        <v>0</v>
      </c>
      <c r="K53" s="18" t="n">
        <v>33.64174108</v>
      </c>
      <c r="L53" s="20" t="n">
        <v>3.22060508</v>
      </c>
      <c r="M53" s="18" t="n">
        <v>0</v>
      </c>
      <c r="N53" s="20" t="n">
        <v>0</v>
      </c>
      <c r="O53" s="18" t="n">
        <v>0</v>
      </c>
      <c r="P53" s="20" t="n">
        <v>0</v>
      </c>
      <c r="Q53" s="18" t="n">
        <v>0</v>
      </c>
      <c r="R53" s="20" t="n">
        <v>0</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(2388.0/B55*100)</f>
        <v/>
      </c>
      <c r="D55" s="19" t="n">
        <v>287</v>
      </c>
      <c r="E55" s="18" t="n">
        <v>42.78064695</v>
      </c>
      <c r="F55" s="20" t="n">
        <v>3.15158409</v>
      </c>
      <c r="G55" s="18" t="n">
        <v>56.26143485</v>
      </c>
      <c r="H55" s="20" t="n">
        <v>3.10948817</v>
      </c>
      <c r="I55" s="18" t="n">
        <v>0</v>
      </c>
      <c r="J55" s="20" t="n">
        <v>0</v>
      </c>
      <c r="K55" s="18" t="n">
        <v>0.9579182000000001</v>
      </c>
      <c r="L55" s="20" t="n">
        <v>0.71562461</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(2838.0/B61*100)</f>
        <v/>
      </c>
      <c r="D61" s="19" t="n">
        <v>363</v>
      </c>
      <c r="E61" s="18" t="n">
        <v>46.0094626</v>
      </c>
      <c r="F61" s="20" t="n">
        <v>2.77080864</v>
      </c>
      <c r="G61" s="18" t="n">
        <v>52.41975336</v>
      </c>
      <c r="H61" s="20" t="n">
        <v>2.80860132</v>
      </c>
      <c r="I61" s="18" t="n">
        <v>0</v>
      </c>
      <c r="J61" s="20" t="n">
        <v>0</v>
      </c>
      <c r="K61" s="18" t="n">
        <v>1.57078404</v>
      </c>
      <c r="L61" s="20" t="n">
        <v>0.65459863</v>
      </c>
      <c r="M61" s="18" t="n">
        <v>0</v>
      </c>
      <c r="N61" s="20" t="n">
        <v>0</v>
      </c>
      <c r="O61" s="18" t="n">
        <v>0</v>
      </c>
      <c r="P61" s="20" t="n">
        <v>0</v>
      </c>
      <c r="Q61" s="18" t="n">
        <v>0</v>
      </c>
      <c r="R61" s="20" t="n">
        <v>0</v>
      </c>
    </row>
    <row r="62" spans="1:18">
      <c r="A62" s="15" t="s">
        <v>622</v>
      </c>
      <c r="B62" s="17" t="n">
        <v>2230</v>
      </c>
      <c r="C62" s="18">
        <f>(1987.0/B62*100)</f>
        <v/>
      </c>
      <c r="D62" s="19" t="n">
        <v>243</v>
      </c>
      <c r="E62" s="18" t="n">
        <v>49.741389</v>
      </c>
      <c r="F62" s="20" t="n">
        <v>3.15281411</v>
      </c>
      <c r="G62" s="18" t="n">
        <v>50.258611</v>
      </c>
      <c r="H62" s="20" t="n">
        <v>3.15281411</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(2485.0/B67*100)</f>
        <v/>
      </c>
      <c r="D67" s="19" t="n">
        <v>286</v>
      </c>
      <c r="E67" s="18" t="n">
        <v>0</v>
      </c>
      <c r="F67" s="20" t="n">
        <v>0</v>
      </c>
      <c r="G67" s="18" t="n">
        <v>0</v>
      </c>
      <c r="H67" s="20" t="n">
        <v>0</v>
      </c>
      <c r="I67" s="18" t="n">
        <v>0</v>
      </c>
      <c r="J67" s="20" t="n">
        <v>0</v>
      </c>
      <c r="K67" s="18" t="n">
        <v>0</v>
      </c>
      <c r="L67" s="20" t="n">
        <v>0</v>
      </c>
      <c r="M67" s="18" t="n">
        <v>100</v>
      </c>
      <c r="N67" s="20" t="n">
        <v>0</v>
      </c>
      <c r="O67" s="18" t="n">
        <v>0</v>
      </c>
      <c r="P67" s="20" t="n">
        <v>0</v>
      </c>
      <c r="Q67" s="18" t="n">
        <v>0</v>
      </c>
      <c r="R67" s="20" t="n">
        <v>0</v>
      </c>
    </row>
    <row r="68" spans="1:18">
      <c r="A68" s="15" t="s">
        <v>628</v>
      </c>
      <c r="B68" s="17" t="n">
        <v>3460</v>
      </c>
      <c r="C68" s="18">
        <f>(3192.0/B68*100)</f>
        <v/>
      </c>
      <c r="D68" s="19" t="n">
        <v>268</v>
      </c>
      <c r="E68" s="18" t="n">
        <v>69.5605305</v>
      </c>
      <c r="F68" s="20" t="n">
        <v>3.21912228</v>
      </c>
      <c r="G68" s="18" t="n">
        <v>28.83370642</v>
      </c>
      <c r="H68" s="20" t="n">
        <v>3.04840137</v>
      </c>
      <c r="I68" s="18" t="n">
        <v>0</v>
      </c>
      <c r="J68" s="20" t="n">
        <v>0</v>
      </c>
      <c r="K68" s="18" t="n">
        <v>1.60576308</v>
      </c>
      <c r="L68" s="20" t="n">
        <v>0.73804647</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(5361.0/B70*100)</f>
        <v/>
      </c>
      <c r="D70" s="19" t="n">
        <v>673</v>
      </c>
      <c r="E70" s="18" t="n">
        <v>64.30471879</v>
      </c>
      <c r="F70" s="20" t="n">
        <v>1.94150769</v>
      </c>
      <c r="G70" s="18" t="n">
        <v>29.38357868</v>
      </c>
      <c r="H70" s="20" t="n">
        <v>1.78262107</v>
      </c>
      <c r="I70" s="18" t="n">
        <v>0</v>
      </c>
      <c r="J70" s="20" t="n">
        <v>0</v>
      </c>
      <c r="K70" s="18" t="n">
        <v>6.31170253</v>
      </c>
      <c r="L70" s="20" t="n">
        <v>1.01919727</v>
      </c>
      <c r="M70" s="18" t="n">
        <v>0</v>
      </c>
      <c r="N70" s="20" t="n">
        <v>0</v>
      </c>
      <c r="O70" s="18" t="n">
        <v>0</v>
      </c>
      <c r="P70" s="20" t="n">
        <v>0</v>
      </c>
      <c r="Q70" s="18" t="n">
        <v>0</v>
      </c>
      <c r="R70" s="20" t="n">
        <v>0</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(2794.0/B72*100)</f>
        <v/>
      </c>
      <c r="D72" s="19" t="n">
        <v>313</v>
      </c>
      <c r="E72" s="18" t="n">
        <v>52.61645123</v>
      </c>
      <c r="F72" s="20" t="n">
        <v>3.45321685</v>
      </c>
      <c r="G72" s="18" t="n">
        <v>45.49921075</v>
      </c>
      <c r="H72" s="20" t="n">
        <v>3.24583268</v>
      </c>
      <c r="I72" s="18" t="n">
        <v>0</v>
      </c>
      <c r="J72" s="20" t="n">
        <v>0</v>
      </c>
      <c r="K72" s="18" t="n">
        <v>1.88433802</v>
      </c>
      <c r="L72" s="20" t="n">
        <v>0.66316093</v>
      </c>
      <c r="M72" s="18" t="n">
        <v>0</v>
      </c>
      <c r="N72" s="20" t="n">
        <v>0</v>
      </c>
      <c r="O72" s="18" t="n">
        <v>0</v>
      </c>
      <c r="P72" s="20" t="n">
        <v>0</v>
      </c>
      <c r="Q72" s="18" t="n">
        <v>0</v>
      </c>
      <c r="R72" s="20" t="n">
        <v>0</v>
      </c>
    </row>
    <row r="73" spans="1:18">
      <c r="A73" s="15" t="s">
        <v>633</v>
      </c>
      <c r="B73" s="17" t="n">
        <v>2973</v>
      </c>
      <c r="C73" s="18">
        <f>(2655.0/B73*100)</f>
        <v/>
      </c>
      <c r="D73" s="19" t="n">
        <v>318</v>
      </c>
      <c r="E73" s="18" t="n">
        <v>50.68674921</v>
      </c>
      <c r="F73" s="20" t="n">
        <v>2.90228025</v>
      </c>
      <c r="G73" s="18" t="n">
        <v>48.3019409</v>
      </c>
      <c r="H73" s="20" t="n">
        <v>2.88815733</v>
      </c>
      <c r="I73" s="18" t="n">
        <v>0</v>
      </c>
      <c r="J73" s="20" t="n">
        <v>0</v>
      </c>
      <c r="K73" s="18" t="n">
        <v>1.01130989</v>
      </c>
      <c r="L73" s="20" t="n">
        <v>0.60242316</v>
      </c>
      <c r="M73" s="18" t="n">
        <v>0</v>
      </c>
      <c r="N73" s="20" t="n">
        <v>0</v>
      </c>
      <c r="O73" s="18" t="n">
        <v>0</v>
      </c>
      <c r="P73" s="20" t="n">
        <v>0</v>
      </c>
      <c r="Q73" s="18" t="n">
        <v>0</v>
      </c>
      <c r="R73" s="20" t="n">
        <v>0</v>
      </c>
    </row>
    <row r="74" spans="1:18">
      <c r="A74" s="15" t="s">
        <v>634</v>
      </c>
      <c r="B74" s="17" t="n">
        <v>3819</v>
      </c>
      <c r="C74" s="18">
        <f>(3366.0/B74*100)</f>
        <v/>
      </c>
      <c r="D74" s="19" t="n">
        <v>453</v>
      </c>
      <c r="E74" s="18" t="n">
        <v>29.5437705</v>
      </c>
      <c r="F74" s="20" t="n">
        <v>2.40390392</v>
      </c>
      <c r="G74" s="18" t="n">
        <v>69.93223177</v>
      </c>
      <c r="H74" s="20" t="n">
        <v>2.39608127</v>
      </c>
      <c r="I74" s="18" t="n">
        <v>0</v>
      </c>
      <c r="J74" s="20" t="n">
        <v>0</v>
      </c>
      <c r="K74" s="18" t="n">
        <v>0.5239977300000001</v>
      </c>
      <c r="L74" s="20" t="n">
        <v>0.31913551</v>
      </c>
      <c r="M74" s="18" t="n">
        <v>0</v>
      </c>
      <c r="N74" s="20" t="n">
        <v>0</v>
      </c>
      <c r="O74" s="18" t="n">
        <v>0</v>
      </c>
      <c r="P74" s="20" t="n">
        <v>0</v>
      </c>
      <c r="Q74" s="18" t="n">
        <v>0</v>
      </c>
      <c r="R74" s="20" t="n">
        <v>0</v>
      </c>
    </row>
    <row r="75" spans="1:18">
      <c r="A75" s="15" t="s">
        <v>635</v>
      </c>
      <c r="B75" s="17" t="n">
        <v>4652</v>
      </c>
      <c r="C75" s="18">
        <f>(4203.0/B75*100)</f>
        <v/>
      </c>
      <c r="D75" s="19" t="n">
        <v>449</v>
      </c>
      <c r="E75" s="18" t="n">
        <v>64.96698932</v>
      </c>
      <c r="F75" s="20" t="n">
        <v>2.77736433</v>
      </c>
      <c r="G75" s="18" t="n">
        <v>35.03301068</v>
      </c>
      <c r="H75" s="20" t="n">
        <v>2.77736433</v>
      </c>
      <c r="I75" s="18" t="n">
        <v>0</v>
      </c>
      <c r="J75" s="20" t="n">
        <v>0</v>
      </c>
      <c r="K75" s="18" t="n">
        <v>0</v>
      </c>
      <c r="L75" s="20" t="n">
        <v>0</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(2694.0/B77*100)</f>
        <v/>
      </c>
      <c r="D77" s="19" t="n">
        <v>275</v>
      </c>
      <c r="E77" s="18" t="n">
        <v>57.96948983</v>
      </c>
      <c r="F77" s="20" t="n">
        <v>2.9240631</v>
      </c>
      <c r="G77" s="18" t="n">
        <v>30.12557351</v>
      </c>
      <c r="H77" s="20" t="n">
        <v>2.54800896</v>
      </c>
      <c r="I77" s="18" t="n">
        <v>0</v>
      </c>
      <c r="J77" s="20" t="n">
        <v>0</v>
      </c>
      <c r="K77" s="18" t="n">
        <v>11.90493666</v>
      </c>
      <c r="L77" s="20" t="n">
        <v>2.16245485</v>
      </c>
      <c r="M77" s="18" t="n">
        <v>0</v>
      </c>
      <c r="N77" s="20" t="n">
        <v>0</v>
      </c>
      <c r="O77" s="18" t="n">
        <v>0</v>
      </c>
      <c r="P77" s="20" t="n">
        <v>0</v>
      </c>
      <c r="Q77" s="18" t="n">
        <v>0</v>
      </c>
      <c r="R77" s="20" t="n">
        <v>0</v>
      </c>
    </row>
    <row r="78" spans="1:18">
      <c r="A78" s="15" t="s">
        <v>638</v>
      </c>
      <c r="B78" s="17" t="n">
        <v>7115</v>
      </c>
      <c r="C78" s="18">
        <f>(6301.0/B78*100)</f>
        <v/>
      </c>
      <c r="D78" s="19" t="n">
        <v>814</v>
      </c>
      <c r="E78" s="18" t="n">
        <v>64.40387853999999</v>
      </c>
      <c r="F78" s="20" t="n">
        <v>2.13095458</v>
      </c>
      <c r="G78" s="18" t="n">
        <v>33.1643402</v>
      </c>
      <c r="H78" s="20" t="n">
        <v>2.233579</v>
      </c>
      <c r="I78" s="18" t="n">
        <v>0</v>
      </c>
      <c r="J78" s="20" t="n">
        <v>0</v>
      </c>
      <c r="K78" s="18" t="n">
        <v>2.43178126</v>
      </c>
      <c r="L78" s="20" t="n">
        <v>0.69753485</v>
      </c>
      <c r="M78" s="18" t="n">
        <v>0</v>
      </c>
      <c r="N78" s="20" t="n">
        <v>0</v>
      </c>
      <c r="O78" s="18" t="n">
        <v>0</v>
      </c>
      <c r="P78" s="20" t="n">
        <v>0</v>
      </c>
      <c r="Q78" s="18" t="n">
        <v>0</v>
      </c>
      <c r="R78" s="20" t="n">
        <v>0</v>
      </c>
    </row>
    <row r="79" spans="1:18">
      <c r="A79" s="15" t="s">
        <v>639</v>
      </c>
      <c r="B79" s="17" t="n">
        <v>3154</v>
      </c>
      <c r="C79" s="18">
        <f>(2837.0/B79*100)</f>
        <v/>
      </c>
      <c r="D79" s="19" t="n">
        <v>317</v>
      </c>
      <c r="E79" s="18" t="n">
        <v>64.68237068000001</v>
      </c>
      <c r="F79" s="20" t="n">
        <v>2.9149367</v>
      </c>
      <c r="G79" s="18" t="n">
        <v>31.06953415</v>
      </c>
      <c r="H79" s="20" t="n">
        <v>2.67563075</v>
      </c>
      <c r="I79" s="18" t="n">
        <v>0</v>
      </c>
      <c r="J79" s="20" t="n">
        <v>0</v>
      </c>
      <c r="K79" s="18" t="n">
        <v>4.24809517</v>
      </c>
      <c r="L79" s="20" t="n">
        <v>1.2468707</v>
      </c>
      <c r="M79" s="18" t="n">
        <v>0</v>
      </c>
      <c r="N79" s="20" t="n">
        <v>0</v>
      </c>
      <c r="O79" s="18" t="n">
        <v>0</v>
      </c>
      <c r="P79" s="20" t="n">
        <v>0</v>
      </c>
      <c r="Q79" s="18" t="n">
        <v>0</v>
      </c>
      <c r="R79" s="20" t="n">
        <v>0</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(14341.0/B82*100)</f>
        <v/>
      </c>
      <c r="D82" s="19" t="n">
        <v>1620</v>
      </c>
      <c r="E82" s="18" t="n">
        <v>50.87798006</v>
      </c>
      <c r="F82" s="20" t="n">
        <v>2.15062577</v>
      </c>
      <c r="G82" s="18" t="n">
        <v>48.04945228</v>
      </c>
      <c r="H82" s="20" t="n">
        <v>2.13936224</v>
      </c>
      <c r="I82" s="18" t="n">
        <v>0</v>
      </c>
      <c r="J82" s="20" t="n">
        <v>0</v>
      </c>
      <c r="K82" s="18" t="n">
        <v>1.07256766</v>
      </c>
      <c r="L82" s="20" t="n">
        <v>0.32776269</v>
      </c>
      <c r="M82" s="18" t="n">
        <v>0</v>
      </c>
      <c r="N82" s="20" t="n">
        <v>0</v>
      </c>
      <c r="O82" s="18" t="n">
        <v>0</v>
      </c>
      <c r="P82" s="20" t="n">
        <v>0</v>
      </c>
      <c r="Q82" s="18" t="n">
        <v>0</v>
      </c>
      <c r="R82" s="20" t="n">
        <v>0</v>
      </c>
    </row>
    <row r="83" spans="1:18">
      <c r="A83" s="15" t="s">
        <v>643</v>
      </c>
      <c r="B83" s="17" t="n">
        <v>808</v>
      </c>
      <c r="C83" s="18">
        <f>(716.0/B83*100)</f>
        <v/>
      </c>
      <c r="D83" s="19" t="n">
        <v>92</v>
      </c>
      <c r="E83" s="18" t="n">
        <v>58.32685924</v>
      </c>
      <c r="F83" s="20" t="n">
        <v>4.9768012</v>
      </c>
      <c r="G83" s="18" t="n">
        <v>41.67314076</v>
      </c>
      <c r="H83" s="20" t="n">
        <v>4.9768012</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(828.0/B84*100)</f>
        <v/>
      </c>
      <c r="D84" s="19" t="n">
        <v>110</v>
      </c>
      <c r="E84" s="18" t="n">
        <v>59.80408543</v>
      </c>
      <c r="F84" s="20" t="n">
        <v>5.11388284</v>
      </c>
      <c r="G84" s="18" t="n">
        <v>40.19591457</v>
      </c>
      <c r="H84" s="20" t="n">
        <v>5.11388284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(6381.0/B7*100)</f>
        <v/>
      </c>
      <c r="D7" s="19" t="n">
        <v>782</v>
      </c>
      <c r="E7" s="18" t="n">
        <v>32.13392201</v>
      </c>
      <c r="F7" s="20" t="n">
        <v>2.00274245</v>
      </c>
      <c r="G7" s="18" t="n">
        <v>57.81204524</v>
      </c>
      <c r="H7" s="20" t="n">
        <v>1.90074343</v>
      </c>
      <c r="I7" s="18" t="n">
        <v>0</v>
      </c>
      <c r="J7" s="20" t="n">
        <v>0</v>
      </c>
      <c r="K7" s="18" t="n">
        <v>0</v>
      </c>
      <c r="L7" s="20" t="n">
        <v>0</v>
      </c>
      <c r="M7" s="18" t="n">
        <v>0.27747774</v>
      </c>
      <c r="N7" s="20" t="n">
        <v>0.30321771</v>
      </c>
      <c r="O7" s="18" t="n">
        <v>0</v>
      </c>
      <c r="P7" s="20" t="n">
        <v>0</v>
      </c>
      <c r="Q7" s="18" t="n">
        <v>9.776555009999999</v>
      </c>
      <c r="R7" s="20" t="n">
        <v>1.1187781</v>
      </c>
    </row>
    <row r="8" spans="1:18">
      <c r="A8" s="15" t="s">
        <v>566</v>
      </c>
      <c r="B8" s="17" t="n">
        <v>3443</v>
      </c>
      <c r="C8" s="18">
        <f>(3057.0/B8*100)</f>
        <v/>
      </c>
      <c r="D8" s="19" t="n">
        <v>386</v>
      </c>
      <c r="E8" s="18" t="n">
        <v>36.23919413</v>
      </c>
      <c r="F8" s="20" t="n">
        <v>2.76533551</v>
      </c>
      <c r="G8" s="18" t="n">
        <v>39.4721052</v>
      </c>
      <c r="H8" s="20" t="n">
        <v>2.58100559</v>
      </c>
      <c r="I8" s="18" t="n">
        <v>0</v>
      </c>
      <c r="J8" s="20" t="n">
        <v>0</v>
      </c>
      <c r="K8" s="18" t="n">
        <v>0.29434519</v>
      </c>
      <c r="L8" s="20" t="n">
        <v>0.33233996</v>
      </c>
      <c r="M8" s="18" t="n">
        <v>0</v>
      </c>
      <c r="N8" s="20" t="n">
        <v>0</v>
      </c>
      <c r="O8" s="18" t="n">
        <v>0</v>
      </c>
      <c r="P8" s="20" t="n">
        <v>0</v>
      </c>
      <c r="Q8" s="18" t="n">
        <v>23.99435548</v>
      </c>
      <c r="R8" s="20" t="n">
        <v>2.28254273</v>
      </c>
    </row>
    <row r="9" spans="1:18">
      <c r="A9" s="15" t="s">
        <v>567</v>
      </c>
      <c r="B9" s="17" t="n">
        <v>4752</v>
      </c>
      <c r="C9" s="18">
        <f>(4246.0/B9*100)</f>
        <v/>
      </c>
      <c r="D9" s="19" t="n">
        <v>506</v>
      </c>
      <c r="E9" s="18" t="n">
        <v>33.77712669</v>
      </c>
      <c r="F9" s="20" t="n">
        <v>2.36775832</v>
      </c>
      <c r="G9" s="18" t="n">
        <v>52.99378606</v>
      </c>
      <c r="H9" s="20" t="n">
        <v>2.21946606</v>
      </c>
      <c r="I9" s="18" t="n">
        <v>0</v>
      </c>
      <c r="J9" s="20" t="n">
        <v>0</v>
      </c>
      <c r="K9" s="18" t="n">
        <v>0</v>
      </c>
      <c r="L9" s="20" t="n">
        <v>0</v>
      </c>
      <c r="M9" s="18" t="n">
        <v>0</v>
      </c>
      <c r="N9" s="20" t="n">
        <v>0</v>
      </c>
      <c r="O9" s="18" t="n">
        <v>0</v>
      </c>
      <c r="P9" s="20" t="n">
        <v>0</v>
      </c>
      <c r="Q9" s="18" t="n">
        <v>13.22908726</v>
      </c>
      <c r="R9" s="20" t="n">
        <v>1.28854944</v>
      </c>
    </row>
    <row r="10" spans="1:18">
      <c r="A10" s="15" t="s">
        <v>568</v>
      </c>
      <c r="B10" s="17" t="n">
        <v>10022</v>
      </c>
      <c r="C10" s="18">
        <f>(8889.0/B10*100)</f>
        <v/>
      </c>
      <c r="D10" s="19" t="n">
        <v>1133</v>
      </c>
      <c r="E10" s="18" t="n">
        <v>31.0053079</v>
      </c>
      <c r="F10" s="20" t="n">
        <v>1.81203143</v>
      </c>
      <c r="G10" s="18" t="n">
        <v>62.96108037</v>
      </c>
      <c r="H10" s="20" t="n">
        <v>2.03661716</v>
      </c>
      <c r="I10" s="18" t="n">
        <v>0</v>
      </c>
      <c r="J10" s="20" t="n">
        <v>0</v>
      </c>
      <c r="K10" s="18" t="n">
        <v>0.04184035</v>
      </c>
      <c r="L10" s="20" t="n">
        <v>0.02918018</v>
      </c>
      <c r="M10" s="18" t="n">
        <v>0</v>
      </c>
      <c r="N10" s="20" t="n">
        <v>0</v>
      </c>
      <c r="O10" s="18" t="n">
        <v>0</v>
      </c>
      <c r="P10" s="20" t="n">
        <v>0</v>
      </c>
      <c r="Q10" s="18" t="n">
        <v>5.99177137</v>
      </c>
      <c r="R10" s="20" t="n">
        <v>0.91214639</v>
      </c>
    </row>
    <row r="11" spans="1:18">
      <c r="A11" s="15" t="s">
        <v>569</v>
      </c>
      <c r="B11" s="17" t="n">
        <v>3500</v>
      </c>
      <c r="C11" s="18">
        <f>(3139.0/B11*100)</f>
        <v/>
      </c>
      <c r="D11" s="19" t="n">
        <v>361</v>
      </c>
      <c r="E11" s="18" t="n">
        <v>36.97068383</v>
      </c>
      <c r="F11" s="20" t="n">
        <v>2.94757707</v>
      </c>
      <c r="G11" s="18" t="n">
        <v>49.22488151</v>
      </c>
      <c r="H11" s="20" t="n">
        <v>2.90309382</v>
      </c>
      <c r="I11" s="18" t="n">
        <v>0</v>
      </c>
      <c r="J11" s="20" t="n">
        <v>0</v>
      </c>
      <c r="K11" s="18" t="n">
        <v>0.44810406</v>
      </c>
      <c r="L11" s="20" t="n">
        <v>0.37454853</v>
      </c>
      <c r="M11" s="18" t="n">
        <v>0</v>
      </c>
      <c r="N11" s="20" t="n">
        <v>0</v>
      </c>
      <c r="O11" s="18" t="n">
        <v>0</v>
      </c>
      <c r="P11" s="20" t="n">
        <v>0</v>
      </c>
      <c r="Q11" s="18" t="n">
        <v>13.3563306</v>
      </c>
      <c r="R11" s="20" t="n">
        <v>2.2018481</v>
      </c>
    </row>
    <row r="12" spans="1:18">
      <c r="A12" s="15" t="s">
        <v>570</v>
      </c>
      <c r="B12" s="17" t="n">
        <v>3422</v>
      </c>
      <c r="C12" s="18">
        <f>(3061.0/B12*100)</f>
        <v/>
      </c>
      <c r="D12" s="19" t="n">
        <v>361</v>
      </c>
      <c r="E12" s="18" t="n">
        <v>38.96213093</v>
      </c>
      <c r="F12" s="20" t="n">
        <v>3.2224976</v>
      </c>
      <c r="G12" s="18" t="n">
        <v>40.15640807</v>
      </c>
      <c r="H12" s="20" t="n">
        <v>2.55001972</v>
      </c>
      <c r="I12" s="18" t="n">
        <v>0</v>
      </c>
      <c r="J12" s="20" t="n">
        <v>0</v>
      </c>
      <c r="K12" s="18" t="n">
        <v>0.26952916</v>
      </c>
      <c r="L12" s="20" t="n">
        <v>0.26897451</v>
      </c>
      <c r="M12" s="18" t="n">
        <v>0</v>
      </c>
      <c r="N12" s="20" t="n">
        <v>0</v>
      </c>
      <c r="O12" s="18" t="n">
        <v>0</v>
      </c>
      <c r="P12" s="20" t="n">
        <v>0</v>
      </c>
      <c r="Q12" s="18" t="n">
        <v>20.61193185</v>
      </c>
      <c r="R12" s="20" t="n">
        <v>2.53800398</v>
      </c>
    </row>
    <row r="13" spans="1:18">
      <c r="A13" s="15" t="s">
        <v>571</v>
      </c>
      <c r="B13" s="17" t="n">
        <v>3602</v>
      </c>
      <c r="C13" s="18">
        <f>(3193.0/B13*100)</f>
        <v/>
      </c>
      <c r="D13" s="19" t="n">
        <v>409</v>
      </c>
      <c r="E13" s="18" t="n">
        <v>25.63221324</v>
      </c>
      <c r="F13" s="20" t="n">
        <v>2.66454838</v>
      </c>
      <c r="G13" s="18" t="n">
        <v>58.08663109</v>
      </c>
      <c r="H13" s="20" t="n">
        <v>2.96448578</v>
      </c>
      <c r="I13" s="18" t="n">
        <v>0</v>
      </c>
      <c r="J13" s="20" t="n">
        <v>0</v>
      </c>
      <c r="K13" s="18" t="n">
        <v>0</v>
      </c>
      <c r="L13" s="20" t="n">
        <v>0</v>
      </c>
      <c r="M13" s="18" t="n">
        <v>0</v>
      </c>
      <c r="N13" s="20" t="n">
        <v>0</v>
      </c>
      <c r="O13" s="18" t="n">
        <v>0</v>
      </c>
      <c r="P13" s="20" t="n">
        <v>0</v>
      </c>
      <c r="Q13" s="18" t="n">
        <v>16.28115567</v>
      </c>
      <c r="R13" s="20" t="n">
        <v>1.94206083</v>
      </c>
    </row>
    <row r="14" spans="1:18">
      <c r="A14" s="15" t="s">
        <v>572</v>
      </c>
      <c r="B14" s="17" t="n">
        <v>2788</v>
      </c>
      <c r="C14" s="18">
        <f>(2473.0/B14*100)</f>
        <v/>
      </c>
      <c r="D14" s="19" t="n">
        <v>315</v>
      </c>
      <c r="E14" s="18" t="n">
        <v>23.53164525</v>
      </c>
      <c r="F14" s="20" t="n">
        <v>2.66489227</v>
      </c>
      <c r="G14" s="18" t="n">
        <v>67.34712603</v>
      </c>
      <c r="H14" s="20" t="n">
        <v>2.86651825</v>
      </c>
      <c r="I14" s="18" t="n">
        <v>0</v>
      </c>
      <c r="J14" s="20" t="n">
        <v>0</v>
      </c>
      <c r="K14" s="18" t="n">
        <v>0</v>
      </c>
      <c r="L14" s="20" t="n">
        <v>0</v>
      </c>
      <c r="M14" s="18" t="n">
        <v>0</v>
      </c>
      <c r="N14" s="20" t="n">
        <v>0</v>
      </c>
      <c r="O14" s="18" t="n">
        <v>0</v>
      </c>
      <c r="P14" s="20" t="n">
        <v>0</v>
      </c>
      <c r="Q14" s="18" t="n">
        <v>9.12122872</v>
      </c>
      <c r="R14" s="20" t="n">
        <v>2.08612271</v>
      </c>
    </row>
    <row r="15" spans="1:18">
      <c r="A15" s="15" t="s">
        <v>573</v>
      </c>
      <c r="B15" s="17" t="n">
        <v>2863</v>
      </c>
      <c r="C15" s="18">
        <f>(2560.0/B15*100)</f>
        <v/>
      </c>
      <c r="D15" s="19" t="n">
        <v>303</v>
      </c>
      <c r="E15" s="18" t="n">
        <v>20.41205063</v>
      </c>
      <c r="F15" s="20" t="n">
        <v>2.75785971</v>
      </c>
      <c r="G15" s="18" t="n">
        <v>69.5973364</v>
      </c>
      <c r="H15" s="20" t="n">
        <v>2.97959761</v>
      </c>
      <c r="I15" s="18" t="n">
        <v>0</v>
      </c>
      <c r="J15" s="20" t="n">
        <v>0</v>
      </c>
      <c r="K15" s="18" t="n">
        <v>0</v>
      </c>
      <c r="L15" s="20" t="n">
        <v>0</v>
      </c>
      <c r="M15" s="18" t="n">
        <v>0</v>
      </c>
      <c r="N15" s="20" t="n">
        <v>0</v>
      </c>
      <c r="O15" s="18" t="n">
        <v>0</v>
      </c>
      <c r="P15" s="20" t="n">
        <v>0</v>
      </c>
      <c r="Q15" s="18" t="n">
        <v>9.990612970000001</v>
      </c>
      <c r="R15" s="20" t="n">
        <v>1.49827755</v>
      </c>
    </row>
    <row r="16" spans="1:18">
      <c r="A16" s="15" t="s">
        <v>574</v>
      </c>
      <c r="B16" s="17" t="n">
        <v>3111</v>
      </c>
      <c r="C16" s="18">
        <f>(2771.0/B16*100)</f>
        <v/>
      </c>
      <c r="D16" s="19" t="n">
        <v>340</v>
      </c>
      <c r="E16" s="18" t="n">
        <v>27.41663707</v>
      </c>
      <c r="F16" s="20" t="n">
        <v>2.62901294</v>
      </c>
      <c r="G16" s="18" t="n">
        <v>54.20310877</v>
      </c>
      <c r="H16" s="20" t="n">
        <v>2.82452</v>
      </c>
      <c r="I16" s="18" t="n">
        <v>0</v>
      </c>
      <c r="J16" s="20" t="n">
        <v>0</v>
      </c>
      <c r="K16" s="18" t="n">
        <v>0</v>
      </c>
      <c r="L16" s="20" t="n">
        <v>0</v>
      </c>
      <c r="M16" s="18" t="n">
        <v>0</v>
      </c>
      <c r="N16" s="20" t="n">
        <v>0</v>
      </c>
      <c r="O16" s="18" t="n">
        <v>0</v>
      </c>
      <c r="P16" s="20" t="n">
        <v>0</v>
      </c>
      <c r="Q16" s="18" t="n">
        <v>18.38025416</v>
      </c>
      <c r="R16" s="20" t="n">
        <v>1.7298227</v>
      </c>
    </row>
    <row r="17" spans="1:18">
      <c r="A17" s="15" t="s">
        <v>575</v>
      </c>
      <c r="B17" s="17" t="n">
        <v>3197</v>
      </c>
      <c r="C17" s="18">
        <f>(2848.0/B17*100)</f>
        <v/>
      </c>
      <c r="D17" s="19" t="n">
        <v>349</v>
      </c>
      <c r="E17" s="18" t="n">
        <v>44.15943599</v>
      </c>
      <c r="F17" s="20" t="n">
        <v>2.53339509</v>
      </c>
      <c r="G17" s="18" t="n">
        <v>40.01972587</v>
      </c>
      <c r="H17" s="20" t="n">
        <v>2.87918527</v>
      </c>
      <c r="I17" s="18" t="n">
        <v>0</v>
      </c>
      <c r="J17" s="20" t="n">
        <v>0</v>
      </c>
      <c r="K17" s="18" t="n">
        <v>0.2915452</v>
      </c>
      <c r="L17" s="20" t="n">
        <v>0.28704485</v>
      </c>
      <c r="M17" s="18" t="n">
        <v>0</v>
      </c>
      <c r="N17" s="20" t="n">
        <v>0</v>
      </c>
      <c r="O17" s="18" t="n">
        <v>0</v>
      </c>
      <c r="P17" s="20" t="n">
        <v>0</v>
      </c>
      <c r="Q17" s="18" t="n">
        <v>15.52929294</v>
      </c>
      <c r="R17" s="20" t="n">
        <v>2.01707249</v>
      </c>
    </row>
    <row r="18" spans="1:18">
      <c r="A18" s="15" t="s">
        <v>576</v>
      </c>
      <c r="B18" s="17" t="n">
        <v>2706</v>
      </c>
      <c r="C18" s="18">
        <f>(2419.0/B18*100)</f>
        <v/>
      </c>
      <c r="D18" s="19" t="n">
        <v>287</v>
      </c>
      <c r="E18" s="18" t="n">
        <v>47.03367537</v>
      </c>
      <c r="F18" s="20" t="n">
        <v>2.85652043</v>
      </c>
      <c r="G18" s="18" t="n">
        <v>41.79729171</v>
      </c>
      <c r="H18" s="20" t="n">
        <v>3.16501731</v>
      </c>
      <c r="I18" s="18" t="n">
        <v>0</v>
      </c>
      <c r="J18" s="20" t="n">
        <v>0</v>
      </c>
      <c r="K18" s="18" t="n">
        <v>0.28132776</v>
      </c>
      <c r="L18" s="20" t="n">
        <v>0.27368074</v>
      </c>
      <c r="M18" s="18" t="n">
        <v>0</v>
      </c>
      <c r="N18" s="20" t="n">
        <v>0</v>
      </c>
      <c r="O18" s="18" t="n">
        <v>0</v>
      </c>
      <c r="P18" s="20" t="n">
        <v>0</v>
      </c>
      <c r="Q18" s="18" t="n">
        <v>10.88770516</v>
      </c>
      <c r="R18" s="20" t="n">
        <v>2.01742571</v>
      </c>
    </row>
    <row r="19" spans="1:18">
      <c r="A19" s="15" t="s">
        <v>577</v>
      </c>
      <c r="B19" s="17" t="n">
        <v>2850</v>
      </c>
      <c r="C19" s="18">
        <f>(2542.0/B19*100)</f>
        <v/>
      </c>
      <c r="D19" s="19" t="n">
        <v>308</v>
      </c>
      <c r="E19" s="18" t="n">
        <v>29.65614342</v>
      </c>
      <c r="F19" s="20" t="n">
        <v>2.84716856</v>
      </c>
      <c r="G19" s="18" t="n">
        <v>47.34493298</v>
      </c>
      <c r="H19" s="20" t="n">
        <v>2.8084199</v>
      </c>
      <c r="I19" s="18" t="n">
        <v>0</v>
      </c>
      <c r="J19" s="20" t="n">
        <v>0</v>
      </c>
      <c r="K19" s="18" t="n">
        <v>0</v>
      </c>
      <c r="L19" s="20" t="n">
        <v>0</v>
      </c>
      <c r="M19" s="18" t="n">
        <v>0</v>
      </c>
      <c r="N19" s="20" t="n">
        <v>0</v>
      </c>
      <c r="O19" s="18" t="n">
        <v>0</v>
      </c>
      <c r="P19" s="20" t="n">
        <v>0</v>
      </c>
      <c r="Q19" s="18" t="n">
        <v>22.9989236</v>
      </c>
      <c r="R19" s="20" t="n">
        <v>2.61886769</v>
      </c>
    </row>
    <row r="20" spans="1:18">
      <c r="A20" s="15" t="s">
        <v>578</v>
      </c>
      <c r="B20" s="17" t="n">
        <v>1741</v>
      </c>
      <c r="C20" s="18">
        <f>(1522.0/B20*100)</f>
        <v/>
      </c>
      <c r="D20" s="19" t="n">
        <v>219</v>
      </c>
      <c r="E20" s="18" t="n">
        <v>33.2609389</v>
      </c>
      <c r="F20" s="20" t="n">
        <v>3.32085054</v>
      </c>
      <c r="G20" s="18" t="n">
        <v>50.59234731</v>
      </c>
      <c r="H20" s="20" t="n">
        <v>3.41550403</v>
      </c>
      <c r="I20" s="18" t="n">
        <v>0</v>
      </c>
      <c r="J20" s="20" t="n">
        <v>0</v>
      </c>
      <c r="K20" s="18" t="n">
        <v>0</v>
      </c>
      <c r="L20" s="20" t="n">
        <v>0</v>
      </c>
      <c r="M20" s="18" t="n">
        <v>0</v>
      </c>
      <c r="N20" s="20" t="n">
        <v>0</v>
      </c>
      <c r="O20" s="18" t="n">
        <v>0</v>
      </c>
      <c r="P20" s="20" t="n">
        <v>0</v>
      </c>
      <c r="Q20" s="18" t="n">
        <v>16.14671379</v>
      </c>
      <c r="R20" s="20" t="n">
        <v>2.37115693</v>
      </c>
    </row>
    <row r="21" spans="1:18">
      <c r="A21" s="15" t="s">
        <v>579</v>
      </c>
      <c r="B21" s="17" t="n">
        <v>2833</v>
      </c>
      <c r="C21" s="18">
        <f>(2528.0/B21*100)</f>
        <v/>
      </c>
      <c r="D21" s="19" t="n">
        <v>305</v>
      </c>
      <c r="E21" s="18" t="n">
        <v>17.73678913</v>
      </c>
      <c r="F21" s="20" t="n">
        <v>2.17048624</v>
      </c>
      <c r="G21" s="18" t="n">
        <v>77.11151262</v>
      </c>
      <c r="H21" s="20" t="n">
        <v>2.21213598</v>
      </c>
      <c r="I21" s="18" t="n">
        <v>0</v>
      </c>
      <c r="J21" s="20" t="n">
        <v>0</v>
      </c>
      <c r="K21" s="18" t="n">
        <v>0</v>
      </c>
      <c r="L21" s="20" t="n">
        <v>0</v>
      </c>
      <c r="M21" s="18" t="n">
        <v>0</v>
      </c>
      <c r="N21" s="20" t="n">
        <v>0</v>
      </c>
      <c r="O21" s="18" t="n">
        <v>0</v>
      </c>
      <c r="P21" s="20" t="n">
        <v>0</v>
      </c>
      <c r="Q21" s="18" t="n">
        <v>5.15169825</v>
      </c>
      <c r="R21" s="20" t="n">
        <v>1.17908298</v>
      </c>
    </row>
    <row r="22" spans="1:18">
      <c r="A22" s="15" t="s">
        <v>580</v>
      </c>
      <c r="B22" s="17" t="n">
        <v>3667</v>
      </c>
      <c r="C22" s="18">
        <f>(3241.0/B22*100)</f>
        <v/>
      </c>
      <c r="D22" s="19" t="n">
        <v>426</v>
      </c>
      <c r="E22" s="18" t="n">
        <v>34.09850809</v>
      </c>
      <c r="F22" s="20" t="n">
        <v>2.82464998</v>
      </c>
      <c r="G22" s="18" t="n">
        <v>49.21209567</v>
      </c>
      <c r="H22" s="20" t="n">
        <v>3.00159984</v>
      </c>
      <c r="I22" s="18" t="n">
        <v>0</v>
      </c>
      <c r="J22" s="20" t="n">
        <v>0</v>
      </c>
      <c r="K22" s="18" t="n">
        <v>0.22332245</v>
      </c>
      <c r="L22" s="20" t="n">
        <v>0.24763253</v>
      </c>
      <c r="M22" s="18" t="n">
        <v>0</v>
      </c>
      <c r="N22" s="20" t="n">
        <v>0</v>
      </c>
      <c r="O22" s="18" t="n">
        <v>0</v>
      </c>
      <c r="P22" s="20" t="n">
        <v>0</v>
      </c>
      <c r="Q22" s="18" t="n">
        <v>16.46607379</v>
      </c>
      <c r="R22" s="20" t="n">
        <v>2.27696315</v>
      </c>
    </row>
    <row r="23" spans="1:18">
      <c r="A23" s="15" t="s">
        <v>581</v>
      </c>
      <c r="B23" s="17" t="n">
        <v>5792</v>
      </c>
      <c r="C23" s="18">
        <f>(5157.0/B23*100)</f>
        <v/>
      </c>
      <c r="D23" s="19" t="n">
        <v>635</v>
      </c>
      <c r="E23" s="18" t="n">
        <v>27.41239027</v>
      </c>
      <c r="F23" s="20" t="n">
        <v>2.48130026</v>
      </c>
      <c r="G23" s="18" t="n">
        <v>49.73324253</v>
      </c>
      <c r="H23" s="20" t="n">
        <v>3.29801976</v>
      </c>
      <c r="I23" s="18" t="n">
        <v>0</v>
      </c>
      <c r="J23" s="20" t="n">
        <v>0</v>
      </c>
      <c r="K23" s="18" t="n">
        <v>0</v>
      </c>
      <c r="L23" s="20" t="n">
        <v>0</v>
      </c>
      <c r="M23" s="18" t="n">
        <v>0</v>
      </c>
      <c r="N23" s="20" t="n">
        <v>0</v>
      </c>
      <c r="O23" s="18" t="n">
        <v>0</v>
      </c>
      <c r="P23" s="20" t="n">
        <v>0</v>
      </c>
      <c r="Q23" s="18" t="n">
        <v>22.8543672</v>
      </c>
      <c r="R23" s="20" t="n">
        <v>2.79654035</v>
      </c>
    </row>
    <row r="24" spans="1:18">
      <c r="A24" s="15" t="s">
        <v>582</v>
      </c>
      <c r="B24" s="17" t="n">
        <v>3309</v>
      </c>
      <c r="C24" s="18">
        <f>(2953.0/B24*100)</f>
        <v/>
      </c>
      <c r="D24" s="19" t="n">
        <v>356</v>
      </c>
      <c r="E24" s="18" t="n">
        <v>21.64898852</v>
      </c>
      <c r="F24" s="20" t="n">
        <v>2.22921012</v>
      </c>
      <c r="G24" s="18" t="n">
        <v>64.62640041</v>
      </c>
      <c r="H24" s="20" t="n">
        <v>2.42411329</v>
      </c>
      <c r="I24" s="18" t="n">
        <v>0</v>
      </c>
      <c r="J24" s="20" t="n">
        <v>0</v>
      </c>
      <c r="K24" s="18" t="n">
        <v>0</v>
      </c>
      <c r="L24" s="20" t="n">
        <v>0</v>
      </c>
      <c r="M24" s="18" t="n">
        <v>0</v>
      </c>
      <c r="N24" s="20" t="n">
        <v>0</v>
      </c>
      <c r="O24" s="18" t="n">
        <v>0</v>
      </c>
      <c r="P24" s="20" t="n">
        <v>0</v>
      </c>
      <c r="Q24" s="18" t="n">
        <v>13.72461107</v>
      </c>
      <c r="R24" s="20" t="n">
        <v>1.53225074</v>
      </c>
    </row>
    <row r="25" spans="1:18">
      <c r="A25" s="15" t="s">
        <v>583</v>
      </c>
      <c r="B25" s="17" t="n">
        <v>2669</v>
      </c>
      <c r="C25" s="18">
        <f>(2362.0/B25*100)</f>
        <v/>
      </c>
      <c r="D25" s="19" t="n">
        <v>307</v>
      </c>
      <c r="E25" s="18" t="n">
        <v>26.01407216</v>
      </c>
      <c r="F25" s="20" t="n">
        <v>2.44025365</v>
      </c>
      <c r="G25" s="18" t="n">
        <v>60.90011887</v>
      </c>
      <c r="H25" s="20" t="n">
        <v>2.44597082</v>
      </c>
      <c r="I25" s="18" t="n">
        <v>0</v>
      </c>
      <c r="J25" s="20" t="n">
        <v>0</v>
      </c>
      <c r="K25" s="18" t="n">
        <v>0</v>
      </c>
      <c r="L25" s="20" t="n">
        <v>0</v>
      </c>
      <c r="M25" s="18" t="n">
        <v>0</v>
      </c>
      <c r="N25" s="20" t="n">
        <v>0</v>
      </c>
      <c r="O25" s="18" t="n">
        <v>0</v>
      </c>
      <c r="P25" s="20" t="n">
        <v>0</v>
      </c>
      <c r="Q25" s="18" t="n">
        <v>13.08580897</v>
      </c>
      <c r="R25" s="20" t="n">
        <v>1.92352162</v>
      </c>
    </row>
    <row r="26" spans="1:18">
      <c r="A26" s="15" t="s">
        <v>584</v>
      </c>
      <c r="B26" s="17" t="n">
        <v>2419</v>
      </c>
      <c r="C26" s="18">
        <f>(2159.0/B26*100)</f>
        <v/>
      </c>
      <c r="D26" s="19" t="n">
        <v>260</v>
      </c>
      <c r="E26" s="18" t="n">
        <v>27.89175161</v>
      </c>
      <c r="F26" s="20" t="n">
        <v>2.5612193</v>
      </c>
      <c r="G26" s="18" t="n">
        <v>67.07106776000001</v>
      </c>
      <c r="H26" s="20" t="n">
        <v>2.78690934</v>
      </c>
      <c r="I26" s="18" t="n">
        <v>0</v>
      </c>
      <c r="J26" s="20" t="n">
        <v>0</v>
      </c>
      <c r="K26" s="18" t="n">
        <v>0</v>
      </c>
      <c r="L26" s="20" t="n">
        <v>0</v>
      </c>
      <c r="M26" s="18" t="n">
        <v>0</v>
      </c>
      <c r="N26" s="20" t="n">
        <v>0</v>
      </c>
      <c r="O26" s="18" t="n">
        <v>0</v>
      </c>
      <c r="P26" s="20" t="n">
        <v>0</v>
      </c>
      <c r="Q26" s="18" t="n">
        <v>5.03718064</v>
      </c>
      <c r="R26" s="20" t="n">
        <v>1.36468787</v>
      </c>
    </row>
    <row r="27" spans="1:18">
      <c r="A27" s="15" t="s">
        <v>585</v>
      </c>
      <c r="B27" s="17" t="n">
        <v>2683</v>
      </c>
      <c r="C27" s="18">
        <f>(2372.0/B27*100)</f>
        <v/>
      </c>
      <c r="D27" s="19" t="n">
        <v>311</v>
      </c>
      <c r="E27" s="18" t="n">
        <v>32.93687056</v>
      </c>
      <c r="F27" s="20" t="n">
        <v>3.00957786</v>
      </c>
      <c r="G27" s="18" t="n">
        <v>47.48878222</v>
      </c>
      <c r="H27" s="20" t="n">
        <v>3.05876049</v>
      </c>
      <c r="I27" s="18" t="n">
        <v>0</v>
      </c>
      <c r="J27" s="20" t="n">
        <v>0</v>
      </c>
      <c r="K27" s="18" t="n">
        <v>0</v>
      </c>
      <c r="L27" s="20" t="n">
        <v>0</v>
      </c>
      <c r="M27" s="18" t="n">
        <v>0</v>
      </c>
      <c r="N27" s="20" t="n">
        <v>0</v>
      </c>
      <c r="O27" s="18" t="n">
        <v>0</v>
      </c>
      <c r="P27" s="20" t="n">
        <v>0</v>
      </c>
      <c r="Q27" s="18" t="n">
        <v>19.57434721</v>
      </c>
      <c r="R27" s="20" t="n">
        <v>2.29577158</v>
      </c>
    </row>
    <row r="28" spans="1:18">
      <c r="A28" s="15" t="s">
        <v>586</v>
      </c>
      <c r="B28" s="17" t="n">
        <v>3803</v>
      </c>
      <c r="C28" s="18">
        <f>(3413.0/B28*100)</f>
        <v/>
      </c>
      <c r="D28" s="19" t="n">
        <v>390</v>
      </c>
      <c r="E28" s="18" t="n">
        <v>53.09060166</v>
      </c>
      <c r="F28" s="20" t="n">
        <v>2.34306185</v>
      </c>
      <c r="G28" s="18" t="n">
        <v>41.27879484</v>
      </c>
      <c r="H28" s="20" t="n">
        <v>2.46307759</v>
      </c>
      <c r="I28" s="18" t="n">
        <v>0</v>
      </c>
      <c r="J28" s="20" t="n">
        <v>0</v>
      </c>
      <c r="K28" s="18" t="n">
        <v>0.46179113</v>
      </c>
      <c r="L28" s="20" t="n">
        <v>0.45217056</v>
      </c>
      <c r="M28" s="18" t="n">
        <v>0.21374324</v>
      </c>
      <c r="N28" s="20" t="n">
        <v>0.21322192</v>
      </c>
      <c r="O28" s="18" t="n">
        <v>0</v>
      </c>
      <c r="P28" s="20" t="n">
        <v>0</v>
      </c>
      <c r="Q28" s="18" t="n">
        <v>4.95506912</v>
      </c>
      <c r="R28" s="20" t="n">
        <v>1.07678911</v>
      </c>
    </row>
    <row r="29" spans="1:18">
      <c r="A29" s="15" t="s">
        <v>587</v>
      </c>
      <c r="B29" s="17" t="n">
        <v>2700</v>
      </c>
      <c r="C29" s="18">
        <f>(2408.0/B29*100)</f>
        <v/>
      </c>
      <c r="D29" s="19" t="n">
        <v>292</v>
      </c>
      <c r="E29" s="18" t="n">
        <v>28.9760069</v>
      </c>
      <c r="F29" s="20" t="n">
        <v>3.32344075</v>
      </c>
      <c r="G29" s="18" t="n">
        <v>64.41174470999999</v>
      </c>
      <c r="H29" s="20" t="n">
        <v>3.35887274</v>
      </c>
      <c r="I29" s="18" t="n">
        <v>0</v>
      </c>
      <c r="J29" s="20" t="n">
        <v>0</v>
      </c>
      <c r="K29" s="18" t="n">
        <v>0</v>
      </c>
      <c r="L29" s="20" t="n">
        <v>0</v>
      </c>
      <c r="M29" s="18" t="n">
        <v>0</v>
      </c>
      <c r="N29" s="20" t="n">
        <v>0</v>
      </c>
      <c r="O29" s="18" t="n">
        <v>0</v>
      </c>
      <c r="P29" s="20" t="n">
        <v>0</v>
      </c>
      <c r="Q29" s="18" t="n">
        <v>6.61224839</v>
      </c>
      <c r="R29" s="20" t="n">
        <v>1.51563424</v>
      </c>
    </row>
    <row r="30" spans="1:18">
      <c r="A30" s="15" t="s">
        <v>588</v>
      </c>
      <c r="B30" s="17" t="n">
        <v>2257</v>
      </c>
      <c r="C30" s="18">
        <f>(2001.0/B30*100)</f>
        <v/>
      </c>
      <c r="D30" s="19" t="n">
        <v>256</v>
      </c>
      <c r="E30" s="18" t="n">
        <v>24.33632824</v>
      </c>
      <c r="F30" s="20" t="n">
        <v>3.07278631</v>
      </c>
      <c r="G30" s="18" t="n">
        <v>62.89554481</v>
      </c>
      <c r="H30" s="20" t="n">
        <v>3.36214978</v>
      </c>
      <c r="I30" s="18" t="n">
        <v>0</v>
      </c>
      <c r="J30" s="20" t="n">
        <v>0</v>
      </c>
      <c r="K30" s="18" t="n">
        <v>0</v>
      </c>
      <c r="L30" s="20" t="n">
        <v>0</v>
      </c>
      <c r="M30" s="18" t="n">
        <v>0</v>
      </c>
      <c r="N30" s="20" t="n">
        <v>0</v>
      </c>
      <c r="O30" s="18" t="n">
        <v>0</v>
      </c>
      <c r="P30" s="20" t="n">
        <v>0</v>
      </c>
      <c r="Q30" s="18" t="n">
        <v>12.76812695</v>
      </c>
      <c r="R30" s="20" t="n">
        <v>2.15460307</v>
      </c>
    </row>
    <row r="31" spans="1:18">
      <c r="A31" s="15" t="s">
        <v>589</v>
      </c>
      <c r="B31" s="17" t="n">
        <v>2706</v>
      </c>
      <c r="C31" s="18">
        <f>(2411.0/B31*100)</f>
        <v/>
      </c>
      <c r="D31" s="19" t="n">
        <v>295</v>
      </c>
      <c r="E31" s="18" t="n">
        <v>25.76906461</v>
      </c>
      <c r="F31" s="20" t="n">
        <v>2.41155661</v>
      </c>
      <c r="G31" s="18" t="n">
        <v>53.91501219</v>
      </c>
      <c r="H31" s="20" t="n">
        <v>2.72599105</v>
      </c>
      <c r="I31" s="18" t="n">
        <v>0</v>
      </c>
      <c r="J31" s="20" t="n">
        <v>0</v>
      </c>
      <c r="K31" s="18" t="n">
        <v>0.62570341</v>
      </c>
      <c r="L31" s="20" t="n">
        <v>0.42052528</v>
      </c>
      <c r="M31" s="18" t="n">
        <v>0</v>
      </c>
      <c r="N31" s="20" t="n">
        <v>0</v>
      </c>
      <c r="O31" s="18" t="n">
        <v>0</v>
      </c>
      <c r="P31" s="20" t="n">
        <v>0</v>
      </c>
      <c r="Q31" s="18" t="n">
        <v>19.69021979</v>
      </c>
      <c r="R31" s="20" t="n">
        <v>2.34536388</v>
      </c>
    </row>
    <row r="32" spans="1:18">
      <c r="A32" s="15" t="s">
        <v>590</v>
      </c>
      <c r="B32" s="17" t="n">
        <v>2209</v>
      </c>
      <c r="C32" s="18">
        <f>(1968.0/B32*100)</f>
        <v/>
      </c>
      <c r="D32" s="19" t="n">
        <v>241</v>
      </c>
      <c r="E32" s="18" t="n">
        <v>43.55340003</v>
      </c>
      <c r="F32" s="20" t="n">
        <v>3.26992533</v>
      </c>
      <c r="G32" s="18" t="n">
        <v>40.5681847</v>
      </c>
      <c r="H32" s="20" t="n">
        <v>3.33868407</v>
      </c>
      <c r="I32" s="18" t="n">
        <v>0</v>
      </c>
      <c r="J32" s="20" t="n">
        <v>0</v>
      </c>
      <c r="K32" s="18" t="n">
        <v>0</v>
      </c>
      <c r="L32" s="20" t="n">
        <v>0</v>
      </c>
      <c r="M32" s="18" t="n">
        <v>0</v>
      </c>
      <c r="N32" s="20" t="n">
        <v>0</v>
      </c>
      <c r="O32" s="18" t="n">
        <v>0</v>
      </c>
      <c r="P32" s="20" t="n">
        <v>0</v>
      </c>
      <c r="Q32" s="18" t="n">
        <v>15.87841527</v>
      </c>
      <c r="R32" s="20" t="n">
        <v>2.3505726</v>
      </c>
    </row>
    <row r="33" spans="1:18">
      <c r="A33" s="15" t="s">
        <v>591</v>
      </c>
      <c r="B33" s="17" t="n">
        <v>3651</v>
      </c>
      <c r="C33" s="18">
        <f>(3265.0/B33*100)</f>
        <v/>
      </c>
      <c r="D33" s="19" t="n">
        <v>386</v>
      </c>
      <c r="E33" s="18" t="n">
        <v>33.04616204</v>
      </c>
      <c r="F33" s="20" t="n">
        <v>2.80136492</v>
      </c>
      <c r="G33" s="18" t="n">
        <v>55.19610105</v>
      </c>
      <c r="H33" s="20" t="n">
        <v>2.85696894</v>
      </c>
      <c r="I33" s="18" t="n">
        <v>0</v>
      </c>
      <c r="J33" s="20" t="n">
        <v>0</v>
      </c>
      <c r="K33" s="18" t="n">
        <v>0</v>
      </c>
      <c r="L33" s="20" t="n">
        <v>0</v>
      </c>
      <c r="M33" s="18" t="n">
        <v>0.33466951</v>
      </c>
      <c r="N33" s="20" t="n">
        <v>0.33627744</v>
      </c>
      <c r="O33" s="18" t="n">
        <v>0</v>
      </c>
      <c r="P33" s="20" t="n">
        <v>0</v>
      </c>
      <c r="Q33" s="18" t="n">
        <v>11.4230674</v>
      </c>
      <c r="R33" s="20" t="n">
        <v>1.64335483</v>
      </c>
    </row>
    <row r="34" spans="1:18">
      <c r="A34" s="15" t="s">
        <v>592</v>
      </c>
      <c r="B34" s="17" t="n">
        <v>3035</v>
      </c>
      <c r="C34" s="18">
        <f>(2693.0/B34*100)</f>
        <v/>
      </c>
      <c r="D34" s="19" t="n">
        <v>342</v>
      </c>
      <c r="E34" s="18" t="n">
        <v>42.3069243</v>
      </c>
      <c r="F34" s="20" t="n">
        <v>2.61492979</v>
      </c>
      <c r="G34" s="18" t="n">
        <v>37.0421337</v>
      </c>
      <c r="H34" s="20" t="n">
        <v>2.65143147</v>
      </c>
      <c r="I34" s="18" t="n">
        <v>0</v>
      </c>
      <c r="J34" s="20" t="n">
        <v>0</v>
      </c>
      <c r="K34" s="18" t="n">
        <v>0</v>
      </c>
      <c r="L34" s="20" t="n">
        <v>0</v>
      </c>
      <c r="M34" s="18" t="n">
        <v>0.20221908</v>
      </c>
      <c r="N34" s="20" t="n">
        <v>0.18984774</v>
      </c>
      <c r="O34" s="18" t="n">
        <v>0</v>
      </c>
      <c r="P34" s="20" t="n">
        <v>0</v>
      </c>
      <c r="Q34" s="18" t="n">
        <v>20.44872292</v>
      </c>
      <c r="R34" s="20" t="n">
        <v>2.38557995</v>
      </c>
    </row>
    <row r="35" spans="1:18">
      <c r="A35" s="15" t="s">
        <v>593</v>
      </c>
      <c r="B35" s="17" t="n">
        <v>2901</v>
      </c>
      <c r="C35" s="18">
        <f>(2607.0/B35*100)</f>
        <v/>
      </c>
      <c r="D35" s="19" t="n">
        <v>294</v>
      </c>
      <c r="E35" s="18" t="n">
        <v>50.68496663</v>
      </c>
      <c r="F35" s="20" t="n">
        <v>4.06669386</v>
      </c>
      <c r="G35" s="18" t="n">
        <v>32.90363281</v>
      </c>
      <c r="H35" s="20" t="n">
        <v>3.96326378</v>
      </c>
      <c r="I35" s="18" t="n">
        <v>0</v>
      </c>
      <c r="J35" s="20" t="n">
        <v>0</v>
      </c>
      <c r="K35" s="18" t="n">
        <v>0</v>
      </c>
      <c r="L35" s="20" t="n">
        <v>0</v>
      </c>
      <c r="M35" s="18" t="n">
        <v>0</v>
      </c>
      <c r="N35" s="20" t="n">
        <v>0</v>
      </c>
      <c r="O35" s="18" t="n">
        <v>0</v>
      </c>
      <c r="P35" s="20" t="n">
        <v>0</v>
      </c>
      <c r="Q35" s="18" t="n">
        <v>16.41140056</v>
      </c>
      <c r="R35" s="20" t="n">
        <v>2.75924763</v>
      </c>
    </row>
    <row r="36" spans="1:18">
      <c r="A36" s="15" t="s">
        <v>594</v>
      </c>
      <c r="B36" s="17" t="n">
        <v>3404</v>
      </c>
      <c r="C36" s="18">
        <f>(3045.0/B36*100)</f>
        <v/>
      </c>
      <c r="D36" s="19" t="n">
        <v>359</v>
      </c>
      <c r="E36" s="18" t="n">
        <v>35.61001607</v>
      </c>
      <c r="F36" s="20" t="n">
        <v>2.70239135</v>
      </c>
      <c r="G36" s="18" t="n">
        <v>53.33787976</v>
      </c>
      <c r="H36" s="20" t="n">
        <v>2.679731</v>
      </c>
      <c r="I36" s="18" t="n">
        <v>0</v>
      </c>
      <c r="J36" s="20" t="n">
        <v>0</v>
      </c>
      <c r="K36" s="18" t="n">
        <v>0</v>
      </c>
      <c r="L36" s="20" t="n">
        <v>0</v>
      </c>
      <c r="M36" s="18" t="n">
        <v>0</v>
      </c>
      <c r="N36" s="20" t="n">
        <v>0</v>
      </c>
      <c r="O36" s="18" t="n">
        <v>0</v>
      </c>
      <c r="P36" s="20" t="n">
        <v>0</v>
      </c>
      <c r="Q36" s="18" t="n">
        <v>11.05210417</v>
      </c>
      <c r="R36" s="20" t="n">
        <v>1.48375096</v>
      </c>
    </row>
    <row r="37" spans="1:18">
      <c r="A37" s="15" t="s">
        <v>595</v>
      </c>
      <c r="B37" s="17" t="n">
        <v>2731</v>
      </c>
      <c r="C37" s="18">
        <f>(2425.0/B37*100)</f>
        <v/>
      </c>
      <c r="D37" s="19" t="n">
        <v>306</v>
      </c>
      <c r="E37" s="18" t="n">
        <v>29.70849371</v>
      </c>
      <c r="F37" s="20" t="n">
        <v>3.32611729</v>
      </c>
      <c r="G37" s="18" t="n">
        <v>47.78151246</v>
      </c>
      <c r="H37" s="20" t="n">
        <v>3.16131318</v>
      </c>
      <c r="I37" s="18" t="n">
        <v>0</v>
      </c>
      <c r="J37" s="20" t="n">
        <v>0</v>
      </c>
      <c r="K37" s="18" t="n">
        <v>0</v>
      </c>
      <c r="L37" s="20" t="n">
        <v>0</v>
      </c>
      <c r="M37" s="18" t="n">
        <v>0</v>
      </c>
      <c r="N37" s="20" t="n">
        <v>0</v>
      </c>
      <c r="O37" s="18" t="n">
        <v>0</v>
      </c>
      <c r="P37" s="20" t="n">
        <v>0</v>
      </c>
      <c r="Q37" s="18" t="n">
        <v>22.50999384</v>
      </c>
      <c r="R37" s="20" t="n">
        <v>2.37676169</v>
      </c>
    </row>
    <row r="38" spans="1:18">
      <c r="A38" s="15" t="s">
        <v>596</v>
      </c>
      <c r="B38" s="17" t="n">
        <v>2807</v>
      </c>
      <c r="C38" s="18">
        <f>(2489.0/B38*100)</f>
        <v/>
      </c>
      <c r="D38" s="19" t="n">
        <v>318</v>
      </c>
      <c r="E38" s="18" t="n">
        <v>41.77630816</v>
      </c>
      <c r="F38" s="20" t="n">
        <v>3.36756668</v>
      </c>
      <c r="G38" s="18" t="n">
        <v>40.56079502</v>
      </c>
      <c r="H38" s="20" t="n">
        <v>3.3266734</v>
      </c>
      <c r="I38" s="18" t="n">
        <v>0</v>
      </c>
      <c r="J38" s="20" t="n">
        <v>0</v>
      </c>
      <c r="K38" s="18" t="n">
        <v>0</v>
      </c>
      <c r="L38" s="20" t="n">
        <v>0</v>
      </c>
      <c r="M38" s="18" t="n">
        <v>5.30370358</v>
      </c>
      <c r="N38" s="20" t="n">
        <v>1.30723739</v>
      </c>
      <c r="O38" s="18" t="n">
        <v>0</v>
      </c>
      <c r="P38" s="20" t="n">
        <v>0</v>
      </c>
      <c r="Q38" s="18" t="n">
        <v>12.35919325</v>
      </c>
      <c r="R38" s="20" t="n">
        <v>1.9095869</v>
      </c>
    </row>
    <row r="39" spans="1:18">
      <c r="A39" s="15" t="s">
        <v>597</v>
      </c>
      <c r="B39" s="17" t="n">
        <v>2938</v>
      </c>
      <c r="C39" s="18">
        <f>(2624.0/B39*100)</f>
        <v/>
      </c>
      <c r="D39" s="19" t="n">
        <v>314</v>
      </c>
      <c r="E39" s="18" t="n">
        <v>38.6990804</v>
      </c>
      <c r="F39" s="20" t="n">
        <v>3.06305029</v>
      </c>
      <c r="G39" s="18" t="n">
        <v>45.46879231</v>
      </c>
      <c r="H39" s="20" t="n">
        <v>3.3074965</v>
      </c>
      <c r="I39" s="18" t="n">
        <v>0</v>
      </c>
      <c r="J39" s="20" t="n">
        <v>0</v>
      </c>
      <c r="K39" s="18" t="n">
        <v>0</v>
      </c>
      <c r="L39" s="20" t="n">
        <v>0</v>
      </c>
      <c r="M39" s="18" t="n">
        <v>0</v>
      </c>
      <c r="N39" s="20" t="n">
        <v>0</v>
      </c>
      <c r="O39" s="18" t="n">
        <v>0</v>
      </c>
      <c r="P39" s="20" t="n">
        <v>0</v>
      </c>
      <c r="Q39" s="18" t="n">
        <v>15.83212729</v>
      </c>
      <c r="R39" s="20" t="n">
        <v>2.10032373</v>
      </c>
    </row>
    <row r="40" spans="1:18">
      <c r="A40" s="15" t="s">
        <v>598</v>
      </c>
      <c r="B40" s="17" t="n">
        <v>6922</v>
      </c>
      <c r="C40" s="18">
        <f>(6147.0/B40*100)</f>
        <v/>
      </c>
      <c r="D40" s="19" t="n">
        <v>775</v>
      </c>
      <c r="E40" s="18" t="n">
        <v>18.74773885</v>
      </c>
      <c r="F40" s="20" t="n">
        <v>1.86310446</v>
      </c>
      <c r="G40" s="18" t="n">
        <v>65.34468283</v>
      </c>
      <c r="H40" s="20" t="n">
        <v>2.73311611</v>
      </c>
      <c r="I40" s="18" t="n">
        <v>0</v>
      </c>
      <c r="J40" s="20" t="n">
        <v>0</v>
      </c>
      <c r="K40" s="18" t="n">
        <v>0.41278657</v>
      </c>
      <c r="L40" s="20" t="n">
        <v>0.37535674</v>
      </c>
      <c r="M40" s="18" t="n">
        <v>0</v>
      </c>
      <c r="N40" s="20" t="n">
        <v>0</v>
      </c>
      <c r="O40" s="18" t="n">
        <v>0</v>
      </c>
      <c r="P40" s="20" t="n">
        <v>0</v>
      </c>
      <c r="Q40" s="18" t="n">
        <v>15.49479176</v>
      </c>
      <c r="R40" s="20" t="n">
        <v>1.85971627</v>
      </c>
    </row>
    <row r="41" spans="1:18">
      <c r="A41" s="15" t="s">
        <v>599</v>
      </c>
      <c r="B41" s="17" t="n">
        <v>2854</v>
      </c>
      <c r="C41" s="18">
        <f>(2549.0/B41*100)</f>
        <v/>
      </c>
      <c r="D41" s="19" t="n">
        <v>305</v>
      </c>
      <c r="E41" s="18" t="n">
        <v>42.30844629</v>
      </c>
      <c r="F41" s="20" t="n">
        <v>2.82056625</v>
      </c>
      <c r="G41" s="18" t="n">
        <v>53.96713549</v>
      </c>
      <c r="H41" s="20" t="n">
        <v>2.89648095</v>
      </c>
      <c r="I41" s="18" t="n">
        <v>0</v>
      </c>
      <c r="J41" s="20" t="n">
        <v>0</v>
      </c>
      <c r="K41" s="18" t="n">
        <v>0</v>
      </c>
      <c r="L41" s="20" t="n">
        <v>0</v>
      </c>
      <c r="M41" s="18" t="n">
        <v>0</v>
      </c>
      <c r="N41" s="20" t="n">
        <v>0</v>
      </c>
      <c r="O41" s="18" t="n">
        <v>0</v>
      </c>
      <c r="P41" s="20" t="n">
        <v>0</v>
      </c>
      <c r="Q41" s="18" t="n">
        <v>3.72441822</v>
      </c>
      <c r="R41" s="20" t="n">
        <v>1.46529251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(10952.0/B46*100)</f>
        <v/>
      </c>
      <c r="D46" s="19" t="n">
        <v>1121</v>
      </c>
      <c r="E46" s="18" t="n">
        <v>47.59963099</v>
      </c>
      <c r="F46" s="20" t="n">
        <v>2.01741389</v>
      </c>
      <c r="G46" s="18" t="n">
        <v>35.49375765</v>
      </c>
      <c r="H46" s="20" t="n">
        <v>2.10405364</v>
      </c>
      <c r="I46" s="18" t="n">
        <v>0</v>
      </c>
      <c r="J46" s="20" t="n">
        <v>0</v>
      </c>
      <c r="K46" s="18" t="n">
        <v>0.26530644</v>
      </c>
      <c r="L46" s="20" t="n">
        <v>0.17357118</v>
      </c>
      <c r="M46" s="18" t="n">
        <v>0.30877354</v>
      </c>
      <c r="N46" s="20" t="n">
        <v>0.1475096</v>
      </c>
      <c r="O46" s="18" t="n">
        <v>0</v>
      </c>
      <c r="P46" s="20" t="n">
        <v>0</v>
      </c>
      <c r="Q46" s="18" t="n">
        <v>16.33253138</v>
      </c>
      <c r="R46" s="20" t="n">
        <v>1.26668669</v>
      </c>
    </row>
    <row r="47" spans="1:18">
      <c r="A47" s="15" t="s">
        <v>606</v>
      </c>
      <c r="B47" s="17" t="n">
        <v>2823</v>
      </c>
      <c r="C47" s="18">
        <f>(2500.0/B47*100)</f>
        <v/>
      </c>
      <c r="D47" s="19" t="n">
        <v>323</v>
      </c>
      <c r="E47" s="18" t="n">
        <v>41.23798371</v>
      </c>
      <c r="F47" s="20" t="n">
        <v>2.76894868</v>
      </c>
      <c r="G47" s="18" t="n">
        <v>33.04776267</v>
      </c>
      <c r="H47" s="20" t="n">
        <v>2.89220306</v>
      </c>
      <c r="I47" s="18" t="n">
        <v>0</v>
      </c>
      <c r="J47" s="20" t="n">
        <v>0</v>
      </c>
      <c r="K47" s="18" t="n">
        <v>0</v>
      </c>
      <c r="L47" s="20" t="n">
        <v>0</v>
      </c>
      <c r="M47" s="18" t="n">
        <v>0</v>
      </c>
      <c r="N47" s="20" t="n">
        <v>0</v>
      </c>
      <c r="O47" s="18" t="n">
        <v>0</v>
      </c>
      <c r="P47" s="20" t="n">
        <v>0</v>
      </c>
      <c r="Q47" s="18" t="n">
        <v>25.71425362</v>
      </c>
      <c r="R47" s="20" t="n">
        <v>2.28289517</v>
      </c>
    </row>
    <row r="48" spans="1:18">
      <c r="A48" s="15" t="s">
        <v>607</v>
      </c>
      <c r="B48" s="17" t="n">
        <v>4682</v>
      </c>
      <c r="C48" s="18">
        <f>(4168.0/B48*100)</f>
        <v/>
      </c>
      <c r="D48" s="19" t="n">
        <v>514</v>
      </c>
      <c r="E48" s="18" t="n">
        <v>28.72725562</v>
      </c>
      <c r="F48" s="20" t="n">
        <v>2.79249441</v>
      </c>
      <c r="G48" s="18" t="n">
        <v>62.79936996</v>
      </c>
      <c r="H48" s="20" t="n">
        <v>2.97467725</v>
      </c>
      <c r="I48" s="18" t="n">
        <v>0</v>
      </c>
      <c r="J48" s="20" t="n">
        <v>0</v>
      </c>
      <c r="K48" s="18" t="n">
        <v>0.472321</v>
      </c>
      <c r="L48" s="20" t="n">
        <v>0.47482287</v>
      </c>
      <c r="M48" s="18" t="n">
        <v>0</v>
      </c>
      <c r="N48" s="20" t="n">
        <v>0</v>
      </c>
      <c r="O48" s="18" t="n">
        <v>0</v>
      </c>
      <c r="P48" s="20" t="n">
        <v>0</v>
      </c>
      <c r="Q48" s="18" t="n">
        <v>8.001053430000001</v>
      </c>
      <c r="R48" s="20" t="n">
        <v>1.64017497</v>
      </c>
    </row>
    <row r="49" spans="1:18">
      <c r="A49" s="15" t="s">
        <v>608</v>
      </c>
      <c r="B49" s="17" t="n">
        <v>6158</v>
      </c>
      <c r="C49" s="18">
        <f>(5494.0/B49*100)</f>
        <v/>
      </c>
      <c r="D49" s="19" t="n">
        <v>664</v>
      </c>
      <c r="E49" s="18" t="n">
        <v>45.41953916</v>
      </c>
      <c r="F49" s="20" t="n">
        <v>2.35108175</v>
      </c>
      <c r="G49" s="18" t="n">
        <v>50.17811532</v>
      </c>
      <c r="H49" s="20" t="n">
        <v>2.57421517</v>
      </c>
      <c r="I49" s="18" t="n">
        <v>0</v>
      </c>
      <c r="J49" s="20" t="n">
        <v>0</v>
      </c>
      <c r="K49" s="18" t="n">
        <v>0.02247221</v>
      </c>
      <c r="L49" s="20" t="n">
        <v>0.02253486</v>
      </c>
      <c r="M49" s="18" t="n">
        <v>0.01651436</v>
      </c>
      <c r="N49" s="20" t="n">
        <v>0.00973807</v>
      </c>
      <c r="O49" s="18" t="n">
        <v>0</v>
      </c>
      <c r="P49" s="20" t="n">
        <v>0</v>
      </c>
      <c r="Q49" s="18" t="n">
        <v>4.36335895</v>
      </c>
      <c r="R49" s="20" t="n">
        <v>0.9735147</v>
      </c>
    </row>
    <row r="50" spans="1:18">
      <c r="A50" s="15" t="s">
        <v>609</v>
      </c>
      <c r="B50" s="17" t="n">
        <v>3494</v>
      </c>
      <c r="C50" s="18">
        <f>(3152.0/B50*100)</f>
        <v/>
      </c>
      <c r="D50" s="19" t="n">
        <v>342</v>
      </c>
      <c r="E50" s="18" t="n">
        <v>55.21449173</v>
      </c>
      <c r="F50" s="20" t="n">
        <v>3.15065048</v>
      </c>
      <c r="G50" s="18" t="n">
        <v>33.48126285</v>
      </c>
      <c r="H50" s="20" t="n">
        <v>2.99759798</v>
      </c>
      <c r="I50" s="18" t="n">
        <v>0</v>
      </c>
      <c r="J50" s="20" t="n">
        <v>0</v>
      </c>
      <c r="K50" s="18" t="n">
        <v>0</v>
      </c>
      <c r="L50" s="20" t="n">
        <v>0</v>
      </c>
      <c r="M50" s="18" t="n">
        <v>0</v>
      </c>
      <c r="N50" s="20" t="n">
        <v>0</v>
      </c>
      <c r="O50" s="18" t="n">
        <v>0</v>
      </c>
      <c r="P50" s="20" t="n">
        <v>0</v>
      </c>
      <c r="Q50" s="18" t="n">
        <v>11.30424542</v>
      </c>
      <c r="R50" s="20" t="n">
        <v>1.80905114</v>
      </c>
    </row>
    <row r="51" spans="1:18">
      <c r="A51" s="15" t="s">
        <v>610</v>
      </c>
      <c r="B51" s="17" t="n">
        <v>3013</v>
      </c>
      <c r="C51" s="18">
        <f>(2650.0/B51*100)</f>
        <v/>
      </c>
      <c r="D51" s="19" t="n">
        <v>363</v>
      </c>
      <c r="E51" s="18" t="n">
        <v>28.13610968</v>
      </c>
      <c r="F51" s="20" t="n">
        <v>2.35960082</v>
      </c>
      <c r="G51" s="18" t="n">
        <v>43.66805055</v>
      </c>
      <c r="H51" s="20" t="n">
        <v>2.67375917</v>
      </c>
      <c r="I51" s="18" t="n">
        <v>0</v>
      </c>
      <c r="J51" s="20" t="n">
        <v>0</v>
      </c>
      <c r="K51" s="18" t="n">
        <v>0</v>
      </c>
      <c r="L51" s="20" t="n">
        <v>0</v>
      </c>
      <c r="M51" s="18" t="n">
        <v>0</v>
      </c>
      <c r="N51" s="20" t="n">
        <v>0</v>
      </c>
      <c r="O51" s="18" t="n">
        <v>0</v>
      </c>
      <c r="P51" s="20" t="n">
        <v>0</v>
      </c>
      <c r="Q51" s="18" t="n">
        <v>28.19583977</v>
      </c>
      <c r="R51" s="20" t="n">
        <v>2.54668867</v>
      </c>
    </row>
    <row r="52" spans="1:18">
      <c r="A52" s="15" t="s">
        <v>611</v>
      </c>
      <c r="B52" s="17" t="n">
        <v>2760</v>
      </c>
      <c r="C52" s="18">
        <f>(2462.0/B52*100)</f>
        <v/>
      </c>
      <c r="D52" s="19" t="n">
        <v>298</v>
      </c>
      <c r="E52" s="18" t="n">
        <v>37.02334467</v>
      </c>
      <c r="F52" s="20" t="n">
        <v>2.606775</v>
      </c>
      <c r="G52" s="18" t="n">
        <v>47.64411429</v>
      </c>
      <c r="H52" s="20" t="n">
        <v>2.52655565</v>
      </c>
      <c r="I52" s="18" t="n">
        <v>0</v>
      </c>
      <c r="J52" s="20" t="n">
        <v>0</v>
      </c>
      <c r="K52" s="18" t="n">
        <v>0</v>
      </c>
      <c r="L52" s="20" t="n">
        <v>0</v>
      </c>
      <c r="M52" s="18" t="n">
        <v>0</v>
      </c>
      <c r="N52" s="20" t="n">
        <v>0</v>
      </c>
      <c r="O52" s="18" t="n">
        <v>0</v>
      </c>
      <c r="P52" s="20" t="n">
        <v>0</v>
      </c>
      <c r="Q52" s="18" t="n">
        <v>15.33254105</v>
      </c>
      <c r="R52" s="20" t="n">
        <v>2.00450362</v>
      </c>
    </row>
    <row r="53" spans="1:18">
      <c r="A53" s="15" t="s">
        <v>612</v>
      </c>
      <c r="B53" s="17" t="n">
        <v>2474</v>
      </c>
      <c r="C53" s="18">
        <f>(2231.0/B53*100)</f>
        <v/>
      </c>
      <c r="D53" s="19" t="n">
        <v>243</v>
      </c>
      <c r="E53" s="18" t="n">
        <v>58.03783846</v>
      </c>
      <c r="F53" s="20" t="n">
        <v>4.12237731</v>
      </c>
      <c r="G53" s="18" t="n">
        <v>20.24083462</v>
      </c>
      <c r="H53" s="20" t="n">
        <v>2.86749526</v>
      </c>
      <c r="I53" s="18" t="n">
        <v>0</v>
      </c>
      <c r="J53" s="20" t="n">
        <v>0</v>
      </c>
      <c r="K53" s="18" t="n">
        <v>4.5757566</v>
      </c>
      <c r="L53" s="20" t="n">
        <v>1.51168291</v>
      </c>
      <c r="M53" s="18" t="n">
        <v>1.3110294</v>
      </c>
      <c r="N53" s="20" t="n">
        <v>1.06592249</v>
      </c>
      <c r="O53" s="18" t="n">
        <v>0</v>
      </c>
      <c r="P53" s="20" t="n">
        <v>0</v>
      </c>
      <c r="Q53" s="18" t="n">
        <v>15.83454092</v>
      </c>
      <c r="R53" s="20" t="n">
        <v>2.64882896</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(2373.0/B55*100)</f>
        <v/>
      </c>
      <c r="D55" s="19" t="n">
        <v>302</v>
      </c>
      <c r="E55" s="18" t="n">
        <v>20.9218433</v>
      </c>
      <c r="F55" s="20" t="n">
        <v>2.77843665</v>
      </c>
      <c r="G55" s="18" t="n">
        <v>75.24813643</v>
      </c>
      <c r="H55" s="20" t="n">
        <v>2.56001176</v>
      </c>
      <c r="I55" s="18" t="n">
        <v>0</v>
      </c>
      <c r="J55" s="20" t="n">
        <v>0</v>
      </c>
      <c r="K55" s="18" t="n">
        <v>0.29512309</v>
      </c>
      <c r="L55" s="20" t="n">
        <v>0.3038083</v>
      </c>
      <c r="M55" s="18" t="n">
        <v>0</v>
      </c>
      <c r="N55" s="20" t="n">
        <v>0</v>
      </c>
      <c r="O55" s="18" t="n">
        <v>0</v>
      </c>
      <c r="P55" s="20" t="n">
        <v>0</v>
      </c>
      <c r="Q55" s="18" t="n">
        <v>3.53489719</v>
      </c>
      <c r="R55" s="20" t="n">
        <v>1.19449538</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(2830.0/B61*100)</f>
        <v/>
      </c>
      <c r="D61" s="19" t="n">
        <v>371</v>
      </c>
      <c r="E61" s="18" t="n">
        <v>33.01791885</v>
      </c>
      <c r="F61" s="20" t="n">
        <v>2.80664055</v>
      </c>
      <c r="G61" s="18" t="n">
        <v>52.33460681</v>
      </c>
      <c r="H61" s="20" t="n">
        <v>2.79417833</v>
      </c>
      <c r="I61" s="18" t="n">
        <v>0</v>
      </c>
      <c r="J61" s="20" t="n">
        <v>0</v>
      </c>
      <c r="K61" s="18" t="n">
        <v>0</v>
      </c>
      <c r="L61" s="20" t="n">
        <v>0</v>
      </c>
      <c r="M61" s="18" t="n">
        <v>0</v>
      </c>
      <c r="N61" s="20" t="n">
        <v>0</v>
      </c>
      <c r="O61" s="18" t="n">
        <v>0</v>
      </c>
      <c r="P61" s="20" t="n">
        <v>0</v>
      </c>
      <c r="Q61" s="18" t="n">
        <v>14.64747435</v>
      </c>
      <c r="R61" s="20" t="n">
        <v>1.89807955</v>
      </c>
    </row>
    <row r="62" spans="1:18">
      <c r="A62" s="15" t="s">
        <v>622</v>
      </c>
      <c r="B62" s="17" t="n">
        <v>2230</v>
      </c>
      <c r="C62" s="18">
        <f>(1985.0/B62*100)</f>
        <v/>
      </c>
      <c r="D62" s="19" t="n">
        <v>245</v>
      </c>
      <c r="E62" s="18" t="n">
        <v>24.9301628</v>
      </c>
      <c r="F62" s="20" t="n">
        <v>2.57517378</v>
      </c>
      <c r="G62" s="18" t="n">
        <v>73.44607037999999</v>
      </c>
      <c r="H62" s="20" t="n">
        <v>2.62562687</v>
      </c>
      <c r="I62" s="18" t="n">
        <v>0</v>
      </c>
      <c r="J62" s="20" t="n">
        <v>0</v>
      </c>
      <c r="K62" s="18" t="n">
        <v>0</v>
      </c>
      <c r="L62" s="20" t="n">
        <v>0</v>
      </c>
      <c r="M62" s="18" t="n">
        <v>0</v>
      </c>
      <c r="N62" s="20" t="n">
        <v>0</v>
      </c>
      <c r="O62" s="18" t="n">
        <v>0</v>
      </c>
      <c r="P62" s="20" t="n">
        <v>0</v>
      </c>
      <c r="Q62" s="18" t="n">
        <v>1.62376682</v>
      </c>
      <c r="R62" s="20" t="n">
        <v>0.81448866</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(2446.0/B67*100)</f>
        <v/>
      </c>
      <c r="D67" s="19" t="n">
        <v>325</v>
      </c>
      <c r="E67" s="18" t="n">
        <v>35.73031889</v>
      </c>
      <c r="F67" s="20" t="n">
        <v>2.47796419</v>
      </c>
      <c r="G67" s="18" t="n">
        <v>26.53963644</v>
      </c>
      <c r="H67" s="20" t="n">
        <v>2.35024465</v>
      </c>
      <c r="I67" s="18" t="n">
        <v>0</v>
      </c>
      <c r="J67" s="20" t="n">
        <v>0</v>
      </c>
      <c r="K67" s="18" t="n">
        <v>0</v>
      </c>
      <c r="L67" s="20" t="n">
        <v>0</v>
      </c>
      <c r="M67" s="18" t="n">
        <v>0.28966106</v>
      </c>
      <c r="N67" s="20" t="n">
        <v>0.28195238</v>
      </c>
      <c r="O67" s="18" t="n">
        <v>0</v>
      </c>
      <c r="P67" s="20" t="n">
        <v>0</v>
      </c>
      <c r="Q67" s="18" t="n">
        <v>37.44038362</v>
      </c>
      <c r="R67" s="20" t="n">
        <v>2.72798357</v>
      </c>
    </row>
    <row r="68" spans="1:18">
      <c r="A68" s="15" t="s">
        <v>628</v>
      </c>
      <c r="B68" s="17" t="n">
        <v>3460</v>
      </c>
      <c r="C68" s="18">
        <f>(3101.0/B68*100)</f>
        <v/>
      </c>
      <c r="D68" s="19" t="n">
        <v>359</v>
      </c>
      <c r="E68" s="18" t="n">
        <v>53.8935189</v>
      </c>
      <c r="F68" s="20" t="n">
        <v>2.87773418</v>
      </c>
      <c r="G68" s="18" t="n">
        <v>36.10377938</v>
      </c>
      <c r="H68" s="20" t="n">
        <v>2.52392368</v>
      </c>
      <c r="I68" s="18" t="n">
        <v>0</v>
      </c>
      <c r="J68" s="20" t="n">
        <v>0</v>
      </c>
      <c r="K68" s="18" t="n">
        <v>0.22214715</v>
      </c>
      <c r="L68" s="20" t="n">
        <v>0.22858198</v>
      </c>
      <c r="M68" s="18" t="n">
        <v>0.74071661</v>
      </c>
      <c r="N68" s="20" t="n">
        <v>0.42817727</v>
      </c>
      <c r="O68" s="18" t="n">
        <v>0</v>
      </c>
      <c r="P68" s="20" t="n">
        <v>0</v>
      </c>
      <c r="Q68" s="18" t="n">
        <v>9.039837970000001</v>
      </c>
      <c r="R68" s="20" t="n">
        <v>1.66172239</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(5401.0/B70*100)</f>
        <v/>
      </c>
      <c r="D70" s="19" t="n">
        <v>633</v>
      </c>
      <c r="E70" s="18" t="n">
        <v>49.34971393</v>
      </c>
      <c r="F70" s="20" t="n">
        <v>2.09074537</v>
      </c>
      <c r="G70" s="18" t="n">
        <v>40.24209247</v>
      </c>
      <c r="H70" s="20" t="n">
        <v>1.92387873</v>
      </c>
      <c r="I70" s="18" t="n">
        <v>0</v>
      </c>
      <c r="J70" s="20" t="n">
        <v>0</v>
      </c>
      <c r="K70" s="18" t="n">
        <v>0.91569909</v>
      </c>
      <c r="L70" s="20" t="n">
        <v>0.399713</v>
      </c>
      <c r="M70" s="18" t="n">
        <v>0</v>
      </c>
      <c r="N70" s="20" t="n">
        <v>0</v>
      </c>
      <c r="O70" s="18" t="n">
        <v>0</v>
      </c>
      <c r="P70" s="20" t="n">
        <v>0</v>
      </c>
      <c r="Q70" s="18" t="n">
        <v>9.49249451</v>
      </c>
      <c r="R70" s="20" t="n">
        <v>1.29334328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(2727.0/B72*100)</f>
        <v/>
      </c>
      <c r="D72" s="19" t="n">
        <v>380</v>
      </c>
      <c r="E72" s="18" t="n">
        <v>26.02371455</v>
      </c>
      <c r="F72" s="20" t="n">
        <v>2.48549882</v>
      </c>
      <c r="G72" s="18" t="n">
        <v>57.28149312</v>
      </c>
      <c r="H72" s="20" t="n">
        <v>3.65423175</v>
      </c>
      <c r="I72" s="18" t="n">
        <v>0</v>
      </c>
      <c r="J72" s="20" t="n">
        <v>0</v>
      </c>
      <c r="K72" s="18" t="n">
        <v>0</v>
      </c>
      <c r="L72" s="20" t="n">
        <v>0</v>
      </c>
      <c r="M72" s="18" t="n">
        <v>0</v>
      </c>
      <c r="N72" s="20" t="n">
        <v>0</v>
      </c>
      <c r="O72" s="18" t="n">
        <v>0</v>
      </c>
      <c r="P72" s="20" t="n">
        <v>0</v>
      </c>
      <c r="Q72" s="18" t="n">
        <v>16.69479233</v>
      </c>
      <c r="R72" s="20" t="n">
        <v>2.47586576</v>
      </c>
    </row>
    <row r="73" spans="1:18">
      <c r="A73" s="15" t="s">
        <v>633</v>
      </c>
      <c r="B73" s="17" t="n">
        <v>2973</v>
      </c>
      <c r="C73" s="18">
        <f>(2655.0/B73*100)</f>
        <v/>
      </c>
      <c r="D73" s="19" t="n">
        <v>318</v>
      </c>
      <c r="E73" s="18" t="n">
        <v>25.15219202</v>
      </c>
      <c r="F73" s="20" t="n">
        <v>2.69431396</v>
      </c>
      <c r="G73" s="18" t="n">
        <v>69.58175279</v>
      </c>
      <c r="H73" s="20" t="n">
        <v>2.94422603</v>
      </c>
      <c r="I73" s="18" t="n">
        <v>0</v>
      </c>
      <c r="J73" s="20" t="n">
        <v>0</v>
      </c>
      <c r="K73" s="18" t="n">
        <v>0.64965821</v>
      </c>
      <c r="L73" s="20" t="n">
        <v>0.46437156</v>
      </c>
      <c r="M73" s="18" t="n">
        <v>0.33977428</v>
      </c>
      <c r="N73" s="20" t="n">
        <v>0.33596652</v>
      </c>
      <c r="O73" s="18" t="n">
        <v>0</v>
      </c>
      <c r="P73" s="20" t="n">
        <v>0</v>
      </c>
      <c r="Q73" s="18" t="n">
        <v>4.2766227</v>
      </c>
      <c r="R73" s="20" t="n">
        <v>1.09703105</v>
      </c>
    </row>
    <row r="74" spans="1:18">
      <c r="A74" s="15" t="s">
        <v>634</v>
      </c>
      <c r="B74" s="17" t="n">
        <v>3819</v>
      </c>
      <c r="C74" s="18">
        <f>(3405.0/B74*100)</f>
        <v/>
      </c>
      <c r="D74" s="19" t="n">
        <v>414</v>
      </c>
      <c r="E74" s="18" t="n">
        <v>28.19968181</v>
      </c>
      <c r="F74" s="20" t="n">
        <v>2.13298979</v>
      </c>
      <c r="G74" s="18" t="n">
        <v>61.05141095</v>
      </c>
      <c r="H74" s="20" t="n">
        <v>2.42210622</v>
      </c>
      <c r="I74" s="18" t="n">
        <v>0</v>
      </c>
      <c r="J74" s="20" t="n">
        <v>0</v>
      </c>
      <c r="K74" s="18" t="n">
        <v>0</v>
      </c>
      <c r="L74" s="20" t="n">
        <v>0</v>
      </c>
      <c r="M74" s="18" t="n">
        <v>0</v>
      </c>
      <c r="N74" s="20" t="n">
        <v>0</v>
      </c>
      <c r="O74" s="18" t="n">
        <v>0</v>
      </c>
      <c r="P74" s="20" t="n">
        <v>0</v>
      </c>
      <c r="Q74" s="18" t="n">
        <v>10.74890724</v>
      </c>
      <c r="R74" s="20" t="n">
        <v>1.74237012</v>
      </c>
    </row>
    <row r="75" spans="1:18">
      <c r="A75" s="15" t="s">
        <v>635</v>
      </c>
      <c r="B75" s="17" t="n">
        <v>4652</v>
      </c>
      <c r="C75" s="18">
        <f>(4129.0/B75*100)</f>
        <v/>
      </c>
      <c r="D75" s="19" t="n">
        <v>523</v>
      </c>
      <c r="E75" s="18" t="n">
        <v>56.19663117</v>
      </c>
      <c r="F75" s="20" t="n">
        <v>2.18297633</v>
      </c>
      <c r="G75" s="18" t="n">
        <v>41.67786824</v>
      </c>
      <c r="H75" s="20" t="n">
        <v>2.16930238</v>
      </c>
      <c r="I75" s="18" t="n">
        <v>0</v>
      </c>
      <c r="J75" s="20" t="n">
        <v>0</v>
      </c>
      <c r="K75" s="18" t="n">
        <v>0</v>
      </c>
      <c r="L75" s="20" t="n">
        <v>0</v>
      </c>
      <c r="M75" s="18" t="n">
        <v>0.27218057</v>
      </c>
      <c r="N75" s="20" t="n">
        <v>0.19428342</v>
      </c>
      <c r="O75" s="18" t="n">
        <v>0</v>
      </c>
      <c r="P75" s="20" t="n">
        <v>0</v>
      </c>
      <c r="Q75" s="18" t="n">
        <v>1.85332001</v>
      </c>
      <c r="R75" s="20" t="n">
        <v>0.69341049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(2669.0/B77*100)</f>
        <v/>
      </c>
      <c r="D77" s="19" t="n">
        <v>300</v>
      </c>
      <c r="E77" s="18" t="n">
        <v>49.66764981</v>
      </c>
      <c r="F77" s="20" t="n">
        <v>2.68759199</v>
      </c>
      <c r="G77" s="18" t="n">
        <v>21.59768502</v>
      </c>
      <c r="H77" s="20" t="n">
        <v>2.01615924</v>
      </c>
      <c r="I77" s="18" t="n">
        <v>0</v>
      </c>
      <c r="J77" s="20" t="n">
        <v>0</v>
      </c>
      <c r="K77" s="18" t="n">
        <v>1.71189883</v>
      </c>
      <c r="L77" s="20" t="n">
        <v>0.88561346</v>
      </c>
      <c r="M77" s="18" t="n">
        <v>0.71810045</v>
      </c>
      <c r="N77" s="20" t="n">
        <v>0.53824859</v>
      </c>
      <c r="O77" s="18" t="n">
        <v>0</v>
      </c>
      <c r="P77" s="20" t="n">
        <v>0</v>
      </c>
      <c r="Q77" s="18" t="n">
        <v>26.3046659</v>
      </c>
      <c r="R77" s="20" t="n">
        <v>2.64609015</v>
      </c>
    </row>
    <row r="78" spans="1:18">
      <c r="A78" s="15" t="s">
        <v>638</v>
      </c>
      <c r="B78" s="17" t="n">
        <v>7115</v>
      </c>
      <c r="C78" s="18">
        <f>(6319.0/B78*100)</f>
        <v/>
      </c>
      <c r="D78" s="19" t="n">
        <v>796</v>
      </c>
      <c r="E78" s="18" t="n">
        <v>54.19048025</v>
      </c>
      <c r="F78" s="20" t="n">
        <v>2.00967501</v>
      </c>
      <c r="G78" s="18" t="n">
        <v>42.12089957</v>
      </c>
      <c r="H78" s="20" t="n">
        <v>2.02608839</v>
      </c>
      <c r="I78" s="18" t="n">
        <v>0</v>
      </c>
      <c r="J78" s="20" t="n">
        <v>0</v>
      </c>
      <c r="K78" s="18" t="n">
        <v>0.21836284</v>
      </c>
      <c r="L78" s="20" t="n">
        <v>0.17100814</v>
      </c>
      <c r="M78" s="18" t="n">
        <v>0.09039154000000001</v>
      </c>
      <c r="N78" s="20" t="n">
        <v>0.09134630000000001</v>
      </c>
      <c r="O78" s="18" t="n">
        <v>0</v>
      </c>
      <c r="P78" s="20" t="n">
        <v>0</v>
      </c>
      <c r="Q78" s="18" t="n">
        <v>3.3798658</v>
      </c>
      <c r="R78" s="20" t="n">
        <v>0.67300481</v>
      </c>
    </row>
    <row r="79" spans="1:18">
      <c r="A79" s="15" t="s">
        <v>639</v>
      </c>
      <c r="B79" s="17" t="n">
        <v>3154</v>
      </c>
      <c r="C79" s="18">
        <f>(2847.0/B79*100)</f>
        <v/>
      </c>
      <c r="D79" s="19" t="n">
        <v>307</v>
      </c>
      <c r="E79" s="18" t="n">
        <v>33.20827275</v>
      </c>
      <c r="F79" s="20" t="n">
        <v>2.93020204</v>
      </c>
      <c r="G79" s="18" t="n">
        <v>43.63981253</v>
      </c>
      <c r="H79" s="20" t="n">
        <v>3.0411678</v>
      </c>
      <c r="I79" s="18" t="n">
        <v>0</v>
      </c>
      <c r="J79" s="20" t="n">
        <v>0</v>
      </c>
      <c r="K79" s="18" t="n">
        <v>0.92553124</v>
      </c>
      <c r="L79" s="20" t="n">
        <v>0.58521668</v>
      </c>
      <c r="M79" s="18" t="n">
        <v>0</v>
      </c>
      <c r="N79" s="20" t="n">
        <v>0</v>
      </c>
      <c r="O79" s="18" t="n">
        <v>0</v>
      </c>
      <c r="P79" s="20" t="n">
        <v>0</v>
      </c>
      <c r="Q79" s="18" t="n">
        <v>22.22638348</v>
      </c>
      <c r="R79" s="20" t="n">
        <v>2.70981284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(14229.0/B82*100)</f>
        <v/>
      </c>
      <c r="D82" s="19" t="n">
        <v>1732</v>
      </c>
      <c r="E82" s="18" t="n">
        <v>35.97492102</v>
      </c>
      <c r="F82" s="20" t="n">
        <v>1.99187941</v>
      </c>
      <c r="G82" s="18" t="n">
        <v>52.99285317</v>
      </c>
      <c r="H82" s="20" t="n">
        <v>1.94455851</v>
      </c>
      <c r="I82" s="18" t="n">
        <v>0</v>
      </c>
      <c r="J82" s="20" t="n">
        <v>0</v>
      </c>
      <c r="K82" s="18" t="n">
        <v>0.04052562</v>
      </c>
      <c r="L82" s="20" t="n">
        <v>0.04090744</v>
      </c>
      <c r="M82" s="18" t="n">
        <v>0</v>
      </c>
      <c r="N82" s="20" t="n">
        <v>0</v>
      </c>
      <c r="O82" s="18" t="n">
        <v>0</v>
      </c>
      <c r="P82" s="20" t="n">
        <v>0</v>
      </c>
      <c r="Q82" s="18" t="n">
        <v>10.99170018</v>
      </c>
      <c r="R82" s="20" t="n">
        <v>1.15543595</v>
      </c>
    </row>
    <row r="83" spans="1:18">
      <c r="A83" s="15" t="s">
        <v>643</v>
      </c>
      <c r="B83" s="17" t="n">
        <v>808</v>
      </c>
      <c r="C83" s="18">
        <f>(723.0/B83*100)</f>
        <v/>
      </c>
      <c r="D83" s="19" t="n">
        <v>85</v>
      </c>
      <c r="E83" s="18" t="n">
        <v>32.75963229</v>
      </c>
      <c r="F83" s="20" t="n">
        <v>4.72239434</v>
      </c>
      <c r="G83" s="18" t="n">
        <v>65.38058928</v>
      </c>
      <c r="H83" s="20" t="n">
        <v>5.31909095</v>
      </c>
      <c r="I83" s="18" t="n">
        <v>0</v>
      </c>
      <c r="J83" s="20" t="n">
        <v>0</v>
      </c>
      <c r="K83" s="18" t="n">
        <v>0</v>
      </c>
      <c r="L83" s="20" t="n">
        <v>0</v>
      </c>
      <c r="M83" s="18" t="n">
        <v>0</v>
      </c>
      <c r="N83" s="20" t="n">
        <v>0</v>
      </c>
      <c r="O83" s="18" t="n">
        <v>0</v>
      </c>
      <c r="P83" s="20" t="n">
        <v>0</v>
      </c>
      <c r="Q83" s="18" t="n">
        <v>1.85977843</v>
      </c>
      <c r="R83" s="20" t="n">
        <v>1.22586463</v>
      </c>
    </row>
    <row r="84" spans="1:18">
      <c r="A84" s="23" t="s">
        <v>644</v>
      </c>
      <c r="B84" s="24" t="n">
        <v>938</v>
      </c>
      <c r="C84" s="25">
        <f>(837.0/B84*100)</f>
        <v/>
      </c>
      <c r="D84" s="19" t="n">
        <v>101</v>
      </c>
      <c r="E84" s="18" t="n">
        <v>35.25198199</v>
      </c>
      <c r="F84" s="20" t="n">
        <v>4.42365332</v>
      </c>
      <c r="G84" s="18" t="n">
        <v>61.77538829</v>
      </c>
      <c r="H84" s="20" t="n">
        <v>4.77827654</v>
      </c>
      <c r="I84" s="18" t="n">
        <v>0</v>
      </c>
      <c r="J84" s="20" t="n">
        <v>0</v>
      </c>
      <c r="K84" s="18" t="n">
        <v>0</v>
      </c>
      <c r="L84" s="20" t="n">
        <v>0</v>
      </c>
      <c r="M84" s="18" t="n">
        <v>0</v>
      </c>
      <c r="N84" s="20" t="n">
        <v>0</v>
      </c>
      <c r="O84" s="18" t="n">
        <v>0</v>
      </c>
      <c r="P84" s="20" t="n">
        <v>0</v>
      </c>
      <c r="Q84" s="18" t="n">
        <v>2.97262972</v>
      </c>
      <c r="R84" s="20" t="n">
        <v>1.69306601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(6380.0/B7*100)</f>
        <v/>
      </c>
      <c r="D7" s="19" t="n">
        <v>783</v>
      </c>
      <c r="E7" s="18" t="n">
        <v>31.73425317</v>
      </c>
      <c r="F7" s="20" t="n">
        <v>1.96431424</v>
      </c>
      <c r="G7" s="18" t="n">
        <v>60.20322464</v>
      </c>
      <c r="H7" s="20" t="n">
        <v>2.23688909</v>
      </c>
      <c r="I7" s="18" t="n">
        <v>0</v>
      </c>
      <c r="J7" s="20" t="n">
        <v>0</v>
      </c>
      <c r="K7" s="18" t="n">
        <v>0</v>
      </c>
      <c r="L7" s="20" t="n">
        <v>0</v>
      </c>
      <c r="M7" s="18" t="n">
        <v>0.27738759</v>
      </c>
      <c r="N7" s="20" t="n">
        <v>0.30312354</v>
      </c>
      <c r="O7" s="18" t="n">
        <v>0</v>
      </c>
      <c r="P7" s="20" t="n">
        <v>0</v>
      </c>
      <c r="Q7" s="18" t="n">
        <v>7.7851346</v>
      </c>
      <c r="R7" s="20" t="n">
        <v>0.99936453</v>
      </c>
    </row>
    <row r="8" spans="1:18">
      <c r="A8" s="15" t="s">
        <v>566</v>
      </c>
      <c r="B8" s="17" t="n">
        <v>3443</v>
      </c>
      <c r="C8" s="18">
        <f>(3057.0/B8*100)</f>
        <v/>
      </c>
      <c r="D8" s="19" t="n">
        <v>386</v>
      </c>
      <c r="E8" s="18" t="n">
        <v>17.73765766</v>
      </c>
      <c r="F8" s="20" t="n">
        <v>2.45292438</v>
      </c>
      <c r="G8" s="18" t="n">
        <v>61.82221846</v>
      </c>
      <c r="H8" s="20" t="n">
        <v>2.99260927</v>
      </c>
      <c r="I8" s="18" t="n">
        <v>0</v>
      </c>
      <c r="J8" s="20" t="n">
        <v>0</v>
      </c>
      <c r="K8" s="18" t="n">
        <v>0.29434519</v>
      </c>
      <c r="L8" s="20" t="n">
        <v>0.33233996</v>
      </c>
      <c r="M8" s="18" t="n">
        <v>0</v>
      </c>
      <c r="N8" s="20" t="n">
        <v>0</v>
      </c>
      <c r="O8" s="18" t="n">
        <v>0</v>
      </c>
      <c r="P8" s="20" t="n">
        <v>0</v>
      </c>
      <c r="Q8" s="18" t="n">
        <v>20.14577869</v>
      </c>
      <c r="R8" s="20" t="n">
        <v>2.17362631</v>
      </c>
    </row>
    <row r="9" spans="1:18">
      <c r="A9" s="15" t="s">
        <v>567</v>
      </c>
      <c r="B9" s="17" t="n">
        <v>4752</v>
      </c>
      <c r="C9" s="18">
        <f>(4246.0/B9*100)</f>
        <v/>
      </c>
      <c r="D9" s="19" t="n">
        <v>506</v>
      </c>
      <c r="E9" s="18" t="n">
        <v>22.82345911</v>
      </c>
      <c r="F9" s="20" t="n">
        <v>1.86411007</v>
      </c>
      <c r="G9" s="18" t="n">
        <v>63.93876994</v>
      </c>
      <c r="H9" s="20" t="n">
        <v>2.02472698</v>
      </c>
      <c r="I9" s="18" t="n">
        <v>0</v>
      </c>
      <c r="J9" s="20" t="n">
        <v>0</v>
      </c>
      <c r="K9" s="18" t="n">
        <v>0</v>
      </c>
      <c r="L9" s="20" t="n">
        <v>0</v>
      </c>
      <c r="M9" s="18" t="n">
        <v>0</v>
      </c>
      <c r="N9" s="20" t="n">
        <v>0</v>
      </c>
      <c r="O9" s="18" t="n">
        <v>0</v>
      </c>
      <c r="P9" s="20" t="n">
        <v>0</v>
      </c>
      <c r="Q9" s="18" t="n">
        <v>13.23777096</v>
      </c>
      <c r="R9" s="20" t="n">
        <v>1.34576663</v>
      </c>
    </row>
    <row r="10" spans="1:18">
      <c r="A10" s="15" t="s">
        <v>568</v>
      </c>
      <c r="B10" s="17" t="n">
        <v>10022</v>
      </c>
      <c r="C10" s="18">
        <f>(8888.0/B10*100)</f>
        <v/>
      </c>
      <c r="D10" s="19" t="n">
        <v>1134</v>
      </c>
      <c r="E10" s="18" t="n">
        <v>26.5546921</v>
      </c>
      <c r="F10" s="20" t="n">
        <v>2.00689749</v>
      </c>
      <c r="G10" s="18" t="n">
        <v>69.17193073999999</v>
      </c>
      <c r="H10" s="20" t="n">
        <v>2.04087317</v>
      </c>
      <c r="I10" s="18" t="n">
        <v>0</v>
      </c>
      <c r="J10" s="20" t="n">
        <v>0</v>
      </c>
      <c r="K10" s="18" t="n">
        <v>0.41308581</v>
      </c>
      <c r="L10" s="20" t="n">
        <v>0.41698832</v>
      </c>
      <c r="M10" s="18" t="n">
        <v>0</v>
      </c>
      <c r="N10" s="20" t="n">
        <v>0</v>
      </c>
      <c r="O10" s="18" t="n">
        <v>0</v>
      </c>
      <c r="P10" s="20" t="n">
        <v>0</v>
      </c>
      <c r="Q10" s="18" t="n">
        <v>3.86029134</v>
      </c>
      <c r="R10" s="20" t="n">
        <v>0.6710019</v>
      </c>
    </row>
    <row r="11" spans="1:18">
      <c r="A11" s="15" t="s">
        <v>569</v>
      </c>
      <c r="B11" s="17" t="n">
        <v>3500</v>
      </c>
      <c r="C11" s="18">
        <f>(3139.0/B11*100)</f>
        <v/>
      </c>
      <c r="D11" s="19" t="n">
        <v>361</v>
      </c>
      <c r="E11" s="18" t="n">
        <v>38.09449261</v>
      </c>
      <c r="F11" s="20" t="n">
        <v>3.02159139</v>
      </c>
      <c r="G11" s="18" t="n">
        <v>48.041754</v>
      </c>
      <c r="H11" s="20" t="n">
        <v>2.58123307</v>
      </c>
      <c r="I11" s="18" t="n">
        <v>0</v>
      </c>
      <c r="J11" s="20" t="n">
        <v>0</v>
      </c>
      <c r="K11" s="18" t="n">
        <v>0.44810406</v>
      </c>
      <c r="L11" s="20" t="n">
        <v>0.37454853</v>
      </c>
      <c r="M11" s="18" t="n">
        <v>0</v>
      </c>
      <c r="N11" s="20" t="n">
        <v>0</v>
      </c>
      <c r="O11" s="18" t="n">
        <v>0</v>
      </c>
      <c r="P11" s="20" t="n">
        <v>0</v>
      </c>
      <c r="Q11" s="18" t="n">
        <v>13.41564933</v>
      </c>
      <c r="R11" s="20" t="n">
        <v>2.15689395</v>
      </c>
    </row>
    <row r="12" spans="1:18">
      <c r="A12" s="15" t="s">
        <v>570</v>
      </c>
      <c r="B12" s="17" t="n">
        <v>3422</v>
      </c>
      <c r="C12" s="18">
        <f>(3061.0/B12*100)</f>
        <v/>
      </c>
      <c r="D12" s="19" t="n">
        <v>361</v>
      </c>
      <c r="E12" s="18" t="n">
        <v>21.68222072</v>
      </c>
      <c r="F12" s="20" t="n">
        <v>2.45743966</v>
      </c>
      <c r="G12" s="18" t="n">
        <v>55.14050131</v>
      </c>
      <c r="H12" s="20" t="n">
        <v>2.69407565</v>
      </c>
      <c r="I12" s="18" t="n">
        <v>0</v>
      </c>
      <c r="J12" s="20" t="n">
        <v>0</v>
      </c>
      <c r="K12" s="18" t="n">
        <v>0.26952916</v>
      </c>
      <c r="L12" s="20" t="n">
        <v>0.26897451</v>
      </c>
      <c r="M12" s="18" t="n">
        <v>0</v>
      </c>
      <c r="N12" s="20" t="n">
        <v>0</v>
      </c>
      <c r="O12" s="18" t="n">
        <v>0</v>
      </c>
      <c r="P12" s="20" t="n">
        <v>0</v>
      </c>
      <c r="Q12" s="18" t="n">
        <v>22.90774881</v>
      </c>
      <c r="R12" s="20" t="n">
        <v>2.24276681</v>
      </c>
    </row>
    <row r="13" spans="1:18">
      <c r="A13" s="15" t="s">
        <v>571</v>
      </c>
      <c r="B13" s="17" t="n">
        <v>3602</v>
      </c>
      <c r="C13" s="18">
        <f>(3193.0/B13*100)</f>
        <v/>
      </c>
      <c r="D13" s="19" t="n">
        <v>409</v>
      </c>
      <c r="E13" s="18" t="n">
        <v>22.11932714</v>
      </c>
      <c r="F13" s="20" t="n">
        <v>2.2029672</v>
      </c>
      <c r="G13" s="18" t="n">
        <v>69.04978964999999</v>
      </c>
      <c r="H13" s="20" t="n">
        <v>2.37380638</v>
      </c>
      <c r="I13" s="18" t="n">
        <v>0</v>
      </c>
      <c r="J13" s="20" t="n">
        <v>0</v>
      </c>
      <c r="K13" s="18" t="n">
        <v>0</v>
      </c>
      <c r="L13" s="20" t="n">
        <v>0</v>
      </c>
      <c r="M13" s="18" t="n">
        <v>0</v>
      </c>
      <c r="N13" s="20" t="n">
        <v>0</v>
      </c>
      <c r="O13" s="18" t="n">
        <v>0</v>
      </c>
      <c r="P13" s="20" t="n">
        <v>0</v>
      </c>
      <c r="Q13" s="18" t="n">
        <v>8.830883200000001</v>
      </c>
      <c r="R13" s="20" t="n">
        <v>1.50558731</v>
      </c>
    </row>
    <row r="14" spans="1:18">
      <c r="A14" s="15" t="s">
        <v>572</v>
      </c>
      <c r="B14" s="17" t="n">
        <v>2788</v>
      </c>
      <c r="C14" s="18">
        <f>(2474.0/B14*100)</f>
        <v/>
      </c>
      <c r="D14" s="19" t="n">
        <v>314</v>
      </c>
      <c r="E14" s="18" t="n">
        <v>21.50933129</v>
      </c>
      <c r="F14" s="20" t="n">
        <v>2.38085284</v>
      </c>
      <c r="G14" s="18" t="n">
        <v>68.92336034</v>
      </c>
      <c r="H14" s="20" t="n">
        <v>3.15223412</v>
      </c>
      <c r="I14" s="18" t="n">
        <v>0</v>
      </c>
      <c r="J14" s="20" t="n">
        <v>0</v>
      </c>
      <c r="K14" s="18" t="n">
        <v>0</v>
      </c>
      <c r="L14" s="20" t="n">
        <v>0</v>
      </c>
      <c r="M14" s="18" t="n">
        <v>0</v>
      </c>
      <c r="N14" s="20" t="n">
        <v>0</v>
      </c>
      <c r="O14" s="18" t="n">
        <v>0</v>
      </c>
      <c r="P14" s="20" t="n">
        <v>0</v>
      </c>
      <c r="Q14" s="18" t="n">
        <v>9.56730836</v>
      </c>
      <c r="R14" s="20" t="n">
        <v>1.8851478</v>
      </c>
    </row>
    <row r="15" spans="1:18">
      <c r="A15" s="15" t="s">
        <v>573</v>
      </c>
      <c r="B15" s="17" t="n">
        <v>2863</v>
      </c>
      <c r="C15" s="18">
        <f>(2560.0/B15*100)</f>
        <v/>
      </c>
      <c r="D15" s="19" t="n">
        <v>303</v>
      </c>
      <c r="E15" s="18" t="n">
        <v>17.12348759</v>
      </c>
      <c r="F15" s="20" t="n">
        <v>2.44984627</v>
      </c>
      <c r="G15" s="18" t="n">
        <v>76.66255499</v>
      </c>
      <c r="H15" s="20" t="n">
        <v>3.00963224</v>
      </c>
      <c r="I15" s="18" t="n">
        <v>0</v>
      </c>
      <c r="J15" s="20" t="n">
        <v>0</v>
      </c>
      <c r="K15" s="18" t="n">
        <v>0</v>
      </c>
      <c r="L15" s="20" t="n">
        <v>0</v>
      </c>
      <c r="M15" s="18" t="n">
        <v>0</v>
      </c>
      <c r="N15" s="20" t="n">
        <v>0</v>
      </c>
      <c r="O15" s="18" t="n">
        <v>0</v>
      </c>
      <c r="P15" s="20" t="n">
        <v>0</v>
      </c>
      <c r="Q15" s="18" t="n">
        <v>6.21395741</v>
      </c>
      <c r="R15" s="20" t="n">
        <v>1.28539724</v>
      </c>
    </row>
    <row r="16" spans="1:18">
      <c r="A16" s="15" t="s">
        <v>574</v>
      </c>
      <c r="B16" s="17" t="n">
        <v>3111</v>
      </c>
      <c r="C16" s="18">
        <f>(2771.0/B16*100)</f>
        <v/>
      </c>
      <c r="D16" s="19" t="n">
        <v>340</v>
      </c>
      <c r="E16" s="18" t="n">
        <v>17.05127308</v>
      </c>
      <c r="F16" s="20" t="n">
        <v>2.05491925</v>
      </c>
      <c r="G16" s="18" t="n">
        <v>64.81850174</v>
      </c>
      <c r="H16" s="20" t="n">
        <v>2.81831249</v>
      </c>
      <c r="I16" s="18" t="n">
        <v>0</v>
      </c>
      <c r="J16" s="20" t="n">
        <v>0</v>
      </c>
      <c r="K16" s="18" t="n">
        <v>0.33564814</v>
      </c>
      <c r="L16" s="20" t="n">
        <v>0.35359041</v>
      </c>
      <c r="M16" s="18" t="n">
        <v>0</v>
      </c>
      <c r="N16" s="20" t="n">
        <v>0</v>
      </c>
      <c r="O16" s="18" t="n">
        <v>0</v>
      </c>
      <c r="P16" s="20" t="n">
        <v>0</v>
      </c>
      <c r="Q16" s="18" t="n">
        <v>17.79457704</v>
      </c>
      <c r="R16" s="20" t="n">
        <v>2.0951881</v>
      </c>
    </row>
    <row r="17" spans="1:18">
      <c r="A17" s="15" t="s">
        <v>575</v>
      </c>
      <c r="B17" s="17" t="n">
        <v>3197</v>
      </c>
      <c r="C17" s="18">
        <f>(2848.0/B17*100)</f>
        <v/>
      </c>
      <c r="D17" s="19" t="n">
        <v>349</v>
      </c>
      <c r="E17" s="18" t="n">
        <v>24.58456717</v>
      </c>
      <c r="F17" s="20" t="n">
        <v>2.3904739</v>
      </c>
      <c r="G17" s="18" t="n">
        <v>60.82156652</v>
      </c>
      <c r="H17" s="20" t="n">
        <v>2.46308826</v>
      </c>
      <c r="I17" s="18" t="n">
        <v>0</v>
      </c>
      <c r="J17" s="20" t="n">
        <v>0</v>
      </c>
      <c r="K17" s="18" t="n">
        <v>0.2915452</v>
      </c>
      <c r="L17" s="20" t="n">
        <v>0.28704485</v>
      </c>
      <c r="M17" s="18" t="n">
        <v>0</v>
      </c>
      <c r="N17" s="20" t="n">
        <v>0</v>
      </c>
      <c r="O17" s="18" t="n">
        <v>0</v>
      </c>
      <c r="P17" s="20" t="n">
        <v>0</v>
      </c>
      <c r="Q17" s="18" t="n">
        <v>14.30232111</v>
      </c>
      <c r="R17" s="20" t="n">
        <v>1.83860759</v>
      </c>
    </row>
    <row r="18" spans="1:18">
      <c r="A18" s="15" t="s">
        <v>576</v>
      </c>
      <c r="B18" s="17" t="n">
        <v>2706</v>
      </c>
      <c r="C18" s="18">
        <f>(2419.0/B18*100)</f>
        <v/>
      </c>
      <c r="D18" s="19" t="n">
        <v>287</v>
      </c>
      <c r="E18" s="18" t="n">
        <v>29.12215267</v>
      </c>
      <c r="F18" s="20" t="n">
        <v>2.53724006</v>
      </c>
      <c r="G18" s="18" t="n">
        <v>55.41451449</v>
      </c>
      <c r="H18" s="20" t="n">
        <v>2.61112164</v>
      </c>
      <c r="I18" s="18" t="n">
        <v>0</v>
      </c>
      <c r="J18" s="20" t="n">
        <v>0</v>
      </c>
      <c r="K18" s="18" t="n">
        <v>0.28132776</v>
      </c>
      <c r="L18" s="20" t="n">
        <v>0.27368074</v>
      </c>
      <c r="M18" s="18" t="n">
        <v>0</v>
      </c>
      <c r="N18" s="20" t="n">
        <v>0</v>
      </c>
      <c r="O18" s="18" t="n">
        <v>0</v>
      </c>
      <c r="P18" s="20" t="n">
        <v>0</v>
      </c>
      <c r="Q18" s="18" t="n">
        <v>15.18200508</v>
      </c>
      <c r="R18" s="20" t="n">
        <v>2.58769638</v>
      </c>
    </row>
    <row r="19" spans="1:18">
      <c r="A19" s="15" t="s">
        <v>577</v>
      </c>
      <c r="B19" s="17" t="n">
        <v>2850</v>
      </c>
      <c r="C19" s="18">
        <f>(2542.0/B19*100)</f>
        <v/>
      </c>
      <c r="D19" s="19" t="n">
        <v>308</v>
      </c>
      <c r="E19" s="18" t="n">
        <v>25.10863022</v>
      </c>
      <c r="F19" s="20" t="n">
        <v>3.00282642</v>
      </c>
      <c r="G19" s="18" t="n">
        <v>58.05383948</v>
      </c>
      <c r="H19" s="20" t="n">
        <v>3.14001161</v>
      </c>
      <c r="I19" s="18" t="n">
        <v>0</v>
      </c>
      <c r="J19" s="20" t="n">
        <v>0</v>
      </c>
      <c r="K19" s="18" t="n">
        <v>0</v>
      </c>
      <c r="L19" s="20" t="n">
        <v>0</v>
      </c>
      <c r="M19" s="18" t="n">
        <v>0</v>
      </c>
      <c r="N19" s="20" t="n">
        <v>0</v>
      </c>
      <c r="O19" s="18" t="n">
        <v>0</v>
      </c>
      <c r="P19" s="20" t="n">
        <v>0</v>
      </c>
      <c r="Q19" s="18" t="n">
        <v>16.8375303</v>
      </c>
      <c r="R19" s="20" t="n">
        <v>2.2867566</v>
      </c>
    </row>
    <row r="20" spans="1:18">
      <c r="A20" s="15" t="s">
        <v>578</v>
      </c>
      <c r="B20" s="17" t="n">
        <v>1741</v>
      </c>
      <c r="C20" s="18">
        <f>(1522.0/B20*100)</f>
        <v/>
      </c>
      <c r="D20" s="19" t="n">
        <v>219</v>
      </c>
      <c r="E20" s="18" t="n">
        <v>29.00204064</v>
      </c>
      <c r="F20" s="20" t="n">
        <v>2.7948722</v>
      </c>
      <c r="G20" s="18" t="n">
        <v>54.71748973</v>
      </c>
      <c r="H20" s="20" t="n">
        <v>2.95797326</v>
      </c>
      <c r="I20" s="18" t="n">
        <v>0</v>
      </c>
      <c r="J20" s="20" t="n">
        <v>0</v>
      </c>
      <c r="K20" s="18" t="n">
        <v>0</v>
      </c>
      <c r="L20" s="20" t="n">
        <v>0</v>
      </c>
      <c r="M20" s="18" t="n">
        <v>0</v>
      </c>
      <c r="N20" s="20" t="n">
        <v>0</v>
      </c>
      <c r="O20" s="18" t="n">
        <v>0</v>
      </c>
      <c r="P20" s="20" t="n">
        <v>0</v>
      </c>
      <c r="Q20" s="18" t="n">
        <v>16.28046963</v>
      </c>
      <c r="R20" s="20" t="n">
        <v>2.18072036</v>
      </c>
    </row>
    <row r="21" spans="1:18">
      <c r="A21" s="15" t="s">
        <v>579</v>
      </c>
      <c r="B21" s="17" t="n">
        <v>2833</v>
      </c>
      <c r="C21" s="18">
        <f>(2528.0/B21*100)</f>
        <v/>
      </c>
      <c r="D21" s="19" t="n">
        <v>305</v>
      </c>
      <c r="E21" s="18" t="n">
        <v>19.96241019</v>
      </c>
      <c r="F21" s="20" t="n">
        <v>2.09699722</v>
      </c>
      <c r="G21" s="18" t="n">
        <v>76.5908737</v>
      </c>
      <c r="H21" s="20" t="n">
        <v>2.26410437</v>
      </c>
      <c r="I21" s="18" t="n">
        <v>0</v>
      </c>
      <c r="J21" s="20" t="n">
        <v>0</v>
      </c>
      <c r="K21" s="18" t="n">
        <v>0</v>
      </c>
      <c r="L21" s="20" t="n">
        <v>0</v>
      </c>
      <c r="M21" s="18" t="n">
        <v>0</v>
      </c>
      <c r="N21" s="20" t="n">
        <v>0</v>
      </c>
      <c r="O21" s="18" t="n">
        <v>0</v>
      </c>
      <c r="P21" s="20" t="n">
        <v>0</v>
      </c>
      <c r="Q21" s="18" t="n">
        <v>3.44671611</v>
      </c>
      <c r="R21" s="20" t="n">
        <v>1.11639256</v>
      </c>
    </row>
    <row r="22" spans="1:18">
      <c r="A22" s="15" t="s">
        <v>580</v>
      </c>
      <c r="B22" s="17" t="n">
        <v>3667</v>
      </c>
      <c r="C22" s="18">
        <f>(3241.0/B22*100)</f>
        <v/>
      </c>
      <c r="D22" s="19" t="n">
        <v>426</v>
      </c>
      <c r="E22" s="18" t="n">
        <v>28.97534431</v>
      </c>
      <c r="F22" s="20" t="n">
        <v>2.36749281</v>
      </c>
      <c r="G22" s="18" t="n">
        <v>55.86456251</v>
      </c>
      <c r="H22" s="20" t="n">
        <v>2.92482737</v>
      </c>
      <c r="I22" s="18" t="n">
        <v>0</v>
      </c>
      <c r="J22" s="20" t="n">
        <v>0</v>
      </c>
      <c r="K22" s="18" t="n">
        <v>0.22332245</v>
      </c>
      <c r="L22" s="20" t="n">
        <v>0.24763253</v>
      </c>
      <c r="M22" s="18" t="n">
        <v>0</v>
      </c>
      <c r="N22" s="20" t="n">
        <v>0</v>
      </c>
      <c r="O22" s="18" t="n">
        <v>0</v>
      </c>
      <c r="P22" s="20" t="n">
        <v>0</v>
      </c>
      <c r="Q22" s="18" t="n">
        <v>14.93677074</v>
      </c>
      <c r="R22" s="20" t="n">
        <v>2.00268463</v>
      </c>
    </row>
    <row r="23" spans="1:18">
      <c r="A23" s="15" t="s">
        <v>581</v>
      </c>
      <c r="B23" s="17" t="n">
        <v>5792</v>
      </c>
      <c r="C23" s="18">
        <f>(5157.0/B23*100)</f>
        <v/>
      </c>
      <c r="D23" s="19" t="n">
        <v>635</v>
      </c>
      <c r="E23" s="18" t="n">
        <v>28.07712531</v>
      </c>
      <c r="F23" s="20" t="n">
        <v>2.44227544</v>
      </c>
      <c r="G23" s="18" t="n">
        <v>50.39722421</v>
      </c>
      <c r="H23" s="20" t="n">
        <v>3.22779679</v>
      </c>
      <c r="I23" s="18" t="n">
        <v>0</v>
      </c>
      <c r="J23" s="20" t="n">
        <v>0</v>
      </c>
      <c r="K23" s="18" t="n">
        <v>0.01880284</v>
      </c>
      <c r="L23" s="20" t="n">
        <v>0.01894222</v>
      </c>
      <c r="M23" s="18" t="n">
        <v>0</v>
      </c>
      <c r="N23" s="20" t="n">
        <v>0</v>
      </c>
      <c r="O23" s="18" t="n">
        <v>0</v>
      </c>
      <c r="P23" s="20" t="n">
        <v>0</v>
      </c>
      <c r="Q23" s="18" t="n">
        <v>21.50684764</v>
      </c>
      <c r="R23" s="20" t="n">
        <v>2.63966823</v>
      </c>
    </row>
    <row r="24" spans="1:18">
      <c r="A24" s="15" t="s">
        <v>582</v>
      </c>
      <c r="B24" s="17" t="n">
        <v>3309</v>
      </c>
      <c r="C24" s="18">
        <f>(2953.0/B24*100)</f>
        <v/>
      </c>
      <c r="D24" s="19" t="n">
        <v>356</v>
      </c>
      <c r="E24" s="18" t="n">
        <v>22.32405225</v>
      </c>
      <c r="F24" s="20" t="n">
        <v>2.37256555</v>
      </c>
      <c r="G24" s="18" t="n">
        <v>66.85434918999999</v>
      </c>
      <c r="H24" s="20" t="n">
        <v>2.70461147</v>
      </c>
      <c r="I24" s="18" t="n">
        <v>0</v>
      </c>
      <c r="J24" s="20" t="n">
        <v>0</v>
      </c>
      <c r="K24" s="18" t="n">
        <v>0</v>
      </c>
      <c r="L24" s="20" t="n">
        <v>0</v>
      </c>
      <c r="M24" s="18" t="n">
        <v>0</v>
      </c>
      <c r="N24" s="20" t="n">
        <v>0</v>
      </c>
      <c r="O24" s="18" t="n">
        <v>0</v>
      </c>
      <c r="P24" s="20" t="n">
        <v>0</v>
      </c>
      <c r="Q24" s="18" t="n">
        <v>10.82159856</v>
      </c>
      <c r="R24" s="20" t="n">
        <v>1.59382706</v>
      </c>
    </row>
    <row r="25" spans="1:18">
      <c r="A25" s="15" t="s">
        <v>583</v>
      </c>
      <c r="B25" s="17" t="n">
        <v>2669</v>
      </c>
      <c r="C25" s="18">
        <f>(2362.0/B25*100)</f>
        <v/>
      </c>
      <c r="D25" s="19" t="n">
        <v>307</v>
      </c>
      <c r="E25" s="18" t="n">
        <v>19.90777129</v>
      </c>
      <c r="F25" s="20" t="n">
        <v>2.44444706</v>
      </c>
      <c r="G25" s="18" t="n">
        <v>69.54670846</v>
      </c>
      <c r="H25" s="20" t="n">
        <v>2.81952826</v>
      </c>
      <c r="I25" s="18" t="n">
        <v>0</v>
      </c>
      <c r="J25" s="20" t="n">
        <v>0</v>
      </c>
      <c r="K25" s="18" t="n">
        <v>0</v>
      </c>
      <c r="L25" s="20" t="n">
        <v>0</v>
      </c>
      <c r="M25" s="18" t="n">
        <v>0</v>
      </c>
      <c r="N25" s="20" t="n">
        <v>0</v>
      </c>
      <c r="O25" s="18" t="n">
        <v>0</v>
      </c>
      <c r="P25" s="20" t="n">
        <v>0</v>
      </c>
      <c r="Q25" s="18" t="n">
        <v>10.54552025</v>
      </c>
      <c r="R25" s="20" t="n">
        <v>1.59338191</v>
      </c>
    </row>
    <row r="26" spans="1:18">
      <c r="A26" s="15" t="s">
        <v>584</v>
      </c>
      <c r="B26" s="17" t="n">
        <v>2419</v>
      </c>
      <c r="C26" s="18">
        <f>(2159.0/B26*100)</f>
        <v/>
      </c>
      <c r="D26" s="19" t="n">
        <v>260</v>
      </c>
      <c r="E26" s="18" t="n">
        <v>19.70104738</v>
      </c>
      <c r="F26" s="20" t="n">
        <v>2.52567855</v>
      </c>
      <c r="G26" s="18" t="n">
        <v>72.56340358</v>
      </c>
      <c r="H26" s="20" t="n">
        <v>3.24421006</v>
      </c>
      <c r="I26" s="18" t="n">
        <v>0</v>
      </c>
      <c r="J26" s="20" t="n">
        <v>0</v>
      </c>
      <c r="K26" s="18" t="n">
        <v>0</v>
      </c>
      <c r="L26" s="20" t="n">
        <v>0</v>
      </c>
      <c r="M26" s="18" t="n">
        <v>0</v>
      </c>
      <c r="N26" s="20" t="n">
        <v>0</v>
      </c>
      <c r="O26" s="18" t="n">
        <v>0</v>
      </c>
      <c r="P26" s="20" t="n">
        <v>0</v>
      </c>
      <c r="Q26" s="18" t="n">
        <v>7.73554904</v>
      </c>
      <c r="R26" s="20" t="n">
        <v>1.81569759</v>
      </c>
    </row>
    <row r="27" spans="1:18">
      <c r="A27" s="15" t="s">
        <v>585</v>
      </c>
      <c r="B27" s="17" t="n">
        <v>2683</v>
      </c>
      <c r="C27" s="18">
        <f>(2372.0/B27*100)</f>
        <v/>
      </c>
      <c r="D27" s="19" t="n">
        <v>311</v>
      </c>
      <c r="E27" s="18" t="n">
        <v>19.44170647</v>
      </c>
      <c r="F27" s="20" t="n">
        <v>2.47990584</v>
      </c>
      <c r="G27" s="18" t="n">
        <v>63.9243242</v>
      </c>
      <c r="H27" s="20" t="n">
        <v>2.81668026</v>
      </c>
      <c r="I27" s="18" t="n">
        <v>0</v>
      </c>
      <c r="J27" s="20" t="n">
        <v>0</v>
      </c>
      <c r="K27" s="18" t="n">
        <v>0</v>
      </c>
      <c r="L27" s="20" t="n">
        <v>0</v>
      </c>
      <c r="M27" s="18" t="n">
        <v>0</v>
      </c>
      <c r="N27" s="20" t="n">
        <v>0</v>
      </c>
      <c r="O27" s="18" t="n">
        <v>0</v>
      </c>
      <c r="P27" s="20" t="n">
        <v>0</v>
      </c>
      <c r="Q27" s="18" t="n">
        <v>16.63396933</v>
      </c>
      <c r="R27" s="20" t="n">
        <v>2.08370095</v>
      </c>
    </row>
    <row r="28" spans="1:18">
      <c r="A28" s="15" t="s">
        <v>586</v>
      </c>
      <c r="B28" s="17" t="n">
        <v>3803</v>
      </c>
      <c r="C28" s="18">
        <f>(3413.0/B28*100)</f>
        <v/>
      </c>
      <c r="D28" s="19" t="n">
        <v>390</v>
      </c>
      <c r="E28" s="18" t="n">
        <v>57.95922651</v>
      </c>
      <c r="F28" s="20" t="n">
        <v>2.41124048</v>
      </c>
      <c r="G28" s="18" t="n">
        <v>35.18328934</v>
      </c>
      <c r="H28" s="20" t="n">
        <v>2.46066235</v>
      </c>
      <c r="I28" s="18" t="n">
        <v>0</v>
      </c>
      <c r="J28" s="20" t="n">
        <v>0</v>
      </c>
      <c r="K28" s="18" t="n">
        <v>0.46179113</v>
      </c>
      <c r="L28" s="20" t="n">
        <v>0.45217056</v>
      </c>
      <c r="M28" s="18" t="n">
        <v>0.21374324</v>
      </c>
      <c r="N28" s="20" t="n">
        <v>0.21322192</v>
      </c>
      <c r="O28" s="18" t="n">
        <v>0</v>
      </c>
      <c r="P28" s="20" t="n">
        <v>0</v>
      </c>
      <c r="Q28" s="18" t="n">
        <v>6.18194978</v>
      </c>
      <c r="R28" s="20" t="n">
        <v>1.38260476</v>
      </c>
    </row>
    <row r="29" spans="1:18">
      <c r="A29" s="15" t="s">
        <v>587</v>
      </c>
      <c r="B29" s="17" t="n">
        <v>2700</v>
      </c>
      <c r="C29" s="18">
        <f>(2408.0/B29*100)</f>
        <v/>
      </c>
      <c r="D29" s="19" t="n">
        <v>292</v>
      </c>
      <c r="E29" s="18" t="n">
        <v>31.12370299</v>
      </c>
      <c r="F29" s="20" t="n">
        <v>2.95001563</v>
      </c>
      <c r="G29" s="18" t="n">
        <v>64.02370349</v>
      </c>
      <c r="H29" s="20" t="n">
        <v>2.98094121</v>
      </c>
      <c r="I29" s="18" t="n">
        <v>0</v>
      </c>
      <c r="J29" s="20" t="n">
        <v>0</v>
      </c>
      <c r="K29" s="18" t="n">
        <v>0</v>
      </c>
      <c r="L29" s="20" t="n">
        <v>0</v>
      </c>
      <c r="M29" s="18" t="n">
        <v>0</v>
      </c>
      <c r="N29" s="20" t="n">
        <v>0</v>
      </c>
      <c r="O29" s="18" t="n">
        <v>0</v>
      </c>
      <c r="P29" s="20" t="n">
        <v>0</v>
      </c>
      <c r="Q29" s="18" t="n">
        <v>4.85259352</v>
      </c>
      <c r="R29" s="20" t="n">
        <v>1.31012739</v>
      </c>
    </row>
    <row r="30" spans="1:18">
      <c r="A30" s="15" t="s">
        <v>588</v>
      </c>
      <c r="B30" s="17" t="n">
        <v>2257</v>
      </c>
      <c r="C30" s="18">
        <f>(2001.0/B30*100)</f>
        <v/>
      </c>
      <c r="D30" s="19" t="n">
        <v>256</v>
      </c>
      <c r="E30" s="18" t="n">
        <v>14.93065327</v>
      </c>
      <c r="F30" s="20" t="n">
        <v>2.2766051</v>
      </c>
      <c r="G30" s="18" t="n">
        <v>74.613439</v>
      </c>
      <c r="H30" s="20" t="n">
        <v>2.93251543</v>
      </c>
      <c r="I30" s="18" t="n">
        <v>0</v>
      </c>
      <c r="J30" s="20" t="n">
        <v>0</v>
      </c>
      <c r="K30" s="18" t="n">
        <v>0</v>
      </c>
      <c r="L30" s="20" t="n">
        <v>0</v>
      </c>
      <c r="M30" s="18" t="n">
        <v>0.41351845</v>
      </c>
      <c r="N30" s="20" t="n">
        <v>0.41970423</v>
      </c>
      <c r="O30" s="18" t="n">
        <v>0</v>
      </c>
      <c r="P30" s="20" t="n">
        <v>0</v>
      </c>
      <c r="Q30" s="18" t="n">
        <v>10.04238929</v>
      </c>
      <c r="R30" s="20" t="n">
        <v>1.92815622</v>
      </c>
    </row>
    <row r="31" spans="1:18">
      <c r="A31" s="15" t="s">
        <v>589</v>
      </c>
      <c r="B31" s="17" t="n">
        <v>2706</v>
      </c>
      <c r="C31" s="18">
        <f>(2411.0/B31*100)</f>
        <v/>
      </c>
      <c r="D31" s="19" t="n">
        <v>295</v>
      </c>
      <c r="E31" s="18" t="n">
        <v>23.04244277</v>
      </c>
      <c r="F31" s="20" t="n">
        <v>2.21963829</v>
      </c>
      <c r="G31" s="18" t="n">
        <v>59.74142515</v>
      </c>
      <c r="H31" s="20" t="n">
        <v>2.69263643</v>
      </c>
      <c r="I31" s="18" t="n">
        <v>0</v>
      </c>
      <c r="J31" s="20" t="n">
        <v>0</v>
      </c>
      <c r="K31" s="18" t="n">
        <v>0.62570341</v>
      </c>
      <c r="L31" s="20" t="n">
        <v>0.42052528</v>
      </c>
      <c r="M31" s="18" t="n">
        <v>0</v>
      </c>
      <c r="N31" s="20" t="n">
        <v>0</v>
      </c>
      <c r="O31" s="18" t="n">
        <v>0</v>
      </c>
      <c r="P31" s="20" t="n">
        <v>0</v>
      </c>
      <c r="Q31" s="18" t="n">
        <v>16.59042867</v>
      </c>
      <c r="R31" s="20" t="n">
        <v>2.17525717</v>
      </c>
    </row>
    <row r="32" spans="1:18">
      <c r="A32" s="15" t="s">
        <v>590</v>
      </c>
      <c r="B32" s="17" t="n">
        <v>2209</v>
      </c>
      <c r="C32" s="18">
        <f>(1968.0/B32*100)</f>
        <v/>
      </c>
      <c r="D32" s="19" t="n">
        <v>241</v>
      </c>
      <c r="E32" s="18" t="n">
        <v>29.56410306</v>
      </c>
      <c r="F32" s="20" t="n">
        <v>2.86116285</v>
      </c>
      <c r="G32" s="18" t="n">
        <v>58.38086337</v>
      </c>
      <c r="H32" s="20" t="n">
        <v>3.39564307</v>
      </c>
      <c r="I32" s="18" t="n">
        <v>0</v>
      </c>
      <c r="J32" s="20" t="n">
        <v>0</v>
      </c>
      <c r="K32" s="18" t="n">
        <v>0</v>
      </c>
      <c r="L32" s="20" t="n">
        <v>0</v>
      </c>
      <c r="M32" s="18" t="n">
        <v>0</v>
      </c>
      <c r="N32" s="20" t="n">
        <v>0</v>
      </c>
      <c r="O32" s="18" t="n">
        <v>0</v>
      </c>
      <c r="P32" s="20" t="n">
        <v>0</v>
      </c>
      <c r="Q32" s="18" t="n">
        <v>12.05503357</v>
      </c>
      <c r="R32" s="20" t="n">
        <v>2.06076537</v>
      </c>
    </row>
    <row r="33" spans="1:18">
      <c r="A33" s="15" t="s">
        <v>591</v>
      </c>
      <c r="B33" s="17" t="n">
        <v>3651</v>
      </c>
      <c r="C33" s="18">
        <f>(3265.0/B33*100)</f>
        <v/>
      </c>
      <c r="D33" s="19" t="n">
        <v>386</v>
      </c>
      <c r="E33" s="18" t="n">
        <v>24.74606315</v>
      </c>
      <c r="F33" s="20" t="n">
        <v>2.10702862</v>
      </c>
      <c r="G33" s="18" t="n">
        <v>64.23710457999999</v>
      </c>
      <c r="H33" s="20" t="n">
        <v>2.23918566</v>
      </c>
      <c r="I33" s="18" t="n">
        <v>0</v>
      </c>
      <c r="J33" s="20" t="n">
        <v>0</v>
      </c>
      <c r="K33" s="18" t="n">
        <v>0</v>
      </c>
      <c r="L33" s="20" t="n">
        <v>0</v>
      </c>
      <c r="M33" s="18" t="n">
        <v>0.33466951</v>
      </c>
      <c r="N33" s="20" t="n">
        <v>0.33627744</v>
      </c>
      <c r="O33" s="18" t="n">
        <v>0</v>
      </c>
      <c r="P33" s="20" t="n">
        <v>0</v>
      </c>
      <c r="Q33" s="18" t="n">
        <v>10.68216277</v>
      </c>
      <c r="R33" s="20" t="n">
        <v>1.6579049</v>
      </c>
    </row>
    <row r="34" spans="1:18">
      <c r="A34" s="15" t="s">
        <v>592</v>
      </c>
      <c r="B34" s="17" t="n">
        <v>3035</v>
      </c>
      <c r="C34" s="18">
        <f>(2693.0/B34*100)</f>
        <v/>
      </c>
      <c r="D34" s="19" t="n">
        <v>342</v>
      </c>
      <c r="E34" s="18" t="n">
        <v>42.71912077</v>
      </c>
      <c r="F34" s="20" t="n">
        <v>2.571754</v>
      </c>
      <c r="G34" s="18" t="n">
        <v>39.13060738</v>
      </c>
      <c r="H34" s="20" t="n">
        <v>2.74464356</v>
      </c>
      <c r="I34" s="18" t="n">
        <v>0</v>
      </c>
      <c r="J34" s="20" t="n">
        <v>0</v>
      </c>
      <c r="K34" s="18" t="n">
        <v>0</v>
      </c>
      <c r="L34" s="20" t="n">
        <v>0</v>
      </c>
      <c r="M34" s="18" t="n">
        <v>0.20221908</v>
      </c>
      <c r="N34" s="20" t="n">
        <v>0.18984774</v>
      </c>
      <c r="O34" s="18" t="n">
        <v>0</v>
      </c>
      <c r="P34" s="20" t="n">
        <v>0</v>
      </c>
      <c r="Q34" s="18" t="n">
        <v>17.94805278</v>
      </c>
      <c r="R34" s="20" t="n">
        <v>2.26505823</v>
      </c>
    </row>
    <row r="35" spans="1:18">
      <c r="A35" s="15" t="s">
        <v>593</v>
      </c>
      <c r="B35" s="17" t="n">
        <v>2901</v>
      </c>
      <c r="C35" s="18">
        <f>(2607.0/B35*100)</f>
        <v/>
      </c>
      <c r="D35" s="19" t="n">
        <v>294</v>
      </c>
      <c r="E35" s="18" t="n">
        <v>32.38340571</v>
      </c>
      <c r="F35" s="20" t="n">
        <v>3.87432967</v>
      </c>
      <c r="G35" s="18" t="n">
        <v>55.90633885</v>
      </c>
      <c r="H35" s="20" t="n">
        <v>4.09101799</v>
      </c>
      <c r="I35" s="18" t="n">
        <v>0</v>
      </c>
      <c r="J35" s="20" t="n">
        <v>0</v>
      </c>
      <c r="K35" s="18" t="n">
        <v>0</v>
      </c>
      <c r="L35" s="20" t="n">
        <v>0</v>
      </c>
      <c r="M35" s="18" t="n">
        <v>0</v>
      </c>
      <c r="N35" s="20" t="n">
        <v>0</v>
      </c>
      <c r="O35" s="18" t="n">
        <v>0</v>
      </c>
      <c r="P35" s="20" t="n">
        <v>0</v>
      </c>
      <c r="Q35" s="18" t="n">
        <v>11.71025545</v>
      </c>
      <c r="R35" s="20" t="n">
        <v>2.60580391</v>
      </c>
    </row>
    <row r="36" spans="1:18">
      <c r="A36" s="15" t="s">
        <v>594</v>
      </c>
      <c r="B36" s="17" t="n">
        <v>3404</v>
      </c>
      <c r="C36" s="18">
        <f>(3045.0/B36*100)</f>
        <v/>
      </c>
      <c r="D36" s="19" t="n">
        <v>359</v>
      </c>
      <c r="E36" s="18" t="n">
        <v>27.92442122</v>
      </c>
      <c r="F36" s="20" t="n">
        <v>2.45994979</v>
      </c>
      <c r="G36" s="18" t="n">
        <v>59.0145011</v>
      </c>
      <c r="H36" s="20" t="n">
        <v>2.48927995</v>
      </c>
      <c r="I36" s="18" t="n">
        <v>0</v>
      </c>
      <c r="J36" s="20" t="n">
        <v>0</v>
      </c>
      <c r="K36" s="18" t="n">
        <v>0</v>
      </c>
      <c r="L36" s="20" t="n">
        <v>0</v>
      </c>
      <c r="M36" s="18" t="n">
        <v>0</v>
      </c>
      <c r="N36" s="20" t="n">
        <v>0</v>
      </c>
      <c r="O36" s="18" t="n">
        <v>0</v>
      </c>
      <c r="P36" s="20" t="n">
        <v>0</v>
      </c>
      <c r="Q36" s="18" t="n">
        <v>13.06107768</v>
      </c>
      <c r="R36" s="20" t="n">
        <v>1.39622666</v>
      </c>
    </row>
    <row r="37" spans="1:18">
      <c r="A37" s="15" t="s">
        <v>595</v>
      </c>
      <c r="B37" s="17" t="n">
        <v>2731</v>
      </c>
      <c r="C37" s="18">
        <f>(2425.0/B37*100)</f>
        <v/>
      </c>
      <c r="D37" s="19" t="n">
        <v>306</v>
      </c>
      <c r="E37" s="18" t="n">
        <v>24.3572443</v>
      </c>
      <c r="F37" s="20" t="n">
        <v>2.65429034</v>
      </c>
      <c r="G37" s="18" t="n">
        <v>55.65578497</v>
      </c>
      <c r="H37" s="20" t="n">
        <v>2.99828965</v>
      </c>
      <c r="I37" s="18" t="n">
        <v>0</v>
      </c>
      <c r="J37" s="20" t="n">
        <v>0</v>
      </c>
      <c r="K37" s="18" t="n">
        <v>0</v>
      </c>
      <c r="L37" s="20" t="n">
        <v>0</v>
      </c>
      <c r="M37" s="18" t="n">
        <v>0</v>
      </c>
      <c r="N37" s="20" t="n">
        <v>0</v>
      </c>
      <c r="O37" s="18" t="n">
        <v>0</v>
      </c>
      <c r="P37" s="20" t="n">
        <v>0</v>
      </c>
      <c r="Q37" s="18" t="n">
        <v>19.98697073</v>
      </c>
      <c r="R37" s="20" t="n">
        <v>2.48638095</v>
      </c>
    </row>
    <row r="38" spans="1:18">
      <c r="A38" s="15" t="s">
        <v>596</v>
      </c>
      <c r="B38" s="17" t="n">
        <v>2807</v>
      </c>
      <c r="C38" s="18">
        <f>(2489.0/B38*100)</f>
        <v/>
      </c>
      <c r="D38" s="19" t="n">
        <v>318</v>
      </c>
      <c r="E38" s="18" t="n">
        <v>19.43096343</v>
      </c>
      <c r="F38" s="20" t="n">
        <v>2.74778469</v>
      </c>
      <c r="G38" s="18" t="n">
        <v>65.15304182</v>
      </c>
      <c r="H38" s="20" t="n">
        <v>3.29927786</v>
      </c>
      <c r="I38" s="18" t="n">
        <v>0</v>
      </c>
      <c r="J38" s="20" t="n">
        <v>0</v>
      </c>
      <c r="K38" s="18" t="n">
        <v>0</v>
      </c>
      <c r="L38" s="20" t="n">
        <v>0</v>
      </c>
      <c r="M38" s="18" t="n">
        <v>5.30370358</v>
      </c>
      <c r="N38" s="20" t="n">
        <v>1.30723739</v>
      </c>
      <c r="O38" s="18" t="n">
        <v>0</v>
      </c>
      <c r="P38" s="20" t="n">
        <v>0</v>
      </c>
      <c r="Q38" s="18" t="n">
        <v>10.11229118</v>
      </c>
      <c r="R38" s="20" t="n">
        <v>1.5753972</v>
      </c>
    </row>
    <row r="39" spans="1:18">
      <c r="A39" s="15" t="s">
        <v>597</v>
      </c>
      <c r="B39" s="17" t="n">
        <v>2938</v>
      </c>
      <c r="C39" s="18">
        <f>(2624.0/B39*100)</f>
        <v/>
      </c>
      <c r="D39" s="19" t="n">
        <v>314</v>
      </c>
      <c r="E39" s="18" t="n">
        <v>37.1269385</v>
      </c>
      <c r="F39" s="20" t="n">
        <v>3.60237512</v>
      </c>
      <c r="G39" s="18" t="n">
        <v>45.21789158</v>
      </c>
      <c r="H39" s="20" t="n">
        <v>3.92193308</v>
      </c>
      <c r="I39" s="18" t="n">
        <v>0</v>
      </c>
      <c r="J39" s="20" t="n">
        <v>0</v>
      </c>
      <c r="K39" s="18" t="n">
        <v>0</v>
      </c>
      <c r="L39" s="20" t="n">
        <v>0</v>
      </c>
      <c r="M39" s="18" t="n">
        <v>0</v>
      </c>
      <c r="N39" s="20" t="n">
        <v>0</v>
      </c>
      <c r="O39" s="18" t="n">
        <v>0</v>
      </c>
      <c r="P39" s="20" t="n">
        <v>0</v>
      </c>
      <c r="Q39" s="18" t="n">
        <v>17.65516992</v>
      </c>
      <c r="R39" s="20" t="n">
        <v>2.43396297</v>
      </c>
    </row>
    <row r="40" spans="1:18">
      <c r="A40" s="15" t="s">
        <v>598</v>
      </c>
      <c r="B40" s="17" t="n">
        <v>6922</v>
      </c>
      <c r="C40" s="18">
        <f>(6146.0/B40*100)</f>
        <v/>
      </c>
      <c r="D40" s="19" t="n">
        <v>776</v>
      </c>
      <c r="E40" s="18" t="n">
        <v>13.93384043</v>
      </c>
      <c r="F40" s="20" t="n">
        <v>2.03429858</v>
      </c>
      <c r="G40" s="18" t="n">
        <v>75.39882624000001</v>
      </c>
      <c r="H40" s="20" t="n">
        <v>2.44064426</v>
      </c>
      <c r="I40" s="18" t="n">
        <v>0</v>
      </c>
      <c r="J40" s="20" t="n">
        <v>0</v>
      </c>
      <c r="K40" s="18" t="n">
        <v>0.41272611</v>
      </c>
      <c r="L40" s="20" t="n">
        <v>0.37529921</v>
      </c>
      <c r="M40" s="18" t="n">
        <v>0</v>
      </c>
      <c r="N40" s="20" t="n">
        <v>0</v>
      </c>
      <c r="O40" s="18" t="n">
        <v>0</v>
      </c>
      <c r="P40" s="20" t="n">
        <v>0</v>
      </c>
      <c r="Q40" s="18" t="n">
        <v>10.25460722</v>
      </c>
      <c r="R40" s="20" t="n">
        <v>1.46792558</v>
      </c>
    </row>
    <row r="41" spans="1:18">
      <c r="A41" s="15" t="s">
        <v>599</v>
      </c>
      <c r="B41" s="17" t="n">
        <v>2854</v>
      </c>
      <c r="C41" s="18">
        <f>(2549.0/B41*100)</f>
        <v/>
      </c>
      <c r="D41" s="19" t="n">
        <v>305</v>
      </c>
      <c r="E41" s="18" t="n">
        <v>39.03182991</v>
      </c>
      <c r="F41" s="20" t="n">
        <v>2.95176529</v>
      </c>
      <c r="G41" s="18" t="n">
        <v>59.79728234</v>
      </c>
      <c r="H41" s="20" t="n">
        <v>3.03994435</v>
      </c>
      <c r="I41" s="18" t="n">
        <v>0</v>
      </c>
      <c r="J41" s="20" t="n">
        <v>0</v>
      </c>
      <c r="K41" s="18" t="n">
        <v>0</v>
      </c>
      <c r="L41" s="20" t="n">
        <v>0</v>
      </c>
      <c r="M41" s="18" t="n">
        <v>0</v>
      </c>
      <c r="N41" s="20" t="n">
        <v>0</v>
      </c>
      <c r="O41" s="18" t="n">
        <v>0</v>
      </c>
      <c r="P41" s="20" t="n">
        <v>0</v>
      </c>
      <c r="Q41" s="18" t="n">
        <v>1.17088775</v>
      </c>
      <c r="R41" s="20" t="n">
        <v>0.61117481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(10951.0/B46*100)</f>
        <v/>
      </c>
      <c r="D46" s="19" t="n">
        <v>1122</v>
      </c>
      <c r="E46" s="18" t="n">
        <v>45.78539697</v>
      </c>
      <c r="F46" s="20" t="n">
        <v>2.08153058</v>
      </c>
      <c r="G46" s="18" t="n">
        <v>35.40332019</v>
      </c>
      <c r="H46" s="20" t="n">
        <v>2.35485071</v>
      </c>
      <c r="I46" s="18" t="n">
        <v>0</v>
      </c>
      <c r="J46" s="20" t="n">
        <v>0</v>
      </c>
      <c r="K46" s="18" t="n">
        <v>0.27126801</v>
      </c>
      <c r="L46" s="20" t="n">
        <v>0.17346604</v>
      </c>
      <c r="M46" s="18" t="n">
        <v>0.30815089</v>
      </c>
      <c r="N46" s="20" t="n">
        <v>0.14720142</v>
      </c>
      <c r="O46" s="18" t="n">
        <v>0</v>
      </c>
      <c r="P46" s="20" t="n">
        <v>0</v>
      </c>
      <c r="Q46" s="18" t="n">
        <v>18.23186394</v>
      </c>
      <c r="R46" s="20" t="n">
        <v>1.65850244</v>
      </c>
    </row>
    <row r="47" spans="1:18">
      <c r="A47" s="15" t="s">
        <v>606</v>
      </c>
      <c r="B47" s="17" t="n">
        <v>2823</v>
      </c>
      <c r="C47" s="18">
        <f>(2500.0/B47*100)</f>
        <v/>
      </c>
      <c r="D47" s="19" t="n">
        <v>323</v>
      </c>
      <c r="E47" s="18" t="n">
        <v>34.26704751</v>
      </c>
      <c r="F47" s="20" t="n">
        <v>2.6774675</v>
      </c>
      <c r="G47" s="18" t="n">
        <v>39.18331911</v>
      </c>
      <c r="H47" s="20" t="n">
        <v>2.9437416</v>
      </c>
      <c r="I47" s="18" t="n">
        <v>0</v>
      </c>
      <c r="J47" s="20" t="n">
        <v>0</v>
      </c>
      <c r="K47" s="18" t="n">
        <v>0</v>
      </c>
      <c r="L47" s="20" t="n">
        <v>0</v>
      </c>
      <c r="M47" s="18" t="n">
        <v>0</v>
      </c>
      <c r="N47" s="20" t="n">
        <v>0</v>
      </c>
      <c r="O47" s="18" t="n">
        <v>0</v>
      </c>
      <c r="P47" s="20" t="n">
        <v>0</v>
      </c>
      <c r="Q47" s="18" t="n">
        <v>26.54963337</v>
      </c>
      <c r="R47" s="20" t="n">
        <v>2.54631207</v>
      </c>
    </row>
    <row r="48" spans="1:18">
      <c r="A48" s="15" t="s">
        <v>607</v>
      </c>
      <c r="B48" s="17" t="n">
        <v>4682</v>
      </c>
      <c r="C48" s="18">
        <f>(4168.0/B48*100)</f>
        <v/>
      </c>
      <c r="D48" s="19" t="n">
        <v>514</v>
      </c>
      <c r="E48" s="18" t="n">
        <v>20.56390169</v>
      </c>
      <c r="F48" s="20" t="n">
        <v>2.43767494</v>
      </c>
      <c r="G48" s="18" t="n">
        <v>69.99282689</v>
      </c>
      <c r="H48" s="20" t="n">
        <v>3.02582304</v>
      </c>
      <c r="I48" s="18" t="n">
        <v>0</v>
      </c>
      <c r="J48" s="20" t="n">
        <v>0</v>
      </c>
      <c r="K48" s="18" t="n">
        <v>0.472321</v>
      </c>
      <c r="L48" s="20" t="n">
        <v>0.47482287</v>
      </c>
      <c r="M48" s="18" t="n">
        <v>0</v>
      </c>
      <c r="N48" s="20" t="n">
        <v>0</v>
      </c>
      <c r="O48" s="18" t="n">
        <v>0</v>
      </c>
      <c r="P48" s="20" t="n">
        <v>0</v>
      </c>
      <c r="Q48" s="18" t="n">
        <v>8.97095043</v>
      </c>
      <c r="R48" s="20" t="n">
        <v>1.80589381</v>
      </c>
    </row>
    <row r="49" spans="1:18">
      <c r="A49" s="15" t="s">
        <v>608</v>
      </c>
      <c r="B49" s="17" t="n">
        <v>6158</v>
      </c>
      <c r="C49" s="18">
        <f>(5493.0/B49*100)</f>
        <v/>
      </c>
      <c r="D49" s="19" t="n">
        <v>665</v>
      </c>
      <c r="E49" s="18" t="n">
        <v>56.01206335</v>
      </c>
      <c r="F49" s="20" t="n">
        <v>2.84210522</v>
      </c>
      <c r="G49" s="18" t="n">
        <v>38.1107921</v>
      </c>
      <c r="H49" s="20" t="n">
        <v>2.88694947</v>
      </c>
      <c r="I49" s="18" t="n">
        <v>0</v>
      </c>
      <c r="J49" s="20" t="n">
        <v>0</v>
      </c>
      <c r="K49" s="18" t="n">
        <v>0.02242288</v>
      </c>
      <c r="L49" s="20" t="n">
        <v>0.02248498</v>
      </c>
      <c r="M49" s="18" t="n">
        <v>0.01647812</v>
      </c>
      <c r="N49" s="20" t="n">
        <v>0.009717150000000001</v>
      </c>
      <c r="O49" s="18" t="n">
        <v>0</v>
      </c>
      <c r="P49" s="20" t="n">
        <v>0</v>
      </c>
      <c r="Q49" s="18" t="n">
        <v>5.83824354</v>
      </c>
      <c r="R49" s="20" t="n">
        <v>1.26963593</v>
      </c>
    </row>
    <row r="50" spans="1:18">
      <c r="A50" s="15" t="s">
        <v>609</v>
      </c>
      <c r="B50" s="17" t="n">
        <v>3494</v>
      </c>
      <c r="C50" s="18">
        <f>(3151.0/B50*100)</f>
        <v/>
      </c>
      <c r="D50" s="19" t="n">
        <v>343</v>
      </c>
      <c r="E50" s="18" t="n">
        <v>61.34109979</v>
      </c>
      <c r="F50" s="20" t="n">
        <v>2.78362549</v>
      </c>
      <c r="G50" s="18" t="n">
        <v>27.09149525</v>
      </c>
      <c r="H50" s="20" t="n">
        <v>2.61018865</v>
      </c>
      <c r="I50" s="18" t="n">
        <v>0</v>
      </c>
      <c r="J50" s="20" t="n">
        <v>0</v>
      </c>
      <c r="K50" s="18" t="n">
        <v>0</v>
      </c>
      <c r="L50" s="20" t="n">
        <v>0</v>
      </c>
      <c r="M50" s="18" t="n">
        <v>0</v>
      </c>
      <c r="N50" s="20" t="n">
        <v>0</v>
      </c>
      <c r="O50" s="18" t="n">
        <v>0</v>
      </c>
      <c r="P50" s="20" t="n">
        <v>0</v>
      </c>
      <c r="Q50" s="18" t="n">
        <v>11.56740496</v>
      </c>
      <c r="R50" s="20" t="n">
        <v>1.64611103</v>
      </c>
    </row>
    <row r="51" spans="1:18">
      <c r="A51" s="15" t="s">
        <v>610</v>
      </c>
      <c r="B51" s="17" t="n">
        <v>3013</v>
      </c>
      <c r="C51" s="18">
        <f>(2650.0/B51*100)</f>
        <v/>
      </c>
      <c r="D51" s="19" t="n">
        <v>363</v>
      </c>
      <c r="E51" s="18" t="n">
        <v>15.51377078</v>
      </c>
      <c r="F51" s="20" t="n">
        <v>1.61734919</v>
      </c>
      <c r="G51" s="18" t="n">
        <v>59.60793317</v>
      </c>
      <c r="H51" s="20" t="n">
        <v>2.85281563</v>
      </c>
      <c r="I51" s="18" t="n">
        <v>0</v>
      </c>
      <c r="J51" s="20" t="n">
        <v>0</v>
      </c>
      <c r="K51" s="18" t="n">
        <v>0</v>
      </c>
      <c r="L51" s="20" t="n">
        <v>0</v>
      </c>
      <c r="M51" s="18" t="n">
        <v>0</v>
      </c>
      <c r="N51" s="20" t="n">
        <v>0</v>
      </c>
      <c r="O51" s="18" t="n">
        <v>0</v>
      </c>
      <c r="P51" s="20" t="n">
        <v>0</v>
      </c>
      <c r="Q51" s="18" t="n">
        <v>24.87829605</v>
      </c>
      <c r="R51" s="20" t="n">
        <v>2.83007152</v>
      </c>
    </row>
    <row r="52" spans="1:18">
      <c r="A52" s="15" t="s">
        <v>611</v>
      </c>
      <c r="B52" s="17" t="n">
        <v>2760</v>
      </c>
      <c r="C52" s="18">
        <f>(2461.0/B52*100)</f>
        <v/>
      </c>
      <c r="D52" s="19" t="n">
        <v>299</v>
      </c>
      <c r="E52" s="18" t="n">
        <v>31.23132162</v>
      </c>
      <c r="F52" s="20" t="n">
        <v>2.53148466</v>
      </c>
      <c r="G52" s="18" t="n">
        <v>52.23005434</v>
      </c>
      <c r="H52" s="20" t="n">
        <v>2.78287222</v>
      </c>
      <c r="I52" s="18" t="n">
        <v>0</v>
      </c>
      <c r="J52" s="20" t="n">
        <v>0</v>
      </c>
      <c r="K52" s="18" t="n">
        <v>0</v>
      </c>
      <c r="L52" s="20" t="n">
        <v>0</v>
      </c>
      <c r="M52" s="18" t="n">
        <v>0</v>
      </c>
      <c r="N52" s="20" t="n">
        <v>0</v>
      </c>
      <c r="O52" s="18" t="n">
        <v>0</v>
      </c>
      <c r="P52" s="20" t="n">
        <v>0</v>
      </c>
      <c r="Q52" s="18" t="n">
        <v>16.53862404</v>
      </c>
      <c r="R52" s="20" t="n">
        <v>1.72349265</v>
      </c>
    </row>
    <row r="53" spans="1:18">
      <c r="A53" s="15" t="s">
        <v>612</v>
      </c>
      <c r="B53" s="17" t="n">
        <v>2474</v>
      </c>
      <c r="C53" s="18">
        <f>(2230.0/B53*100)</f>
        <v/>
      </c>
      <c r="D53" s="19" t="n">
        <v>244</v>
      </c>
      <c r="E53" s="18" t="n">
        <v>61.47797453</v>
      </c>
      <c r="F53" s="20" t="n">
        <v>3.15533464</v>
      </c>
      <c r="G53" s="18" t="n">
        <v>14.09748933</v>
      </c>
      <c r="H53" s="20" t="n">
        <v>2.50705882</v>
      </c>
      <c r="I53" s="18" t="n">
        <v>0</v>
      </c>
      <c r="J53" s="20" t="n">
        <v>0</v>
      </c>
      <c r="K53" s="18" t="n">
        <v>6.52174349</v>
      </c>
      <c r="L53" s="20" t="n">
        <v>1.849463</v>
      </c>
      <c r="M53" s="18" t="n">
        <v>1.31011465</v>
      </c>
      <c r="N53" s="20" t="n">
        <v>1.06518262</v>
      </c>
      <c r="O53" s="18" t="n">
        <v>0</v>
      </c>
      <c r="P53" s="20" t="n">
        <v>0</v>
      </c>
      <c r="Q53" s="18" t="n">
        <v>16.59267801</v>
      </c>
      <c r="R53" s="20" t="n">
        <v>2.38350756</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(2373.0/B55*100)</f>
        <v/>
      </c>
      <c r="D55" s="19" t="n">
        <v>302</v>
      </c>
      <c r="E55" s="18" t="n">
        <v>24.17674157</v>
      </c>
      <c r="F55" s="20" t="n">
        <v>2.57634013</v>
      </c>
      <c r="G55" s="18" t="n">
        <v>71.70815499</v>
      </c>
      <c r="H55" s="20" t="n">
        <v>2.70761787</v>
      </c>
      <c r="I55" s="18" t="n">
        <v>0</v>
      </c>
      <c r="J55" s="20" t="n">
        <v>0</v>
      </c>
      <c r="K55" s="18" t="n">
        <v>0.29512309</v>
      </c>
      <c r="L55" s="20" t="n">
        <v>0.3038083</v>
      </c>
      <c r="M55" s="18" t="n">
        <v>0</v>
      </c>
      <c r="N55" s="20" t="n">
        <v>0</v>
      </c>
      <c r="O55" s="18" t="n">
        <v>0</v>
      </c>
      <c r="P55" s="20" t="n">
        <v>0</v>
      </c>
      <c r="Q55" s="18" t="n">
        <v>3.81998035</v>
      </c>
      <c r="R55" s="20" t="n">
        <v>0.8593567</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(2830.0/B61*100)</f>
        <v/>
      </c>
      <c r="D61" s="19" t="n">
        <v>371</v>
      </c>
      <c r="E61" s="18" t="n">
        <v>23.05383939</v>
      </c>
      <c r="F61" s="20" t="n">
        <v>2.41777243</v>
      </c>
      <c r="G61" s="18" t="n">
        <v>61.35299929</v>
      </c>
      <c r="H61" s="20" t="n">
        <v>2.6187559</v>
      </c>
      <c r="I61" s="18" t="n">
        <v>0</v>
      </c>
      <c r="J61" s="20" t="n">
        <v>0</v>
      </c>
      <c r="K61" s="18" t="n">
        <v>0</v>
      </c>
      <c r="L61" s="20" t="n">
        <v>0</v>
      </c>
      <c r="M61" s="18" t="n">
        <v>0</v>
      </c>
      <c r="N61" s="20" t="n">
        <v>0</v>
      </c>
      <c r="O61" s="18" t="n">
        <v>0</v>
      </c>
      <c r="P61" s="20" t="n">
        <v>0</v>
      </c>
      <c r="Q61" s="18" t="n">
        <v>15.59316132</v>
      </c>
      <c r="R61" s="20" t="n">
        <v>1.89791128</v>
      </c>
    </row>
    <row r="62" spans="1:18">
      <c r="A62" s="15" t="s">
        <v>622</v>
      </c>
      <c r="B62" s="17" t="n">
        <v>2230</v>
      </c>
      <c r="C62" s="18">
        <f>(1985.0/B62*100)</f>
        <v/>
      </c>
      <c r="D62" s="19" t="n">
        <v>245</v>
      </c>
      <c r="E62" s="18" t="n">
        <v>19.23512951</v>
      </c>
      <c r="F62" s="20" t="n">
        <v>2.46893303</v>
      </c>
      <c r="G62" s="18" t="n">
        <v>79.5373799</v>
      </c>
      <c r="H62" s="20" t="n">
        <v>2.55186014</v>
      </c>
      <c r="I62" s="18" t="n">
        <v>0</v>
      </c>
      <c r="J62" s="20" t="n">
        <v>0</v>
      </c>
      <c r="K62" s="18" t="n">
        <v>0</v>
      </c>
      <c r="L62" s="20" t="n">
        <v>0</v>
      </c>
      <c r="M62" s="18" t="n">
        <v>0</v>
      </c>
      <c r="N62" s="20" t="n">
        <v>0</v>
      </c>
      <c r="O62" s="18" t="n">
        <v>0</v>
      </c>
      <c r="P62" s="20" t="n">
        <v>0</v>
      </c>
      <c r="Q62" s="18" t="n">
        <v>1.22749058</v>
      </c>
      <c r="R62" s="20" t="n">
        <v>0.71083831</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(2446.0/B67*100)</f>
        <v/>
      </c>
      <c r="D67" s="19" t="n">
        <v>325</v>
      </c>
      <c r="E67" s="18" t="n">
        <v>41.77064155</v>
      </c>
      <c r="F67" s="20" t="n">
        <v>2.68461688</v>
      </c>
      <c r="G67" s="18" t="n">
        <v>25.12733074</v>
      </c>
      <c r="H67" s="20" t="n">
        <v>2.38122494</v>
      </c>
      <c r="I67" s="18" t="n">
        <v>0</v>
      </c>
      <c r="J67" s="20" t="n">
        <v>0</v>
      </c>
      <c r="K67" s="18" t="n">
        <v>0</v>
      </c>
      <c r="L67" s="20" t="n">
        <v>0</v>
      </c>
      <c r="M67" s="18" t="n">
        <v>0.28966106</v>
      </c>
      <c r="N67" s="20" t="n">
        <v>0.28195238</v>
      </c>
      <c r="O67" s="18" t="n">
        <v>0</v>
      </c>
      <c r="P67" s="20" t="n">
        <v>0</v>
      </c>
      <c r="Q67" s="18" t="n">
        <v>32.81236665</v>
      </c>
      <c r="R67" s="20" t="n">
        <v>2.96554472</v>
      </c>
    </row>
    <row r="68" spans="1:18">
      <c r="A68" s="15" t="s">
        <v>628</v>
      </c>
      <c r="B68" s="17" t="n">
        <v>3460</v>
      </c>
      <c r="C68" s="18">
        <f>(3101.0/B68*100)</f>
        <v/>
      </c>
      <c r="D68" s="19" t="n">
        <v>359</v>
      </c>
      <c r="E68" s="18" t="n">
        <v>54.77721576</v>
      </c>
      <c r="F68" s="20" t="n">
        <v>2.85020422</v>
      </c>
      <c r="G68" s="18" t="n">
        <v>34.41880787</v>
      </c>
      <c r="H68" s="20" t="n">
        <v>2.69963497</v>
      </c>
      <c r="I68" s="18" t="n">
        <v>0</v>
      </c>
      <c r="J68" s="20" t="n">
        <v>0</v>
      </c>
      <c r="K68" s="18" t="n">
        <v>0.22214715</v>
      </c>
      <c r="L68" s="20" t="n">
        <v>0.22858198</v>
      </c>
      <c r="M68" s="18" t="n">
        <v>0.74071661</v>
      </c>
      <c r="N68" s="20" t="n">
        <v>0.42817727</v>
      </c>
      <c r="O68" s="18" t="n">
        <v>0</v>
      </c>
      <c r="P68" s="20" t="n">
        <v>0</v>
      </c>
      <c r="Q68" s="18" t="n">
        <v>9.84111261</v>
      </c>
      <c r="R68" s="20" t="n">
        <v>1.59090514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(5401.0/B70*100)</f>
        <v/>
      </c>
      <c r="D70" s="19" t="n">
        <v>633</v>
      </c>
      <c r="E70" s="18" t="n">
        <v>42.49408077</v>
      </c>
      <c r="F70" s="20" t="n">
        <v>1.76482343</v>
      </c>
      <c r="G70" s="18" t="n">
        <v>43.36671243</v>
      </c>
      <c r="H70" s="20" t="n">
        <v>1.85627557</v>
      </c>
      <c r="I70" s="18" t="n">
        <v>0</v>
      </c>
      <c r="J70" s="20" t="n">
        <v>0</v>
      </c>
      <c r="K70" s="18" t="n">
        <v>1.06632137</v>
      </c>
      <c r="L70" s="20" t="n">
        <v>0.42401579</v>
      </c>
      <c r="M70" s="18" t="n">
        <v>0</v>
      </c>
      <c r="N70" s="20" t="n">
        <v>0</v>
      </c>
      <c r="O70" s="18" t="n">
        <v>0</v>
      </c>
      <c r="P70" s="20" t="n">
        <v>0</v>
      </c>
      <c r="Q70" s="18" t="n">
        <v>13.07288543</v>
      </c>
      <c r="R70" s="20" t="n">
        <v>1.35431742</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(2727.0/B72*100)</f>
        <v/>
      </c>
      <c r="D72" s="19" t="n">
        <v>380</v>
      </c>
      <c r="E72" s="18" t="n">
        <v>32.01042993</v>
      </c>
      <c r="F72" s="20" t="n">
        <v>2.91303309</v>
      </c>
      <c r="G72" s="18" t="n">
        <v>52.34343555</v>
      </c>
      <c r="H72" s="20" t="n">
        <v>4.20632195</v>
      </c>
      <c r="I72" s="18" t="n">
        <v>0</v>
      </c>
      <c r="J72" s="20" t="n">
        <v>0</v>
      </c>
      <c r="K72" s="18" t="n">
        <v>0</v>
      </c>
      <c r="L72" s="20" t="n">
        <v>0</v>
      </c>
      <c r="M72" s="18" t="n">
        <v>0</v>
      </c>
      <c r="N72" s="20" t="n">
        <v>0</v>
      </c>
      <c r="O72" s="18" t="n">
        <v>0</v>
      </c>
      <c r="P72" s="20" t="n">
        <v>0</v>
      </c>
      <c r="Q72" s="18" t="n">
        <v>15.64613453</v>
      </c>
      <c r="R72" s="20" t="n">
        <v>3.32001933</v>
      </c>
    </row>
    <row r="73" spans="1:18">
      <c r="A73" s="15" t="s">
        <v>633</v>
      </c>
      <c r="B73" s="17" t="n">
        <v>2973</v>
      </c>
      <c r="C73" s="18">
        <f>(2655.0/B73*100)</f>
        <v/>
      </c>
      <c r="D73" s="19" t="n">
        <v>318</v>
      </c>
      <c r="E73" s="18" t="n">
        <v>15.73718832</v>
      </c>
      <c r="F73" s="20" t="n">
        <v>1.87330844</v>
      </c>
      <c r="G73" s="18" t="n">
        <v>80.5777787</v>
      </c>
      <c r="H73" s="20" t="n">
        <v>2.13127881</v>
      </c>
      <c r="I73" s="18" t="n">
        <v>0</v>
      </c>
      <c r="J73" s="20" t="n">
        <v>0</v>
      </c>
      <c r="K73" s="18" t="n">
        <v>0.64965821</v>
      </c>
      <c r="L73" s="20" t="n">
        <v>0.46437156</v>
      </c>
      <c r="M73" s="18" t="n">
        <v>0.33977428</v>
      </c>
      <c r="N73" s="20" t="n">
        <v>0.33596652</v>
      </c>
      <c r="O73" s="18" t="n">
        <v>0</v>
      </c>
      <c r="P73" s="20" t="n">
        <v>0</v>
      </c>
      <c r="Q73" s="18" t="n">
        <v>2.69560049</v>
      </c>
      <c r="R73" s="20" t="n">
        <v>0.87105428</v>
      </c>
    </row>
    <row r="74" spans="1:18">
      <c r="A74" s="15" t="s">
        <v>634</v>
      </c>
      <c r="B74" s="17" t="n">
        <v>3819</v>
      </c>
      <c r="C74" s="18">
        <f>(3405.0/B74*100)</f>
        <v/>
      </c>
      <c r="D74" s="19" t="n">
        <v>414</v>
      </c>
      <c r="E74" s="18" t="n">
        <v>21.04562516</v>
      </c>
      <c r="F74" s="20" t="n">
        <v>1.74337293</v>
      </c>
      <c r="G74" s="18" t="n">
        <v>67.28952661</v>
      </c>
      <c r="H74" s="20" t="n">
        <v>2.32545189</v>
      </c>
      <c r="I74" s="18" t="n">
        <v>0</v>
      </c>
      <c r="J74" s="20" t="n">
        <v>0</v>
      </c>
      <c r="K74" s="18" t="n">
        <v>0</v>
      </c>
      <c r="L74" s="20" t="n">
        <v>0</v>
      </c>
      <c r="M74" s="18" t="n">
        <v>0</v>
      </c>
      <c r="N74" s="20" t="n">
        <v>0</v>
      </c>
      <c r="O74" s="18" t="n">
        <v>0</v>
      </c>
      <c r="P74" s="20" t="n">
        <v>0</v>
      </c>
      <c r="Q74" s="18" t="n">
        <v>11.66484822</v>
      </c>
      <c r="R74" s="20" t="n">
        <v>1.81057623</v>
      </c>
    </row>
    <row r="75" spans="1:18">
      <c r="A75" s="15" t="s">
        <v>635</v>
      </c>
      <c r="B75" s="17" t="n">
        <v>4652</v>
      </c>
      <c r="C75" s="18">
        <f>(4129.0/B75*100)</f>
        <v/>
      </c>
      <c r="D75" s="19" t="n">
        <v>523</v>
      </c>
      <c r="E75" s="18" t="n">
        <v>64.37259469</v>
      </c>
      <c r="F75" s="20" t="n">
        <v>1.94399513</v>
      </c>
      <c r="G75" s="18" t="n">
        <v>31.80776974</v>
      </c>
      <c r="H75" s="20" t="n">
        <v>2.01467513</v>
      </c>
      <c r="I75" s="18" t="n">
        <v>0</v>
      </c>
      <c r="J75" s="20" t="n">
        <v>0</v>
      </c>
      <c r="K75" s="18" t="n">
        <v>0</v>
      </c>
      <c r="L75" s="20" t="n">
        <v>0</v>
      </c>
      <c r="M75" s="18" t="n">
        <v>0.27218057</v>
      </c>
      <c r="N75" s="20" t="n">
        <v>0.19428342</v>
      </c>
      <c r="O75" s="18" t="n">
        <v>0</v>
      </c>
      <c r="P75" s="20" t="n">
        <v>0</v>
      </c>
      <c r="Q75" s="18" t="n">
        <v>3.547455</v>
      </c>
      <c r="R75" s="20" t="n">
        <v>0.87370417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(2668.0/B77*100)</f>
        <v/>
      </c>
      <c r="D77" s="19" t="n">
        <v>301</v>
      </c>
      <c r="E77" s="18" t="n">
        <v>41.07776167</v>
      </c>
      <c r="F77" s="20" t="n">
        <v>2.65691681</v>
      </c>
      <c r="G77" s="18" t="n">
        <v>22.54978854</v>
      </c>
      <c r="H77" s="20" t="n">
        <v>2.64067776</v>
      </c>
      <c r="I77" s="18" t="n">
        <v>0</v>
      </c>
      <c r="J77" s="20" t="n">
        <v>0</v>
      </c>
      <c r="K77" s="18" t="n">
        <v>2.67715353</v>
      </c>
      <c r="L77" s="20" t="n">
        <v>0.91106831</v>
      </c>
      <c r="M77" s="18" t="n">
        <v>1.05216508</v>
      </c>
      <c r="N77" s="20" t="n">
        <v>0.59005326</v>
      </c>
      <c r="O77" s="18" t="n">
        <v>0</v>
      </c>
      <c r="P77" s="20" t="n">
        <v>0</v>
      </c>
      <c r="Q77" s="18" t="n">
        <v>32.64313118</v>
      </c>
      <c r="R77" s="20" t="n">
        <v>2.99198122</v>
      </c>
    </row>
    <row r="78" spans="1:18">
      <c r="A78" s="15" t="s">
        <v>638</v>
      </c>
      <c r="B78" s="17" t="n">
        <v>7115</v>
      </c>
      <c r="C78" s="18">
        <f>(6319.0/B78*100)</f>
        <v/>
      </c>
      <c r="D78" s="19" t="n">
        <v>796</v>
      </c>
      <c r="E78" s="18" t="n">
        <v>47.7460869</v>
      </c>
      <c r="F78" s="20" t="n">
        <v>2.28929881</v>
      </c>
      <c r="G78" s="18" t="n">
        <v>46.55067272</v>
      </c>
      <c r="H78" s="20" t="n">
        <v>2.30996222</v>
      </c>
      <c r="I78" s="18" t="n">
        <v>0</v>
      </c>
      <c r="J78" s="20" t="n">
        <v>0</v>
      </c>
      <c r="K78" s="18" t="n">
        <v>0.2809884</v>
      </c>
      <c r="L78" s="20" t="n">
        <v>0.18413461</v>
      </c>
      <c r="M78" s="18" t="n">
        <v>0.09039154000000001</v>
      </c>
      <c r="N78" s="20" t="n">
        <v>0.09134630000000001</v>
      </c>
      <c r="O78" s="18" t="n">
        <v>0</v>
      </c>
      <c r="P78" s="20" t="n">
        <v>0</v>
      </c>
      <c r="Q78" s="18" t="n">
        <v>5.33186044</v>
      </c>
      <c r="R78" s="20" t="n">
        <v>0.89746616</v>
      </c>
    </row>
    <row r="79" spans="1:18">
      <c r="A79" s="15" t="s">
        <v>639</v>
      </c>
      <c r="B79" s="17" t="n">
        <v>3154</v>
      </c>
      <c r="C79" s="18">
        <f>(2847.0/B79*100)</f>
        <v/>
      </c>
      <c r="D79" s="19" t="n">
        <v>307</v>
      </c>
      <c r="E79" s="18" t="n">
        <v>31.64808281</v>
      </c>
      <c r="F79" s="20" t="n">
        <v>2.90091755</v>
      </c>
      <c r="G79" s="18" t="n">
        <v>48.13379273</v>
      </c>
      <c r="H79" s="20" t="n">
        <v>3.61847403</v>
      </c>
      <c r="I79" s="18" t="n">
        <v>0</v>
      </c>
      <c r="J79" s="20" t="n">
        <v>0</v>
      </c>
      <c r="K79" s="18" t="n">
        <v>0.92553124</v>
      </c>
      <c r="L79" s="20" t="n">
        <v>0.58521668</v>
      </c>
      <c r="M79" s="18" t="n">
        <v>0</v>
      </c>
      <c r="N79" s="20" t="n">
        <v>0</v>
      </c>
      <c r="O79" s="18" t="n">
        <v>0</v>
      </c>
      <c r="P79" s="20" t="n">
        <v>0</v>
      </c>
      <c r="Q79" s="18" t="n">
        <v>19.29259323</v>
      </c>
      <c r="R79" s="20" t="n">
        <v>2.87197739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(14229.0/B82*100)</f>
        <v/>
      </c>
      <c r="D82" s="19" t="n">
        <v>1732</v>
      </c>
      <c r="E82" s="18" t="n">
        <v>30.07458229</v>
      </c>
      <c r="F82" s="20" t="n">
        <v>1.65428399</v>
      </c>
      <c r="G82" s="18" t="n">
        <v>57.88758621</v>
      </c>
      <c r="H82" s="20" t="n">
        <v>1.66557092</v>
      </c>
      <c r="I82" s="18" t="n">
        <v>0</v>
      </c>
      <c r="J82" s="20" t="n">
        <v>0</v>
      </c>
      <c r="K82" s="18" t="n">
        <v>0.04052562</v>
      </c>
      <c r="L82" s="20" t="n">
        <v>0.04090744</v>
      </c>
      <c r="M82" s="18" t="n">
        <v>0</v>
      </c>
      <c r="N82" s="20" t="n">
        <v>0</v>
      </c>
      <c r="O82" s="18" t="n">
        <v>0</v>
      </c>
      <c r="P82" s="20" t="n">
        <v>0</v>
      </c>
      <c r="Q82" s="18" t="n">
        <v>11.99730588</v>
      </c>
      <c r="R82" s="20" t="n">
        <v>1.40225326</v>
      </c>
    </row>
    <row r="83" spans="1:18">
      <c r="A83" s="15" t="s">
        <v>643</v>
      </c>
      <c r="B83" s="17" t="n">
        <v>808</v>
      </c>
      <c r="C83" s="18">
        <f>(723.0/B83*100)</f>
        <v/>
      </c>
      <c r="D83" s="19" t="n">
        <v>85</v>
      </c>
      <c r="E83" s="18" t="n">
        <v>38.10157125</v>
      </c>
      <c r="F83" s="20" t="n">
        <v>3.74459228</v>
      </c>
      <c r="G83" s="18" t="n">
        <v>60.03865032</v>
      </c>
      <c r="H83" s="20" t="n">
        <v>3.8955647</v>
      </c>
      <c r="I83" s="18" t="n">
        <v>0</v>
      </c>
      <c r="J83" s="20" t="n">
        <v>0</v>
      </c>
      <c r="K83" s="18" t="n">
        <v>0</v>
      </c>
      <c r="L83" s="20" t="n">
        <v>0</v>
      </c>
      <c r="M83" s="18" t="n">
        <v>0</v>
      </c>
      <c r="N83" s="20" t="n">
        <v>0</v>
      </c>
      <c r="O83" s="18" t="n">
        <v>0</v>
      </c>
      <c r="P83" s="20" t="n">
        <v>0</v>
      </c>
      <c r="Q83" s="18" t="n">
        <v>1.85977843</v>
      </c>
      <c r="R83" s="20" t="n">
        <v>1.22586463</v>
      </c>
    </row>
    <row r="84" spans="1:18">
      <c r="A84" s="23" t="s">
        <v>644</v>
      </c>
      <c r="B84" s="24" t="n">
        <v>938</v>
      </c>
      <c r="C84" s="25">
        <f>(837.0/B84*100)</f>
        <v/>
      </c>
      <c r="D84" s="19" t="n">
        <v>101</v>
      </c>
      <c r="E84" s="18" t="n">
        <v>29.88949778</v>
      </c>
      <c r="F84" s="20" t="n">
        <v>4.94268484</v>
      </c>
      <c r="G84" s="18" t="n">
        <v>66.39320289</v>
      </c>
      <c r="H84" s="20" t="n">
        <v>4.87424024</v>
      </c>
      <c r="I84" s="18" t="n">
        <v>0</v>
      </c>
      <c r="J84" s="20" t="n">
        <v>0</v>
      </c>
      <c r="K84" s="18" t="n">
        <v>0</v>
      </c>
      <c r="L84" s="20" t="n">
        <v>0</v>
      </c>
      <c r="M84" s="18" t="n">
        <v>0</v>
      </c>
      <c r="N84" s="20" t="n">
        <v>0</v>
      </c>
      <c r="O84" s="18" t="n">
        <v>0</v>
      </c>
      <c r="P84" s="20" t="n">
        <v>0</v>
      </c>
      <c r="Q84" s="18" t="n">
        <v>3.71729933</v>
      </c>
      <c r="R84" s="20" t="n">
        <v>1.8704624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(6380.0/B7*100)</f>
        <v/>
      </c>
      <c r="D7" s="19" t="n">
        <v>783</v>
      </c>
      <c r="E7" s="18" t="n">
        <v>41.77268906</v>
      </c>
      <c r="F7" s="20" t="n">
        <v>1.99576232</v>
      </c>
      <c r="G7" s="18" t="n">
        <v>56.40579498</v>
      </c>
      <c r="H7" s="20" t="n">
        <v>1.99423681</v>
      </c>
      <c r="I7" s="18" t="n">
        <v>0</v>
      </c>
      <c r="J7" s="20" t="n">
        <v>0</v>
      </c>
      <c r="K7" s="18" t="n">
        <v>0</v>
      </c>
      <c r="L7" s="20" t="n">
        <v>0</v>
      </c>
      <c r="M7" s="18" t="n">
        <v>0</v>
      </c>
      <c r="N7" s="20" t="n">
        <v>0</v>
      </c>
      <c r="O7" s="18" t="n">
        <v>0</v>
      </c>
      <c r="P7" s="20" t="n">
        <v>0</v>
      </c>
      <c r="Q7" s="18" t="n">
        <v>1.82151597</v>
      </c>
      <c r="R7" s="20" t="n">
        <v>0.48079429</v>
      </c>
    </row>
    <row r="8" spans="1:18">
      <c r="A8" s="15" t="s">
        <v>566</v>
      </c>
      <c r="B8" s="17" t="n">
        <v>3443</v>
      </c>
      <c r="C8" s="18">
        <f>(3057.0/B8*100)</f>
        <v/>
      </c>
      <c r="D8" s="19" t="n">
        <v>386</v>
      </c>
      <c r="E8" s="18" t="n">
        <v>38.26951375</v>
      </c>
      <c r="F8" s="20" t="n">
        <v>2.83139055</v>
      </c>
      <c r="G8" s="18" t="n">
        <v>58.76823427</v>
      </c>
      <c r="H8" s="20" t="n">
        <v>2.82553186</v>
      </c>
      <c r="I8" s="18" t="n">
        <v>0</v>
      </c>
      <c r="J8" s="20" t="n">
        <v>0</v>
      </c>
      <c r="K8" s="18" t="n">
        <v>0.29434519</v>
      </c>
      <c r="L8" s="20" t="n">
        <v>0.33233996</v>
      </c>
      <c r="M8" s="18" t="n">
        <v>0</v>
      </c>
      <c r="N8" s="20" t="n">
        <v>0</v>
      </c>
      <c r="O8" s="18" t="n">
        <v>0</v>
      </c>
      <c r="P8" s="20" t="n">
        <v>0</v>
      </c>
      <c r="Q8" s="18" t="n">
        <v>2.6679068</v>
      </c>
      <c r="R8" s="20" t="n">
        <v>0.8731647299999999</v>
      </c>
    </row>
    <row r="9" spans="1:18">
      <c r="A9" s="15" t="s">
        <v>567</v>
      </c>
      <c r="B9" s="17" t="n">
        <v>4752</v>
      </c>
      <c r="C9" s="18">
        <f>(4246.0/B9*100)</f>
        <v/>
      </c>
      <c r="D9" s="19" t="n">
        <v>506</v>
      </c>
      <c r="E9" s="18" t="n">
        <v>37.39555915</v>
      </c>
      <c r="F9" s="20" t="n">
        <v>2.1180837</v>
      </c>
      <c r="G9" s="18" t="n">
        <v>59.85317673</v>
      </c>
      <c r="H9" s="20" t="n">
        <v>2.15822403</v>
      </c>
      <c r="I9" s="18" t="n">
        <v>0</v>
      </c>
      <c r="J9" s="20" t="n">
        <v>0</v>
      </c>
      <c r="K9" s="18" t="n">
        <v>0</v>
      </c>
      <c r="L9" s="20" t="n">
        <v>0</v>
      </c>
      <c r="M9" s="18" t="n">
        <v>0</v>
      </c>
      <c r="N9" s="20" t="n">
        <v>0</v>
      </c>
      <c r="O9" s="18" t="n">
        <v>0</v>
      </c>
      <c r="P9" s="20" t="n">
        <v>0</v>
      </c>
      <c r="Q9" s="18" t="n">
        <v>2.75126412</v>
      </c>
      <c r="R9" s="20" t="n">
        <v>0.59848353</v>
      </c>
    </row>
    <row r="10" spans="1:18">
      <c r="A10" s="15" t="s">
        <v>568</v>
      </c>
      <c r="B10" s="17" t="n">
        <v>10022</v>
      </c>
      <c r="C10" s="18">
        <f>(8888.0/B10*100)</f>
        <v/>
      </c>
      <c r="D10" s="19" t="n">
        <v>1134</v>
      </c>
      <c r="E10" s="18" t="n">
        <v>38.96463309</v>
      </c>
      <c r="F10" s="20" t="n">
        <v>1.87446938</v>
      </c>
      <c r="G10" s="18" t="n">
        <v>60.0851586</v>
      </c>
      <c r="H10" s="20" t="n">
        <v>1.93043849</v>
      </c>
      <c r="I10" s="18" t="n">
        <v>0</v>
      </c>
      <c r="J10" s="20" t="n">
        <v>0</v>
      </c>
      <c r="K10" s="18" t="n">
        <v>0.41308581</v>
      </c>
      <c r="L10" s="20" t="n">
        <v>0.41698832</v>
      </c>
      <c r="M10" s="18" t="n">
        <v>0</v>
      </c>
      <c r="N10" s="20" t="n">
        <v>0</v>
      </c>
      <c r="O10" s="18" t="n">
        <v>0</v>
      </c>
      <c r="P10" s="20" t="n">
        <v>0</v>
      </c>
      <c r="Q10" s="18" t="n">
        <v>0.5371224999999999</v>
      </c>
      <c r="R10" s="20" t="n">
        <v>0.19483255</v>
      </c>
    </row>
    <row r="11" spans="1:18">
      <c r="A11" s="15" t="s">
        <v>569</v>
      </c>
      <c r="B11" s="17" t="n">
        <v>3500</v>
      </c>
      <c r="C11" s="18">
        <f>(3138.0/B11*100)</f>
        <v/>
      </c>
      <c r="D11" s="19" t="n">
        <v>362</v>
      </c>
      <c r="E11" s="18" t="n">
        <v>36.168284</v>
      </c>
      <c r="F11" s="20" t="n">
        <v>2.86960398</v>
      </c>
      <c r="G11" s="18" t="n">
        <v>60.73680217</v>
      </c>
      <c r="H11" s="20" t="n">
        <v>2.96754095</v>
      </c>
      <c r="I11" s="18" t="n">
        <v>0</v>
      </c>
      <c r="J11" s="20" t="n">
        <v>0</v>
      </c>
      <c r="K11" s="18" t="n">
        <v>0.44600214</v>
      </c>
      <c r="L11" s="20" t="n">
        <v>0.37281069</v>
      </c>
      <c r="M11" s="18" t="n">
        <v>0</v>
      </c>
      <c r="N11" s="20" t="n">
        <v>0</v>
      </c>
      <c r="O11" s="18" t="n">
        <v>0</v>
      </c>
      <c r="P11" s="20" t="n">
        <v>0</v>
      </c>
      <c r="Q11" s="18" t="n">
        <v>2.6489117</v>
      </c>
      <c r="R11" s="20" t="n">
        <v>1.10277444</v>
      </c>
    </row>
    <row r="12" spans="1:18">
      <c r="A12" s="15" t="s">
        <v>570</v>
      </c>
      <c r="B12" s="17" t="n">
        <v>3422</v>
      </c>
      <c r="C12" s="18">
        <f>(3061.0/B12*100)</f>
        <v/>
      </c>
      <c r="D12" s="19" t="n">
        <v>361</v>
      </c>
      <c r="E12" s="18" t="n">
        <v>35.62734163</v>
      </c>
      <c r="F12" s="20" t="n">
        <v>2.47917972</v>
      </c>
      <c r="G12" s="18" t="n">
        <v>62.49591807</v>
      </c>
      <c r="H12" s="20" t="n">
        <v>2.61997942</v>
      </c>
      <c r="I12" s="18" t="n">
        <v>0</v>
      </c>
      <c r="J12" s="20" t="n">
        <v>0</v>
      </c>
      <c r="K12" s="18" t="n">
        <v>0.26952916</v>
      </c>
      <c r="L12" s="20" t="n">
        <v>0.26897451</v>
      </c>
      <c r="M12" s="18" t="n">
        <v>0</v>
      </c>
      <c r="N12" s="20" t="n">
        <v>0</v>
      </c>
      <c r="O12" s="18" t="n">
        <v>0</v>
      </c>
      <c r="P12" s="20" t="n">
        <v>0</v>
      </c>
      <c r="Q12" s="18" t="n">
        <v>1.60721114</v>
      </c>
      <c r="R12" s="20" t="n">
        <v>0.7492678</v>
      </c>
    </row>
    <row r="13" spans="1:18">
      <c r="A13" s="15" t="s">
        <v>571</v>
      </c>
      <c r="B13" s="17" t="n">
        <v>3602</v>
      </c>
      <c r="C13" s="18">
        <f>(3193.0/B13*100)</f>
        <v/>
      </c>
      <c r="D13" s="19" t="n">
        <v>409</v>
      </c>
      <c r="E13" s="18" t="n">
        <v>31.69292186</v>
      </c>
      <c r="F13" s="20" t="n">
        <v>2.32745663</v>
      </c>
      <c r="G13" s="18" t="n">
        <v>68.05603572</v>
      </c>
      <c r="H13" s="20" t="n">
        <v>2.36268707</v>
      </c>
      <c r="I13" s="18" t="n">
        <v>0</v>
      </c>
      <c r="J13" s="20" t="n">
        <v>0</v>
      </c>
      <c r="K13" s="18" t="n">
        <v>0</v>
      </c>
      <c r="L13" s="20" t="n">
        <v>0</v>
      </c>
      <c r="M13" s="18" t="n">
        <v>0</v>
      </c>
      <c r="N13" s="20" t="n">
        <v>0</v>
      </c>
      <c r="O13" s="18" t="n">
        <v>0</v>
      </c>
      <c r="P13" s="20" t="n">
        <v>0</v>
      </c>
      <c r="Q13" s="18" t="n">
        <v>0.25104242</v>
      </c>
      <c r="R13" s="20" t="n">
        <v>0.16202157</v>
      </c>
    </row>
    <row r="14" spans="1:18">
      <c r="A14" s="15" t="s">
        <v>572</v>
      </c>
      <c r="B14" s="17" t="n">
        <v>2788</v>
      </c>
      <c r="C14" s="18">
        <f>(2473.0/B14*100)</f>
        <v/>
      </c>
      <c r="D14" s="19" t="n">
        <v>315</v>
      </c>
      <c r="E14" s="18" t="n">
        <v>34.18113741</v>
      </c>
      <c r="F14" s="20" t="n">
        <v>2.87479772</v>
      </c>
      <c r="G14" s="18" t="n">
        <v>64.37457218</v>
      </c>
      <c r="H14" s="20" t="n">
        <v>3.03068484</v>
      </c>
      <c r="I14" s="18" t="n">
        <v>0</v>
      </c>
      <c r="J14" s="20" t="n">
        <v>0</v>
      </c>
      <c r="K14" s="18" t="n">
        <v>0</v>
      </c>
      <c r="L14" s="20" t="n">
        <v>0</v>
      </c>
      <c r="M14" s="18" t="n">
        <v>0</v>
      </c>
      <c r="N14" s="20" t="n">
        <v>0</v>
      </c>
      <c r="O14" s="18" t="n">
        <v>0</v>
      </c>
      <c r="P14" s="20" t="n">
        <v>0</v>
      </c>
      <c r="Q14" s="18" t="n">
        <v>1.44429041</v>
      </c>
      <c r="R14" s="20" t="n">
        <v>0.87660893</v>
      </c>
    </row>
    <row r="15" spans="1:18">
      <c r="A15" s="15" t="s">
        <v>573</v>
      </c>
      <c r="B15" s="17" t="n">
        <v>2863</v>
      </c>
      <c r="C15" s="18">
        <f>(2560.0/B15*100)</f>
        <v/>
      </c>
      <c r="D15" s="19" t="n">
        <v>303</v>
      </c>
      <c r="E15" s="18" t="n">
        <v>29.11821093</v>
      </c>
      <c r="F15" s="20" t="n">
        <v>2.5277139</v>
      </c>
      <c r="G15" s="18" t="n">
        <v>70.18126927</v>
      </c>
      <c r="H15" s="20" t="n">
        <v>2.46727634</v>
      </c>
      <c r="I15" s="18" t="n">
        <v>0</v>
      </c>
      <c r="J15" s="20" t="n">
        <v>0</v>
      </c>
      <c r="K15" s="18" t="n">
        <v>0</v>
      </c>
      <c r="L15" s="20" t="n">
        <v>0</v>
      </c>
      <c r="M15" s="18" t="n">
        <v>0</v>
      </c>
      <c r="N15" s="20" t="n">
        <v>0</v>
      </c>
      <c r="O15" s="18" t="n">
        <v>0</v>
      </c>
      <c r="P15" s="20" t="n">
        <v>0</v>
      </c>
      <c r="Q15" s="18" t="n">
        <v>0.7005198</v>
      </c>
      <c r="R15" s="20" t="n">
        <v>0.47816707</v>
      </c>
    </row>
    <row r="16" spans="1:18">
      <c r="A16" s="15" t="s">
        <v>574</v>
      </c>
      <c r="B16" s="17" t="n">
        <v>3111</v>
      </c>
      <c r="C16" s="18">
        <f>(2770.0/B16*100)</f>
        <v/>
      </c>
      <c r="D16" s="19" t="n">
        <v>341</v>
      </c>
      <c r="E16" s="18" t="n">
        <v>39.93045356</v>
      </c>
      <c r="F16" s="20" t="n">
        <v>2.52543861</v>
      </c>
      <c r="G16" s="18" t="n">
        <v>56.64960902</v>
      </c>
      <c r="H16" s="20" t="n">
        <v>2.68781023</v>
      </c>
      <c r="I16" s="18" t="n">
        <v>0</v>
      </c>
      <c r="J16" s="20" t="n">
        <v>0</v>
      </c>
      <c r="K16" s="18" t="n">
        <v>0.60670837</v>
      </c>
      <c r="L16" s="20" t="n">
        <v>0.44873008</v>
      </c>
      <c r="M16" s="18" t="n">
        <v>0</v>
      </c>
      <c r="N16" s="20" t="n">
        <v>0</v>
      </c>
      <c r="O16" s="18" t="n">
        <v>0</v>
      </c>
      <c r="P16" s="20" t="n">
        <v>0</v>
      </c>
      <c r="Q16" s="18" t="n">
        <v>2.81322905</v>
      </c>
      <c r="R16" s="20" t="n">
        <v>1.0512709</v>
      </c>
    </row>
    <row r="17" spans="1:18">
      <c r="A17" s="15" t="s">
        <v>575</v>
      </c>
      <c r="B17" s="17" t="n">
        <v>3197</v>
      </c>
      <c r="C17" s="18">
        <f>(2848.0/B17*100)</f>
        <v/>
      </c>
      <c r="D17" s="19" t="n">
        <v>349</v>
      </c>
      <c r="E17" s="18" t="n">
        <v>36.01112744</v>
      </c>
      <c r="F17" s="20" t="n">
        <v>2.2917494</v>
      </c>
      <c r="G17" s="18" t="n">
        <v>62.45551773</v>
      </c>
      <c r="H17" s="20" t="n">
        <v>2.39351272</v>
      </c>
      <c r="I17" s="18" t="n">
        <v>0</v>
      </c>
      <c r="J17" s="20" t="n">
        <v>0</v>
      </c>
      <c r="K17" s="18" t="n">
        <v>0.2915452</v>
      </c>
      <c r="L17" s="20" t="n">
        <v>0.28704485</v>
      </c>
      <c r="M17" s="18" t="n">
        <v>0</v>
      </c>
      <c r="N17" s="20" t="n">
        <v>0</v>
      </c>
      <c r="O17" s="18" t="n">
        <v>0</v>
      </c>
      <c r="P17" s="20" t="n">
        <v>0</v>
      </c>
      <c r="Q17" s="18" t="n">
        <v>1.24180964</v>
      </c>
      <c r="R17" s="20" t="n">
        <v>0.5604447</v>
      </c>
    </row>
    <row r="18" spans="1:18">
      <c r="A18" s="15" t="s">
        <v>576</v>
      </c>
      <c r="B18" s="17" t="n">
        <v>2706</v>
      </c>
      <c r="C18" s="18">
        <f>(2419.0/B18*100)</f>
        <v/>
      </c>
      <c r="D18" s="19" t="n">
        <v>287</v>
      </c>
      <c r="E18" s="18" t="n">
        <v>46.76554827</v>
      </c>
      <c r="F18" s="20" t="n">
        <v>3.0360143</v>
      </c>
      <c r="G18" s="18" t="n">
        <v>49.16971683</v>
      </c>
      <c r="H18" s="20" t="n">
        <v>3.20672102</v>
      </c>
      <c r="I18" s="18" t="n">
        <v>0</v>
      </c>
      <c r="J18" s="20" t="n">
        <v>0</v>
      </c>
      <c r="K18" s="18" t="n">
        <v>0.28132776</v>
      </c>
      <c r="L18" s="20" t="n">
        <v>0.27368074</v>
      </c>
      <c r="M18" s="18" t="n">
        <v>0</v>
      </c>
      <c r="N18" s="20" t="n">
        <v>0</v>
      </c>
      <c r="O18" s="18" t="n">
        <v>0</v>
      </c>
      <c r="P18" s="20" t="n">
        <v>0</v>
      </c>
      <c r="Q18" s="18" t="n">
        <v>3.78340713</v>
      </c>
      <c r="R18" s="20" t="n">
        <v>1.41000936</v>
      </c>
    </row>
    <row r="19" spans="1:18">
      <c r="A19" s="15" t="s">
        <v>577</v>
      </c>
      <c r="B19" s="17" t="n">
        <v>2850</v>
      </c>
      <c r="C19" s="18">
        <f>(2542.0/B19*100)</f>
        <v/>
      </c>
      <c r="D19" s="19" t="n">
        <v>308</v>
      </c>
      <c r="E19" s="18" t="n">
        <v>50.13422755</v>
      </c>
      <c r="F19" s="20" t="n">
        <v>3.04637651</v>
      </c>
      <c r="G19" s="18" t="n">
        <v>49.25888266</v>
      </c>
      <c r="H19" s="20" t="n">
        <v>3.01959527</v>
      </c>
      <c r="I19" s="18" t="n">
        <v>0</v>
      </c>
      <c r="J19" s="20" t="n">
        <v>0</v>
      </c>
      <c r="K19" s="18" t="n">
        <v>0</v>
      </c>
      <c r="L19" s="20" t="n">
        <v>0</v>
      </c>
      <c r="M19" s="18" t="n">
        <v>0</v>
      </c>
      <c r="N19" s="20" t="n">
        <v>0</v>
      </c>
      <c r="O19" s="18" t="n">
        <v>0</v>
      </c>
      <c r="P19" s="20" t="n">
        <v>0</v>
      </c>
      <c r="Q19" s="18" t="n">
        <v>0.60688979</v>
      </c>
      <c r="R19" s="20" t="n">
        <v>0.40226297</v>
      </c>
    </row>
    <row r="20" spans="1:18">
      <c r="A20" s="15" t="s">
        <v>578</v>
      </c>
      <c r="B20" s="17" t="n">
        <v>1741</v>
      </c>
      <c r="C20" s="18">
        <f>(1522.0/B20*100)</f>
        <v/>
      </c>
      <c r="D20" s="19" t="n">
        <v>219</v>
      </c>
      <c r="E20" s="18" t="n">
        <v>33.48976207</v>
      </c>
      <c r="F20" s="20" t="n">
        <v>2.99937754</v>
      </c>
      <c r="G20" s="18" t="n">
        <v>64.21834194</v>
      </c>
      <c r="H20" s="20" t="n">
        <v>2.97665699</v>
      </c>
      <c r="I20" s="18" t="n">
        <v>0</v>
      </c>
      <c r="J20" s="20" t="n">
        <v>0</v>
      </c>
      <c r="K20" s="18" t="n">
        <v>0</v>
      </c>
      <c r="L20" s="20" t="n">
        <v>0</v>
      </c>
      <c r="M20" s="18" t="n">
        <v>0</v>
      </c>
      <c r="N20" s="20" t="n">
        <v>0</v>
      </c>
      <c r="O20" s="18" t="n">
        <v>0</v>
      </c>
      <c r="P20" s="20" t="n">
        <v>0</v>
      </c>
      <c r="Q20" s="18" t="n">
        <v>2.29189599</v>
      </c>
      <c r="R20" s="20" t="n">
        <v>1.03025545</v>
      </c>
    </row>
    <row r="21" spans="1:18">
      <c r="A21" s="15" t="s">
        <v>579</v>
      </c>
      <c r="B21" s="17" t="n">
        <v>2833</v>
      </c>
      <c r="C21" s="18">
        <f>(2527.0/B21*100)</f>
        <v/>
      </c>
      <c r="D21" s="19" t="n">
        <v>306</v>
      </c>
      <c r="E21" s="18" t="n">
        <v>50.35712394</v>
      </c>
      <c r="F21" s="20" t="n">
        <v>2.88178648</v>
      </c>
      <c r="G21" s="18" t="n">
        <v>49.64287606</v>
      </c>
      <c r="H21" s="20" t="n">
        <v>2.88178648</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(3241.0/B22*100)</f>
        <v/>
      </c>
      <c r="D22" s="19" t="n">
        <v>426</v>
      </c>
      <c r="E22" s="18" t="n">
        <v>38.44841072</v>
      </c>
      <c r="F22" s="20" t="n">
        <v>2.94980548</v>
      </c>
      <c r="G22" s="18" t="n">
        <v>58.04292496</v>
      </c>
      <c r="H22" s="20" t="n">
        <v>2.92930726</v>
      </c>
      <c r="I22" s="18" t="n">
        <v>0</v>
      </c>
      <c r="J22" s="20" t="n">
        <v>0</v>
      </c>
      <c r="K22" s="18" t="n">
        <v>0.22332245</v>
      </c>
      <c r="L22" s="20" t="n">
        <v>0.24763253</v>
      </c>
      <c r="M22" s="18" t="n">
        <v>0</v>
      </c>
      <c r="N22" s="20" t="n">
        <v>0</v>
      </c>
      <c r="O22" s="18" t="n">
        <v>0</v>
      </c>
      <c r="P22" s="20" t="n">
        <v>0</v>
      </c>
      <c r="Q22" s="18" t="n">
        <v>3.28534187</v>
      </c>
      <c r="R22" s="20" t="n">
        <v>0.98600285</v>
      </c>
    </row>
    <row r="23" spans="1:18">
      <c r="A23" s="15" t="s">
        <v>581</v>
      </c>
      <c r="B23" s="17" t="n">
        <v>5792</v>
      </c>
      <c r="C23" s="18">
        <f>(5157.0/B23*100)</f>
        <v/>
      </c>
      <c r="D23" s="19" t="n">
        <v>635</v>
      </c>
      <c r="E23" s="18" t="n">
        <v>32.36625464</v>
      </c>
      <c r="F23" s="20" t="n">
        <v>2.91560502</v>
      </c>
      <c r="G23" s="18" t="n">
        <v>64.26323695000001</v>
      </c>
      <c r="H23" s="20" t="n">
        <v>3.03431999</v>
      </c>
      <c r="I23" s="18" t="n">
        <v>0</v>
      </c>
      <c r="J23" s="20" t="n">
        <v>0</v>
      </c>
      <c r="K23" s="18" t="n">
        <v>0.28869336</v>
      </c>
      <c r="L23" s="20" t="n">
        <v>0.27239901</v>
      </c>
      <c r="M23" s="18" t="n">
        <v>0</v>
      </c>
      <c r="N23" s="20" t="n">
        <v>0</v>
      </c>
      <c r="O23" s="18" t="n">
        <v>0</v>
      </c>
      <c r="P23" s="20" t="n">
        <v>0</v>
      </c>
      <c r="Q23" s="18" t="n">
        <v>3.08181506</v>
      </c>
      <c r="R23" s="20" t="n">
        <v>1.11880935</v>
      </c>
    </row>
    <row r="24" spans="1:18">
      <c r="A24" s="15" t="s">
        <v>582</v>
      </c>
      <c r="B24" s="17" t="n">
        <v>3309</v>
      </c>
      <c r="C24" s="18">
        <f>(2953.0/B24*100)</f>
        <v/>
      </c>
      <c r="D24" s="19" t="n">
        <v>356</v>
      </c>
      <c r="E24" s="18" t="n">
        <v>34.11068905</v>
      </c>
      <c r="F24" s="20" t="n">
        <v>2.45747038</v>
      </c>
      <c r="G24" s="18" t="n">
        <v>65.31572255</v>
      </c>
      <c r="H24" s="20" t="n">
        <v>2.48806801</v>
      </c>
      <c r="I24" s="18" t="n">
        <v>0</v>
      </c>
      <c r="J24" s="20" t="n">
        <v>0</v>
      </c>
      <c r="K24" s="18" t="n">
        <v>0</v>
      </c>
      <c r="L24" s="20" t="n">
        <v>0</v>
      </c>
      <c r="M24" s="18" t="n">
        <v>0</v>
      </c>
      <c r="N24" s="20" t="n">
        <v>0</v>
      </c>
      <c r="O24" s="18" t="n">
        <v>0</v>
      </c>
      <c r="P24" s="20" t="n">
        <v>0</v>
      </c>
      <c r="Q24" s="18" t="n">
        <v>0.5735884</v>
      </c>
      <c r="R24" s="20" t="n">
        <v>0.36664421</v>
      </c>
    </row>
    <row r="25" spans="1:18">
      <c r="A25" s="15" t="s">
        <v>583</v>
      </c>
      <c r="B25" s="17" t="n">
        <v>2669</v>
      </c>
      <c r="C25" s="18">
        <f>(2362.0/B25*100)</f>
        <v/>
      </c>
      <c r="D25" s="19" t="n">
        <v>307</v>
      </c>
      <c r="E25" s="18" t="n">
        <v>41.04167235</v>
      </c>
      <c r="F25" s="20" t="n">
        <v>3.07132809</v>
      </c>
      <c r="G25" s="18" t="n">
        <v>57.96079199</v>
      </c>
      <c r="H25" s="20" t="n">
        <v>3.13040277</v>
      </c>
      <c r="I25" s="18" t="n">
        <v>0</v>
      </c>
      <c r="J25" s="20" t="n">
        <v>0</v>
      </c>
      <c r="K25" s="18" t="n">
        <v>0</v>
      </c>
      <c r="L25" s="20" t="n">
        <v>0</v>
      </c>
      <c r="M25" s="18" t="n">
        <v>0</v>
      </c>
      <c r="N25" s="20" t="n">
        <v>0</v>
      </c>
      <c r="O25" s="18" t="n">
        <v>0</v>
      </c>
      <c r="P25" s="20" t="n">
        <v>0</v>
      </c>
      <c r="Q25" s="18" t="n">
        <v>0.99753566</v>
      </c>
      <c r="R25" s="20" t="n">
        <v>0.57344971</v>
      </c>
    </row>
    <row r="26" spans="1:18">
      <c r="A26" s="15" t="s">
        <v>584</v>
      </c>
      <c r="B26" s="17" t="n">
        <v>2419</v>
      </c>
      <c r="C26" s="18">
        <f>(2159.0/B26*100)</f>
        <v/>
      </c>
      <c r="D26" s="19" t="n">
        <v>260</v>
      </c>
      <c r="E26" s="18" t="n">
        <v>40.13612753</v>
      </c>
      <c r="F26" s="20" t="n">
        <v>3.36370729</v>
      </c>
      <c r="G26" s="18" t="n">
        <v>59.51933277</v>
      </c>
      <c r="H26" s="20" t="n">
        <v>3.40876876</v>
      </c>
      <c r="I26" s="18" t="n">
        <v>0</v>
      </c>
      <c r="J26" s="20" t="n">
        <v>0</v>
      </c>
      <c r="K26" s="18" t="n">
        <v>0</v>
      </c>
      <c r="L26" s="20" t="n">
        <v>0</v>
      </c>
      <c r="M26" s="18" t="n">
        <v>0</v>
      </c>
      <c r="N26" s="20" t="n">
        <v>0</v>
      </c>
      <c r="O26" s="18" t="n">
        <v>0</v>
      </c>
      <c r="P26" s="20" t="n">
        <v>0</v>
      </c>
      <c r="Q26" s="18" t="n">
        <v>0.3445397</v>
      </c>
      <c r="R26" s="20" t="n">
        <v>0.3420528</v>
      </c>
    </row>
    <row r="27" spans="1:18">
      <c r="A27" s="15" t="s">
        <v>585</v>
      </c>
      <c r="B27" s="17" t="n">
        <v>2683</v>
      </c>
      <c r="C27" s="18">
        <f>(2372.0/B27*100)</f>
        <v/>
      </c>
      <c r="D27" s="19" t="n">
        <v>311</v>
      </c>
      <c r="E27" s="18" t="n">
        <v>37.98900153</v>
      </c>
      <c r="F27" s="20" t="n">
        <v>2.34072497</v>
      </c>
      <c r="G27" s="18" t="n">
        <v>58.7690901</v>
      </c>
      <c r="H27" s="20" t="n">
        <v>2.46016947</v>
      </c>
      <c r="I27" s="18" t="n">
        <v>0</v>
      </c>
      <c r="J27" s="20" t="n">
        <v>0</v>
      </c>
      <c r="K27" s="18" t="n">
        <v>0</v>
      </c>
      <c r="L27" s="20" t="n">
        <v>0</v>
      </c>
      <c r="M27" s="18" t="n">
        <v>0</v>
      </c>
      <c r="N27" s="20" t="n">
        <v>0</v>
      </c>
      <c r="O27" s="18" t="n">
        <v>0</v>
      </c>
      <c r="P27" s="20" t="n">
        <v>0</v>
      </c>
      <c r="Q27" s="18" t="n">
        <v>3.24190837</v>
      </c>
      <c r="R27" s="20" t="n">
        <v>0.89029232</v>
      </c>
    </row>
    <row r="28" spans="1:18">
      <c r="A28" s="15" t="s">
        <v>586</v>
      </c>
      <c r="B28" s="17" t="n">
        <v>3803</v>
      </c>
      <c r="C28" s="18">
        <f>(3412.0/B28*100)</f>
        <v/>
      </c>
      <c r="D28" s="19" t="n">
        <v>391</v>
      </c>
      <c r="E28" s="18" t="n">
        <v>72.13868589</v>
      </c>
      <c r="F28" s="20" t="n">
        <v>2.73362462</v>
      </c>
      <c r="G28" s="18" t="n">
        <v>25.84454416</v>
      </c>
      <c r="H28" s="20" t="n">
        <v>2.60118181</v>
      </c>
      <c r="I28" s="18" t="n">
        <v>0</v>
      </c>
      <c r="J28" s="20" t="n">
        <v>0</v>
      </c>
      <c r="K28" s="18" t="n">
        <v>0.46080619</v>
      </c>
      <c r="L28" s="20" t="n">
        <v>0.45120511</v>
      </c>
      <c r="M28" s="18" t="n">
        <v>0</v>
      </c>
      <c r="N28" s="20" t="n">
        <v>0</v>
      </c>
      <c r="O28" s="18" t="n">
        <v>0</v>
      </c>
      <c r="P28" s="20" t="n">
        <v>0</v>
      </c>
      <c r="Q28" s="18" t="n">
        <v>1.55596377</v>
      </c>
      <c r="R28" s="20" t="n">
        <v>0.7471249</v>
      </c>
    </row>
    <row r="29" spans="1:18">
      <c r="A29" s="15" t="s">
        <v>587</v>
      </c>
      <c r="B29" s="17" t="n">
        <v>2700</v>
      </c>
      <c r="C29" s="18">
        <f>(2408.0/B29*100)</f>
        <v/>
      </c>
      <c r="D29" s="19" t="n">
        <v>292</v>
      </c>
      <c r="E29" s="18" t="n">
        <v>33.75454759</v>
      </c>
      <c r="F29" s="20" t="n">
        <v>2.7123806</v>
      </c>
      <c r="G29" s="18" t="n">
        <v>64.98179462</v>
      </c>
      <c r="H29" s="20" t="n">
        <v>2.76374493</v>
      </c>
      <c r="I29" s="18" t="n">
        <v>0</v>
      </c>
      <c r="J29" s="20" t="n">
        <v>0</v>
      </c>
      <c r="K29" s="18" t="n">
        <v>0</v>
      </c>
      <c r="L29" s="20" t="n">
        <v>0</v>
      </c>
      <c r="M29" s="18" t="n">
        <v>0</v>
      </c>
      <c r="N29" s="20" t="n">
        <v>0</v>
      </c>
      <c r="O29" s="18" t="n">
        <v>0</v>
      </c>
      <c r="P29" s="20" t="n">
        <v>0</v>
      </c>
      <c r="Q29" s="18" t="n">
        <v>1.26365779</v>
      </c>
      <c r="R29" s="20" t="n">
        <v>0.64676998</v>
      </c>
    </row>
    <row r="30" spans="1:18">
      <c r="A30" s="15" t="s">
        <v>588</v>
      </c>
      <c r="B30" s="17" t="n">
        <v>2257</v>
      </c>
      <c r="C30" s="18">
        <f>(2002.0/B30*100)</f>
        <v/>
      </c>
      <c r="D30" s="19" t="n">
        <v>255</v>
      </c>
      <c r="E30" s="18" t="n">
        <v>41.32961361</v>
      </c>
      <c r="F30" s="20" t="n">
        <v>3.14836951</v>
      </c>
      <c r="G30" s="18" t="n">
        <v>55.80757092</v>
      </c>
      <c r="H30" s="20" t="n">
        <v>3.40160488</v>
      </c>
      <c r="I30" s="18" t="n">
        <v>0</v>
      </c>
      <c r="J30" s="20" t="n">
        <v>0</v>
      </c>
      <c r="K30" s="18" t="n">
        <v>0</v>
      </c>
      <c r="L30" s="20" t="n">
        <v>0</v>
      </c>
      <c r="M30" s="18" t="n">
        <v>0</v>
      </c>
      <c r="N30" s="20" t="n">
        <v>0</v>
      </c>
      <c r="O30" s="18" t="n">
        <v>0</v>
      </c>
      <c r="P30" s="20" t="n">
        <v>0</v>
      </c>
      <c r="Q30" s="18" t="n">
        <v>2.86281546</v>
      </c>
      <c r="R30" s="20" t="n">
        <v>1.2550349</v>
      </c>
    </row>
    <row r="31" spans="1:18">
      <c r="A31" s="15" t="s">
        <v>589</v>
      </c>
      <c r="B31" s="17" t="n">
        <v>2706</v>
      </c>
      <c r="C31" s="18">
        <f>(2411.0/B31*100)</f>
        <v/>
      </c>
      <c r="D31" s="19" t="n">
        <v>295</v>
      </c>
      <c r="E31" s="18" t="n">
        <v>36.6009699</v>
      </c>
      <c r="F31" s="20" t="n">
        <v>3.04494121</v>
      </c>
      <c r="G31" s="18" t="n">
        <v>59.42045288</v>
      </c>
      <c r="H31" s="20" t="n">
        <v>3.15719445</v>
      </c>
      <c r="I31" s="18" t="n">
        <v>0</v>
      </c>
      <c r="J31" s="20" t="n">
        <v>0</v>
      </c>
      <c r="K31" s="18" t="n">
        <v>0.62570341</v>
      </c>
      <c r="L31" s="20" t="n">
        <v>0.42052528</v>
      </c>
      <c r="M31" s="18" t="n">
        <v>0</v>
      </c>
      <c r="N31" s="20" t="n">
        <v>0</v>
      </c>
      <c r="O31" s="18" t="n">
        <v>0</v>
      </c>
      <c r="P31" s="20" t="n">
        <v>0</v>
      </c>
      <c r="Q31" s="18" t="n">
        <v>3.35287381</v>
      </c>
      <c r="R31" s="20" t="n">
        <v>1.10566228</v>
      </c>
    </row>
    <row r="32" spans="1:18">
      <c r="A32" s="15" t="s">
        <v>590</v>
      </c>
      <c r="B32" s="17" t="n">
        <v>2209</v>
      </c>
      <c r="C32" s="18">
        <f>(1968.0/B32*100)</f>
        <v/>
      </c>
      <c r="D32" s="19" t="n">
        <v>241</v>
      </c>
      <c r="E32" s="18" t="n">
        <v>45.19651555</v>
      </c>
      <c r="F32" s="20" t="n">
        <v>3.38704757</v>
      </c>
      <c r="G32" s="18" t="n">
        <v>54.41572938</v>
      </c>
      <c r="H32" s="20" t="n">
        <v>3.39191205</v>
      </c>
      <c r="I32" s="18" t="n">
        <v>0</v>
      </c>
      <c r="J32" s="20" t="n">
        <v>0</v>
      </c>
      <c r="K32" s="18" t="n">
        <v>0</v>
      </c>
      <c r="L32" s="20" t="n">
        <v>0</v>
      </c>
      <c r="M32" s="18" t="n">
        <v>0</v>
      </c>
      <c r="N32" s="20" t="n">
        <v>0</v>
      </c>
      <c r="O32" s="18" t="n">
        <v>0</v>
      </c>
      <c r="P32" s="20" t="n">
        <v>0</v>
      </c>
      <c r="Q32" s="18" t="n">
        <v>0.38775507</v>
      </c>
      <c r="R32" s="20" t="n">
        <v>0.3880273</v>
      </c>
    </row>
    <row r="33" spans="1:18">
      <c r="A33" s="15" t="s">
        <v>591</v>
      </c>
      <c r="B33" s="17" t="n">
        <v>3651</v>
      </c>
      <c r="C33" s="18">
        <f>(3265.0/B33*100)</f>
        <v/>
      </c>
      <c r="D33" s="19" t="n">
        <v>386</v>
      </c>
      <c r="E33" s="18" t="n">
        <v>42.68691316</v>
      </c>
      <c r="F33" s="20" t="n">
        <v>3.34124537</v>
      </c>
      <c r="G33" s="18" t="n">
        <v>56.01148054</v>
      </c>
      <c r="H33" s="20" t="n">
        <v>3.21051851</v>
      </c>
      <c r="I33" s="18" t="n">
        <v>0</v>
      </c>
      <c r="J33" s="20" t="n">
        <v>0</v>
      </c>
      <c r="K33" s="18" t="n">
        <v>0</v>
      </c>
      <c r="L33" s="20" t="n">
        <v>0</v>
      </c>
      <c r="M33" s="18" t="n">
        <v>0</v>
      </c>
      <c r="N33" s="20" t="n">
        <v>0</v>
      </c>
      <c r="O33" s="18" t="n">
        <v>0</v>
      </c>
      <c r="P33" s="20" t="n">
        <v>0</v>
      </c>
      <c r="Q33" s="18" t="n">
        <v>1.30160631</v>
      </c>
      <c r="R33" s="20" t="n">
        <v>0.65349015</v>
      </c>
    </row>
    <row r="34" spans="1:18">
      <c r="A34" s="15" t="s">
        <v>592</v>
      </c>
      <c r="B34" s="17" t="n">
        <v>3035</v>
      </c>
      <c r="C34" s="18">
        <f>(2693.0/B34*100)</f>
        <v/>
      </c>
      <c r="D34" s="19" t="n">
        <v>342</v>
      </c>
      <c r="E34" s="18" t="n">
        <v>48.18278977</v>
      </c>
      <c r="F34" s="20" t="n">
        <v>2.74883663</v>
      </c>
      <c r="G34" s="18" t="n">
        <v>50.84523142</v>
      </c>
      <c r="H34" s="20" t="n">
        <v>2.74599096</v>
      </c>
      <c r="I34" s="18" t="n">
        <v>0</v>
      </c>
      <c r="J34" s="20" t="n">
        <v>0</v>
      </c>
      <c r="K34" s="18" t="n">
        <v>0</v>
      </c>
      <c r="L34" s="20" t="n">
        <v>0</v>
      </c>
      <c r="M34" s="18" t="n">
        <v>0</v>
      </c>
      <c r="N34" s="20" t="n">
        <v>0</v>
      </c>
      <c r="O34" s="18" t="n">
        <v>0</v>
      </c>
      <c r="P34" s="20" t="n">
        <v>0</v>
      </c>
      <c r="Q34" s="18" t="n">
        <v>0.97197881</v>
      </c>
      <c r="R34" s="20" t="n">
        <v>0.57790143</v>
      </c>
    </row>
    <row r="35" spans="1:18">
      <c r="A35" s="15" t="s">
        <v>593</v>
      </c>
      <c r="B35" s="17" t="n">
        <v>2901</v>
      </c>
      <c r="C35" s="18">
        <f>(2607.0/B35*100)</f>
        <v/>
      </c>
      <c r="D35" s="19" t="n">
        <v>294</v>
      </c>
      <c r="E35" s="18" t="n">
        <v>45.92207446</v>
      </c>
      <c r="F35" s="20" t="n">
        <v>4.03306448</v>
      </c>
      <c r="G35" s="18" t="n">
        <v>52.89168795</v>
      </c>
      <c r="H35" s="20" t="n">
        <v>4.08098732</v>
      </c>
      <c r="I35" s="18" t="n">
        <v>0</v>
      </c>
      <c r="J35" s="20" t="n">
        <v>0</v>
      </c>
      <c r="K35" s="18" t="n">
        <v>0</v>
      </c>
      <c r="L35" s="20" t="n">
        <v>0</v>
      </c>
      <c r="M35" s="18" t="n">
        <v>0</v>
      </c>
      <c r="N35" s="20" t="n">
        <v>0</v>
      </c>
      <c r="O35" s="18" t="n">
        <v>0</v>
      </c>
      <c r="P35" s="20" t="n">
        <v>0</v>
      </c>
      <c r="Q35" s="18" t="n">
        <v>1.18623759</v>
      </c>
      <c r="R35" s="20" t="n">
        <v>0.63128457</v>
      </c>
    </row>
    <row r="36" spans="1:18">
      <c r="A36" s="15" t="s">
        <v>594</v>
      </c>
      <c r="B36" s="17" t="n">
        <v>3404</v>
      </c>
      <c r="C36" s="18">
        <f>(3045.0/B36*100)</f>
        <v/>
      </c>
      <c r="D36" s="19" t="n">
        <v>359</v>
      </c>
      <c r="E36" s="18" t="n">
        <v>45.80034793</v>
      </c>
      <c r="F36" s="20" t="n">
        <v>2.55406191</v>
      </c>
      <c r="G36" s="18" t="n">
        <v>51.91296355</v>
      </c>
      <c r="H36" s="20" t="n">
        <v>2.56389743</v>
      </c>
      <c r="I36" s="18" t="n">
        <v>0</v>
      </c>
      <c r="J36" s="20" t="n">
        <v>0</v>
      </c>
      <c r="K36" s="18" t="n">
        <v>0</v>
      </c>
      <c r="L36" s="20" t="n">
        <v>0</v>
      </c>
      <c r="M36" s="18" t="n">
        <v>0</v>
      </c>
      <c r="N36" s="20" t="n">
        <v>0</v>
      </c>
      <c r="O36" s="18" t="n">
        <v>0</v>
      </c>
      <c r="P36" s="20" t="n">
        <v>0</v>
      </c>
      <c r="Q36" s="18" t="n">
        <v>2.28668852</v>
      </c>
      <c r="R36" s="20" t="n">
        <v>0.79275447</v>
      </c>
    </row>
    <row r="37" spans="1:18">
      <c r="A37" s="15" t="s">
        <v>595</v>
      </c>
      <c r="B37" s="17" t="n">
        <v>2731</v>
      </c>
      <c r="C37" s="18">
        <f>(2425.0/B37*100)</f>
        <v/>
      </c>
      <c r="D37" s="19" t="n">
        <v>306</v>
      </c>
      <c r="E37" s="18" t="n">
        <v>38.45972479</v>
      </c>
      <c r="F37" s="20" t="n">
        <v>2.2511687</v>
      </c>
      <c r="G37" s="18" t="n">
        <v>57.03847125</v>
      </c>
      <c r="H37" s="20" t="n">
        <v>2.41512444</v>
      </c>
      <c r="I37" s="18" t="n">
        <v>0</v>
      </c>
      <c r="J37" s="20" t="n">
        <v>0</v>
      </c>
      <c r="K37" s="18" t="n">
        <v>0</v>
      </c>
      <c r="L37" s="20" t="n">
        <v>0</v>
      </c>
      <c r="M37" s="18" t="n">
        <v>0</v>
      </c>
      <c r="N37" s="20" t="n">
        <v>0</v>
      </c>
      <c r="O37" s="18" t="n">
        <v>0</v>
      </c>
      <c r="P37" s="20" t="n">
        <v>0</v>
      </c>
      <c r="Q37" s="18" t="n">
        <v>4.50180396</v>
      </c>
      <c r="R37" s="20" t="n">
        <v>1.26690222</v>
      </c>
    </row>
    <row r="38" spans="1:18">
      <c r="A38" s="15" t="s">
        <v>596</v>
      </c>
      <c r="B38" s="17" t="n">
        <v>2807</v>
      </c>
      <c r="C38" s="18">
        <f>(2489.0/B38*100)</f>
        <v/>
      </c>
      <c r="D38" s="19" t="n">
        <v>318</v>
      </c>
      <c r="E38" s="18" t="n">
        <v>36.74728877</v>
      </c>
      <c r="F38" s="20" t="n">
        <v>3.80228099</v>
      </c>
      <c r="G38" s="18" t="n">
        <v>60.69984583</v>
      </c>
      <c r="H38" s="20" t="n">
        <v>3.88660106</v>
      </c>
      <c r="I38" s="18" t="n">
        <v>0</v>
      </c>
      <c r="J38" s="20" t="n">
        <v>0</v>
      </c>
      <c r="K38" s="18" t="n">
        <v>0</v>
      </c>
      <c r="L38" s="20" t="n">
        <v>0</v>
      </c>
      <c r="M38" s="18" t="n">
        <v>0</v>
      </c>
      <c r="N38" s="20" t="n">
        <v>0</v>
      </c>
      <c r="O38" s="18" t="n">
        <v>0</v>
      </c>
      <c r="P38" s="20" t="n">
        <v>0</v>
      </c>
      <c r="Q38" s="18" t="n">
        <v>2.55286539</v>
      </c>
      <c r="R38" s="20" t="n">
        <v>0.91908451</v>
      </c>
    </row>
    <row r="39" spans="1:18">
      <c r="A39" s="15" t="s">
        <v>597</v>
      </c>
      <c r="B39" s="17" t="n">
        <v>2938</v>
      </c>
      <c r="C39" s="18">
        <f>(2624.0/B39*100)</f>
        <v/>
      </c>
      <c r="D39" s="19" t="n">
        <v>314</v>
      </c>
      <c r="E39" s="18" t="n">
        <v>63.70891898</v>
      </c>
      <c r="F39" s="20" t="n">
        <v>2.86721987</v>
      </c>
      <c r="G39" s="18" t="n">
        <v>34.90344507</v>
      </c>
      <c r="H39" s="20" t="n">
        <v>3.00835547</v>
      </c>
      <c r="I39" s="18" t="n">
        <v>0</v>
      </c>
      <c r="J39" s="20" t="n">
        <v>0</v>
      </c>
      <c r="K39" s="18" t="n">
        <v>0</v>
      </c>
      <c r="L39" s="20" t="n">
        <v>0</v>
      </c>
      <c r="M39" s="18" t="n">
        <v>0</v>
      </c>
      <c r="N39" s="20" t="n">
        <v>0</v>
      </c>
      <c r="O39" s="18" t="n">
        <v>0</v>
      </c>
      <c r="P39" s="20" t="n">
        <v>0</v>
      </c>
      <c r="Q39" s="18" t="n">
        <v>1.38763595</v>
      </c>
      <c r="R39" s="20" t="n">
        <v>0.89852478</v>
      </c>
    </row>
    <row r="40" spans="1:18">
      <c r="A40" s="15" t="s">
        <v>598</v>
      </c>
      <c r="B40" s="17" t="n">
        <v>6922</v>
      </c>
      <c r="C40" s="18">
        <f>(6146.0/B40*100)</f>
        <v/>
      </c>
      <c r="D40" s="19" t="n">
        <v>776</v>
      </c>
      <c r="E40" s="18" t="n">
        <v>52.83214008</v>
      </c>
      <c r="F40" s="20" t="n">
        <v>2.92470524</v>
      </c>
      <c r="G40" s="18" t="n">
        <v>43.89947411</v>
      </c>
      <c r="H40" s="20" t="n">
        <v>2.84069226</v>
      </c>
      <c r="I40" s="18" t="n">
        <v>0</v>
      </c>
      <c r="J40" s="20" t="n">
        <v>0</v>
      </c>
      <c r="K40" s="18" t="n">
        <v>0.41272611</v>
      </c>
      <c r="L40" s="20" t="n">
        <v>0.37529921</v>
      </c>
      <c r="M40" s="18" t="n">
        <v>0</v>
      </c>
      <c r="N40" s="20" t="n">
        <v>0</v>
      </c>
      <c r="O40" s="18" t="n">
        <v>0</v>
      </c>
      <c r="P40" s="20" t="n">
        <v>0</v>
      </c>
      <c r="Q40" s="18" t="n">
        <v>2.8556597</v>
      </c>
      <c r="R40" s="20" t="n">
        <v>0.86279668</v>
      </c>
    </row>
    <row r="41" spans="1:18">
      <c r="A41" s="15" t="s">
        <v>599</v>
      </c>
      <c r="B41" s="17" t="n">
        <v>2854</v>
      </c>
      <c r="C41" s="18">
        <f>(2548.0/B41*100)</f>
        <v/>
      </c>
      <c r="D41" s="19" t="n">
        <v>306</v>
      </c>
      <c r="E41" s="18" t="n">
        <v>41.04489077</v>
      </c>
      <c r="F41" s="20" t="n">
        <v>2.61426491</v>
      </c>
      <c r="G41" s="18" t="n">
        <v>58.70884829</v>
      </c>
      <c r="H41" s="20" t="n">
        <v>2.577759</v>
      </c>
      <c r="I41" s="18" t="n">
        <v>0</v>
      </c>
      <c r="J41" s="20" t="n">
        <v>0</v>
      </c>
      <c r="K41" s="18" t="n">
        <v>0</v>
      </c>
      <c r="L41" s="20" t="n">
        <v>0</v>
      </c>
      <c r="M41" s="18" t="n">
        <v>0</v>
      </c>
      <c r="N41" s="20" t="n">
        <v>0</v>
      </c>
      <c r="O41" s="18" t="n">
        <v>0</v>
      </c>
      <c r="P41" s="20" t="n">
        <v>0</v>
      </c>
      <c r="Q41" s="18" t="n">
        <v>0.24626094</v>
      </c>
      <c r="R41" s="20" t="n">
        <v>0.24344876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(10934.0/B46*100)</f>
        <v/>
      </c>
      <c r="D46" s="19" t="n">
        <v>1139</v>
      </c>
      <c r="E46" s="18" t="n">
        <v>61.82852682</v>
      </c>
      <c r="F46" s="20" t="n">
        <v>2.01665181</v>
      </c>
      <c r="G46" s="18" t="n">
        <v>35.83161993</v>
      </c>
      <c r="H46" s="20" t="n">
        <v>1.92325883</v>
      </c>
      <c r="I46" s="18" t="n">
        <v>0</v>
      </c>
      <c r="J46" s="20" t="n">
        <v>0</v>
      </c>
      <c r="K46" s="18" t="n">
        <v>0.26646376</v>
      </c>
      <c r="L46" s="20" t="n">
        <v>0.17039361</v>
      </c>
      <c r="M46" s="18" t="n">
        <v>0</v>
      </c>
      <c r="N46" s="20" t="n">
        <v>0</v>
      </c>
      <c r="O46" s="18" t="n">
        <v>0</v>
      </c>
      <c r="P46" s="20" t="n">
        <v>0</v>
      </c>
      <c r="Q46" s="18" t="n">
        <v>2.07338948</v>
      </c>
      <c r="R46" s="20" t="n">
        <v>0.51523168</v>
      </c>
    </row>
    <row r="47" spans="1:18">
      <c r="A47" s="15" t="s">
        <v>606</v>
      </c>
      <c r="B47" s="17" t="n">
        <v>2823</v>
      </c>
      <c r="C47" s="18">
        <f>(2500.0/B47*100)</f>
        <v/>
      </c>
      <c r="D47" s="19" t="n">
        <v>323</v>
      </c>
      <c r="E47" s="18" t="n">
        <v>35.64765566</v>
      </c>
      <c r="F47" s="20" t="n">
        <v>2.59074453</v>
      </c>
      <c r="G47" s="18" t="n">
        <v>60.31170667</v>
      </c>
      <c r="H47" s="20" t="n">
        <v>2.83117969</v>
      </c>
      <c r="I47" s="18" t="n">
        <v>0</v>
      </c>
      <c r="J47" s="20" t="n">
        <v>0</v>
      </c>
      <c r="K47" s="18" t="n">
        <v>0</v>
      </c>
      <c r="L47" s="20" t="n">
        <v>0</v>
      </c>
      <c r="M47" s="18" t="n">
        <v>0</v>
      </c>
      <c r="N47" s="20" t="n">
        <v>0</v>
      </c>
      <c r="O47" s="18" t="n">
        <v>0</v>
      </c>
      <c r="P47" s="20" t="n">
        <v>0</v>
      </c>
      <c r="Q47" s="18" t="n">
        <v>4.04063766</v>
      </c>
      <c r="R47" s="20" t="n">
        <v>1.06896839</v>
      </c>
    </row>
    <row r="48" spans="1:18">
      <c r="A48" s="15" t="s">
        <v>607</v>
      </c>
      <c r="B48" s="17" t="n">
        <v>4682</v>
      </c>
      <c r="C48" s="18">
        <f>(4167.0/B48*100)</f>
        <v/>
      </c>
      <c r="D48" s="19" t="n">
        <v>515</v>
      </c>
      <c r="E48" s="18" t="n">
        <v>51.57953927</v>
      </c>
      <c r="F48" s="20" t="n">
        <v>2.68934582</v>
      </c>
      <c r="G48" s="18" t="n">
        <v>45.63895573</v>
      </c>
      <c r="H48" s="20" t="n">
        <v>2.85350581</v>
      </c>
      <c r="I48" s="18" t="n">
        <v>0</v>
      </c>
      <c r="J48" s="20" t="n">
        <v>0</v>
      </c>
      <c r="K48" s="18" t="n">
        <v>0.47075486</v>
      </c>
      <c r="L48" s="20" t="n">
        <v>0.47322057</v>
      </c>
      <c r="M48" s="18" t="n">
        <v>0</v>
      </c>
      <c r="N48" s="20" t="n">
        <v>0</v>
      </c>
      <c r="O48" s="18" t="n">
        <v>0</v>
      </c>
      <c r="P48" s="20" t="n">
        <v>0</v>
      </c>
      <c r="Q48" s="18" t="n">
        <v>2.31075014</v>
      </c>
      <c r="R48" s="20" t="n">
        <v>0.81818803</v>
      </c>
    </row>
    <row r="49" spans="1:18">
      <c r="A49" s="15" t="s">
        <v>608</v>
      </c>
      <c r="B49" s="17" t="n">
        <v>6158</v>
      </c>
      <c r="C49" s="18">
        <f>(5491.0/B49*100)</f>
        <v/>
      </c>
      <c r="D49" s="19" t="n">
        <v>667</v>
      </c>
      <c r="E49" s="18" t="n">
        <v>66.86499729000001</v>
      </c>
      <c r="F49" s="20" t="n">
        <v>2.42203407</v>
      </c>
      <c r="G49" s="18" t="n">
        <v>30.78944224</v>
      </c>
      <c r="H49" s="20" t="n">
        <v>2.2319156</v>
      </c>
      <c r="I49" s="18" t="n">
        <v>0</v>
      </c>
      <c r="J49" s="20" t="n">
        <v>0</v>
      </c>
      <c r="K49" s="18" t="n">
        <v>0.02235214</v>
      </c>
      <c r="L49" s="20" t="n">
        <v>0.02241316</v>
      </c>
      <c r="M49" s="18" t="n">
        <v>0</v>
      </c>
      <c r="N49" s="20" t="n">
        <v>0</v>
      </c>
      <c r="O49" s="18" t="n">
        <v>0</v>
      </c>
      <c r="P49" s="20" t="n">
        <v>0</v>
      </c>
      <c r="Q49" s="18" t="n">
        <v>2.32320833</v>
      </c>
      <c r="R49" s="20" t="n">
        <v>0.79578634</v>
      </c>
    </row>
    <row r="50" spans="1:18">
      <c r="A50" s="15" t="s">
        <v>609</v>
      </c>
      <c r="B50" s="17" t="n">
        <v>3494</v>
      </c>
      <c r="C50" s="18">
        <f>(3150.0/B50*100)</f>
        <v/>
      </c>
      <c r="D50" s="19" t="n">
        <v>344</v>
      </c>
      <c r="E50" s="18" t="n">
        <v>66.50497387999999</v>
      </c>
      <c r="F50" s="20" t="n">
        <v>3.08307072</v>
      </c>
      <c r="G50" s="18" t="n">
        <v>32.15904139</v>
      </c>
      <c r="H50" s="20" t="n">
        <v>2.98370531</v>
      </c>
      <c r="I50" s="18" t="n">
        <v>0</v>
      </c>
      <c r="J50" s="20" t="n">
        <v>0</v>
      </c>
      <c r="K50" s="18" t="n">
        <v>0</v>
      </c>
      <c r="L50" s="20" t="n">
        <v>0</v>
      </c>
      <c r="M50" s="18" t="n">
        <v>0</v>
      </c>
      <c r="N50" s="20" t="n">
        <v>0</v>
      </c>
      <c r="O50" s="18" t="n">
        <v>0</v>
      </c>
      <c r="P50" s="20" t="n">
        <v>0</v>
      </c>
      <c r="Q50" s="18" t="n">
        <v>1.33598472</v>
      </c>
      <c r="R50" s="20" t="n">
        <v>0.60034139</v>
      </c>
    </row>
    <row r="51" spans="1:18">
      <c r="A51" s="15" t="s">
        <v>610</v>
      </c>
      <c r="B51" s="17" t="n">
        <v>3013</v>
      </c>
      <c r="C51" s="18">
        <f>(2650.0/B51*100)</f>
        <v/>
      </c>
      <c r="D51" s="19" t="n">
        <v>363</v>
      </c>
      <c r="E51" s="18" t="n">
        <v>47.09227034</v>
      </c>
      <c r="F51" s="20" t="n">
        <v>2.87610949</v>
      </c>
      <c r="G51" s="18" t="n">
        <v>51.50657823</v>
      </c>
      <c r="H51" s="20" t="n">
        <v>2.82836323</v>
      </c>
      <c r="I51" s="18" t="n">
        <v>0</v>
      </c>
      <c r="J51" s="20" t="n">
        <v>0</v>
      </c>
      <c r="K51" s="18" t="n">
        <v>0</v>
      </c>
      <c r="L51" s="20" t="n">
        <v>0</v>
      </c>
      <c r="M51" s="18" t="n">
        <v>0</v>
      </c>
      <c r="N51" s="20" t="n">
        <v>0</v>
      </c>
      <c r="O51" s="18" t="n">
        <v>0</v>
      </c>
      <c r="P51" s="20" t="n">
        <v>0</v>
      </c>
      <c r="Q51" s="18" t="n">
        <v>1.40115143</v>
      </c>
      <c r="R51" s="20" t="n">
        <v>0.627332</v>
      </c>
    </row>
    <row r="52" spans="1:18">
      <c r="A52" s="15" t="s">
        <v>611</v>
      </c>
      <c r="B52" s="17" t="n">
        <v>2760</v>
      </c>
      <c r="C52" s="18">
        <f>(2460.0/B52*100)</f>
        <v/>
      </c>
      <c r="D52" s="19" t="n">
        <v>300</v>
      </c>
      <c r="E52" s="18" t="n">
        <v>57.24692378</v>
      </c>
      <c r="F52" s="20" t="n">
        <v>2.66538202</v>
      </c>
      <c r="G52" s="18" t="n">
        <v>39.27989836</v>
      </c>
      <c r="H52" s="20" t="n">
        <v>2.70588388</v>
      </c>
      <c r="I52" s="18" t="n">
        <v>0</v>
      </c>
      <c r="J52" s="20" t="n">
        <v>0</v>
      </c>
      <c r="K52" s="18" t="n">
        <v>0</v>
      </c>
      <c r="L52" s="20" t="n">
        <v>0</v>
      </c>
      <c r="M52" s="18" t="n">
        <v>0</v>
      </c>
      <c r="N52" s="20" t="n">
        <v>0</v>
      </c>
      <c r="O52" s="18" t="n">
        <v>0</v>
      </c>
      <c r="P52" s="20" t="n">
        <v>0</v>
      </c>
      <c r="Q52" s="18" t="n">
        <v>3.47317786</v>
      </c>
      <c r="R52" s="20" t="n">
        <v>0.97722145</v>
      </c>
    </row>
    <row r="53" spans="1:18">
      <c r="A53" s="15" t="s">
        <v>612</v>
      </c>
      <c r="B53" s="17" t="n">
        <v>2474</v>
      </c>
      <c r="C53" s="18">
        <f>(2230.0/B53*100)</f>
        <v/>
      </c>
      <c r="D53" s="19" t="n">
        <v>244</v>
      </c>
      <c r="E53" s="18" t="n">
        <v>70.22730278</v>
      </c>
      <c r="F53" s="20" t="n">
        <v>3.05192345</v>
      </c>
      <c r="G53" s="18" t="n">
        <v>12.84820029</v>
      </c>
      <c r="H53" s="20" t="n">
        <v>2.19319866</v>
      </c>
      <c r="I53" s="18" t="n">
        <v>0</v>
      </c>
      <c r="J53" s="20" t="n">
        <v>0</v>
      </c>
      <c r="K53" s="18" t="n">
        <v>9.862599960000001</v>
      </c>
      <c r="L53" s="20" t="n">
        <v>1.98478442</v>
      </c>
      <c r="M53" s="18" t="n">
        <v>0</v>
      </c>
      <c r="N53" s="20" t="n">
        <v>0</v>
      </c>
      <c r="O53" s="18" t="n">
        <v>0</v>
      </c>
      <c r="P53" s="20" t="n">
        <v>0</v>
      </c>
      <c r="Q53" s="18" t="n">
        <v>7.06189696</v>
      </c>
      <c r="R53" s="20" t="n">
        <v>2.24229129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(2373.0/B55*100)</f>
        <v/>
      </c>
      <c r="D55" s="19" t="n">
        <v>302</v>
      </c>
      <c r="E55" s="18" t="n">
        <v>53.86227869</v>
      </c>
      <c r="F55" s="20" t="n">
        <v>3.16094094</v>
      </c>
      <c r="G55" s="18" t="n">
        <v>45.84259822</v>
      </c>
      <c r="H55" s="20" t="n">
        <v>3.14592515</v>
      </c>
      <c r="I55" s="18" t="n">
        <v>0</v>
      </c>
      <c r="J55" s="20" t="n">
        <v>0</v>
      </c>
      <c r="K55" s="18" t="n">
        <v>0.29512309</v>
      </c>
      <c r="L55" s="20" t="n">
        <v>0.3038083</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(2830.0/B61*100)</f>
        <v/>
      </c>
      <c r="D61" s="19" t="n">
        <v>371</v>
      </c>
      <c r="E61" s="18" t="n">
        <v>31.93134101</v>
      </c>
      <c r="F61" s="20" t="n">
        <v>2.37108841</v>
      </c>
      <c r="G61" s="18" t="n">
        <v>67.36513974</v>
      </c>
      <c r="H61" s="20" t="n">
        <v>2.30046649</v>
      </c>
      <c r="I61" s="18" t="n">
        <v>0</v>
      </c>
      <c r="J61" s="20" t="n">
        <v>0</v>
      </c>
      <c r="K61" s="18" t="n">
        <v>0</v>
      </c>
      <c r="L61" s="20" t="n">
        <v>0</v>
      </c>
      <c r="M61" s="18" t="n">
        <v>0</v>
      </c>
      <c r="N61" s="20" t="n">
        <v>0</v>
      </c>
      <c r="O61" s="18" t="n">
        <v>0</v>
      </c>
      <c r="P61" s="20" t="n">
        <v>0</v>
      </c>
      <c r="Q61" s="18" t="n">
        <v>0.70351925</v>
      </c>
      <c r="R61" s="20" t="n">
        <v>0.41222044</v>
      </c>
    </row>
    <row r="62" spans="1:18">
      <c r="A62" s="15" t="s">
        <v>622</v>
      </c>
      <c r="B62" s="17" t="n">
        <v>2230</v>
      </c>
      <c r="C62" s="18">
        <f>(1985.0/B62*100)</f>
        <v/>
      </c>
      <c r="D62" s="19" t="n">
        <v>245</v>
      </c>
      <c r="E62" s="18" t="n">
        <v>40.85504881</v>
      </c>
      <c r="F62" s="20" t="n">
        <v>3.13467372</v>
      </c>
      <c r="G62" s="18" t="n">
        <v>59.14495119</v>
      </c>
      <c r="H62" s="20" t="n">
        <v>3.13467372</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(2444.0/B67*100)</f>
        <v/>
      </c>
      <c r="D67" s="19" t="n">
        <v>327</v>
      </c>
      <c r="E67" s="18" t="n">
        <v>54.10183111</v>
      </c>
      <c r="F67" s="20" t="n">
        <v>2.93166414</v>
      </c>
      <c r="G67" s="18" t="n">
        <v>40.73060003</v>
      </c>
      <c r="H67" s="20" t="n">
        <v>2.79788177</v>
      </c>
      <c r="I67" s="18" t="n">
        <v>0</v>
      </c>
      <c r="J67" s="20" t="n">
        <v>0</v>
      </c>
      <c r="K67" s="18" t="n">
        <v>0</v>
      </c>
      <c r="L67" s="20" t="n">
        <v>0</v>
      </c>
      <c r="M67" s="18" t="n">
        <v>0</v>
      </c>
      <c r="N67" s="20" t="n">
        <v>0</v>
      </c>
      <c r="O67" s="18" t="n">
        <v>0</v>
      </c>
      <c r="P67" s="20" t="n">
        <v>0</v>
      </c>
      <c r="Q67" s="18" t="n">
        <v>5.16756886</v>
      </c>
      <c r="R67" s="20" t="n">
        <v>1.38416033</v>
      </c>
    </row>
    <row r="68" spans="1:18">
      <c r="A68" s="15" t="s">
        <v>628</v>
      </c>
      <c r="B68" s="17" t="n">
        <v>3460</v>
      </c>
      <c r="C68" s="18">
        <f>(3098.0/B68*100)</f>
        <v/>
      </c>
      <c r="D68" s="19" t="n">
        <v>362</v>
      </c>
      <c r="E68" s="18" t="n">
        <v>62.48328622</v>
      </c>
      <c r="F68" s="20" t="n">
        <v>2.61262843</v>
      </c>
      <c r="G68" s="18" t="n">
        <v>35.03308181</v>
      </c>
      <c r="H68" s="20" t="n">
        <v>2.54971193</v>
      </c>
      <c r="I68" s="18" t="n">
        <v>0</v>
      </c>
      <c r="J68" s="20" t="n">
        <v>0</v>
      </c>
      <c r="K68" s="18" t="n">
        <v>0.22031344</v>
      </c>
      <c r="L68" s="20" t="n">
        <v>0.22669886</v>
      </c>
      <c r="M68" s="18" t="n">
        <v>0</v>
      </c>
      <c r="N68" s="20" t="n">
        <v>0</v>
      </c>
      <c r="O68" s="18" t="n">
        <v>0</v>
      </c>
      <c r="P68" s="20" t="n">
        <v>0</v>
      </c>
      <c r="Q68" s="18" t="n">
        <v>2.26331852</v>
      </c>
      <c r="R68" s="20" t="n">
        <v>0.79215148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(5403.0/B70*100)</f>
        <v/>
      </c>
      <c r="D70" s="19" t="n">
        <v>631</v>
      </c>
      <c r="E70" s="18" t="n">
        <v>52.75349599</v>
      </c>
      <c r="F70" s="20" t="n">
        <v>1.77781471</v>
      </c>
      <c r="G70" s="18" t="n">
        <v>42.56816873</v>
      </c>
      <c r="H70" s="20" t="n">
        <v>1.93908074</v>
      </c>
      <c r="I70" s="18" t="n">
        <v>0</v>
      </c>
      <c r="J70" s="20" t="n">
        <v>0</v>
      </c>
      <c r="K70" s="18" t="n">
        <v>1.25846613</v>
      </c>
      <c r="L70" s="20" t="n">
        <v>0.461917</v>
      </c>
      <c r="M70" s="18" t="n">
        <v>0</v>
      </c>
      <c r="N70" s="20" t="n">
        <v>0</v>
      </c>
      <c r="O70" s="18" t="n">
        <v>0</v>
      </c>
      <c r="P70" s="20" t="n">
        <v>0</v>
      </c>
      <c r="Q70" s="18" t="n">
        <v>3.41986915</v>
      </c>
      <c r="R70" s="20" t="n">
        <v>0.7373367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(2727.0/B72*100)</f>
        <v/>
      </c>
      <c r="D72" s="19" t="n">
        <v>380</v>
      </c>
      <c r="E72" s="18" t="n">
        <v>37.57675724</v>
      </c>
      <c r="F72" s="20" t="n">
        <v>3.02879932</v>
      </c>
      <c r="G72" s="18" t="n">
        <v>60.0773412</v>
      </c>
      <c r="H72" s="20" t="n">
        <v>2.63877153</v>
      </c>
      <c r="I72" s="18" t="n">
        <v>0</v>
      </c>
      <c r="J72" s="20" t="n">
        <v>0</v>
      </c>
      <c r="K72" s="18" t="n">
        <v>0</v>
      </c>
      <c r="L72" s="20" t="n">
        <v>0</v>
      </c>
      <c r="M72" s="18" t="n">
        <v>0</v>
      </c>
      <c r="N72" s="20" t="n">
        <v>0</v>
      </c>
      <c r="O72" s="18" t="n">
        <v>0</v>
      </c>
      <c r="P72" s="20" t="n">
        <v>0</v>
      </c>
      <c r="Q72" s="18" t="n">
        <v>2.34590156</v>
      </c>
      <c r="R72" s="20" t="n">
        <v>1.4897276</v>
      </c>
    </row>
    <row r="73" spans="1:18">
      <c r="A73" s="15" t="s">
        <v>633</v>
      </c>
      <c r="B73" s="17" t="n">
        <v>2973</v>
      </c>
      <c r="C73" s="18">
        <f>(2655.0/B73*100)</f>
        <v/>
      </c>
      <c r="D73" s="19" t="n">
        <v>318</v>
      </c>
      <c r="E73" s="18" t="n">
        <v>29.00573917</v>
      </c>
      <c r="F73" s="20" t="n">
        <v>2.53534866</v>
      </c>
      <c r="G73" s="18" t="n">
        <v>69.76676972</v>
      </c>
      <c r="H73" s="20" t="n">
        <v>2.52608231</v>
      </c>
      <c r="I73" s="18" t="n">
        <v>0</v>
      </c>
      <c r="J73" s="20" t="n">
        <v>0</v>
      </c>
      <c r="K73" s="18" t="n">
        <v>0.64965821</v>
      </c>
      <c r="L73" s="20" t="n">
        <v>0.46437156</v>
      </c>
      <c r="M73" s="18" t="n">
        <v>0</v>
      </c>
      <c r="N73" s="20" t="n">
        <v>0</v>
      </c>
      <c r="O73" s="18" t="n">
        <v>0</v>
      </c>
      <c r="P73" s="20" t="n">
        <v>0</v>
      </c>
      <c r="Q73" s="18" t="n">
        <v>0.57783289</v>
      </c>
      <c r="R73" s="20" t="n">
        <v>0.40524527</v>
      </c>
    </row>
    <row r="74" spans="1:18">
      <c r="A74" s="15" t="s">
        <v>634</v>
      </c>
      <c r="B74" s="17" t="n">
        <v>3819</v>
      </c>
      <c r="C74" s="18">
        <f>(3405.0/B74*100)</f>
        <v/>
      </c>
      <c r="D74" s="19" t="n">
        <v>414</v>
      </c>
      <c r="E74" s="18" t="n">
        <v>47.24410713</v>
      </c>
      <c r="F74" s="20" t="n">
        <v>2.48847722</v>
      </c>
      <c r="G74" s="18" t="n">
        <v>51.90589908</v>
      </c>
      <c r="H74" s="20" t="n">
        <v>2.45008085</v>
      </c>
      <c r="I74" s="18" t="n">
        <v>0</v>
      </c>
      <c r="J74" s="20" t="n">
        <v>0</v>
      </c>
      <c r="K74" s="18" t="n">
        <v>0</v>
      </c>
      <c r="L74" s="20" t="n">
        <v>0</v>
      </c>
      <c r="M74" s="18" t="n">
        <v>0</v>
      </c>
      <c r="N74" s="20" t="n">
        <v>0</v>
      </c>
      <c r="O74" s="18" t="n">
        <v>0</v>
      </c>
      <c r="P74" s="20" t="n">
        <v>0</v>
      </c>
      <c r="Q74" s="18" t="n">
        <v>0.84999379</v>
      </c>
      <c r="R74" s="20" t="n">
        <v>0.62982989</v>
      </c>
    </row>
    <row r="75" spans="1:18">
      <c r="A75" s="15" t="s">
        <v>635</v>
      </c>
      <c r="B75" s="17" t="n">
        <v>4652</v>
      </c>
      <c r="C75" s="18">
        <f>(4129.0/B75*100)</f>
        <v/>
      </c>
      <c r="D75" s="19" t="n">
        <v>523</v>
      </c>
      <c r="E75" s="18" t="n">
        <v>61.01942986</v>
      </c>
      <c r="F75" s="20" t="n">
        <v>2.51831773</v>
      </c>
      <c r="G75" s="18" t="n">
        <v>37.85761671</v>
      </c>
      <c r="H75" s="20" t="n">
        <v>2.42174848</v>
      </c>
      <c r="I75" s="18" t="n">
        <v>0</v>
      </c>
      <c r="J75" s="20" t="n">
        <v>0</v>
      </c>
      <c r="K75" s="18" t="n">
        <v>0</v>
      </c>
      <c r="L75" s="20" t="n">
        <v>0</v>
      </c>
      <c r="M75" s="18" t="n">
        <v>0</v>
      </c>
      <c r="N75" s="20" t="n">
        <v>0</v>
      </c>
      <c r="O75" s="18" t="n">
        <v>0</v>
      </c>
      <c r="P75" s="20" t="n">
        <v>0</v>
      </c>
      <c r="Q75" s="18" t="n">
        <v>1.12295342</v>
      </c>
      <c r="R75" s="20" t="n">
        <v>0.56830243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(2667.0/B77*100)</f>
        <v/>
      </c>
      <c r="D77" s="19" t="n">
        <v>302</v>
      </c>
      <c r="E77" s="18" t="n">
        <v>66.08496999</v>
      </c>
      <c r="F77" s="20" t="n">
        <v>2.84176641</v>
      </c>
      <c r="G77" s="18" t="n">
        <v>26.85385396</v>
      </c>
      <c r="H77" s="20" t="n">
        <v>2.87118708</v>
      </c>
      <c r="I77" s="18" t="n">
        <v>0</v>
      </c>
      <c r="J77" s="20" t="n">
        <v>0</v>
      </c>
      <c r="K77" s="18" t="n">
        <v>2.66991176</v>
      </c>
      <c r="L77" s="20" t="n">
        <v>0.90894065</v>
      </c>
      <c r="M77" s="18" t="n">
        <v>0</v>
      </c>
      <c r="N77" s="20" t="n">
        <v>0</v>
      </c>
      <c r="O77" s="18" t="n">
        <v>0</v>
      </c>
      <c r="P77" s="20" t="n">
        <v>0</v>
      </c>
      <c r="Q77" s="18" t="n">
        <v>4.3912643</v>
      </c>
      <c r="R77" s="20" t="n">
        <v>1.12866951</v>
      </c>
    </row>
    <row r="78" spans="1:18">
      <c r="A78" s="15" t="s">
        <v>638</v>
      </c>
      <c r="B78" s="17" t="n">
        <v>7115</v>
      </c>
      <c r="C78" s="18">
        <f>(6319.0/B78*100)</f>
        <v/>
      </c>
      <c r="D78" s="19" t="n">
        <v>796</v>
      </c>
      <c r="E78" s="18" t="n">
        <v>53.31025969</v>
      </c>
      <c r="F78" s="20" t="n">
        <v>2.18645551</v>
      </c>
      <c r="G78" s="18" t="n">
        <v>45.48835887</v>
      </c>
      <c r="H78" s="20" t="n">
        <v>2.17025408</v>
      </c>
      <c r="I78" s="18" t="n">
        <v>0</v>
      </c>
      <c r="J78" s="20" t="n">
        <v>0</v>
      </c>
      <c r="K78" s="18" t="n">
        <v>0.2809884</v>
      </c>
      <c r="L78" s="20" t="n">
        <v>0.18413461</v>
      </c>
      <c r="M78" s="18" t="n">
        <v>0</v>
      </c>
      <c r="N78" s="20" t="n">
        <v>0</v>
      </c>
      <c r="O78" s="18" t="n">
        <v>0</v>
      </c>
      <c r="P78" s="20" t="n">
        <v>0</v>
      </c>
      <c r="Q78" s="18" t="n">
        <v>0.92039304</v>
      </c>
      <c r="R78" s="20" t="n">
        <v>0.35739386</v>
      </c>
    </row>
    <row r="79" spans="1:18">
      <c r="A79" s="15" t="s">
        <v>639</v>
      </c>
      <c r="B79" s="17" t="n">
        <v>3154</v>
      </c>
      <c r="C79" s="18">
        <f>(2847.0/B79*100)</f>
        <v/>
      </c>
      <c r="D79" s="19" t="n">
        <v>307</v>
      </c>
      <c r="E79" s="18" t="n">
        <v>54.65703178</v>
      </c>
      <c r="F79" s="20" t="n">
        <v>2.8523731</v>
      </c>
      <c r="G79" s="18" t="n">
        <v>41.66909594</v>
      </c>
      <c r="H79" s="20" t="n">
        <v>3.14710759</v>
      </c>
      <c r="I79" s="18" t="n">
        <v>0</v>
      </c>
      <c r="J79" s="20" t="n">
        <v>0</v>
      </c>
      <c r="K79" s="18" t="n">
        <v>0.92553124</v>
      </c>
      <c r="L79" s="20" t="n">
        <v>0.58521668</v>
      </c>
      <c r="M79" s="18" t="n">
        <v>0</v>
      </c>
      <c r="N79" s="20" t="n">
        <v>0</v>
      </c>
      <c r="O79" s="18" t="n">
        <v>0</v>
      </c>
      <c r="P79" s="20" t="n">
        <v>0</v>
      </c>
      <c r="Q79" s="18" t="n">
        <v>2.74834105</v>
      </c>
      <c r="R79" s="20" t="n">
        <v>1.16636106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(14228.0/B82*100)</f>
        <v/>
      </c>
      <c r="D82" s="19" t="n">
        <v>1733</v>
      </c>
      <c r="E82" s="18" t="n">
        <v>43.96059343</v>
      </c>
      <c r="F82" s="20" t="n">
        <v>1.89789768</v>
      </c>
      <c r="G82" s="18" t="n">
        <v>53.34696337</v>
      </c>
      <c r="H82" s="20" t="n">
        <v>1.91160798</v>
      </c>
      <c r="I82" s="18" t="n">
        <v>0</v>
      </c>
      <c r="J82" s="20" t="n">
        <v>0</v>
      </c>
      <c r="K82" s="18" t="n">
        <v>0.04047636</v>
      </c>
      <c r="L82" s="20" t="n">
        <v>0.04085709</v>
      </c>
      <c r="M82" s="18" t="n">
        <v>0</v>
      </c>
      <c r="N82" s="20" t="n">
        <v>0</v>
      </c>
      <c r="O82" s="18" t="n">
        <v>0</v>
      </c>
      <c r="P82" s="20" t="n">
        <v>0</v>
      </c>
      <c r="Q82" s="18" t="n">
        <v>2.65196684</v>
      </c>
      <c r="R82" s="20" t="n">
        <v>0.57963862</v>
      </c>
    </row>
    <row r="83" spans="1:18">
      <c r="A83" s="15" t="s">
        <v>643</v>
      </c>
      <c r="B83" s="17" t="n">
        <v>808</v>
      </c>
      <c r="C83" s="18">
        <f>(723.0/B83*100)</f>
        <v/>
      </c>
      <c r="D83" s="19" t="n">
        <v>85</v>
      </c>
      <c r="E83" s="18" t="n">
        <v>43.75936616</v>
      </c>
      <c r="F83" s="20" t="n">
        <v>4.82882075</v>
      </c>
      <c r="G83" s="18" t="n">
        <v>54.38085541</v>
      </c>
      <c r="H83" s="20" t="n">
        <v>4.91383416</v>
      </c>
      <c r="I83" s="18" t="n">
        <v>0</v>
      </c>
      <c r="J83" s="20" t="n">
        <v>0</v>
      </c>
      <c r="K83" s="18" t="n">
        <v>0</v>
      </c>
      <c r="L83" s="20" t="n">
        <v>0</v>
      </c>
      <c r="M83" s="18" t="n">
        <v>0</v>
      </c>
      <c r="N83" s="20" t="n">
        <v>0</v>
      </c>
      <c r="O83" s="18" t="n">
        <v>0</v>
      </c>
      <c r="P83" s="20" t="n">
        <v>0</v>
      </c>
      <c r="Q83" s="18" t="n">
        <v>1.85977843</v>
      </c>
      <c r="R83" s="20" t="n">
        <v>1.22586463</v>
      </c>
    </row>
    <row r="84" spans="1:18">
      <c r="A84" s="23" t="s">
        <v>644</v>
      </c>
      <c r="B84" s="24" t="n">
        <v>938</v>
      </c>
      <c r="C84" s="25">
        <f>(837.0/B84*100)</f>
        <v/>
      </c>
      <c r="D84" s="19" t="n">
        <v>101</v>
      </c>
      <c r="E84" s="18" t="n">
        <v>43.42661583</v>
      </c>
      <c r="F84" s="20" t="n">
        <v>5.32651154</v>
      </c>
      <c r="G84" s="18" t="n">
        <v>56.57338417</v>
      </c>
      <c r="H84" s="20" t="n">
        <v>5.32651154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(6380.0/B7*100)</f>
        <v/>
      </c>
      <c r="D7" s="19" t="n">
        <v>783</v>
      </c>
      <c r="E7" s="18" t="n">
        <v>75.61295652</v>
      </c>
      <c r="F7" s="20" t="n">
        <v>1.87669246</v>
      </c>
      <c r="G7" s="18" t="n">
        <v>23.83520669</v>
      </c>
      <c r="H7" s="20" t="n">
        <v>1.86449065</v>
      </c>
      <c r="I7" s="18" t="n">
        <v>0</v>
      </c>
      <c r="J7" s="20" t="n">
        <v>0</v>
      </c>
      <c r="K7" s="18" t="n">
        <v>0</v>
      </c>
      <c r="L7" s="20" t="n">
        <v>0</v>
      </c>
      <c r="M7" s="18" t="n">
        <v>0</v>
      </c>
      <c r="N7" s="20" t="n">
        <v>0</v>
      </c>
      <c r="O7" s="18" t="n">
        <v>0</v>
      </c>
      <c r="P7" s="20" t="n">
        <v>0</v>
      </c>
      <c r="Q7" s="18" t="n">
        <v>0.55183679</v>
      </c>
      <c r="R7" s="20" t="n">
        <v>0.3072243</v>
      </c>
    </row>
    <row r="8" spans="1:18">
      <c r="A8" s="15" t="s">
        <v>566</v>
      </c>
      <c r="B8" s="17" t="n">
        <v>3443</v>
      </c>
      <c r="C8" s="18">
        <f>(3057.0/B8*100)</f>
        <v/>
      </c>
      <c r="D8" s="19" t="n">
        <v>386</v>
      </c>
      <c r="E8" s="18" t="n">
        <v>76.41468589999999</v>
      </c>
      <c r="F8" s="20" t="n">
        <v>2.36365124</v>
      </c>
      <c r="G8" s="18" t="n">
        <v>22.32288202</v>
      </c>
      <c r="H8" s="20" t="n">
        <v>2.38776358</v>
      </c>
      <c r="I8" s="18" t="n">
        <v>0</v>
      </c>
      <c r="J8" s="20" t="n">
        <v>0</v>
      </c>
      <c r="K8" s="18" t="n">
        <v>0.29434519</v>
      </c>
      <c r="L8" s="20" t="n">
        <v>0.33233996</v>
      </c>
      <c r="M8" s="18" t="n">
        <v>0</v>
      </c>
      <c r="N8" s="20" t="n">
        <v>0</v>
      </c>
      <c r="O8" s="18" t="n">
        <v>0</v>
      </c>
      <c r="P8" s="20" t="n">
        <v>0</v>
      </c>
      <c r="Q8" s="18" t="n">
        <v>0.96808689</v>
      </c>
      <c r="R8" s="20" t="n">
        <v>0.52175052</v>
      </c>
    </row>
    <row r="9" spans="1:18">
      <c r="A9" s="15" t="s">
        <v>567</v>
      </c>
      <c r="B9" s="17" t="n">
        <v>4752</v>
      </c>
      <c r="C9" s="18">
        <f>(4246.0/B9*100)</f>
        <v/>
      </c>
      <c r="D9" s="19" t="n">
        <v>506</v>
      </c>
      <c r="E9" s="18" t="n">
        <v>76.84953101000001</v>
      </c>
      <c r="F9" s="20" t="n">
        <v>2.12557842</v>
      </c>
      <c r="G9" s="18" t="n">
        <v>22.96134716</v>
      </c>
      <c r="H9" s="20" t="n">
        <v>2.16605571</v>
      </c>
      <c r="I9" s="18" t="n">
        <v>0</v>
      </c>
      <c r="J9" s="20" t="n">
        <v>0</v>
      </c>
      <c r="K9" s="18" t="n">
        <v>0</v>
      </c>
      <c r="L9" s="20" t="n">
        <v>0</v>
      </c>
      <c r="M9" s="18" t="n">
        <v>0</v>
      </c>
      <c r="N9" s="20" t="n">
        <v>0</v>
      </c>
      <c r="O9" s="18" t="n">
        <v>0</v>
      </c>
      <c r="P9" s="20" t="n">
        <v>0</v>
      </c>
      <c r="Q9" s="18" t="n">
        <v>0.18912182</v>
      </c>
      <c r="R9" s="20" t="n">
        <v>0.18515253</v>
      </c>
    </row>
    <row r="10" spans="1:18">
      <c r="A10" s="15" t="s">
        <v>568</v>
      </c>
      <c r="B10" s="17" t="n">
        <v>10022</v>
      </c>
      <c r="C10" s="18">
        <f>(8888.0/B10*100)</f>
        <v/>
      </c>
      <c r="D10" s="19" t="n">
        <v>1134</v>
      </c>
      <c r="E10" s="18" t="n">
        <v>75.48991587</v>
      </c>
      <c r="F10" s="20" t="n">
        <v>1.89209241</v>
      </c>
      <c r="G10" s="18" t="n">
        <v>23.8101892</v>
      </c>
      <c r="H10" s="20" t="n">
        <v>1.86340848</v>
      </c>
      <c r="I10" s="18" t="n">
        <v>0</v>
      </c>
      <c r="J10" s="20" t="n">
        <v>0</v>
      </c>
      <c r="K10" s="18" t="n">
        <v>0.45554022</v>
      </c>
      <c r="L10" s="20" t="n">
        <v>0.41986494</v>
      </c>
      <c r="M10" s="18" t="n">
        <v>0</v>
      </c>
      <c r="N10" s="20" t="n">
        <v>0</v>
      </c>
      <c r="O10" s="18" t="n">
        <v>0</v>
      </c>
      <c r="P10" s="20" t="n">
        <v>0</v>
      </c>
      <c r="Q10" s="18" t="n">
        <v>0.24435471</v>
      </c>
      <c r="R10" s="20" t="n">
        <v>0.13680254</v>
      </c>
    </row>
    <row r="11" spans="1:18">
      <c r="A11" s="15" t="s">
        <v>569</v>
      </c>
      <c r="B11" s="17" t="n">
        <v>3500</v>
      </c>
      <c r="C11" s="18">
        <f>(3139.0/B11*100)</f>
        <v/>
      </c>
      <c r="D11" s="19" t="n">
        <v>361</v>
      </c>
      <c r="E11" s="18" t="n">
        <v>88.71599621</v>
      </c>
      <c r="F11" s="20" t="n">
        <v>2.08008983</v>
      </c>
      <c r="G11" s="18" t="n">
        <v>10.83589973</v>
      </c>
      <c r="H11" s="20" t="n">
        <v>2.038497</v>
      </c>
      <c r="I11" s="18" t="n">
        <v>0</v>
      </c>
      <c r="J11" s="20" t="n">
        <v>0</v>
      </c>
      <c r="K11" s="18" t="n">
        <v>0.44810406</v>
      </c>
      <c r="L11" s="20" t="n">
        <v>0.37454853</v>
      </c>
      <c r="M11" s="18" t="n">
        <v>0</v>
      </c>
      <c r="N11" s="20" t="n">
        <v>0</v>
      </c>
      <c r="O11" s="18" t="n">
        <v>0</v>
      </c>
      <c r="P11" s="20" t="n">
        <v>0</v>
      </c>
      <c r="Q11" s="18" t="n">
        <v>0</v>
      </c>
      <c r="R11" s="20" t="n">
        <v>0</v>
      </c>
    </row>
    <row r="12" spans="1:18">
      <c r="A12" s="15" t="s">
        <v>570</v>
      </c>
      <c r="B12" s="17" t="n">
        <v>3422</v>
      </c>
      <c r="C12" s="18">
        <f>(3061.0/B12*100)</f>
        <v/>
      </c>
      <c r="D12" s="19" t="n">
        <v>361</v>
      </c>
      <c r="E12" s="18" t="n">
        <v>68.56703564999999</v>
      </c>
      <c r="F12" s="20" t="n">
        <v>2.76723428</v>
      </c>
      <c r="G12" s="18" t="n">
        <v>30.74201083</v>
      </c>
      <c r="H12" s="20" t="n">
        <v>2.65584582</v>
      </c>
      <c r="I12" s="18" t="n">
        <v>0</v>
      </c>
      <c r="J12" s="20" t="n">
        <v>0</v>
      </c>
      <c r="K12" s="18" t="n">
        <v>0.26952916</v>
      </c>
      <c r="L12" s="20" t="n">
        <v>0.26897451</v>
      </c>
      <c r="M12" s="18" t="n">
        <v>0</v>
      </c>
      <c r="N12" s="20" t="n">
        <v>0</v>
      </c>
      <c r="O12" s="18" t="n">
        <v>0</v>
      </c>
      <c r="P12" s="20" t="n">
        <v>0</v>
      </c>
      <c r="Q12" s="18" t="n">
        <v>0.42142436</v>
      </c>
      <c r="R12" s="20" t="n">
        <v>0.24671662</v>
      </c>
    </row>
    <row r="13" spans="1:18">
      <c r="A13" s="15" t="s">
        <v>571</v>
      </c>
      <c r="B13" s="17" t="n">
        <v>3602</v>
      </c>
      <c r="C13" s="18">
        <f>(3193.0/B13*100)</f>
        <v/>
      </c>
      <c r="D13" s="19" t="n">
        <v>409</v>
      </c>
      <c r="E13" s="18" t="n">
        <v>73.26168560000001</v>
      </c>
      <c r="F13" s="20" t="n">
        <v>2.47309671</v>
      </c>
      <c r="G13" s="18" t="n">
        <v>26.47561562</v>
      </c>
      <c r="H13" s="20" t="n">
        <v>2.47113911</v>
      </c>
      <c r="I13" s="18" t="n">
        <v>0</v>
      </c>
      <c r="J13" s="20" t="n">
        <v>0</v>
      </c>
      <c r="K13" s="18" t="n">
        <v>0</v>
      </c>
      <c r="L13" s="20" t="n">
        <v>0</v>
      </c>
      <c r="M13" s="18" t="n">
        <v>0</v>
      </c>
      <c r="N13" s="20" t="n">
        <v>0</v>
      </c>
      <c r="O13" s="18" t="n">
        <v>0</v>
      </c>
      <c r="P13" s="20" t="n">
        <v>0</v>
      </c>
      <c r="Q13" s="18" t="n">
        <v>0.26269878</v>
      </c>
      <c r="R13" s="20" t="n">
        <v>0.16652331</v>
      </c>
    </row>
    <row r="14" spans="1:18">
      <c r="A14" s="15" t="s">
        <v>572</v>
      </c>
      <c r="B14" s="17" t="n">
        <v>2788</v>
      </c>
      <c r="C14" s="18">
        <f>(2473.0/B14*100)</f>
        <v/>
      </c>
      <c r="D14" s="19" t="n">
        <v>315</v>
      </c>
      <c r="E14" s="18" t="n">
        <v>70.28977184</v>
      </c>
      <c r="F14" s="20" t="n">
        <v>2.68696348</v>
      </c>
      <c r="G14" s="18" t="n">
        <v>29.71022816</v>
      </c>
      <c r="H14" s="20" t="n">
        <v>2.68696348</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(2560.0/B15*100)</f>
        <v/>
      </c>
      <c r="D15" s="19" t="n">
        <v>303</v>
      </c>
      <c r="E15" s="18" t="n">
        <v>62.38292743</v>
      </c>
      <c r="F15" s="20" t="n">
        <v>2.84628436</v>
      </c>
      <c r="G15" s="18" t="n">
        <v>37.61707257</v>
      </c>
      <c r="H15" s="20" t="n">
        <v>2.84628436</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(2771.0/B16*100)</f>
        <v/>
      </c>
      <c r="D16" s="19" t="n">
        <v>340</v>
      </c>
      <c r="E16" s="18" t="n">
        <v>86.99290603999999</v>
      </c>
      <c r="F16" s="20" t="n">
        <v>1.70721601</v>
      </c>
      <c r="G16" s="18" t="n">
        <v>11.47796213</v>
      </c>
      <c r="H16" s="20" t="n">
        <v>1.65464357</v>
      </c>
      <c r="I16" s="18" t="n">
        <v>0</v>
      </c>
      <c r="J16" s="20" t="n">
        <v>0</v>
      </c>
      <c r="K16" s="18" t="n">
        <v>0.60839766</v>
      </c>
      <c r="L16" s="20" t="n">
        <v>0.45007559</v>
      </c>
      <c r="M16" s="18" t="n">
        <v>0</v>
      </c>
      <c r="N16" s="20" t="n">
        <v>0</v>
      </c>
      <c r="O16" s="18" t="n">
        <v>0</v>
      </c>
      <c r="P16" s="20" t="n">
        <v>0</v>
      </c>
      <c r="Q16" s="18" t="n">
        <v>0.92073416</v>
      </c>
      <c r="R16" s="20" t="n">
        <v>0.55318187</v>
      </c>
    </row>
    <row r="17" spans="1:18">
      <c r="A17" s="15" t="s">
        <v>575</v>
      </c>
      <c r="B17" s="17" t="n">
        <v>3197</v>
      </c>
      <c r="C17" s="18">
        <f>(2848.0/B17*100)</f>
        <v/>
      </c>
      <c r="D17" s="19" t="n">
        <v>349</v>
      </c>
      <c r="E17" s="18" t="n">
        <v>76.6754068</v>
      </c>
      <c r="F17" s="20" t="n">
        <v>2.62578135</v>
      </c>
      <c r="G17" s="18" t="n">
        <v>23.033048</v>
      </c>
      <c r="H17" s="20" t="n">
        <v>2.62980894</v>
      </c>
      <c r="I17" s="18" t="n">
        <v>0</v>
      </c>
      <c r="J17" s="20" t="n">
        <v>0</v>
      </c>
      <c r="K17" s="18" t="n">
        <v>0.2915452</v>
      </c>
      <c r="L17" s="20" t="n">
        <v>0.28704485</v>
      </c>
      <c r="M17" s="18" t="n">
        <v>0</v>
      </c>
      <c r="N17" s="20" t="n">
        <v>0</v>
      </c>
      <c r="O17" s="18" t="n">
        <v>0</v>
      </c>
      <c r="P17" s="20" t="n">
        <v>0</v>
      </c>
      <c r="Q17" s="18" t="n">
        <v>0</v>
      </c>
      <c r="R17" s="20" t="n">
        <v>0</v>
      </c>
    </row>
    <row r="18" spans="1:18">
      <c r="A18" s="15" t="s">
        <v>576</v>
      </c>
      <c r="B18" s="17" t="n">
        <v>2706</v>
      </c>
      <c r="C18" s="18">
        <f>(2419.0/B18*100)</f>
        <v/>
      </c>
      <c r="D18" s="19" t="n">
        <v>287</v>
      </c>
      <c r="E18" s="18" t="n">
        <v>79.91204526</v>
      </c>
      <c r="F18" s="20" t="n">
        <v>2.5001879</v>
      </c>
      <c r="G18" s="18" t="n">
        <v>18.10298055</v>
      </c>
      <c r="H18" s="20" t="n">
        <v>2.30721852</v>
      </c>
      <c r="I18" s="18" t="n">
        <v>0</v>
      </c>
      <c r="J18" s="20" t="n">
        <v>0</v>
      </c>
      <c r="K18" s="18" t="n">
        <v>0.28132776</v>
      </c>
      <c r="L18" s="20" t="n">
        <v>0.27368074</v>
      </c>
      <c r="M18" s="18" t="n">
        <v>0</v>
      </c>
      <c r="N18" s="20" t="n">
        <v>0</v>
      </c>
      <c r="O18" s="18" t="n">
        <v>0</v>
      </c>
      <c r="P18" s="20" t="n">
        <v>0</v>
      </c>
      <c r="Q18" s="18" t="n">
        <v>1.70364643</v>
      </c>
      <c r="R18" s="20" t="n">
        <v>0.84304603</v>
      </c>
    </row>
    <row r="19" spans="1:18">
      <c r="A19" s="15" t="s">
        <v>577</v>
      </c>
      <c r="B19" s="17" t="n">
        <v>2850</v>
      </c>
      <c r="C19" s="18">
        <f>(2542.0/B19*100)</f>
        <v/>
      </c>
      <c r="D19" s="19" t="n">
        <v>308</v>
      </c>
      <c r="E19" s="18" t="n">
        <v>88.14368044</v>
      </c>
      <c r="F19" s="20" t="n">
        <v>1.88989447</v>
      </c>
      <c r="G19" s="18" t="n">
        <v>11.85631956</v>
      </c>
      <c r="H19" s="20" t="n">
        <v>1.88989447</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(1522.0/B20*100)</f>
        <v/>
      </c>
      <c r="D20" s="19" t="n">
        <v>219</v>
      </c>
      <c r="E20" s="18" t="n">
        <v>80.82205518000001</v>
      </c>
      <c r="F20" s="20" t="n">
        <v>2.8148521</v>
      </c>
      <c r="G20" s="18" t="n">
        <v>17.30808606</v>
      </c>
      <c r="H20" s="20" t="n">
        <v>2.6958534</v>
      </c>
      <c r="I20" s="18" t="n">
        <v>0</v>
      </c>
      <c r="J20" s="20" t="n">
        <v>0</v>
      </c>
      <c r="K20" s="18" t="n">
        <v>0</v>
      </c>
      <c r="L20" s="20" t="n">
        <v>0</v>
      </c>
      <c r="M20" s="18" t="n">
        <v>0</v>
      </c>
      <c r="N20" s="20" t="n">
        <v>0</v>
      </c>
      <c r="O20" s="18" t="n">
        <v>0</v>
      </c>
      <c r="P20" s="20" t="n">
        <v>0</v>
      </c>
      <c r="Q20" s="18" t="n">
        <v>1.86985875</v>
      </c>
      <c r="R20" s="20" t="n">
        <v>0.93781187</v>
      </c>
    </row>
    <row r="21" spans="1:18">
      <c r="A21" s="15" t="s">
        <v>579</v>
      </c>
      <c r="B21" s="17" t="n">
        <v>2833</v>
      </c>
      <c r="C21" s="18">
        <f>(2528.0/B21*100)</f>
        <v/>
      </c>
      <c r="D21" s="19" t="n">
        <v>305</v>
      </c>
      <c r="E21" s="18" t="n">
        <v>65.85246702000001</v>
      </c>
      <c r="F21" s="20" t="n">
        <v>2.59567159</v>
      </c>
      <c r="G21" s="18" t="n">
        <v>34.14753298</v>
      </c>
      <c r="H21" s="20" t="n">
        <v>2.59567159</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(3241.0/B22*100)</f>
        <v/>
      </c>
      <c r="D22" s="19" t="n">
        <v>426</v>
      </c>
      <c r="E22" s="18" t="n">
        <v>76.86245447</v>
      </c>
      <c r="F22" s="20" t="n">
        <v>2.24862663</v>
      </c>
      <c r="G22" s="18" t="n">
        <v>21.66505411</v>
      </c>
      <c r="H22" s="20" t="n">
        <v>2.29817574</v>
      </c>
      <c r="I22" s="18" t="n">
        <v>0</v>
      </c>
      <c r="J22" s="20" t="n">
        <v>0</v>
      </c>
      <c r="K22" s="18" t="n">
        <v>0.22332245</v>
      </c>
      <c r="L22" s="20" t="n">
        <v>0.24763253</v>
      </c>
      <c r="M22" s="18" t="n">
        <v>0</v>
      </c>
      <c r="N22" s="20" t="n">
        <v>0</v>
      </c>
      <c r="O22" s="18" t="n">
        <v>0</v>
      </c>
      <c r="P22" s="20" t="n">
        <v>0</v>
      </c>
      <c r="Q22" s="18" t="n">
        <v>1.24916897</v>
      </c>
      <c r="R22" s="20" t="n">
        <v>0.5503957900000001</v>
      </c>
    </row>
    <row r="23" spans="1:18">
      <c r="A23" s="15" t="s">
        <v>581</v>
      </c>
      <c r="B23" s="17" t="n">
        <v>5792</v>
      </c>
      <c r="C23" s="18">
        <f>(5157.0/B23*100)</f>
        <v/>
      </c>
      <c r="D23" s="19" t="n">
        <v>635</v>
      </c>
      <c r="E23" s="18" t="n">
        <v>73.84653813</v>
      </c>
      <c r="F23" s="20" t="n">
        <v>2.90947976</v>
      </c>
      <c r="G23" s="18" t="n">
        <v>24.91184176</v>
      </c>
      <c r="H23" s="20" t="n">
        <v>2.91980578</v>
      </c>
      <c r="I23" s="18" t="n">
        <v>0</v>
      </c>
      <c r="J23" s="20" t="n">
        <v>0</v>
      </c>
      <c r="K23" s="18" t="n">
        <v>0.28869336</v>
      </c>
      <c r="L23" s="20" t="n">
        <v>0.27239901</v>
      </c>
      <c r="M23" s="18" t="n">
        <v>0</v>
      </c>
      <c r="N23" s="20" t="n">
        <v>0</v>
      </c>
      <c r="O23" s="18" t="n">
        <v>0</v>
      </c>
      <c r="P23" s="20" t="n">
        <v>0</v>
      </c>
      <c r="Q23" s="18" t="n">
        <v>0.95292675</v>
      </c>
      <c r="R23" s="20" t="n">
        <v>0.5285874</v>
      </c>
    </row>
    <row r="24" spans="1:18">
      <c r="A24" s="15" t="s">
        <v>582</v>
      </c>
      <c r="B24" s="17" t="n">
        <v>3309</v>
      </c>
      <c r="C24" s="18">
        <f>(2954.0/B24*100)</f>
        <v/>
      </c>
      <c r="D24" s="19" t="n">
        <v>355</v>
      </c>
      <c r="E24" s="18" t="n">
        <v>74.77866048</v>
      </c>
      <c r="F24" s="20" t="n">
        <v>2.34489903</v>
      </c>
      <c r="G24" s="18" t="n">
        <v>24.64589692</v>
      </c>
      <c r="H24" s="20" t="n">
        <v>2.35629632</v>
      </c>
      <c r="I24" s="18" t="n">
        <v>0</v>
      </c>
      <c r="J24" s="20" t="n">
        <v>0</v>
      </c>
      <c r="K24" s="18" t="n">
        <v>0</v>
      </c>
      <c r="L24" s="20" t="n">
        <v>0</v>
      </c>
      <c r="M24" s="18" t="n">
        <v>0</v>
      </c>
      <c r="N24" s="20" t="n">
        <v>0</v>
      </c>
      <c r="O24" s="18" t="n">
        <v>0</v>
      </c>
      <c r="P24" s="20" t="n">
        <v>0</v>
      </c>
      <c r="Q24" s="18" t="n">
        <v>0.57544259</v>
      </c>
      <c r="R24" s="20" t="n">
        <v>0.37405623</v>
      </c>
    </row>
    <row r="25" spans="1:18">
      <c r="A25" s="15" t="s">
        <v>583</v>
      </c>
      <c r="B25" s="17" t="n">
        <v>2669</v>
      </c>
      <c r="C25" s="18">
        <f>(2362.0/B25*100)</f>
        <v/>
      </c>
      <c r="D25" s="19" t="n">
        <v>307</v>
      </c>
      <c r="E25" s="18" t="n">
        <v>58.28455814</v>
      </c>
      <c r="F25" s="20" t="n">
        <v>3.37228834</v>
      </c>
      <c r="G25" s="18" t="n">
        <v>41.38932752</v>
      </c>
      <c r="H25" s="20" t="n">
        <v>3.35131781</v>
      </c>
      <c r="I25" s="18" t="n">
        <v>0</v>
      </c>
      <c r="J25" s="20" t="n">
        <v>0</v>
      </c>
      <c r="K25" s="18" t="n">
        <v>0</v>
      </c>
      <c r="L25" s="20" t="n">
        <v>0</v>
      </c>
      <c r="M25" s="18" t="n">
        <v>0</v>
      </c>
      <c r="N25" s="20" t="n">
        <v>0</v>
      </c>
      <c r="O25" s="18" t="n">
        <v>0</v>
      </c>
      <c r="P25" s="20" t="n">
        <v>0</v>
      </c>
      <c r="Q25" s="18" t="n">
        <v>0.32611434</v>
      </c>
      <c r="R25" s="20" t="n">
        <v>0.3295032</v>
      </c>
    </row>
    <row r="26" spans="1:18">
      <c r="A26" s="15" t="s">
        <v>584</v>
      </c>
      <c r="B26" s="17" t="n">
        <v>2419</v>
      </c>
      <c r="C26" s="18">
        <f>(2159.0/B26*100)</f>
        <v/>
      </c>
      <c r="D26" s="19" t="n">
        <v>260</v>
      </c>
      <c r="E26" s="18" t="n">
        <v>79.7576463</v>
      </c>
      <c r="F26" s="20" t="n">
        <v>2.74188576</v>
      </c>
      <c r="G26" s="18" t="n">
        <v>20.2423537</v>
      </c>
      <c r="H26" s="20" t="n">
        <v>2.74188576</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(2372.0/B27*100)</f>
        <v/>
      </c>
      <c r="D27" s="19" t="n">
        <v>311</v>
      </c>
      <c r="E27" s="18" t="n">
        <v>75.69757837</v>
      </c>
      <c r="F27" s="20" t="n">
        <v>2.49802255</v>
      </c>
      <c r="G27" s="18" t="n">
        <v>23.32797463</v>
      </c>
      <c r="H27" s="20" t="n">
        <v>2.45214833</v>
      </c>
      <c r="I27" s="18" t="n">
        <v>0</v>
      </c>
      <c r="J27" s="20" t="n">
        <v>0</v>
      </c>
      <c r="K27" s="18" t="n">
        <v>0</v>
      </c>
      <c r="L27" s="20" t="n">
        <v>0</v>
      </c>
      <c r="M27" s="18" t="n">
        <v>0</v>
      </c>
      <c r="N27" s="20" t="n">
        <v>0</v>
      </c>
      <c r="O27" s="18" t="n">
        <v>0</v>
      </c>
      <c r="P27" s="20" t="n">
        <v>0</v>
      </c>
      <c r="Q27" s="18" t="n">
        <v>0.974447</v>
      </c>
      <c r="R27" s="20" t="n">
        <v>0.51262439</v>
      </c>
    </row>
    <row r="28" spans="1:18">
      <c r="A28" s="15" t="s">
        <v>586</v>
      </c>
      <c r="B28" s="17" t="n">
        <v>3803</v>
      </c>
      <c r="C28" s="18">
        <f>(3413.0/B28*100)</f>
        <v/>
      </c>
      <c r="D28" s="19" t="n">
        <v>390</v>
      </c>
      <c r="E28" s="18" t="n">
        <v>95.51220788000001</v>
      </c>
      <c r="F28" s="20" t="n">
        <v>1.23097795</v>
      </c>
      <c r="G28" s="18" t="n">
        <v>3.04126653</v>
      </c>
      <c r="H28" s="20" t="n">
        <v>0.88749413</v>
      </c>
      <c r="I28" s="18" t="n">
        <v>0</v>
      </c>
      <c r="J28" s="20" t="n">
        <v>0</v>
      </c>
      <c r="K28" s="18" t="n">
        <v>0.46179113</v>
      </c>
      <c r="L28" s="20" t="n">
        <v>0.45217056</v>
      </c>
      <c r="M28" s="18" t="n">
        <v>0</v>
      </c>
      <c r="N28" s="20" t="n">
        <v>0</v>
      </c>
      <c r="O28" s="18" t="n">
        <v>0</v>
      </c>
      <c r="P28" s="20" t="n">
        <v>0</v>
      </c>
      <c r="Q28" s="18" t="n">
        <v>0.98473446</v>
      </c>
      <c r="R28" s="20" t="n">
        <v>0.6405202</v>
      </c>
    </row>
    <row r="29" spans="1:18">
      <c r="A29" s="15" t="s">
        <v>587</v>
      </c>
      <c r="B29" s="17" t="n">
        <v>2700</v>
      </c>
      <c r="C29" s="18">
        <f>(2408.0/B29*100)</f>
        <v/>
      </c>
      <c r="D29" s="19" t="n">
        <v>292</v>
      </c>
      <c r="E29" s="18" t="n">
        <v>67.89166904</v>
      </c>
      <c r="F29" s="20" t="n">
        <v>2.67256851</v>
      </c>
      <c r="G29" s="18" t="n">
        <v>30.78725646</v>
      </c>
      <c r="H29" s="20" t="n">
        <v>2.64451169</v>
      </c>
      <c r="I29" s="18" t="n">
        <v>0</v>
      </c>
      <c r="J29" s="20" t="n">
        <v>0</v>
      </c>
      <c r="K29" s="18" t="n">
        <v>0</v>
      </c>
      <c r="L29" s="20" t="n">
        <v>0</v>
      </c>
      <c r="M29" s="18" t="n">
        <v>0</v>
      </c>
      <c r="N29" s="20" t="n">
        <v>0</v>
      </c>
      <c r="O29" s="18" t="n">
        <v>0</v>
      </c>
      <c r="P29" s="20" t="n">
        <v>0</v>
      </c>
      <c r="Q29" s="18" t="n">
        <v>1.32107449</v>
      </c>
      <c r="R29" s="20" t="n">
        <v>0.6782950599999999</v>
      </c>
    </row>
    <row r="30" spans="1:18">
      <c r="A30" s="15" t="s">
        <v>588</v>
      </c>
      <c r="B30" s="17" t="n">
        <v>2257</v>
      </c>
      <c r="C30" s="18">
        <f>(2001.0/B30*100)</f>
        <v/>
      </c>
      <c r="D30" s="19" t="n">
        <v>256</v>
      </c>
      <c r="E30" s="18" t="n">
        <v>75.58581660999999</v>
      </c>
      <c r="F30" s="20" t="n">
        <v>2.7669354</v>
      </c>
      <c r="G30" s="18" t="n">
        <v>23.38971225</v>
      </c>
      <c r="H30" s="20" t="n">
        <v>2.81717093</v>
      </c>
      <c r="I30" s="18" t="n">
        <v>0</v>
      </c>
      <c r="J30" s="20" t="n">
        <v>0</v>
      </c>
      <c r="K30" s="18" t="n">
        <v>0</v>
      </c>
      <c r="L30" s="20" t="n">
        <v>0</v>
      </c>
      <c r="M30" s="18" t="n">
        <v>0</v>
      </c>
      <c r="N30" s="20" t="n">
        <v>0</v>
      </c>
      <c r="O30" s="18" t="n">
        <v>0</v>
      </c>
      <c r="P30" s="20" t="n">
        <v>0</v>
      </c>
      <c r="Q30" s="18" t="n">
        <v>1.02447114</v>
      </c>
      <c r="R30" s="20" t="n">
        <v>0.58208552</v>
      </c>
    </row>
    <row r="31" spans="1:18">
      <c r="A31" s="15" t="s">
        <v>589</v>
      </c>
      <c r="B31" s="17" t="n">
        <v>2706</v>
      </c>
      <c r="C31" s="18">
        <f>(2411.0/B31*100)</f>
        <v/>
      </c>
      <c r="D31" s="19" t="n">
        <v>295</v>
      </c>
      <c r="E31" s="18" t="n">
        <v>69.91575303</v>
      </c>
      <c r="F31" s="20" t="n">
        <v>2.74295246</v>
      </c>
      <c r="G31" s="18" t="n">
        <v>28.12728514</v>
      </c>
      <c r="H31" s="20" t="n">
        <v>2.68313257</v>
      </c>
      <c r="I31" s="18" t="n">
        <v>0</v>
      </c>
      <c r="J31" s="20" t="n">
        <v>0</v>
      </c>
      <c r="K31" s="18" t="n">
        <v>0.62570341</v>
      </c>
      <c r="L31" s="20" t="n">
        <v>0.42052528</v>
      </c>
      <c r="M31" s="18" t="n">
        <v>0</v>
      </c>
      <c r="N31" s="20" t="n">
        <v>0</v>
      </c>
      <c r="O31" s="18" t="n">
        <v>0</v>
      </c>
      <c r="P31" s="20" t="n">
        <v>0</v>
      </c>
      <c r="Q31" s="18" t="n">
        <v>1.33125842</v>
      </c>
      <c r="R31" s="20" t="n">
        <v>0.68204198</v>
      </c>
    </row>
    <row r="32" spans="1:18">
      <c r="A32" s="15" t="s">
        <v>590</v>
      </c>
      <c r="B32" s="17" t="n">
        <v>2209</v>
      </c>
      <c r="C32" s="18">
        <f>(1968.0/B32*100)</f>
        <v/>
      </c>
      <c r="D32" s="19" t="n">
        <v>241</v>
      </c>
      <c r="E32" s="18" t="n">
        <v>68.56502519999999</v>
      </c>
      <c r="F32" s="20" t="n">
        <v>2.91478053</v>
      </c>
      <c r="G32" s="18" t="n">
        <v>31.04721973</v>
      </c>
      <c r="H32" s="20" t="n">
        <v>2.9045512</v>
      </c>
      <c r="I32" s="18" t="n">
        <v>0</v>
      </c>
      <c r="J32" s="20" t="n">
        <v>0</v>
      </c>
      <c r="K32" s="18" t="n">
        <v>0</v>
      </c>
      <c r="L32" s="20" t="n">
        <v>0</v>
      </c>
      <c r="M32" s="18" t="n">
        <v>0</v>
      </c>
      <c r="N32" s="20" t="n">
        <v>0</v>
      </c>
      <c r="O32" s="18" t="n">
        <v>0</v>
      </c>
      <c r="P32" s="20" t="n">
        <v>0</v>
      </c>
      <c r="Q32" s="18" t="n">
        <v>0.38775507</v>
      </c>
      <c r="R32" s="20" t="n">
        <v>0.3880273</v>
      </c>
    </row>
    <row r="33" spans="1:18">
      <c r="A33" s="15" t="s">
        <v>591</v>
      </c>
      <c r="B33" s="17" t="n">
        <v>3651</v>
      </c>
      <c r="C33" s="18">
        <f>(3265.0/B33*100)</f>
        <v/>
      </c>
      <c r="D33" s="19" t="n">
        <v>386</v>
      </c>
      <c r="E33" s="18" t="n">
        <v>75.38486356</v>
      </c>
      <c r="F33" s="20" t="n">
        <v>2.46793384</v>
      </c>
      <c r="G33" s="18" t="n">
        <v>24.29835252</v>
      </c>
      <c r="H33" s="20" t="n">
        <v>2.44333355</v>
      </c>
      <c r="I33" s="18" t="n">
        <v>0</v>
      </c>
      <c r="J33" s="20" t="n">
        <v>0</v>
      </c>
      <c r="K33" s="18" t="n">
        <v>0</v>
      </c>
      <c r="L33" s="20" t="n">
        <v>0</v>
      </c>
      <c r="M33" s="18" t="n">
        <v>0</v>
      </c>
      <c r="N33" s="20" t="n">
        <v>0</v>
      </c>
      <c r="O33" s="18" t="n">
        <v>0</v>
      </c>
      <c r="P33" s="20" t="n">
        <v>0</v>
      </c>
      <c r="Q33" s="18" t="n">
        <v>0.31678392</v>
      </c>
      <c r="R33" s="20" t="n">
        <v>0.3259515</v>
      </c>
    </row>
    <row r="34" spans="1:18">
      <c r="A34" s="15" t="s">
        <v>592</v>
      </c>
      <c r="B34" s="17" t="n">
        <v>3035</v>
      </c>
      <c r="C34" s="18">
        <f>(2693.0/B34*100)</f>
        <v/>
      </c>
      <c r="D34" s="19" t="n">
        <v>342</v>
      </c>
      <c r="E34" s="18" t="n">
        <v>75.3484047</v>
      </c>
      <c r="F34" s="20" t="n">
        <v>3.05052855</v>
      </c>
      <c r="G34" s="18" t="n">
        <v>24.6515953</v>
      </c>
      <c r="H34" s="20" t="n">
        <v>3.05052855</v>
      </c>
      <c r="I34" s="18" t="n">
        <v>0</v>
      </c>
      <c r="J34" s="20" t="n">
        <v>0</v>
      </c>
      <c r="K34" s="18" t="n">
        <v>0</v>
      </c>
      <c r="L34" s="20" t="n">
        <v>0</v>
      </c>
      <c r="M34" s="18" t="n">
        <v>0</v>
      </c>
      <c r="N34" s="20" t="n">
        <v>0</v>
      </c>
      <c r="O34" s="18" t="n">
        <v>0</v>
      </c>
      <c r="P34" s="20" t="n">
        <v>0</v>
      </c>
      <c r="Q34" s="18" t="n">
        <v>0</v>
      </c>
      <c r="R34" s="20" t="n">
        <v>0</v>
      </c>
    </row>
    <row r="35" spans="1:18">
      <c r="A35" s="15" t="s">
        <v>593</v>
      </c>
      <c r="B35" s="17" t="n">
        <v>2901</v>
      </c>
      <c r="C35" s="18">
        <f>(2607.0/B35*100)</f>
        <v/>
      </c>
      <c r="D35" s="19" t="n">
        <v>294</v>
      </c>
      <c r="E35" s="18" t="n">
        <v>58.54387312</v>
      </c>
      <c r="F35" s="20" t="n">
        <v>3.53048608</v>
      </c>
      <c r="G35" s="18" t="n">
        <v>41.32716734</v>
      </c>
      <c r="H35" s="20" t="n">
        <v>3.5212282</v>
      </c>
      <c r="I35" s="18" t="n">
        <v>0</v>
      </c>
      <c r="J35" s="20" t="n">
        <v>0</v>
      </c>
      <c r="K35" s="18" t="n">
        <v>0</v>
      </c>
      <c r="L35" s="20" t="n">
        <v>0</v>
      </c>
      <c r="M35" s="18" t="n">
        <v>0</v>
      </c>
      <c r="N35" s="20" t="n">
        <v>0</v>
      </c>
      <c r="O35" s="18" t="n">
        <v>0</v>
      </c>
      <c r="P35" s="20" t="n">
        <v>0</v>
      </c>
      <c r="Q35" s="18" t="n">
        <v>0.12895954</v>
      </c>
      <c r="R35" s="20" t="n">
        <v>0.13137086</v>
      </c>
    </row>
    <row r="36" spans="1:18">
      <c r="A36" s="15" t="s">
        <v>594</v>
      </c>
      <c r="B36" s="17" t="n">
        <v>3404</v>
      </c>
      <c r="C36" s="18">
        <f>(3045.0/B36*100)</f>
        <v/>
      </c>
      <c r="D36" s="19" t="n">
        <v>359</v>
      </c>
      <c r="E36" s="18" t="n">
        <v>78.05509410000001</v>
      </c>
      <c r="F36" s="20" t="n">
        <v>2.36567786</v>
      </c>
      <c r="G36" s="18" t="n">
        <v>21.32438101</v>
      </c>
      <c r="H36" s="20" t="n">
        <v>2.27821586</v>
      </c>
      <c r="I36" s="18" t="n">
        <v>0</v>
      </c>
      <c r="J36" s="20" t="n">
        <v>0</v>
      </c>
      <c r="K36" s="18" t="n">
        <v>0</v>
      </c>
      <c r="L36" s="20" t="n">
        <v>0</v>
      </c>
      <c r="M36" s="18" t="n">
        <v>0</v>
      </c>
      <c r="N36" s="20" t="n">
        <v>0</v>
      </c>
      <c r="O36" s="18" t="n">
        <v>0</v>
      </c>
      <c r="P36" s="20" t="n">
        <v>0</v>
      </c>
      <c r="Q36" s="18" t="n">
        <v>0.6205248799999999</v>
      </c>
      <c r="R36" s="20" t="n">
        <v>0.42859813</v>
      </c>
    </row>
    <row r="37" spans="1:18">
      <c r="A37" s="15" t="s">
        <v>595</v>
      </c>
      <c r="B37" s="17" t="n">
        <v>2731</v>
      </c>
      <c r="C37" s="18">
        <f>(2425.0/B37*100)</f>
        <v/>
      </c>
      <c r="D37" s="19" t="n">
        <v>306</v>
      </c>
      <c r="E37" s="18" t="n">
        <v>65.17643408000001</v>
      </c>
      <c r="F37" s="20" t="n">
        <v>2.8758958</v>
      </c>
      <c r="G37" s="18" t="n">
        <v>33.56562654</v>
      </c>
      <c r="H37" s="20" t="n">
        <v>2.84687523</v>
      </c>
      <c r="I37" s="18" t="n">
        <v>0</v>
      </c>
      <c r="J37" s="20" t="n">
        <v>0</v>
      </c>
      <c r="K37" s="18" t="n">
        <v>0</v>
      </c>
      <c r="L37" s="20" t="n">
        <v>0</v>
      </c>
      <c r="M37" s="18" t="n">
        <v>0</v>
      </c>
      <c r="N37" s="20" t="n">
        <v>0</v>
      </c>
      <c r="O37" s="18" t="n">
        <v>0</v>
      </c>
      <c r="P37" s="20" t="n">
        <v>0</v>
      </c>
      <c r="Q37" s="18" t="n">
        <v>1.25793938</v>
      </c>
      <c r="R37" s="20" t="n">
        <v>0.77350906</v>
      </c>
    </row>
    <row r="38" spans="1:18">
      <c r="A38" s="15" t="s">
        <v>596</v>
      </c>
      <c r="B38" s="17" t="n">
        <v>2807</v>
      </c>
      <c r="C38" s="18">
        <f>(2489.0/B38*100)</f>
        <v/>
      </c>
      <c r="D38" s="19" t="n">
        <v>318</v>
      </c>
      <c r="E38" s="18" t="n">
        <v>71.57607477000001</v>
      </c>
      <c r="F38" s="20" t="n">
        <v>2.63734862</v>
      </c>
      <c r="G38" s="18" t="n">
        <v>27.5270857</v>
      </c>
      <c r="H38" s="20" t="n">
        <v>2.7236325</v>
      </c>
      <c r="I38" s="18" t="n">
        <v>0</v>
      </c>
      <c r="J38" s="20" t="n">
        <v>0</v>
      </c>
      <c r="K38" s="18" t="n">
        <v>0</v>
      </c>
      <c r="L38" s="20" t="n">
        <v>0</v>
      </c>
      <c r="M38" s="18" t="n">
        <v>0</v>
      </c>
      <c r="N38" s="20" t="n">
        <v>0</v>
      </c>
      <c r="O38" s="18" t="n">
        <v>0</v>
      </c>
      <c r="P38" s="20" t="n">
        <v>0</v>
      </c>
      <c r="Q38" s="18" t="n">
        <v>0.8968395300000001</v>
      </c>
      <c r="R38" s="20" t="n">
        <v>0.52984251</v>
      </c>
    </row>
    <row r="39" spans="1:18">
      <c r="A39" s="15" t="s">
        <v>597</v>
      </c>
      <c r="B39" s="17" t="n">
        <v>2938</v>
      </c>
      <c r="C39" s="18">
        <f>(2624.0/B39*100)</f>
        <v/>
      </c>
      <c r="D39" s="19" t="n">
        <v>314</v>
      </c>
      <c r="E39" s="18" t="n">
        <v>78.17492208</v>
      </c>
      <c r="F39" s="20" t="n">
        <v>2.51268938</v>
      </c>
      <c r="G39" s="18" t="n">
        <v>21.019866</v>
      </c>
      <c r="H39" s="20" t="n">
        <v>2.46594284</v>
      </c>
      <c r="I39" s="18" t="n">
        <v>0</v>
      </c>
      <c r="J39" s="20" t="n">
        <v>0</v>
      </c>
      <c r="K39" s="18" t="n">
        <v>0</v>
      </c>
      <c r="L39" s="20" t="n">
        <v>0</v>
      </c>
      <c r="M39" s="18" t="n">
        <v>0</v>
      </c>
      <c r="N39" s="20" t="n">
        <v>0</v>
      </c>
      <c r="O39" s="18" t="n">
        <v>0</v>
      </c>
      <c r="P39" s="20" t="n">
        <v>0</v>
      </c>
      <c r="Q39" s="18" t="n">
        <v>0.80521192</v>
      </c>
      <c r="R39" s="20" t="n">
        <v>0.49101903</v>
      </c>
    </row>
    <row r="40" spans="1:18">
      <c r="A40" s="15" t="s">
        <v>598</v>
      </c>
      <c r="B40" s="17" t="n">
        <v>6922</v>
      </c>
      <c r="C40" s="18">
        <f>(6146.0/B40*100)</f>
        <v/>
      </c>
      <c r="D40" s="19" t="n">
        <v>776</v>
      </c>
      <c r="E40" s="18" t="n">
        <v>61.99973704</v>
      </c>
      <c r="F40" s="20" t="n">
        <v>2.55722782</v>
      </c>
      <c r="G40" s="18" t="n">
        <v>36.72205425</v>
      </c>
      <c r="H40" s="20" t="n">
        <v>2.64837107</v>
      </c>
      <c r="I40" s="18" t="n">
        <v>0</v>
      </c>
      <c r="J40" s="20" t="n">
        <v>0</v>
      </c>
      <c r="K40" s="18" t="n">
        <v>0.41272611</v>
      </c>
      <c r="L40" s="20" t="n">
        <v>0.37529921</v>
      </c>
      <c r="M40" s="18" t="n">
        <v>0</v>
      </c>
      <c r="N40" s="20" t="n">
        <v>0</v>
      </c>
      <c r="O40" s="18" t="n">
        <v>0</v>
      </c>
      <c r="P40" s="20" t="n">
        <v>0</v>
      </c>
      <c r="Q40" s="18" t="n">
        <v>0.8654826</v>
      </c>
      <c r="R40" s="20" t="n">
        <v>0.51183176</v>
      </c>
    </row>
    <row r="41" spans="1:18">
      <c r="A41" s="15" t="s">
        <v>599</v>
      </c>
      <c r="B41" s="17" t="n">
        <v>2854</v>
      </c>
      <c r="C41" s="18">
        <f>(2549.0/B41*100)</f>
        <v/>
      </c>
      <c r="D41" s="19" t="n">
        <v>305</v>
      </c>
      <c r="E41" s="18" t="n">
        <v>82.83853248</v>
      </c>
      <c r="F41" s="20" t="n">
        <v>2.47600517</v>
      </c>
      <c r="G41" s="18" t="n">
        <v>16.91516301</v>
      </c>
      <c r="H41" s="20" t="n">
        <v>2.46459372</v>
      </c>
      <c r="I41" s="18" t="n">
        <v>0</v>
      </c>
      <c r="J41" s="20" t="n">
        <v>0</v>
      </c>
      <c r="K41" s="18" t="n">
        <v>0</v>
      </c>
      <c r="L41" s="20" t="n">
        <v>0</v>
      </c>
      <c r="M41" s="18" t="n">
        <v>0</v>
      </c>
      <c r="N41" s="20" t="n">
        <v>0</v>
      </c>
      <c r="O41" s="18" t="n">
        <v>0</v>
      </c>
      <c r="P41" s="20" t="n">
        <v>0</v>
      </c>
      <c r="Q41" s="18" t="n">
        <v>0.24630451</v>
      </c>
      <c r="R41" s="20" t="n">
        <v>0.24349302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(10951.0/B46*100)</f>
        <v/>
      </c>
      <c r="D46" s="19" t="n">
        <v>1122</v>
      </c>
      <c r="E46" s="18" t="n">
        <v>88.88658943</v>
      </c>
      <c r="F46" s="20" t="n">
        <v>1.13211773</v>
      </c>
      <c r="G46" s="18" t="n">
        <v>9.51558372</v>
      </c>
      <c r="H46" s="20" t="n">
        <v>1.14346375</v>
      </c>
      <c r="I46" s="18" t="n">
        <v>0</v>
      </c>
      <c r="J46" s="20" t="n">
        <v>0</v>
      </c>
      <c r="K46" s="18" t="n">
        <v>0.27105539</v>
      </c>
      <c r="L46" s="20" t="n">
        <v>0.1732803</v>
      </c>
      <c r="M46" s="18" t="n">
        <v>0</v>
      </c>
      <c r="N46" s="20" t="n">
        <v>0</v>
      </c>
      <c r="O46" s="18" t="n">
        <v>0</v>
      </c>
      <c r="P46" s="20" t="n">
        <v>0</v>
      </c>
      <c r="Q46" s="18" t="n">
        <v>1.32677146</v>
      </c>
      <c r="R46" s="20" t="n">
        <v>0.39542959</v>
      </c>
    </row>
    <row r="47" spans="1:18">
      <c r="A47" s="15" t="s">
        <v>606</v>
      </c>
      <c r="B47" s="17" t="n">
        <v>2823</v>
      </c>
      <c r="C47" s="18">
        <f>(2500.0/B47*100)</f>
        <v/>
      </c>
      <c r="D47" s="19" t="n">
        <v>323</v>
      </c>
      <c r="E47" s="18" t="n">
        <v>75.7108516</v>
      </c>
      <c r="F47" s="20" t="n">
        <v>2.46228437</v>
      </c>
      <c r="G47" s="18" t="n">
        <v>23.05606773</v>
      </c>
      <c r="H47" s="20" t="n">
        <v>2.44676797</v>
      </c>
      <c r="I47" s="18" t="n">
        <v>0</v>
      </c>
      <c r="J47" s="20" t="n">
        <v>0</v>
      </c>
      <c r="K47" s="18" t="n">
        <v>0</v>
      </c>
      <c r="L47" s="20" t="n">
        <v>0</v>
      </c>
      <c r="M47" s="18" t="n">
        <v>0</v>
      </c>
      <c r="N47" s="20" t="n">
        <v>0</v>
      </c>
      <c r="O47" s="18" t="n">
        <v>0</v>
      </c>
      <c r="P47" s="20" t="n">
        <v>0</v>
      </c>
      <c r="Q47" s="18" t="n">
        <v>1.23308068</v>
      </c>
      <c r="R47" s="20" t="n">
        <v>0.58864023</v>
      </c>
    </row>
    <row r="48" spans="1:18">
      <c r="A48" s="15" t="s">
        <v>607</v>
      </c>
      <c r="B48" s="17" t="n">
        <v>4682</v>
      </c>
      <c r="C48" s="18">
        <f>(4168.0/B48*100)</f>
        <v/>
      </c>
      <c r="D48" s="19" t="n">
        <v>514</v>
      </c>
      <c r="E48" s="18" t="n">
        <v>82.97143708</v>
      </c>
      <c r="F48" s="20" t="n">
        <v>2.67961555</v>
      </c>
      <c r="G48" s="18" t="n">
        <v>15.63022622</v>
      </c>
      <c r="H48" s="20" t="n">
        <v>2.84295587</v>
      </c>
      <c r="I48" s="18" t="n">
        <v>0</v>
      </c>
      <c r="J48" s="20" t="n">
        <v>0</v>
      </c>
      <c r="K48" s="18" t="n">
        <v>0.472321</v>
      </c>
      <c r="L48" s="20" t="n">
        <v>0.47482287</v>
      </c>
      <c r="M48" s="18" t="n">
        <v>0</v>
      </c>
      <c r="N48" s="20" t="n">
        <v>0</v>
      </c>
      <c r="O48" s="18" t="n">
        <v>0</v>
      </c>
      <c r="P48" s="20" t="n">
        <v>0</v>
      </c>
      <c r="Q48" s="18" t="n">
        <v>0.9260157</v>
      </c>
      <c r="R48" s="20" t="n">
        <v>0.54093889</v>
      </c>
    </row>
    <row r="49" spans="1:18">
      <c r="A49" s="15" t="s">
        <v>608</v>
      </c>
      <c r="B49" s="17" t="n">
        <v>6158</v>
      </c>
      <c r="C49" s="18">
        <f>(5492.0/B49*100)</f>
        <v/>
      </c>
      <c r="D49" s="19" t="n">
        <v>666</v>
      </c>
      <c r="E49" s="18" t="n">
        <v>93.57016111</v>
      </c>
      <c r="F49" s="20" t="n">
        <v>1.21800615</v>
      </c>
      <c r="G49" s="18" t="n">
        <v>5.70315284</v>
      </c>
      <c r="H49" s="20" t="n">
        <v>1.1323947</v>
      </c>
      <c r="I49" s="18" t="n">
        <v>0</v>
      </c>
      <c r="J49" s="20" t="n">
        <v>0</v>
      </c>
      <c r="K49" s="18" t="n">
        <v>0.11526134</v>
      </c>
      <c r="L49" s="20" t="n">
        <v>0.09095206</v>
      </c>
      <c r="M49" s="18" t="n">
        <v>0</v>
      </c>
      <c r="N49" s="20" t="n">
        <v>0</v>
      </c>
      <c r="O49" s="18" t="n">
        <v>0</v>
      </c>
      <c r="P49" s="20" t="n">
        <v>0</v>
      </c>
      <c r="Q49" s="18" t="n">
        <v>0.61142471</v>
      </c>
      <c r="R49" s="20" t="n">
        <v>0.34279952</v>
      </c>
    </row>
    <row r="50" spans="1:18">
      <c r="A50" s="15" t="s">
        <v>609</v>
      </c>
      <c r="B50" s="17" t="n">
        <v>3494</v>
      </c>
      <c r="C50" s="18">
        <f>(3151.0/B50*100)</f>
        <v/>
      </c>
      <c r="D50" s="19" t="n">
        <v>343</v>
      </c>
      <c r="E50" s="18" t="n">
        <v>90.4198561</v>
      </c>
      <c r="F50" s="20" t="n">
        <v>1.83148041</v>
      </c>
      <c r="G50" s="18" t="n">
        <v>9.111420280000001</v>
      </c>
      <c r="H50" s="20" t="n">
        <v>1.80593954</v>
      </c>
      <c r="I50" s="18" t="n">
        <v>0</v>
      </c>
      <c r="J50" s="20" t="n">
        <v>0</v>
      </c>
      <c r="K50" s="18" t="n">
        <v>0</v>
      </c>
      <c r="L50" s="20" t="n">
        <v>0</v>
      </c>
      <c r="M50" s="18" t="n">
        <v>0</v>
      </c>
      <c r="N50" s="20" t="n">
        <v>0</v>
      </c>
      <c r="O50" s="18" t="n">
        <v>0</v>
      </c>
      <c r="P50" s="20" t="n">
        <v>0</v>
      </c>
      <c r="Q50" s="18" t="n">
        <v>0.46872362</v>
      </c>
      <c r="R50" s="20" t="n">
        <v>0.35794673</v>
      </c>
    </row>
    <row r="51" spans="1:18">
      <c r="A51" s="15" t="s">
        <v>610</v>
      </c>
      <c r="B51" s="17" t="n">
        <v>3013</v>
      </c>
      <c r="C51" s="18">
        <f>(2650.0/B51*100)</f>
        <v/>
      </c>
      <c r="D51" s="19" t="n">
        <v>363</v>
      </c>
      <c r="E51" s="18" t="n">
        <v>74.62296947</v>
      </c>
      <c r="F51" s="20" t="n">
        <v>1.93406438</v>
      </c>
      <c r="G51" s="18" t="n">
        <v>25.37703053</v>
      </c>
      <c r="H51" s="20" t="n">
        <v>1.93406438</v>
      </c>
      <c r="I51" s="18" t="n">
        <v>0</v>
      </c>
      <c r="J51" s="20" t="n">
        <v>0</v>
      </c>
      <c r="K51" s="18" t="n">
        <v>0</v>
      </c>
      <c r="L51" s="20" t="n">
        <v>0</v>
      </c>
      <c r="M51" s="18" t="n">
        <v>0</v>
      </c>
      <c r="N51" s="20" t="n">
        <v>0</v>
      </c>
      <c r="O51" s="18" t="n">
        <v>0</v>
      </c>
      <c r="P51" s="20" t="n">
        <v>0</v>
      </c>
      <c r="Q51" s="18" t="n">
        <v>0</v>
      </c>
      <c r="R51" s="20" t="n">
        <v>0</v>
      </c>
    </row>
    <row r="52" spans="1:18">
      <c r="A52" s="15" t="s">
        <v>611</v>
      </c>
      <c r="B52" s="17" t="n">
        <v>2760</v>
      </c>
      <c r="C52" s="18">
        <f>(2461.0/B52*100)</f>
        <v/>
      </c>
      <c r="D52" s="19" t="n">
        <v>299</v>
      </c>
      <c r="E52" s="18" t="n">
        <v>78.00389149</v>
      </c>
      <c r="F52" s="20" t="n">
        <v>2.45928591</v>
      </c>
      <c r="G52" s="18" t="n">
        <v>19.72568429</v>
      </c>
      <c r="H52" s="20" t="n">
        <v>2.50826952</v>
      </c>
      <c r="I52" s="18" t="n">
        <v>0</v>
      </c>
      <c r="J52" s="20" t="n">
        <v>0</v>
      </c>
      <c r="K52" s="18" t="n">
        <v>0</v>
      </c>
      <c r="L52" s="20" t="n">
        <v>0</v>
      </c>
      <c r="M52" s="18" t="n">
        <v>0</v>
      </c>
      <c r="N52" s="20" t="n">
        <v>0</v>
      </c>
      <c r="O52" s="18" t="n">
        <v>0</v>
      </c>
      <c r="P52" s="20" t="n">
        <v>0</v>
      </c>
      <c r="Q52" s="18" t="n">
        <v>2.27042422</v>
      </c>
      <c r="R52" s="20" t="n">
        <v>0.87662443</v>
      </c>
    </row>
    <row r="53" spans="1:18">
      <c r="A53" s="15" t="s">
        <v>612</v>
      </c>
      <c r="B53" s="17" t="n">
        <v>2474</v>
      </c>
      <c r="C53" s="18">
        <f>(2230.0/B53*100)</f>
        <v/>
      </c>
      <c r="D53" s="19" t="n">
        <v>244</v>
      </c>
      <c r="E53" s="18" t="n">
        <v>85.03317948</v>
      </c>
      <c r="F53" s="20" t="n">
        <v>2.31423603</v>
      </c>
      <c r="G53" s="18" t="n">
        <v>1.82568944</v>
      </c>
      <c r="H53" s="20" t="n">
        <v>0.91554594</v>
      </c>
      <c r="I53" s="18" t="n">
        <v>0</v>
      </c>
      <c r="J53" s="20" t="n">
        <v>0</v>
      </c>
      <c r="K53" s="18" t="n">
        <v>10.72855785</v>
      </c>
      <c r="L53" s="20" t="n">
        <v>2.11752924</v>
      </c>
      <c r="M53" s="18" t="n">
        <v>0</v>
      </c>
      <c r="N53" s="20" t="n">
        <v>0</v>
      </c>
      <c r="O53" s="18" t="n">
        <v>0</v>
      </c>
      <c r="P53" s="20" t="n">
        <v>0</v>
      </c>
      <c r="Q53" s="18" t="n">
        <v>2.41257323</v>
      </c>
      <c r="R53" s="20" t="n">
        <v>1.15713287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(2373.0/B55*100)</f>
        <v/>
      </c>
      <c r="D55" s="19" t="n">
        <v>302</v>
      </c>
      <c r="E55" s="18" t="n">
        <v>57.41060457</v>
      </c>
      <c r="F55" s="20" t="n">
        <v>3.64026158</v>
      </c>
      <c r="G55" s="18" t="n">
        <v>42.29427234</v>
      </c>
      <c r="H55" s="20" t="n">
        <v>3.6299349</v>
      </c>
      <c r="I55" s="18" t="n">
        <v>0</v>
      </c>
      <c r="J55" s="20" t="n">
        <v>0</v>
      </c>
      <c r="K55" s="18" t="n">
        <v>0.29512309</v>
      </c>
      <c r="L55" s="20" t="n">
        <v>0.3038083</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(2830.0/B61*100)</f>
        <v/>
      </c>
      <c r="D61" s="19" t="n">
        <v>371</v>
      </c>
      <c r="E61" s="18" t="n">
        <v>71.9510472</v>
      </c>
      <c r="F61" s="20" t="n">
        <v>2.27205527</v>
      </c>
      <c r="G61" s="18" t="n">
        <v>27.97440795</v>
      </c>
      <c r="H61" s="20" t="n">
        <v>2.27243777</v>
      </c>
      <c r="I61" s="18" t="n">
        <v>0</v>
      </c>
      <c r="J61" s="20" t="n">
        <v>0</v>
      </c>
      <c r="K61" s="18" t="n">
        <v>0</v>
      </c>
      <c r="L61" s="20" t="n">
        <v>0</v>
      </c>
      <c r="M61" s="18" t="n">
        <v>0</v>
      </c>
      <c r="N61" s="20" t="n">
        <v>0</v>
      </c>
      <c r="O61" s="18" t="n">
        <v>0</v>
      </c>
      <c r="P61" s="20" t="n">
        <v>0</v>
      </c>
      <c r="Q61" s="18" t="n">
        <v>0.07454485</v>
      </c>
      <c r="R61" s="20" t="n">
        <v>0.07459119</v>
      </c>
    </row>
    <row r="62" spans="1:18">
      <c r="A62" s="15" t="s">
        <v>622</v>
      </c>
      <c r="B62" s="17" t="n">
        <v>2230</v>
      </c>
      <c r="C62" s="18">
        <f>(1985.0/B62*100)</f>
        <v/>
      </c>
      <c r="D62" s="19" t="n">
        <v>245</v>
      </c>
      <c r="E62" s="18" t="n">
        <v>78.40592701</v>
      </c>
      <c r="F62" s="20" t="n">
        <v>2.17966917</v>
      </c>
      <c r="G62" s="18" t="n">
        <v>21.59407299</v>
      </c>
      <c r="H62" s="20" t="n">
        <v>2.17966917</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(2446.0/B67*100)</f>
        <v/>
      </c>
      <c r="D67" s="19" t="n">
        <v>325</v>
      </c>
      <c r="E67" s="18" t="n">
        <v>83.0177513</v>
      </c>
      <c r="F67" s="20" t="n">
        <v>2.30291454</v>
      </c>
      <c r="G67" s="18" t="n">
        <v>16.06055391</v>
      </c>
      <c r="H67" s="20" t="n">
        <v>2.2304588</v>
      </c>
      <c r="I67" s="18" t="n">
        <v>0</v>
      </c>
      <c r="J67" s="20" t="n">
        <v>0</v>
      </c>
      <c r="K67" s="18" t="n">
        <v>0</v>
      </c>
      <c r="L67" s="20" t="n">
        <v>0</v>
      </c>
      <c r="M67" s="18" t="n">
        <v>0</v>
      </c>
      <c r="N67" s="20" t="n">
        <v>0</v>
      </c>
      <c r="O67" s="18" t="n">
        <v>0</v>
      </c>
      <c r="P67" s="20" t="n">
        <v>0</v>
      </c>
      <c r="Q67" s="18" t="n">
        <v>0.92169479</v>
      </c>
      <c r="R67" s="20" t="n">
        <v>0.53990264</v>
      </c>
    </row>
    <row r="68" spans="1:18">
      <c r="A68" s="15" t="s">
        <v>628</v>
      </c>
      <c r="B68" s="17" t="n">
        <v>3460</v>
      </c>
      <c r="C68" s="18">
        <f>(3101.0/B68*100)</f>
        <v/>
      </c>
      <c r="D68" s="19" t="n">
        <v>359</v>
      </c>
      <c r="E68" s="18" t="n">
        <v>91.22359839000001</v>
      </c>
      <c r="F68" s="20" t="n">
        <v>1.35194269</v>
      </c>
      <c r="G68" s="18" t="n">
        <v>7.61211921</v>
      </c>
      <c r="H68" s="20" t="n">
        <v>1.254903</v>
      </c>
      <c r="I68" s="18" t="n">
        <v>0</v>
      </c>
      <c r="J68" s="20" t="n">
        <v>0</v>
      </c>
      <c r="K68" s="18" t="n">
        <v>0.22214715</v>
      </c>
      <c r="L68" s="20" t="n">
        <v>0.22858198</v>
      </c>
      <c r="M68" s="18" t="n">
        <v>0</v>
      </c>
      <c r="N68" s="20" t="n">
        <v>0</v>
      </c>
      <c r="O68" s="18" t="n">
        <v>0</v>
      </c>
      <c r="P68" s="20" t="n">
        <v>0</v>
      </c>
      <c r="Q68" s="18" t="n">
        <v>0.94213525</v>
      </c>
      <c r="R68" s="20" t="n">
        <v>0.54720971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(5401.0/B70*100)</f>
        <v/>
      </c>
      <c r="D70" s="19" t="n">
        <v>633</v>
      </c>
      <c r="E70" s="18" t="n">
        <v>76.65722837</v>
      </c>
      <c r="F70" s="20" t="n">
        <v>1.65730549</v>
      </c>
      <c r="G70" s="18" t="n">
        <v>20.47734549</v>
      </c>
      <c r="H70" s="20" t="n">
        <v>1.62829134</v>
      </c>
      <c r="I70" s="18" t="n">
        <v>0</v>
      </c>
      <c r="J70" s="20" t="n">
        <v>0</v>
      </c>
      <c r="K70" s="18" t="n">
        <v>1.40522149</v>
      </c>
      <c r="L70" s="20" t="n">
        <v>0.48433608</v>
      </c>
      <c r="M70" s="18" t="n">
        <v>0</v>
      </c>
      <c r="N70" s="20" t="n">
        <v>0</v>
      </c>
      <c r="O70" s="18" t="n">
        <v>0</v>
      </c>
      <c r="P70" s="20" t="n">
        <v>0</v>
      </c>
      <c r="Q70" s="18" t="n">
        <v>1.46020465</v>
      </c>
      <c r="R70" s="20" t="n">
        <v>0.49860112</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(2727.0/B72*100)</f>
        <v/>
      </c>
      <c r="D72" s="19" t="n">
        <v>380</v>
      </c>
      <c r="E72" s="18" t="n">
        <v>76.10103891</v>
      </c>
      <c r="F72" s="20" t="n">
        <v>2.84186891</v>
      </c>
      <c r="G72" s="18" t="n">
        <v>23.39251304</v>
      </c>
      <c r="H72" s="20" t="n">
        <v>2.81198712</v>
      </c>
      <c r="I72" s="18" t="n">
        <v>0</v>
      </c>
      <c r="J72" s="20" t="n">
        <v>0</v>
      </c>
      <c r="K72" s="18" t="n">
        <v>0</v>
      </c>
      <c r="L72" s="20" t="n">
        <v>0</v>
      </c>
      <c r="M72" s="18" t="n">
        <v>0</v>
      </c>
      <c r="N72" s="20" t="n">
        <v>0</v>
      </c>
      <c r="O72" s="18" t="n">
        <v>0</v>
      </c>
      <c r="P72" s="20" t="n">
        <v>0</v>
      </c>
      <c r="Q72" s="18" t="n">
        <v>0.50644805</v>
      </c>
      <c r="R72" s="20" t="n">
        <v>0.30771648</v>
      </c>
    </row>
    <row r="73" spans="1:18">
      <c r="A73" s="15" t="s">
        <v>633</v>
      </c>
      <c r="B73" s="17" t="n">
        <v>2973</v>
      </c>
      <c r="C73" s="18">
        <f>(2655.0/B73*100)</f>
        <v/>
      </c>
      <c r="D73" s="19" t="n">
        <v>318</v>
      </c>
      <c r="E73" s="18" t="n">
        <v>63.07684279</v>
      </c>
      <c r="F73" s="20" t="n">
        <v>2.69454251</v>
      </c>
      <c r="G73" s="18" t="n">
        <v>35.6956661</v>
      </c>
      <c r="H73" s="20" t="n">
        <v>2.70181434</v>
      </c>
      <c r="I73" s="18" t="n">
        <v>0</v>
      </c>
      <c r="J73" s="20" t="n">
        <v>0</v>
      </c>
      <c r="K73" s="18" t="n">
        <v>0.64965821</v>
      </c>
      <c r="L73" s="20" t="n">
        <v>0.46437156</v>
      </c>
      <c r="M73" s="18" t="n">
        <v>0</v>
      </c>
      <c r="N73" s="20" t="n">
        <v>0</v>
      </c>
      <c r="O73" s="18" t="n">
        <v>0</v>
      </c>
      <c r="P73" s="20" t="n">
        <v>0</v>
      </c>
      <c r="Q73" s="18" t="n">
        <v>0.57783289</v>
      </c>
      <c r="R73" s="20" t="n">
        <v>0.40524527</v>
      </c>
    </row>
    <row r="74" spans="1:18">
      <c r="A74" s="15" t="s">
        <v>634</v>
      </c>
      <c r="B74" s="17" t="n">
        <v>3819</v>
      </c>
      <c r="C74" s="18">
        <f>(3405.0/B74*100)</f>
        <v/>
      </c>
      <c r="D74" s="19" t="n">
        <v>414</v>
      </c>
      <c r="E74" s="18" t="n">
        <v>68.22873091</v>
      </c>
      <c r="F74" s="20" t="n">
        <v>2.59495914</v>
      </c>
      <c r="G74" s="18" t="n">
        <v>31.22652749</v>
      </c>
      <c r="H74" s="20" t="n">
        <v>2.61106146</v>
      </c>
      <c r="I74" s="18" t="n">
        <v>0</v>
      </c>
      <c r="J74" s="20" t="n">
        <v>0</v>
      </c>
      <c r="K74" s="18" t="n">
        <v>0</v>
      </c>
      <c r="L74" s="20" t="n">
        <v>0</v>
      </c>
      <c r="M74" s="18" t="n">
        <v>0</v>
      </c>
      <c r="N74" s="20" t="n">
        <v>0</v>
      </c>
      <c r="O74" s="18" t="n">
        <v>0</v>
      </c>
      <c r="P74" s="20" t="n">
        <v>0</v>
      </c>
      <c r="Q74" s="18" t="n">
        <v>0.5447416</v>
      </c>
      <c r="R74" s="20" t="n">
        <v>0.3449586</v>
      </c>
    </row>
    <row r="75" spans="1:18">
      <c r="A75" s="15" t="s">
        <v>635</v>
      </c>
      <c r="B75" s="17" t="n">
        <v>4652</v>
      </c>
      <c r="C75" s="18">
        <f>(4130.0/B75*100)</f>
        <v/>
      </c>
      <c r="D75" s="19" t="n">
        <v>522</v>
      </c>
      <c r="E75" s="18" t="n">
        <v>83.53448185000001</v>
      </c>
      <c r="F75" s="20" t="n">
        <v>1.99919921</v>
      </c>
      <c r="G75" s="18" t="n">
        <v>15.85122011</v>
      </c>
      <c r="H75" s="20" t="n">
        <v>1.96184902</v>
      </c>
      <c r="I75" s="18" t="n">
        <v>0</v>
      </c>
      <c r="J75" s="20" t="n">
        <v>0</v>
      </c>
      <c r="K75" s="18" t="n">
        <v>0</v>
      </c>
      <c r="L75" s="20" t="n">
        <v>0</v>
      </c>
      <c r="M75" s="18" t="n">
        <v>0</v>
      </c>
      <c r="N75" s="20" t="n">
        <v>0</v>
      </c>
      <c r="O75" s="18" t="n">
        <v>0</v>
      </c>
      <c r="P75" s="20" t="n">
        <v>0</v>
      </c>
      <c r="Q75" s="18" t="n">
        <v>0.61429805</v>
      </c>
      <c r="R75" s="20" t="n">
        <v>0.39608344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(2670.0/B77*100)</f>
        <v/>
      </c>
      <c r="D77" s="19" t="n">
        <v>299</v>
      </c>
      <c r="E77" s="18" t="n">
        <v>79.09449748999999</v>
      </c>
      <c r="F77" s="20" t="n">
        <v>2.80020753</v>
      </c>
      <c r="G77" s="18" t="n">
        <v>16.9953411</v>
      </c>
      <c r="H77" s="20" t="n">
        <v>2.44579995</v>
      </c>
      <c r="I77" s="18" t="n">
        <v>0</v>
      </c>
      <c r="J77" s="20" t="n">
        <v>0</v>
      </c>
      <c r="K77" s="18" t="n">
        <v>2.69897672</v>
      </c>
      <c r="L77" s="20" t="n">
        <v>0.91826543</v>
      </c>
      <c r="M77" s="18" t="n">
        <v>0</v>
      </c>
      <c r="N77" s="20" t="n">
        <v>0</v>
      </c>
      <c r="O77" s="18" t="n">
        <v>0</v>
      </c>
      <c r="P77" s="20" t="n">
        <v>0</v>
      </c>
      <c r="Q77" s="18" t="n">
        <v>1.2111847</v>
      </c>
      <c r="R77" s="20" t="n">
        <v>0.63379098</v>
      </c>
    </row>
    <row r="78" spans="1:18">
      <c r="A78" s="15" t="s">
        <v>638</v>
      </c>
      <c r="B78" s="17" t="n">
        <v>7115</v>
      </c>
      <c r="C78" s="18">
        <f>(6319.0/B78*100)</f>
        <v/>
      </c>
      <c r="D78" s="19" t="n">
        <v>796</v>
      </c>
      <c r="E78" s="18" t="n">
        <v>84.50421385999999</v>
      </c>
      <c r="F78" s="20" t="n">
        <v>2.07982151</v>
      </c>
      <c r="G78" s="18" t="n">
        <v>14.69563326</v>
      </c>
      <c r="H78" s="20" t="n">
        <v>2.07037908</v>
      </c>
      <c r="I78" s="18" t="n">
        <v>0</v>
      </c>
      <c r="J78" s="20" t="n">
        <v>0</v>
      </c>
      <c r="K78" s="18" t="n">
        <v>0.2809884</v>
      </c>
      <c r="L78" s="20" t="n">
        <v>0.18413461</v>
      </c>
      <c r="M78" s="18" t="n">
        <v>0</v>
      </c>
      <c r="N78" s="20" t="n">
        <v>0</v>
      </c>
      <c r="O78" s="18" t="n">
        <v>0</v>
      </c>
      <c r="P78" s="20" t="n">
        <v>0</v>
      </c>
      <c r="Q78" s="18" t="n">
        <v>0.51916448</v>
      </c>
      <c r="R78" s="20" t="n">
        <v>0.3017948</v>
      </c>
    </row>
    <row r="79" spans="1:18">
      <c r="A79" s="15" t="s">
        <v>639</v>
      </c>
      <c r="B79" s="17" t="n">
        <v>3154</v>
      </c>
      <c r="C79" s="18">
        <f>(2847.0/B79*100)</f>
        <v/>
      </c>
      <c r="D79" s="19" t="n">
        <v>307</v>
      </c>
      <c r="E79" s="18" t="n">
        <v>88.4098386</v>
      </c>
      <c r="F79" s="20" t="n">
        <v>1.88330815</v>
      </c>
      <c r="G79" s="18" t="n">
        <v>9.65109511</v>
      </c>
      <c r="H79" s="20" t="n">
        <v>1.91879961</v>
      </c>
      <c r="I79" s="18" t="n">
        <v>0</v>
      </c>
      <c r="J79" s="20" t="n">
        <v>0</v>
      </c>
      <c r="K79" s="18" t="n">
        <v>0.92553124</v>
      </c>
      <c r="L79" s="20" t="n">
        <v>0.58521668</v>
      </c>
      <c r="M79" s="18" t="n">
        <v>0</v>
      </c>
      <c r="N79" s="20" t="n">
        <v>0</v>
      </c>
      <c r="O79" s="18" t="n">
        <v>0</v>
      </c>
      <c r="P79" s="20" t="n">
        <v>0</v>
      </c>
      <c r="Q79" s="18" t="n">
        <v>1.01353505</v>
      </c>
      <c r="R79" s="20" t="n">
        <v>0.71526723</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(14229.0/B82*100)</f>
        <v/>
      </c>
      <c r="D82" s="19" t="n">
        <v>1732</v>
      </c>
      <c r="E82" s="18" t="n">
        <v>78.29019464</v>
      </c>
      <c r="F82" s="20" t="n">
        <v>1.26028451</v>
      </c>
      <c r="G82" s="18" t="n">
        <v>21.01262039</v>
      </c>
      <c r="H82" s="20" t="n">
        <v>1.27125811</v>
      </c>
      <c r="I82" s="18" t="n">
        <v>0</v>
      </c>
      <c r="J82" s="20" t="n">
        <v>0</v>
      </c>
      <c r="K82" s="18" t="n">
        <v>0.04052562</v>
      </c>
      <c r="L82" s="20" t="n">
        <v>0.04090744</v>
      </c>
      <c r="M82" s="18" t="n">
        <v>0</v>
      </c>
      <c r="N82" s="20" t="n">
        <v>0</v>
      </c>
      <c r="O82" s="18" t="n">
        <v>0</v>
      </c>
      <c r="P82" s="20" t="n">
        <v>0</v>
      </c>
      <c r="Q82" s="18" t="n">
        <v>0.65665935</v>
      </c>
      <c r="R82" s="20" t="n">
        <v>0.26122613</v>
      </c>
    </row>
    <row r="83" spans="1:18">
      <c r="A83" s="15" t="s">
        <v>643</v>
      </c>
      <c r="B83" s="17" t="n">
        <v>808</v>
      </c>
      <c r="C83" s="18">
        <f>(723.0/B83*100)</f>
        <v/>
      </c>
      <c r="D83" s="19" t="n">
        <v>85</v>
      </c>
      <c r="E83" s="18" t="n">
        <v>76.35259240000001</v>
      </c>
      <c r="F83" s="20" t="n">
        <v>5.35415084</v>
      </c>
      <c r="G83" s="18" t="n">
        <v>22.81515091</v>
      </c>
      <c r="H83" s="20" t="n">
        <v>5.37557378</v>
      </c>
      <c r="I83" s="18" t="n">
        <v>0</v>
      </c>
      <c r="J83" s="20" t="n">
        <v>0</v>
      </c>
      <c r="K83" s="18" t="n">
        <v>0</v>
      </c>
      <c r="L83" s="20" t="n">
        <v>0</v>
      </c>
      <c r="M83" s="18" t="n">
        <v>0</v>
      </c>
      <c r="N83" s="20" t="n">
        <v>0</v>
      </c>
      <c r="O83" s="18" t="n">
        <v>0</v>
      </c>
      <c r="P83" s="20" t="n">
        <v>0</v>
      </c>
      <c r="Q83" s="18" t="n">
        <v>0.83225669</v>
      </c>
      <c r="R83" s="20" t="n">
        <v>0.81104116</v>
      </c>
    </row>
    <row r="84" spans="1:18">
      <c r="A84" s="23" t="s">
        <v>644</v>
      </c>
      <c r="B84" s="24" t="n">
        <v>938</v>
      </c>
      <c r="C84" s="25">
        <f>(837.0/B84*100)</f>
        <v/>
      </c>
      <c r="D84" s="19" t="n">
        <v>101</v>
      </c>
      <c r="E84" s="18" t="n">
        <v>72.97305448</v>
      </c>
      <c r="F84" s="20" t="n">
        <v>5.51701117</v>
      </c>
      <c r="G84" s="18" t="n">
        <v>27.02694552</v>
      </c>
      <c r="H84" s="20" t="n">
        <v>5.51701117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(6380.0/B7*100)</f>
        <v/>
      </c>
      <c r="D7" s="19" t="n">
        <v>783</v>
      </c>
      <c r="E7" s="18" t="n">
        <v>4.51930532</v>
      </c>
      <c r="F7" s="20" t="n">
        <v>0.92004727</v>
      </c>
      <c r="G7" s="18" t="n">
        <v>95.0706436</v>
      </c>
      <c r="H7" s="20" t="n">
        <v>0.97774427</v>
      </c>
      <c r="I7" s="18" t="n">
        <v>0</v>
      </c>
      <c r="J7" s="20" t="n">
        <v>0</v>
      </c>
      <c r="K7" s="18" t="n">
        <v>0</v>
      </c>
      <c r="L7" s="20" t="n">
        <v>0</v>
      </c>
      <c r="M7" s="18" t="n">
        <v>0</v>
      </c>
      <c r="N7" s="20" t="n">
        <v>0</v>
      </c>
      <c r="O7" s="18" t="n">
        <v>0</v>
      </c>
      <c r="P7" s="20" t="n">
        <v>0</v>
      </c>
      <c r="Q7" s="18" t="n">
        <v>0.41005107</v>
      </c>
      <c r="R7" s="20" t="n">
        <v>0.21225361</v>
      </c>
    </row>
    <row r="8" spans="1:18">
      <c r="A8" s="15" t="s">
        <v>566</v>
      </c>
      <c r="B8" s="17" t="n">
        <v>3443</v>
      </c>
      <c r="C8" s="18">
        <f>(3050.0/B8*100)</f>
        <v/>
      </c>
      <c r="D8" s="19" t="n">
        <v>393</v>
      </c>
      <c r="E8" s="18" t="n">
        <v>8.33700295</v>
      </c>
      <c r="F8" s="20" t="n">
        <v>1.72464744</v>
      </c>
      <c r="G8" s="18" t="n">
        <v>91.25341668999999</v>
      </c>
      <c r="H8" s="20" t="n">
        <v>1.78618388</v>
      </c>
      <c r="I8" s="18" t="n">
        <v>0</v>
      </c>
      <c r="J8" s="20" t="n">
        <v>0</v>
      </c>
      <c r="K8" s="18" t="n">
        <v>0.28321154</v>
      </c>
      <c r="L8" s="20" t="n">
        <v>0.32016902</v>
      </c>
      <c r="M8" s="18" t="n">
        <v>0</v>
      </c>
      <c r="N8" s="20" t="n">
        <v>0</v>
      </c>
      <c r="O8" s="18" t="n">
        <v>0</v>
      </c>
      <c r="P8" s="20" t="n">
        <v>0</v>
      </c>
      <c r="Q8" s="18" t="n">
        <v>0.12636882</v>
      </c>
      <c r="R8" s="20" t="n">
        <v>0.12880515</v>
      </c>
    </row>
    <row r="9" spans="1:18">
      <c r="A9" s="15" t="s">
        <v>567</v>
      </c>
      <c r="B9" s="17" t="n">
        <v>4752</v>
      </c>
      <c r="C9" s="18">
        <f>(4163.0/B9*100)</f>
        <v/>
      </c>
      <c r="D9" s="19" t="n">
        <v>589</v>
      </c>
      <c r="E9" s="18" t="n">
        <v>10.63089252</v>
      </c>
      <c r="F9" s="20" t="n">
        <v>1.17821336</v>
      </c>
      <c r="G9" s="18" t="n">
        <v>88.99345442000001</v>
      </c>
      <c r="H9" s="20" t="n">
        <v>1.18529128</v>
      </c>
      <c r="I9" s="18" t="n">
        <v>0</v>
      </c>
      <c r="J9" s="20" t="n">
        <v>0</v>
      </c>
      <c r="K9" s="18" t="n">
        <v>0</v>
      </c>
      <c r="L9" s="20" t="n">
        <v>0</v>
      </c>
      <c r="M9" s="18" t="n">
        <v>0</v>
      </c>
      <c r="N9" s="20" t="n">
        <v>0</v>
      </c>
      <c r="O9" s="18" t="n">
        <v>0</v>
      </c>
      <c r="P9" s="20" t="n">
        <v>0</v>
      </c>
      <c r="Q9" s="18" t="n">
        <v>0.37565306</v>
      </c>
      <c r="R9" s="20" t="n">
        <v>0.20466126</v>
      </c>
    </row>
    <row r="10" spans="1:18">
      <c r="A10" s="15" t="s">
        <v>568</v>
      </c>
      <c r="B10" s="17" t="n">
        <v>10022</v>
      </c>
      <c r="C10" s="18">
        <f>(8888.0/B10*100)</f>
        <v/>
      </c>
      <c r="D10" s="19" t="n">
        <v>1134</v>
      </c>
      <c r="E10" s="18" t="n">
        <v>4.30113017</v>
      </c>
      <c r="F10" s="20" t="n">
        <v>0.79157882</v>
      </c>
      <c r="G10" s="18" t="n">
        <v>94.96184524</v>
      </c>
      <c r="H10" s="20" t="n">
        <v>0.94587487</v>
      </c>
      <c r="I10" s="18" t="n">
        <v>0</v>
      </c>
      <c r="J10" s="20" t="n">
        <v>0</v>
      </c>
      <c r="K10" s="18" t="n">
        <v>0.45554022</v>
      </c>
      <c r="L10" s="20" t="n">
        <v>0.41986494</v>
      </c>
      <c r="M10" s="18" t="n">
        <v>0</v>
      </c>
      <c r="N10" s="20" t="n">
        <v>0</v>
      </c>
      <c r="O10" s="18" t="n">
        <v>0</v>
      </c>
      <c r="P10" s="20" t="n">
        <v>0</v>
      </c>
      <c r="Q10" s="18" t="n">
        <v>0.28148437</v>
      </c>
      <c r="R10" s="20" t="n">
        <v>0.2017694</v>
      </c>
    </row>
    <row r="11" spans="1:18">
      <c r="A11" s="15" t="s">
        <v>569</v>
      </c>
      <c r="B11" s="17" t="n">
        <v>3500</v>
      </c>
      <c r="C11" s="18">
        <f>(3139.0/B11*100)</f>
        <v/>
      </c>
      <c r="D11" s="19" t="n">
        <v>361</v>
      </c>
      <c r="E11" s="18" t="n">
        <v>20.17289735</v>
      </c>
      <c r="F11" s="20" t="n">
        <v>2.46751115</v>
      </c>
      <c r="G11" s="18" t="n">
        <v>79.3789986</v>
      </c>
      <c r="H11" s="20" t="n">
        <v>2.5651912</v>
      </c>
      <c r="I11" s="18" t="n">
        <v>0</v>
      </c>
      <c r="J11" s="20" t="n">
        <v>0</v>
      </c>
      <c r="K11" s="18" t="n">
        <v>0.44810406</v>
      </c>
      <c r="L11" s="20" t="n">
        <v>0.37454853</v>
      </c>
      <c r="M11" s="18" t="n">
        <v>0</v>
      </c>
      <c r="N11" s="20" t="n">
        <v>0</v>
      </c>
      <c r="O11" s="18" t="n">
        <v>0</v>
      </c>
      <c r="P11" s="20" t="n">
        <v>0</v>
      </c>
      <c r="Q11" s="18" t="n">
        <v>0</v>
      </c>
      <c r="R11" s="20" t="n">
        <v>0</v>
      </c>
    </row>
    <row r="12" spans="1:18">
      <c r="A12" s="15" t="s">
        <v>570</v>
      </c>
      <c r="B12" s="17" t="n">
        <v>3422</v>
      </c>
      <c r="C12" s="18">
        <f>(3023.0/B12*100)</f>
        <v/>
      </c>
      <c r="D12" s="19" t="n">
        <v>399</v>
      </c>
      <c r="E12" s="18" t="n">
        <v>14.5788048</v>
      </c>
      <c r="F12" s="20" t="n">
        <v>2.51806972</v>
      </c>
      <c r="G12" s="18" t="n">
        <v>84.35432609999999</v>
      </c>
      <c r="H12" s="20" t="n">
        <v>2.34649617</v>
      </c>
      <c r="I12" s="18" t="n">
        <v>0</v>
      </c>
      <c r="J12" s="20" t="n">
        <v>0</v>
      </c>
      <c r="K12" s="18" t="n">
        <v>0.22136026</v>
      </c>
      <c r="L12" s="20" t="n">
        <v>0.22052324</v>
      </c>
      <c r="M12" s="18" t="n">
        <v>0</v>
      </c>
      <c r="N12" s="20" t="n">
        <v>0</v>
      </c>
      <c r="O12" s="18" t="n">
        <v>0</v>
      </c>
      <c r="P12" s="20" t="n">
        <v>0</v>
      </c>
      <c r="Q12" s="18" t="n">
        <v>0.84550884</v>
      </c>
      <c r="R12" s="20" t="n">
        <v>0.61372232</v>
      </c>
    </row>
    <row r="13" spans="1:18">
      <c r="A13" s="15" t="s">
        <v>571</v>
      </c>
      <c r="B13" s="17" t="n">
        <v>3602</v>
      </c>
      <c r="C13" s="18">
        <f>(3047.0/B13*100)</f>
        <v/>
      </c>
      <c r="D13" s="19" t="n">
        <v>555</v>
      </c>
      <c r="E13" s="18" t="n">
        <v>12.41327544</v>
      </c>
      <c r="F13" s="20" t="n">
        <v>1.3403665</v>
      </c>
      <c r="G13" s="18" t="n">
        <v>86.61012319</v>
      </c>
      <c r="H13" s="20" t="n">
        <v>1.35218763</v>
      </c>
      <c r="I13" s="18" t="n">
        <v>0</v>
      </c>
      <c r="J13" s="20" t="n">
        <v>0</v>
      </c>
      <c r="K13" s="18" t="n">
        <v>0.70981166</v>
      </c>
      <c r="L13" s="20" t="n">
        <v>0.3506892</v>
      </c>
      <c r="M13" s="18" t="n">
        <v>0</v>
      </c>
      <c r="N13" s="20" t="n">
        <v>0</v>
      </c>
      <c r="O13" s="18" t="n">
        <v>0</v>
      </c>
      <c r="P13" s="20" t="n">
        <v>0</v>
      </c>
      <c r="Q13" s="18" t="n">
        <v>0.26678971</v>
      </c>
      <c r="R13" s="20" t="n">
        <v>0.2618443</v>
      </c>
    </row>
    <row r="14" spans="1:18">
      <c r="A14" s="15" t="s">
        <v>572</v>
      </c>
      <c r="B14" s="17" t="n">
        <v>2788</v>
      </c>
      <c r="C14" s="18">
        <f>(2473.0/B14*100)</f>
        <v/>
      </c>
      <c r="D14" s="19" t="n">
        <v>315</v>
      </c>
      <c r="E14" s="18" t="n">
        <v>3.3117597</v>
      </c>
      <c r="F14" s="20" t="n">
        <v>0.94121892</v>
      </c>
      <c r="G14" s="18" t="n">
        <v>96.6882403</v>
      </c>
      <c r="H14" s="20" t="n">
        <v>0.94121892</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(2549.0/B15*100)</f>
        <v/>
      </c>
      <c r="D15" s="19" t="n">
        <v>314</v>
      </c>
      <c r="E15" s="18" t="n">
        <v>3.61608183</v>
      </c>
      <c r="F15" s="20" t="n">
        <v>1.03084213</v>
      </c>
      <c r="G15" s="18" t="n">
        <v>96.07499038</v>
      </c>
      <c r="H15" s="20" t="n">
        <v>1.06844081</v>
      </c>
      <c r="I15" s="18" t="n">
        <v>0</v>
      </c>
      <c r="J15" s="20" t="n">
        <v>0</v>
      </c>
      <c r="K15" s="18" t="n">
        <v>0</v>
      </c>
      <c r="L15" s="20" t="n">
        <v>0</v>
      </c>
      <c r="M15" s="18" t="n">
        <v>0</v>
      </c>
      <c r="N15" s="20" t="n">
        <v>0</v>
      </c>
      <c r="O15" s="18" t="n">
        <v>0</v>
      </c>
      <c r="P15" s="20" t="n">
        <v>0</v>
      </c>
      <c r="Q15" s="18" t="n">
        <v>0.30892779</v>
      </c>
      <c r="R15" s="20" t="n">
        <v>0.30874363</v>
      </c>
    </row>
    <row r="16" spans="1:18">
      <c r="A16" s="15" t="s">
        <v>574</v>
      </c>
      <c r="B16" s="17" t="n">
        <v>3111</v>
      </c>
      <c r="C16" s="18">
        <f>(2772.0/B16*100)</f>
        <v/>
      </c>
      <c r="D16" s="19" t="n">
        <v>339</v>
      </c>
      <c r="E16" s="18" t="n">
        <v>14.49941226</v>
      </c>
      <c r="F16" s="20" t="n">
        <v>1.64699265</v>
      </c>
      <c r="G16" s="18" t="n">
        <v>84.58651949</v>
      </c>
      <c r="H16" s="20" t="n">
        <v>1.72873683</v>
      </c>
      <c r="I16" s="18" t="n">
        <v>0</v>
      </c>
      <c r="J16" s="20" t="n">
        <v>0</v>
      </c>
      <c r="K16" s="18" t="n">
        <v>0.6101027</v>
      </c>
      <c r="L16" s="20" t="n">
        <v>0.45128693</v>
      </c>
      <c r="M16" s="18" t="n">
        <v>0</v>
      </c>
      <c r="N16" s="20" t="n">
        <v>0</v>
      </c>
      <c r="O16" s="18" t="n">
        <v>0</v>
      </c>
      <c r="P16" s="20" t="n">
        <v>0</v>
      </c>
      <c r="Q16" s="18" t="n">
        <v>0.30396555</v>
      </c>
      <c r="R16" s="20" t="n">
        <v>0.31134733</v>
      </c>
    </row>
    <row r="17" spans="1:18">
      <c r="A17" s="15" t="s">
        <v>575</v>
      </c>
      <c r="B17" s="17" t="n">
        <v>3197</v>
      </c>
      <c r="C17" s="18">
        <f>(2797.0/B17*100)</f>
        <v/>
      </c>
      <c r="D17" s="19" t="n">
        <v>400</v>
      </c>
      <c r="E17" s="18" t="n">
        <v>10.59963997</v>
      </c>
      <c r="F17" s="20" t="n">
        <v>1.51958184</v>
      </c>
      <c r="G17" s="18" t="n">
        <v>89.14584667</v>
      </c>
      <c r="H17" s="20" t="n">
        <v>1.52787625</v>
      </c>
      <c r="I17" s="18" t="n">
        <v>0</v>
      </c>
      <c r="J17" s="20" t="n">
        <v>0</v>
      </c>
      <c r="K17" s="18" t="n">
        <v>0.25451336</v>
      </c>
      <c r="L17" s="20" t="n">
        <v>0.25072073</v>
      </c>
      <c r="M17" s="18" t="n">
        <v>0</v>
      </c>
      <c r="N17" s="20" t="n">
        <v>0</v>
      </c>
      <c r="O17" s="18" t="n">
        <v>0</v>
      </c>
      <c r="P17" s="20" t="n">
        <v>0</v>
      </c>
      <c r="Q17" s="18" t="n">
        <v>0</v>
      </c>
      <c r="R17" s="20" t="n">
        <v>0</v>
      </c>
    </row>
    <row r="18" spans="1:18">
      <c r="A18" s="15" t="s">
        <v>576</v>
      </c>
      <c r="B18" s="17" t="n">
        <v>2706</v>
      </c>
      <c r="C18" s="18">
        <f>(2418.0/B18*100)</f>
        <v/>
      </c>
      <c r="D18" s="19" t="n">
        <v>288</v>
      </c>
      <c r="E18" s="18" t="n">
        <v>15.40414425</v>
      </c>
      <c r="F18" s="20" t="n">
        <v>2.3914769</v>
      </c>
      <c r="G18" s="18" t="n">
        <v>83.96870693</v>
      </c>
      <c r="H18" s="20" t="n">
        <v>2.40385252</v>
      </c>
      <c r="I18" s="18" t="n">
        <v>0</v>
      </c>
      <c r="J18" s="20" t="n">
        <v>0</v>
      </c>
      <c r="K18" s="18" t="n">
        <v>0.28043038</v>
      </c>
      <c r="L18" s="20" t="n">
        <v>0.27285772</v>
      </c>
      <c r="M18" s="18" t="n">
        <v>0</v>
      </c>
      <c r="N18" s="20" t="n">
        <v>0</v>
      </c>
      <c r="O18" s="18" t="n">
        <v>0</v>
      </c>
      <c r="P18" s="20" t="n">
        <v>0</v>
      </c>
      <c r="Q18" s="18" t="n">
        <v>0.34671844</v>
      </c>
      <c r="R18" s="20" t="n">
        <v>0.24418924</v>
      </c>
    </row>
    <row r="19" spans="1:18">
      <c r="A19" s="15" t="s">
        <v>577</v>
      </c>
      <c r="B19" s="17" t="n">
        <v>2850</v>
      </c>
      <c r="C19" s="18">
        <f>(2542.0/B19*100)</f>
        <v/>
      </c>
      <c r="D19" s="19" t="n">
        <v>308</v>
      </c>
      <c r="E19" s="18" t="n">
        <v>11.36502399</v>
      </c>
      <c r="F19" s="20" t="n">
        <v>2.12443665</v>
      </c>
      <c r="G19" s="18" t="n">
        <v>88.63497601</v>
      </c>
      <c r="H19" s="20" t="n">
        <v>2.12443665</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(1522.0/B20*100)</f>
        <v/>
      </c>
      <c r="D20" s="19" t="n">
        <v>219</v>
      </c>
      <c r="E20" s="18" t="n">
        <v>3.95023838</v>
      </c>
      <c r="F20" s="20" t="n">
        <v>1.09868072</v>
      </c>
      <c r="G20" s="18" t="n">
        <v>95.59785194</v>
      </c>
      <c r="H20" s="20" t="n">
        <v>1.18330044</v>
      </c>
      <c r="I20" s="18" t="n">
        <v>0</v>
      </c>
      <c r="J20" s="20" t="n">
        <v>0</v>
      </c>
      <c r="K20" s="18" t="n">
        <v>0</v>
      </c>
      <c r="L20" s="20" t="n">
        <v>0</v>
      </c>
      <c r="M20" s="18" t="n">
        <v>0</v>
      </c>
      <c r="N20" s="20" t="n">
        <v>0</v>
      </c>
      <c r="O20" s="18" t="n">
        <v>0</v>
      </c>
      <c r="P20" s="20" t="n">
        <v>0</v>
      </c>
      <c r="Q20" s="18" t="n">
        <v>0.45190968</v>
      </c>
      <c r="R20" s="20" t="n">
        <v>0.45327751</v>
      </c>
    </row>
    <row r="21" spans="1:18">
      <c r="A21" s="15" t="s">
        <v>579</v>
      </c>
      <c r="B21" s="17" t="n">
        <v>2833</v>
      </c>
      <c r="C21" s="18">
        <f>(2528.0/B21*100)</f>
        <v/>
      </c>
      <c r="D21" s="19" t="n">
        <v>305</v>
      </c>
      <c r="E21" s="18" t="n">
        <v>3.56528417</v>
      </c>
      <c r="F21" s="20" t="n">
        <v>0.92195782</v>
      </c>
      <c r="G21" s="18" t="n">
        <v>96.43471583</v>
      </c>
      <c r="H21" s="20" t="n">
        <v>0.92195782</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(3240.0/B22*100)</f>
        <v/>
      </c>
      <c r="D22" s="19" t="n">
        <v>427</v>
      </c>
      <c r="E22" s="18" t="n">
        <v>12.32390507</v>
      </c>
      <c r="F22" s="20" t="n">
        <v>1.78287382</v>
      </c>
      <c r="G22" s="18" t="n">
        <v>87.19487312</v>
      </c>
      <c r="H22" s="20" t="n">
        <v>1.85421594</v>
      </c>
      <c r="I22" s="18" t="n">
        <v>0</v>
      </c>
      <c r="J22" s="20" t="n">
        <v>0</v>
      </c>
      <c r="K22" s="18" t="n">
        <v>0.22281125</v>
      </c>
      <c r="L22" s="20" t="n">
        <v>0.24705304</v>
      </c>
      <c r="M22" s="18" t="n">
        <v>0</v>
      </c>
      <c r="N22" s="20" t="n">
        <v>0</v>
      </c>
      <c r="O22" s="18" t="n">
        <v>0</v>
      </c>
      <c r="P22" s="20" t="n">
        <v>0</v>
      </c>
      <c r="Q22" s="18" t="n">
        <v>0.25841056</v>
      </c>
      <c r="R22" s="20" t="n">
        <v>0.25921221</v>
      </c>
    </row>
    <row r="23" spans="1:18">
      <c r="A23" s="15" t="s">
        <v>581</v>
      </c>
      <c r="B23" s="17" t="n">
        <v>5792</v>
      </c>
      <c r="C23" s="18">
        <f>(5158.0/B23*100)</f>
        <v/>
      </c>
      <c r="D23" s="19" t="n">
        <v>634</v>
      </c>
      <c r="E23" s="18" t="n">
        <v>10.59064623</v>
      </c>
      <c r="F23" s="20" t="n">
        <v>1.45482274</v>
      </c>
      <c r="G23" s="18" t="n">
        <v>89.10893277</v>
      </c>
      <c r="H23" s="20" t="n">
        <v>1.53101139</v>
      </c>
      <c r="I23" s="18" t="n">
        <v>0</v>
      </c>
      <c r="J23" s="20" t="n">
        <v>0</v>
      </c>
      <c r="K23" s="18" t="n">
        <v>0.28964057</v>
      </c>
      <c r="L23" s="20" t="n">
        <v>0.27329455</v>
      </c>
      <c r="M23" s="18" t="n">
        <v>0</v>
      </c>
      <c r="N23" s="20" t="n">
        <v>0</v>
      </c>
      <c r="O23" s="18" t="n">
        <v>0</v>
      </c>
      <c r="P23" s="20" t="n">
        <v>0</v>
      </c>
      <c r="Q23" s="18" t="n">
        <v>0.01078042</v>
      </c>
      <c r="R23" s="20" t="n">
        <v>0.01089753</v>
      </c>
    </row>
    <row r="24" spans="1:18">
      <c r="A24" s="15" t="s">
        <v>582</v>
      </c>
      <c r="B24" s="17" t="n">
        <v>3309</v>
      </c>
      <c r="C24" s="18">
        <f>(2953.0/B24*100)</f>
        <v/>
      </c>
      <c r="D24" s="19" t="n">
        <v>356</v>
      </c>
      <c r="E24" s="18" t="n">
        <v>3.62081999</v>
      </c>
      <c r="F24" s="20" t="n">
        <v>1.0241591</v>
      </c>
      <c r="G24" s="18" t="n">
        <v>96.37918001</v>
      </c>
      <c r="H24" s="20" t="n">
        <v>1.0241591</v>
      </c>
      <c r="I24" s="18" t="n">
        <v>0</v>
      </c>
      <c r="J24" s="20" t="n">
        <v>0</v>
      </c>
      <c r="K24" s="18" t="n">
        <v>0</v>
      </c>
      <c r="L24" s="20" t="n">
        <v>0</v>
      </c>
      <c r="M24" s="18" t="n">
        <v>0</v>
      </c>
      <c r="N24" s="20" t="n">
        <v>0</v>
      </c>
      <c r="O24" s="18" t="n">
        <v>0</v>
      </c>
      <c r="P24" s="20" t="n">
        <v>0</v>
      </c>
      <c r="Q24" s="18" t="n">
        <v>0</v>
      </c>
      <c r="R24" s="20" t="n">
        <v>0</v>
      </c>
    </row>
    <row r="25" spans="1:18">
      <c r="A25" s="15" t="s">
        <v>583</v>
      </c>
      <c r="B25" s="17" t="n">
        <v>2669</v>
      </c>
      <c r="C25" s="18">
        <f>(2362.0/B25*100)</f>
        <v/>
      </c>
      <c r="D25" s="19" t="n">
        <v>307</v>
      </c>
      <c r="E25" s="18" t="n">
        <v>3.60284006</v>
      </c>
      <c r="F25" s="20" t="n">
        <v>1.08564878</v>
      </c>
      <c r="G25" s="18" t="n">
        <v>96.39715993999999</v>
      </c>
      <c r="H25" s="20" t="n">
        <v>1.08564878</v>
      </c>
      <c r="I25" s="18" t="n">
        <v>0</v>
      </c>
      <c r="J25" s="20" t="n">
        <v>0</v>
      </c>
      <c r="K25" s="18" t="n">
        <v>0</v>
      </c>
      <c r="L25" s="20" t="n">
        <v>0</v>
      </c>
      <c r="M25" s="18" t="n">
        <v>0</v>
      </c>
      <c r="N25" s="20" t="n">
        <v>0</v>
      </c>
      <c r="O25" s="18" t="n">
        <v>0</v>
      </c>
      <c r="P25" s="20" t="n">
        <v>0</v>
      </c>
      <c r="Q25" s="18" t="n">
        <v>0</v>
      </c>
      <c r="R25" s="20" t="n">
        <v>0</v>
      </c>
    </row>
    <row r="26" spans="1:18">
      <c r="A26" s="15" t="s">
        <v>584</v>
      </c>
      <c r="B26" s="17" t="n">
        <v>2419</v>
      </c>
      <c r="C26" s="18">
        <f>(2159.0/B26*100)</f>
        <v/>
      </c>
      <c r="D26" s="19" t="n">
        <v>260</v>
      </c>
      <c r="E26" s="18" t="n">
        <v>7.2455139</v>
      </c>
      <c r="F26" s="20" t="n">
        <v>1.62985626</v>
      </c>
      <c r="G26" s="18" t="n">
        <v>92.75448609999999</v>
      </c>
      <c r="H26" s="20" t="n">
        <v>1.62985626</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(2372.0/B27*100)</f>
        <v/>
      </c>
      <c r="D27" s="19" t="n">
        <v>311</v>
      </c>
      <c r="E27" s="18" t="n">
        <v>14.91246475</v>
      </c>
      <c r="F27" s="20" t="n">
        <v>1.87475672</v>
      </c>
      <c r="G27" s="18" t="n">
        <v>85.08753525</v>
      </c>
      <c r="H27" s="20" t="n">
        <v>1.87475672</v>
      </c>
      <c r="I27" s="18" t="n">
        <v>0</v>
      </c>
      <c r="J27" s="20" t="n">
        <v>0</v>
      </c>
      <c r="K27" s="18" t="n">
        <v>0</v>
      </c>
      <c r="L27" s="20" t="n">
        <v>0</v>
      </c>
      <c r="M27" s="18" t="n">
        <v>0</v>
      </c>
      <c r="N27" s="20" t="n">
        <v>0</v>
      </c>
      <c r="O27" s="18" t="n">
        <v>0</v>
      </c>
      <c r="P27" s="20" t="n">
        <v>0</v>
      </c>
      <c r="Q27" s="18" t="n">
        <v>0</v>
      </c>
      <c r="R27" s="20" t="n">
        <v>0</v>
      </c>
    </row>
    <row r="28" spans="1:18">
      <c r="A28" s="15" t="s">
        <v>586</v>
      </c>
      <c r="B28" s="17" t="n">
        <v>3803</v>
      </c>
      <c r="C28" s="18">
        <f>(3413.0/B28*100)</f>
        <v/>
      </c>
      <c r="D28" s="19" t="n">
        <v>390</v>
      </c>
      <c r="E28" s="18" t="n">
        <v>12.71723848</v>
      </c>
      <c r="F28" s="20" t="n">
        <v>1.9264557</v>
      </c>
      <c r="G28" s="18" t="n">
        <v>84.83252455</v>
      </c>
      <c r="H28" s="20" t="n">
        <v>2.1403926</v>
      </c>
      <c r="I28" s="18" t="n">
        <v>0</v>
      </c>
      <c r="J28" s="20" t="n">
        <v>0</v>
      </c>
      <c r="K28" s="18" t="n">
        <v>1.21869646</v>
      </c>
      <c r="L28" s="20" t="n">
        <v>0.6339123800000001</v>
      </c>
      <c r="M28" s="18" t="n">
        <v>0</v>
      </c>
      <c r="N28" s="20" t="n">
        <v>0</v>
      </c>
      <c r="O28" s="18" t="n">
        <v>0</v>
      </c>
      <c r="P28" s="20" t="n">
        <v>0</v>
      </c>
      <c r="Q28" s="18" t="n">
        <v>1.2315405</v>
      </c>
      <c r="R28" s="20" t="n">
        <v>0.68184777</v>
      </c>
    </row>
    <row r="29" spans="1:18">
      <c r="A29" s="15" t="s">
        <v>587</v>
      </c>
      <c r="B29" s="17" t="n">
        <v>2700</v>
      </c>
      <c r="C29" s="18">
        <f>(2353.0/B29*100)</f>
        <v/>
      </c>
      <c r="D29" s="19" t="n">
        <v>347</v>
      </c>
      <c r="E29" s="18" t="n">
        <v>12.14594082</v>
      </c>
      <c r="F29" s="20" t="n">
        <v>1.660207</v>
      </c>
      <c r="G29" s="18" t="n">
        <v>87.85405917999999</v>
      </c>
      <c r="H29" s="20" t="n">
        <v>1.660207</v>
      </c>
      <c r="I29" s="18" t="n">
        <v>0</v>
      </c>
      <c r="J29" s="20" t="n">
        <v>0</v>
      </c>
      <c r="K29" s="18" t="n">
        <v>0</v>
      </c>
      <c r="L29" s="20" t="n">
        <v>0</v>
      </c>
      <c r="M29" s="18" t="n">
        <v>0</v>
      </c>
      <c r="N29" s="20" t="n">
        <v>0</v>
      </c>
      <c r="O29" s="18" t="n">
        <v>0</v>
      </c>
      <c r="P29" s="20" t="n">
        <v>0</v>
      </c>
      <c r="Q29" s="18" t="n">
        <v>0</v>
      </c>
      <c r="R29" s="20" t="n">
        <v>0</v>
      </c>
    </row>
    <row r="30" spans="1:18">
      <c r="A30" s="15" t="s">
        <v>588</v>
      </c>
      <c r="B30" s="17" t="n">
        <v>2257</v>
      </c>
      <c r="C30" s="18">
        <f>(2002.0/B30*100)</f>
        <v/>
      </c>
      <c r="D30" s="19" t="n">
        <v>255</v>
      </c>
      <c r="E30" s="18" t="n">
        <v>5.24787408</v>
      </c>
      <c r="F30" s="20" t="n">
        <v>1.50680574</v>
      </c>
      <c r="G30" s="18" t="n">
        <v>94.34962837</v>
      </c>
      <c r="H30" s="20" t="n">
        <v>1.53992432</v>
      </c>
      <c r="I30" s="18" t="n">
        <v>0</v>
      </c>
      <c r="J30" s="20" t="n">
        <v>0</v>
      </c>
      <c r="K30" s="18" t="n">
        <v>0</v>
      </c>
      <c r="L30" s="20" t="n">
        <v>0</v>
      </c>
      <c r="M30" s="18" t="n">
        <v>0</v>
      </c>
      <c r="N30" s="20" t="n">
        <v>0</v>
      </c>
      <c r="O30" s="18" t="n">
        <v>0</v>
      </c>
      <c r="P30" s="20" t="n">
        <v>0</v>
      </c>
      <c r="Q30" s="18" t="n">
        <v>0.40249755</v>
      </c>
      <c r="R30" s="20" t="n">
        <v>0.35562762</v>
      </c>
    </row>
    <row r="31" spans="1:18">
      <c r="A31" s="15" t="s">
        <v>589</v>
      </c>
      <c r="B31" s="17" t="n">
        <v>2706</v>
      </c>
      <c r="C31" s="18">
        <f>(2411.0/B31*100)</f>
        <v/>
      </c>
      <c r="D31" s="19" t="n">
        <v>295</v>
      </c>
      <c r="E31" s="18" t="n">
        <v>9.43245776</v>
      </c>
      <c r="F31" s="20" t="n">
        <v>1.86544783</v>
      </c>
      <c r="G31" s="18" t="n">
        <v>89.94183882999999</v>
      </c>
      <c r="H31" s="20" t="n">
        <v>1.86004702</v>
      </c>
      <c r="I31" s="18" t="n">
        <v>0</v>
      </c>
      <c r="J31" s="20" t="n">
        <v>0</v>
      </c>
      <c r="K31" s="18" t="n">
        <v>0.62570341</v>
      </c>
      <c r="L31" s="20" t="n">
        <v>0.42052528</v>
      </c>
      <c r="M31" s="18" t="n">
        <v>0</v>
      </c>
      <c r="N31" s="20" t="n">
        <v>0</v>
      </c>
      <c r="O31" s="18" t="n">
        <v>0</v>
      </c>
      <c r="P31" s="20" t="n">
        <v>0</v>
      </c>
      <c r="Q31" s="18" t="n">
        <v>0</v>
      </c>
      <c r="R31" s="20" t="n">
        <v>0</v>
      </c>
    </row>
    <row r="32" spans="1:18">
      <c r="A32" s="15" t="s">
        <v>590</v>
      </c>
      <c r="B32" s="17" t="n">
        <v>2209</v>
      </c>
      <c r="C32" s="18">
        <f>(1967.0/B32*100)</f>
        <v/>
      </c>
      <c r="D32" s="19" t="n">
        <v>242</v>
      </c>
      <c r="E32" s="18" t="n">
        <v>8.66002435</v>
      </c>
      <c r="F32" s="20" t="n">
        <v>1.74414268</v>
      </c>
      <c r="G32" s="18" t="n">
        <v>91.33997565</v>
      </c>
      <c r="H32" s="20" t="n">
        <v>1.74414268</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(3269.0/B33*100)</f>
        <v/>
      </c>
      <c r="D33" s="19" t="n">
        <v>382</v>
      </c>
      <c r="E33" s="18" t="n">
        <v>15.14339238</v>
      </c>
      <c r="F33" s="20" t="n">
        <v>1.95753692</v>
      </c>
      <c r="G33" s="18" t="n">
        <v>84.83224987</v>
      </c>
      <c r="H33" s="20" t="n">
        <v>1.95697152</v>
      </c>
      <c r="I33" s="18" t="n">
        <v>0</v>
      </c>
      <c r="J33" s="20" t="n">
        <v>0</v>
      </c>
      <c r="K33" s="18" t="n">
        <v>0</v>
      </c>
      <c r="L33" s="20" t="n">
        <v>0</v>
      </c>
      <c r="M33" s="18" t="n">
        <v>0</v>
      </c>
      <c r="N33" s="20" t="n">
        <v>0</v>
      </c>
      <c r="O33" s="18" t="n">
        <v>0</v>
      </c>
      <c r="P33" s="20" t="n">
        <v>0</v>
      </c>
      <c r="Q33" s="18" t="n">
        <v>0.02435775</v>
      </c>
      <c r="R33" s="20" t="n">
        <v>0.02453174</v>
      </c>
    </row>
    <row r="34" spans="1:18">
      <c r="A34" s="15" t="s">
        <v>592</v>
      </c>
      <c r="B34" s="17" t="n">
        <v>3035</v>
      </c>
      <c r="C34" s="18">
        <f>(2630.0/B34*100)</f>
        <v/>
      </c>
      <c r="D34" s="19" t="n">
        <v>405</v>
      </c>
      <c r="E34" s="18" t="n">
        <v>14.64209844</v>
      </c>
      <c r="F34" s="20" t="n">
        <v>2.13647964</v>
      </c>
      <c r="G34" s="18" t="n">
        <v>84.29828483999999</v>
      </c>
      <c r="H34" s="20" t="n">
        <v>2.3717871</v>
      </c>
      <c r="I34" s="18" t="n">
        <v>0</v>
      </c>
      <c r="J34" s="20" t="n">
        <v>0</v>
      </c>
      <c r="K34" s="18" t="n">
        <v>0</v>
      </c>
      <c r="L34" s="20" t="n">
        <v>0</v>
      </c>
      <c r="M34" s="18" t="n">
        <v>0</v>
      </c>
      <c r="N34" s="20" t="n">
        <v>0</v>
      </c>
      <c r="O34" s="18" t="n">
        <v>0</v>
      </c>
      <c r="P34" s="20" t="n">
        <v>0</v>
      </c>
      <c r="Q34" s="18" t="n">
        <v>1.05961672</v>
      </c>
      <c r="R34" s="20" t="n">
        <v>0.80789402</v>
      </c>
    </row>
    <row r="35" spans="1:18">
      <c r="A35" s="15" t="s">
        <v>593</v>
      </c>
      <c r="B35" s="17" t="n">
        <v>2901</v>
      </c>
      <c r="C35" s="18">
        <f>(2572.0/B35*100)</f>
        <v/>
      </c>
      <c r="D35" s="19" t="n">
        <v>329</v>
      </c>
      <c r="E35" s="18" t="n">
        <v>9.042220049999999</v>
      </c>
      <c r="F35" s="20" t="n">
        <v>2.16051699</v>
      </c>
      <c r="G35" s="18" t="n">
        <v>90.68417558</v>
      </c>
      <c r="H35" s="20" t="n">
        <v>2.19568931</v>
      </c>
      <c r="I35" s="18" t="n">
        <v>0</v>
      </c>
      <c r="J35" s="20" t="n">
        <v>0</v>
      </c>
      <c r="K35" s="18" t="n">
        <v>0</v>
      </c>
      <c r="L35" s="20" t="n">
        <v>0</v>
      </c>
      <c r="M35" s="18" t="n">
        <v>0</v>
      </c>
      <c r="N35" s="20" t="n">
        <v>0</v>
      </c>
      <c r="O35" s="18" t="n">
        <v>0</v>
      </c>
      <c r="P35" s="20" t="n">
        <v>0</v>
      </c>
      <c r="Q35" s="18" t="n">
        <v>0.27360437</v>
      </c>
      <c r="R35" s="20" t="n">
        <v>0.19386366</v>
      </c>
    </row>
    <row r="36" spans="1:18">
      <c r="A36" s="15" t="s">
        <v>594</v>
      </c>
      <c r="B36" s="17" t="n">
        <v>3404</v>
      </c>
      <c r="C36" s="18">
        <f>(3045.0/B36*100)</f>
        <v/>
      </c>
      <c r="D36" s="19" t="n">
        <v>359</v>
      </c>
      <c r="E36" s="18" t="n">
        <v>17.56150671</v>
      </c>
      <c r="F36" s="20" t="n">
        <v>2.2005285</v>
      </c>
      <c r="G36" s="18" t="n">
        <v>82.17386802</v>
      </c>
      <c r="H36" s="20" t="n">
        <v>2.18754741</v>
      </c>
      <c r="I36" s="18" t="n">
        <v>0</v>
      </c>
      <c r="J36" s="20" t="n">
        <v>0</v>
      </c>
      <c r="K36" s="18" t="n">
        <v>0</v>
      </c>
      <c r="L36" s="20" t="n">
        <v>0</v>
      </c>
      <c r="M36" s="18" t="n">
        <v>0</v>
      </c>
      <c r="N36" s="20" t="n">
        <v>0</v>
      </c>
      <c r="O36" s="18" t="n">
        <v>0</v>
      </c>
      <c r="P36" s="20" t="n">
        <v>0</v>
      </c>
      <c r="Q36" s="18" t="n">
        <v>0.26462527</v>
      </c>
      <c r="R36" s="20" t="n">
        <v>0.26048359</v>
      </c>
    </row>
    <row r="37" spans="1:18">
      <c r="A37" s="15" t="s">
        <v>595</v>
      </c>
      <c r="B37" s="17" t="n">
        <v>2731</v>
      </c>
      <c r="C37" s="18">
        <f>(2425.0/B37*100)</f>
        <v/>
      </c>
      <c r="D37" s="19" t="n">
        <v>306</v>
      </c>
      <c r="E37" s="18" t="n">
        <v>7.97436368</v>
      </c>
      <c r="F37" s="20" t="n">
        <v>1.58320435</v>
      </c>
      <c r="G37" s="18" t="n">
        <v>91.42703022000001</v>
      </c>
      <c r="H37" s="20" t="n">
        <v>1.70198758</v>
      </c>
      <c r="I37" s="18" t="n">
        <v>0</v>
      </c>
      <c r="J37" s="20" t="n">
        <v>0</v>
      </c>
      <c r="K37" s="18" t="n">
        <v>0</v>
      </c>
      <c r="L37" s="20" t="n">
        <v>0</v>
      </c>
      <c r="M37" s="18" t="n">
        <v>0</v>
      </c>
      <c r="N37" s="20" t="n">
        <v>0</v>
      </c>
      <c r="O37" s="18" t="n">
        <v>0</v>
      </c>
      <c r="P37" s="20" t="n">
        <v>0</v>
      </c>
      <c r="Q37" s="18" t="n">
        <v>0.59860609</v>
      </c>
      <c r="R37" s="20" t="n">
        <v>0.6320968</v>
      </c>
    </row>
    <row r="38" spans="1:18">
      <c r="A38" s="15" t="s">
        <v>596</v>
      </c>
      <c r="B38" s="17" t="n">
        <v>2807</v>
      </c>
      <c r="C38" s="18">
        <f>(2489.0/B38*100)</f>
        <v/>
      </c>
      <c r="D38" s="19" t="n">
        <v>318</v>
      </c>
      <c r="E38" s="18" t="n">
        <v>6.35747812</v>
      </c>
      <c r="F38" s="20" t="n">
        <v>1.29518522</v>
      </c>
      <c r="G38" s="18" t="n">
        <v>93.60061897</v>
      </c>
      <c r="H38" s="20" t="n">
        <v>1.28625797</v>
      </c>
      <c r="I38" s="18" t="n">
        <v>0</v>
      </c>
      <c r="J38" s="20" t="n">
        <v>0</v>
      </c>
      <c r="K38" s="18" t="n">
        <v>0</v>
      </c>
      <c r="L38" s="20" t="n">
        <v>0</v>
      </c>
      <c r="M38" s="18" t="n">
        <v>0</v>
      </c>
      <c r="N38" s="20" t="n">
        <v>0</v>
      </c>
      <c r="O38" s="18" t="n">
        <v>0</v>
      </c>
      <c r="P38" s="20" t="n">
        <v>0</v>
      </c>
      <c r="Q38" s="18" t="n">
        <v>0.0419029</v>
      </c>
      <c r="R38" s="20" t="n">
        <v>0.03433856</v>
      </c>
    </row>
    <row r="39" spans="1:18">
      <c r="A39" s="15" t="s">
        <v>597</v>
      </c>
      <c r="B39" s="17" t="n">
        <v>2938</v>
      </c>
      <c r="C39" s="18">
        <f>(2624.0/B39*100)</f>
        <v/>
      </c>
      <c r="D39" s="19" t="n">
        <v>314</v>
      </c>
      <c r="E39" s="18" t="n">
        <v>24.63025295</v>
      </c>
      <c r="F39" s="20" t="n">
        <v>3.017376</v>
      </c>
      <c r="G39" s="18" t="n">
        <v>75.06514534999999</v>
      </c>
      <c r="H39" s="20" t="n">
        <v>2.99730204</v>
      </c>
      <c r="I39" s="18" t="n">
        <v>0</v>
      </c>
      <c r="J39" s="20" t="n">
        <v>0</v>
      </c>
      <c r="K39" s="18" t="n">
        <v>0</v>
      </c>
      <c r="L39" s="20" t="n">
        <v>0</v>
      </c>
      <c r="M39" s="18" t="n">
        <v>0</v>
      </c>
      <c r="N39" s="20" t="n">
        <v>0</v>
      </c>
      <c r="O39" s="18" t="n">
        <v>0</v>
      </c>
      <c r="P39" s="20" t="n">
        <v>0</v>
      </c>
      <c r="Q39" s="18" t="n">
        <v>0.3046017</v>
      </c>
      <c r="R39" s="20" t="n">
        <v>0.2972612</v>
      </c>
    </row>
    <row r="40" spans="1:18">
      <c r="A40" s="15" t="s">
        <v>598</v>
      </c>
      <c r="B40" s="17" t="n">
        <v>6922</v>
      </c>
      <c r="C40" s="18">
        <f>(6146.0/B40*100)</f>
        <v/>
      </c>
      <c r="D40" s="19" t="n">
        <v>776</v>
      </c>
      <c r="E40" s="18" t="n">
        <v>3.6618418</v>
      </c>
      <c r="F40" s="20" t="n">
        <v>0.8784368299999999</v>
      </c>
      <c r="G40" s="18" t="n">
        <v>95.81266053</v>
      </c>
      <c r="H40" s="20" t="n">
        <v>0.95858764</v>
      </c>
      <c r="I40" s="18" t="n">
        <v>0</v>
      </c>
      <c r="J40" s="20" t="n">
        <v>0</v>
      </c>
      <c r="K40" s="18" t="n">
        <v>0.41272611</v>
      </c>
      <c r="L40" s="20" t="n">
        <v>0.37529921</v>
      </c>
      <c r="M40" s="18" t="n">
        <v>0</v>
      </c>
      <c r="N40" s="20" t="n">
        <v>0</v>
      </c>
      <c r="O40" s="18" t="n">
        <v>0</v>
      </c>
      <c r="P40" s="20" t="n">
        <v>0</v>
      </c>
      <c r="Q40" s="18" t="n">
        <v>0.11277155</v>
      </c>
      <c r="R40" s="20" t="n">
        <v>0.07227999</v>
      </c>
    </row>
    <row r="41" spans="1:18">
      <c r="A41" s="15" t="s">
        <v>599</v>
      </c>
      <c r="B41" s="17" t="n">
        <v>2854</v>
      </c>
      <c r="C41" s="18">
        <f>(2537.0/B41*100)</f>
        <v/>
      </c>
      <c r="D41" s="19" t="n">
        <v>317</v>
      </c>
      <c r="E41" s="18" t="n">
        <v>5.17249455</v>
      </c>
      <c r="F41" s="20" t="n">
        <v>1.34821197</v>
      </c>
      <c r="G41" s="18" t="n">
        <v>94.59344455999999</v>
      </c>
      <c r="H41" s="20" t="n">
        <v>1.37303422</v>
      </c>
      <c r="I41" s="18" t="n">
        <v>0</v>
      </c>
      <c r="J41" s="20" t="n">
        <v>0</v>
      </c>
      <c r="K41" s="18" t="n">
        <v>0</v>
      </c>
      <c r="L41" s="20" t="n">
        <v>0</v>
      </c>
      <c r="M41" s="18" t="n">
        <v>0</v>
      </c>
      <c r="N41" s="20" t="n">
        <v>0</v>
      </c>
      <c r="O41" s="18" t="n">
        <v>0</v>
      </c>
      <c r="P41" s="20" t="n">
        <v>0</v>
      </c>
      <c r="Q41" s="18" t="n">
        <v>0.23406089</v>
      </c>
      <c r="R41" s="20" t="n">
        <v>0.23155955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(10968.0/B46*100)</f>
        <v/>
      </c>
      <c r="D46" s="19" t="n">
        <v>1105</v>
      </c>
      <c r="E46" s="18" t="n">
        <v>14.69137337</v>
      </c>
      <c r="F46" s="20" t="n">
        <v>1.41614486</v>
      </c>
      <c r="G46" s="18" t="n">
        <v>83.83608460000001</v>
      </c>
      <c r="H46" s="20" t="n">
        <v>1.58292362</v>
      </c>
      <c r="I46" s="18" t="n">
        <v>0</v>
      </c>
      <c r="J46" s="20" t="n">
        <v>0</v>
      </c>
      <c r="K46" s="18" t="n">
        <v>0.2756316</v>
      </c>
      <c r="L46" s="20" t="n">
        <v>0.17618986</v>
      </c>
      <c r="M46" s="18" t="n">
        <v>0</v>
      </c>
      <c r="N46" s="20" t="n">
        <v>0</v>
      </c>
      <c r="O46" s="18" t="n">
        <v>0</v>
      </c>
      <c r="P46" s="20" t="n">
        <v>0</v>
      </c>
      <c r="Q46" s="18" t="n">
        <v>1.19691042</v>
      </c>
      <c r="R46" s="20" t="n">
        <v>0.50865739</v>
      </c>
    </row>
    <row r="47" spans="1:18">
      <c r="A47" s="15" t="s">
        <v>606</v>
      </c>
      <c r="B47" s="17" t="n">
        <v>2823</v>
      </c>
      <c r="C47" s="18">
        <f>(2503.0/B47*100)</f>
        <v/>
      </c>
      <c r="D47" s="19" t="n">
        <v>320</v>
      </c>
      <c r="E47" s="18" t="n">
        <v>10.89890745</v>
      </c>
      <c r="F47" s="20" t="n">
        <v>1.75748308</v>
      </c>
      <c r="G47" s="18" t="n">
        <v>89.10109255</v>
      </c>
      <c r="H47" s="20" t="n">
        <v>1.75748308</v>
      </c>
      <c r="I47" s="18" t="n">
        <v>0</v>
      </c>
      <c r="J47" s="20" t="n">
        <v>0</v>
      </c>
      <c r="K47" s="18" t="n">
        <v>0</v>
      </c>
      <c r="L47" s="20" t="n">
        <v>0</v>
      </c>
      <c r="M47" s="18" t="n">
        <v>0</v>
      </c>
      <c r="N47" s="20" t="n">
        <v>0</v>
      </c>
      <c r="O47" s="18" t="n">
        <v>0</v>
      </c>
      <c r="P47" s="20" t="n">
        <v>0</v>
      </c>
      <c r="Q47" s="18" t="n">
        <v>0</v>
      </c>
      <c r="R47" s="20" t="n">
        <v>0</v>
      </c>
    </row>
    <row r="48" spans="1:18">
      <c r="A48" s="15" t="s">
        <v>607</v>
      </c>
      <c r="B48" s="17" t="n">
        <v>4682</v>
      </c>
      <c r="C48" s="18">
        <f>(4168.0/B48*100)</f>
        <v/>
      </c>
      <c r="D48" s="19" t="n">
        <v>514</v>
      </c>
      <c r="E48" s="18" t="n">
        <v>8.27104422</v>
      </c>
      <c r="F48" s="20" t="n">
        <v>1.82813521</v>
      </c>
      <c r="G48" s="18" t="n">
        <v>90.93005008</v>
      </c>
      <c r="H48" s="20" t="n">
        <v>1.91234359</v>
      </c>
      <c r="I48" s="18" t="n">
        <v>0</v>
      </c>
      <c r="J48" s="20" t="n">
        <v>0</v>
      </c>
      <c r="K48" s="18" t="n">
        <v>0.472321</v>
      </c>
      <c r="L48" s="20" t="n">
        <v>0.47482287</v>
      </c>
      <c r="M48" s="18" t="n">
        <v>0</v>
      </c>
      <c r="N48" s="20" t="n">
        <v>0</v>
      </c>
      <c r="O48" s="18" t="n">
        <v>0</v>
      </c>
      <c r="P48" s="20" t="n">
        <v>0</v>
      </c>
      <c r="Q48" s="18" t="n">
        <v>0.32658471</v>
      </c>
      <c r="R48" s="20" t="n">
        <v>0.30523893</v>
      </c>
    </row>
    <row r="49" spans="1:18">
      <c r="A49" s="15" t="s">
        <v>608</v>
      </c>
      <c r="B49" s="17" t="n">
        <v>6158</v>
      </c>
      <c r="C49" s="18">
        <f>(5496.0/B49*100)</f>
        <v/>
      </c>
      <c r="D49" s="19" t="n">
        <v>662</v>
      </c>
      <c r="E49" s="18" t="n">
        <v>15.59250599</v>
      </c>
      <c r="F49" s="20" t="n">
        <v>2.21855624</v>
      </c>
      <c r="G49" s="18" t="n">
        <v>83.46611297</v>
      </c>
      <c r="H49" s="20" t="n">
        <v>2.24076074</v>
      </c>
      <c r="I49" s="18" t="n">
        <v>0</v>
      </c>
      <c r="J49" s="20" t="n">
        <v>0</v>
      </c>
      <c r="K49" s="18" t="n">
        <v>0.11572742</v>
      </c>
      <c r="L49" s="20" t="n">
        <v>0.09131907</v>
      </c>
      <c r="M49" s="18" t="n">
        <v>0</v>
      </c>
      <c r="N49" s="20" t="n">
        <v>0</v>
      </c>
      <c r="O49" s="18" t="n">
        <v>0</v>
      </c>
      <c r="P49" s="20" t="n">
        <v>0</v>
      </c>
      <c r="Q49" s="18" t="n">
        <v>0.82565362</v>
      </c>
      <c r="R49" s="20" t="n">
        <v>0.42219293</v>
      </c>
    </row>
    <row r="50" spans="1:18">
      <c r="A50" s="15" t="s">
        <v>609</v>
      </c>
      <c r="B50" s="17" t="n">
        <v>3494</v>
      </c>
      <c r="C50" s="18">
        <f>(2816.0/B50*100)</f>
        <v/>
      </c>
      <c r="D50" s="19" t="n">
        <v>678</v>
      </c>
      <c r="E50" s="18" t="n">
        <v>17.10175579</v>
      </c>
      <c r="F50" s="20" t="n">
        <v>1.75865565</v>
      </c>
      <c r="G50" s="18" t="n">
        <v>82.0995164</v>
      </c>
      <c r="H50" s="20" t="n">
        <v>1.88760008</v>
      </c>
      <c r="I50" s="18" t="n">
        <v>0</v>
      </c>
      <c r="J50" s="20" t="n">
        <v>0</v>
      </c>
      <c r="K50" s="18" t="n">
        <v>0</v>
      </c>
      <c r="L50" s="20" t="n">
        <v>0</v>
      </c>
      <c r="M50" s="18" t="n">
        <v>0</v>
      </c>
      <c r="N50" s="20" t="n">
        <v>0</v>
      </c>
      <c r="O50" s="18" t="n">
        <v>0</v>
      </c>
      <c r="P50" s="20" t="n">
        <v>0</v>
      </c>
      <c r="Q50" s="18" t="n">
        <v>0.79872781</v>
      </c>
      <c r="R50" s="20" t="n">
        <v>0.37896935</v>
      </c>
    </row>
    <row r="51" spans="1:18">
      <c r="A51" s="15" t="s">
        <v>610</v>
      </c>
      <c r="B51" s="17" t="n">
        <v>3013</v>
      </c>
      <c r="C51" s="18">
        <f>(2650.0/B51*100)</f>
        <v/>
      </c>
      <c r="D51" s="19" t="n">
        <v>363</v>
      </c>
      <c r="E51" s="18" t="n">
        <v>10.5060213</v>
      </c>
      <c r="F51" s="20" t="n">
        <v>1.60446831</v>
      </c>
      <c r="G51" s="18" t="n">
        <v>89.19134748</v>
      </c>
      <c r="H51" s="20" t="n">
        <v>1.58105901</v>
      </c>
      <c r="I51" s="18" t="n">
        <v>0</v>
      </c>
      <c r="J51" s="20" t="n">
        <v>0</v>
      </c>
      <c r="K51" s="18" t="n">
        <v>0</v>
      </c>
      <c r="L51" s="20" t="n">
        <v>0</v>
      </c>
      <c r="M51" s="18" t="n">
        <v>0</v>
      </c>
      <c r="N51" s="20" t="n">
        <v>0</v>
      </c>
      <c r="O51" s="18" t="n">
        <v>0</v>
      </c>
      <c r="P51" s="20" t="n">
        <v>0</v>
      </c>
      <c r="Q51" s="18" t="n">
        <v>0.30263122</v>
      </c>
      <c r="R51" s="20" t="n">
        <v>0.29230759</v>
      </c>
    </row>
    <row r="52" spans="1:18">
      <c r="A52" s="15" t="s">
        <v>611</v>
      </c>
      <c r="B52" s="17" t="n">
        <v>2760</v>
      </c>
      <c r="C52" s="18">
        <f>(2461.0/B52*100)</f>
        <v/>
      </c>
      <c r="D52" s="19" t="n">
        <v>299</v>
      </c>
      <c r="E52" s="18" t="n">
        <v>14.25032933</v>
      </c>
      <c r="F52" s="20" t="n">
        <v>1.94493703</v>
      </c>
      <c r="G52" s="18" t="n">
        <v>85.51072359</v>
      </c>
      <c r="H52" s="20" t="n">
        <v>1.90950376</v>
      </c>
      <c r="I52" s="18" t="n">
        <v>0</v>
      </c>
      <c r="J52" s="20" t="n">
        <v>0</v>
      </c>
      <c r="K52" s="18" t="n">
        <v>0</v>
      </c>
      <c r="L52" s="20" t="n">
        <v>0</v>
      </c>
      <c r="M52" s="18" t="n">
        <v>0</v>
      </c>
      <c r="N52" s="20" t="n">
        <v>0</v>
      </c>
      <c r="O52" s="18" t="n">
        <v>0</v>
      </c>
      <c r="P52" s="20" t="n">
        <v>0</v>
      </c>
      <c r="Q52" s="18" t="n">
        <v>0.23894708</v>
      </c>
      <c r="R52" s="20" t="n">
        <v>0.24197066</v>
      </c>
    </row>
    <row r="53" spans="1:18">
      <c r="A53" s="15" t="s">
        <v>612</v>
      </c>
      <c r="B53" s="17" t="n">
        <v>2474</v>
      </c>
      <c r="C53" s="18">
        <f>(2231.0/B53*100)</f>
        <v/>
      </c>
      <c r="D53" s="19" t="n">
        <v>243</v>
      </c>
      <c r="E53" s="18" t="n">
        <v>19.35322273</v>
      </c>
      <c r="F53" s="20" t="n">
        <v>3.0546681</v>
      </c>
      <c r="G53" s="18" t="n">
        <v>67.31717303000001</v>
      </c>
      <c r="H53" s="20" t="n">
        <v>3.38732988</v>
      </c>
      <c r="I53" s="18" t="n">
        <v>0</v>
      </c>
      <c r="J53" s="20" t="n">
        <v>0</v>
      </c>
      <c r="K53" s="18" t="n">
        <v>11.32696347</v>
      </c>
      <c r="L53" s="20" t="n">
        <v>2.17857859</v>
      </c>
      <c r="M53" s="18" t="n">
        <v>0</v>
      </c>
      <c r="N53" s="20" t="n">
        <v>0</v>
      </c>
      <c r="O53" s="18" t="n">
        <v>0</v>
      </c>
      <c r="P53" s="20" t="n">
        <v>0</v>
      </c>
      <c r="Q53" s="18" t="n">
        <v>2.00264077</v>
      </c>
      <c r="R53" s="20" t="n">
        <v>1.19134235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(2373.0/B55*100)</f>
        <v/>
      </c>
      <c r="D55" s="19" t="n">
        <v>302</v>
      </c>
      <c r="E55" s="18" t="n">
        <v>5.82239329</v>
      </c>
      <c r="F55" s="20" t="n">
        <v>1.21868037</v>
      </c>
      <c r="G55" s="18" t="n">
        <v>93.88248362</v>
      </c>
      <c r="H55" s="20" t="n">
        <v>1.24042187</v>
      </c>
      <c r="I55" s="18" t="n">
        <v>0</v>
      </c>
      <c r="J55" s="20" t="n">
        <v>0</v>
      </c>
      <c r="K55" s="18" t="n">
        <v>0.29512309</v>
      </c>
      <c r="L55" s="20" t="n">
        <v>0.3038083</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(2830.0/B61*100)</f>
        <v/>
      </c>
      <c r="D61" s="19" t="n">
        <v>371</v>
      </c>
      <c r="E61" s="18" t="n">
        <v>8.196600289999999</v>
      </c>
      <c r="F61" s="20" t="n">
        <v>1.38504461</v>
      </c>
      <c r="G61" s="18" t="n">
        <v>91.54731728</v>
      </c>
      <c r="H61" s="20" t="n">
        <v>1.40621571</v>
      </c>
      <c r="I61" s="18" t="n">
        <v>0</v>
      </c>
      <c r="J61" s="20" t="n">
        <v>0</v>
      </c>
      <c r="K61" s="18" t="n">
        <v>0</v>
      </c>
      <c r="L61" s="20" t="n">
        <v>0</v>
      </c>
      <c r="M61" s="18" t="n">
        <v>0</v>
      </c>
      <c r="N61" s="20" t="n">
        <v>0</v>
      </c>
      <c r="O61" s="18" t="n">
        <v>0</v>
      </c>
      <c r="P61" s="20" t="n">
        <v>0</v>
      </c>
      <c r="Q61" s="18" t="n">
        <v>0.25608243</v>
      </c>
      <c r="R61" s="20" t="n">
        <v>0.25635956</v>
      </c>
    </row>
    <row r="62" spans="1:18">
      <c r="A62" s="15" t="s">
        <v>622</v>
      </c>
      <c r="B62" s="17" t="n">
        <v>2230</v>
      </c>
      <c r="C62" s="18">
        <f>(1986.0/B62*100)</f>
        <v/>
      </c>
      <c r="D62" s="19" t="n">
        <v>244</v>
      </c>
      <c r="E62" s="18" t="n">
        <v>10.66484705</v>
      </c>
      <c r="F62" s="20" t="n">
        <v>1.88505007</v>
      </c>
      <c r="G62" s="18" t="n">
        <v>89.33515294999999</v>
      </c>
      <c r="H62" s="20" t="n">
        <v>1.88505007</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(2449.0/B67*100)</f>
        <v/>
      </c>
      <c r="D67" s="19" t="n">
        <v>322</v>
      </c>
      <c r="E67" s="18" t="n">
        <v>21.93469914</v>
      </c>
      <c r="F67" s="20" t="n">
        <v>2.21588585</v>
      </c>
      <c r="G67" s="18" t="n">
        <v>77.80505449</v>
      </c>
      <c r="H67" s="20" t="n">
        <v>2.20850407</v>
      </c>
      <c r="I67" s="18" t="n">
        <v>0</v>
      </c>
      <c r="J67" s="20" t="n">
        <v>0</v>
      </c>
      <c r="K67" s="18" t="n">
        <v>0</v>
      </c>
      <c r="L67" s="20" t="n">
        <v>0</v>
      </c>
      <c r="M67" s="18" t="n">
        <v>0</v>
      </c>
      <c r="N67" s="20" t="n">
        <v>0</v>
      </c>
      <c r="O67" s="18" t="n">
        <v>0</v>
      </c>
      <c r="P67" s="20" t="n">
        <v>0</v>
      </c>
      <c r="Q67" s="18" t="n">
        <v>0.26024637</v>
      </c>
      <c r="R67" s="20" t="n">
        <v>0.25720302</v>
      </c>
    </row>
    <row r="68" spans="1:18">
      <c r="A68" s="15" t="s">
        <v>628</v>
      </c>
      <c r="B68" s="17" t="n">
        <v>3460</v>
      </c>
      <c r="C68" s="18">
        <f>(3103.0/B68*100)</f>
        <v/>
      </c>
      <c r="D68" s="19" t="n">
        <v>357</v>
      </c>
      <c r="E68" s="18" t="n">
        <v>22.15073077</v>
      </c>
      <c r="F68" s="20" t="n">
        <v>2.18657064</v>
      </c>
      <c r="G68" s="18" t="n">
        <v>77.6251771</v>
      </c>
      <c r="H68" s="20" t="n">
        <v>2.19484878</v>
      </c>
      <c r="I68" s="18" t="n">
        <v>0</v>
      </c>
      <c r="J68" s="20" t="n">
        <v>0</v>
      </c>
      <c r="K68" s="18" t="n">
        <v>0.22409214</v>
      </c>
      <c r="L68" s="20" t="n">
        <v>0.23056295</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(5401.0/B70*100)</f>
        <v/>
      </c>
      <c r="D70" s="19" t="n">
        <v>633</v>
      </c>
      <c r="E70" s="18" t="n">
        <v>13.01557214</v>
      </c>
      <c r="F70" s="20" t="n">
        <v>1.25848102</v>
      </c>
      <c r="G70" s="18" t="n">
        <v>84.92660975</v>
      </c>
      <c r="H70" s="20" t="n">
        <v>1.35631937</v>
      </c>
      <c r="I70" s="18" t="n">
        <v>0</v>
      </c>
      <c r="J70" s="20" t="n">
        <v>0</v>
      </c>
      <c r="K70" s="18" t="n">
        <v>1.40522149</v>
      </c>
      <c r="L70" s="20" t="n">
        <v>0.48433608</v>
      </c>
      <c r="M70" s="18" t="n">
        <v>0</v>
      </c>
      <c r="N70" s="20" t="n">
        <v>0</v>
      </c>
      <c r="O70" s="18" t="n">
        <v>0</v>
      </c>
      <c r="P70" s="20" t="n">
        <v>0</v>
      </c>
      <c r="Q70" s="18" t="n">
        <v>0.65259662</v>
      </c>
      <c r="R70" s="20" t="n">
        <v>0.33031542</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(2729.0/B72*100)</f>
        <v/>
      </c>
      <c r="D72" s="19" t="n">
        <v>378</v>
      </c>
      <c r="E72" s="18" t="n">
        <v>9.94190558</v>
      </c>
      <c r="F72" s="20" t="n">
        <v>1.71306864</v>
      </c>
      <c r="G72" s="18" t="n">
        <v>89.66244347</v>
      </c>
      <c r="H72" s="20" t="n">
        <v>1.72607374</v>
      </c>
      <c r="I72" s="18" t="n">
        <v>0</v>
      </c>
      <c r="J72" s="20" t="n">
        <v>0</v>
      </c>
      <c r="K72" s="18" t="n">
        <v>0</v>
      </c>
      <c r="L72" s="20" t="n">
        <v>0</v>
      </c>
      <c r="M72" s="18" t="n">
        <v>0</v>
      </c>
      <c r="N72" s="20" t="n">
        <v>0</v>
      </c>
      <c r="O72" s="18" t="n">
        <v>0</v>
      </c>
      <c r="P72" s="20" t="n">
        <v>0</v>
      </c>
      <c r="Q72" s="18" t="n">
        <v>0.39565095</v>
      </c>
      <c r="R72" s="20" t="n">
        <v>0.29086509</v>
      </c>
    </row>
    <row r="73" spans="1:18">
      <c r="A73" s="15" t="s">
        <v>633</v>
      </c>
      <c r="B73" s="17" t="n">
        <v>2973</v>
      </c>
      <c r="C73" s="18">
        <f>(2655.0/B73*100)</f>
        <v/>
      </c>
      <c r="D73" s="19" t="n">
        <v>318</v>
      </c>
      <c r="E73" s="18" t="n">
        <v>1.27295822</v>
      </c>
      <c r="F73" s="20" t="n">
        <v>0.5604159</v>
      </c>
      <c r="G73" s="18" t="n">
        <v>98.07738356999999</v>
      </c>
      <c r="H73" s="20" t="n">
        <v>0.73476545</v>
      </c>
      <c r="I73" s="18" t="n">
        <v>0</v>
      </c>
      <c r="J73" s="20" t="n">
        <v>0</v>
      </c>
      <c r="K73" s="18" t="n">
        <v>0.64965821</v>
      </c>
      <c r="L73" s="20" t="n">
        <v>0.46437156</v>
      </c>
      <c r="M73" s="18" t="n">
        <v>0</v>
      </c>
      <c r="N73" s="20" t="n">
        <v>0</v>
      </c>
      <c r="O73" s="18" t="n">
        <v>0</v>
      </c>
      <c r="P73" s="20" t="n">
        <v>0</v>
      </c>
      <c r="Q73" s="18" t="n">
        <v>0</v>
      </c>
      <c r="R73" s="20" t="n">
        <v>0</v>
      </c>
    </row>
    <row r="74" spans="1:18">
      <c r="A74" s="15" t="s">
        <v>634</v>
      </c>
      <c r="B74" s="17" t="n">
        <v>3819</v>
      </c>
      <c r="C74" s="18">
        <f>(3405.0/B74*100)</f>
        <v/>
      </c>
      <c r="D74" s="19" t="n">
        <v>414</v>
      </c>
      <c r="E74" s="18" t="n">
        <v>8.283682130000001</v>
      </c>
      <c r="F74" s="20" t="n">
        <v>1.5433841</v>
      </c>
      <c r="G74" s="18" t="n">
        <v>91.71631787</v>
      </c>
      <c r="H74" s="20" t="n">
        <v>1.5433841</v>
      </c>
      <c r="I74" s="18" t="n">
        <v>0</v>
      </c>
      <c r="J74" s="20" t="n">
        <v>0</v>
      </c>
      <c r="K74" s="18" t="n">
        <v>0</v>
      </c>
      <c r="L74" s="20" t="n">
        <v>0</v>
      </c>
      <c r="M74" s="18" t="n">
        <v>0</v>
      </c>
      <c r="N74" s="20" t="n">
        <v>0</v>
      </c>
      <c r="O74" s="18" t="n">
        <v>0</v>
      </c>
      <c r="P74" s="20" t="n">
        <v>0</v>
      </c>
      <c r="Q74" s="18" t="n">
        <v>0</v>
      </c>
      <c r="R74" s="20" t="n">
        <v>0</v>
      </c>
    </row>
    <row r="75" spans="1:18">
      <c r="A75" s="15" t="s">
        <v>635</v>
      </c>
      <c r="B75" s="17" t="n">
        <v>4652</v>
      </c>
      <c r="C75" s="18">
        <f>(4129.0/B75*100)</f>
        <v/>
      </c>
      <c r="D75" s="19" t="n">
        <v>523</v>
      </c>
      <c r="E75" s="18" t="n">
        <v>10.35828035</v>
      </c>
      <c r="F75" s="20" t="n">
        <v>1.41259921</v>
      </c>
      <c r="G75" s="18" t="n">
        <v>89.09716546</v>
      </c>
      <c r="H75" s="20" t="n">
        <v>1.46504602</v>
      </c>
      <c r="I75" s="18" t="n">
        <v>0</v>
      </c>
      <c r="J75" s="20" t="n">
        <v>0</v>
      </c>
      <c r="K75" s="18" t="n">
        <v>0</v>
      </c>
      <c r="L75" s="20" t="n">
        <v>0</v>
      </c>
      <c r="M75" s="18" t="n">
        <v>0</v>
      </c>
      <c r="N75" s="20" t="n">
        <v>0</v>
      </c>
      <c r="O75" s="18" t="n">
        <v>0</v>
      </c>
      <c r="P75" s="20" t="n">
        <v>0</v>
      </c>
      <c r="Q75" s="18" t="n">
        <v>0.54455419</v>
      </c>
      <c r="R75" s="20" t="n">
        <v>0.38229468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(2670.0/B77*100)</f>
        <v/>
      </c>
      <c r="D77" s="19" t="n">
        <v>299</v>
      </c>
      <c r="E77" s="18" t="n">
        <v>22.51848293</v>
      </c>
      <c r="F77" s="20" t="n">
        <v>2.21535618</v>
      </c>
      <c r="G77" s="18" t="n">
        <v>73.15957833</v>
      </c>
      <c r="H77" s="20" t="n">
        <v>2.59321756</v>
      </c>
      <c r="I77" s="18" t="n">
        <v>0</v>
      </c>
      <c r="J77" s="20" t="n">
        <v>0</v>
      </c>
      <c r="K77" s="18" t="n">
        <v>3.09701385</v>
      </c>
      <c r="L77" s="20" t="n">
        <v>1.00384525</v>
      </c>
      <c r="M77" s="18" t="n">
        <v>0</v>
      </c>
      <c r="N77" s="20" t="n">
        <v>0</v>
      </c>
      <c r="O77" s="18" t="n">
        <v>0</v>
      </c>
      <c r="P77" s="20" t="n">
        <v>0</v>
      </c>
      <c r="Q77" s="18" t="n">
        <v>1.22492489</v>
      </c>
      <c r="R77" s="20" t="n">
        <v>0.6369262999999999</v>
      </c>
    </row>
    <row r="78" spans="1:18">
      <c r="A78" s="15" t="s">
        <v>638</v>
      </c>
      <c r="B78" s="17" t="n">
        <v>7115</v>
      </c>
      <c r="C78" s="18">
        <f>(6318.0/B78*100)</f>
        <v/>
      </c>
      <c r="D78" s="19" t="n">
        <v>797</v>
      </c>
      <c r="E78" s="18" t="n">
        <v>8.014442620000001</v>
      </c>
      <c r="F78" s="20" t="n">
        <v>1.02342338</v>
      </c>
      <c r="G78" s="18" t="n">
        <v>91.37662204999999</v>
      </c>
      <c r="H78" s="20" t="n">
        <v>1.08783335</v>
      </c>
      <c r="I78" s="18" t="n">
        <v>0</v>
      </c>
      <c r="J78" s="20" t="n">
        <v>0</v>
      </c>
      <c r="K78" s="18" t="n">
        <v>0.28088343</v>
      </c>
      <c r="L78" s="20" t="n">
        <v>0.18406473</v>
      </c>
      <c r="M78" s="18" t="n">
        <v>0</v>
      </c>
      <c r="N78" s="20" t="n">
        <v>0</v>
      </c>
      <c r="O78" s="18" t="n">
        <v>0</v>
      </c>
      <c r="P78" s="20" t="n">
        <v>0</v>
      </c>
      <c r="Q78" s="18" t="n">
        <v>0.32805191</v>
      </c>
      <c r="R78" s="20" t="n">
        <v>0.32619624</v>
      </c>
    </row>
    <row r="79" spans="1:18">
      <c r="A79" s="15" t="s">
        <v>639</v>
      </c>
      <c r="B79" s="17" t="n">
        <v>3154</v>
      </c>
      <c r="C79" s="18">
        <f>(2847.0/B79*100)</f>
        <v/>
      </c>
      <c r="D79" s="19" t="n">
        <v>307</v>
      </c>
      <c r="E79" s="18" t="n">
        <v>23.47893653</v>
      </c>
      <c r="F79" s="20" t="n">
        <v>2.75237487</v>
      </c>
      <c r="G79" s="18" t="n">
        <v>75.19180138999999</v>
      </c>
      <c r="H79" s="20" t="n">
        <v>2.71527836</v>
      </c>
      <c r="I79" s="18" t="n">
        <v>0</v>
      </c>
      <c r="J79" s="20" t="n">
        <v>0</v>
      </c>
      <c r="K79" s="18" t="n">
        <v>0.92553124</v>
      </c>
      <c r="L79" s="20" t="n">
        <v>0.58521668</v>
      </c>
      <c r="M79" s="18" t="n">
        <v>0</v>
      </c>
      <c r="N79" s="20" t="n">
        <v>0</v>
      </c>
      <c r="O79" s="18" t="n">
        <v>0</v>
      </c>
      <c r="P79" s="20" t="n">
        <v>0</v>
      </c>
      <c r="Q79" s="18" t="n">
        <v>0.40373084</v>
      </c>
      <c r="R79" s="20" t="n">
        <v>0.28000144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(14228.0/B82*100)</f>
        <v/>
      </c>
      <c r="D82" s="19" t="n">
        <v>1733</v>
      </c>
      <c r="E82" s="18" t="n">
        <v>16.99939457</v>
      </c>
      <c r="F82" s="20" t="n">
        <v>1.22114738</v>
      </c>
      <c r="G82" s="18" t="n">
        <v>82.66778754000001</v>
      </c>
      <c r="H82" s="20" t="n">
        <v>1.235416</v>
      </c>
      <c r="I82" s="18" t="n">
        <v>0</v>
      </c>
      <c r="J82" s="20" t="n">
        <v>0</v>
      </c>
      <c r="K82" s="18" t="n">
        <v>0.05742117</v>
      </c>
      <c r="L82" s="20" t="n">
        <v>0.04483213</v>
      </c>
      <c r="M82" s="18" t="n">
        <v>0</v>
      </c>
      <c r="N82" s="20" t="n">
        <v>0</v>
      </c>
      <c r="O82" s="18" t="n">
        <v>0</v>
      </c>
      <c r="P82" s="20" t="n">
        <v>0</v>
      </c>
      <c r="Q82" s="18" t="n">
        <v>0.27539672</v>
      </c>
      <c r="R82" s="20" t="n">
        <v>0.15833229</v>
      </c>
    </row>
    <row r="83" spans="1:18">
      <c r="A83" s="15" t="s">
        <v>643</v>
      </c>
      <c r="B83" s="17" t="n">
        <v>808</v>
      </c>
      <c r="C83" s="18">
        <f>(711.0/B83*100)</f>
        <v/>
      </c>
      <c r="D83" s="19" t="n">
        <v>97</v>
      </c>
      <c r="E83" s="18" t="n">
        <v>9.008247130000001</v>
      </c>
      <c r="F83" s="20" t="n">
        <v>2.6793045</v>
      </c>
      <c r="G83" s="18" t="n">
        <v>90.99175287</v>
      </c>
      <c r="H83" s="20" t="n">
        <v>2.6793045</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(818.0/B84*100)</f>
        <v/>
      </c>
      <c r="D84" s="19" t="n">
        <v>120</v>
      </c>
      <c r="E84" s="18" t="n">
        <v>6.74375321</v>
      </c>
      <c r="F84" s="20" t="n">
        <v>2.09946067</v>
      </c>
      <c r="G84" s="18" t="n">
        <v>93.25624679000001</v>
      </c>
      <c r="H84" s="20" t="n">
        <v>2.09946067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(6381.0/B7*100)</f>
        <v/>
      </c>
      <c r="D7" s="19" t="n">
        <v>782</v>
      </c>
      <c r="E7" s="18" t="n">
        <v>40.36593025</v>
      </c>
      <c r="F7" s="20" t="n">
        <v>2.38138484</v>
      </c>
      <c r="G7" s="18" t="n">
        <v>59.25200766</v>
      </c>
      <c r="H7" s="20" t="n">
        <v>2.38041941</v>
      </c>
      <c r="I7" s="18" t="n">
        <v>0</v>
      </c>
      <c r="J7" s="20" t="n">
        <v>0</v>
      </c>
      <c r="K7" s="18" t="n">
        <v>0</v>
      </c>
      <c r="L7" s="20" t="n">
        <v>0</v>
      </c>
      <c r="M7" s="18" t="n">
        <v>0</v>
      </c>
      <c r="N7" s="20" t="n">
        <v>0</v>
      </c>
      <c r="O7" s="18" t="n">
        <v>0</v>
      </c>
      <c r="P7" s="20" t="n">
        <v>0</v>
      </c>
      <c r="Q7" s="18" t="n">
        <v>0.38206209</v>
      </c>
      <c r="R7" s="20" t="n">
        <v>0.19541516</v>
      </c>
    </row>
    <row r="8" spans="1:18">
      <c r="A8" s="15" t="s">
        <v>566</v>
      </c>
      <c r="B8" s="17" t="n">
        <v>3443</v>
      </c>
      <c r="C8" s="18">
        <f>(3058.0/B8*100)</f>
        <v/>
      </c>
      <c r="D8" s="19" t="n">
        <v>385</v>
      </c>
      <c r="E8" s="18" t="n">
        <v>55.04197488</v>
      </c>
      <c r="F8" s="20" t="n">
        <v>2.84654024</v>
      </c>
      <c r="G8" s="18" t="n">
        <v>44.46262464</v>
      </c>
      <c r="H8" s="20" t="n">
        <v>2.8023763</v>
      </c>
      <c r="I8" s="18" t="n">
        <v>0</v>
      </c>
      <c r="J8" s="20" t="n">
        <v>0</v>
      </c>
      <c r="K8" s="18" t="n">
        <v>0.29473228</v>
      </c>
      <c r="L8" s="20" t="n">
        <v>0.33277677</v>
      </c>
      <c r="M8" s="18" t="n">
        <v>0</v>
      </c>
      <c r="N8" s="20" t="n">
        <v>0</v>
      </c>
      <c r="O8" s="18" t="n">
        <v>0</v>
      </c>
      <c r="P8" s="20" t="n">
        <v>0</v>
      </c>
      <c r="Q8" s="18" t="n">
        <v>0.2006682</v>
      </c>
      <c r="R8" s="20" t="n">
        <v>0.13819355</v>
      </c>
    </row>
    <row r="9" spans="1:18">
      <c r="A9" s="15" t="s">
        <v>567</v>
      </c>
      <c r="B9" s="17" t="n">
        <v>4752</v>
      </c>
      <c r="C9" s="18">
        <f>(4247.0/B9*100)</f>
        <v/>
      </c>
      <c r="D9" s="19" t="n">
        <v>505</v>
      </c>
      <c r="E9" s="18" t="n">
        <v>53.65903695</v>
      </c>
      <c r="F9" s="20" t="n">
        <v>2.05034434</v>
      </c>
      <c r="G9" s="18" t="n">
        <v>45.91648183</v>
      </c>
      <c r="H9" s="20" t="n">
        <v>2.05315937</v>
      </c>
      <c r="I9" s="18" t="n">
        <v>0</v>
      </c>
      <c r="J9" s="20" t="n">
        <v>0</v>
      </c>
      <c r="K9" s="18" t="n">
        <v>0</v>
      </c>
      <c r="L9" s="20" t="n">
        <v>0</v>
      </c>
      <c r="M9" s="18" t="n">
        <v>0</v>
      </c>
      <c r="N9" s="20" t="n">
        <v>0</v>
      </c>
      <c r="O9" s="18" t="n">
        <v>0</v>
      </c>
      <c r="P9" s="20" t="n">
        <v>0</v>
      </c>
      <c r="Q9" s="18" t="n">
        <v>0.42448122</v>
      </c>
      <c r="R9" s="20" t="n">
        <v>0.27748086</v>
      </c>
    </row>
    <row r="10" spans="1:18">
      <c r="A10" s="15" t="s">
        <v>568</v>
      </c>
      <c r="B10" s="17" t="n">
        <v>10022</v>
      </c>
      <c r="C10" s="18">
        <f>(8888.0/B10*100)</f>
        <v/>
      </c>
      <c r="D10" s="19" t="n">
        <v>1134</v>
      </c>
      <c r="E10" s="18" t="n">
        <v>48.0165225</v>
      </c>
      <c r="F10" s="20" t="n">
        <v>2.30151796</v>
      </c>
      <c r="G10" s="18" t="n">
        <v>51.49427637</v>
      </c>
      <c r="H10" s="20" t="n">
        <v>2.31122208</v>
      </c>
      <c r="I10" s="18" t="n">
        <v>0</v>
      </c>
      <c r="J10" s="20" t="n">
        <v>0</v>
      </c>
      <c r="K10" s="18" t="n">
        <v>0.45554022</v>
      </c>
      <c r="L10" s="20" t="n">
        <v>0.41986494</v>
      </c>
      <c r="M10" s="18" t="n">
        <v>0</v>
      </c>
      <c r="N10" s="20" t="n">
        <v>0</v>
      </c>
      <c r="O10" s="18" t="n">
        <v>0</v>
      </c>
      <c r="P10" s="20" t="n">
        <v>0</v>
      </c>
      <c r="Q10" s="18" t="n">
        <v>0.03366091</v>
      </c>
      <c r="R10" s="20" t="n">
        <v>0.02162348</v>
      </c>
    </row>
    <row r="11" spans="1:18">
      <c r="A11" s="15" t="s">
        <v>569</v>
      </c>
      <c r="B11" s="17" t="n">
        <v>3500</v>
      </c>
      <c r="C11" s="18">
        <f>(3139.0/B11*100)</f>
        <v/>
      </c>
      <c r="D11" s="19" t="n">
        <v>361</v>
      </c>
      <c r="E11" s="18" t="n">
        <v>68.72382272</v>
      </c>
      <c r="F11" s="20" t="n">
        <v>2.73200792</v>
      </c>
      <c r="G11" s="18" t="n">
        <v>30.82807322</v>
      </c>
      <c r="H11" s="20" t="n">
        <v>2.69914177</v>
      </c>
      <c r="I11" s="18" t="n">
        <v>0</v>
      </c>
      <c r="J11" s="20" t="n">
        <v>0</v>
      </c>
      <c r="K11" s="18" t="n">
        <v>0.44810406</v>
      </c>
      <c r="L11" s="20" t="n">
        <v>0.37454853</v>
      </c>
      <c r="M11" s="18" t="n">
        <v>0</v>
      </c>
      <c r="N11" s="20" t="n">
        <v>0</v>
      </c>
      <c r="O11" s="18" t="n">
        <v>0</v>
      </c>
      <c r="P11" s="20" t="n">
        <v>0</v>
      </c>
      <c r="Q11" s="18" t="n">
        <v>0</v>
      </c>
      <c r="R11" s="20" t="n">
        <v>0</v>
      </c>
    </row>
    <row r="12" spans="1:18">
      <c r="A12" s="15" t="s">
        <v>570</v>
      </c>
      <c r="B12" s="17" t="n">
        <v>3422</v>
      </c>
      <c r="C12" s="18">
        <f>(3061.0/B12*100)</f>
        <v/>
      </c>
      <c r="D12" s="19" t="n">
        <v>361</v>
      </c>
      <c r="E12" s="18" t="n">
        <v>58.92338295</v>
      </c>
      <c r="F12" s="20" t="n">
        <v>2.80662914</v>
      </c>
      <c r="G12" s="18" t="n">
        <v>40.3891034</v>
      </c>
      <c r="H12" s="20" t="n">
        <v>2.86157481</v>
      </c>
      <c r="I12" s="18" t="n">
        <v>0</v>
      </c>
      <c r="J12" s="20" t="n">
        <v>0</v>
      </c>
      <c r="K12" s="18" t="n">
        <v>0.26952916</v>
      </c>
      <c r="L12" s="20" t="n">
        <v>0.26897451</v>
      </c>
      <c r="M12" s="18" t="n">
        <v>0</v>
      </c>
      <c r="N12" s="20" t="n">
        <v>0</v>
      </c>
      <c r="O12" s="18" t="n">
        <v>0</v>
      </c>
      <c r="P12" s="20" t="n">
        <v>0</v>
      </c>
      <c r="Q12" s="18" t="n">
        <v>0.41798449</v>
      </c>
      <c r="R12" s="20" t="n">
        <v>0.31715641</v>
      </c>
    </row>
    <row r="13" spans="1:18">
      <c r="A13" s="15" t="s">
        <v>571</v>
      </c>
      <c r="B13" s="17" t="n">
        <v>3602</v>
      </c>
      <c r="C13" s="18">
        <f>(3195.0/B13*100)</f>
        <v/>
      </c>
      <c r="D13" s="19" t="n">
        <v>407</v>
      </c>
      <c r="E13" s="18" t="n">
        <v>60.48970269</v>
      </c>
      <c r="F13" s="20" t="n">
        <v>3.05476332</v>
      </c>
      <c r="G13" s="18" t="n">
        <v>39.25581902</v>
      </c>
      <c r="H13" s="20" t="n">
        <v>3.00334576</v>
      </c>
      <c r="I13" s="18" t="n">
        <v>0</v>
      </c>
      <c r="J13" s="20" t="n">
        <v>0</v>
      </c>
      <c r="K13" s="18" t="n">
        <v>0.25447829</v>
      </c>
      <c r="L13" s="20" t="n">
        <v>0.29010778</v>
      </c>
      <c r="M13" s="18" t="n">
        <v>0</v>
      </c>
      <c r="N13" s="20" t="n">
        <v>0</v>
      </c>
      <c r="O13" s="18" t="n">
        <v>0</v>
      </c>
      <c r="P13" s="20" t="n">
        <v>0</v>
      </c>
      <c r="Q13" s="18" t="n">
        <v>0</v>
      </c>
      <c r="R13" s="20" t="n">
        <v>0</v>
      </c>
    </row>
    <row r="14" spans="1:18">
      <c r="A14" s="15" t="s">
        <v>572</v>
      </c>
      <c r="B14" s="17" t="n">
        <v>2788</v>
      </c>
      <c r="C14" s="18">
        <f>(2473.0/B14*100)</f>
        <v/>
      </c>
      <c r="D14" s="19" t="n">
        <v>315</v>
      </c>
      <c r="E14" s="18" t="n">
        <v>39.37998265</v>
      </c>
      <c r="F14" s="20" t="n">
        <v>2.61741192</v>
      </c>
      <c r="G14" s="18" t="n">
        <v>60.3908811</v>
      </c>
      <c r="H14" s="20" t="n">
        <v>2.60361523</v>
      </c>
      <c r="I14" s="18" t="n">
        <v>0</v>
      </c>
      <c r="J14" s="20" t="n">
        <v>0</v>
      </c>
      <c r="K14" s="18" t="n">
        <v>0</v>
      </c>
      <c r="L14" s="20" t="n">
        <v>0</v>
      </c>
      <c r="M14" s="18" t="n">
        <v>0</v>
      </c>
      <c r="N14" s="20" t="n">
        <v>0</v>
      </c>
      <c r="O14" s="18" t="n">
        <v>0</v>
      </c>
      <c r="P14" s="20" t="n">
        <v>0</v>
      </c>
      <c r="Q14" s="18" t="n">
        <v>0.22913625</v>
      </c>
      <c r="R14" s="20" t="n">
        <v>0.22877018</v>
      </c>
    </row>
    <row r="15" spans="1:18">
      <c r="A15" s="15" t="s">
        <v>573</v>
      </c>
      <c r="B15" s="17" t="n">
        <v>2863</v>
      </c>
      <c r="C15" s="18">
        <f>(2560.0/B15*100)</f>
        <v/>
      </c>
      <c r="D15" s="19" t="n">
        <v>303</v>
      </c>
      <c r="E15" s="18" t="n">
        <v>33.29821879</v>
      </c>
      <c r="F15" s="20" t="n">
        <v>2.93186314</v>
      </c>
      <c r="G15" s="18" t="n">
        <v>66.70178120999999</v>
      </c>
      <c r="H15" s="20" t="n">
        <v>2.93186314</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(2773.0/B16*100)</f>
        <v/>
      </c>
      <c r="D16" s="19" t="n">
        <v>338</v>
      </c>
      <c r="E16" s="18" t="n">
        <v>58.25945169</v>
      </c>
      <c r="F16" s="20" t="n">
        <v>2.56810696</v>
      </c>
      <c r="G16" s="18" t="n">
        <v>41.12858545</v>
      </c>
      <c r="H16" s="20" t="n">
        <v>2.65022105</v>
      </c>
      <c r="I16" s="18" t="n">
        <v>0</v>
      </c>
      <c r="J16" s="20" t="n">
        <v>0</v>
      </c>
      <c r="K16" s="18" t="n">
        <v>0.61196286</v>
      </c>
      <c r="L16" s="20" t="n">
        <v>0.45250251</v>
      </c>
      <c r="M16" s="18" t="n">
        <v>0</v>
      </c>
      <c r="N16" s="20" t="n">
        <v>0</v>
      </c>
      <c r="O16" s="18" t="n">
        <v>0</v>
      </c>
      <c r="P16" s="20" t="n">
        <v>0</v>
      </c>
      <c r="Q16" s="18" t="n">
        <v>0</v>
      </c>
      <c r="R16" s="20" t="n">
        <v>0</v>
      </c>
    </row>
    <row r="17" spans="1:18">
      <c r="A17" s="15" t="s">
        <v>575</v>
      </c>
      <c r="B17" s="17" t="n">
        <v>3197</v>
      </c>
      <c r="C17" s="18">
        <f>(2848.0/B17*100)</f>
        <v/>
      </c>
      <c r="D17" s="19" t="n">
        <v>349</v>
      </c>
      <c r="E17" s="18" t="n">
        <v>58.32425242</v>
      </c>
      <c r="F17" s="20" t="n">
        <v>2.88055735</v>
      </c>
      <c r="G17" s="18" t="n">
        <v>41.38420238</v>
      </c>
      <c r="H17" s="20" t="n">
        <v>2.86995047</v>
      </c>
      <c r="I17" s="18" t="n">
        <v>0</v>
      </c>
      <c r="J17" s="20" t="n">
        <v>0</v>
      </c>
      <c r="K17" s="18" t="n">
        <v>0.2915452</v>
      </c>
      <c r="L17" s="20" t="n">
        <v>0.28704485</v>
      </c>
      <c r="M17" s="18" t="n">
        <v>0</v>
      </c>
      <c r="N17" s="20" t="n">
        <v>0</v>
      </c>
      <c r="O17" s="18" t="n">
        <v>0</v>
      </c>
      <c r="P17" s="20" t="n">
        <v>0</v>
      </c>
      <c r="Q17" s="18" t="n">
        <v>0</v>
      </c>
      <c r="R17" s="20" t="n">
        <v>0</v>
      </c>
    </row>
    <row r="18" spans="1:18">
      <c r="A18" s="15" t="s">
        <v>576</v>
      </c>
      <c r="B18" s="17" t="n">
        <v>2706</v>
      </c>
      <c r="C18" s="18">
        <f>(2420.0/B18*100)</f>
        <v/>
      </c>
      <c r="D18" s="19" t="n">
        <v>286</v>
      </c>
      <c r="E18" s="18" t="n">
        <v>69.32779381</v>
      </c>
      <c r="F18" s="20" t="n">
        <v>2.83311153</v>
      </c>
      <c r="G18" s="18" t="n">
        <v>30.38999533</v>
      </c>
      <c r="H18" s="20" t="n">
        <v>2.83362537</v>
      </c>
      <c r="I18" s="18" t="n">
        <v>0</v>
      </c>
      <c r="J18" s="20" t="n">
        <v>0</v>
      </c>
      <c r="K18" s="18" t="n">
        <v>0.28221086</v>
      </c>
      <c r="L18" s="20" t="n">
        <v>0.27457938</v>
      </c>
      <c r="M18" s="18" t="n">
        <v>0</v>
      </c>
      <c r="N18" s="20" t="n">
        <v>0</v>
      </c>
      <c r="O18" s="18" t="n">
        <v>0</v>
      </c>
      <c r="P18" s="20" t="n">
        <v>0</v>
      </c>
      <c r="Q18" s="18" t="n">
        <v>0</v>
      </c>
      <c r="R18" s="20" t="n">
        <v>0</v>
      </c>
    </row>
    <row r="19" spans="1:18">
      <c r="A19" s="15" t="s">
        <v>577</v>
      </c>
      <c r="B19" s="17" t="n">
        <v>2850</v>
      </c>
      <c r="C19" s="18">
        <f>(2542.0/B19*100)</f>
        <v/>
      </c>
      <c r="D19" s="19" t="n">
        <v>308</v>
      </c>
      <c r="E19" s="18" t="n">
        <v>45.49343424</v>
      </c>
      <c r="F19" s="20" t="n">
        <v>2.96248605</v>
      </c>
      <c r="G19" s="18" t="n">
        <v>53.92501449</v>
      </c>
      <c r="H19" s="20" t="n">
        <v>2.9889952</v>
      </c>
      <c r="I19" s="18" t="n">
        <v>0</v>
      </c>
      <c r="J19" s="20" t="n">
        <v>0</v>
      </c>
      <c r="K19" s="18" t="n">
        <v>0</v>
      </c>
      <c r="L19" s="20" t="n">
        <v>0</v>
      </c>
      <c r="M19" s="18" t="n">
        <v>0</v>
      </c>
      <c r="N19" s="20" t="n">
        <v>0</v>
      </c>
      <c r="O19" s="18" t="n">
        <v>0</v>
      </c>
      <c r="P19" s="20" t="n">
        <v>0</v>
      </c>
      <c r="Q19" s="18" t="n">
        <v>0.58155126</v>
      </c>
      <c r="R19" s="20" t="n">
        <v>0.5812738200000001</v>
      </c>
    </row>
    <row r="20" spans="1:18">
      <c r="A20" s="15" t="s">
        <v>578</v>
      </c>
      <c r="B20" s="17" t="n">
        <v>1741</v>
      </c>
      <c r="C20" s="18">
        <f>(1522.0/B20*100)</f>
        <v/>
      </c>
      <c r="D20" s="19" t="n">
        <v>219</v>
      </c>
      <c r="E20" s="18" t="n">
        <v>43.33163338</v>
      </c>
      <c r="F20" s="20" t="n">
        <v>3.3049363</v>
      </c>
      <c r="G20" s="18" t="n">
        <v>56.21645694</v>
      </c>
      <c r="H20" s="20" t="n">
        <v>3.36757513</v>
      </c>
      <c r="I20" s="18" t="n">
        <v>0</v>
      </c>
      <c r="J20" s="20" t="n">
        <v>0</v>
      </c>
      <c r="K20" s="18" t="n">
        <v>0</v>
      </c>
      <c r="L20" s="20" t="n">
        <v>0</v>
      </c>
      <c r="M20" s="18" t="n">
        <v>0</v>
      </c>
      <c r="N20" s="20" t="n">
        <v>0</v>
      </c>
      <c r="O20" s="18" t="n">
        <v>0</v>
      </c>
      <c r="P20" s="20" t="n">
        <v>0</v>
      </c>
      <c r="Q20" s="18" t="n">
        <v>0.45190968</v>
      </c>
      <c r="R20" s="20" t="n">
        <v>0.45327751</v>
      </c>
    </row>
    <row r="21" spans="1:18">
      <c r="A21" s="15" t="s">
        <v>579</v>
      </c>
      <c r="B21" s="17" t="n">
        <v>2833</v>
      </c>
      <c r="C21" s="18">
        <f>(2528.0/B21*100)</f>
        <v/>
      </c>
      <c r="D21" s="19" t="n">
        <v>305</v>
      </c>
      <c r="E21" s="18" t="n">
        <v>46.80646614</v>
      </c>
      <c r="F21" s="20" t="n">
        <v>2.90512807</v>
      </c>
      <c r="G21" s="18" t="n">
        <v>53.19353386</v>
      </c>
      <c r="H21" s="20" t="n">
        <v>2.90512807</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(3240.0/B22*100)</f>
        <v/>
      </c>
      <c r="D22" s="19" t="n">
        <v>427</v>
      </c>
      <c r="E22" s="18" t="n">
        <v>58.49084116</v>
      </c>
      <c r="F22" s="20" t="n">
        <v>2.21625764</v>
      </c>
      <c r="G22" s="18" t="n">
        <v>40.84010984</v>
      </c>
      <c r="H22" s="20" t="n">
        <v>2.17296921</v>
      </c>
      <c r="I22" s="18" t="n">
        <v>0</v>
      </c>
      <c r="J22" s="20" t="n">
        <v>0</v>
      </c>
      <c r="K22" s="18" t="n">
        <v>0.22281125</v>
      </c>
      <c r="L22" s="20" t="n">
        <v>0.24705304</v>
      </c>
      <c r="M22" s="18" t="n">
        <v>0</v>
      </c>
      <c r="N22" s="20" t="n">
        <v>0</v>
      </c>
      <c r="O22" s="18" t="n">
        <v>0</v>
      </c>
      <c r="P22" s="20" t="n">
        <v>0</v>
      </c>
      <c r="Q22" s="18" t="n">
        <v>0.44623775</v>
      </c>
      <c r="R22" s="20" t="n">
        <v>0.31607557</v>
      </c>
    </row>
    <row r="23" spans="1:18">
      <c r="A23" s="15" t="s">
        <v>581</v>
      </c>
      <c r="B23" s="17" t="n">
        <v>5792</v>
      </c>
      <c r="C23" s="18">
        <f>(5158.0/B23*100)</f>
        <v/>
      </c>
      <c r="D23" s="19" t="n">
        <v>634</v>
      </c>
      <c r="E23" s="18" t="n">
        <v>39.0048861</v>
      </c>
      <c r="F23" s="20" t="n">
        <v>2.50359635</v>
      </c>
      <c r="G23" s="18" t="n">
        <v>60.36416674</v>
      </c>
      <c r="H23" s="20" t="n">
        <v>2.43784399</v>
      </c>
      <c r="I23" s="18" t="n">
        <v>0</v>
      </c>
      <c r="J23" s="20" t="n">
        <v>0</v>
      </c>
      <c r="K23" s="18" t="n">
        <v>0.28964057</v>
      </c>
      <c r="L23" s="20" t="n">
        <v>0.27329455</v>
      </c>
      <c r="M23" s="18" t="n">
        <v>0</v>
      </c>
      <c r="N23" s="20" t="n">
        <v>0</v>
      </c>
      <c r="O23" s="18" t="n">
        <v>0</v>
      </c>
      <c r="P23" s="20" t="n">
        <v>0</v>
      </c>
      <c r="Q23" s="18" t="n">
        <v>0.34130658</v>
      </c>
      <c r="R23" s="20" t="n">
        <v>0.31286931</v>
      </c>
    </row>
    <row r="24" spans="1:18">
      <c r="A24" s="15" t="s">
        <v>582</v>
      </c>
      <c r="B24" s="17" t="n">
        <v>3309</v>
      </c>
      <c r="C24" s="18">
        <f>(2953.0/B24*100)</f>
        <v/>
      </c>
      <c r="D24" s="19" t="n">
        <v>356</v>
      </c>
      <c r="E24" s="18" t="n">
        <v>0</v>
      </c>
      <c r="F24" s="20" t="n">
        <v>0</v>
      </c>
      <c r="G24" s="18" t="n">
        <v>0</v>
      </c>
      <c r="H24" s="20" t="n">
        <v>0</v>
      </c>
      <c r="I24" s="18" t="n">
        <v>0</v>
      </c>
      <c r="J24" s="20" t="n">
        <v>0</v>
      </c>
      <c r="K24" s="18" t="n">
        <v>0</v>
      </c>
      <c r="L24" s="20" t="n">
        <v>0</v>
      </c>
      <c r="M24" s="18" t="n">
        <v>100</v>
      </c>
      <c r="N24" s="20" t="n">
        <v>0</v>
      </c>
      <c r="O24" s="18" t="n">
        <v>0</v>
      </c>
      <c r="P24" s="20" t="n">
        <v>0</v>
      </c>
      <c r="Q24" s="18" t="n">
        <v>0</v>
      </c>
      <c r="R24" s="20" t="n">
        <v>0</v>
      </c>
    </row>
    <row r="25" spans="1:18">
      <c r="A25" s="15" t="s">
        <v>583</v>
      </c>
      <c r="B25" s="17" t="n">
        <v>2669</v>
      </c>
      <c r="C25" s="18">
        <f>(2362.0/B25*100)</f>
        <v/>
      </c>
      <c r="D25" s="19" t="n">
        <v>307</v>
      </c>
      <c r="E25" s="18" t="n">
        <v>0</v>
      </c>
      <c r="F25" s="20" t="n">
        <v>0</v>
      </c>
      <c r="G25" s="18" t="n">
        <v>0</v>
      </c>
      <c r="H25" s="20" t="n">
        <v>0</v>
      </c>
      <c r="I25" s="18" t="n">
        <v>0</v>
      </c>
      <c r="J25" s="20" t="n">
        <v>0</v>
      </c>
      <c r="K25" s="18" t="n">
        <v>0</v>
      </c>
      <c r="L25" s="20" t="n">
        <v>0</v>
      </c>
      <c r="M25" s="18" t="n">
        <v>100</v>
      </c>
      <c r="N25" s="20" t="n">
        <v>0</v>
      </c>
      <c r="O25" s="18" t="n">
        <v>0</v>
      </c>
      <c r="P25" s="20" t="n">
        <v>0</v>
      </c>
      <c r="Q25" s="18" t="n">
        <v>0</v>
      </c>
      <c r="R25" s="20" t="n">
        <v>0</v>
      </c>
    </row>
    <row r="26" spans="1:18">
      <c r="A26" s="15" t="s">
        <v>584</v>
      </c>
      <c r="B26" s="17" t="n">
        <v>2419</v>
      </c>
      <c r="C26" s="18">
        <f>(2159.0/B26*100)</f>
        <v/>
      </c>
      <c r="D26" s="19" t="n">
        <v>260</v>
      </c>
      <c r="E26" s="18" t="n">
        <v>61.36030806</v>
      </c>
      <c r="F26" s="20" t="n">
        <v>3.43163647</v>
      </c>
      <c r="G26" s="18" t="n">
        <v>38.33897221</v>
      </c>
      <c r="H26" s="20" t="n">
        <v>3.41561499</v>
      </c>
      <c r="I26" s="18" t="n">
        <v>0</v>
      </c>
      <c r="J26" s="20" t="n">
        <v>0</v>
      </c>
      <c r="K26" s="18" t="n">
        <v>0</v>
      </c>
      <c r="L26" s="20" t="n">
        <v>0</v>
      </c>
      <c r="M26" s="18" t="n">
        <v>0</v>
      </c>
      <c r="N26" s="20" t="n">
        <v>0</v>
      </c>
      <c r="O26" s="18" t="n">
        <v>0</v>
      </c>
      <c r="P26" s="20" t="n">
        <v>0</v>
      </c>
      <c r="Q26" s="18" t="n">
        <v>0.30071973</v>
      </c>
      <c r="R26" s="20" t="n">
        <v>0.32794846</v>
      </c>
    </row>
    <row r="27" spans="1:18">
      <c r="A27" s="15" t="s">
        <v>585</v>
      </c>
      <c r="B27" s="17" t="n">
        <v>2683</v>
      </c>
      <c r="C27" s="18">
        <f>(2372.0/B27*100)</f>
        <v/>
      </c>
      <c r="D27" s="19" t="n">
        <v>311</v>
      </c>
      <c r="E27" s="18" t="n">
        <v>55.62916165</v>
      </c>
      <c r="F27" s="20" t="n">
        <v>2.69183764</v>
      </c>
      <c r="G27" s="18" t="n">
        <v>43.98861011</v>
      </c>
      <c r="H27" s="20" t="n">
        <v>2.70715215</v>
      </c>
      <c r="I27" s="18" t="n">
        <v>0</v>
      </c>
      <c r="J27" s="20" t="n">
        <v>0</v>
      </c>
      <c r="K27" s="18" t="n">
        <v>0</v>
      </c>
      <c r="L27" s="20" t="n">
        <v>0</v>
      </c>
      <c r="M27" s="18" t="n">
        <v>0</v>
      </c>
      <c r="N27" s="20" t="n">
        <v>0</v>
      </c>
      <c r="O27" s="18" t="n">
        <v>0</v>
      </c>
      <c r="P27" s="20" t="n">
        <v>0</v>
      </c>
      <c r="Q27" s="18" t="n">
        <v>0.38222824</v>
      </c>
      <c r="R27" s="20" t="n">
        <v>0.35893763</v>
      </c>
    </row>
    <row r="28" spans="1:18">
      <c r="A28" s="15" t="s">
        <v>586</v>
      </c>
      <c r="B28" s="17" t="n">
        <v>3803</v>
      </c>
      <c r="C28" s="18">
        <f>(3417.0/B28*100)</f>
        <v/>
      </c>
      <c r="D28" s="19" t="n">
        <v>386</v>
      </c>
      <c r="E28" s="18" t="n">
        <v>74.15671481</v>
      </c>
      <c r="F28" s="20" t="n">
        <v>2.37043722</v>
      </c>
      <c r="G28" s="18" t="n">
        <v>22.91575794</v>
      </c>
      <c r="H28" s="20" t="n">
        <v>2.27676341</v>
      </c>
      <c r="I28" s="18" t="n">
        <v>0</v>
      </c>
      <c r="J28" s="20" t="n">
        <v>0</v>
      </c>
      <c r="K28" s="18" t="n">
        <v>1.52095558</v>
      </c>
      <c r="L28" s="20" t="n">
        <v>0.60725598</v>
      </c>
      <c r="M28" s="18" t="n">
        <v>0</v>
      </c>
      <c r="N28" s="20" t="n">
        <v>0</v>
      </c>
      <c r="O28" s="18" t="n">
        <v>0</v>
      </c>
      <c r="P28" s="20" t="n">
        <v>0</v>
      </c>
      <c r="Q28" s="18" t="n">
        <v>1.40657167</v>
      </c>
      <c r="R28" s="20" t="n">
        <v>0.71177587</v>
      </c>
    </row>
    <row r="29" spans="1:18">
      <c r="A29" s="15" t="s">
        <v>587</v>
      </c>
      <c r="B29" s="17" t="n">
        <v>2700</v>
      </c>
      <c r="C29" s="18">
        <f>(2408.0/B29*100)</f>
        <v/>
      </c>
      <c r="D29" s="19" t="n">
        <v>292</v>
      </c>
      <c r="E29" s="18" t="n">
        <v>47.00767573</v>
      </c>
      <c r="F29" s="20" t="n">
        <v>2.7589098</v>
      </c>
      <c r="G29" s="18" t="n">
        <v>52.99232427</v>
      </c>
      <c r="H29" s="20" t="n">
        <v>2.7589098</v>
      </c>
      <c r="I29" s="18" t="n">
        <v>0</v>
      </c>
      <c r="J29" s="20" t="n">
        <v>0</v>
      </c>
      <c r="K29" s="18" t="n">
        <v>0</v>
      </c>
      <c r="L29" s="20" t="n">
        <v>0</v>
      </c>
      <c r="M29" s="18" t="n">
        <v>0</v>
      </c>
      <c r="N29" s="20" t="n">
        <v>0</v>
      </c>
      <c r="O29" s="18" t="n">
        <v>0</v>
      </c>
      <c r="P29" s="20" t="n">
        <v>0</v>
      </c>
      <c r="Q29" s="18" t="n">
        <v>0</v>
      </c>
      <c r="R29" s="20" t="n">
        <v>0</v>
      </c>
    </row>
    <row r="30" spans="1:18">
      <c r="A30" s="15" t="s">
        <v>588</v>
      </c>
      <c r="B30" s="17" t="n">
        <v>2257</v>
      </c>
      <c r="C30" s="18">
        <f>(2002.0/B30*100)</f>
        <v/>
      </c>
      <c r="D30" s="19" t="n">
        <v>255</v>
      </c>
      <c r="E30" s="18" t="n">
        <v>46.98537575</v>
      </c>
      <c r="F30" s="20" t="n">
        <v>2.90248022</v>
      </c>
      <c r="G30" s="18" t="n">
        <v>52.6121267</v>
      </c>
      <c r="H30" s="20" t="n">
        <v>2.89051473</v>
      </c>
      <c r="I30" s="18" t="n">
        <v>0</v>
      </c>
      <c r="J30" s="20" t="n">
        <v>0</v>
      </c>
      <c r="K30" s="18" t="n">
        <v>0</v>
      </c>
      <c r="L30" s="20" t="n">
        <v>0</v>
      </c>
      <c r="M30" s="18" t="n">
        <v>0</v>
      </c>
      <c r="N30" s="20" t="n">
        <v>0</v>
      </c>
      <c r="O30" s="18" t="n">
        <v>0</v>
      </c>
      <c r="P30" s="20" t="n">
        <v>0</v>
      </c>
      <c r="Q30" s="18" t="n">
        <v>0.40249755</v>
      </c>
      <c r="R30" s="20" t="n">
        <v>0.35562762</v>
      </c>
    </row>
    <row r="31" spans="1:18">
      <c r="A31" s="15" t="s">
        <v>589</v>
      </c>
      <c r="B31" s="17" t="n">
        <v>2706</v>
      </c>
      <c r="C31" s="18">
        <f>(2411.0/B31*100)</f>
        <v/>
      </c>
      <c r="D31" s="19" t="n">
        <v>295</v>
      </c>
      <c r="E31" s="18" t="n">
        <v>38.74687764</v>
      </c>
      <c r="F31" s="20" t="n">
        <v>2.82136826</v>
      </c>
      <c r="G31" s="18" t="n">
        <v>60.62741894</v>
      </c>
      <c r="H31" s="20" t="n">
        <v>2.81812276</v>
      </c>
      <c r="I31" s="18" t="n">
        <v>0</v>
      </c>
      <c r="J31" s="20" t="n">
        <v>0</v>
      </c>
      <c r="K31" s="18" t="n">
        <v>0.62570341</v>
      </c>
      <c r="L31" s="20" t="n">
        <v>0.42052528</v>
      </c>
      <c r="M31" s="18" t="n">
        <v>0</v>
      </c>
      <c r="N31" s="20" t="n">
        <v>0</v>
      </c>
      <c r="O31" s="18" t="n">
        <v>0</v>
      </c>
      <c r="P31" s="20" t="n">
        <v>0</v>
      </c>
      <c r="Q31" s="18" t="n">
        <v>0</v>
      </c>
      <c r="R31" s="20" t="n">
        <v>0</v>
      </c>
    </row>
    <row r="32" spans="1:18">
      <c r="A32" s="15" t="s">
        <v>590</v>
      </c>
      <c r="B32" s="17" t="n">
        <v>2209</v>
      </c>
      <c r="C32" s="18">
        <f>(1967.0/B32*100)</f>
        <v/>
      </c>
      <c r="D32" s="19" t="n">
        <v>242</v>
      </c>
      <c r="E32" s="18" t="n">
        <v>49.34057418</v>
      </c>
      <c r="F32" s="20" t="n">
        <v>3.15445999</v>
      </c>
      <c r="G32" s="18" t="n">
        <v>50.65942582</v>
      </c>
      <c r="H32" s="20" t="n">
        <v>3.15445999</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(3270.0/B33*100)</f>
        <v/>
      </c>
      <c r="D33" s="19" t="n">
        <v>381</v>
      </c>
      <c r="E33" s="18" t="n">
        <v>57.57698389</v>
      </c>
      <c r="F33" s="20" t="n">
        <v>2.91031696</v>
      </c>
      <c r="G33" s="18" t="n">
        <v>42.42301611</v>
      </c>
      <c r="H33" s="20" t="n">
        <v>2.91031696</v>
      </c>
      <c r="I33" s="18" t="n">
        <v>0</v>
      </c>
      <c r="J33" s="20" t="n">
        <v>0</v>
      </c>
      <c r="K33" s="18" t="n">
        <v>0</v>
      </c>
      <c r="L33" s="20" t="n">
        <v>0</v>
      </c>
      <c r="M33" s="18" t="n">
        <v>0</v>
      </c>
      <c r="N33" s="20" t="n">
        <v>0</v>
      </c>
      <c r="O33" s="18" t="n">
        <v>0</v>
      </c>
      <c r="P33" s="20" t="n">
        <v>0</v>
      </c>
      <c r="Q33" s="18" t="n">
        <v>0</v>
      </c>
      <c r="R33" s="20" t="n">
        <v>0</v>
      </c>
    </row>
    <row r="34" spans="1:18">
      <c r="A34" s="15" t="s">
        <v>592</v>
      </c>
      <c r="B34" s="17" t="n">
        <v>3035</v>
      </c>
      <c r="C34" s="18">
        <f>(2694.0/B34*100)</f>
        <v/>
      </c>
      <c r="D34" s="19" t="n">
        <v>341</v>
      </c>
      <c r="E34" s="18" t="n">
        <v>66.24067662</v>
      </c>
      <c r="F34" s="20" t="n">
        <v>2.25974773</v>
      </c>
      <c r="G34" s="18" t="n">
        <v>33.75932338</v>
      </c>
      <c r="H34" s="20" t="n">
        <v>2.25974773</v>
      </c>
      <c r="I34" s="18" t="n">
        <v>0</v>
      </c>
      <c r="J34" s="20" t="n">
        <v>0</v>
      </c>
      <c r="K34" s="18" t="n">
        <v>0</v>
      </c>
      <c r="L34" s="20" t="n">
        <v>0</v>
      </c>
      <c r="M34" s="18" t="n">
        <v>0</v>
      </c>
      <c r="N34" s="20" t="n">
        <v>0</v>
      </c>
      <c r="O34" s="18" t="n">
        <v>0</v>
      </c>
      <c r="P34" s="20" t="n">
        <v>0</v>
      </c>
      <c r="Q34" s="18" t="n">
        <v>0</v>
      </c>
      <c r="R34" s="20" t="n">
        <v>0</v>
      </c>
    </row>
    <row r="35" spans="1:18">
      <c r="A35" s="15" t="s">
        <v>593</v>
      </c>
      <c r="B35" s="17" t="n">
        <v>2901</v>
      </c>
      <c r="C35" s="18">
        <f>(2607.0/B35*100)</f>
        <v/>
      </c>
      <c r="D35" s="19" t="n">
        <v>294</v>
      </c>
      <c r="E35" s="18" t="n">
        <v>51.09946142</v>
      </c>
      <c r="F35" s="20" t="n">
        <v>3.70058278</v>
      </c>
      <c r="G35" s="18" t="n">
        <v>48.15764834</v>
      </c>
      <c r="H35" s="20" t="n">
        <v>3.75342853</v>
      </c>
      <c r="I35" s="18" t="n">
        <v>0</v>
      </c>
      <c r="J35" s="20" t="n">
        <v>0</v>
      </c>
      <c r="K35" s="18" t="n">
        <v>0</v>
      </c>
      <c r="L35" s="20" t="n">
        <v>0</v>
      </c>
      <c r="M35" s="18" t="n">
        <v>0</v>
      </c>
      <c r="N35" s="20" t="n">
        <v>0</v>
      </c>
      <c r="O35" s="18" t="n">
        <v>0</v>
      </c>
      <c r="P35" s="20" t="n">
        <v>0</v>
      </c>
      <c r="Q35" s="18" t="n">
        <v>0.74289024</v>
      </c>
      <c r="R35" s="20" t="n">
        <v>0.57460256</v>
      </c>
    </row>
    <row r="36" spans="1:18">
      <c r="A36" s="15" t="s">
        <v>594</v>
      </c>
      <c r="B36" s="17" t="n">
        <v>3404</v>
      </c>
      <c r="C36" s="18">
        <f>(3045.0/B36*100)</f>
        <v/>
      </c>
      <c r="D36" s="19" t="n">
        <v>359</v>
      </c>
      <c r="E36" s="18" t="n">
        <v>48.28815066</v>
      </c>
      <c r="F36" s="20" t="n">
        <v>2.59433603</v>
      </c>
      <c r="G36" s="18" t="n">
        <v>51.71184934</v>
      </c>
      <c r="H36" s="20" t="n">
        <v>2.59433603</v>
      </c>
      <c r="I36" s="18" t="n">
        <v>0</v>
      </c>
      <c r="J36" s="20" t="n">
        <v>0</v>
      </c>
      <c r="K36" s="18" t="n">
        <v>0</v>
      </c>
      <c r="L36" s="20" t="n">
        <v>0</v>
      </c>
      <c r="M36" s="18" t="n">
        <v>0</v>
      </c>
      <c r="N36" s="20" t="n">
        <v>0</v>
      </c>
      <c r="O36" s="18" t="n">
        <v>0</v>
      </c>
      <c r="P36" s="20" t="n">
        <v>0</v>
      </c>
      <c r="Q36" s="18" t="n">
        <v>0</v>
      </c>
      <c r="R36" s="20" t="n">
        <v>0</v>
      </c>
    </row>
    <row r="37" spans="1:18">
      <c r="A37" s="15" t="s">
        <v>595</v>
      </c>
      <c r="B37" s="17" t="n">
        <v>2731</v>
      </c>
      <c r="C37" s="18">
        <f>(2425.0/B37*100)</f>
        <v/>
      </c>
      <c r="D37" s="19" t="n">
        <v>306</v>
      </c>
      <c r="E37" s="18" t="n">
        <v>57.33329807</v>
      </c>
      <c r="F37" s="20" t="n">
        <v>2.72753075</v>
      </c>
      <c r="G37" s="18" t="n">
        <v>42.33024245</v>
      </c>
      <c r="H37" s="20" t="n">
        <v>2.70333348</v>
      </c>
      <c r="I37" s="18" t="n">
        <v>0</v>
      </c>
      <c r="J37" s="20" t="n">
        <v>0</v>
      </c>
      <c r="K37" s="18" t="n">
        <v>0</v>
      </c>
      <c r="L37" s="20" t="n">
        <v>0</v>
      </c>
      <c r="M37" s="18" t="n">
        <v>0</v>
      </c>
      <c r="N37" s="20" t="n">
        <v>0</v>
      </c>
      <c r="O37" s="18" t="n">
        <v>0</v>
      </c>
      <c r="P37" s="20" t="n">
        <v>0</v>
      </c>
      <c r="Q37" s="18" t="n">
        <v>0.33645948</v>
      </c>
      <c r="R37" s="20" t="n">
        <v>0.34034226</v>
      </c>
    </row>
    <row r="38" spans="1:18">
      <c r="A38" s="15" t="s">
        <v>596</v>
      </c>
      <c r="B38" s="17" t="n">
        <v>2807</v>
      </c>
      <c r="C38" s="18">
        <f>(2489.0/B38*100)</f>
        <v/>
      </c>
      <c r="D38" s="19" t="n">
        <v>318</v>
      </c>
      <c r="E38" s="18" t="n">
        <v>56.50541701</v>
      </c>
      <c r="F38" s="20" t="n">
        <v>3.02183252</v>
      </c>
      <c r="G38" s="18" t="n">
        <v>43.45268009</v>
      </c>
      <c r="H38" s="20" t="n">
        <v>3.02014657</v>
      </c>
      <c r="I38" s="18" t="n">
        <v>0</v>
      </c>
      <c r="J38" s="20" t="n">
        <v>0</v>
      </c>
      <c r="K38" s="18" t="n">
        <v>0</v>
      </c>
      <c r="L38" s="20" t="n">
        <v>0</v>
      </c>
      <c r="M38" s="18" t="n">
        <v>0</v>
      </c>
      <c r="N38" s="20" t="n">
        <v>0</v>
      </c>
      <c r="O38" s="18" t="n">
        <v>0</v>
      </c>
      <c r="P38" s="20" t="n">
        <v>0</v>
      </c>
      <c r="Q38" s="18" t="n">
        <v>0.0419029</v>
      </c>
      <c r="R38" s="20" t="n">
        <v>0.03433856</v>
      </c>
    </row>
    <row r="39" spans="1:18">
      <c r="A39" s="15" t="s">
        <v>597</v>
      </c>
      <c r="B39" s="17" t="n">
        <v>2938</v>
      </c>
      <c r="C39" s="18">
        <f>(2624.0/B39*100)</f>
        <v/>
      </c>
      <c r="D39" s="19" t="n">
        <v>314</v>
      </c>
      <c r="E39" s="18" t="n">
        <v>62.11421515</v>
      </c>
      <c r="F39" s="20" t="n">
        <v>2.92034745</v>
      </c>
      <c r="G39" s="18" t="n">
        <v>37.39448746</v>
      </c>
      <c r="H39" s="20" t="n">
        <v>2.98268596</v>
      </c>
      <c r="I39" s="18" t="n">
        <v>0</v>
      </c>
      <c r="J39" s="20" t="n">
        <v>0</v>
      </c>
      <c r="K39" s="18" t="n">
        <v>0</v>
      </c>
      <c r="L39" s="20" t="n">
        <v>0</v>
      </c>
      <c r="M39" s="18" t="n">
        <v>0</v>
      </c>
      <c r="N39" s="20" t="n">
        <v>0</v>
      </c>
      <c r="O39" s="18" t="n">
        <v>0</v>
      </c>
      <c r="P39" s="20" t="n">
        <v>0</v>
      </c>
      <c r="Q39" s="18" t="n">
        <v>0.49129739</v>
      </c>
      <c r="R39" s="20" t="n">
        <v>0.37954441</v>
      </c>
    </row>
    <row r="40" spans="1:18">
      <c r="A40" s="15" t="s">
        <v>598</v>
      </c>
      <c r="B40" s="17" t="n">
        <v>6922</v>
      </c>
      <c r="C40" s="18">
        <f>(6146.0/B40*100)</f>
        <v/>
      </c>
      <c r="D40" s="19" t="n">
        <v>776</v>
      </c>
      <c r="E40" s="18" t="n">
        <v>46.86758476</v>
      </c>
      <c r="F40" s="20" t="n">
        <v>2.8474845</v>
      </c>
      <c r="G40" s="18" t="n">
        <v>52.65237871</v>
      </c>
      <c r="H40" s="20" t="n">
        <v>2.8961629</v>
      </c>
      <c r="I40" s="18" t="n">
        <v>0</v>
      </c>
      <c r="J40" s="20" t="n">
        <v>0</v>
      </c>
      <c r="K40" s="18" t="n">
        <v>0.41272611</v>
      </c>
      <c r="L40" s="20" t="n">
        <v>0.37529921</v>
      </c>
      <c r="M40" s="18" t="n">
        <v>0</v>
      </c>
      <c r="N40" s="20" t="n">
        <v>0</v>
      </c>
      <c r="O40" s="18" t="n">
        <v>0</v>
      </c>
      <c r="P40" s="20" t="n">
        <v>0</v>
      </c>
      <c r="Q40" s="18" t="n">
        <v>0.06731042</v>
      </c>
      <c r="R40" s="20" t="n">
        <v>0.05106817</v>
      </c>
    </row>
    <row r="41" spans="1:18">
      <c r="A41" s="15" t="s">
        <v>599</v>
      </c>
      <c r="B41" s="17" t="n">
        <v>2854</v>
      </c>
      <c r="C41" s="18">
        <f>(2549.0/B41*100)</f>
        <v/>
      </c>
      <c r="D41" s="19" t="n">
        <v>305</v>
      </c>
      <c r="E41" s="18" t="n">
        <v>51.99378014</v>
      </c>
      <c r="F41" s="20" t="n">
        <v>2.63987631</v>
      </c>
      <c r="G41" s="18" t="n">
        <v>47.73020402</v>
      </c>
      <c r="H41" s="20" t="n">
        <v>2.65680441</v>
      </c>
      <c r="I41" s="18" t="n">
        <v>0</v>
      </c>
      <c r="J41" s="20" t="n">
        <v>0</v>
      </c>
      <c r="K41" s="18" t="n">
        <v>0</v>
      </c>
      <c r="L41" s="20" t="n">
        <v>0</v>
      </c>
      <c r="M41" s="18" t="n">
        <v>0</v>
      </c>
      <c r="N41" s="20" t="n">
        <v>0</v>
      </c>
      <c r="O41" s="18" t="n">
        <v>0</v>
      </c>
      <c r="P41" s="20" t="n">
        <v>0</v>
      </c>
      <c r="Q41" s="18" t="n">
        <v>0.27601585</v>
      </c>
      <c r="R41" s="20" t="n">
        <v>0.26773422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(10993.0/B46*100)</f>
        <v/>
      </c>
      <c r="D46" s="19" t="n">
        <v>1080</v>
      </c>
      <c r="E46" s="18" t="n">
        <v>67.67479736</v>
      </c>
      <c r="F46" s="20" t="n">
        <v>1.81929856</v>
      </c>
      <c r="G46" s="18" t="n">
        <v>30.89019351</v>
      </c>
      <c r="H46" s="20" t="n">
        <v>1.72504058</v>
      </c>
      <c r="I46" s="18" t="n">
        <v>0</v>
      </c>
      <c r="J46" s="20" t="n">
        <v>0</v>
      </c>
      <c r="K46" s="18" t="n">
        <v>0.27979972</v>
      </c>
      <c r="L46" s="20" t="n">
        <v>0.17885882</v>
      </c>
      <c r="M46" s="18" t="n">
        <v>0</v>
      </c>
      <c r="N46" s="20" t="n">
        <v>0</v>
      </c>
      <c r="O46" s="18" t="n">
        <v>0</v>
      </c>
      <c r="P46" s="20" t="n">
        <v>0</v>
      </c>
      <c r="Q46" s="18" t="n">
        <v>1.1552094</v>
      </c>
      <c r="R46" s="20" t="n">
        <v>0.41667352</v>
      </c>
    </row>
    <row r="47" spans="1:18">
      <c r="A47" s="15" t="s">
        <v>606</v>
      </c>
      <c r="B47" s="17" t="n">
        <v>2823</v>
      </c>
      <c r="C47" s="18">
        <f>(2504.0/B47*100)</f>
        <v/>
      </c>
      <c r="D47" s="19" t="n">
        <v>319</v>
      </c>
      <c r="E47" s="18" t="n">
        <v>48.8935865</v>
      </c>
      <c r="F47" s="20" t="n">
        <v>2.75432578</v>
      </c>
      <c r="G47" s="18" t="n">
        <v>50.81558371</v>
      </c>
      <c r="H47" s="20" t="n">
        <v>2.74085399</v>
      </c>
      <c r="I47" s="18" t="n">
        <v>0</v>
      </c>
      <c r="J47" s="20" t="n">
        <v>0</v>
      </c>
      <c r="K47" s="18" t="n">
        <v>0</v>
      </c>
      <c r="L47" s="20" t="n">
        <v>0</v>
      </c>
      <c r="M47" s="18" t="n">
        <v>0</v>
      </c>
      <c r="N47" s="20" t="n">
        <v>0</v>
      </c>
      <c r="O47" s="18" t="n">
        <v>0</v>
      </c>
      <c r="P47" s="20" t="n">
        <v>0</v>
      </c>
      <c r="Q47" s="18" t="n">
        <v>0.29082979</v>
      </c>
      <c r="R47" s="20" t="n">
        <v>0.28848732</v>
      </c>
    </row>
    <row r="48" spans="1:18">
      <c r="A48" s="15" t="s">
        <v>607</v>
      </c>
      <c r="B48" s="17" t="n">
        <v>4682</v>
      </c>
      <c r="C48" s="18">
        <f>(4168.0/B48*100)</f>
        <v/>
      </c>
      <c r="D48" s="19" t="n">
        <v>514</v>
      </c>
      <c r="E48" s="18" t="n">
        <v>62.61904079</v>
      </c>
      <c r="F48" s="20" t="n">
        <v>2.91799232</v>
      </c>
      <c r="G48" s="18" t="n">
        <v>36.5820535</v>
      </c>
      <c r="H48" s="20" t="n">
        <v>2.76299089</v>
      </c>
      <c r="I48" s="18" t="n">
        <v>0</v>
      </c>
      <c r="J48" s="20" t="n">
        <v>0</v>
      </c>
      <c r="K48" s="18" t="n">
        <v>0.472321</v>
      </c>
      <c r="L48" s="20" t="n">
        <v>0.47482287</v>
      </c>
      <c r="M48" s="18" t="n">
        <v>0</v>
      </c>
      <c r="N48" s="20" t="n">
        <v>0</v>
      </c>
      <c r="O48" s="18" t="n">
        <v>0</v>
      </c>
      <c r="P48" s="20" t="n">
        <v>0</v>
      </c>
      <c r="Q48" s="18" t="n">
        <v>0.32658471</v>
      </c>
      <c r="R48" s="20" t="n">
        <v>0.30523893</v>
      </c>
    </row>
    <row r="49" spans="1:18">
      <c r="A49" s="15" t="s">
        <v>608</v>
      </c>
      <c r="B49" s="17" t="n">
        <v>6158</v>
      </c>
      <c r="C49" s="18">
        <f>(5499.0/B49*100)</f>
        <v/>
      </c>
      <c r="D49" s="19" t="n">
        <v>659</v>
      </c>
      <c r="E49" s="18" t="n">
        <v>67.87481701999999</v>
      </c>
      <c r="F49" s="20" t="n">
        <v>2.69672431</v>
      </c>
      <c r="G49" s="18" t="n">
        <v>31.66799736</v>
      </c>
      <c r="H49" s="20" t="n">
        <v>2.68336922</v>
      </c>
      <c r="I49" s="18" t="n">
        <v>0</v>
      </c>
      <c r="J49" s="20" t="n">
        <v>0</v>
      </c>
      <c r="K49" s="18" t="n">
        <v>0.11675088</v>
      </c>
      <c r="L49" s="20" t="n">
        <v>0.09215495999999999</v>
      </c>
      <c r="M49" s="18" t="n">
        <v>0</v>
      </c>
      <c r="N49" s="20" t="n">
        <v>0</v>
      </c>
      <c r="O49" s="18" t="n">
        <v>0</v>
      </c>
      <c r="P49" s="20" t="n">
        <v>0</v>
      </c>
      <c r="Q49" s="18" t="n">
        <v>0.34043474</v>
      </c>
      <c r="R49" s="20" t="n">
        <v>0.28609033</v>
      </c>
    </row>
    <row r="50" spans="1:18">
      <c r="A50" s="15" t="s">
        <v>609</v>
      </c>
      <c r="B50" s="17" t="n">
        <v>3494</v>
      </c>
      <c r="C50" s="18">
        <f>(3154.0/B50*100)</f>
        <v/>
      </c>
      <c r="D50" s="19" t="n">
        <v>340</v>
      </c>
      <c r="E50" s="18" t="n">
        <v>75.86454651</v>
      </c>
      <c r="F50" s="20" t="n">
        <v>2.50770972</v>
      </c>
      <c r="G50" s="18" t="n">
        <v>23.1155801</v>
      </c>
      <c r="H50" s="20" t="n">
        <v>2.47978562</v>
      </c>
      <c r="I50" s="18" t="n">
        <v>0</v>
      </c>
      <c r="J50" s="20" t="n">
        <v>0</v>
      </c>
      <c r="K50" s="18" t="n">
        <v>0</v>
      </c>
      <c r="L50" s="20" t="n">
        <v>0</v>
      </c>
      <c r="M50" s="18" t="n">
        <v>0</v>
      </c>
      <c r="N50" s="20" t="n">
        <v>0</v>
      </c>
      <c r="O50" s="18" t="n">
        <v>0</v>
      </c>
      <c r="P50" s="20" t="n">
        <v>0</v>
      </c>
      <c r="Q50" s="18" t="n">
        <v>1.0198734</v>
      </c>
      <c r="R50" s="20" t="n">
        <v>0.53343412</v>
      </c>
    </row>
    <row r="51" spans="1:18">
      <c r="A51" s="15" t="s">
        <v>610</v>
      </c>
      <c r="B51" s="17" t="n">
        <v>3013</v>
      </c>
      <c r="C51" s="18">
        <f>(2651.0/B51*100)</f>
        <v/>
      </c>
      <c r="D51" s="19" t="n">
        <v>362</v>
      </c>
      <c r="E51" s="18" t="n">
        <v>42.40220626</v>
      </c>
      <c r="F51" s="20" t="n">
        <v>2.50337045</v>
      </c>
      <c r="G51" s="18" t="n">
        <v>57.20646636</v>
      </c>
      <c r="H51" s="20" t="n">
        <v>2.53977662</v>
      </c>
      <c r="I51" s="18" t="n">
        <v>0</v>
      </c>
      <c r="J51" s="20" t="n">
        <v>0</v>
      </c>
      <c r="K51" s="18" t="n">
        <v>0</v>
      </c>
      <c r="L51" s="20" t="n">
        <v>0</v>
      </c>
      <c r="M51" s="18" t="n">
        <v>0</v>
      </c>
      <c r="N51" s="20" t="n">
        <v>0</v>
      </c>
      <c r="O51" s="18" t="n">
        <v>0</v>
      </c>
      <c r="P51" s="20" t="n">
        <v>0</v>
      </c>
      <c r="Q51" s="18" t="n">
        <v>0.39132739</v>
      </c>
      <c r="R51" s="20" t="n">
        <v>0.38501625</v>
      </c>
    </row>
    <row r="52" spans="1:18">
      <c r="A52" s="15" t="s">
        <v>611</v>
      </c>
      <c r="B52" s="17" t="n">
        <v>2760</v>
      </c>
      <c r="C52" s="18">
        <f>(2461.0/B52*100)</f>
        <v/>
      </c>
      <c r="D52" s="19" t="n">
        <v>299</v>
      </c>
      <c r="E52" s="18" t="n">
        <v>58.13957391</v>
      </c>
      <c r="F52" s="20" t="n">
        <v>3.07373366</v>
      </c>
      <c r="G52" s="18" t="n">
        <v>41.86042609</v>
      </c>
      <c r="H52" s="20" t="n">
        <v>3.07373366</v>
      </c>
      <c r="I52" s="18" t="n">
        <v>0</v>
      </c>
      <c r="J52" s="20" t="n">
        <v>0</v>
      </c>
      <c r="K52" s="18" t="n">
        <v>0</v>
      </c>
      <c r="L52" s="20" t="n">
        <v>0</v>
      </c>
      <c r="M52" s="18" t="n">
        <v>0</v>
      </c>
      <c r="N52" s="20" t="n">
        <v>0</v>
      </c>
      <c r="O52" s="18" t="n">
        <v>0</v>
      </c>
      <c r="P52" s="20" t="n">
        <v>0</v>
      </c>
      <c r="Q52" s="18" t="n">
        <v>0</v>
      </c>
      <c r="R52" s="20" t="n">
        <v>0</v>
      </c>
    </row>
    <row r="53" spans="1:18">
      <c r="A53" s="15" t="s">
        <v>612</v>
      </c>
      <c r="B53" s="17" t="n">
        <v>2474</v>
      </c>
      <c r="C53" s="18">
        <f>(2231.0/B53*100)</f>
        <v/>
      </c>
      <c r="D53" s="19" t="n">
        <v>243</v>
      </c>
      <c r="E53" s="18" t="n">
        <v>73.3268573</v>
      </c>
      <c r="F53" s="20" t="n">
        <v>2.83515912</v>
      </c>
      <c r="G53" s="18" t="n">
        <v>12.62163635</v>
      </c>
      <c r="H53" s="20" t="n">
        <v>2.23982082</v>
      </c>
      <c r="I53" s="18" t="n">
        <v>0</v>
      </c>
      <c r="J53" s="20" t="n">
        <v>0</v>
      </c>
      <c r="K53" s="18" t="n">
        <v>12.3175906</v>
      </c>
      <c r="L53" s="20" t="n">
        <v>2.15936943</v>
      </c>
      <c r="M53" s="18" t="n">
        <v>0</v>
      </c>
      <c r="N53" s="20" t="n">
        <v>0</v>
      </c>
      <c r="O53" s="18" t="n">
        <v>0</v>
      </c>
      <c r="P53" s="20" t="n">
        <v>0</v>
      </c>
      <c r="Q53" s="18" t="n">
        <v>1.73391576</v>
      </c>
      <c r="R53" s="20" t="n">
        <v>1.07731583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(2373.0/B55*100)</f>
        <v/>
      </c>
      <c r="D55" s="19" t="n">
        <v>302</v>
      </c>
      <c r="E55" s="18" t="n">
        <v>50.48094508</v>
      </c>
      <c r="F55" s="20" t="n">
        <v>2.65292275</v>
      </c>
      <c r="G55" s="18" t="n">
        <v>49.22393183</v>
      </c>
      <c r="H55" s="20" t="n">
        <v>2.66689413</v>
      </c>
      <c r="I55" s="18" t="n">
        <v>0</v>
      </c>
      <c r="J55" s="20" t="n">
        <v>0</v>
      </c>
      <c r="K55" s="18" t="n">
        <v>0.29512309</v>
      </c>
      <c r="L55" s="20" t="n">
        <v>0.3038083</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(2830.0/B61*100)</f>
        <v/>
      </c>
      <c r="D61" s="19" t="n">
        <v>371</v>
      </c>
      <c r="E61" s="18" t="n">
        <v>38.82051318</v>
      </c>
      <c r="F61" s="20" t="n">
        <v>2.81159244</v>
      </c>
      <c r="G61" s="18" t="n">
        <v>61.17948682</v>
      </c>
      <c r="H61" s="20" t="n">
        <v>2.81159244</v>
      </c>
      <c r="I61" s="18" t="n">
        <v>0</v>
      </c>
      <c r="J61" s="20" t="n">
        <v>0</v>
      </c>
      <c r="K61" s="18" t="n">
        <v>0</v>
      </c>
      <c r="L61" s="20" t="n">
        <v>0</v>
      </c>
      <c r="M61" s="18" t="n">
        <v>0</v>
      </c>
      <c r="N61" s="20" t="n">
        <v>0</v>
      </c>
      <c r="O61" s="18" t="n">
        <v>0</v>
      </c>
      <c r="P61" s="20" t="n">
        <v>0</v>
      </c>
      <c r="Q61" s="18" t="n">
        <v>0</v>
      </c>
      <c r="R61" s="20" t="n">
        <v>0</v>
      </c>
    </row>
    <row r="62" spans="1:18">
      <c r="A62" s="15" t="s">
        <v>622</v>
      </c>
      <c r="B62" s="17" t="n">
        <v>2230</v>
      </c>
      <c r="C62" s="18">
        <f>(1986.0/B62*100)</f>
        <v/>
      </c>
      <c r="D62" s="19" t="n">
        <v>244</v>
      </c>
      <c r="E62" s="18" t="n">
        <v>54.18609356</v>
      </c>
      <c r="F62" s="20" t="n">
        <v>2.83476934</v>
      </c>
      <c r="G62" s="18" t="n">
        <v>45.81390644</v>
      </c>
      <c r="H62" s="20" t="n">
        <v>2.83476934</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(2448.0/B67*100)</f>
        <v/>
      </c>
      <c r="D67" s="19" t="n">
        <v>323</v>
      </c>
      <c r="E67" s="18" t="n">
        <v>69.06797551</v>
      </c>
      <c r="F67" s="20" t="n">
        <v>2.517508</v>
      </c>
      <c r="G67" s="18" t="n">
        <v>30.67248059</v>
      </c>
      <c r="H67" s="20" t="n">
        <v>2.50572177</v>
      </c>
      <c r="I67" s="18" t="n">
        <v>0</v>
      </c>
      <c r="J67" s="20" t="n">
        <v>0</v>
      </c>
      <c r="K67" s="18" t="n">
        <v>0</v>
      </c>
      <c r="L67" s="20" t="n">
        <v>0</v>
      </c>
      <c r="M67" s="18" t="n">
        <v>0</v>
      </c>
      <c r="N67" s="20" t="n">
        <v>0</v>
      </c>
      <c r="O67" s="18" t="n">
        <v>0</v>
      </c>
      <c r="P67" s="20" t="n">
        <v>0</v>
      </c>
      <c r="Q67" s="18" t="n">
        <v>0.2595439</v>
      </c>
      <c r="R67" s="20" t="n">
        <v>0.25652826</v>
      </c>
    </row>
    <row r="68" spans="1:18">
      <c r="A68" s="15" t="s">
        <v>628</v>
      </c>
      <c r="B68" s="17" t="n">
        <v>3460</v>
      </c>
      <c r="C68" s="18">
        <f>(3106.0/B68*100)</f>
        <v/>
      </c>
      <c r="D68" s="19" t="n">
        <v>354</v>
      </c>
      <c r="E68" s="18" t="n">
        <v>70.6423314</v>
      </c>
      <c r="F68" s="20" t="n">
        <v>2.60114952</v>
      </c>
      <c r="G68" s="18" t="n">
        <v>28.85603942</v>
      </c>
      <c r="H68" s="20" t="n">
        <v>2.58961356</v>
      </c>
      <c r="I68" s="18" t="n">
        <v>0</v>
      </c>
      <c r="J68" s="20" t="n">
        <v>0</v>
      </c>
      <c r="K68" s="18" t="n">
        <v>0.22575623</v>
      </c>
      <c r="L68" s="20" t="n">
        <v>0.23227754</v>
      </c>
      <c r="M68" s="18" t="n">
        <v>0</v>
      </c>
      <c r="N68" s="20" t="n">
        <v>0</v>
      </c>
      <c r="O68" s="18" t="n">
        <v>0</v>
      </c>
      <c r="P68" s="20" t="n">
        <v>0</v>
      </c>
      <c r="Q68" s="18" t="n">
        <v>0.27587296</v>
      </c>
      <c r="R68" s="20" t="n">
        <v>0.27926943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(5401.0/B70*100)</f>
        <v/>
      </c>
      <c r="D70" s="19" t="n">
        <v>633</v>
      </c>
      <c r="E70" s="18" t="n">
        <v>52.47694719</v>
      </c>
      <c r="F70" s="20" t="n">
        <v>1.96466407</v>
      </c>
      <c r="G70" s="18" t="n">
        <v>45.32342383</v>
      </c>
      <c r="H70" s="20" t="n">
        <v>2.03707395</v>
      </c>
      <c r="I70" s="18" t="n">
        <v>0</v>
      </c>
      <c r="J70" s="20" t="n">
        <v>0</v>
      </c>
      <c r="K70" s="18" t="n">
        <v>1.40522149</v>
      </c>
      <c r="L70" s="20" t="n">
        <v>0.48433608</v>
      </c>
      <c r="M70" s="18" t="n">
        <v>0</v>
      </c>
      <c r="N70" s="20" t="n">
        <v>0</v>
      </c>
      <c r="O70" s="18" t="n">
        <v>0</v>
      </c>
      <c r="P70" s="20" t="n">
        <v>0</v>
      </c>
      <c r="Q70" s="18" t="n">
        <v>0.79440749</v>
      </c>
      <c r="R70" s="20" t="n">
        <v>0.41953161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(2731.0/B72*100)</f>
        <v/>
      </c>
      <c r="D72" s="19" t="n">
        <v>376</v>
      </c>
      <c r="E72" s="18" t="n">
        <v>60.27048098</v>
      </c>
      <c r="F72" s="20" t="n">
        <v>3.65362402</v>
      </c>
      <c r="G72" s="18" t="n">
        <v>39.20701818</v>
      </c>
      <c r="H72" s="20" t="n">
        <v>3.50423667</v>
      </c>
      <c r="I72" s="18" t="n">
        <v>0</v>
      </c>
      <c r="J72" s="20" t="n">
        <v>0</v>
      </c>
      <c r="K72" s="18" t="n">
        <v>0.33988907</v>
      </c>
      <c r="L72" s="20" t="n">
        <v>0.3376532</v>
      </c>
      <c r="M72" s="18" t="n">
        <v>0</v>
      </c>
      <c r="N72" s="20" t="n">
        <v>0</v>
      </c>
      <c r="O72" s="18" t="n">
        <v>0</v>
      </c>
      <c r="P72" s="20" t="n">
        <v>0</v>
      </c>
      <c r="Q72" s="18" t="n">
        <v>0.18261177</v>
      </c>
      <c r="R72" s="20" t="n">
        <v>0.18277403</v>
      </c>
    </row>
    <row r="73" spans="1:18">
      <c r="A73" s="15" t="s">
        <v>633</v>
      </c>
      <c r="B73" s="17" t="n">
        <v>2973</v>
      </c>
      <c r="C73" s="18">
        <f>(2655.0/B73*100)</f>
        <v/>
      </c>
      <c r="D73" s="19" t="n">
        <v>318</v>
      </c>
      <c r="E73" s="18" t="n">
        <v>39.58219741</v>
      </c>
      <c r="F73" s="20" t="n">
        <v>2.71041198</v>
      </c>
      <c r="G73" s="18" t="n">
        <v>59.76814438</v>
      </c>
      <c r="H73" s="20" t="n">
        <v>2.68331308</v>
      </c>
      <c r="I73" s="18" t="n">
        <v>0</v>
      </c>
      <c r="J73" s="20" t="n">
        <v>0</v>
      </c>
      <c r="K73" s="18" t="n">
        <v>0.64965821</v>
      </c>
      <c r="L73" s="20" t="n">
        <v>0.46437156</v>
      </c>
      <c r="M73" s="18" t="n">
        <v>0</v>
      </c>
      <c r="N73" s="20" t="n">
        <v>0</v>
      </c>
      <c r="O73" s="18" t="n">
        <v>0</v>
      </c>
      <c r="P73" s="20" t="n">
        <v>0</v>
      </c>
      <c r="Q73" s="18" t="n">
        <v>0</v>
      </c>
      <c r="R73" s="20" t="n">
        <v>0</v>
      </c>
    </row>
    <row r="74" spans="1:18">
      <c r="A74" s="15" t="s">
        <v>634</v>
      </c>
      <c r="B74" s="17" t="n">
        <v>3819</v>
      </c>
      <c r="C74" s="18">
        <f>(3405.0/B74*100)</f>
        <v/>
      </c>
      <c r="D74" s="19" t="n">
        <v>414</v>
      </c>
      <c r="E74" s="18" t="n">
        <v>64.24979945</v>
      </c>
      <c r="F74" s="20" t="n">
        <v>2.98955558</v>
      </c>
      <c r="G74" s="18" t="n">
        <v>35.75020055</v>
      </c>
      <c r="H74" s="20" t="n">
        <v>2.98955558</v>
      </c>
      <c r="I74" s="18" t="n">
        <v>0</v>
      </c>
      <c r="J74" s="20" t="n">
        <v>0</v>
      </c>
      <c r="K74" s="18" t="n">
        <v>0</v>
      </c>
      <c r="L74" s="20" t="n">
        <v>0</v>
      </c>
      <c r="M74" s="18" t="n">
        <v>0</v>
      </c>
      <c r="N74" s="20" t="n">
        <v>0</v>
      </c>
      <c r="O74" s="18" t="n">
        <v>0</v>
      </c>
      <c r="P74" s="20" t="n">
        <v>0</v>
      </c>
      <c r="Q74" s="18" t="n">
        <v>0</v>
      </c>
      <c r="R74" s="20" t="n">
        <v>0</v>
      </c>
    </row>
    <row r="75" spans="1:18">
      <c r="A75" s="15" t="s">
        <v>635</v>
      </c>
      <c r="B75" s="17" t="n">
        <v>4652</v>
      </c>
      <c r="C75" s="18">
        <f>(4129.0/B75*100)</f>
        <v/>
      </c>
      <c r="D75" s="19" t="n">
        <v>523</v>
      </c>
      <c r="E75" s="18" t="n">
        <v>64.05888711999999</v>
      </c>
      <c r="F75" s="20" t="n">
        <v>2.71080409</v>
      </c>
      <c r="G75" s="18" t="n">
        <v>35.64921292</v>
      </c>
      <c r="H75" s="20" t="n">
        <v>2.74041601</v>
      </c>
      <c r="I75" s="18" t="n">
        <v>0</v>
      </c>
      <c r="J75" s="20" t="n">
        <v>0</v>
      </c>
      <c r="K75" s="18" t="n">
        <v>0</v>
      </c>
      <c r="L75" s="20" t="n">
        <v>0</v>
      </c>
      <c r="M75" s="18" t="n">
        <v>0</v>
      </c>
      <c r="N75" s="20" t="n">
        <v>0</v>
      </c>
      <c r="O75" s="18" t="n">
        <v>0</v>
      </c>
      <c r="P75" s="20" t="n">
        <v>0</v>
      </c>
      <c r="Q75" s="18" t="n">
        <v>0.29189996</v>
      </c>
      <c r="R75" s="20" t="n">
        <v>0.28553336</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(2672.0/B77*100)</f>
        <v/>
      </c>
      <c r="D77" s="19" t="n">
        <v>297</v>
      </c>
      <c r="E77" s="18" t="n">
        <v>78.6677404</v>
      </c>
      <c r="F77" s="20" t="n">
        <v>2.43237808</v>
      </c>
      <c r="G77" s="18" t="n">
        <v>16.96638547</v>
      </c>
      <c r="H77" s="20" t="n">
        <v>2.26568883</v>
      </c>
      <c r="I77" s="18" t="n">
        <v>0</v>
      </c>
      <c r="J77" s="20" t="n">
        <v>0</v>
      </c>
      <c r="K77" s="18" t="n">
        <v>3.40265727</v>
      </c>
      <c r="L77" s="20" t="n">
        <v>1.04924071</v>
      </c>
      <c r="M77" s="18" t="n">
        <v>0</v>
      </c>
      <c r="N77" s="20" t="n">
        <v>0</v>
      </c>
      <c r="O77" s="18" t="n">
        <v>0</v>
      </c>
      <c r="P77" s="20" t="n">
        <v>0</v>
      </c>
      <c r="Q77" s="18" t="n">
        <v>0.96321686</v>
      </c>
      <c r="R77" s="20" t="n">
        <v>0.54308963</v>
      </c>
    </row>
    <row r="78" spans="1:18">
      <c r="A78" s="15" t="s">
        <v>638</v>
      </c>
      <c r="B78" s="17" t="n">
        <v>7115</v>
      </c>
      <c r="C78" s="18">
        <f>(6318.0/B78*100)</f>
        <v/>
      </c>
      <c r="D78" s="19" t="n">
        <v>797</v>
      </c>
      <c r="E78" s="18" t="n">
        <v>55.58183564</v>
      </c>
      <c r="F78" s="20" t="n">
        <v>2.05685022</v>
      </c>
      <c r="G78" s="18" t="n">
        <v>43.13139328</v>
      </c>
      <c r="H78" s="20" t="n">
        <v>1.97701075</v>
      </c>
      <c r="I78" s="18" t="n">
        <v>0</v>
      </c>
      <c r="J78" s="20" t="n">
        <v>0</v>
      </c>
      <c r="K78" s="18" t="n">
        <v>0.28088343</v>
      </c>
      <c r="L78" s="20" t="n">
        <v>0.18406473</v>
      </c>
      <c r="M78" s="18" t="n">
        <v>0</v>
      </c>
      <c r="N78" s="20" t="n">
        <v>0</v>
      </c>
      <c r="O78" s="18" t="n">
        <v>0</v>
      </c>
      <c r="P78" s="20" t="n">
        <v>0</v>
      </c>
      <c r="Q78" s="18" t="n">
        <v>1.00588765</v>
      </c>
      <c r="R78" s="20" t="n">
        <v>0.48736119</v>
      </c>
    </row>
    <row r="79" spans="1:18">
      <c r="A79" s="15" t="s">
        <v>639</v>
      </c>
      <c r="B79" s="17" t="n">
        <v>3154</v>
      </c>
      <c r="C79" s="18">
        <f>(2847.0/B79*100)</f>
        <v/>
      </c>
      <c r="D79" s="19" t="n">
        <v>307</v>
      </c>
      <c r="E79" s="18" t="n">
        <v>67.86789852</v>
      </c>
      <c r="F79" s="20" t="n">
        <v>2.61805362</v>
      </c>
      <c r="G79" s="18" t="n">
        <v>30.98747136</v>
      </c>
      <c r="H79" s="20" t="n">
        <v>2.60698247</v>
      </c>
      <c r="I79" s="18" t="n">
        <v>0</v>
      </c>
      <c r="J79" s="20" t="n">
        <v>0</v>
      </c>
      <c r="K79" s="18" t="n">
        <v>0.92553124</v>
      </c>
      <c r="L79" s="20" t="n">
        <v>0.58521668</v>
      </c>
      <c r="M79" s="18" t="n">
        <v>0</v>
      </c>
      <c r="N79" s="20" t="n">
        <v>0</v>
      </c>
      <c r="O79" s="18" t="n">
        <v>0</v>
      </c>
      <c r="P79" s="20" t="n">
        <v>0</v>
      </c>
      <c r="Q79" s="18" t="n">
        <v>0.21909889</v>
      </c>
      <c r="R79" s="20" t="n">
        <v>0.21062237</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(14230.0/B82*100)</f>
        <v/>
      </c>
      <c r="D82" s="19" t="n">
        <v>1731</v>
      </c>
      <c r="E82" s="18" t="n">
        <v>52.13178209</v>
      </c>
      <c r="F82" s="20" t="n">
        <v>1.689024</v>
      </c>
      <c r="G82" s="18" t="n">
        <v>47.59108368</v>
      </c>
      <c r="H82" s="20" t="n">
        <v>1.68785084</v>
      </c>
      <c r="I82" s="18" t="n">
        <v>0</v>
      </c>
      <c r="J82" s="20" t="n">
        <v>0</v>
      </c>
      <c r="K82" s="18" t="n">
        <v>0.15105353</v>
      </c>
      <c r="L82" s="20" t="n">
        <v>0.07288273000000001</v>
      </c>
      <c r="M82" s="18" t="n">
        <v>0</v>
      </c>
      <c r="N82" s="20" t="n">
        <v>0</v>
      </c>
      <c r="O82" s="18" t="n">
        <v>0</v>
      </c>
      <c r="P82" s="20" t="n">
        <v>0</v>
      </c>
      <c r="Q82" s="18" t="n">
        <v>0.1260807</v>
      </c>
      <c r="R82" s="20" t="n">
        <v>0.06611160000000001</v>
      </c>
    </row>
    <row r="83" spans="1:18">
      <c r="A83" s="15" t="s">
        <v>643</v>
      </c>
      <c r="B83" s="17" t="n">
        <v>808</v>
      </c>
      <c r="C83" s="18">
        <f>(723.0/B83*100)</f>
        <v/>
      </c>
      <c r="D83" s="19" t="n">
        <v>85</v>
      </c>
      <c r="E83" s="18" t="n">
        <v>54.41165608</v>
      </c>
      <c r="F83" s="20" t="n">
        <v>4.80173744</v>
      </c>
      <c r="G83" s="18" t="n">
        <v>44.33793959</v>
      </c>
      <c r="H83" s="20" t="n">
        <v>4.68119594</v>
      </c>
      <c r="I83" s="18" t="n">
        <v>0</v>
      </c>
      <c r="J83" s="20" t="n">
        <v>0</v>
      </c>
      <c r="K83" s="18" t="n">
        <v>0</v>
      </c>
      <c r="L83" s="20" t="n">
        <v>0</v>
      </c>
      <c r="M83" s="18" t="n">
        <v>0</v>
      </c>
      <c r="N83" s="20" t="n">
        <v>0</v>
      </c>
      <c r="O83" s="18" t="n">
        <v>0</v>
      </c>
      <c r="P83" s="20" t="n">
        <v>0</v>
      </c>
      <c r="Q83" s="18" t="n">
        <v>1.25040433</v>
      </c>
      <c r="R83" s="20" t="n">
        <v>1.25317974</v>
      </c>
    </row>
    <row r="84" spans="1:18">
      <c r="A84" s="23" t="s">
        <v>644</v>
      </c>
      <c r="B84" s="24" t="n">
        <v>938</v>
      </c>
      <c r="C84" s="25">
        <f>(837.0/B84*100)</f>
        <v/>
      </c>
      <c r="D84" s="19" t="n">
        <v>101</v>
      </c>
      <c r="E84" s="18" t="n">
        <v>43.67186737</v>
      </c>
      <c r="F84" s="20" t="n">
        <v>5.19818838</v>
      </c>
      <c r="G84" s="18" t="n">
        <v>56.32813263</v>
      </c>
      <c r="H84" s="20" t="n">
        <v>5.19818838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(6383.0/B7*100)</f>
        <v/>
      </c>
      <c r="D7" s="19" t="n">
        <v>780</v>
      </c>
      <c r="E7" s="18" t="n">
        <v>46.29451546</v>
      </c>
      <c r="F7" s="20" t="n">
        <v>2.32627671</v>
      </c>
      <c r="G7" s="18" t="n">
        <v>52.37073601</v>
      </c>
      <c r="H7" s="20" t="n">
        <v>2.39672669</v>
      </c>
      <c r="I7" s="18" t="n">
        <v>0</v>
      </c>
      <c r="J7" s="20" t="n">
        <v>0</v>
      </c>
      <c r="K7" s="18" t="n">
        <v>0.23291859</v>
      </c>
      <c r="L7" s="20" t="n">
        <v>0.20790384</v>
      </c>
      <c r="M7" s="18" t="n">
        <v>0</v>
      </c>
      <c r="N7" s="20" t="n">
        <v>0</v>
      </c>
      <c r="O7" s="18" t="n">
        <v>0</v>
      </c>
      <c r="P7" s="20" t="n">
        <v>0</v>
      </c>
      <c r="Q7" s="18" t="n">
        <v>1.10182994</v>
      </c>
      <c r="R7" s="20" t="n">
        <v>0.44486149</v>
      </c>
    </row>
    <row r="8" spans="1:18">
      <c r="A8" s="15" t="s">
        <v>566</v>
      </c>
      <c r="B8" s="17" t="n">
        <v>3443</v>
      </c>
      <c r="C8" s="18">
        <f>(3058.0/B8*100)</f>
        <v/>
      </c>
      <c r="D8" s="19" t="n">
        <v>385</v>
      </c>
      <c r="E8" s="18" t="n">
        <v>49.60352638</v>
      </c>
      <c r="F8" s="20" t="n">
        <v>2.58439336</v>
      </c>
      <c r="G8" s="18" t="n">
        <v>48.63220776</v>
      </c>
      <c r="H8" s="20" t="n">
        <v>2.56839627</v>
      </c>
      <c r="I8" s="18" t="n">
        <v>0</v>
      </c>
      <c r="J8" s="20" t="n">
        <v>0</v>
      </c>
      <c r="K8" s="18" t="n">
        <v>0.29473228</v>
      </c>
      <c r="L8" s="20" t="n">
        <v>0.33277677</v>
      </c>
      <c r="M8" s="18" t="n">
        <v>0</v>
      </c>
      <c r="N8" s="20" t="n">
        <v>0</v>
      </c>
      <c r="O8" s="18" t="n">
        <v>0</v>
      </c>
      <c r="P8" s="20" t="n">
        <v>0</v>
      </c>
      <c r="Q8" s="18" t="n">
        <v>1.46953358</v>
      </c>
      <c r="R8" s="20" t="n">
        <v>0.62753604</v>
      </c>
    </row>
    <row r="9" spans="1:18">
      <c r="A9" s="15" t="s">
        <v>567</v>
      </c>
      <c r="B9" s="17" t="n">
        <v>4752</v>
      </c>
      <c r="C9" s="18">
        <f>(4249.0/B9*100)</f>
        <v/>
      </c>
      <c r="D9" s="19" t="n">
        <v>503</v>
      </c>
      <c r="E9" s="18" t="n">
        <v>45.74265074</v>
      </c>
      <c r="F9" s="20" t="n">
        <v>2.16578654</v>
      </c>
      <c r="G9" s="18" t="n">
        <v>52.68121396</v>
      </c>
      <c r="H9" s="20" t="n">
        <v>2.24897314</v>
      </c>
      <c r="I9" s="18" t="n">
        <v>0</v>
      </c>
      <c r="J9" s="20" t="n">
        <v>0</v>
      </c>
      <c r="K9" s="18" t="n">
        <v>0</v>
      </c>
      <c r="L9" s="20" t="n">
        <v>0</v>
      </c>
      <c r="M9" s="18" t="n">
        <v>0</v>
      </c>
      <c r="N9" s="20" t="n">
        <v>0</v>
      </c>
      <c r="O9" s="18" t="n">
        <v>0</v>
      </c>
      <c r="P9" s="20" t="n">
        <v>0</v>
      </c>
      <c r="Q9" s="18" t="n">
        <v>1.57613529</v>
      </c>
      <c r="R9" s="20" t="n">
        <v>0.72431652</v>
      </c>
    </row>
    <row r="10" spans="1:18">
      <c r="A10" s="15" t="s">
        <v>568</v>
      </c>
      <c r="B10" s="17" t="n">
        <v>10022</v>
      </c>
      <c r="C10" s="18">
        <f>(8890.0/B10*100)</f>
        <v/>
      </c>
      <c r="D10" s="19" t="n">
        <v>1132</v>
      </c>
      <c r="E10" s="18" t="n">
        <v>46.60244939</v>
      </c>
      <c r="F10" s="20" t="n">
        <v>1.95804695</v>
      </c>
      <c r="G10" s="18" t="n">
        <v>52.39949626</v>
      </c>
      <c r="H10" s="20" t="n">
        <v>1.94156065</v>
      </c>
      <c r="I10" s="18" t="n">
        <v>0</v>
      </c>
      <c r="J10" s="20" t="n">
        <v>0</v>
      </c>
      <c r="K10" s="18" t="n">
        <v>0.83157166</v>
      </c>
      <c r="L10" s="20" t="n">
        <v>0.55322613</v>
      </c>
      <c r="M10" s="18" t="n">
        <v>0</v>
      </c>
      <c r="N10" s="20" t="n">
        <v>0</v>
      </c>
      <c r="O10" s="18" t="n">
        <v>0</v>
      </c>
      <c r="P10" s="20" t="n">
        <v>0</v>
      </c>
      <c r="Q10" s="18" t="n">
        <v>0.16648269</v>
      </c>
      <c r="R10" s="20" t="n">
        <v>0.07147289</v>
      </c>
    </row>
    <row r="11" spans="1:18">
      <c r="A11" s="15" t="s">
        <v>569</v>
      </c>
      <c r="B11" s="17" t="n">
        <v>3500</v>
      </c>
      <c r="C11" s="18">
        <f>(3139.0/B11*100)</f>
        <v/>
      </c>
      <c r="D11" s="19" t="n">
        <v>361</v>
      </c>
      <c r="E11" s="18" t="n">
        <v>58.68763333</v>
      </c>
      <c r="F11" s="20" t="n">
        <v>3.0352744</v>
      </c>
      <c r="G11" s="18" t="n">
        <v>40.19007295</v>
      </c>
      <c r="H11" s="20" t="n">
        <v>2.96358943</v>
      </c>
      <c r="I11" s="18" t="n">
        <v>0</v>
      </c>
      <c r="J11" s="20" t="n">
        <v>0</v>
      </c>
      <c r="K11" s="18" t="n">
        <v>1.04138006</v>
      </c>
      <c r="L11" s="20" t="n">
        <v>0.57290631</v>
      </c>
      <c r="M11" s="18" t="n">
        <v>0</v>
      </c>
      <c r="N11" s="20" t="n">
        <v>0</v>
      </c>
      <c r="O11" s="18" t="n">
        <v>0</v>
      </c>
      <c r="P11" s="20" t="n">
        <v>0</v>
      </c>
      <c r="Q11" s="18" t="n">
        <v>0.08091365</v>
      </c>
      <c r="R11" s="20" t="n">
        <v>0.08033936</v>
      </c>
    </row>
    <row r="12" spans="1:18">
      <c r="A12" s="15" t="s">
        <v>570</v>
      </c>
      <c r="B12" s="17" t="n">
        <v>3422</v>
      </c>
      <c r="C12" s="18">
        <f>(3061.0/B12*100)</f>
        <v/>
      </c>
      <c r="D12" s="19" t="n">
        <v>361</v>
      </c>
      <c r="E12" s="18" t="n">
        <v>45.98973875</v>
      </c>
      <c r="F12" s="20" t="n">
        <v>2.87807785</v>
      </c>
      <c r="G12" s="18" t="n">
        <v>52.65203183</v>
      </c>
      <c r="H12" s="20" t="n">
        <v>2.94205677</v>
      </c>
      <c r="I12" s="18" t="n">
        <v>0</v>
      </c>
      <c r="J12" s="20" t="n">
        <v>0</v>
      </c>
      <c r="K12" s="18" t="n">
        <v>0.26952916</v>
      </c>
      <c r="L12" s="20" t="n">
        <v>0.26897451</v>
      </c>
      <c r="M12" s="18" t="n">
        <v>0</v>
      </c>
      <c r="N12" s="20" t="n">
        <v>0</v>
      </c>
      <c r="O12" s="18" t="n">
        <v>0</v>
      </c>
      <c r="P12" s="20" t="n">
        <v>0</v>
      </c>
      <c r="Q12" s="18" t="n">
        <v>1.08870026</v>
      </c>
      <c r="R12" s="20" t="n">
        <v>0.58693319</v>
      </c>
    </row>
    <row r="13" spans="1:18">
      <c r="A13" s="15" t="s">
        <v>571</v>
      </c>
      <c r="B13" s="17" t="n">
        <v>3602</v>
      </c>
      <c r="C13" s="18">
        <f>(3196.0/B13*100)</f>
        <v/>
      </c>
      <c r="D13" s="19" t="n">
        <v>406</v>
      </c>
      <c r="E13" s="18" t="n">
        <v>49.66912244</v>
      </c>
      <c r="F13" s="20" t="n">
        <v>3.29338999</v>
      </c>
      <c r="G13" s="18" t="n">
        <v>49.24613008</v>
      </c>
      <c r="H13" s="20" t="n">
        <v>3.28499757</v>
      </c>
      <c r="I13" s="18" t="n">
        <v>0</v>
      </c>
      <c r="J13" s="20" t="n">
        <v>0</v>
      </c>
      <c r="K13" s="18" t="n">
        <v>0.25456716</v>
      </c>
      <c r="L13" s="20" t="n">
        <v>0.29021463</v>
      </c>
      <c r="M13" s="18" t="n">
        <v>0</v>
      </c>
      <c r="N13" s="20" t="n">
        <v>0</v>
      </c>
      <c r="O13" s="18" t="n">
        <v>0</v>
      </c>
      <c r="P13" s="20" t="n">
        <v>0</v>
      </c>
      <c r="Q13" s="18" t="n">
        <v>0.83018033</v>
      </c>
      <c r="R13" s="20" t="n">
        <v>0.48326139</v>
      </c>
    </row>
    <row r="14" spans="1:18">
      <c r="A14" s="15" t="s">
        <v>572</v>
      </c>
      <c r="B14" s="17" t="n">
        <v>2788</v>
      </c>
      <c r="C14" s="18">
        <f>(2474.0/B14*100)</f>
        <v/>
      </c>
      <c r="D14" s="19" t="n">
        <v>314</v>
      </c>
      <c r="E14" s="18" t="n">
        <v>38.19177449</v>
      </c>
      <c r="F14" s="20" t="n">
        <v>2.74446907</v>
      </c>
      <c r="G14" s="18" t="n">
        <v>61.55666603</v>
      </c>
      <c r="H14" s="20" t="n">
        <v>2.76125051</v>
      </c>
      <c r="I14" s="18" t="n">
        <v>0</v>
      </c>
      <c r="J14" s="20" t="n">
        <v>0</v>
      </c>
      <c r="K14" s="18" t="n">
        <v>0</v>
      </c>
      <c r="L14" s="20" t="n">
        <v>0</v>
      </c>
      <c r="M14" s="18" t="n">
        <v>0</v>
      </c>
      <c r="N14" s="20" t="n">
        <v>0</v>
      </c>
      <c r="O14" s="18" t="n">
        <v>0</v>
      </c>
      <c r="P14" s="20" t="n">
        <v>0</v>
      </c>
      <c r="Q14" s="18" t="n">
        <v>0.25155948</v>
      </c>
      <c r="R14" s="20" t="n">
        <v>0.28451463</v>
      </c>
    </row>
    <row r="15" spans="1:18">
      <c r="A15" s="15" t="s">
        <v>573</v>
      </c>
      <c r="B15" s="17" t="n">
        <v>2863</v>
      </c>
      <c r="C15" s="18">
        <f>(2560.0/B15*100)</f>
        <v/>
      </c>
      <c r="D15" s="19" t="n">
        <v>303</v>
      </c>
      <c r="E15" s="18" t="n">
        <v>39.99308288</v>
      </c>
      <c r="F15" s="20" t="n">
        <v>3.03777017</v>
      </c>
      <c r="G15" s="18" t="n">
        <v>58.73122943</v>
      </c>
      <c r="H15" s="20" t="n">
        <v>2.85339593</v>
      </c>
      <c r="I15" s="18" t="n">
        <v>0</v>
      </c>
      <c r="J15" s="20" t="n">
        <v>0</v>
      </c>
      <c r="K15" s="18" t="n">
        <v>0</v>
      </c>
      <c r="L15" s="20" t="n">
        <v>0</v>
      </c>
      <c r="M15" s="18" t="n">
        <v>0</v>
      </c>
      <c r="N15" s="20" t="n">
        <v>0</v>
      </c>
      <c r="O15" s="18" t="n">
        <v>0</v>
      </c>
      <c r="P15" s="20" t="n">
        <v>0</v>
      </c>
      <c r="Q15" s="18" t="n">
        <v>1.27568769</v>
      </c>
      <c r="R15" s="20" t="n">
        <v>0.63726379</v>
      </c>
    </row>
    <row r="16" spans="1:18">
      <c r="A16" s="15" t="s">
        <v>574</v>
      </c>
      <c r="B16" s="17" t="n">
        <v>3111</v>
      </c>
      <c r="C16" s="18">
        <f>(2774.0/B16*100)</f>
        <v/>
      </c>
      <c r="D16" s="19" t="n">
        <v>337</v>
      </c>
      <c r="E16" s="18" t="n">
        <v>34.54737037</v>
      </c>
      <c r="F16" s="20" t="n">
        <v>3.00657041</v>
      </c>
      <c r="G16" s="18" t="n">
        <v>63.46732068</v>
      </c>
      <c r="H16" s="20" t="n">
        <v>3.26970502</v>
      </c>
      <c r="I16" s="18" t="n">
        <v>0</v>
      </c>
      <c r="J16" s="20" t="n">
        <v>0</v>
      </c>
      <c r="K16" s="18" t="n">
        <v>0.91920568</v>
      </c>
      <c r="L16" s="20" t="n">
        <v>0.54950541</v>
      </c>
      <c r="M16" s="18" t="n">
        <v>0</v>
      </c>
      <c r="N16" s="20" t="n">
        <v>0</v>
      </c>
      <c r="O16" s="18" t="n">
        <v>0</v>
      </c>
      <c r="P16" s="20" t="n">
        <v>0</v>
      </c>
      <c r="Q16" s="18" t="n">
        <v>1.06610327</v>
      </c>
      <c r="R16" s="20" t="n">
        <v>0.41550856</v>
      </c>
    </row>
    <row r="17" spans="1:18">
      <c r="A17" s="15" t="s">
        <v>575</v>
      </c>
      <c r="B17" s="17" t="n">
        <v>3197</v>
      </c>
      <c r="C17" s="18">
        <f>(2849.0/B17*100)</f>
        <v/>
      </c>
      <c r="D17" s="19" t="n">
        <v>348</v>
      </c>
      <c r="E17" s="18" t="n">
        <v>48.51635252</v>
      </c>
      <c r="F17" s="20" t="n">
        <v>2.75838231</v>
      </c>
      <c r="G17" s="18" t="n">
        <v>50.65996871</v>
      </c>
      <c r="H17" s="20" t="n">
        <v>2.85240067</v>
      </c>
      <c r="I17" s="18" t="n">
        <v>0</v>
      </c>
      <c r="J17" s="20" t="n">
        <v>0</v>
      </c>
      <c r="K17" s="18" t="n">
        <v>0.29230527</v>
      </c>
      <c r="L17" s="20" t="n">
        <v>0.2877788</v>
      </c>
      <c r="M17" s="18" t="n">
        <v>0</v>
      </c>
      <c r="N17" s="20" t="n">
        <v>0</v>
      </c>
      <c r="O17" s="18" t="n">
        <v>0</v>
      </c>
      <c r="P17" s="20" t="n">
        <v>0</v>
      </c>
      <c r="Q17" s="18" t="n">
        <v>0.5313735000000001</v>
      </c>
      <c r="R17" s="20" t="n">
        <v>0.37733935</v>
      </c>
    </row>
    <row r="18" spans="1:18">
      <c r="A18" s="15" t="s">
        <v>576</v>
      </c>
      <c r="B18" s="17" t="n">
        <v>2706</v>
      </c>
      <c r="C18" s="18">
        <f>(2420.0/B18*100)</f>
        <v/>
      </c>
      <c r="D18" s="19" t="n">
        <v>286</v>
      </c>
      <c r="E18" s="18" t="n">
        <v>59.27204439</v>
      </c>
      <c r="F18" s="20" t="n">
        <v>3.29169089</v>
      </c>
      <c r="G18" s="18" t="n">
        <v>40.44574474</v>
      </c>
      <c r="H18" s="20" t="n">
        <v>3.29312016</v>
      </c>
      <c r="I18" s="18" t="n">
        <v>0</v>
      </c>
      <c r="J18" s="20" t="n">
        <v>0</v>
      </c>
      <c r="K18" s="18" t="n">
        <v>0.28221086</v>
      </c>
      <c r="L18" s="20" t="n">
        <v>0.27457938</v>
      </c>
      <c r="M18" s="18" t="n">
        <v>0</v>
      </c>
      <c r="N18" s="20" t="n">
        <v>0</v>
      </c>
      <c r="O18" s="18" t="n">
        <v>0</v>
      </c>
      <c r="P18" s="20" t="n">
        <v>0</v>
      </c>
      <c r="Q18" s="18" t="n">
        <v>0</v>
      </c>
      <c r="R18" s="20" t="n">
        <v>0</v>
      </c>
    </row>
    <row r="19" spans="1:18">
      <c r="A19" s="15" t="s">
        <v>577</v>
      </c>
      <c r="B19" s="17" t="n">
        <v>2850</v>
      </c>
      <c r="C19" s="18">
        <f>(2542.0/B19*100)</f>
        <v/>
      </c>
      <c r="D19" s="19" t="n">
        <v>308</v>
      </c>
      <c r="E19" s="18" t="n">
        <v>54.64781714</v>
      </c>
      <c r="F19" s="20" t="n">
        <v>3.37771846</v>
      </c>
      <c r="G19" s="18" t="n">
        <v>45.35218286</v>
      </c>
      <c r="H19" s="20" t="n">
        <v>3.37771846</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(1522.0/B20*100)</f>
        <v/>
      </c>
      <c r="D20" s="19" t="n">
        <v>219</v>
      </c>
      <c r="E20" s="18" t="n">
        <v>45.97764092</v>
      </c>
      <c r="F20" s="20" t="n">
        <v>3.19835082</v>
      </c>
      <c r="G20" s="18" t="n">
        <v>52.60441001</v>
      </c>
      <c r="H20" s="20" t="n">
        <v>3.13500673</v>
      </c>
      <c r="I20" s="18" t="n">
        <v>0</v>
      </c>
      <c r="J20" s="20" t="n">
        <v>0</v>
      </c>
      <c r="K20" s="18" t="n">
        <v>0</v>
      </c>
      <c r="L20" s="20" t="n">
        <v>0</v>
      </c>
      <c r="M20" s="18" t="n">
        <v>0</v>
      </c>
      <c r="N20" s="20" t="n">
        <v>0</v>
      </c>
      <c r="O20" s="18" t="n">
        <v>0</v>
      </c>
      <c r="P20" s="20" t="n">
        <v>0</v>
      </c>
      <c r="Q20" s="18" t="n">
        <v>1.41794907</v>
      </c>
      <c r="R20" s="20" t="n">
        <v>0.83586293</v>
      </c>
    </row>
    <row r="21" spans="1:18">
      <c r="A21" s="15" t="s">
        <v>579</v>
      </c>
      <c r="B21" s="17" t="n">
        <v>2833</v>
      </c>
      <c r="C21" s="18">
        <f>(2528.0/B21*100)</f>
        <v/>
      </c>
      <c r="D21" s="19" t="n">
        <v>305</v>
      </c>
      <c r="E21" s="18" t="n">
        <v>49.78182489</v>
      </c>
      <c r="F21" s="20" t="n">
        <v>3.11153996</v>
      </c>
      <c r="G21" s="18" t="n">
        <v>49.78451695</v>
      </c>
      <c r="H21" s="20" t="n">
        <v>3.06716228</v>
      </c>
      <c r="I21" s="18" t="n">
        <v>0</v>
      </c>
      <c r="J21" s="20" t="n">
        <v>0</v>
      </c>
      <c r="K21" s="18" t="n">
        <v>0</v>
      </c>
      <c r="L21" s="20" t="n">
        <v>0</v>
      </c>
      <c r="M21" s="18" t="n">
        <v>0</v>
      </c>
      <c r="N21" s="20" t="n">
        <v>0</v>
      </c>
      <c r="O21" s="18" t="n">
        <v>0</v>
      </c>
      <c r="P21" s="20" t="n">
        <v>0</v>
      </c>
      <c r="Q21" s="18" t="n">
        <v>0.43365816</v>
      </c>
      <c r="R21" s="20" t="n">
        <v>0.44073608</v>
      </c>
    </row>
    <row r="22" spans="1:18">
      <c r="A22" s="15" t="s">
        <v>580</v>
      </c>
      <c r="B22" s="17" t="n">
        <v>3667</v>
      </c>
      <c r="C22" s="18">
        <f>(3241.0/B22*100)</f>
        <v/>
      </c>
      <c r="D22" s="19" t="n">
        <v>426</v>
      </c>
      <c r="E22" s="18" t="n">
        <v>57.84832585</v>
      </c>
      <c r="F22" s="20" t="n">
        <v>2.39876061</v>
      </c>
      <c r="G22" s="18" t="n">
        <v>40.4834552</v>
      </c>
      <c r="H22" s="20" t="n">
        <v>2.50003581</v>
      </c>
      <c r="I22" s="18" t="n">
        <v>0</v>
      </c>
      <c r="J22" s="20" t="n">
        <v>0</v>
      </c>
      <c r="K22" s="18" t="n">
        <v>0.22333404</v>
      </c>
      <c r="L22" s="20" t="n">
        <v>0.24763769</v>
      </c>
      <c r="M22" s="18" t="n">
        <v>0</v>
      </c>
      <c r="N22" s="20" t="n">
        <v>0</v>
      </c>
      <c r="O22" s="18" t="n">
        <v>0</v>
      </c>
      <c r="P22" s="20" t="n">
        <v>0</v>
      </c>
      <c r="Q22" s="18" t="n">
        <v>1.44488491</v>
      </c>
      <c r="R22" s="20" t="n">
        <v>0.60009753</v>
      </c>
    </row>
    <row r="23" spans="1:18">
      <c r="A23" s="15" t="s">
        <v>581</v>
      </c>
      <c r="B23" s="17" t="n">
        <v>5792</v>
      </c>
      <c r="C23" s="18">
        <f>(5159.0/B23*100)</f>
        <v/>
      </c>
      <c r="D23" s="19" t="n">
        <v>633</v>
      </c>
      <c r="E23" s="18" t="n">
        <v>48.05169311</v>
      </c>
      <c r="F23" s="20" t="n">
        <v>2.85294661</v>
      </c>
      <c r="G23" s="18" t="n">
        <v>50.20676711</v>
      </c>
      <c r="H23" s="20" t="n">
        <v>2.89229698</v>
      </c>
      <c r="I23" s="18" t="n">
        <v>0</v>
      </c>
      <c r="J23" s="20" t="n">
        <v>0</v>
      </c>
      <c r="K23" s="18" t="n">
        <v>0.29060428</v>
      </c>
      <c r="L23" s="20" t="n">
        <v>0.27418789</v>
      </c>
      <c r="M23" s="18" t="n">
        <v>0</v>
      </c>
      <c r="N23" s="20" t="n">
        <v>0</v>
      </c>
      <c r="O23" s="18" t="n">
        <v>0</v>
      </c>
      <c r="P23" s="20" t="n">
        <v>0</v>
      </c>
      <c r="Q23" s="18" t="n">
        <v>1.45093551</v>
      </c>
      <c r="R23" s="20" t="n">
        <v>0.67417044</v>
      </c>
    </row>
    <row r="24" spans="1:18">
      <c r="A24" s="15" t="s">
        <v>582</v>
      </c>
      <c r="B24" s="17" t="n">
        <v>3309</v>
      </c>
      <c r="C24" s="18">
        <f>(2953.0/B24*100)</f>
        <v/>
      </c>
      <c r="D24" s="19" t="n">
        <v>356</v>
      </c>
      <c r="E24" s="18" t="n">
        <v>37.73009386</v>
      </c>
      <c r="F24" s="20" t="n">
        <v>2.63350623</v>
      </c>
      <c r="G24" s="18" t="n">
        <v>62.01098662</v>
      </c>
      <c r="H24" s="20" t="n">
        <v>2.63046429</v>
      </c>
      <c r="I24" s="18" t="n">
        <v>0</v>
      </c>
      <c r="J24" s="20" t="n">
        <v>0</v>
      </c>
      <c r="K24" s="18" t="n">
        <v>0</v>
      </c>
      <c r="L24" s="20" t="n">
        <v>0</v>
      </c>
      <c r="M24" s="18" t="n">
        <v>0</v>
      </c>
      <c r="N24" s="20" t="n">
        <v>0</v>
      </c>
      <c r="O24" s="18" t="n">
        <v>0</v>
      </c>
      <c r="P24" s="20" t="n">
        <v>0</v>
      </c>
      <c r="Q24" s="18" t="n">
        <v>0.25891952</v>
      </c>
      <c r="R24" s="20" t="n">
        <v>0.25857612</v>
      </c>
    </row>
    <row r="25" spans="1:18">
      <c r="A25" s="15" t="s">
        <v>583</v>
      </c>
      <c r="B25" s="17" t="n">
        <v>2669</v>
      </c>
      <c r="C25" s="18">
        <f>(2362.0/B25*100)</f>
        <v/>
      </c>
      <c r="D25" s="19" t="n">
        <v>307</v>
      </c>
      <c r="E25" s="18" t="n">
        <v>39.70047122</v>
      </c>
      <c r="F25" s="20" t="n">
        <v>2.84241035</v>
      </c>
      <c r="G25" s="18" t="n">
        <v>60.29952878</v>
      </c>
      <c r="H25" s="20" t="n">
        <v>2.84241035</v>
      </c>
      <c r="I25" s="18" t="n">
        <v>0</v>
      </c>
      <c r="J25" s="20" t="n">
        <v>0</v>
      </c>
      <c r="K25" s="18" t="n">
        <v>0</v>
      </c>
      <c r="L25" s="20" t="n">
        <v>0</v>
      </c>
      <c r="M25" s="18" t="n">
        <v>0</v>
      </c>
      <c r="N25" s="20" t="n">
        <v>0</v>
      </c>
      <c r="O25" s="18" t="n">
        <v>0</v>
      </c>
      <c r="P25" s="20" t="n">
        <v>0</v>
      </c>
      <c r="Q25" s="18" t="n">
        <v>0</v>
      </c>
      <c r="R25" s="20" t="n">
        <v>0</v>
      </c>
    </row>
    <row r="26" spans="1:18">
      <c r="A26" s="15" t="s">
        <v>584</v>
      </c>
      <c r="B26" s="17" t="n">
        <v>2419</v>
      </c>
      <c r="C26" s="18">
        <f>(2159.0/B26*100)</f>
        <v/>
      </c>
      <c r="D26" s="19" t="n">
        <v>260</v>
      </c>
      <c r="E26" s="18" t="n">
        <v>44.96881299</v>
      </c>
      <c r="F26" s="20" t="n">
        <v>3.25333287</v>
      </c>
      <c r="G26" s="18" t="n">
        <v>54.65903126</v>
      </c>
      <c r="H26" s="20" t="n">
        <v>3.25757295</v>
      </c>
      <c r="I26" s="18" t="n">
        <v>0</v>
      </c>
      <c r="J26" s="20" t="n">
        <v>0</v>
      </c>
      <c r="K26" s="18" t="n">
        <v>0</v>
      </c>
      <c r="L26" s="20" t="n">
        <v>0</v>
      </c>
      <c r="M26" s="18" t="n">
        <v>0</v>
      </c>
      <c r="N26" s="20" t="n">
        <v>0</v>
      </c>
      <c r="O26" s="18" t="n">
        <v>0</v>
      </c>
      <c r="P26" s="20" t="n">
        <v>0</v>
      </c>
      <c r="Q26" s="18" t="n">
        <v>0.37215575</v>
      </c>
      <c r="R26" s="20" t="n">
        <v>0.36634749</v>
      </c>
    </row>
    <row r="27" spans="1:18">
      <c r="A27" s="15" t="s">
        <v>585</v>
      </c>
      <c r="B27" s="17" t="n">
        <v>2683</v>
      </c>
      <c r="C27" s="18">
        <f>(2374.0/B27*100)</f>
        <v/>
      </c>
      <c r="D27" s="19" t="n">
        <v>309</v>
      </c>
      <c r="E27" s="18" t="n">
        <v>42.34988109</v>
      </c>
      <c r="F27" s="20" t="n">
        <v>2.9211292</v>
      </c>
      <c r="G27" s="18" t="n">
        <v>55.71498297</v>
      </c>
      <c r="H27" s="20" t="n">
        <v>2.86982475</v>
      </c>
      <c r="I27" s="18" t="n">
        <v>0</v>
      </c>
      <c r="J27" s="20" t="n">
        <v>0</v>
      </c>
      <c r="K27" s="18" t="n">
        <v>0</v>
      </c>
      <c r="L27" s="20" t="n">
        <v>0</v>
      </c>
      <c r="M27" s="18" t="n">
        <v>0</v>
      </c>
      <c r="N27" s="20" t="n">
        <v>0</v>
      </c>
      <c r="O27" s="18" t="n">
        <v>0</v>
      </c>
      <c r="P27" s="20" t="n">
        <v>0</v>
      </c>
      <c r="Q27" s="18" t="n">
        <v>1.93513593</v>
      </c>
      <c r="R27" s="20" t="n">
        <v>0.78751814</v>
      </c>
    </row>
    <row r="28" spans="1:18">
      <c r="A28" s="15" t="s">
        <v>586</v>
      </c>
      <c r="B28" s="17" t="n">
        <v>3803</v>
      </c>
      <c r="C28" s="18">
        <f>(3419.0/B28*100)</f>
        <v/>
      </c>
      <c r="D28" s="19" t="n">
        <v>384</v>
      </c>
      <c r="E28" s="18" t="n">
        <v>74.49476973</v>
      </c>
      <c r="F28" s="20" t="n">
        <v>1.93061544</v>
      </c>
      <c r="G28" s="18" t="n">
        <v>22.97971629</v>
      </c>
      <c r="H28" s="20" t="n">
        <v>1.85916711</v>
      </c>
      <c r="I28" s="18" t="n">
        <v>0</v>
      </c>
      <c r="J28" s="20" t="n">
        <v>0</v>
      </c>
      <c r="K28" s="18" t="n">
        <v>1.52562065</v>
      </c>
      <c r="L28" s="20" t="n">
        <v>0.60934502</v>
      </c>
      <c r="M28" s="18" t="n">
        <v>0</v>
      </c>
      <c r="N28" s="20" t="n">
        <v>0</v>
      </c>
      <c r="O28" s="18" t="n">
        <v>0</v>
      </c>
      <c r="P28" s="20" t="n">
        <v>0</v>
      </c>
      <c r="Q28" s="18" t="n">
        <v>0.99989333</v>
      </c>
      <c r="R28" s="20" t="n">
        <v>0.6501397</v>
      </c>
    </row>
    <row r="29" spans="1:18">
      <c r="A29" s="15" t="s">
        <v>587</v>
      </c>
      <c r="B29" s="17" t="n">
        <v>2700</v>
      </c>
      <c r="C29" s="18">
        <f>(2408.0/B29*100)</f>
        <v/>
      </c>
      <c r="D29" s="19" t="n">
        <v>292</v>
      </c>
      <c r="E29" s="18" t="n">
        <v>45.31029681</v>
      </c>
      <c r="F29" s="20" t="n">
        <v>3.21004908</v>
      </c>
      <c r="G29" s="18" t="n">
        <v>53.71746777</v>
      </c>
      <c r="H29" s="20" t="n">
        <v>3.15976101</v>
      </c>
      <c r="I29" s="18" t="n">
        <v>0</v>
      </c>
      <c r="J29" s="20" t="n">
        <v>0</v>
      </c>
      <c r="K29" s="18" t="n">
        <v>0.42050938</v>
      </c>
      <c r="L29" s="20" t="n">
        <v>0.39694228</v>
      </c>
      <c r="M29" s="18" t="n">
        <v>0</v>
      </c>
      <c r="N29" s="20" t="n">
        <v>0</v>
      </c>
      <c r="O29" s="18" t="n">
        <v>0</v>
      </c>
      <c r="P29" s="20" t="n">
        <v>0</v>
      </c>
      <c r="Q29" s="18" t="n">
        <v>0.55172603</v>
      </c>
      <c r="R29" s="20" t="n">
        <v>0.39758517</v>
      </c>
    </row>
    <row r="30" spans="1:18">
      <c r="A30" s="15" t="s">
        <v>588</v>
      </c>
      <c r="B30" s="17" t="n">
        <v>2257</v>
      </c>
      <c r="C30" s="18">
        <f>(2003.0/B30*100)</f>
        <v/>
      </c>
      <c r="D30" s="19" t="n">
        <v>254</v>
      </c>
      <c r="E30" s="18" t="n">
        <v>46.16681056</v>
      </c>
      <c r="F30" s="20" t="n">
        <v>3.35743555</v>
      </c>
      <c r="G30" s="18" t="n">
        <v>51.23529921</v>
      </c>
      <c r="H30" s="20" t="n">
        <v>3.24728008</v>
      </c>
      <c r="I30" s="18" t="n">
        <v>0</v>
      </c>
      <c r="J30" s="20" t="n">
        <v>0</v>
      </c>
      <c r="K30" s="18" t="n">
        <v>0</v>
      </c>
      <c r="L30" s="20" t="n">
        <v>0</v>
      </c>
      <c r="M30" s="18" t="n">
        <v>0</v>
      </c>
      <c r="N30" s="20" t="n">
        <v>0</v>
      </c>
      <c r="O30" s="18" t="n">
        <v>0</v>
      </c>
      <c r="P30" s="20" t="n">
        <v>0</v>
      </c>
      <c r="Q30" s="18" t="n">
        <v>2.59789023</v>
      </c>
      <c r="R30" s="20" t="n">
        <v>1.13038532</v>
      </c>
    </row>
    <row r="31" spans="1:18">
      <c r="A31" s="15" t="s">
        <v>589</v>
      </c>
      <c r="B31" s="17" t="n">
        <v>2706</v>
      </c>
      <c r="C31" s="18">
        <f>(2413.0/B31*100)</f>
        <v/>
      </c>
      <c r="D31" s="19" t="n">
        <v>293</v>
      </c>
      <c r="E31" s="18" t="n">
        <v>53.04698589</v>
      </c>
      <c r="F31" s="20" t="n">
        <v>3.24568316</v>
      </c>
      <c r="G31" s="18" t="n">
        <v>43.92297511</v>
      </c>
      <c r="H31" s="20" t="n">
        <v>3.02864365</v>
      </c>
      <c r="I31" s="18" t="n">
        <v>0</v>
      </c>
      <c r="J31" s="20" t="n">
        <v>0</v>
      </c>
      <c r="K31" s="18" t="n">
        <v>0.63022065</v>
      </c>
      <c r="L31" s="20" t="n">
        <v>0.4235866</v>
      </c>
      <c r="M31" s="18" t="n">
        <v>0</v>
      </c>
      <c r="N31" s="20" t="n">
        <v>0</v>
      </c>
      <c r="O31" s="18" t="n">
        <v>0</v>
      </c>
      <c r="P31" s="20" t="n">
        <v>0</v>
      </c>
      <c r="Q31" s="18" t="n">
        <v>2.39981835</v>
      </c>
      <c r="R31" s="20" t="n">
        <v>0.8700212000000001</v>
      </c>
    </row>
    <row r="32" spans="1:18">
      <c r="A32" s="15" t="s">
        <v>590</v>
      </c>
      <c r="B32" s="17" t="n">
        <v>2209</v>
      </c>
      <c r="C32" s="18">
        <f>(1967.0/B32*100)</f>
        <v/>
      </c>
      <c r="D32" s="19" t="n">
        <v>242</v>
      </c>
      <c r="E32" s="18" t="n">
        <v>43.98022941</v>
      </c>
      <c r="F32" s="20" t="n">
        <v>3.45589037</v>
      </c>
      <c r="G32" s="18" t="n">
        <v>56.01977059</v>
      </c>
      <c r="H32" s="20" t="n">
        <v>3.45589037</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(3270.0/B33*100)</f>
        <v/>
      </c>
      <c r="D33" s="19" t="n">
        <v>381</v>
      </c>
      <c r="E33" s="18" t="n">
        <v>46.8545603</v>
      </c>
      <c r="F33" s="20" t="n">
        <v>3.2137003</v>
      </c>
      <c r="G33" s="18" t="n">
        <v>52.66756566</v>
      </c>
      <c r="H33" s="20" t="n">
        <v>3.18542447</v>
      </c>
      <c r="I33" s="18" t="n">
        <v>0</v>
      </c>
      <c r="J33" s="20" t="n">
        <v>0</v>
      </c>
      <c r="K33" s="18" t="n">
        <v>0.35085531</v>
      </c>
      <c r="L33" s="20" t="n">
        <v>0.34913013</v>
      </c>
      <c r="M33" s="18" t="n">
        <v>0</v>
      </c>
      <c r="N33" s="20" t="n">
        <v>0</v>
      </c>
      <c r="O33" s="18" t="n">
        <v>0</v>
      </c>
      <c r="P33" s="20" t="n">
        <v>0</v>
      </c>
      <c r="Q33" s="18" t="n">
        <v>0.12701872</v>
      </c>
      <c r="R33" s="20" t="n">
        <v>0.07913141</v>
      </c>
    </row>
    <row r="34" spans="1:18">
      <c r="A34" s="15" t="s">
        <v>592</v>
      </c>
      <c r="B34" s="17" t="n">
        <v>3035</v>
      </c>
      <c r="C34" s="18">
        <f>(2695.0/B34*100)</f>
        <v/>
      </c>
      <c r="D34" s="19" t="n">
        <v>340</v>
      </c>
      <c r="E34" s="18" t="n">
        <v>48.97650735</v>
      </c>
      <c r="F34" s="20" t="n">
        <v>3.03191807</v>
      </c>
      <c r="G34" s="18" t="n">
        <v>51.02349265</v>
      </c>
      <c r="H34" s="20" t="n">
        <v>3.03191807</v>
      </c>
      <c r="I34" s="18" t="n">
        <v>0</v>
      </c>
      <c r="J34" s="20" t="n">
        <v>0</v>
      </c>
      <c r="K34" s="18" t="n">
        <v>0</v>
      </c>
      <c r="L34" s="20" t="n">
        <v>0</v>
      </c>
      <c r="M34" s="18" t="n">
        <v>0</v>
      </c>
      <c r="N34" s="20" t="n">
        <v>0</v>
      </c>
      <c r="O34" s="18" t="n">
        <v>0</v>
      </c>
      <c r="P34" s="20" t="n">
        <v>0</v>
      </c>
      <c r="Q34" s="18" t="n">
        <v>0</v>
      </c>
      <c r="R34" s="20" t="n">
        <v>0</v>
      </c>
    </row>
    <row r="35" spans="1:18">
      <c r="A35" s="15" t="s">
        <v>593</v>
      </c>
      <c r="B35" s="17" t="n">
        <v>2901</v>
      </c>
      <c r="C35" s="18">
        <f>(2607.0/B35*100)</f>
        <v/>
      </c>
      <c r="D35" s="19" t="n">
        <v>294</v>
      </c>
      <c r="E35" s="18" t="n">
        <v>37.53398299</v>
      </c>
      <c r="F35" s="20" t="n">
        <v>3.10400244</v>
      </c>
      <c r="G35" s="18" t="n">
        <v>62.33705746</v>
      </c>
      <c r="H35" s="20" t="n">
        <v>3.12061412</v>
      </c>
      <c r="I35" s="18" t="n">
        <v>0</v>
      </c>
      <c r="J35" s="20" t="n">
        <v>0</v>
      </c>
      <c r="K35" s="18" t="n">
        <v>0</v>
      </c>
      <c r="L35" s="20" t="n">
        <v>0</v>
      </c>
      <c r="M35" s="18" t="n">
        <v>0</v>
      </c>
      <c r="N35" s="20" t="n">
        <v>0</v>
      </c>
      <c r="O35" s="18" t="n">
        <v>0</v>
      </c>
      <c r="P35" s="20" t="n">
        <v>0</v>
      </c>
      <c r="Q35" s="18" t="n">
        <v>0.12895954</v>
      </c>
      <c r="R35" s="20" t="n">
        <v>0.13137086</v>
      </c>
    </row>
    <row r="36" spans="1:18">
      <c r="A36" s="15" t="s">
        <v>594</v>
      </c>
      <c r="B36" s="17" t="n">
        <v>3404</v>
      </c>
      <c r="C36" s="18">
        <f>(3048.0/B36*100)</f>
        <v/>
      </c>
      <c r="D36" s="19" t="n">
        <v>356</v>
      </c>
      <c r="E36" s="18" t="n">
        <v>43.51822014</v>
      </c>
      <c r="F36" s="20" t="n">
        <v>2.648595</v>
      </c>
      <c r="G36" s="18" t="n">
        <v>55.83654937</v>
      </c>
      <c r="H36" s="20" t="n">
        <v>2.61164945</v>
      </c>
      <c r="I36" s="18" t="n">
        <v>0</v>
      </c>
      <c r="J36" s="20" t="n">
        <v>0</v>
      </c>
      <c r="K36" s="18" t="n">
        <v>0</v>
      </c>
      <c r="L36" s="20" t="n">
        <v>0</v>
      </c>
      <c r="M36" s="18" t="n">
        <v>0</v>
      </c>
      <c r="N36" s="20" t="n">
        <v>0</v>
      </c>
      <c r="O36" s="18" t="n">
        <v>0</v>
      </c>
      <c r="P36" s="20" t="n">
        <v>0</v>
      </c>
      <c r="Q36" s="18" t="n">
        <v>0.64523049</v>
      </c>
      <c r="R36" s="20" t="n">
        <v>0.47307623</v>
      </c>
    </row>
    <row r="37" spans="1:18">
      <c r="A37" s="15" t="s">
        <v>595</v>
      </c>
      <c r="B37" s="17" t="n">
        <v>2731</v>
      </c>
      <c r="C37" s="18">
        <f>(2427.0/B37*100)</f>
        <v/>
      </c>
      <c r="D37" s="19" t="n">
        <v>304</v>
      </c>
      <c r="E37" s="18" t="n">
        <v>59.22633327</v>
      </c>
      <c r="F37" s="20" t="n">
        <v>3.00854199</v>
      </c>
      <c r="G37" s="18" t="n">
        <v>36.45867627</v>
      </c>
      <c r="H37" s="20" t="n">
        <v>2.91142518</v>
      </c>
      <c r="I37" s="18" t="n">
        <v>0</v>
      </c>
      <c r="J37" s="20" t="n">
        <v>0</v>
      </c>
      <c r="K37" s="18" t="n">
        <v>1.02886029</v>
      </c>
      <c r="L37" s="20" t="n">
        <v>0.60243789</v>
      </c>
      <c r="M37" s="18" t="n">
        <v>0</v>
      </c>
      <c r="N37" s="20" t="n">
        <v>0</v>
      </c>
      <c r="O37" s="18" t="n">
        <v>0</v>
      </c>
      <c r="P37" s="20" t="n">
        <v>0</v>
      </c>
      <c r="Q37" s="18" t="n">
        <v>3.28613017</v>
      </c>
      <c r="R37" s="20" t="n">
        <v>1.17974246</v>
      </c>
    </row>
    <row r="38" spans="1:18">
      <c r="A38" s="15" t="s">
        <v>596</v>
      </c>
      <c r="B38" s="17" t="n">
        <v>2807</v>
      </c>
      <c r="C38" s="18">
        <f>(2489.0/B38*100)</f>
        <v/>
      </c>
      <c r="D38" s="19" t="n">
        <v>318</v>
      </c>
      <c r="E38" s="18" t="n">
        <v>47.11877945</v>
      </c>
      <c r="F38" s="20" t="n">
        <v>3.21813548</v>
      </c>
      <c r="G38" s="18" t="n">
        <v>51.54515311</v>
      </c>
      <c r="H38" s="20" t="n">
        <v>3.11081735</v>
      </c>
      <c r="I38" s="18" t="n">
        <v>0</v>
      </c>
      <c r="J38" s="20" t="n">
        <v>0</v>
      </c>
      <c r="K38" s="18" t="n">
        <v>0</v>
      </c>
      <c r="L38" s="20" t="n">
        <v>0</v>
      </c>
      <c r="M38" s="18" t="n">
        <v>0</v>
      </c>
      <c r="N38" s="20" t="n">
        <v>0</v>
      </c>
      <c r="O38" s="18" t="n">
        <v>0</v>
      </c>
      <c r="P38" s="20" t="n">
        <v>0</v>
      </c>
      <c r="Q38" s="18" t="n">
        <v>1.33606743</v>
      </c>
      <c r="R38" s="20" t="n">
        <v>0.6151138900000001</v>
      </c>
    </row>
    <row r="39" spans="1:18">
      <c r="A39" s="15" t="s">
        <v>597</v>
      </c>
      <c r="B39" s="17" t="n">
        <v>2938</v>
      </c>
      <c r="C39" s="18">
        <f>(2625.0/B39*100)</f>
        <v/>
      </c>
      <c r="D39" s="19" t="n">
        <v>313</v>
      </c>
      <c r="E39" s="18" t="n">
        <v>70.27928411000001</v>
      </c>
      <c r="F39" s="20" t="n">
        <v>2.76292227</v>
      </c>
      <c r="G39" s="18" t="n">
        <v>29.13515472</v>
      </c>
      <c r="H39" s="20" t="n">
        <v>2.74001807</v>
      </c>
      <c r="I39" s="18" t="n">
        <v>0</v>
      </c>
      <c r="J39" s="20" t="n">
        <v>0</v>
      </c>
      <c r="K39" s="18" t="n">
        <v>0</v>
      </c>
      <c r="L39" s="20" t="n">
        <v>0</v>
      </c>
      <c r="M39" s="18" t="n">
        <v>0</v>
      </c>
      <c r="N39" s="20" t="n">
        <v>0</v>
      </c>
      <c r="O39" s="18" t="n">
        <v>0</v>
      </c>
      <c r="P39" s="20" t="n">
        <v>0</v>
      </c>
      <c r="Q39" s="18" t="n">
        <v>0.58556117</v>
      </c>
      <c r="R39" s="20" t="n">
        <v>0.33719916</v>
      </c>
    </row>
    <row r="40" spans="1:18">
      <c r="A40" s="15" t="s">
        <v>598</v>
      </c>
      <c r="B40" s="17" t="n">
        <v>6922</v>
      </c>
      <c r="C40" s="18">
        <f>(6146.0/B40*100)</f>
        <v/>
      </c>
      <c r="D40" s="19" t="n">
        <v>776</v>
      </c>
      <c r="E40" s="18" t="n">
        <v>40.11709954</v>
      </c>
      <c r="F40" s="20" t="n">
        <v>2.58375929</v>
      </c>
      <c r="G40" s="18" t="n">
        <v>58.70647176</v>
      </c>
      <c r="H40" s="20" t="n">
        <v>2.63465566</v>
      </c>
      <c r="I40" s="18" t="n">
        <v>0</v>
      </c>
      <c r="J40" s="20" t="n">
        <v>0</v>
      </c>
      <c r="K40" s="18" t="n">
        <v>0.7186368400000001</v>
      </c>
      <c r="L40" s="20" t="n">
        <v>0.45889874</v>
      </c>
      <c r="M40" s="18" t="n">
        <v>0</v>
      </c>
      <c r="N40" s="20" t="n">
        <v>0</v>
      </c>
      <c r="O40" s="18" t="n">
        <v>0</v>
      </c>
      <c r="P40" s="20" t="n">
        <v>0</v>
      </c>
      <c r="Q40" s="18" t="n">
        <v>0.45779186</v>
      </c>
      <c r="R40" s="20" t="n">
        <v>0.3390623</v>
      </c>
    </row>
    <row r="41" spans="1:18">
      <c r="A41" s="15" t="s">
        <v>599</v>
      </c>
      <c r="B41" s="17" t="n">
        <v>2854</v>
      </c>
      <c r="C41" s="18">
        <f>(2549.0/B41*100)</f>
        <v/>
      </c>
      <c r="D41" s="19" t="n">
        <v>305</v>
      </c>
      <c r="E41" s="18" t="n">
        <v>55.64746981</v>
      </c>
      <c r="F41" s="20" t="n">
        <v>3.35859818</v>
      </c>
      <c r="G41" s="18" t="n">
        <v>43.69586795</v>
      </c>
      <c r="H41" s="20" t="n">
        <v>3.33822315</v>
      </c>
      <c r="I41" s="18" t="n">
        <v>0</v>
      </c>
      <c r="J41" s="20" t="n">
        <v>0</v>
      </c>
      <c r="K41" s="18" t="n">
        <v>0</v>
      </c>
      <c r="L41" s="20" t="n">
        <v>0</v>
      </c>
      <c r="M41" s="18" t="n">
        <v>0</v>
      </c>
      <c r="N41" s="20" t="n">
        <v>0</v>
      </c>
      <c r="O41" s="18" t="n">
        <v>0</v>
      </c>
      <c r="P41" s="20" t="n">
        <v>0</v>
      </c>
      <c r="Q41" s="18" t="n">
        <v>0.65666224</v>
      </c>
      <c r="R41" s="20" t="n">
        <v>0.48893733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(11014.0/B46*100)</f>
        <v/>
      </c>
      <c r="D46" s="19" t="n">
        <v>1059</v>
      </c>
      <c r="E46" s="18" t="n">
        <v>67.46382610000001</v>
      </c>
      <c r="F46" s="20" t="n">
        <v>1.73542677</v>
      </c>
      <c r="G46" s="18" t="n">
        <v>29.7701277</v>
      </c>
      <c r="H46" s="20" t="n">
        <v>1.67108399</v>
      </c>
      <c r="I46" s="18" t="n">
        <v>0</v>
      </c>
      <c r="J46" s="20" t="n">
        <v>0</v>
      </c>
      <c r="K46" s="18" t="n">
        <v>0.82870686</v>
      </c>
      <c r="L46" s="20" t="n">
        <v>0.3607367</v>
      </c>
      <c r="M46" s="18" t="n">
        <v>0</v>
      </c>
      <c r="N46" s="20" t="n">
        <v>0</v>
      </c>
      <c r="O46" s="18" t="n">
        <v>0</v>
      </c>
      <c r="P46" s="20" t="n">
        <v>0</v>
      </c>
      <c r="Q46" s="18" t="n">
        <v>1.93733934</v>
      </c>
      <c r="R46" s="20" t="n">
        <v>0.49998431</v>
      </c>
    </row>
    <row r="47" spans="1:18">
      <c r="A47" s="15" t="s">
        <v>606</v>
      </c>
      <c r="B47" s="17" t="n">
        <v>2823</v>
      </c>
      <c r="C47" s="18">
        <f>(2504.0/B47*100)</f>
        <v/>
      </c>
      <c r="D47" s="19" t="n">
        <v>319</v>
      </c>
      <c r="E47" s="18" t="n">
        <v>51.78951658</v>
      </c>
      <c r="F47" s="20" t="n">
        <v>2.56760672</v>
      </c>
      <c r="G47" s="18" t="n">
        <v>47.24319661</v>
      </c>
      <c r="H47" s="20" t="n">
        <v>2.67254626</v>
      </c>
      <c r="I47" s="18" t="n">
        <v>0</v>
      </c>
      <c r="J47" s="20" t="n">
        <v>0</v>
      </c>
      <c r="K47" s="18" t="n">
        <v>0.31174274</v>
      </c>
      <c r="L47" s="20" t="n">
        <v>0.30930837</v>
      </c>
      <c r="M47" s="18" t="n">
        <v>0</v>
      </c>
      <c r="N47" s="20" t="n">
        <v>0</v>
      </c>
      <c r="O47" s="18" t="n">
        <v>0</v>
      </c>
      <c r="P47" s="20" t="n">
        <v>0</v>
      </c>
      <c r="Q47" s="18" t="n">
        <v>0.65554406</v>
      </c>
      <c r="R47" s="20" t="n">
        <v>0.47193365</v>
      </c>
    </row>
    <row r="48" spans="1:18">
      <c r="A48" s="15" t="s">
        <v>607</v>
      </c>
      <c r="B48" s="17" t="n">
        <v>4682</v>
      </c>
      <c r="C48" s="18">
        <f>(4168.0/B48*100)</f>
        <v/>
      </c>
      <c r="D48" s="19" t="n">
        <v>514</v>
      </c>
      <c r="E48" s="18" t="n">
        <v>45.01982282</v>
      </c>
      <c r="F48" s="20" t="n">
        <v>3.21853852</v>
      </c>
      <c r="G48" s="18" t="n">
        <v>53.84306823</v>
      </c>
      <c r="H48" s="20" t="n">
        <v>3.35681628</v>
      </c>
      <c r="I48" s="18" t="n">
        <v>0</v>
      </c>
      <c r="J48" s="20" t="n">
        <v>0</v>
      </c>
      <c r="K48" s="18" t="n">
        <v>0.472321</v>
      </c>
      <c r="L48" s="20" t="n">
        <v>0.47482287</v>
      </c>
      <c r="M48" s="18" t="n">
        <v>0</v>
      </c>
      <c r="N48" s="20" t="n">
        <v>0</v>
      </c>
      <c r="O48" s="18" t="n">
        <v>0</v>
      </c>
      <c r="P48" s="20" t="n">
        <v>0</v>
      </c>
      <c r="Q48" s="18" t="n">
        <v>0.66478795</v>
      </c>
      <c r="R48" s="20" t="n">
        <v>0.45907267</v>
      </c>
    </row>
    <row r="49" spans="1:18">
      <c r="A49" s="15" t="s">
        <v>608</v>
      </c>
      <c r="B49" s="17" t="n">
        <v>6158</v>
      </c>
      <c r="C49" s="18">
        <f>(5499.0/B49*100)</f>
        <v/>
      </c>
      <c r="D49" s="19" t="n">
        <v>659</v>
      </c>
      <c r="E49" s="18" t="n">
        <v>73.67551023999999</v>
      </c>
      <c r="F49" s="20" t="n">
        <v>2.26817239</v>
      </c>
      <c r="G49" s="18" t="n">
        <v>25.65080839</v>
      </c>
      <c r="H49" s="20" t="n">
        <v>2.27530671</v>
      </c>
      <c r="I49" s="18" t="n">
        <v>0</v>
      </c>
      <c r="J49" s="20" t="n">
        <v>0</v>
      </c>
      <c r="K49" s="18" t="n">
        <v>0.52474536</v>
      </c>
      <c r="L49" s="20" t="n">
        <v>0.28967252</v>
      </c>
      <c r="M49" s="18" t="n">
        <v>0</v>
      </c>
      <c r="N49" s="20" t="n">
        <v>0</v>
      </c>
      <c r="O49" s="18" t="n">
        <v>0</v>
      </c>
      <c r="P49" s="20" t="n">
        <v>0</v>
      </c>
      <c r="Q49" s="18" t="n">
        <v>0.14893601</v>
      </c>
      <c r="R49" s="20" t="n">
        <v>0.08693325</v>
      </c>
    </row>
    <row r="50" spans="1:18">
      <c r="A50" s="15" t="s">
        <v>609</v>
      </c>
      <c r="B50" s="17" t="n">
        <v>3494</v>
      </c>
      <c r="C50" s="18">
        <f>(3157.0/B50*100)</f>
        <v/>
      </c>
      <c r="D50" s="19" t="n">
        <v>337</v>
      </c>
      <c r="E50" s="18" t="n">
        <v>71.6363408</v>
      </c>
      <c r="F50" s="20" t="n">
        <v>2.57534573</v>
      </c>
      <c r="G50" s="18" t="n">
        <v>27.01431708</v>
      </c>
      <c r="H50" s="20" t="n">
        <v>2.54038478</v>
      </c>
      <c r="I50" s="18" t="n">
        <v>0</v>
      </c>
      <c r="J50" s="20" t="n">
        <v>0</v>
      </c>
      <c r="K50" s="18" t="n">
        <v>0</v>
      </c>
      <c r="L50" s="20" t="n">
        <v>0</v>
      </c>
      <c r="M50" s="18" t="n">
        <v>0</v>
      </c>
      <c r="N50" s="20" t="n">
        <v>0</v>
      </c>
      <c r="O50" s="18" t="n">
        <v>0</v>
      </c>
      <c r="P50" s="20" t="n">
        <v>0</v>
      </c>
      <c r="Q50" s="18" t="n">
        <v>1.34934211</v>
      </c>
      <c r="R50" s="20" t="n">
        <v>0.56298189</v>
      </c>
    </row>
    <row r="51" spans="1:18">
      <c r="A51" s="15" t="s">
        <v>610</v>
      </c>
      <c r="B51" s="17" t="n">
        <v>3013</v>
      </c>
      <c r="C51" s="18">
        <f>(2651.0/B51*100)</f>
        <v/>
      </c>
      <c r="D51" s="19" t="n">
        <v>362</v>
      </c>
      <c r="E51" s="18" t="n">
        <v>49.13165931</v>
      </c>
      <c r="F51" s="20" t="n">
        <v>2.30825776</v>
      </c>
      <c r="G51" s="18" t="n">
        <v>49.68635556</v>
      </c>
      <c r="H51" s="20" t="n">
        <v>2.44368408</v>
      </c>
      <c r="I51" s="18" t="n">
        <v>0</v>
      </c>
      <c r="J51" s="20" t="n">
        <v>0</v>
      </c>
      <c r="K51" s="18" t="n">
        <v>0</v>
      </c>
      <c r="L51" s="20" t="n">
        <v>0</v>
      </c>
      <c r="M51" s="18" t="n">
        <v>0</v>
      </c>
      <c r="N51" s="20" t="n">
        <v>0</v>
      </c>
      <c r="O51" s="18" t="n">
        <v>0</v>
      </c>
      <c r="P51" s="20" t="n">
        <v>0</v>
      </c>
      <c r="Q51" s="18" t="n">
        <v>1.18198513</v>
      </c>
      <c r="R51" s="20" t="n">
        <v>0.58200759</v>
      </c>
    </row>
    <row r="52" spans="1:18">
      <c r="A52" s="15" t="s">
        <v>611</v>
      </c>
      <c r="B52" s="17" t="n">
        <v>2760</v>
      </c>
      <c r="C52" s="18">
        <f>(2462.0/B52*100)</f>
        <v/>
      </c>
      <c r="D52" s="19" t="n">
        <v>298</v>
      </c>
      <c r="E52" s="18" t="n">
        <v>58.02706362</v>
      </c>
      <c r="F52" s="20" t="n">
        <v>2.90142684</v>
      </c>
      <c r="G52" s="18" t="n">
        <v>41.16129434</v>
      </c>
      <c r="H52" s="20" t="n">
        <v>2.94400032</v>
      </c>
      <c r="I52" s="18" t="n">
        <v>0</v>
      </c>
      <c r="J52" s="20" t="n">
        <v>0</v>
      </c>
      <c r="K52" s="18" t="n">
        <v>0</v>
      </c>
      <c r="L52" s="20" t="n">
        <v>0</v>
      </c>
      <c r="M52" s="18" t="n">
        <v>0</v>
      </c>
      <c r="N52" s="20" t="n">
        <v>0</v>
      </c>
      <c r="O52" s="18" t="n">
        <v>0</v>
      </c>
      <c r="P52" s="20" t="n">
        <v>0</v>
      </c>
      <c r="Q52" s="18" t="n">
        <v>0.81164204</v>
      </c>
      <c r="R52" s="20" t="n">
        <v>0.47960432</v>
      </c>
    </row>
    <row r="53" spans="1:18">
      <c r="A53" s="15" t="s">
        <v>612</v>
      </c>
      <c r="B53" s="17" t="n">
        <v>2474</v>
      </c>
      <c r="C53" s="18">
        <f>(2233.0/B53*100)</f>
        <v/>
      </c>
      <c r="D53" s="19" t="n">
        <v>241</v>
      </c>
      <c r="E53" s="18" t="n">
        <v>74.91079790000001</v>
      </c>
      <c r="F53" s="20" t="n">
        <v>3.06796931</v>
      </c>
      <c r="G53" s="18" t="n">
        <v>7.2554165</v>
      </c>
      <c r="H53" s="20" t="n">
        <v>1.83071521</v>
      </c>
      <c r="I53" s="18" t="n">
        <v>0</v>
      </c>
      <c r="J53" s="20" t="n">
        <v>0</v>
      </c>
      <c r="K53" s="18" t="n">
        <v>14.63698208</v>
      </c>
      <c r="L53" s="20" t="n">
        <v>2.49979619</v>
      </c>
      <c r="M53" s="18" t="n">
        <v>0</v>
      </c>
      <c r="N53" s="20" t="n">
        <v>0</v>
      </c>
      <c r="O53" s="18" t="n">
        <v>0</v>
      </c>
      <c r="P53" s="20" t="n">
        <v>0</v>
      </c>
      <c r="Q53" s="18" t="n">
        <v>3.19680352</v>
      </c>
      <c r="R53" s="20" t="n">
        <v>1.3398632</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(2373.0/B55*100)</f>
        <v/>
      </c>
      <c r="D55" s="19" t="n">
        <v>302</v>
      </c>
      <c r="E55" s="18" t="n">
        <v>40.73612027</v>
      </c>
      <c r="F55" s="20" t="n">
        <v>3.34570115</v>
      </c>
      <c r="G55" s="18" t="n">
        <v>58.96875664</v>
      </c>
      <c r="H55" s="20" t="n">
        <v>3.30453085</v>
      </c>
      <c r="I55" s="18" t="n">
        <v>0</v>
      </c>
      <c r="J55" s="20" t="n">
        <v>0</v>
      </c>
      <c r="K55" s="18" t="n">
        <v>0.29512309</v>
      </c>
      <c r="L55" s="20" t="n">
        <v>0.3038083</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(2831.0/B61*100)</f>
        <v/>
      </c>
      <c r="D61" s="19" t="n">
        <v>370</v>
      </c>
      <c r="E61" s="18" t="n">
        <v>50.49831231</v>
      </c>
      <c r="F61" s="20" t="n">
        <v>2.69975955</v>
      </c>
      <c r="G61" s="18" t="n">
        <v>49.11147418</v>
      </c>
      <c r="H61" s="20" t="n">
        <v>2.73458336</v>
      </c>
      <c r="I61" s="18" t="n">
        <v>0</v>
      </c>
      <c r="J61" s="20" t="n">
        <v>0</v>
      </c>
      <c r="K61" s="18" t="n">
        <v>0</v>
      </c>
      <c r="L61" s="20" t="n">
        <v>0</v>
      </c>
      <c r="M61" s="18" t="n">
        <v>0</v>
      </c>
      <c r="N61" s="20" t="n">
        <v>0</v>
      </c>
      <c r="O61" s="18" t="n">
        <v>0</v>
      </c>
      <c r="P61" s="20" t="n">
        <v>0</v>
      </c>
      <c r="Q61" s="18" t="n">
        <v>0.39021351</v>
      </c>
      <c r="R61" s="20" t="n">
        <v>0.33753906</v>
      </c>
    </row>
    <row r="62" spans="1:18">
      <c r="A62" s="15" t="s">
        <v>622</v>
      </c>
      <c r="B62" s="17" t="n">
        <v>2230</v>
      </c>
      <c r="C62" s="18">
        <f>(1987.0/B62*100)</f>
        <v/>
      </c>
      <c r="D62" s="19" t="n">
        <v>243</v>
      </c>
      <c r="E62" s="18" t="n">
        <v>53.53023947</v>
      </c>
      <c r="F62" s="20" t="n">
        <v>2.83597462</v>
      </c>
      <c r="G62" s="18" t="n">
        <v>46.46976053</v>
      </c>
      <c r="H62" s="20" t="n">
        <v>2.83597462</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(2448.0/B67*100)</f>
        <v/>
      </c>
      <c r="D67" s="19" t="n">
        <v>323</v>
      </c>
      <c r="E67" s="18" t="n">
        <v>58.80901999</v>
      </c>
      <c r="F67" s="20" t="n">
        <v>2.51606151</v>
      </c>
      <c r="G67" s="18" t="n">
        <v>37.64009239</v>
      </c>
      <c r="H67" s="20" t="n">
        <v>2.59613128</v>
      </c>
      <c r="I67" s="18" t="n">
        <v>0</v>
      </c>
      <c r="J67" s="20" t="n">
        <v>0</v>
      </c>
      <c r="K67" s="18" t="n">
        <v>0.68941349</v>
      </c>
      <c r="L67" s="20" t="n">
        <v>0.68223863</v>
      </c>
      <c r="M67" s="18" t="n">
        <v>0</v>
      </c>
      <c r="N67" s="20" t="n">
        <v>0</v>
      </c>
      <c r="O67" s="18" t="n">
        <v>0</v>
      </c>
      <c r="P67" s="20" t="n">
        <v>0</v>
      </c>
      <c r="Q67" s="18" t="n">
        <v>2.86147413</v>
      </c>
      <c r="R67" s="20" t="n">
        <v>1.21576722</v>
      </c>
    </row>
    <row r="68" spans="1:18">
      <c r="A68" s="15" t="s">
        <v>628</v>
      </c>
      <c r="B68" s="17" t="n">
        <v>3460</v>
      </c>
      <c r="C68" s="18">
        <f>(3109.0/B68*100)</f>
        <v/>
      </c>
      <c r="D68" s="19" t="n">
        <v>351</v>
      </c>
      <c r="E68" s="18" t="n">
        <v>69.40877317</v>
      </c>
      <c r="F68" s="20" t="n">
        <v>2.28318553</v>
      </c>
      <c r="G68" s="18" t="n">
        <v>30.09164383</v>
      </c>
      <c r="H68" s="20" t="n">
        <v>2.20971409</v>
      </c>
      <c r="I68" s="18" t="n">
        <v>0</v>
      </c>
      <c r="J68" s="20" t="n">
        <v>0</v>
      </c>
      <c r="K68" s="18" t="n">
        <v>0.2275559</v>
      </c>
      <c r="L68" s="20" t="n">
        <v>0.23414416</v>
      </c>
      <c r="M68" s="18" t="n">
        <v>0</v>
      </c>
      <c r="N68" s="20" t="n">
        <v>0</v>
      </c>
      <c r="O68" s="18" t="n">
        <v>0</v>
      </c>
      <c r="P68" s="20" t="n">
        <v>0</v>
      </c>
      <c r="Q68" s="18" t="n">
        <v>0.2720271</v>
      </c>
      <c r="R68" s="20" t="n">
        <v>0.27458691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(5401.0/B70*100)</f>
        <v/>
      </c>
      <c r="D70" s="19" t="n">
        <v>633</v>
      </c>
      <c r="E70" s="18" t="n">
        <v>61.12670554</v>
      </c>
      <c r="F70" s="20" t="n">
        <v>2.05170949</v>
      </c>
      <c r="G70" s="18" t="n">
        <v>36.90894501</v>
      </c>
      <c r="H70" s="20" t="n">
        <v>2.08413734</v>
      </c>
      <c r="I70" s="18" t="n">
        <v>0</v>
      </c>
      <c r="J70" s="20" t="n">
        <v>0</v>
      </c>
      <c r="K70" s="18" t="n">
        <v>1.57305839</v>
      </c>
      <c r="L70" s="20" t="n">
        <v>0.49808903</v>
      </c>
      <c r="M70" s="18" t="n">
        <v>0</v>
      </c>
      <c r="N70" s="20" t="n">
        <v>0</v>
      </c>
      <c r="O70" s="18" t="n">
        <v>0</v>
      </c>
      <c r="P70" s="20" t="n">
        <v>0</v>
      </c>
      <c r="Q70" s="18" t="n">
        <v>0.39129107</v>
      </c>
      <c r="R70" s="20" t="n">
        <v>0.2731567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(2733.0/B72*100)</f>
        <v/>
      </c>
      <c r="D72" s="19" t="n">
        <v>374</v>
      </c>
      <c r="E72" s="18" t="n">
        <v>45.04133906</v>
      </c>
      <c r="F72" s="20" t="n">
        <v>2.40336546</v>
      </c>
      <c r="G72" s="18" t="n">
        <v>54.12679898</v>
      </c>
      <c r="H72" s="20" t="n">
        <v>2.5638494</v>
      </c>
      <c r="I72" s="18" t="n">
        <v>0</v>
      </c>
      <c r="J72" s="20" t="n">
        <v>0</v>
      </c>
      <c r="K72" s="18" t="n">
        <v>0.34092934</v>
      </c>
      <c r="L72" s="20" t="n">
        <v>0.33868334</v>
      </c>
      <c r="M72" s="18" t="n">
        <v>0</v>
      </c>
      <c r="N72" s="20" t="n">
        <v>0</v>
      </c>
      <c r="O72" s="18" t="n">
        <v>0</v>
      </c>
      <c r="P72" s="20" t="n">
        <v>0</v>
      </c>
      <c r="Q72" s="18" t="n">
        <v>0.49093261</v>
      </c>
      <c r="R72" s="20" t="n">
        <v>0.33449281</v>
      </c>
    </row>
    <row r="73" spans="1:18">
      <c r="A73" s="15" t="s">
        <v>633</v>
      </c>
      <c r="B73" s="17" t="n">
        <v>2973</v>
      </c>
      <c r="C73" s="18">
        <f>(2655.0/B73*100)</f>
        <v/>
      </c>
      <c r="D73" s="19" t="n">
        <v>318</v>
      </c>
      <c r="E73" s="18" t="n">
        <v>39.26712136</v>
      </c>
      <c r="F73" s="20" t="n">
        <v>2.65529887</v>
      </c>
      <c r="G73" s="18" t="n">
        <v>59.73941853</v>
      </c>
      <c r="H73" s="20" t="n">
        <v>2.64096716</v>
      </c>
      <c r="I73" s="18" t="n">
        <v>0</v>
      </c>
      <c r="J73" s="20" t="n">
        <v>0</v>
      </c>
      <c r="K73" s="18" t="n">
        <v>0.64965821</v>
      </c>
      <c r="L73" s="20" t="n">
        <v>0.46437156</v>
      </c>
      <c r="M73" s="18" t="n">
        <v>0</v>
      </c>
      <c r="N73" s="20" t="n">
        <v>0</v>
      </c>
      <c r="O73" s="18" t="n">
        <v>0</v>
      </c>
      <c r="P73" s="20" t="n">
        <v>0</v>
      </c>
      <c r="Q73" s="18" t="n">
        <v>0.3438019</v>
      </c>
      <c r="R73" s="20" t="n">
        <v>0.34461718</v>
      </c>
    </row>
    <row r="74" spans="1:18">
      <c r="A74" s="15" t="s">
        <v>634</v>
      </c>
      <c r="B74" s="17" t="n">
        <v>3819</v>
      </c>
      <c r="C74" s="18">
        <f>(3405.0/B74*100)</f>
        <v/>
      </c>
      <c r="D74" s="19" t="n">
        <v>414</v>
      </c>
      <c r="E74" s="18" t="n">
        <v>59.98970357</v>
      </c>
      <c r="F74" s="20" t="n">
        <v>2.86077904</v>
      </c>
      <c r="G74" s="18" t="n">
        <v>40.01029643</v>
      </c>
      <c r="H74" s="20" t="n">
        <v>2.86077904</v>
      </c>
      <c r="I74" s="18" t="n">
        <v>0</v>
      </c>
      <c r="J74" s="20" t="n">
        <v>0</v>
      </c>
      <c r="K74" s="18" t="n">
        <v>0</v>
      </c>
      <c r="L74" s="20" t="n">
        <v>0</v>
      </c>
      <c r="M74" s="18" t="n">
        <v>0</v>
      </c>
      <c r="N74" s="20" t="n">
        <v>0</v>
      </c>
      <c r="O74" s="18" t="n">
        <v>0</v>
      </c>
      <c r="P74" s="20" t="n">
        <v>0</v>
      </c>
      <c r="Q74" s="18" t="n">
        <v>0</v>
      </c>
      <c r="R74" s="20" t="n">
        <v>0</v>
      </c>
    </row>
    <row r="75" spans="1:18">
      <c r="A75" s="15" t="s">
        <v>635</v>
      </c>
      <c r="B75" s="17" t="n">
        <v>4652</v>
      </c>
      <c r="C75" s="18">
        <f>(4130.0/B75*100)</f>
        <v/>
      </c>
      <c r="D75" s="19" t="n">
        <v>522</v>
      </c>
      <c r="E75" s="18" t="n">
        <v>64.14543231</v>
      </c>
      <c r="F75" s="20" t="n">
        <v>2.15763169</v>
      </c>
      <c r="G75" s="18" t="n">
        <v>35.24193816</v>
      </c>
      <c r="H75" s="20" t="n">
        <v>2.13232464</v>
      </c>
      <c r="I75" s="18" t="n">
        <v>0</v>
      </c>
      <c r="J75" s="20" t="n">
        <v>0</v>
      </c>
      <c r="K75" s="18" t="n">
        <v>0</v>
      </c>
      <c r="L75" s="20" t="n">
        <v>0</v>
      </c>
      <c r="M75" s="18" t="n">
        <v>0</v>
      </c>
      <c r="N75" s="20" t="n">
        <v>0</v>
      </c>
      <c r="O75" s="18" t="n">
        <v>0</v>
      </c>
      <c r="P75" s="20" t="n">
        <v>0</v>
      </c>
      <c r="Q75" s="18" t="n">
        <v>0.61262953</v>
      </c>
      <c r="R75" s="20" t="n">
        <v>0.39496345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(2672.0/B77*100)</f>
        <v/>
      </c>
      <c r="D77" s="19" t="n">
        <v>297</v>
      </c>
      <c r="E77" s="18" t="n">
        <v>66.08558272</v>
      </c>
      <c r="F77" s="20" t="n">
        <v>2.90864751</v>
      </c>
      <c r="G77" s="18" t="n">
        <v>27.70539942</v>
      </c>
      <c r="H77" s="20" t="n">
        <v>2.63125104</v>
      </c>
      <c r="I77" s="18" t="n">
        <v>0</v>
      </c>
      <c r="J77" s="20" t="n">
        <v>0</v>
      </c>
      <c r="K77" s="18" t="n">
        <v>4.12664534</v>
      </c>
      <c r="L77" s="20" t="n">
        <v>1.24542317</v>
      </c>
      <c r="M77" s="18" t="n">
        <v>0</v>
      </c>
      <c r="N77" s="20" t="n">
        <v>0</v>
      </c>
      <c r="O77" s="18" t="n">
        <v>0</v>
      </c>
      <c r="P77" s="20" t="n">
        <v>0</v>
      </c>
      <c r="Q77" s="18" t="n">
        <v>2.08237252</v>
      </c>
      <c r="R77" s="20" t="n">
        <v>0.85665897</v>
      </c>
    </row>
    <row r="78" spans="1:18">
      <c r="A78" s="15" t="s">
        <v>638</v>
      </c>
      <c r="B78" s="17" t="n">
        <v>7115</v>
      </c>
      <c r="C78" s="18">
        <f>(6319.0/B78*100)</f>
        <v/>
      </c>
      <c r="D78" s="19" t="n">
        <v>796</v>
      </c>
      <c r="E78" s="18" t="n">
        <v>54.7322353</v>
      </c>
      <c r="F78" s="20" t="n">
        <v>2.23710706</v>
      </c>
      <c r="G78" s="18" t="n">
        <v>44.24732087</v>
      </c>
      <c r="H78" s="20" t="n">
        <v>2.38481718</v>
      </c>
      <c r="I78" s="18" t="n">
        <v>0</v>
      </c>
      <c r="J78" s="20" t="n">
        <v>0</v>
      </c>
      <c r="K78" s="18" t="n">
        <v>0.32215833</v>
      </c>
      <c r="L78" s="20" t="n">
        <v>0.18920854</v>
      </c>
      <c r="M78" s="18" t="n">
        <v>0</v>
      </c>
      <c r="N78" s="20" t="n">
        <v>0</v>
      </c>
      <c r="O78" s="18" t="n">
        <v>0</v>
      </c>
      <c r="P78" s="20" t="n">
        <v>0</v>
      </c>
      <c r="Q78" s="18" t="n">
        <v>0.6982855</v>
      </c>
      <c r="R78" s="20" t="n">
        <v>0.43298196</v>
      </c>
    </row>
    <row r="79" spans="1:18">
      <c r="A79" s="15" t="s">
        <v>639</v>
      </c>
      <c r="B79" s="17" t="n">
        <v>3154</v>
      </c>
      <c r="C79" s="18">
        <f>(2850.0/B79*100)</f>
        <v/>
      </c>
      <c r="D79" s="19" t="n">
        <v>304</v>
      </c>
      <c r="E79" s="18" t="n">
        <v>61.30404306</v>
      </c>
      <c r="F79" s="20" t="n">
        <v>2.70170313</v>
      </c>
      <c r="G79" s="18" t="n">
        <v>34.00493448</v>
      </c>
      <c r="H79" s="20" t="n">
        <v>2.44730867</v>
      </c>
      <c r="I79" s="18" t="n">
        <v>0</v>
      </c>
      <c r="J79" s="20" t="n">
        <v>0</v>
      </c>
      <c r="K79" s="18" t="n">
        <v>1.98874952</v>
      </c>
      <c r="L79" s="20" t="n">
        <v>0.96613084</v>
      </c>
      <c r="M79" s="18" t="n">
        <v>0</v>
      </c>
      <c r="N79" s="20" t="n">
        <v>0</v>
      </c>
      <c r="O79" s="18" t="n">
        <v>0</v>
      </c>
      <c r="P79" s="20" t="n">
        <v>0</v>
      </c>
      <c r="Q79" s="18" t="n">
        <v>2.70227294</v>
      </c>
      <c r="R79" s="20" t="n">
        <v>1.09499195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(14241.0/B82*100)</f>
        <v/>
      </c>
      <c r="D82" s="19" t="n">
        <v>1720</v>
      </c>
      <c r="E82" s="18" t="n">
        <v>43.88571787</v>
      </c>
      <c r="F82" s="20" t="n">
        <v>1.77784202</v>
      </c>
      <c r="G82" s="18" t="n">
        <v>54.68728751</v>
      </c>
      <c r="H82" s="20" t="n">
        <v>1.83380532</v>
      </c>
      <c r="I82" s="18" t="n">
        <v>0</v>
      </c>
      <c r="J82" s="20" t="n">
        <v>0</v>
      </c>
      <c r="K82" s="18" t="n">
        <v>0.17837976</v>
      </c>
      <c r="L82" s="20" t="n">
        <v>0.07565697</v>
      </c>
      <c r="M82" s="18" t="n">
        <v>0</v>
      </c>
      <c r="N82" s="20" t="n">
        <v>0</v>
      </c>
      <c r="O82" s="18" t="n">
        <v>0</v>
      </c>
      <c r="P82" s="20" t="n">
        <v>0</v>
      </c>
      <c r="Q82" s="18" t="n">
        <v>1.24861486</v>
      </c>
      <c r="R82" s="20" t="n">
        <v>0.52143362</v>
      </c>
    </row>
    <row r="83" spans="1:18">
      <c r="A83" s="15" t="s">
        <v>643</v>
      </c>
      <c r="B83" s="17" t="n">
        <v>808</v>
      </c>
      <c r="C83" s="18">
        <f>(723.0/B83*100)</f>
        <v/>
      </c>
      <c r="D83" s="19" t="n">
        <v>85</v>
      </c>
      <c r="E83" s="18" t="n">
        <v>54.9800069</v>
      </c>
      <c r="F83" s="20" t="n">
        <v>4.96412467</v>
      </c>
      <c r="G83" s="18" t="n">
        <v>45.0199931</v>
      </c>
      <c r="H83" s="20" t="n">
        <v>4.96412467</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(837.0/B84*100)</f>
        <v/>
      </c>
      <c r="D84" s="19" t="n">
        <v>101</v>
      </c>
      <c r="E84" s="18" t="n">
        <v>53.38674532</v>
      </c>
      <c r="F84" s="20" t="n">
        <v>5.14300103</v>
      </c>
      <c r="G84" s="18" t="n">
        <v>46.61325468</v>
      </c>
      <c r="H84" s="20" t="n">
        <v>5.14300103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(6384.0/B7*100)</f>
        <v/>
      </c>
      <c r="D7" s="19" t="n">
        <v>779</v>
      </c>
      <c r="E7" s="18" t="n">
        <v>38.7424378</v>
      </c>
      <c r="F7" s="20" t="n">
        <v>2.1834603</v>
      </c>
      <c r="G7" s="18" t="n">
        <v>60.02378742</v>
      </c>
      <c r="H7" s="20" t="n">
        <v>2.19782969</v>
      </c>
      <c r="I7" s="18" t="n">
        <v>0</v>
      </c>
      <c r="J7" s="20" t="n">
        <v>0</v>
      </c>
      <c r="K7" s="18" t="n">
        <v>0.23345048</v>
      </c>
      <c r="L7" s="20" t="n">
        <v>0.20836691</v>
      </c>
      <c r="M7" s="18" t="n">
        <v>0</v>
      </c>
      <c r="N7" s="20" t="n">
        <v>0</v>
      </c>
      <c r="O7" s="18" t="n">
        <v>0</v>
      </c>
      <c r="P7" s="20" t="n">
        <v>0</v>
      </c>
      <c r="Q7" s="18" t="n">
        <v>1.00032431</v>
      </c>
      <c r="R7" s="20" t="n">
        <v>0.30707318</v>
      </c>
    </row>
    <row r="8" spans="1:18">
      <c r="A8" s="15" t="s">
        <v>566</v>
      </c>
      <c r="B8" s="17" t="n">
        <v>3443</v>
      </c>
      <c r="C8" s="18">
        <f>(3058.0/B8*100)</f>
        <v/>
      </c>
      <c r="D8" s="19" t="n">
        <v>385</v>
      </c>
      <c r="E8" s="18" t="n">
        <v>27.38213954</v>
      </c>
      <c r="F8" s="20" t="n">
        <v>2.30928668</v>
      </c>
      <c r="G8" s="18" t="n">
        <v>71.57399819</v>
      </c>
      <c r="H8" s="20" t="n">
        <v>2.32773248</v>
      </c>
      <c r="I8" s="18" t="n">
        <v>0</v>
      </c>
      <c r="J8" s="20" t="n">
        <v>0</v>
      </c>
      <c r="K8" s="18" t="n">
        <v>0.29473228</v>
      </c>
      <c r="L8" s="20" t="n">
        <v>0.33277677</v>
      </c>
      <c r="M8" s="18" t="n">
        <v>0</v>
      </c>
      <c r="N8" s="20" t="n">
        <v>0</v>
      </c>
      <c r="O8" s="18" t="n">
        <v>0</v>
      </c>
      <c r="P8" s="20" t="n">
        <v>0</v>
      </c>
      <c r="Q8" s="18" t="n">
        <v>0.74912999</v>
      </c>
      <c r="R8" s="20" t="n">
        <v>0.51409522</v>
      </c>
    </row>
    <row r="9" spans="1:18">
      <c r="A9" s="15" t="s">
        <v>567</v>
      </c>
      <c r="B9" s="17" t="n">
        <v>4752</v>
      </c>
      <c r="C9" s="18">
        <f>(4250.0/B9*100)</f>
        <v/>
      </c>
      <c r="D9" s="19" t="n">
        <v>502</v>
      </c>
      <c r="E9" s="18" t="n">
        <v>32.12098474</v>
      </c>
      <c r="F9" s="20" t="n">
        <v>2.16962914</v>
      </c>
      <c r="G9" s="18" t="n">
        <v>66.66412849</v>
      </c>
      <c r="H9" s="20" t="n">
        <v>2.20866029</v>
      </c>
      <c r="I9" s="18" t="n">
        <v>0</v>
      </c>
      <c r="J9" s="20" t="n">
        <v>0</v>
      </c>
      <c r="K9" s="18" t="n">
        <v>0</v>
      </c>
      <c r="L9" s="20" t="n">
        <v>0</v>
      </c>
      <c r="M9" s="18" t="n">
        <v>0</v>
      </c>
      <c r="N9" s="20" t="n">
        <v>0</v>
      </c>
      <c r="O9" s="18" t="n">
        <v>0</v>
      </c>
      <c r="P9" s="20" t="n">
        <v>0</v>
      </c>
      <c r="Q9" s="18" t="n">
        <v>1.21488677</v>
      </c>
      <c r="R9" s="20" t="n">
        <v>0.51562297</v>
      </c>
    </row>
    <row r="10" spans="1:18">
      <c r="A10" s="15" t="s">
        <v>568</v>
      </c>
      <c r="B10" s="17" t="n">
        <v>10022</v>
      </c>
      <c r="C10" s="18">
        <f>(8890.0/B10*100)</f>
        <v/>
      </c>
      <c r="D10" s="19" t="n">
        <v>1132</v>
      </c>
      <c r="E10" s="18" t="n">
        <v>32.74175954</v>
      </c>
      <c r="F10" s="20" t="n">
        <v>2.15198867</v>
      </c>
      <c r="G10" s="18" t="n">
        <v>66.18421499</v>
      </c>
      <c r="H10" s="20" t="n">
        <v>2.28147152</v>
      </c>
      <c r="I10" s="18" t="n">
        <v>0</v>
      </c>
      <c r="J10" s="20" t="n">
        <v>0</v>
      </c>
      <c r="K10" s="18" t="n">
        <v>0.83157166</v>
      </c>
      <c r="L10" s="20" t="n">
        <v>0.55322613</v>
      </c>
      <c r="M10" s="18" t="n">
        <v>0</v>
      </c>
      <c r="N10" s="20" t="n">
        <v>0</v>
      </c>
      <c r="O10" s="18" t="n">
        <v>0</v>
      </c>
      <c r="P10" s="20" t="n">
        <v>0</v>
      </c>
      <c r="Q10" s="18" t="n">
        <v>0.2424538</v>
      </c>
      <c r="R10" s="20" t="n">
        <v>0.08489982</v>
      </c>
    </row>
    <row r="11" spans="1:18">
      <c r="A11" s="15" t="s">
        <v>569</v>
      </c>
      <c r="B11" s="17" t="n">
        <v>3500</v>
      </c>
      <c r="C11" s="18">
        <f>(3140.0/B11*100)</f>
        <v/>
      </c>
      <c r="D11" s="19" t="n">
        <v>360</v>
      </c>
      <c r="E11" s="18" t="n">
        <v>54.4531978</v>
      </c>
      <c r="F11" s="20" t="n">
        <v>3.60545435</v>
      </c>
      <c r="G11" s="18" t="n">
        <v>43.63824594</v>
      </c>
      <c r="H11" s="20" t="n">
        <v>3.4509667</v>
      </c>
      <c r="I11" s="18" t="n">
        <v>0</v>
      </c>
      <c r="J11" s="20" t="n">
        <v>0</v>
      </c>
      <c r="K11" s="18" t="n">
        <v>1.47335123</v>
      </c>
      <c r="L11" s="20" t="n">
        <v>0.68196336</v>
      </c>
      <c r="M11" s="18" t="n">
        <v>0</v>
      </c>
      <c r="N11" s="20" t="n">
        <v>0</v>
      </c>
      <c r="O11" s="18" t="n">
        <v>0</v>
      </c>
      <c r="P11" s="20" t="n">
        <v>0</v>
      </c>
      <c r="Q11" s="18" t="n">
        <v>0.43520503</v>
      </c>
      <c r="R11" s="20" t="n">
        <v>0.40299504</v>
      </c>
    </row>
    <row r="12" spans="1:18">
      <c r="A12" s="15" t="s">
        <v>570</v>
      </c>
      <c r="B12" s="17" t="n">
        <v>3422</v>
      </c>
      <c r="C12" s="18">
        <f>(3061.0/B12*100)</f>
        <v/>
      </c>
      <c r="D12" s="19" t="n">
        <v>361</v>
      </c>
      <c r="E12" s="18" t="n">
        <v>27.41854489</v>
      </c>
      <c r="F12" s="20" t="n">
        <v>2.44161894</v>
      </c>
      <c r="G12" s="18" t="n">
        <v>71.73734653</v>
      </c>
      <c r="H12" s="20" t="n">
        <v>2.56232324</v>
      </c>
      <c r="I12" s="18" t="n">
        <v>0</v>
      </c>
      <c r="J12" s="20" t="n">
        <v>0</v>
      </c>
      <c r="K12" s="18" t="n">
        <v>0.26952916</v>
      </c>
      <c r="L12" s="20" t="n">
        <v>0.26897451</v>
      </c>
      <c r="M12" s="18" t="n">
        <v>0</v>
      </c>
      <c r="N12" s="20" t="n">
        <v>0</v>
      </c>
      <c r="O12" s="18" t="n">
        <v>0</v>
      </c>
      <c r="P12" s="20" t="n">
        <v>0</v>
      </c>
      <c r="Q12" s="18" t="n">
        <v>0.57457942</v>
      </c>
      <c r="R12" s="20" t="n">
        <v>0.63861304</v>
      </c>
    </row>
    <row r="13" spans="1:18">
      <c r="A13" s="15" t="s">
        <v>571</v>
      </c>
      <c r="B13" s="17" t="n">
        <v>3602</v>
      </c>
      <c r="C13" s="18">
        <f>(3197.0/B13*100)</f>
        <v/>
      </c>
      <c r="D13" s="19" t="n">
        <v>405</v>
      </c>
      <c r="E13" s="18" t="n">
        <v>22.99657191</v>
      </c>
      <c r="F13" s="20" t="n">
        <v>2.28741399</v>
      </c>
      <c r="G13" s="18" t="n">
        <v>75.76402713</v>
      </c>
      <c r="H13" s="20" t="n">
        <v>2.25189046</v>
      </c>
      <c r="I13" s="18" t="n">
        <v>0</v>
      </c>
      <c r="J13" s="20" t="n">
        <v>0</v>
      </c>
      <c r="K13" s="18" t="n">
        <v>0.25566149</v>
      </c>
      <c r="L13" s="20" t="n">
        <v>0.29144608</v>
      </c>
      <c r="M13" s="18" t="n">
        <v>0</v>
      </c>
      <c r="N13" s="20" t="n">
        <v>0</v>
      </c>
      <c r="O13" s="18" t="n">
        <v>0</v>
      </c>
      <c r="P13" s="20" t="n">
        <v>0</v>
      </c>
      <c r="Q13" s="18" t="n">
        <v>0.9837394699999999</v>
      </c>
      <c r="R13" s="20" t="n">
        <v>0.470807</v>
      </c>
    </row>
    <row r="14" spans="1:18">
      <c r="A14" s="15" t="s">
        <v>572</v>
      </c>
      <c r="B14" s="17" t="n">
        <v>2788</v>
      </c>
      <c r="C14" s="18">
        <f>(2474.0/B14*100)</f>
        <v/>
      </c>
      <c r="D14" s="19" t="n">
        <v>314</v>
      </c>
      <c r="E14" s="18" t="n">
        <v>21.22508037</v>
      </c>
      <c r="F14" s="20" t="n">
        <v>2.4541763</v>
      </c>
      <c r="G14" s="18" t="n">
        <v>78.77491963</v>
      </c>
      <c r="H14" s="20" t="n">
        <v>2.4541763</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(2560.0/B15*100)</f>
        <v/>
      </c>
      <c r="D15" s="19" t="n">
        <v>303</v>
      </c>
      <c r="E15" s="18" t="n">
        <v>17.81420426</v>
      </c>
      <c r="F15" s="20" t="n">
        <v>2.02076095</v>
      </c>
      <c r="G15" s="18" t="n">
        <v>81.85325254</v>
      </c>
      <c r="H15" s="20" t="n">
        <v>2.09049561</v>
      </c>
      <c r="I15" s="18" t="n">
        <v>0</v>
      </c>
      <c r="J15" s="20" t="n">
        <v>0</v>
      </c>
      <c r="K15" s="18" t="n">
        <v>0</v>
      </c>
      <c r="L15" s="20" t="n">
        <v>0</v>
      </c>
      <c r="M15" s="18" t="n">
        <v>0</v>
      </c>
      <c r="N15" s="20" t="n">
        <v>0</v>
      </c>
      <c r="O15" s="18" t="n">
        <v>0</v>
      </c>
      <c r="P15" s="20" t="n">
        <v>0</v>
      </c>
      <c r="Q15" s="18" t="n">
        <v>0.33254321</v>
      </c>
      <c r="R15" s="20" t="n">
        <v>0.31749785</v>
      </c>
    </row>
    <row r="16" spans="1:18">
      <c r="A16" s="15" t="s">
        <v>574</v>
      </c>
      <c r="B16" s="17" t="n">
        <v>3111</v>
      </c>
      <c r="C16" s="18">
        <f>(2774.0/B16*100)</f>
        <v/>
      </c>
      <c r="D16" s="19" t="n">
        <v>337</v>
      </c>
      <c r="E16" s="18" t="n">
        <v>30.22495631</v>
      </c>
      <c r="F16" s="20" t="n">
        <v>2.69330865</v>
      </c>
      <c r="G16" s="18" t="n">
        <v>67.91546331000001</v>
      </c>
      <c r="H16" s="20" t="n">
        <v>2.83746183</v>
      </c>
      <c r="I16" s="18" t="n">
        <v>0</v>
      </c>
      <c r="J16" s="20" t="n">
        <v>0</v>
      </c>
      <c r="K16" s="18" t="n">
        <v>0.91920568</v>
      </c>
      <c r="L16" s="20" t="n">
        <v>0.54950541</v>
      </c>
      <c r="M16" s="18" t="n">
        <v>0</v>
      </c>
      <c r="N16" s="20" t="n">
        <v>0</v>
      </c>
      <c r="O16" s="18" t="n">
        <v>0</v>
      </c>
      <c r="P16" s="20" t="n">
        <v>0</v>
      </c>
      <c r="Q16" s="18" t="n">
        <v>0.9403747</v>
      </c>
      <c r="R16" s="20" t="n">
        <v>0.75914653</v>
      </c>
    </row>
    <row r="17" spans="1:18">
      <c r="A17" s="15" t="s">
        <v>575</v>
      </c>
      <c r="B17" s="17" t="n">
        <v>3197</v>
      </c>
      <c r="C17" s="18">
        <f>(2849.0/B17*100)</f>
        <v/>
      </c>
      <c r="D17" s="19" t="n">
        <v>348</v>
      </c>
      <c r="E17" s="18" t="n">
        <v>26.70781298</v>
      </c>
      <c r="F17" s="20" t="n">
        <v>2.84408891</v>
      </c>
      <c r="G17" s="18" t="n">
        <v>72.99988175</v>
      </c>
      <c r="H17" s="20" t="n">
        <v>2.83658626</v>
      </c>
      <c r="I17" s="18" t="n">
        <v>0</v>
      </c>
      <c r="J17" s="20" t="n">
        <v>0</v>
      </c>
      <c r="K17" s="18" t="n">
        <v>0.29230527</v>
      </c>
      <c r="L17" s="20" t="n">
        <v>0.2877788</v>
      </c>
      <c r="M17" s="18" t="n">
        <v>0</v>
      </c>
      <c r="N17" s="20" t="n">
        <v>0</v>
      </c>
      <c r="O17" s="18" t="n">
        <v>0</v>
      </c>
      <c r="P17" s="20" t="n">
        <v>0</v>
      </c>
      <c r="Q17" s="18" t="n">
        <v>0</v>
      </c>
      <c r="R17" s="20" t="n">
        <v>0</v>
      </c>
    </row>
    <row r="18" spans="1:18">
      <c r="A18" s="15" t="s">
        <v>576</v>
      </c>
      <c r="B18" s="17" t="n">
        <v>2706</v>
      </c>
      <c r="C18" s="18">
        <f>(2420.0/B18*100)</f>
        <v/>
      </c>
      <c r="D18" s="19" t="n">
        <v>286</v>
      </c>
      <c r="E18" s="18" t="n">
        <v>32.60610493</v>
      </c>
      <c r="F18" s="20" t="n">
        <v>2.45324093</v>
      </c>
      <c r="G18" s="18" t="n">
        <v>66.26772264</v>
      </c>
      <c r="H18" s="20" t="n">
        <v>2.48416294</v>
      </c>
      <c r="I18" s="18" t="n">
        <v>0</v>
      </c>
      <c r="J18" s="20" t="n">
        <v>0</v>
      </c>
      <c r="K18" s="18" t="n">
        <v>0.6308362199999999</v>
      </c>
      <c r="L18" s="20" t="n">
        <v>0.44464651</v>
      </c>
      <c r="M18" s="18" t="n">
        <v>0</v>
      </c>
      <c r="N18" s="20" t="n">
        <v>0</v>
      </c>
      <c r="O18" s="18" t="n">
        <v>0</v>
      </c>
      <c r="P18" s="20" t="n">
        <v>0</v>
      </c>
      <c r="Q18" s="18" t="n">
        <v>0.49533621</v>
      </c>
      <c r="R18" s="20" t="n">
        <v>0.48643433</v>
      </c>
    </row>
    <row r="19" spans="1:18">
      <c r="A19" s="15" t="s">
        <v>577</v>
      </c>
      <c r="B19" s="17" t="n">
        <v>2850</v>
      </c>
      <c r="C19" s="18">
        <f>(2542.0/B19*100)</f>
        <v/>
      </c>
      <c r="D19" s="19" t="n">
        <v>308</v>
      </c>
      <c r="E19" s="18" t="n">
        <v>37.19036319</v>
      </c>
      <c r="F19" s="20" t="n">
        <v>3.17529828</v>
      </c>
      <c r="G19" s="18" t="n">
        <v>62.52045745</v>
      </c>
      <c r="H19" s="20" t="n">
        <v>3.20026619</v>
      </c>
      <c r="I19" s="18" t="n">
        <v>0</v>
      </c>
      <c r="J19" s="20" t="n">
        <v>0</v>
      </c>
      <c r="K19" s="18" t="n">
        <v>0</v>
      </c>
      <c r="L19" s="20" t="n">
        <v>0</v>
      </c>
      <c r="M19" s="18" t="n">
        <v>0</v>
      </c>
      <c r="N19" s="20" t="n">
        <v>0</v>
      </c>
      <c r="O19" s="18" t="n">
        <v>0</v>
      </c>
      <c r="P19" s="20" t="n">
        <v>0</v>
      </c>
      <c r="Q19" s="18" t="n">
        <v>0.28917935</v>
      </c>
      <c r="R19" s="20" t="n">
        <v>0.28663963</v>
      </c>
    </row>
    <row r="20" spans="1:18">
      <c r="A20" s="15" t="s">
        <v>578</v>
      </c>
      <c r="B20" s="17" t="n">
        <v>1741</v>
      </c>
      <c r="C20" s="18">
        <f>(1523.0/B20*100)</f>
        <v/>
      </c>
      <c r="D20" s="19" t="n">
        <v>218</v>
      </c>
      <c r="E20" s="18" t="n">
        <v>35.23414039</v>
      </c>
      <c r="F20" s="20" t="n">
        <v>3.68104979</v>
      </c>
      <c r="G20" s="18" t="n">
        <v>62.75823788</v>
      </c>
      <c r="H20" s="20" t="n">
        <v>3.54865238</v>
      </c>
      <c r="I20" s="18" t="n">
        <v>0</v>
      </c>
      <c r="J20" s="20" t="n">
        <v>0</v>
      </c>
      <c r="K20" s="18" t="n">
        <v>0</v>
      </c>
      <c r="L20" s="20" t="n">
        <v>0</v>
      </c>
      <c r="M20" s="18" t="n">
        <v>0</v>
      </c>
      <c r="N20" s="20" t="n">
        <v>0</v>
      </c>
      <c r="O20" s="18" t="n">
        <v>0</v>
      </c>
      <c r="P20" s="20" t="n">
        <v>0</v>
      </c>
      <c r="Q20" s="18" t="n">
        <v>2.00762173</v>
      </c>
      <c r="R20" s="20" t="n">
        <v>1.008731</v>
      </c>
    </row>
    <row r="21" spans="1:18">
      <c r="A21" s="15" t="s">
        <v>579</v>
      </c>
      <c r="B21" s="17" t="n">
        <v>2833</v>
      </c>
      <c r="C21" s="18">
        <f>(2530.0/B21*100)</f>
        <v/>
      </c>
      <c r="D21" s="19" t="n">
        <v>303</v>
      </c>
      <c r="E21" s="18" t="n">
        <v>38.68554323</v>
      </c>
      <c r="F21" s="20" t="n">
        <v>2.49510446</v>
      </c>
      <c r="G21" s="18" t="n">
        <v>61.31445677</v>
      </c>
      <c r="H21" s="20" t="n">
        <v>2.49510446</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(3243.0/B22*100)</f>
        <v/>
      </c>
      <c r="D22" s="19" t="n">
        <v>424</v>
      </c>
      <c r="E22" s="18" t="n">
        <v>40.99897962</v>
      </c>
      <c r="F22" s="20" t="n">
        <v>2.67269137</v>
      </c>
      <c r="G22" s="18" t="n">
        <v>55.88543542</v>
      </c>
      <c r="H22" s="20" t="n">
        <v>2.56104975</v>
      </c>
      <c r="I22" s="18" t="n">
        <v>0</v>
      </c>
      <c r="J22" s="20" t="n">
        <v>0</v>
      </c>
      <c r="K22" s="18" t="n">
        <v>0.22434677</v>
      </c>
      <c r="L22" s="20" t="n">
        <v>0.24875515</v>
      </c>
      <c r="M22" s="18" t="n">
        <v>0</v>
      </c>
      <c r="N22" s="20" t="n">
        <v>0</v>
      </c>
      <c r="O22" s="18" t="n">
        <v>0</v>
      </c>
      <c r="P22" s="20" t="n">
        <v>0</v>
      </c>
      <c r="Q22" s="18" t="n">
        <v>2.89123819</v>
      </c>
      <c r="R22" s="20" t="n">
        <v>0.98382668</v>
      </c>
    </row>
    <row r="23" spans="1:18">
      <c r="A23" s="15" t="s">
        <v>581</v>
      </c>
      <c r="B23" s="17" t="n">
        <v>5792</v>
      </c>
      <c r="C23" s="18">
        <f>(5159.0/B23*100)</f>
        <v/>
      </c>
      <c r="D23" s="19" t="n">
        <v>633</v>
      </c>
      <c r="E23" s="18" t="n">
        <v>33.79627806</v>
      </c>
      <c r="F23" s="20" t="n">
        <v>2.98170221</v>
      </c>
      <c r="G23" s="18" t="n">
        <v>64.78941066</v>
      </c>
      <c r="H23" s="20" t="n">
        <v>3.17678188</v>
      </c>
      <c r="I23" s="18" t="n">
        <v>0</v>
      </c>
      <c r="J23" s="20" t="n">
        <v>0</v>
      </c>
      <c r="K23" s="18" t="n">
        <v>0.29503826</v>
      </c>
      <c r="L23" s="20" t="n">
        <v>0.27426232</v>
      </c>
      <c r="M23" s="18" t="n">
        <v>0</v>
      </c>
      <c r="N23" s="20" t="n">
        <v>0</v>
      </c>
      <c r="O23" s="18" t="n">
        <v>0</v>
      </c>
      <c r="P23" s="20" t="n">
        <v>0</v>
      </c>
      <c r="Q23" s="18" t="n">
        <v>1.11927302</v>
      </c>
      <c r="R23" s="20" t="n">
        <v>0.5971756</v>
      </c>
    </row>
    <row r="24" spans="1:18">
      <c r="A24" s="15" t="s">
        <v>582</v>
      </c>
      <c r="B24" s="17" t="n">
        <v>3309</v>
      </c>
      <c r="C24" s="18">
        <f>(2953.0/B24*100)</f>
        <v/>
      </c>
      <c r="D24" s="19" t="n">
        <v>356</v>
      </c>
      <c r="E24" s="18" t="n">
        <v>41.24264003</v>
      </c>
      <c r="F24" s="20" t="n">
        <v>2.93830466</v>
      </c>
      <c r="G24" s="18" t="n">
        <v>58.75735997</v>
      </c>
      <c r="H24" s="20" t="n">
        <v>2.93830466</v>
      </c>
      <c r="I24" s="18" t="n">
        <v>0</v>
      </c>
      <c r="J24" s="20" t="n">
        <v>0</v>
      </c>
      <c r="K24" s="18" t="n">
        <v>0</v>
      </c>
      <c r="L24" s="20" t="n">
        <v>0</v>
      </c>
      <c r="M24" s="18" t="n">
        <v>0</v>
      </c>
      <c r="N24" s="20" t="n">
        <v>0</v>
      </c>
      <c r="O24" s="18" t="n">
        <v>0</v>
      </c>
      <c r="P24" s="20" t="n">
        <v>0</v>
      </c>
      <c r="Q24" s="18" t="n">
        <v>0</v>
      </c>
      <c r="R24" s="20" t="n">
        <v>0</v>
      </c>
    </row>
    <row r="25" spans="1:18">
      <c r="A25" s="15" t="s">
        <v>583</v>
      </c>
      <c r="B25" s="17" t="n">
        <v>2669</v>
      </c>
      <c r="C25" s="18">
        <f>(2362.0/B25*100)</f>
        <v/>
      </c>
      <c r="D25" s="19" t="n">
        <v>307</v>
      </c>
      <c r="E25" s="18" t="n">
        <v>25.83344799</v>
      </c>
      <c r="F25" s="20" t="n">
        <v>2.16517939</v>
      </c>
      <c r="G25" s="18" t="n">
        <v>73.88126871999999</v>
      </c>
      <c r="H25" s="20" t="n">
        <v>2.16093286</v>
      </c>
      <c r="I25" s="18" t="n">
        <v>0</v>
      </c>
      <c r="J25" s="20" t="n">
        <v>0</v>
      </c>
      <c r="K25" s="18" t="n">
        <v>0.28528329</v>
      </c>
      <c r="L25" s="20" t="n">
        <v>0.28424248</v>
      </c>
      <c r="M25" s="18" t="n">
        <v>0</v>
      </c>
      <c r="N25" s="20" t="n">
        <v>0</v>
      </c>
      <c r="O25" s="18" t="n">
        <v>0</v>
      </c>
      <c r="P25" s="20" t="n">
        <v>0</v>
      </c>
      <c r="Q25" s="18" t="n">
        <v>0</v>
      </c>
      <c r="R25" s="20" t="n">
        <v>0</v>
      </c>
    </row>
    <row r="26" spans="1:18">
      <c r="A26" s="15" t="s">
        <v>584</v>
      </c>
      <c r="B26" s="17" t="n">
        <v>2419</v>
      </c>
      <c r="C26" s="18">
        <f>(2159.0/B26*100)</f>
        <v/>
      </c>
      <c r="D26" s="19" t="n">
        <v>260</v>
      </c>
      <c r="E26" s="18" t="n">
        <v>38.86735117</v>
      </c>
      <c r="F26" s="20" t="n">
        <v>3.56102827</v>
      </c>
      <c r="G26" s="18" t="n">
        <v>60.48141019</v>
      </c>
      <c r="H26" s="20" t="n">
        <v>3.59581665</v>
      </c>
      <c r="I26" s="18" t="n">
        <v>0</v>
      </c>
      <c r="J26" s="20" t="n">
        <v>0</v>
      </c>
      <c r="K26" s="18" t="n">
        <v>0</v>
      </c>
      <c r="L26" s="20" t="n">
        <v>0</v>
      </c>
      <c r="M26" s="18" t="n">
        <v>0</v>
      </c>
      <c r="N26" s="20" t="n">
        <v>0</v>
      </c>
      <c r="O26" s="18" t="n">
        <v>0</v>
      </c>
      <c r="P26" s="20" t="n">
        <v>0</v>
      </c>
      <c r="Q26" s="18" t="n">
        <v>0.65123864</v>
      </c>
      <c r="R26" s="20" t="n">
        <v>0.45815306</v>
      </c>
    </row>
    <row r="27" spans="1:18">
      <c r="A27" s="15" t="s">
        <v>585</v>
      </c>
      <c r="B27" s="17" t="n">
        <v>2683</v>
      </c>
      <c r="C27" s="18">
        <f>(2374.0/B27*100)</f>
        <v/>
      </c>
      <c r="D27" s="19" t="n">
        <v>309</v>
      </c>
      <c r="E27" s="18" t="n">
        <v>30.22276228</v>
      </c>
      <c r="F27" s="20" t="n">
        <v>2.36901526</v>
      </c>
      <c r="G27" s="18" t="n">
        <v>69.14826039</v>
      </c>
      <c r="H27" s="20" t="n">
        <v>2.41311972</v>
      </c>
      <c r="I27" s="18" t="n">
        <v>0</v>
      </c>
      <c r="J27" s="20" t="n">
        <v>0</v>
      </c>
      <c r="K27" s="18" t="n">
        <v>0</v>
      </c>
      <c r="L27" s="20" t="n">
        <v>0</v>
      </c>
      <c r="M27" s="18" t="n">
        <v>0</v>
      </c>
      <c r="N27" s="20" t="n">
        <v>0</v>
      </c>
      <c r="O27" s="18" t="n">
        <v>0</v>
      </c>
      <c r="P27" s="20" t="n">
        <v>0</v>
      </c>
      <c r="Q27" s="18" t="n">
        <v>0.62897733</v>
      </c>
      <c r="R27" s="20" t="n">
        <v>0.3815746</v>
      </c>
    </row>
    <row r="28" spans="1:18">
      <c r="A28" s="15" t="s">
        <v>586</v>
      </c>
      <c r="B28" s="17" t="n">
        <v>3803</v>
      </c>
      <c r="C28" s="18">
        <f>(3422.0/B28*100)</f>
        <v/>
      </c>
      <c r="D28" s="19" t="n">
        <v>381</v>
      </c>
      <c r="E28" s="18" t="n">
        <v>46.96450983</v>
      </c>
      <c r="F28" s="20" t="n">
        <v>2.7877027</v>
      </c>
      <c r="G28" s="18" t="n">
        <v>49.94322506</v>
      </c>
      <c r="H28" s="20" t="n">
        <v>2.82945236</v>
      </c>
      <c r="I28" s="18" t="n">
        <v>0</v>
      </c>
      <c r="J28" s="20" t="n">
        <v>0</v>
      </c>
      <c r="K28" s="18" t="n">
        <v>1.53971467</v>
      </c>
      <c r="L28" s="20" t="n">
        <v>0.61532547</v>
      </c>
      <c r="M28" s="18" t="n">
        <v>0</v>
      </c>
      <c r="N28" s="20" t="n">
        <v>0</v>
      </c>
      <c r="O28" s="18" t="n">
        <v>0</v>
      </c>
      <c r="P28" s="20" t="n">
        <v>0</v>
      </c>
      <c r="Q28" s="18" t="n">
        <v>1.55255043</v>
      </c>
      <c r="R28" s="20" t="n">
        <v>0.85922666</v>
      </c>
    </row>
    <row r="29" spans="1:18">
      <c r="A29" s="15" t="s">
        <v>587</v>
      </c>
      <c r="B29" s="17" t="n">
        <v>2700</v>
      </c>
      <c r="C29" s="18">
        <f>(2408.0/B29*100)</f>
        <v/>
      </c>
      <c r="D29" s="19" t="n">
        <v>292</v>
      </c>
      <c r="E29" s="18" t="n">
        <v>26.01075473</v>
      </c>
      <c r="F29" s="20" t="n">
        <v>2.75931168</v>
      </c>
      <c r="G29" s="18" t="n">
        <v>73.56873588000001</v>
      </c>
      <c r="H29" s="20" t="n">
        <v>2.58985945</v>
      </c>
      <c r="I29" s="18" t="n">
        <v>0</v>
      </c>
      <c r="J29" s="20" t="n">
        <v>0</v>
      </c>
      <c r="K29" s="18" t="n">
        <v>0.42050938</v>
      </c>
      <c r="L29" s="20" t="n">
        <v>0.39694228</v>
      </c>
      <c r="M29" s="18" t="n">
        <v>0</v>
      </c>
      <c r="N29" s="20" t="n">
        <v>0</v>
      </c>
      <c r="O29" s="18" t="n">
        <v>0</v>
      </c>
      <c r="P29" s="20" t="n">
        <v>0</v>
      </c>
      <c r="Q29" s="18" t="n">
        <v>0</v>
      </c>
      <c r="R29" s="20" t="n">
        <v>0</v>
      </c>
    </row>
    <row r="30" spans="1:18">
      <c r="A30" s="15" t="s">
        <v>588</v>
      </c>
      <c r="B30" s="17" t="n">
        <v>2257</v>
      </c>
      <c r="C30" s="18">
        <f>(2003.0/B30*100)</f>
        <v/>
      </c>
      <c r="D30" s="19" t="n">
        <v>254</v>
      </c>
      <c r="E30" s="18" t="n">
        <v>34.94745763</v>
      </c>
      <c r="F30" s="20" t="n">
        <v>3.19938849</v>
      </c>
      <c r="G30" s="18" t="n">
        <v>62.70109893</v>
      </c>
      <c r="H30" s="20" t="n">
        <v>3.45957869</v>
      </c>
      <c r="I30" s="18" t="n">
        <v>0</v>
      </c>
      <c r="J30" s="20" t="n">
        <v>0</v>
      </c>
      <c r="K30" s="18" t="n">
        <v>0</v>
      </c>
      <c r="L30" s="20" t="n">
        <v>0</v>
      </c>
      <c r="M30" s="18" t="n">
        <v>0</v>
      </c>
      <c r="N30" s="20" t="n">
        <v>0</v>
      </c>
      <c r="O30" s="18" t="n">
        <v>0</v>
      </c>
      <c r="P30" s="20" t="n">
        <v>0</v>
      </c>
      <c r="Q30" s="18" t="n">
        <v>2.35144344</v>
      </c>
      <c r="R30" s="20" t="n">
        <v>1.02070155</v>
      </c>
    </row>
    <row r="31" spans="1:18">
      <c r="A31" s="15" t="s">
        <v>589</v>
      </c>
      <c r="B31" s="17" t="n">
        <v>2706</v>
      </c>
      <c r="C31" s="18">
        <f>(2414.0/B31*100)</f>
        <v/>
      </c>
      <c r="D31" s="19" t="n">
        <v>292</v>
      </c>
      <c r="E31" s="18" t="n">
        <v>29.13442134</v>
      </c>
      <c r="F31" s="20" t="n">
        <v>2.69697439</v>
      </c>
      <c r="G31" s="18" t="n">
        <v>66.81484236999999</v>
      </c>
      <c r="H31" s="20" t="n">
        <v>2.54655369</v>
      </c>
      <c r="I31" s="18" t="n">
        <v>0</v>
      </c>
      <c r="J31" s="20" t="n">
        <v>0</v>
      </c>
      <c r="K31" s="18" t="n">
        <v>0.6324267</v>
      </c>
      <c r="L31" s="20" t="n">
        <v>0.42490147</v>
      </c>
      <c r="M31" s="18" t="n">
        <v>0</v>
      </c>
      <c r="N31" s="20" t="n">
        <v>0</v>
      </c>
      <c r="O31" s="18" t="n">
        <v>0</v>
      </c>
      <c r="P31" s="20" t="n">
        <v>0</v>
      </c>
      <c r="Q31" s="18" t="n">
        <v>3.4183096</v>
      </c>
      <c r="R31" s="20" t="n">
        <v>1.08490971</v>
      </c>
    </row>
    <row r="32" spans="1:18">
      <c r="A32" s="15" t="s">
        <v>590</v>
      </c>
      <c r="B32" s="17" t="n">
        <v>2209</v>
      </c>
      <c r="C32" s="18">
        <f>(1967.0/B32*100)</f>
        <v/>
      </c>
      <c r="D32" s="19" t="n">
        <v>242</v>
      </c>
      <c r="E32" s="18" t="n">
        <v>31.71972063</v>
      </c>
      <c r="F32" s="20" t="n">
        <v>3.05915671</v>
      </c>
      <c r="G32" s="18" t="n">
        <v>68.28027937</v>
      </c>
      <c r="H32" s="20" t="n">
        <v>3.05915671</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(3270.0/B33*100)</f>
        <v/>
      </c>
      <c r="D33" s="19" t="n">
        <v>381</v>
      </c>
      <c r="E33" s="18" t="n">
        <v>27.66711912</v>
      </c>
      <c r="F33" s="20" t="n">
        <v>2.54156117</v>
      </c>
      <c r="G33" s="18" t="n">
        <v>71.26530493999999</v>
      </c>
      <c r="H33" s="20" t="n">
        <v>2.51139672</v>
      </c>
      <c r="I33" s="18" t="n">
        <v>0</v>
      </c>
      <c r="J33" s="20" t="n">
        <v>0</v>
      </c>
      <c r="K33" s="18" t="n">
        <v>0.35085531</v>
      </c>
      <c r="L33" s="20" t="n">
        <v>0.34913013</v>
      </c>
      <c r="M33" s="18" t="n">
        <v>0</v>
      </c>
      <c r="N33" s="20" t="n">
        <v>0</v>
      </c>
      <c r="O33" s="18" t="n">
        <v>0</v>
      </c>
      <c r="P33" s="20" t="n">
        <v>0</v>
      </c>
      <c r="Q33" s="18" t="n">
        <v>0.71672063</v>
      </c>
      <c r="R33" s="20" t="n">
        <v>0.594166</v>
      </c>
    </row>
    <row r="34" spans="1:18">
      <c r="A34" s="15" t="s">
        <v>592</v>
      </c>
      <c r="B34" s="17" t="n">
        <v>3035</v>
      </c>
      <c r="C34" s="18">
        <f>(2695.0/B34*100)</f>
        <v/>
      </c>
      <c r="D34" s="19" t="n">
        <v>340</v>
      </c>
      <c r="E34" s="18" t="n">
        <v>30.35416037</v>
      </c>
      <c r="F34" s="20" t="n">
        <v>2.58102763</v>
      </c>
      <c r="G34" s="18" t="n">
        <v>69.23190427999999</v>
      </c>
      <c r="H34" s="20" t="n">
        <v>2.56229506</v>
      </c>
      <c r="I34" s="18" t="n">
        <v>0</v>
      </c>
      <c r="J34" s="20" t="n">
        <v>0</v>
      </c>
      <c r="K34" s="18" t="n">
        <v>0</v>
      </c>
      <c r="L34" s="20" t="n">
        <v>0</v>
      </c>
      <c r="M34" s="18" t="n">
        <v>0</v>
      </c>
      <c r="N34" s="20" t="n">
        <v>0</v>
      </c>
      <c r="O34" s="18" t="n">
        <v>0</v>
      </c>
      <c r="P34" s="20" t="n">
        <v>0</v>
      </c>
      <c r="Q34" s="18" t="n">
        <v>0.41393536</v>
      </c>
      <c r="R34" s="20" t="n">
        <v>0.41174766</v>
      </c>
    </row>
    <row r="35" spans="1:18">
      <c r="A35" s="15" t="s">
        <v>593</v>
      </c>
      <c r="B35" s="17" t="n">
        <v>2901</v>
      </c>
      <c r="C35" s="18">
        <f>(2607.0/B35*100)</f>
        <v/>
      </c>
      <c r="D35" s="19" t="n">
        <v>294</v>
      </c>
      <c r="E35" s="18" t="n">
        <v>34.84114177</v>
      </c>
      <c r="F35" s="20" t="n">
        <v>3.55304502</v>
      </c>
      <c r="G35" s="18" t="n">
        <v>65.02989869</v>
      </c>
      <c r="H35" s="20" t="n">
        <v>3.56093805</v>
      </c>
      <c r="I35" s="18" t="n">
        <v>0</v>
      </c>
      <c r="J35" s="20" t="n">
        <v>0</v>
      </c>
      <c r="K35" s="18" t="n">
        <v>0</v>
      </c>
      <c r="L35" s="20" t="n">
        <v>0</v>
      </c>
      <c r="M35" s="18" t="n">
        <v>0</v>
      </c>
      <c r="N35" s="20" t="n">
        <v>0</v>
      </c>
      <c r="O35" s="18" t="n">
        <v>0</v>
      </c>
      <c r="P35" s="20" t="n">
        <v>0</v>
      </c>
      <c r="Q35" s="18" t="n">
        <v>0.12895954</v>
      </c>
      <c r="R35" s="20" t="n">
        <v>0.13137086</v>
      </c>
    </row>
    <row r="36" spans="1:18">
      <c r="A36" s="15" t="s">
        <v>594</v>
      </c>
      <c r="B36" s="17" t="n">
        <v>3404</v>
      </c>
      <c r="C36" s="18">
        <f>(3050.0/B36*100)</f>
        <v/>
      </c>
      <c r="D36" s="19" t="n">
        <v>354</v>
      </c>
      <c r="E36" s="18" t="n">
        <v>28.59695249</v>
      </c>
      <c r="F36" s="20" t="n">
        <v>2.52651762</v>
      </c>
      <c r="G36" s="18" t="n">
        <v>70.35337115</v>
      </c>
      <c r="H36" s="20" t="n">
        <v>2.45662075</v>
      </c>
      <c r="I36" s="18" t="n">
        <v>0</v>
      </c>
      <c r="J36" s="20" t="n">
        <v>0</v>
      </c>
      <c r="K36" s="18" t="n">
        <v>0</v>
      </c>
      <c r="L36" s="20" t="n">
        <v>0</v>
      </c>
      <c r="M36" s="18" t="n">
        <v>0</v>
      </c>
      <c r="N36" s="20" t="n">
        <v>0</v>
      </c>
      <c r="O36" s="18" t="n">
        <v>0</v>
      </c>
      <c r="P36" s="20" t="n">
        <v>0</v>
      </c>
      <c r="Q36" s="18" t="n">
        <v>1.04967636</v>
      </c>
      <c r="R36" s="20" t="n">
        <v>0.54433065</v>
      </c>
    </row>
    <row r="37" spans="1:18">
      <c r="A37" s="15" t="s">
        <v>595</v>
      </c>
      <c r="B37" s="17" t="n">
        <v>2731</v>
      </c>
      <c r="C37" s="18">
        <f>(2427.0/B37*100)</f>
        <v/>
      </c>
      <c r="D37" s="19" t="n">
        <v>304</v>
      </c>
      <c r="E37" s="18" t="n">
        <v>27.17822825</v>
      </c>
      <c r="F37" s="20" t="n">
        <v>2.09483446</v>
      </c>
      <c r="G37" s="18" t="n">
        <v>68.87458485000001</v>
      </c>
      <c r="H37" s="20" t="n">
        <v>2.47229754</v>
      </c>
      <c r="I37" s="18" t="n">
        <v>0</v>
      </c>
      <c r="J37" s="20" t="n">
        <v>0</v>
      </c>
      <c r="K37" s="18" t="n">
        <v>1.02886029</v>
      </c>
      <c r="L37" s="20" t="n">
        <v>0.60243789</v>
      </c>
      <c r="M37" s="18" t="n">
        <v>0</v>
      </c>
      <c r="N37" s="20" t="n">
        <v>0</v>
      </c>
      <c r="O37" s="18" t="n">
        <v>0</v>
      </c>
      <c r="P37" s="20" t="n">
        <v>0</v>
      </c>
      <c r="Q37" s="18" t="n">
        <v>2.91832661</v>
      </c>
      <c r="R37" s="20" t="n">
        <v>1.11918447</v>
      </c>
    </row>
    <row r="38" spans="1:18">
      <c r="A38" s="15" t="s">
        <v>596</v>
      </c>
      <c r="B38" s="17" t="n">
        <v>2807</v>
      </c>
      <c r="C38" s="18">
        <f>(2489.0/B38*100)</f>
        <v/>
      </c>
      <c r="D38" s="19" t="n">
        <v>318</v>
      </c>
      <c r="E38" s="18" t="n">
        <v>24.89166523</v>
      </c>
      <c r="F38" s="20" t="n">
        <v>3.03350401</v>
      </c>
      <c r="G38" s="18" t="n">
        <v>73.79669137</v>
      </c>
      <c r="H38" s="20" t="n">
        <v>3.03983832</v>
      </c>
      <c r="I38" s="18" t="n">
        <v>0</v>
      </c>
      <c r="J38" s="20" t="n">
        <v>0</v>
      </c>
      <c r="K38" s="18" t="n">
        <v>0.33299449</v>
      </c>
      <c r="L38" s="20" t="n">
        <v>0.33304541</v>
      </c>
      <c r="M38" s="18" t="n">
        <v>0</v>
      </c>
      <c r="N38" s="20" t="n">
        <v>0</v>
      </c>
      <c r="O38" s="18" t="n">
        <v>0</v>
      </c>
      <c r="P38" s="20" t="n">
        <v>0</v>
      </c>
      <c r="Q38" s="18" t="n">
        <v>0.97864891</v>
      </c>
      <c r="R38" s="20" t="n">
        <v>0.53342136</v>
      </c>
    </row>
    <row r="39" spans="1:18">
      <c r="A39" s="15" t="s">
        <v>597</v>
      </c>
      <c r="B39" s="17" t="n">
        <v>2938</v>
      </c>
      <c r="C39" s="18">
        <f>(2624.0/B39*100)</f>
        <v/>
      </c>
      <c r="D39" s="19" t="n">
        <v>314</v>
      </c>
      <c r="E39" s="18" t="n">
        <v>64.60925288</v>
      </c>
      <c r="F39" s="20" t="n">
        <v>2.88634231</v>
      </c>
      <c r="G39" s="18" t="n">
        <v>35.00762136</v>
      </c>
      <c r="H39" s="20" t="n">
        <v>2.86879187</v>
      </c>
      <c r="I39" s="18" t="n">
        <v>0</v>
      </c>
      <c r="J39" s="20" t="n">
        <v>0</v>
      </c>
      <c r="K39" s="18" t="n">
        <v>0</v>
      </c>
      <c r="L39" s="20" t="n">
        <v>0</v>
      </c>
      <c r="M39" s="18" t="n">
        <v>0</v>
      </c>
      <c r="N39" s="20" t="n">
        <v>0</v>
      </c>
      <c r="O39" s="18" t="n">
        <v>0</v>
      </c>
      <c r="P39" s="20" t="n">
        <v>0</v>
      </c>
      <c r="Q39" s="18" t="n">
        <v>0.38312576</v>
      </c>
      <c r="R39" s="20" t="n">
        <v>0.27014083</v>
      </c>
    </row>
    <row r="40" spans="1:18">
      <c r="A40" s="15" t="s">
        <v>598</v>
      </c>
      <c r="B40" s="17" t="n">
        <v>6922</v>
      </c>
      <c r="C40" s="18">
        <f>(6146.0/B40*100)</f>
        <v/>
      </c>
      <c r="D40" s="19" t="n">
        <v>776</v>
      </c>
      <c r="E40" s="18" t="n">
        <v>27.84100662</v>
      </c>
      <c r="F40" s="20" t="n">
        <v>2.61290508</v>
      </c>
      <c r="G40" s="18" t="n">
        <v>70.93030138</v>
      </c>
      <c r="H40" s="20" t="n">
        <v>2.58911501</v>
      </c>
      <c r="I40" s="18" t="n">
        <v>0</v>
      </c>
      <c r="J40" s="20" t="n">
        <v>0</v>
      </c>
      <c r="K40" s="18" t="n">
        <v>0.7186368400000001</v>
      </c>
      <c r="L40" s="20" t="n">
        <v>0.45889874</v>
      </c>
      <c r="M40" s="18" t="n">
        <v>0</v>
      </c>
      <c r="N40" s="20" t="n">
        <v>0</v>
      </c>
      <c r="O40" s="18" t="n">
        <v>0</v>
      </c>
      <c r="P40" s="20" t="n">
        <v>0</v>
      </c>
      <c r="Q40" s="18" t="n">
        <v>0.51005516</v>
      </c>
      <c r="R40" s="20" t="n">
        <v>0.34621632</v>
      </c>
    </row>
    <row r="41" spans="1:18">
      <c r="A41" s="15" t="s">
        <v>599</v>
      </c>
      <c r="B41" s="17" t="n">
        <v>2854</v>
      </c>
      <c r="C41" s="18">
        <f>(2549.0/B41*100)</f>
        <v/>
      </c>
      <c r="D41" s="19" t="n">
        <v>305</v>
      </c>
      <c r="E41" s="18" t="n">
        <v>40.9089193</v>
      </c>
      <c r="F41" s="20" t="n">
        <v>2.76497388</v>
      </c>
      <c r="G41" s="18" t="n">
        <v>58.55810898</v>
      </c>
      <c r="H41" s="20" t="n">
        <v>2.87119968</v>
      </c>
      <c r="I41" s="18" t="n">
        <v>0</v>
      </c>
      <c r="J41" s="20" t="n">
        <v>0</v>
      </c>
      <c r="K41" s="18" t="n">
        <v>0</v>
      </c>
      <c r="L41" s="20" t="n">
        <v>0</v>
      </c>
      <c r="M41" s="18" t="n">
        <v>0</v>
      </c>
      <c r="N41" s="20" t="n">
        <v>0</v>
      </c>
      <c r="O41" s="18" t="n">
        <v>0</v>
      </c>
      <c r="P41" s="20" t="n">
        <v>0</v>
      </c>
      <c r="Q41" s="18" t="n">
        <v>0.53297172</v>
      </c>
      <c r="R41" s="20" t="n">
        <v>0.38034993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(11026.0/B46*100)</f>
        <v/>
      </c>
      <c r="D46" s="19" t="n">
        <v>1047</v>
      </c>
      <c r="E46" s="18" t="n">
        <v>36.32318395</v>
      </c>
      <c r="F46" s="20" t="n">
        <v>1.71667094</v>
      </c>
      <c r="G46" s="18" t="n">
        <v>60.11026564</v>
      </c>
      <c r="H46" s="20" t="n">
        <v>1.96705008</v>
      </c>
      <c r="I46" s="18" t="n">
        <v>0</v>
      </c>
      <c r="J46" s="20" t="n">
        <v>0</v>
      </c>
      <c r="K46" s="18" t="n">
        <v>0.83816426</v>
      </c>
      <c r="L46" s="20" t="n">
        <v>0.36462025</v>
      </c>
      <c r="M46" s="18" t="n">
        <v>0</v>
      </c>
      <c r="N46" s="20" t="n">
        <v>0</v>
      </c>
      <c r="O46" s="18" t="n">
        <v>0</v>
      </c>
      <c r="P46" s="20" t="n">
        <v>0</v>
      </c>
      <c r="Q46" s="18" t="n">
        <v>2.72838615</v>
      </c>
      <c r="R46" s="20" t="n">
        <v>0.77057617</v>
      </c>
    </row>
    <row r="47" spans="1:18">
      <c r="A47" s="15" t="s">
        <v>606</v>
      </c>
      <c r="B47" s="17" t="n">
        <v>2823</v>
      </c>
      <c r="C47" s="18">
        <f>(2504.0/B47*100)</f>
        <v/>
      </c>
      <c r="D47" s="19" t="n">
        <v>319</v>
      </c>
      <c r="E47" s="18" t="n">
        <v>41.52070458</v>
      </c>
      <c r="F47" s="20" t="n">
        <v>2.80957586</v>
      </c>
      <c r="G47" s="18" t="n">
        <v>57.54112897</v>
      </c>
      <c r="H47" s="20" t="n">
        <v>2.78008016</v>
      </c>
      <c r="I47" s="18" t="n">
        <v>0</v>
      </c>
      <c r="J47" s="20" t="n">
        <v>0</v>
      </c>
      <c r="K47" s="18" t="n">
        <v>0.31174274</v>
      </c>
      <c r="L47" s="20" t="n">
        <v>0.30930837</v>
      </c>
      <c r="M47" s="18" t="n">
        <v>0</v>
      </c>
      <c r="N47" s="20" t="n">
        <v>0</v>
      </c>
      <c r="O47" s="18" t="n">
        <v>0</v>
      </c>
      <c r="P47" s="20" t="n">
        <v>0</v>
      </c>
      <c r="Q47" s="18" t="n">
        <v>0.6264237</v>
      </c>
      <c r="R47" s="20" t="n">
        <v>0.38731212</v>
      </c>
    </row>
    <row r="48" spans="1:18">
      <c r="A48" s="15" t="s">
        <v>607</v>
      </c>
      <c r="B48" s="17" t="n">
        <v>4682</v>
      </c>
      <c r="C48" s="18">
        <f>(4168.0/B48*100)</f>
        <v/>
      </c>
      <c r="D48" s="19" t="n">
        <v>514</v>
      </c>
      <c r="E48" s="18" t="n">
        <v>26.66124425</v>
      </c>
      <c r="F48" s="20" t="n">
        <v>2.60047252</v>
      </c>
      <c r="G48" s="18" t="n">
        <v>72.20164680000001</v>
      </c>
      <c r="H48" s="20" t="n">
        <v>2.65818009</v>
      </c>
      <c r="I48" s="18" t="n">
        <v>0</v>
      </c>
      <c r="J48" s="20" t="n">
        <v>0</v>
      </c>
      <c r="K48" s="18" t="n">
        <v>0.472321</v>
      </c>
      <c r="L48" s="20" t="n">
        <v>0.47482287</v>
      </c>
      <c r="M48" s="18" t="n">
        <v>0</v>
      </c>
      <c r="N48" s="20" t="n">
        <v>0</v>
      </c>
      <c r="O48" s="18" t="n">
        <v>0</v>
      </c>
      <c r="P48" s="20" t="n">
        <v>0</v>
      </c>
      <c r="Q48" s="18" t="n">
        <v>0.66478795</v>
      </c>
      <c r="R48" s="20" t="n">
        <v>0.45907267</v>
      </c>
    </row>
    <row r="49" spans="1:18">
      <c r="A49" s="15" t="s">
        <v>608</v>
      </c>
      <c r="B49" s="17" t="n">
        <v>6158</v>
      </c>
      <c r="C49" s="18">
        <f>(5500.0/B49*100)</f>
        <v/>
      </c>
      <c r="D49" s="19" t="n">
        <v>658</v>
      </c>
      <c r="E49" s="18" t="n">
        <v>45.13337574</v>
      </c>
      <c r="F49" s="20" t="n">
        <v>2.33668712</v>
      </c>
      <c r="G49" s="18" t="n">
        <v>53.58957591</v>
      </c>
      <c r="H49" s="20" t="n">
        <v>2.34402765</v>
      </c>
      <c r="I49" s="18" t="n">
        <v>0</v>
      </c>
      <c r="J49" s="20" t="n">
        <v>0</v>
      </c>
      <c r="K49" s="18" t="n">
        <v>0.52626629</v>
      </c>
      <c r="L49" s="20" t="n">
        <v>0.29053164</v>
      </c>
      <c r="M49" s="18" t="n">
        <v>0</v>
      </c>
      <c r="N49" s="20" t="n">
        <v>0</v>
      </c>
      <c r="O49" s="18" t="n">
        <v>0</v>
      </c>
      <c r="P49" s="20" t="n">
        <v>0</v>
      </c>
      <c r="Q49" s="18" t="n">
        <v>0.75078206</v>
      </c>
      <c r="R49" s="20" t="n">
        <v>0.48604015</v>
      </c>
    </row>
    <row r="50" spans="1:18">
      <c r="A50" s="15" t="s">
        <v>609</v>
      </c>
      <c r="B50" s="17" t="n">
        <v>3494</v>
      </c>
      <c r="C50" s="18">
        <f>(3158.0/B50*100)</f>
        <v/>
      </c>
      <c r="D50" s="19" t="n">
        <v>336</v>
      </c>
      <c r="E50" s="18" t="n">
        <v>60.80805227</v>
      </c>
      <c r="F50" s="20" t="n">
        <v>2.68047</v>
      </c>
      <c r="G50" s="18" t="n">
        <v>38.16559382</v>
      </c>
      <c r="H50" s="20" t="n">
        <v>2.6482622</v>
      </c>
      <c r="I50" s="18" t="n">
        <v>0</v>
      </c>
      <c r="J50" s="20" t="n">
        <v>0</v>
      </c>
      <c r="K50" s="18" t="n">
        <v>0</v>
      </c>
      <c r="L50" s="20" t="n">
        <v>0</v>
      </c>
      <c r="M50" s="18" t="n">
        <v>0</v>
      </c>
      <c r="N50" s="20" t="n">
        <v>0</v>
      </c>
      <c r="O50" s="18" t="n">
        <v>0</v>
      </c>
      <c r="P50" s="20" t="n">
        <v>0</v>
      </c>
      <c r="Q50" s="18" t="n">
        <v>1.02635391</v>
      </c>
      <c r="R50" s="20" t="n">
        <v>0.45802133</v>
      </c>
    </row>
    <row r="51" spans="1:18">
      <c r="A51" s="15" t="s">
        <v>610</v>
      </c>
      <c r="B51" s="17" t="n">
        <v>3013</v>
      </c>
      <c r="C51" s="18">
        <f>(2651.0/B51*100)</f>
        <v/>
      </c>
      <c r="D51" s="19" t="n">
        <v>362</v>
      </c>
      <c r="E51" s="18" t="n">
        <v>47.63459647</v>
      </c>
      <c r="F51" s="20" t="n">
        <v>2.3136838</v>
      </c>
      <c r="G51" s="18" t="n">
        <v>51.24500288</v>
      </c>
      <c r="H51" s="20" t="n">
        <v>2.30100769</v>
      </c>
      <c r="I51" s="18" t="n">
        <v>0</v>
      </c>
      <c r="J51" s="20" t="n">
        <v>0</v>
      </c>
      <c r="K51" s="18" t="n">
        <v>0</v>
      </c>
      <c r="L51" s="20" t="n">
        <v>0</v>
      </c>
      <c r="M51" s="18" t="n">
        <v>0</v>
      </c>
      <c r="N51" s="20" t="n">
        <v>0</v>
      </c>
      <c r="O51" s="18" t="n">
        <v>0</v>
      </c>
      <c r="P51" s="20" t="n">
        <v>0</v>
      </c>
      <c r="Q51" s="18" t="n">
        <v>1.12040066</v>
      </c>
      <c r="R51" s="20" t="n">
        <v>0.55058516</v>
      </c>
    </row>
    <row r="52" spans="1:18">
      <c r="A52" s="15" t="s">
        <v>611</v>
      </c>
      <c r="B52" s="17" t="n">
        <v>2760</v>
      </c>
      <c r="C52" s="18">
        <f>(2463.0/B52*100)</f>
        <v/>
      </c>
      <c r="D52" s="19" t="n">
        <v>297</v>
      </c>
      <c r="E52" s="18" t="n">
        <v>40.42313025</v>
      </c>
      <c r="F52" s="20" t="n">
        <v>2.77736708</v>
      </c>
      <c r="G52" s="18" t="n">
        <v>59.02015154</v>
      </c>
      <c r="H52" s="20" t="n">
        <v>2.77146798</v>
      </c>
      <c r="I52" s="18" t="n">
        <v>0</v>
      </c>
      <c r="J52" s="20" t="n">
        <v>0</v>
      </c>
      <c r="K52" s="18" t="n">
        <v>0</v>
      </c>
      <c r="L52" s="20" t="n">
        <v>0</v>
      </c>
      <c r="M52" s="18" t="n">
        <v>0</v>
      </c>
      <c r="N52" s="20" t="n">
        <v>0</v>
      </c>
      <c r="O52" s="18" t="n">
        <v>0</v>
      </c>
      <c r="P52" s="20" t="n">
        <v>0</v>
      </c>
      <c r="Q52" s="18" t="n">
        <v>0.55671821</v>
      </c>
      <c r="R52" s="20" t="n">
        <v>0.40145617</v>
      </c>
    </row>
    <row r="53" spans="1:18">
      <c r="A53" s="15" t="s">
        <v>612</v>
      </c>
      <c r="B53" s="17" t="n">
        <v>2474</v>
      </c>
      <c r="C53" s="18">
        <f>(2234.0/B53*100)</f>
        <v/>
      </c>
      <c r="D53" s="19" t="n">
        <v>240</v>
      </c>
      <c r="E53" s="18" t="n">
        <v>55.98423532</v>
      </c>
      <c r="F53" s="20" t="n">
        <v>3.36244893</v>
      </c>
      <c r="G53" s="18" t="n">
        <v>23.72032259</v>
      </c>
      <c r="H53" s="20" t="n">
        <v>2.82539156</v>
      </c>
      <c r="I53" s="18" t="n">
        <v>0</v>
      </c>
      <c r="J53" s="20" t="n">
        <v>0</v>
      </c>
      <c r="K53" s="18" t="n">
        <v>16.4079839</v>
      </c>
      <c r="L53" s="20" t="n">
        <v>2.56565729</v>
      </c>
      <c r="M53" s="18" t="n">
        <v>0</v>
      </c>
      <c r="N53" s="20" t="n">
        <v>0</v>
      </c>
      <c r="O53" s="18" t="n">
        <v>0</v>
      </c>
      <c r="P53" s="20" t="n">
        <v>0</v>
      </c>
      <c r="Q53" s="18" t="n">
        <v>3.88745819</v>
      </c>
      <c r="R53" s="20" t="n">
        <v>1.52152946</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(2373.0/B55*100)</f>
        <v/>
      </c>
      <c r="D55" s="19" t="n">
        <v>302</v>
      </c>
      <c r="E55" s="18" t="n">
        <v>15.13919625</v>
      </c>
      <c r="F55" s="20" t="n">
        <v>2.52573198</v>
      </c>
      <c r="G55" s="18" t="n">
        <v>84.56568066</v>
      </c>
      <c r="H55" s="20" t="n">
        <v>2.52842177</v>
      </c>
      <c r="I55" s="18" t="n">
        <v>0</v>
      </c>
      <c r="J55" s="20" t="n">
        <v>0</v>
      </c>
      <c r="K55" s="18" t="n">
        <v>0.29512309</v>
      </c>
      <c r="L55" s="20" t="n">
        <v>0.3038083</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(2831.0/B61*100)</f>
        <v/>
      </c>
      <c r="D61" s="19" t="n">
        <v>370</v>
      </c>
      <c r="E61" s="18" t="n">
        <v>38.9977102</v>
      </c>
      <c r="F61" s="20" t="n">
        <v>2.69415544</v>
      </c>
      <c r="G61" s="18" t="n">
        <v>60.67602529</v>
      </c>
      <c r="H61" s="20" t="n">
        <v>2.66177128</v>
      </c>
      <c r="I61" s="18" t="n">
        <v>0</v>
      </c>
      <c r="J61" s="20" t="n">
        <v>0</v>
      </c>
      <c r="K61" s="18" t="n">
        <v>0</v>
      </c>
      <c r="L61" s="20" t="n">
        <v>0</v>
      </c>
      <c r="M61" s="18" t="n">
        <v>0</v>
      </c>
      <c r="N61" s="20" t="n">
        <v>0</v>
      </c>
      <c r="O61" s="18" t="n">
        <v>0</v>
      </c>
      <c r="P61" s="20" t="n">
        <v>0</v>
      </c>
      <c r="Q61" s="18" t="n">
        <v>0.32626451</v>
      </c>
      <c r="R61" s="20" t="n">
        <v>0.33157036</v>
      </c>
    </row>
    <row r="62" spans="1:18">
      <c r="A62" s="15" t="s">
        <v>622</v>
      </c>
      <c r="B62" s="17" t="n">
        <v>2230</v>
      </c>
      <c r="C62" s="18">
        <f>(1987.0/B62*100)</f>
        <v/>
      </c>
      <c r="D62" s="19" t="n">
        <v>243</v>
      </c>
      <c r="E62" s="18" t="n">
        <v>25.96498112</v>
      </c>
      <c r="F62" s="20" t="n">
        <v>2.88606608</v>
      </c>
      <c r="G62" s="18" t="n">
        <v>74.03501888</v>
      </c>
      <c r="H62" s="20" t="n">
        <v>2.88606608</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(2449.0/B67*100)</f>
        <v/>
      </c>
      <c r="D67" s="19" t="n">
        <v>322</v>
      </c>
      <c r="E67" s="18" t="n">
        <v>41.11057217</v>
      </c>
      <c r="F67" s="20" t="n">
        <v>2.99334839</v>
      </c>
      <c r="G67" s="18" t="n">
        <v>55.65947804</v>
      </c>
      <c r="H67" s="20" t="n">
        <v>2.99371717</v>
      </c>
      <c r="I67" s="18" t="n">
        <v>0</v>
      </c>
      <c r="J67" s="20" t="n">
        <v>0</v>
      </c>
      <c r="K67" s="18" t="n">
        <v>0.69142779</v>
      </c>
      <c r="L67" s="20" t="n">
        <v>0.6842263200000001</v>
      </c>
      <c r="M67" s="18" t="n">
        <v>0</v>
      </c>
      <c r="N67" s="20" t="n">
        <v>0</v>
      </c>
      <c r="O67" s="18" t="n">
        <v>0</v>
      </c>
      <c r="P67" s="20" t="n">
        <v>0</v>
      </c>
      <c r="Q67" s="18" t="n">
        <v>2.538522</v>
      </c>
      <c r="R67" s="20" t="n">
        <v>0.95963234</v>
      </c>
    </row>
    <row r="68" spans="1:18">
      <c r="A68" s="15" t="s">
        <v>628</v>
      </c>
      <c r="B68" s="17" t="n">
        <v>3460</v>
      </c>
      <c r="C68" s="18">
        <f>(3113.0/B68*100)</f>
        <v/>
      </c>
      <c r="D68" s="19" t="n">
        <v>347</v>
      </c>
      <c r="E68" s="18" t="n">
        <v>62.01484629</v>
      </c>
      <c r="F68" s="20" t="n">
        <v>2.50521398</v>
      </c>
      <c r="G68" s="18" t="n">
        <v>37.51348129</v>
      </c>
      <c r="H68" s="20" t="n">
        <v>2.44561804</v>
      </c>
      <c r="I68" s="18" t="n">
        <v>0</v>
      </c>
      <c r="J68" s="20" t="n">
        <v>0</v>
      </c>
      <c r="K68" s="18" t="n">
        <v>0.23054017</v>
      </c>
      <c r="L68" s="20" t="n">
        <v>0.23724551</v>
      </c>
      <c r="M68" s="18" t="n">
        <v>0</v>
      </c>
      <c r="N68" s="20" t="n">
        <v>0</v>
      </c>
      <c r="O68" s="18" t="n">
        <v>0</v>
      </c>
      <c r="P68" s="20" t="n">
        <v>0</v>
      </c>
      <c r="Q68" s="18" t="n">
        <v>0.24113226</v>
      </c>
      <c r="R68" s="20" t="n">
        <v>0.24178709</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(5401.0/B70*100)</f>
        <v/>
      </c>
      <c r="D70" s="19" t="n">
        <v>633</v>
      </c>
      <c r="E70" s="18" t="n">
        <v>44.80334469</v>
      </c>
      <c r="F70" s="20" t="n">
        <v>2.04441659</v>
      </c>
      <c r="G70" s="18" t="n">
        <v>52.28721282</v>
      </c>
      <c r="H70" s="20" t="n">
        <v>2.08085642</v>
      </c>
      <c r="I70" s="18" t="n">
        <v>0</v>
      </c>
      <c r="J70" s="20" t="n">
        <v>0</v>
      </c>
      <c r="K70" s="18" t="n">
        <v>1.72368066</v>
      </c>
      <c r="L70" s="20" t="n">
        <v>0.52064098</v>
      </c>
      <c r="M70" s="18" t="n">
        <v>0</v>
      </c>
      <c r="N70" s="20" t="n">
        <v>0</v>
      </c>
      <c r="O70" s="18" t="n">
        <v>0</v>
      </c>
      <c r="P70" s="20" t="n">
        <v>0</v>
      </c>
      <c r="Q70" s="18" t="n">
        <v>1.18576182</v>
      </c>
      <c r="R70" s="20" t="n">
        <v>0.44446846</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(2734.0/B72*100)</f>
        <v/>
      </c>
      <c r="D72" s="19" t="n">
        <v>373</v>
      </c>
      <c r="E72" s="18" t="n">
        <v>28.69927599</v>
      </c>
      <c r="F72" s="20" t="n">
        <v>2.83990132</v>
      </c>
      <c r="G72" s="18" t="n">
        <v>70.50167758000001</v>
      </c>
      <c r="H72" s="20" t="n">
        <v>2.76205774</v>
      </c>
      <c r="I72" s="18" t="n">
        <v>0</v>
      </c>
      <c r="J72" s="20" t="n">
        <v>0</v>
      </c>
      <c r="K72" s="18" t="n">
        <v>0.34170062</v>
      </c>
      <c r="L72" s="20" t="n">
        <v>0.33942045</v>
      </c>
      <c r="M72" s="18" t="n">
        <v>0</v>
      </c>
      <c r="N72" s="20" t="n">
        <v>0</v>
      </c>
      <c r="O72" s="18" t="n">
        <v>0</v>
      </c>
      <c r="P72" s="20" t="n">
        <v>0</v>
      </c>
      <c r="Q72" s="18" t="n">
        <v>0.45734581</v>
      </c>
      <c r="R72" s="20" t="n">
        <v>0.31552529</v>
      </c>
    </row>
    <row r="73" spans="1:18">
      <c r="A73" s="15" t="s">
        <v>633</v>
      </c>
      <c r="B73" s="17" t="n">
        <v>2973</v>
      </c>
      <c r="C73" s="18">
        <f>(2655.0/B73*100)</f>
        <v/>
      </c>
      <c r="D73" s="19" t="n">
        <v>318</v>
      </c>
      <c r="E73" s="18" t="n">
        <v>32.80078567</v>
      </c>
      <c r="F73" s="20" t="n">
        <v>2.93230897</v>
      </c>
      <c r="G73" s="18" t="n">
        <v>66.54955612000001</v>
      </c>
      <c r="H73" s="20" t="n">
        <v>2.90405176</v>
      </c>
      <c r="I73" s="18" t="n">
        <v>0</v>
      </c>
      <c r="J73" s="20" t="n">
        <v>0</v>
      </c>
      <c r="K73" s="18" t="n">
        <v>0.64965821</v>
      </c>
      <c r="L73" s="20" t="n">
        <v>0.46437156</v>
      </c>
      <c r="M73" s="18" t="n">
        <v>0</v>
      </c>
      <c r="N73" s="20" t="n">
        <v>0</v>
      </c>
      <c r="O73" s="18" t="n">
        <v>0</v>
      </c>
      <c r="P73" s="20" t="n">
        <v>0</v>
      </c>
      <c r="Q73" s="18" t="n">
        <v>0</v>
      </c>
      <c r="R73" s="20" t="n">
        <v>0</v>
      </c>
    </row>
    <row r="74" spans="1:18">
      <c r="A74" s="15" t="s">
        <v>634</v>
      </c>
      <c r="B74" s="17" t="n">
        <v>3819</v>
      </c>
      <c r="C74" s="18">
        <f>(3405.0/B74*100)</f>
        <v/>
      </c>
      <c r="D74" s="19" t="n">
        <v>414</v>
      </c>
      <c r="E74" s="18" t="n">
        <v>31.3918153</v>
      </c>
      <c r="F74" s="20" t="n">
        <v>2.75638106</v>
      </c>
      <c r="G74" s="18" t="n">
        <v>68.6081847</v>
      </c>
      <c r="H74" s="20" t="n">
        <v>2.75638106</v>
      </c>
      <c r="I74" s="18" t="n">
        <v>0</v>
      </c>
      <c r="J74" s="20" t="n">
        <v>0</v>
      </c>
      <c r="K74" s="18" t="n">
        <v>0</v>
      </c>
      <c r="L74" s="20" t="n">
        <v>0</v>
      </c>
      <c r="M74" s="18" t="n">
        <v>0</v>
      </c>
      <c r="N74" s="20" t="n">
        <v>0</v>
      </c>
      <c r="O74" s="18" t="n">
        <v>0</v>
      </c>
      <c r="P74" s="20" t="n">
        <v>0</v>
      </c>
      <c r="Q74" s="18" t="n">
        <v>0</v>
      </c>
      <c r="R74" s="20" t="n">
        <v>0</v>
      </c>
    </row>
    <row r="75" spans="1:18">
      <c r="A75" s="15" t="s">
        <v>635</v>
      </c>
      <c r="B75" s="17" t="n">
        <v>4652</v>
      </c>
      <c r="C75" s="18">
        <f>(4132.0/B75*100)</f>
        <v/>
      </c>
      <c r="D75" s="19" t="n">
        <v>520</v>
      </c>
      <c r="E75" s="18" t="n">
        <v>50.49118801</v>
      </c>
      <c r="F75" s="20" t="n">
        <v>2.60541079</v>
      </c>
      <c r="G75" s="18" t="n">
        <v>49.21531645</v>
      </c>
      <c r="H75" s="20" t="n">
        <v>2.63944942</v>
      </c>
      <c r="I75" s="18" t="n">
        <v>0</v>
      </c>
      <c r="J75" s="20" t="n">
        <v>0</v>
      </c>
      <c r="K75" s="18" t="n">
        <v>0</v>
      </c>
      <c r="L75" s="20" t="n">
        <v>0</v>
      </c>
      <c r="M75" s="18" t="n">
        <v>0</v>
      </c>
      <c r="N75" s="20" t="n">
        <v>0</v>
      </c>
      <c r="O75" s="18" t="n">
        <v>0</v>
      </c>
      <c r="P75" s="20" t="n">
        <v>0</v>
      </c>
      <c r="Q75" s="18" t="n">
        <v>0.29349555</v>
      </c>
      <c r="R75" s="20" t="n">
        <v>0.287115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(2674.0/B77*100)</f>
        <v/>
      </c>
      <c r="D77" s="19" t="n">
        <v>295</v>
      </c>
      <c r="E77" s="18" t="n">
        <v>54.82396114</v>
      </c>
      <c r="F77" s="20" t="n">
        <v>3.03693238</v>
      </c>
      <c r="G77" s="18" t="n">
        <v>38.2849803</v>
      </c>
      <c r="H77" s="20" t="n">
        <v>2.95969386</v>
      </c>
      <c r="I77" s="18" t="n">
        <v>0</v>
      </c>
      <c r="J77" s="20" t="n">
        <v>0</v>
      </c>
      <c r="K77" s="18" t="n">
        <v>4.15938183</v>
      </c>
      <c r="L77" s="20" t="n">
        <v>1.25528243</v>
      </c>
      <c r="M77" s="18" t="n">
        <v>0</v>
      </c>
      <c r="N77" s="20" t="n">
        <v>0</v>
      </c>
      <c r="O77" s="18" t="n">
        <v>0</v>
      </c>
      <c r="P77" s="20" t="n">
        <v>0</v>
      </c>
      <c r="Q77" s="18" t="n">
        <v>2.73167673</v>
      </c>
      <c r="R77" s="20" t="n">
        <v>0.99430813</v>
      </c>
    </row>
    <row r="78" spans="1:18">
      <c r="A78" s="15" t="s">
        <v>638</v>
      </c>
      <c r="B78" s="17" t="n">
        <v>7115</v>
      </c>
      <c r="C78" s="18">
        <f>(6319.0/B78*100)</f>
        <v/>
      </c>
      <c r="D78" s="19" t="n">
        <v>796</v>
      </c>
      <c r="E78" s="18" t="n">
        <v>50.33491336</v>
      </c>
      <c r="F78" s="20" t="n">
        <v>2.17565127</v>
      </c>
      <c r="G78" s="18" t="n">
        <v>48.32718394</v>
      </c>
      <c r="H78" s="20" t="n">
        <v>2.19628406</v>
      </c>
      <c r="I78" s="18" t="n">
        <v>0</v>
      </c>
      <c r="J78" s="20" t="n">
        <v>0</v>
      </c>
      <c r="K78" s="18" t="n">
        <v>0.38178423</v>
      </c>
      <c r="L78" s="20" t="n">
        <v>0.1961191</v>
      </c>
      <c r="M78" s="18" t="n">
        <v>0</v>
      </c>
      <c r="N78" s="20" t="n">
        <v>0</v>
      </c>
      <c r="O78" s="18" t="n">
        <v>0</v>
      </c>
      <c r="P78" s="20" t="n">
        <v>0</v>
      </c>
      <c r="Q78" s="18" t="n">
        <v>0.95611846</v>
      </c>
      <c r="R78" s="20" t="n">
        <v>0.47496878</v>
      </c>
    </row>
    <row r="79" spans="1:18">
      <c r="A79" s="15" t="s">
        <v>639</v>
      </c>
      <c r="B79" s="17" t="n">
        <v>3154</v>
      </c>
      <c r="C79" s="18">
        <f>(2851.0/B79*100)</f>
        <v/>
      </c>
      <c r="D79" s="19" t="n">
        <v>303</v>
      </c>
      <c r="E79" s="18" t="n">
        <v>43.88981219</v>
      </c>
      <c r="F79" s="20" t="n">
        <v>3.11862202</v>
      </c>
      <c r="G79" s="18" t="n">
        <v>53.01537198</v>
      </c>
      <c r="H79" s="20" t="n">
        <v>2.86622055</v>
      </c>
      <c r="I79" s="18" t="n">
        <v>0</v>
      </c>
      <c r="J79" s="20" t="n">
        <v>0</v>
      </c>
      <c r="K79" s="18" t="n">
        <v>1.99340634</v>
      </c>
      <c r="L79" s="20" t="n">
        <v>0.9682504</v>
      </c>
      <c r="M79" s="18" t="n">
        <v>0</v>
      </c>
      <c r="N79" s="20" t="n">
        <v>0</v>
      </c>
      <c r="O79" s="18" t="n">
        <v>0</v>
      </c>
      <c r="P79" s="20" t="n">
        <v>0</v>
      </c>
      <c r="Q79" s="18" t="n">
        <v>1.10140949</v>
      </c>
      <c r="R79" s="20" t="n">
        <v>0.75528109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(14245.0/B82*100)</f>
        <v/>
      </c>
      <c r="D82" s="19" t="n">
        <v>1716</v>
      </c>
      <c r="E82" s="18" t="n">
        <v>31.49978813</v>
      </c>
      <c r="F82" s="20" t="n">
        <v>1.7205444</v>
      </c>
      <c r="G82" s="18" t="n">
        <v>67.60506834</v>
      </c>
      <c r="H82" s="20" t="n">
        <v>1.71889389</v>
      </c>
      <c r="I82" s="18" t="n">
        <v>0</v>
      </c>
      <c r="J82" s="20" t="n">
        <v>0</v>
      </c>
      <c r="K82" s="18" t="n">
        <v>0.22073943</v>
      </c>
      <c r="L82" s="20" t="n">
        <v>0.08741371000000001</v>
      </c>
      <c r="M82" s="18" t="n">
        <v>0</v>
      </c>
      <c r="N82" s="20" t="n">
        <v>0</v>
      </c>
      <c r="O82" s="18" t="n">
        <v>0</v>
      </c>
      <c r="P82" s="20" t="n">
        <v>0</v>
      </c>
      <c r="Q82" s="18" t="n">
        <v>0.67440411</v>
      </c>
      <c r="R82" s="20" t="n">
        <v>0.31367703</v>
      </c>
    </row>
    <row r="83" spans="1:18">
      <c r="A83" s="15" t="s">
        <v>643</v>
      </c>
      <c r="B83" s="17" t="n">
        <v>808</v>
      </c>
      <c r="C83" s="18">
        <f>(723.0/B83*100)</f>
        <v/>
      </c>
      <c r="D83" s="19" t="n">
        <v>85</v>
      </c>
      <c r="E83" s="18" t="n">
        <v>49.34928735</v>
      </c>
      <c r="F83" s="20" t="n">
        <v>4.74388109</v>
      </c>
      <c r="G83" s="18" t="n">
        <v>50.65071265</v>
      </c>
      <c r="H83" s="20" t="n">
        <v>4.74388109</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(837.0/B84*100)</f>
        <v/>
      </c>
      <c r="D84" s="19" t="n">
        <v>101</v>
      </c>
      <c r="E84" s="18" t="n">
        <v>33.48111655</v>
      </c>
      <c r="F84" s="20" t="n">
        <v>3.84136414</v>
      </c>
      <c r="G84" s="18" t="n">
        <v>66.51888345</v>
      </c>
      <c r="H84" s="20" t="n">
        <v>3.84136414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(6389.0/B7*100)</f>
        <v/>
      </c>
      <c r="D7" s="19" t="n">
        <v>774</v>
      </c>
      <c r="E7" s="18" t="n">
        <v>71.73616479</v>
      </c>
      <c r="F7" s="20" t="n">
        <v>1.95177877</v>
      </c>
      <c r="G7" s="18" t="n">
        <v>24.56375162</v>
      </c>
      <c r="H7" s="20" t="n">
        <v>1.92391294</v>
      </c>
      <c r="I7" s="18" t="n">
        <v>0</v>
      </c>
      <c r="J7" s="20" t="n">
        <v>0</v>
      </c>
      <c r="K7" s="18" t="n">
        <v>0.50418064</v>
      </c>
      <c r="L7" s="20" t="n">
        <v>0.28375947</v>
      </c>
      <c r="M7" s="18" t="n">
        <v>0</v>
      </c>
      <c r="N7" s="20" t="n">
        <v>0</v>
      </c>
      <c r="O7" s="18" t="n">
        <v>0</v>
      </c>
      <c r="P7" s="20" t="n">
        <v>0</v>
      </c>
      <c r="Q7" s="18" t="n">
        <v>3.19590296</v>
      </c>
      <c r="R7" s="20" t="n">
        <v>0.71974634</v>
      </c>
    </row>
    <row r="8" spans="1:18">
      <c r="A8" s="15" t="s">
        <v>566</v>
      </c>
      <c r="B8" s="17" t="n">
        <v>3443</v>
      </c>
      <c r="C8" s="18">
        <f>(3059.0/B8*100)</f>
        <v/>
      </c>
      <c r="D8" s="19" t="n">
        <v>384</v>
      </c>
      <c r="E8" s="18" t="n">
        <v>69.74511635</v>
      </c>
      <c r="F8" s="20" t="n">
        <v>2.65177562</v>
      </c>
      <c r="G8" s="18" t="n">
        <v>26.33351061</v>
      </c>
      <c r="H8" s="20" t="n">
        <v>2.62633008</v>
      </c>
      <c r="I8" s="18" t="n">
        <v>0</v>
      </c>
      <c r="J8" s="20" t="n">
        <v>0</v>
      </c>
      <c r="K8" s="18" t="n">
        <v>0.29560369</v>
      </c>
      <c r="L8" s="20" t="n">
        <v>0.3337513</v>
      </c>
      <c r="M8" s="18" t="n">
        <v>0</v>
      </c>
      <c r="N8" s="20" t="n">
        <v>0</v>
      </c>
      <c r="O8" s="18" t="n">
        <v>0</v>
      </c>
      <c r="P8" s="20" t="n">
        <v>0</v>
      </c>
      <c r="Q8" s="18" t="n">
        <v>3.62576935</v>
      </c>
      <c r="R8" s="20" t="n">
        <v>0.9027391299999999</v>
      </c>
    </row>
    <row r="9" spans="1:18">
      <c r="A9" s="15" t="s">
        <v>567</v>
      </c>
      <c r="B9" s="17" t="n">
        <v>4752</v>
      </c>
      <c r="C9" s="18">
        <f>(4252.0/B9*100)</f>
        <v/>
      </c>
      <c r="D9" s="19" t="n">
        <v>500</v>
      </c>
      <c r="E9" s="18" t="n">
        <v>73.12577116</v>
      </c>
      <c r="F9" s="20" t="n">
        <v>1.92288311</v>
      </c>
      <c r="G9" s="18" t="n">
        <v>25.69563704</v>
      </c>
      <c r="H9" s="20" t="n">
        <v>1.89380637</v>
      </c>
      <c r="I9" s="18" t="n">
        <v>0</v>
      </c>
      <c r="J9" s="20" t="n">
        <v>0</v>
      </c>
      <c r="K9" s="18" t="n">
        <v>0</v>
      </c>
      <c r="L9" s="20" t="n">
        <v>0</v>
      </c>
      <c r="M9" s="18" t="n">
        <v>0</v>
      </c>
      <c r="N9" s="20" t="n">
        <v>0</v>
      </c>
      <c r="O9" s="18" t="n">
        <v>0</v>
      </c>
      <c r="P9" s="20" t="n">
        <v>0</v>
      </c>
      <c r="Q9" s="18" t="n">
        <v>1.1785918</v>
      </c>
      <c r="R9" s="20" t="n">
        <v>0.51417457</v>
      </c>
    </row>
    <row r="10" spans="1:18">
      <c r="A10" s="15" t="s">
        <v>568</v>
      </c>
      <c r="B10" s="17" t="n">
        <v>10022</v>
      </c>
      <c r="C10" s="18">
        <f>(8892.0/B10*100)</f>
        <v/>
      </c>
      <c r="D10" s="19" t="n">
        <v>1130</v>
      </c>
      <c r="E10" s="18" t="n">
        <v>56.52089681</v>
      </c>
      <c r="F10" s="20" t="n">
        <v>2.11819306</v>
      </c>
      <c r="G10" s="18" t="n">
        <v>41.46101642</v>
      </c>
      <c r="H10" s="20" t="n">
        <v>2.14018196</v>
      </c>
      <c r="I10" s="18" t="n">
        <v>0</v>
      </c>
      <c r="J10" s="20" t="n">
        <v>0</v>
      </c>
      <c r="K10" s="18" t="n">
        <v>0.83221433</v>
      </c>
      <c r="L10" s="20" t="n">
        <v>0.55364147</v>
      </c>
      <c r="M10" s="18" t="n">
        <v>0</v>
      </c>
      <c r="N10" s="20" t="n">
        <v>0</v>
      </c>
      <c r="O10" s="18" t="n">
        <v>0</v>
      </c>
      <c r="P10" s="20" t="n">
        <v>0</v>
      </c>
      <c r="Q10" s="18" t="n">
        <v>1.18587245</v>
      </c>
      <c r="R10" s="20" t="n">
        <v>0.40746911</v>
      </c>
    </row>
    <row r="11" spans="1:18">
      <c r="A11" s="15" t="s">
        <v>569</v>
      </c>
      <c r="B11" s="17" t="n">
        <v>3500</v>
      </c>
      <c r="C11" s="18">
        <f>(3143.0/B11*100)</f>
        <v/>
      </c>
      <c r="D11" s="19" t="n">
        <v>357</v>
      </c>
      <c r="E11" s="18" t="n">
        <v>80.88884648</v>
      </c>
      <c r="F11" s="20" t="n">
        <v>2.29088512</v>
      </c>
      <c r="G11" s="18" t="n">
        <v>12.77808132</v>
      </c>
      <c r="H11" s="20" t="n">
        <v>1.9154551</v>
      </c>
      <c r="I11" s="18" t="n">
        <v>0</v>
      </c>
      <c r="J11" s="20" t="n">
        <v>0</v>
      </c>
      <c r="K11" s="18" t="n">
        <v>1.48265133</v>
      </c>
      <c r="L11" s="20" t="n">
        <v>0.68609611</v>
      </c>
      <c r="M11" s="18" t="n">
        <v>0</v>
      </c>
      <c r="N11" s="20" t="n">
        <v>0</v>
      </c>
      <c r="O11" s="18" t="n">
        <v>0</v>
      </c>
      <c r="P11" s="20" t="n">
        <v>0</v>
      </c>
      <c r="Q11" s="18" t="n">
        <v>4.85042086</v>
      </c>
      <c r="R11" s="20" t="n">
        <v>1.35908543</v>
      </c>
    </row>
    <row r="12" spans="1:18">
      <c r="A12" s="15" t="s">
        <v>570</v>
      </c>
      <c r="B12" s="17" t="n">
        <v>3422</v>
      </c>
      <c r="C12" s="18">
        <f>(3061.0/B12*100)</f>
        <v/>
      </c>
      <c r="D12" s="19" t="n">
        <v>361</v>
      </c>
      <c r="E12" s="18" t="n">
        <v>58.5742095</v>
      </c>
      <c r="F12" s="20" t="n">
        <v>3.09187158</v>
      </c>
      <c r="G12" s="18" t="n">
        <v>37.47906037</v>
      </c>
      <c r="H12" s="20" t="n">
        <v>2.88278422</v>
      </c>
      <c r="I12" s="18" t="n">
        <v>0</v>
      </c>
      <c r="J12" s="20" t="n">
        <v>0</v>
      </c>
      <c r="K12" s="18" t="n">
        <v>0.26952916</v>
      </c>
      <c r="L12" s="20" t="n">
        <v>0.26897451</v>
      </c>
      <c r="M12" s="18" t="n">
        <v>0</v>
      </c>
      <c r="N12" s="20" t="n">
        <v>0</v>
      </c>
      <c r="O12" s="18" t="n">
        <v>0</v>
      </c>
      <c r="P12" s="20" t="n">
        <v>0</v>
      </c>
      <c r="Q12" s="18" t="n">
        <v>3.67720098</v>
      </c>
      <c r="R12" s="20" t="n">
        <v>1.15006958</v>
      </c>
    </row>
    <row r="13" spans="1:18">
      <c r="A13" s="15" t="s">
        <v>571</v>
      </c>
      <c r="B13" s="17" t="n">
        <v>3602</v>
      </c>
      <c r="C13" s="18">
        <f>(3200.0/B13*100)</f>
        <v/>
      </c>
      <c r="D13" s="19" t="n">
        <v>402</v>
      </c>
      <c r="E13" s="18" t="n">
        <v>68.67062796</v>
      </c>
      <c r="F13" s="20" t="n">
        <v>2.73735885</v>
      </c>
      <c r="G13" s="18" t="n">
        <v>27.72116328</v>
      </c>
      <c r="H13" s="20" t="n">
        <v>2.59748864</v>
      </c>
      <c r="I13" s="18" t="n">
        <v>0</v>
      </c>
      <c r="J13" s="20" t="n">
        <v>0</v>
      </c>
      <c r="K13" s="18" t="n">
        <v>0.25880721</v>
      </c>
      <c r="L13" s="20" t="n">
        <v>0.29500664</v>
      </c>
      <c r="M13" s="18" t="n">
        <v>0</v>
      </c>
      <c r="N13" s="20" t="n">
        <v>0</v>
      </c>
      <c r="O13" s="18" t="n">
        <v>0</v>
      </c>
      <c r="P13" s="20" t="n">
        <v>0</v>
      </c>
      <c r="Q13" s="18" t="n">
        <v>3.34940155</v>
      </c>
      <c r="R13" s="20" t="n">
        <v>1.09668501</v>
      </c>
    </row>
    <row r="14" spans="1:18">
      <c r="A14" s="15" t="s">
        <v>572</v>
      </c>
      <c r="B14" s="17" t="n">
        <v>2788</v>
      </c>
      <c r="C14" s="18">
        <f>(2475.0/B14*100)</f>
        <v/>
      </c>
      <c r="D14" s="19" t="n">
        <v>313</v>
      </c>
      <c r="E14" s="18" t="n">
        <v>50.17704689</v>
      </c>
      <c r="F14" s="20" t="n">
        <v>2.99217641</v>
      </c>
      <c r="G14" s="18" t="n">
        <v>46.94055702</v>
      </c>
      <c r="H14" s="20" t="n">
        <v>3.06751</v>
      </c>
      <c r="I14" s="18" t="n">
        <v>0</v>
      </c>
      <c r="J14" s="20" t="n">
        <v>0</v>
      </c>
      <c r="K14" s="18" t="n">
        <v>0</v>
      </c>
      <c r="L14" s="20" t="n">
        <v>0</v>
      </c>
      <c r="M14" s="18" t="n">
        <v>0</v>
      </c>
      <c r="N14" s="20" t="n">
        <v>0</v>
      </c>
      <c r="O14" s="18" t="n">
        <v>0</v>
      </c>
      <c r="P14" s="20" t="n">
        <v>0</v>
      </c>
      <c r="Q14" s="18" t="n">
        <v>2.88239609</v>
      </c>
      <c r="R14" s="20" t="n">
        <v>1.28837006</v>
      </c>
    </row>
    <row r="15" spans="1:18">
      <c r="A15" s="15" t="s">
        <v>573</v>
      </c>
      <c r="B15" s="17" t="n">
        <v>2863</v>
      </c>
      <c r="C15" s="18">
        <f>(2560.0/B15*100)</f>
        <v/>
      </c>
      <c r="D15" s="19" t="n">
        <v>303</v>
      </c>
      <c r="E15" s="18" t="n">
        <v>56.56115373</v>
      </c>
      <c r="F15" s="20" t="n">
        <v>2.42307432</v>
      </c>
      <c r="G15" s="18" t="n">
        <v>41.74019793</v>
      </c>
      <c r="H15" s="20" t="n">
        <v>2.44252934</v>
      </c>
      <c r="I15" s="18" t="n">
        <v>0</v>
      </c>
      <c r="J15" s="20" t="n">
        <v>0</v>
      </c>
      <c r="K15" s="18" t="n">
        <v>0</v>
      </c>
      <c r="L15" s="20" t="n">
        <v>0</v>
      </c>
      <c r="M15" s="18" t="n">
        <v>0</v>
      </c>
      <c r="N15" s="20" t="n">
        <v>0</v>
      </c>
      <c r="O15" s="18" t="n">
        <v>0</v>
      </c>
      <c r="P15" s="20" t="n">
        <v>0</v>
      </c>
      <c r="Q15" s="18" t="n">
        <v>1.69864835</v>
      </c>
      <c r="R15" s="20" t="n">
        <v>0.73808014</v>
      </c>
    </row>
    <row r="16" spans="1:18">
      <c r="A16" s="15" t="s">
        <v>574</v>
      </c>
      <c r="B16" s="17" t="n">
        <v>3111</v>
      </c>
      <c r="C16" s="18">
        <f>(2774.0/B16*100)</f>
        <v/>
      </c>
      <c r="D16" s="19" t="n">
        <v>337</v>
      </c>
      <c r="E16" s="18" t="n">
        <v>65.87547395999999</v>
      </c>
      <c r="F16" s="20" t="n">
        <v>2.75911897</v>
      </c>
      <c r="G16" s="18" t="n">
        <v>30.17990441</v>
      </c>
      <c r="H16" s="20" t="n">
        <v>2.72620323</v>
      </c>
      <c r="I16" s="18" t="n">
        <v>0</v>
      </c>
      <c r="J16" s="20" t="n">
        <v>0</v>
      </c>
      <c r="K16" s="18" t="n">
        <v>0.91920568</v>
      </c>
      <c r="L16" s="20" t="n">
        <v>0.54950541</v>
      </c>
      <c r="M16" s="18" t="n">
        <v>0</v>
      </c>
      <c r="N16" s="20" t="n">
        <v>0</v>
      </c>
      <c r="O16" s="18" t="n">
        <v>0</v>
      </c>
      <c r="P16" s="20" t="n">
        <v>0</v>
      </c>
      <c r="Q16" s="18" t="n">
        <v>3.02541595</v>
      </c>
      <c r="R16" s="20" t="n">
        <v>0.87967395</v>
      </c>
    </row>
    <row r="17" spans="1:18">
      <c r="A17" s="15" t="s">
        <v>575</v>
      </c>
      <c r="B17" s="17" t="n">
        <v>3197</v>
      </c>
      <c r="C17" s="18">
        <f>(2850.0/B17*100)</f>
        <v/>
      </c>
      <c r="D17" s="19" t="n">
        <v>347</v>
      </c>
      <c r="E17" s="18" t="n">
        <v>70.70337236</v>
      </c>
      <c r="F17" s="20" t="n">
        <v>2.59031542</v>
      </c>
      <c r="G17" s="18" t="n">
        <v>26.85648407</v>
      </c>
      <c r="H17" s="20" t="n">
        <v>2.57579928</v>
      </c>
      <c r="I17" s="18" t="n">
        <v>0</v>
      </c>
      <c r="J17" s="20" t="n">
        <v>0</v>
      </c>
      <c r="K17" s="18" t="n">
        <v>0.29316236</v>
      </c>
      <c r="L17" s="20" t="n">
        <v>0.28858675</v>
      </c>
      <c r="M17" s="18" t="n">
        <v>0</v>
      </c>
      <c r="N17" s="20" t="n">
        <v>0</v>
      </c>
      <c r="O17" s="18" t="n">
        <v>0</v>
      </c>
      <c r="P17" s="20" t="n">
        <v>0</v>
      </c>
      <c r="Q17" s="18" t="n">
        <v>2.14698121</v>
      </c>
      <c r="R17" s="20" t="n">
        <v>0.72437462</v>
      </c>
    </row>
    <row r="18" spans="1:18">
      <c r="A18" s="15" t="s">
        <v>576</v>
      </c>
      <c r="B18" s="17" t="n">
        <v>2706</v>
      </c>
      <c r="C18" s="18">
        <f>(2420.0/B18*100)</f>
        <v/>
      </c>
      <c r="D18" s="19" t="n">
        <v>286</v>
      </c>
      <c r="E18" s="18" t="n">
        <v>73.29055777000001</v>
      </c>
      <c r="F18" s="20" t="n">
        <v>2.81209368</v>
      </c>
      <c r="G18" s="18" t="n">
        <v>22.21925633</v>
      </c>
      <c r="H18" s="20" t="n">
        <v>2.74826751</v>
      </c>
      <c r="I18" s="18" t="n">
        <v>0</v>
      </c>
      <c r="J18" s="20" t="n">
        <v>0</v>
      </c>
      <c r="K18" s="18" t="n">
        <v>0.6308362199999999</v>
      </c>
      <c r="L18" s="20" t="n">
        <v>0.44464651</v>
      </c>
      <c r="M18" s="18" t="n">
        <v>0</v>
      </c>
      <c r="N18" s="20" t="n">
        <v>0</v>
      </c>
      <c r="O18" s="18" t="n">
        <v>0</v>
      </c>
      <c r="P18" s="20" t="n">
        <v>0</v>
      </c>
      <c r="Q18" s="18" t="n">
        <v>3.85934967</v>
      </c>
      <c r="R18" s="20" t="n">
        <v>1.18334978</v>
      </c>
    </row>
    <row r="19" spans="1:18">
      <c r="A19" s="15" t="s">
        <v>577</v>
      </c>
      <c r="B19" s="17" t="n">
        <v>2850</v>
      </c>
      <c r="C19" s="18">
        <f>(2543.0/B19*100)</f>
        <v/>
      </c>
      <c r="D19" s="19" t="n">
        <v>307</v>
      </c>
      <c r="E19" s="18" t="n">
        <v>59.44782859</v>
      </c>
      <c r="F19" s="20" t="n">
        <v>2.57574347</v>
      </c>
      <c r="G19" s="18" t="n">
        <v>36.68009428</v>
      </c>
      <c r="H19" s="20" t="n">
        <v>2.45682036</v>
      </c>
      <c r="I19" s="18" t="n">
        <v>0</v>
      </c>
      <c r="J19" s="20" t="n">
        <v>0</v>
      </c>
      <c r="K19" s="18" t="n">
        <v>0</v>
      </c>
      <c r="L19" s="20" t="n">
        <v>0</v>
      </c>
      <c r="M19" s="18" t="n">
        <v>0</v>
      </c>
      <c r="N19" s="20" t="n">
        <v>0</v>
      </c>
      <c r="O19" s="18" t="n">
        <v>0</v>
      </c>
      <c r="P19" s="20" t="n">
        <v>0</v>
      </c>
      <c r="Q19" s="18" t="n">
        <v>3.87207714</v>
      </c>
      <c r="R19" s="20" t="n">
        <v>1.28354395</v>
      </c>
    </row>
    <row r="20" spans="1:18">
      <c r="A20" s="15" t="s">
        <v>578</v>
      </c>
      <c r="B20" s="17" t="n">
        <v>1741</v>
      </c>
      <c r="C20" s="18">
        <f>(1522.0/B20*100)</f>
        <v/>
      </c>
      <c r="D20" s="19" t="n">
        <v>219</v>
      </c>
      <c r="E20" s="18" t="n">
        <v>67.95017687000001</v>
      </c>
      <c r="F20" s="20" t="n">
        <v>3.32431939</v>
      </c>
      <c r="G20" s="18" t="n">
        <v>29.09324608</v>
      </c>
      <c r="H20" s="20" t="n">
        <v>3.06966393</v>
      </c>
      <c r="I20" s="18" t="n">
        <v>0</v>
      </c>
      <c r="J20" s="20" t="n">
        <v>0</v>
      </c>
      <c r="K20" s="18" t="n">
        <v>0</v>
      </c>
      <c r="L20" s="20" t="n">
        <v>0</v>
      </c>
      <c r="M20" s="18" t="n">
        <v>0</v>
      </c>
      <c r="N20" s="20" t="n">
        <v>0</v>
      </c>
      <c r="O20" s="18" t="n">
        <v>0</v>
      </c>
      <c r="P20" s="20" t="n">
        <v>0</v>
      </c>
      <c r="Q20" s="18" t="n">
        <v>2.95657705</v>
      </c>
      <c r="R20" s="20" t="n">
        <v>1.17567923</v>
      </c>
    </row>
    <row r="21" spans="1:18">
      <c r="A21" s="15" t="s">
        <v>579</v>
      </c>
      <c r="B21" s="17" t="n">
        <v>2833</v>
      </c>
      <c r="C21" s="18">
        <f>(2530.0/B21*100)</f>
        <v/>
      </c>
      <c r="D21" s="19" t="n">
        <v>303</v>
      </c>
      <c r="E21" s="18" t="n">
        <v>65.15539122</v>
      </c>
      <c r="F21" s="20" t="n">
        <v>2.84638128</v>
      </c>
      <c r="G21" s="18" t="n">
        <v>34.42649239</v>
      </c>
      <c r="H21" s="20" t="n">
        <v>2.76533324</v>
      </c>
      <c r="I21" s="18" t="n">
        <v>0</v>
      </c>
      <c r="J21" s="20" t="n">
        <v>0</v>
      </c>
      <c r="K21" s="18" t="n">
        <v>0</v>
      </c>
      <c r="L21" s="20" t="n">
        <v>0</v>
      </c>
      <c r="M21" s="18" t="n">
        <v>0</v>
      </c>
      <c r="N21" s="20" t="n">
        <v>0</v>
      </c>
      <c r="O21" s="18" t="n">
        <v>0</v>
      </c>
      <c r="P21" s="20" t="n">
        <v>0</v>
      </c>
      <c r="Q21" s="18" t="n">
        <v>0.41811639</v>
      </c>
      <c r="R21" s="20" t="n">
        <v>0.3791912</v>
      </c>
    </row>
    <row r="22" spans="1:18">
      <c r="A22" s="15" t="s">
        <v>580</v>
      </c>
      <c r="B22" s="17" t="n">
        <v>3667</v>
      </c>
      <c r="C22" s="18">
        <f>(3243.0/B22*100)</f>
        <v/>
      </c>
      <c r="D22" s="19" t="n">
        <v>424</v>
      </c>
      <c r="E22" s="18" t="n">
        <v>69.48346528</v>
      </c>
      <c r="F22" s="20" t="n">
        <v>2.84406383</v>
      </c>
      <c r="G22" s="18" t="n">
        <v>25.35515142</v>
      </c>
      <c r="H22" s="20" t="n">
        <v>2.77134713</v>
      </c>
      <c r="I22" s="18" t="n">
        <v>0</v>
      </c>
      <c r="J22" s="20" t="n">
        <v>0</v>
      </c>
      <c r="K22" s="18" t="n">
        <v>0.42998821</v>
      </c>
      <c r="L22" s="20" t="n">
        <v>0.31912573</v>
      </c>
      <c r="M22" s="18" t="n">
        <v>0</v>
      </c>
      <c r="N22" s="20" t="n">
        <v>0</v>
      </c>
      <c r="O22" s="18" t="n">
        <v>0</v>
      </c>
      <c r="P22" s="20" t="n">
        <v>0</v>
      </c>
      <c r="Q22" s="18" t="n">
        <v>4.73139509</v>
      </c>
      <c r="R22" s="20" t="n">
        <v>0.96700899</v>
      </c>
    </row>
    <row r="23" spans="1:18">
      <c r="A23" s="15" t="s">
        <v>581</v>
      </c>
      <c r="B23" s="17" t="n">
        <v>5792</v>
      </c>
      <c r="C23" s="18">
        <f>(5160.0/B23*100)</f>
        <v/>
      </c>
      <c r="D23" s="19" t="n">
        <v>632</v>
      </c>
      <c r="E23" s="18" t="n">
        <v>65.92104834</v>
      </c>
      <c r="F23" s="20" t="n">
        <v>2.66680485</v>
      </c>
      <c r="G23" s="18" t="n">
        <v>27.84583422</v>
      </c>
      <c r="H23" s="20" t="n">
        <v>2.57892786</v>
      </c>
      <c r="I23" s="18" t="n">
        <v>0</v>
      </c>
      <c r="J23" s="20" t="n">
        <v>0</v>
      </c>
      <c r="K23" s="18" t="n">
        <v>0.29507605</v>
      </c>
      <c r="L23" s="20" t="n">
        <v>0.27429819</v>
      </c>
      <c r="M23" s="18" t="n">
        <v>0</v>
      </c>
      <c r="N23" s="20" t="n">
        <v>0</v>
      </c>
      <c r="O23" s="18" t="n">
        <v>0</v>
      </c>
      <c r="P23" s="20" t="n">
        <v>0</v>
      </c>
      <c r="Q23" s="18" t="n">
        <v>5.93804139</v>
      </c>
      <c r="R23" s="20" t="n">
        <v>1.32410797</v>
      </c>
    </row>
    <row r="24" spans="1:18">
      <c r="A24" s="15" t="s">
        <v>582</v>
      </c>
      <c r="B24" s="17" t="n">
        <v>3309</v>
      </c>
      <c r="C24" s="18">
        <f>(2953.0/B24*100)</f>
        <v/>
      </c>
      <c r="D24" s="19" t="n">
        <v>356</v>
      </c>
      <c r="E24" s="18" t="n">
        <v>53.07542148</v>
      </c>
      <c r="F24" s="20" t="n">
        <v>3.00547236</v>
      </c>
      <c r="G24" s="18" t="n">
        <v>45.26112971</v>
      </c>
      <c r="H24" s="20" t="n">
        <v>3.02521114</v>
      </c>
      <c r="I24" s="18" t="n">
        <v>0</v>
      </c>
      <c r="J24" s="20" t="n">
        <v>0</v>
      </c>
      <c r="K24" s="18" t="n">
        <v>0</v>
      </c>
      <c r="L24" s="20" t="n">
        <v>0</v>
      </c>
      <c r="M24" s="18" t="n">
        <v>0</v>
      </c>
      <c r="N24" s="20" t="n">
        <v>0</v>
      </c>
      <c r="O24" s="18" t="n">
        <v>0</v>
      </c>
      <c r="P24" s="20" t="n">
        <v>0</v>
      </c>
      <c r="Q24" s="18" t="n">
        <v>1.66344881</v>
      </c>
      <c r="R24" s="20" t="n">
        <v>0.68371081</v>
      </c>
    </row>
    <row r="25" spans="1:18">
      <c r="A25" s="15" t="s">
        <v>583</v>
      </c>
      <c r="B25" s="17" t="n">
        <v>2669</v>
      </c>
      <c r="C25" s="18">
        <f>(2362.0/B25*100)</f>
        <v/>
      </c>
      <c r="D25" s="19" t="n">
        <v>307</v>
      </c>
      <c r="E25" s="18" t="n">
        <v>43.26565519</v>
      </c>
      <c r="F25" s="20" t="n">
        <v>2.64418587</v>
      </c>
      <c r="G25" s="18" t="n">
        <v>54.26495964</v>
      </c>
      <c r="H25" s="20" t="n">
        <v>2.59764597</v>
      </c>
      <c r="I25" s="18" t="n">
        <v>0</v>
      </c>
      <c r="J25" s="20" t="n">
        <v>0</v>
      </c>
      <c r="K25" s="18" t="n">
        <v>0.28528329</v>
      </c>
      <c r="L25" s="20" t="n">
        <v>0.28424248</v>
      </c>
      <c r="M25" s="18" t="n">
        <v>0</v>
      </c>
      <c r="N25" s="20" t="n">
        <v>0</v>
      </c>
      <c r="O25" s="18" t="n">
        <v>0</v>
      </c>
      <c r="P25" s="20" t="n">
        <v>0</v>
      </c>
      <c r="Q25" s="18" t="n">
        <v>2.18410188</v>
      </c>
      <c r="R25" s="20" t="n">
        <v>0.74277864</v>
      </c>
    </row>
    <row r="26" spans="1:18">
      <c r="A26" s="15" t="s">
        <v>584</v>
      </c>
      <c r="B26" s="17" t="n">
        <v>2419</v>
      </c>
      <c r="C26" s="18">
        <f>(2160.0/B26*100)</f>
        <v/>
      </c>
      <c r="D26" s="19" t="n">
        <v>259</v>
      </c>
      <c r="E26" s="18" t="n">
        <v>63.38328483</v>
      </c>
      <c r="F26" s="20" t="n">
        <v>3.48105057</v>
      </c>
      <c r="G26" s="18" t="n">
        <v>36.31482867</v>
      </c>
      <c r="H26" s="20" t="n">
        <v>3.47139187</v>
      </c>
      <c r="I26" s="18" t="n">
        <v>0</v>
      </c>
      <c r="J26" s="20" t="n">
        <v>0</v>
      </c>
      <c r="K26" s="18" t="n">
        <v>0.3018865</v>
      </c>
      <c r="L26" s="20" t="n">
        <v>0.32922513</v>
      </c>
      <c r="M26" s="18" t="n">
        <v>0</v>
      </c>
      <c r="N26" s="20" t="n">
        <v>0</v>
      </c>
      <c r="O26" s="18" t="n">
        <v>0</v>
      </c>
      <c r="P26" s="20" t="n">
        <v>0</v>
      </c>
      <c r="Q26" s="18" t="n">
        <v>0</v>
      </c>
      <c r="R26" s="20" t="n">
        <v>0</v>
      </c>
    </row>
    <row r="27" spans="1:18">
      <c r="A27" s="15" t="s">
        <v>585</v>
      </c>
      <c r="B27" s="17" t="n">
        <v>2683</v>
      </c>
      <c r="C27" s="18">
        <f>(2374.0/B27*100)</f>
        <v/>
      </c>
      <c r="D27" s="19" t="n">
        <v>309</v>
      </c>
      <c r="E27" s="18" t="n">
        <v>63.0051914</v>
      </c>
      <c r="F27" s="20" t="n">
        <v>2.51553508</v>
      </c>
      <c r="G27" s="18" t="n">
        <v>32.07991126</v>
      </c>
      <c r="H27" s="20" t="n">
        <v>2.5499242</v>
      </c>
      <c r="I27" s="18" t="n">
        <v>0</v>
      </c>
      <c r="J27" s="20" t="n">
        <v>0</v>
      </c>
      <c r="K27" s="18" t="n">
        <v>0.33628491</v>
      </c>
      <c r="L27" s="20" t="n">
        <v>0.33742679</v>
      </c>
      <c r="M27" s="18" t="n">
        <v>0</v>
      </c>
      <c r="N27" s="20" t="n">
        <v>0</v>
      </c>
      <c r="O27" s="18" t="n">
        <v>0</v>
      </c>
      <c r="P27" s="20" t="n">
        <v>0</v>
      </c>
      <c r="Q27" s="18" t="n">
        <v>4.57861244</v>
      </c>
      <c r="R27" s="20" t="n">
        <v>1.20685912</v>
      </c>
    </row>
    <row r="28" spans="1:18">
      <c r="A28" s="15" t="s">
        <v>586</v>
      </c>
      <c r="B28" s="17" t="n">
        <v>3803</v>
      </c>
      <c r="C28" s="18">
        <f>(3425.0/B28*100)</f>
        <v/>
      </c>
      <c r="D28" s="19" t="n">
        <v>378</v>
      </c>
      <c r="E28" s="18" t="n">
        <v>84.88652766</v>
      </c>
      <c r="F28" s="20" t="n">
        <v>2.30461353</v>
      </c>
      <c r="G28" s="18" t="n">
        <v>10.37489984</v>
      </c>
      <c r="H28" s="20" t="n">
        <v>2.06104455</v>
      </c>
      <c r="I28" s="18" t="n">
        <v>0</v>
      </c>
      <c r="J28" s="20" t="n">
        <v>0</v>
      </c>
      <c r="K28" s="18" t="n">
        <v>1.91107308</v>
      </c>
      <c r="L28" s="20" t="n">
        <v>0.71868016</v>
      </c>
      <c r="M28" s="18" t="n">
        <v>0</v>
      </c>
      <c r="N28" s="20" t="n">
        <v>0</v>
      </c>
      <c r="O28" s="18" t="n">
        <v>0</v>
      </c>
      <c r="P28" s="20" t="n">
        <v>0</v>
      </c>
      <c r="Q28" s="18" t="n">
        <v>2.82749942</v>
      </c>
      <c r="R28" s="20" t="n">
        <v>0.74857788</v>
      </c>
    </row>
    <row r="29" spans="1:18">
      <c r="A29" s="15" t="s">
        <v>587</v>
      </c>
      <c r="B29" s="17" t="n">
        <v>2700</v>
      </c>
      <c r="C29" s="18">
        <f>(2408.0/B29*100)</f>
        <v/>
      </c>
      <c r="D29" s="19" t="n">
        <v>292</v>
      </c>
      <c r="E29" s="18" t="n">
        <v>61.3228134</v>
      </c>
      <c r="F29" s="20" t="n">
        <v>2.93874271</v>
      </c>
      <c r="G29" s="18" t="n">
        <v>36.76668029</v>
      </c>
      <c r="H29" s="20" t="n">
        <v>2.75505884</v>
      </c>
      <c r="I29" s="18" t="n">
        <v>0</v>
      </c>
      <c r="J29" s="20" t="n">
        <v>0</v>
      </c>
      <c r="K29" s="18" t="n">
        <v>0.42050938</v>
      </c>
      <c r="L29" s="20" t="n">
        <v>0.39694228</v>
      </c>
      <c r="M29" s="18" t="n">
        <v>0</v>
      </c>
      <c r="N29" s="20" t="n">
        <v>0</v>
      </c>
      <c r="O29" s="18" t="n">
        <v>0</v>
      </c>
      <c r="P29" s="20" t="n">
        <v>0</v>
      </c>
      <c r="Q29" s="18" t="n">
        <v>1.48999692</v>
      </c>
      <c r="R29" s="20" t="n">
        <v>0.7556414</v>
      </c>
    </row>
    <row r="30" spans="1:18">
      <c r="A30" s="15" t="s">
        <v>588</v>
      </c>
      <c r="B30" s="17" t="n">
        <v>2257</v>
      </c>
      <c r="C30" s="18">
        <f>(2004.0/B30*100)</f>
        <v/>
      </c>
      <c r="D30" s="19" t="n">
        <v>253</v>
      </c>
      <c r="E30" s="18" t="n">
        <v>68.50230594999999</v>
      </c>
      <c r="F30" s="20" t="n">
        <v>2.65801759</v>
      </c>
      <c r="G30" s="18" t="n">
        <v>26.22451374</v>
      </c>
      <c r="H30" s="20" t="n">
        <v>2.52349946</v>
      </c>
      <c r="I30" s="18" t="n">
        <v>0</v>
      </c>
      <c r="J30" s="20" t="n">
        <v>0</v>
      </c>
      <c r="K30" s="18" t="n">
        <v>0</v>
      </c>
      <c r="L30" s="20" t="n">
        <v>0</v>
      </c>
      <c r="M30" s="18" t="n">
        <v>0</v>
      </c>
      <c r="N30" s="20" t="n">
        <v>0</v>
      </c>
      <c r="O30" s="18" t="n">
        <v>0</v>
      </c>
      <c r="P30" s="20" t="n">
        <v>0</v>
      </c>
      <c r="Q30" s="18" t="n">
        <v>5.27318031</v>
      </c>
      <c r="R30" s="20" t="n">
        <v>1.70488848</v>
      </c>
    </row>
    <row r="31" spans="1:18">
      <c r="A31" s="15" t="s">
        <v>589</v>
      </c>
      <c r="B31" s="17" t="n">
        <v>2706</v>
      </c>
      <c r="C31" s="18">
        <f>(2416.0/B31*100)</f>
        <v/>
      </c>
      <c r="D31" s="19" t="n">
        <v>290</v>
      </c>
      <c r="E31" s="18" t="n">
        <v>72.49384363</v>
      </c>
      <c r="F31" s="20" t="n">
        <v>2.90341296</v>
      </c>
      <c r="G31" s="18" t="n">
        <v>21.756994</v>
      </c>
      <c r="H31" s="20" t="n">
        <v>2.50244393</v>
      </c>
      <c r="I31" s="18" t="n">
        <v>0</v>
      </c>
      <c r="J31" s="20" t="n">
        <v>0</v>
      </c>
      <c r="K31" s="18" t="n">
        <v>0.9453662</v>
      </c>
      <c r="L31" s="20" t="n">
        <v>0.53352892</v>
      </c>
      <c r="M31" s="18" t="n">
        <v>0</v>
      </c>
      <c r="N31" s="20" t="n">
        <v>0</v>
      </c>
      <c r="O31" s="18" t="n">
        <v>0</v>
      </c>
      <c r="P31" s="20" t="n">
        <v>0</v>
      </c>
      <c r="Q31" s="18" t="n">
        <v>4.80379618</v>
      </c>
      <c r="R31" s="20" t="n">
        <v>1.27009573</v>
      </c>
    </row>
    <row r="32" spans="1:18">
      <c r="A32" s="15" t="s">
        <v>590</v>
      </c>
      <c r="B32" s="17" t="n">
        <v>2209</v>
      </c>
      <c r="C32" s="18">
        <f>(1968.0/B32*100)</f>
        <v/>
      </c>
      <c r="D32" s="19" t="n">
        <v>241</v>
      </c>
      <c r="E32" s="18" t="n">
        <v>63.27402604</v>
      </c>
      <c r="F32" s="20" t="n">
        <v>3.57520152</v>
      </c>
      <c r="G32" s="18" t="n">
        <v>35.74701027</v>
      </c>
      <c r="H32" s="20" t="n">
        <v>3.54890685</v>
      </c>
      <c r="I32" s="18" t="n">
        <v>0</v>
      </c>
      <c r="J32" s="20" t="n">
        <v>0</v>
      </c>
      <c r="K32" s="18" t="n">
        <v>0</v>
      </c>
      <c r="L32" s="20" t="n">
        <v>0</v>
      </c>
      <c r="M32" s="18" t="n">
        <v>0</v>
      </c>
      <c r="N32" s="20" t="n">
        <v>0</v>
      </c>
      <c r="O32" s="18" t="n">
        <v>0</v>
      </c>
      <c r="P32" s="20" t="n">
        <v>0</v>
      </c>
      <c r="Q32" s="18" t="n">
        <v>0.9789636900000001</v>
      </c>
      <c r="R32" s="20" t="n">
        <v>0.58867227</v>
      </c>
    </row>
    <row r="33" spans="1:18">
      <c r="A33" s="15" t="s">
        <v>591</v>
      </c>
      <c r="B33" s="17" t="n">
        <v>3651</v>
      </c>
      <c r="C33" s="18">
        <f>(3274.0/B33*100)</f>
        <v/>
      </c>
      <c r="D33" s="19" t="n">
        <v>377</v>
      </c>
      <c r="E33" s="18" t="n">
        <v>62.9416785</v>
      </c>
      <c r="F33" s="20" t="n">
        <v>2.88150257</v>
      </c>
      <c r="G33" s="18" t="n">
        <v>35.45873266</v>
      </c>
      <c r="H33" s="20" t="n">
        <v>2.96700972</v>
      </c>
      <c r="I33" s="18" t="n">
        <v>0</v>
      </c>
      <c r="J33" s="20" t="n">
        <v>0</v>
      </c>
      <c r="K33" s="18" t="n">
        <v>0.3553578</v>
      </c>
      <c r="L33" s="20" t="n">
        <v>0.35361635</v>
      </c>
      <c r="M33" s="18" t="n">
        <v>0</v>
      </c>
      <c r="N33" s="20" t="n">
        <v>0</v>
      </c>
      <c r="O33" s="18" t="n">
        <v>0</v>
      </c>
      <c r="P33" s="20" t="n">
        <v>0</v>
      </c>
      <c r="Q33" s="18" t="n">
        <v>1.24423105</v>
      </c>
      <c r="R33" s="20" t="n">
        <v>0.65296988</v>
      </c>
    </row>
    <row r="34" spans="1:18">
      <c r="A34" s="15" t="s">
        <v>592</v>
      </c>
      <c r="B34" s="17" t="n">
        <v>3035</v>
      </c>
      <c r="C34" s="18">
        <f>(2695.0/B34*100)</f>
        <v/>
      </c>
      <c r="D34" s="19" t="n">
        <v>340</v>
      </c>
      <c r="E34" s="18" t="n">
        <v>63.4088723</v>
      </c>
      <c r="F34" s="20" t="n">
        <v>2.83260322</v>
      </c>
      <c r="G34" s="18" t="n">
        <v>32.61069981</v>
      </c>
      <c r="H34" s="20" t="n">
        <v>2.73589856</v>
      </c>
      <c r="I34" s="18" t="n">
        <v>0</v>
      </c>
      <c r="J34" s="20" t="n">
        <v>0</v>
      </c>
      <c r="K34" s="18" t="n">
        <v>0</v>
      </c>
      <c r="L34" s="20" t="n">
        <v>0</v>
      </c>
      <c r="M34" s="18" t="n">
        <v>0</v>
      </c>
      <c r="N34" s="20" t="n">
        <v>0</v>
      </c>
      <c r="O34" s="18" t="n">
        <v>0</v>
      </c>
      <c r="P34" s="20" t="n">
        <v>0</v>
      </c>
      <c r="Q34" s="18" t="n">
        <v>3.9804279</v>
      </c>
      <c r="R34" s="20" t="n">
        <v>1.26839051</v>
      </c>
    </row>
    <row r="35" spans="1:18">
      <c r="A35" s="15" t="s">
        <v>593</v>
      </c>
      <c r="B35" s="17" t="n">
        <v>2901</v>
      </c>
      <c r="C35" s="18">
        <f>(2607.0/B35*100)</f>
        <v/>
      </c>
      <c r="D35" s="19" t="n">
        <v>294</v>
      </c>
      <c r="E35" s="18" t="n">
        <v>52.03610185</v>
      </c>
      <c r="F35" s="20" t="n">
        <v>3.5680248</v>
      </c>
      <c r="G35" s="18" t="n">
        <v>45.5422719</v>
      </c>
      <c r="H35" s="20" t="n">
        <v>3.54657126</v>
      </c>
      <c r="I35" s="18" t="n">
        <v>0</v>
      </c>
      <c r="J35" s="20" t="n">
        <v>0</v>
      </c>
      <c r="K35" s="18" t="n">
        <v>0.13675564</v>
      </c>
      <c r="L35" s="20" t="n">
        <v>0.13980384</v>
      </c>
      <c r="M35" s="18" t="n">
        <v>0</v>
      </c>
      <c r="N35" s="20" t="n">
        <v>0</v>
      </c>
      <c r="O35" s="18" t="n">
        <v>0</v>
      </c>
      <c r="P35" s="20" t="n">
        <v>0</v>
      </c>
      <c r="Q35" s="18" t="n">
        <v>2.28487061</v>
      </c>
      <c r="R35" s="20" t="n">
        <v>0.9948598</v>
      </c>
    </row>
    <row r="36" spans="1:18">
      <c r="A36" s="15" t="s">
        <v>594</v>
      </c>
      <c r="B36" s="17" t="n">
        <v>3404</v>
      </c>
      <c r="C36" s="18">
        <f>(3053.0/B36*100)</f>
        <v/>
      </c>
      <c r="D36" s="19" t="n">
        <v>351</v>
      </c>
      <c r="E36" s="18" t="n">
        <v>68.27066444</v>
      </c>
      <c r="F36" s="20" t="n">
        <v>2.89111187</v>
      </c>
      <c r="G36" s="18" t="n">
        <v>27.72910898</v>
      </c>
      <c r="H36" s="20" t="n">
        <v>2.77517812</v>
      </c>
      <c r="I36" s="18" t="n">
        <v>0</v>
      </c>
      <c r="J36" s="20" t="n">
        <v>0</v>
      </c>
      <c r="K36" s="18" t="n">
        <v>0</v>
      </c>
      <c r="L36" s="20" t="n">
        <v>0</v>
      </c>
      <c r="M36" s="18" t="n">
        <v>0</v>
      </c>
      <c r="N36" s="20" t="n">
        <v>0</v>
      </c>
      <c r="O36" s="18" t="n">
        <v>0</v>
      </c>
      <c r="P36" s="20" t="n">
        <v>0</v>
      </c>
      <c r="Q36" s="18" t="n">
        <v>4.00022658</v>
      </c>
      <c r="R36" s="20" t="n">
        <v>1.22323725</v>
      </c>
    </row>
    <row r="37" spans="1:18">
      <c r="A37" s="15" t="s">
        <v>595</v>
      </c>
      <c r="B37" s="17" t="n">
        <v>2731</v>
      </c>
      <c r="C37" s="18">
        <f>(2429.0/B37*100)</f>
        <v/>
      </c>
      <c r="D37" s="19" t="n">
        <v>302</v>
      </c>
      <c r="E37" s="18" t="n">
        <v>73.8417851</v>
      </c>
      <c r="F37" s="20" t="n">
        <v>2.69537502</v>
      </c>
      <c r="G37" s="18" t="n">
        <v>19.88521404</v>
      </c>
      <c r="H37" s="20" t="n">
        <v>2.75989726</v>
      </c>
      <c r="I37" s="18" t="n">
        <v>0</v>
      </c>
      <c r="J37" s="20" t="n">
        <v>0</v>
      </c>
      <c r="K37" s="18" t="n">
        <v>1.34866823</v>
      </c>
      <c r="L37" s="20" t="n">
        <v>0.68843573</v>
      </c>
      <c r="M37" s="18" t="n">
        <v>0</v>
      </c>
      <c r="N37" s="20" t="n">
        <v>0</v>
      </c>
      <c r="O37" s="18" t="n">
        <v>0</v>
      </c>
      <c r="P37" s="20" t="n">
        <v>0</v>
      </c>
      <c r="Q37" s="18" t="n">
        <v>4.92433263</v>
      </c>
      <c r="R37" s="20" t="n">
        <v>1.51903723</v>
      </c>
    </row>
    <row r="38" spans="1:18">
      <c r="A38" s="15" t="s">
        <v>596</v>
      </c>
      <c r="B38" s="17" t="n">
        <v>2807</v>
      </c>
      <c r="C38" s="18">
        <f>(2491.0/B38*100)</f>
        <v/>
      </c>
      <c r="D38" s="19" t="n">
        <v>316</v>
      </c>
      <c r="E38" s="18" t="n">
        <v>63.44589361</v>
      </c>
      <c r="F38" s="20" t="n">
        <v>2.75238624</v>
      </c>
      <c r="G38" s="18" t="n">
        <v>32.07093673</v>
      </c>
      <c r="H38" s="20" t="n">
        <v>2.47847989</v>
      </c>
      <c r="I38" s="18" t="n">
        <v>0</v>
      </c>
      <c r="J38" s="20" t="n">
        <v>0</v>
      </c>
      <c r="K38" s="18" t="n">
        <v>0.33534707</v>
      </c>
      <c r="L38" s="20" t="n">
        <v>0.33535662</v>
      </c>
      <c r="M38" s="18" t="n">
        <v>0</v>
      </c>
      <c r="N38" s="20" t="n">
        <v>0</v>
      </c>
      <c r="O38" s="18" t="n">
        <v>0</v>
      </c>
      <c r="P38" s="20" t="n">
        <v>0</v>
      </c>
      <c r="Q38" s="18" t="n">
        <v>4.14782259</v>
      </c>
      <c r="R38" s="20" t="n">
        <v>1.33861832</v>
      </c>
    </row>
    <row r="39" spans="1:18">
      <c r="A39" s="15" t="s">
        <v>597</v>
      </c>
      <c r="B39" s="17" t="n">
        <v>2938</v>
      </c>
      <c r="C39" s="18">
        <f>(2624.0/B39*100)</f>
        <v/>
      </c>
      <c r="D39" s="19" t="n">
        <v>314</v>
      </c>
      <c r="E39" s="18" t="n">
        <v>67.87405574</v>
      </c>
      <c r="F39" s="20" t="n">
        <v>2.83587686</v>
      </c>
      <c r="G39" s="18" t="n">
        <v>26.5983005</v>
      </c>
      <c r="H39" s="20" t="n">
        <v>2.96715922</v>
      </c>
      <c r="I39" s="18" t="n">
        <v>0</v>
      </c>
      <c r="J39" s="20" t="n">
        <v>0</v>
      </c>
      <c r="K39" s="18" t="n">
        <v>0</v>
      </c>
      <c r="L39" s="20" t="n">
        <v>0</v>
      </c>
      <c r="M39" s="18" t="n">
        <v>0</v>
      </c>
      <c r="N39" s="20" t="n">
        <v>0</v>
      </c>
      <c r="O39" s="18" t="n">
        <v>0</v>
      </c>
      <c r="P39" s="20" t="n">
        <v>0</v>
      </c>
      <c r="Q39" s="18" t="n">
        <v>5.52764376</v>
      </c>
      <c r="R39" s="20" t="n">
        <v>1.15622904</v>
      </c>
    </row>
    <row r="40" spans="1:18">
      <c r="A40" s="15" t="s">
        <v>598</v>
      </c>
      <c r="B40" s="17" t="n">
        <v>6922</v>
      </c>
      <c r="C40" s="18">
        <f>(6146.0/B40*100)</f>
        <v/>
      </c>
      <c r="D40" s="19" t="n">
        <v>776</v>
      </c>
      <c r="E40" s="18" t="n">
        <v>70.80231846</v>
      </c>
      <c r="F40" s="20" t="n">
        <v>2.20684932</v>
      </c>
      <c r="G40" s="18" t="n">
        <v>24.5864213</v>
      </c>
      <c r="H40" s="20" t="n">
        <v>1.82853485</v>
      </c>
      <c r="I40" s="18" t="n">
        <v>0</v>
      </c>
      <c r="J40" s="20" t="n">
        <v>0</v>
      </c>
      <c r="K40" s="18" t="n">
        <v>0.7186368400000001</v>
      </c>
      <c r="L40" s="20" t="n">
        <v>0.45889874</v>
      </c>
      <c r="M40" s="18" t="n">
        <v>0</v>
      </c>
      <c r="N40" s="20" t="n">
        <v>0</v>
      </c>
      <c r="O40" s="18" t="n">
        <v>0</v>
      </c>
      <c r="P40" s="20" t="n">
        <v>0</v>
      </c>
      <c r="Q40" s="18" t="n">
        <v>3.89262341</v>
      </c>
      <c r="R40" s="20" t="n">
        <v>1.07621197</v>
      </c>
    </row>
    <row r="41" spans="1:18">
      <c r="A41" s="15" t="s">
        <v>599</v>
      </c>
      <c r="B41" s="17" t="n">
        <v>2854</v>
      </c>
      <c r="C41" s="18">
        <f>(2550.0/B41*100)</f>
        <v/>
      </c>
      <c r="D41" s="19" t="n">
        <v>304</v>
      </c>
      <c r="E41" s="18" t="n">
        <v>73.71031795</v>
      </c>
      <c r="F41" s="20" t="n">
        <v>2.61717145</v>
      </c>
      <c r="G41" s="18" t="n">
        <v>24.92317932</v>
      </c>
      <c r="H41" s="20" t="n">
        <v>2.56193101</v>
      </c>
      <c r="I41" s="18" t="n">
        <v>0</v>
      </c>
      <c r="J41" s="20" t="n">
        <v>0</v>
      </c>
      <c r="K41" s="18" t="n">
        <v>0</v>
      </c>
      <c r="L41" s="20" t="n">
        <v>0</v>
      </c>
      <c r="M41" s="18" t="n">
        <v>0</v>
      </c>
      <c r="N41" s="20" t="n">
        <v>0</v>
      </c>
      <c r="O41" s="18" t="n">
        <v>0</v>
      </c>
      <c r="P41" s="20" t="n">
        <v>0</v>
      </c>
      <c r="Q41" s="18" t="n">
        <v>1.36650273</v>
      </c>
      <c r="R41" s="20" t="n">
        <v>0.69570482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(11054.0/B46*100)</f>
        <v/>
      </c>
      <c r="D46" s="19" t="n">
        <v>1019</v>
      </c>
      <c r="E46" s="18" t="n">
        <v>81.96210095000001</v>
      </c>
      <c r="F46" s="20" t="n">
        <v>1.75490144</v>
      </c>
      <c r="G46" s="18" t="n">
        <v>9.9721087</v>
      </c>
      <c r="H46" s="20" t="n">
        <v>1.27296674</v>
      </c>
      <c r="I46" s="18" t="n">
        <v>0</v>
      </c>
      <c r="J46" s="20" t="n">
        <v>0</v>
      </c>
      <c r="K46" s="18" t="n">
        <v>0.85692904</v>
      </c>
      <c r="L46" s="20" t="n">
        <v>0.37259411</v>
      </c>
      <c r="M46" s="18" t="n">
        <v>0</v>
      </c>
      <c r="N46" s="20" t="n">
        <v>0</v>
      </c>
      <c r="O46" s="18" t="n">
        <v>0</v>
      </c>
      <c r="P46" s="20" t="n">
        <v>0</v>
      </c>
      <c r="Q46" s="18" t="n">
        <v>7.2088613</v>
      </c>
      <c r="R46" s="20" t="n">
        <v>1.15073418</v>
      </c>
    </row>
    <row r="47" spans="1:18">
      <c r="A47" s="15" t="s">
        <v>606</v>
      </c>
      <c r="B47" s="17" t="n">
        <v>2823</v>
      </c>
      <c r="C47" s="18">
        <f>(2505.0/B47*100)</f>
        <v/>
      </c>
      <c r="D47" s="19" t="n">
        <v>318</v>
      </c>
      <c r="E47" s="18" t="n">
        <v>65.99922393</v>
      </c>
      <c r="F47" s="20" t="n">
        <v>3.11276773</v>
      </c>
      <c r="G47" s="18" t="n">
        <v>30.02460471</v>
      </c>
      <c r="H47" s="20" t="n">
        <v>2.94090258</v>
      </c>
      <c r="I47" s="18" t="n">
        <v>0</v>
      </c>
      <c r="J47" s="20" t="n">
        <v>0</v>
      </c>
      <c r="K47" s="18" t="n">
        <v>0.31259473</v>
      </c>
      <c r="L47" s="20" t="n">
        <v>0.31013851</v>
      </c>
      <c r="M47" s="18" t="n">
        <v>0</v>
      </c>
      <c r="N47" s="20" t="n">
        <v>0</v>
      </c>
      <c r="O47" s="18" t="n">
        <v>0</v>
      </c>
      <c r="P47" s="20" t="n">
        <v>0</v>
      </c>
      <c r="Q47" s="18" t="n">
        <v>3.66357662</v>
      </c>
      <c r="R47" s="20" t="n">
        <v>1.16113567</v>
      </c>
    </row>
    <row r="48" spans="1:18">
      <c r="A48" s="15" t="s">
        <v>607</v>
      </c>
      <c r="B48" s="17" t="n">
        <v>4682</v>
      </c>
      <c r="C48" s="18">
        <f>(4168.0/B48*100)</f>
        <v/>
      </c>
      <c r="D48" s="19" t="n">
        <v>514</v>
      </c>
      <c r="E48" s="18" t="n">
        <v>51.79959021</v>
      </c>
      <c r="F48" s="20" t="n">
        <v>3.20250335</v>
      </c>
      <c r="G48" s="18" t="n">
        <v>45.12950457</v>
      </c>
      <c r="H48" s="20" t="n">
        <v>3.22356736</v>
      </c>
      <c r="I48" s="18" t="n">
        <v>0</v>
      </c>
      <c r="J48" s="20" t="n">
        <v>0</v>
      </c>
      <c r="K48" s="18" t="n">
        <v>0.49712552</v>
      </c>
      <c r="L48" s="20" t="n">
        <v>0.47575546</v>
      </c>
      <c r="M48" s="18" t="n">
        <v>0</v>
      </c>
      <c r="N48" s="20" t="n">
        <v>0</v>
      </c>
      <c r="O48" s="18" t="n">
        <v>0</v>
      </c>
      <c r="P48" s="20" t="n">
        <v>0</v>
      </c>
      <c r="Q48" s="18" t="n">
        <v>2.5737797</v>
      </c>
      <c r="R48" s="20" t="n">
        <v>0.98067977</v>
      </c>
    </row>
    <row r="49" spans="1:18">
      <c r="A49" s="15" t="s">
        <v>608</v>
      </c>
      <c r="B49" s="17" t="n">
        <v>6158</v>
      </c>
      <c r="C49" s="18">
        <f>(5504.0/B49*100)</f>
        <v/>
      </c>
      <c r="D49" s="19" t="n">
        <v>654</v>
      </c>
      <c r="E49" s="18" t="n">
        <v>84.06902427999999</v>
      </c>
      <c r="F49" s="20" t="n">
        <v>1.61961317</v>
      </c>
      <c r="G49" s="18" t="n">
        <v>12.15776796</v>
      </c>
      <c r="H49" s="20" t="n">
        <v>1.43294257</v>
      </c>
      <c r="I49" s="18" t="n">
        <v>0</v>
      </c>
      <c r="J49" s="20" t="n">
        <v>0</v>
      </c>
      <c r="K49" s="18" t="n">
        <v>0.83763767</v>
      </c>
      <c r="L49" s="20" t="n">
        <v>0.43775124</v>
      </c>
      <c r="M49" s="18" t="n">
        <v>0</v>
      </c>
      <c r="N49" s="20" t="n">
        <v>0</v>
      </c>
      <c r="O49" s="18" t="n">
        <v>0</v>
      </c>
      <c r="P49" s="20" t="n">
        <v>0</v>
      </c>
      <c r="Q49" s="18" t="n">
        <v>2.93557009</v>
      </c>
      <c r="R49" s="20" t="n">
        <v>0.84352234</v>
      </c>
    </row>
    <row r="50" spans="1:18">
      <c r="A50" s="15" t="s">
        <v>609</v>
      </c>
      <c r="B50" s="17" t="n">
        <v>3494</v>
      </c>
      <c r="C50" s="18">
        <f>(3160.0/B50*100)</f>
        <v/>
      </c>
      <c r="D50" s="19" t="n">
        <v>334</v>
      </c>
      <c r="E50" s="18" t="n">
        <v>83.92065298</v>
      </c>
      <c r="F50" s="20" t="n">
        <v>2.00430165</v>
      </c>
      <c r="G50" s="18" t="n">
        <v>11.30927855</v>
      </c>
      <c r="H50" s="20" t="n">
        <v>1.920589</v>
      </c>
      <c r="I50" s="18" t="n">
        <v>0</v>
      </c>
      <c r="J50" s="20" t="n">
        <v>0</v>
      </c>
      <c r="K50" s="18" t="n">
        <v>0.41517951</v>
      </c>
      <c r="L50" s="20" t="n">
        <v>0.40353424</v>
      </c>
      <c r="M50" s="18" t="n">
        <v>0</v>
      </c>
      <c r="N50" s="20" t="n">
        <v>0</v>
      </c>
      <c r="O50" s="18" t="n">
        <v>0</v>
      </c>
      <c r="P50" s="20" t="n">
        <v>0</v>
      </c>
      <c r="Q50" s="18" t="n">
        <v>4.35488895</v>
      </c>
      <c r="R50" s="20" t="n">
        <v>1.32160473</v>
      </c>
    </row>
    <row r="51" spans="1:18">
      <c r="A51" s="15" t="s">
        <v>610</v>
      </c>
      <c r="B51" s="17" t="n">
        <v>3013</v>
      </c>
      <c r="C51" s="18">
        <f>(2651.0/B51*100)</f>
        <v/>
      </c>
      <c r="D51" s="19" t="n">
        <v>362</v>
      </c>
      <c r="E51" s="18" t="n">
        <v>67.58157661</v>
      </c>
      <c r="F51" s="20" t="n">
        <v>2.70458043</v>
      </c>
      <c r="G51" s="18" t="n">
        <v>29.09126364</v>
      </c>
      <c r="H51" s="20" t="n">
        <v>2.47319615</v>
      </c>
      <c r="I51" s="18" t="n">
        <v>0</v>
      </c>
      <c r="J51" s="20" t="n">
        <v>0</v>
      </c>
      <c r="K51" s="18" t="n">
        <v>0</v>
      </c>
      <c r="L51" s="20" t="n">
        <v>0</v>
      </c>
      <c r="M51" s="18" t="n">
        <v>0</v>
      </c>
      <c r="N51" s="20" t="n">
        <v>0</v>
      </c>
      <c r="O51" s="18" t="n">
        <v>0</v>
      </c>
      <c r="P51" s="20" t="n">
        <v>0</v>
      </c>
      <c r="Q51" s="18" t="n">
        <v>3.32715975</v>
      </c>
      <c r="R51" s="20" t="n">
        <v>1.08372567</v>
      </c>
    </row>
    <row r="52" spans="1:18">
      <c r="A52" s="15" t="s">
        <v>611</v>
      </c>
      <c r="B52" s="17" t="n">
        <v>2760</v>
      </c>
      <c r="C52" s="18">
        <f>(2464.0/B52*100)</f>
        <v/>
      </c>
      <c r="D52" s="19" t="n">
        <v>296</v>
      </c>
      <c r="E52" s="18" t="n">
        <v>71.04719377000001</v>
      </c>
      <c r="F52" s="20" t="n">
        <v>2.6987127</v>
      </c>
      <c r="G52" s="18" t="n">
        <v>25.65133734</v>
      </c>
      <c r="H52" s="20" t="n">
        <v>2.62742061</v>
      </c>
      <c r="I52" s="18" t="n">
        <v>0</v>
      </c>
      <c r="J52" s="20" t="n">
        <v>0</v>
      </c>
      <c r="K52" s="18" t="n">
        <v>0</v>
      </c>
      <c r="L52" s="20" t="n">
        <v>0</v>
      </c>
      <c r="M52" s="18" t="n">
        <v>0</v>
      </c>
      <c r="N52" s="20" t="n">
        <v>0</v>
      </c>
      <c r="O52" s="18" t="n">
        <v>0</v>
      </c>
      <c r="P52" s="20" t="n">
        <v>0</v>
      </c>
      <c r="Q52" s="18" t="n">
        <v>3.3014689</v>
      </c>
      <c r="R52" s="20" t="n">
        <v>1.05883356</v>
      </c>
    </row>
    <row r="53" spans="1:18">
      <c r="A53" s="15" t="s">
        <v>612</v>
      </c>
      <c r="B53" s="17" t="n">
        <v>2474</v>
      </c>
      <c r="C53" s="18">
        <f>(2236.0/B53*100)</f>
        <v/>
      </c>
      <c r="D53" s="19" t="n">
        <v>238</v>
      </c>
      <c r="E53" s="18" t="n">
        <v>63.60815612</v>
      </c>
      <c r="F53" s="20" t="n">
        <v>2.98130604</v>
      </c>
      <c r="G53" s="18" t="n">
        <v>2.17729937</v>
      </c>
      <c r="H53" s="20" t="n">
        <v>0.98865603</v>
      </c>
      <c r="I53" s="18" t="n">
        <v>0</v>
      </c>
      <c r="J53" s="20" t="n">
        <v>0</v>
      </c>
      <c r="K53" s="18" t="n">
        <v>16.9747879</v>
      </c>
      <c r="L53" s="20" t="n">
        <v>2.59452158</v>
      </c>
      <c r="M53" s="18" t="n">
        <v>0</v>
      </c>
      <c r="N53" s="20" t="n">
        <v>0</v>
      </c>
      <c r="O53" s="18" t="n">
        <v>0</v>
      </c>
      <c r="P53" s="20" t="n">
        <v>0</v>
      </c>
      <c r="Q53" s="18" t="n">
        <v>17.23975661</v>
      </c>
      <c r="R53" s="20" t="n">
        <v>2.49266929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(2373.0/B55*100)</f>
        <v/>
      </c>
      <c r="D55" s="19" t="n">
        <v>302</v>
      </c>
      <c r="E55" s="18" t="n">
        <v>59.61841329</v>
      </c>
      <c r="F55" s="20" t="n">
        <v>2.84382876</v>
      </c>
      <c r="G55" s="18" t="n">
        <v>38.93793378</v>
      </c>
      <c r="H55" s="20" t="n">
        <v>2.83926191</v>
      </c>
      <c r="I55" s="18" t="n">
        <v>0</v>
      </c>
      <c r="J55" s="20" t="n">
        <v>0</v>
      </c>
      <c r="K55" s="18" t="n">
        <v>0.29512309</v>
      </c>
      <c r="L55" s="20" t="n">
        <v>0.3038083</v>
      </c>
      <c r="M55" s="18" t="n">
        <v>0</v>
      </c>
      <c r="N55" s="20" t="n">
        <v>0</v>
      </c>
      <c r="O55" s="18" t="n">
        <v>0</v>
      </c>
      <c r="P55" s="20" t="n">
        <v>0</v>
      </c>
      <c r="Q55" s="18" t="n">
        <v>1.14852985</v>
      </c>
      <c r="R55" s="20" t="n">
        <v>0.50117764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(2832.0/B61*100)</f>
        <v/>
      </c>
      <c r="D61" s="19" t="n">
        <v>369</v>
      </c>
      <c r="E61" s="18" t="n">
        <v>59.444358</v>
      </c>
      <c r="F61" s="20" t="n">
        <v>2.96795216</v>
      </c>
      <c r="G61" s="18" t="n">
        <v>38.13568155</v>
      </c>
      <c r="H61" s="20" t="n">
        <v>2.90683728</v>
      </c>
      <c r="I61" s="18" t="n">
        <v>0</v>
      </c>
      <c r="J61" s="20" t="n">
        <v>0</v>
      </c>
      <c r="K61" s="18" t="n">
        <v>0</v>
      </c>
      <c r="L61" s="20" t="n">
        <v>0</v>
      </c>
      <c r="M61" s="18" t="n">
        <v>0</v>
      </c>
      <c r="N61" s="20" t="n">
        <v>0</v>
      </c>
      <c r="O61" s="18" t="n">
        <v>0</v>
      </c>
      <c r="P61" s="20" t="n">
        <v>0</v>
      </c>
      <c r="Q61" s="18" t="n">
        <v>2.41996045</v>
      </c>
      <c r="R61" s="20" t="n">
        <v>0.90707907</v>
      </c>
    </row>
    <row r="62" spans="1:18">
      <c r="A62" s="15" t="s">
        <v>622</v>
      </c>
      <c r="B62" s="17" t="n">
        <v>2230</v>
      </c>
      <c r="C62" s="18">
        <f>(1988.0/B62*100)</f>
        <v/>
      </c>
      <c r="D62" s="19" t="n">
        <v>242</v>
      </c>
      <c r="E62" s="18" t="n">
        <v>54.98459588</v>
      </c>
      <c r="F62" s="20" t="n">
        <v>2.7507253</v>
      </c>
      <c r="G62" s="18" t="n">
        <v>43.78256518</v>
      </c>
      <c r="H62" s="20" t="n">
        <v>2.78960075</v>
      </c>
      <c r="I62" s="18" t="n">
        <v>0</v>
      </c>
      <c r="J62" s="20" t="n">
        <v>0</v>
      </c>
      <c r="K62" s="18" t="n">
        <v>0</v>
      </c>
      <c r="L62" s="20" t="n">
        <v>0</v>
      </c>
      <c r="M62" s="18" t="n">
        <v>0</v>
      </c>
      <c r="N62" s="20" t="n">
        <v>0</v>
      </c>
      <c r="O62" s="18" t="n">
        <v>0</v>
      </c>
      <c r="P62" s="20" t="n">
        <v>0</v>
      </c>
      <c r="Q62" s="18" t="n">
        <v>1.23283893</v>
      </c>
      <c r="R62" s="20" t="n">
        <v>0.72320103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(2451.0/B67*100)</f>
        <v/>
      </c>
      <c r="D67" s="19" t="n">
        <v>320</v>
      </c>
      <c r="E67" s="18" t="n">
        <v>74.9875981</v>
      </c>
      <c r="F67" s="20" t="n">
        <v>2.59288489</v>
      </c>
      <c r="G67" s="18" t="n">
        <v>17.69396272</v>
      </c>
      <c r="H67" s="20" t="n">
        <v>2.2126536</v>
      </c>
      <c r="I67" s="18" t="n">
        <v>0</v>
      </c>
      <c r="J67" s="20" t="n">
        <v>0</v>
      </c>
      <c r="K67" s="18" t="n">
        <v>0.69546728</v>
      </c>
      <c r="L67" s="20" t="n">
        <v>0.68817921</v>
      </c>
      <c r="M67" s="18" t="n">
        <v>0</v>
      </c>
      <c r="N67" s="20" t="n">
        <v>0</v>
      </c>
      <c r="O67" s="18" t="n">
        <v>0</v>
      </c>
      <c r="P67" s="20" t="n">
        <v>0</v>
      </c>
      <c r="Q67" s="18" t="n">
        <v>6.6229719</v>
      </c>
      <c r="R67" s="20" t="n">
        <v>1.59558695</v>
      </c>
    </row>
    <row r="68" spans="1:18">
      <c r="A68" s="15" t="s">
        <v>628</v>
      </c>
      <c r="B68" s="17" t="n">
        <v>3460</v>
      </c>
      <c r="C68" s="18">
        <f>(3121.0/B68*100)</f>
        <v/>
      </c>
      <c r="D68" s="19" t="n">
        <v>339</v>
      </c>
      <c r="E68" s="18" t="n">
        <v>87.9276131</v>
      </c>
      <c r="F68" s="20" t="n">
        <v>1.66607953</v>
      </c>
      <c r="G68" s="18" t="n">
        <v>6.23727551</v>
      </c>
      <c r="H68" s="20" t="n">
        <v>1.4322471</v>
      </c>
      <c r="I68" s="18" t="n">
        <v>0</v>
      </c>
      <c r="J68" s="20" t="n">
        <v>0</v>
      </c>
      <c r="K68" s="18" t="n">
        <v>0.23559715</v>
      </c>
      <c r="L68" s="20" t="n">
        <v>0.24249001</v>
      </c>
      <c r="M68" s="18" t="n">
        <v>0</v>
      </c>
      <c r="N68" s="20" t="n">
        <v>0</v>
      </c>
      <c r="O68" s="18" t="n">
        <v>0</v>
      </c>
      <c r="P68" s="20" t="n">
        <v>0</v>
      </c>
      <c r="Q68" s="18" t="n">
        <v>5.59951423</v>
      </c>
      <c r="R68" s="20" t="n">
        <v>1.16858328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(5403.0/B70*100)</f>
        <v/>
      </c>
      <c r="D70" s="19" t="n">
        <v>631</v>
      </c>
      <c r="E70" s="18" t="n">
        <v>73.14161314</v>
      </c>
      <c r="F70" s="20" t="n">
        <v>1.64664362</v>
      </c>
      <c r="G70" s="18" t="n">
        <v>21.57820498</v>
      </c>
      <c r="H70" s="20" t="n">
        <v>1.57490195</v>
      </c>
      <c r="I70" s="18" t="n">
        <v>0</v>
      </c>
      <c r="J70" s="20" t="n">
        <v>0</v>
      </c>
      <c r="K70" s="18" t="n">
        <v>1.88879269</v>
      </c>
      <c r="L70" s="20" t="n">
        <v>0.5851439000000001</v>
      </c>
      <c r="M70" s="18" t="n">
        <v>0</v>
      </c>
      <c r="N70" s="20" t="n">
        <v>0</v>
      </c>
      <c r="O70" s="18" t="n">
        <v>0</v>
      </c>
      <c r="P70" s="20" t="n">
        <v>0</v>
      </c>
      <c r="Q70" s="18" t="n">
        <v>3.39138919</v>
      </c>
      <c r="R70" s="20" t="n">
        <v>0.71865929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(2737.0/B72*100)</f>
        <v/>
      </c>
      <c r="D72" s="19" t="n">
        <v>370</v>
      </c>
      <c r="E72" s="18" t="n">
        <v>61.80579907</v>
      </c>
      <c r="F72" s="20" t="n">
        <v>3.46113485</v>
      </c>
      <c r="G72" s="18" t="n">
        <v>34.76238306</v>
      </c>
      <c r="H72" s="20" t="n">
        <v>3.58368826</v>
      </c>
      <c r="I72" s="18" t="n">
        <v>0</v>
      </c>
      <c r="J72" s="20" t="n">
        <v>0</v>
      </c>
      <c r="K72" s="18" t="n">
        <v>0.71434851</v>
      </c>
      <c r="L72" s="20" t="n">
        <v>0.49388455</v>
      </c>
      <c r="M72" s="18" t="n">
        <v>0</v>
      </c>
      <c r="N72" s="20" t="n">
        <v>0</v>
      </c>
      <c r="O72" s="18" t="n">
        <v>0</v>
      </c>
      <c r="P72" s="20" t="n">
        <v>0</v>
      </c>
      <c r="Q72" s="18" t="n">
        <v>2.71746936</v>
      </c>
      <c r="R72" s="20" t="n">
        <v>0.79929371</v>
      </c>
    </row>
    <row r="73" spans="1:18">
      <c r="A73" s="15" t="s">
        <v>633</v>
      </c>
      <c r="B73" s="17" t="n">
        <v>2973</v>
      </c>
      <c r="C73" s="18">
        <f>(2655.0/B73*100)</f>
        <v/>
      </c>
      <c r="D73" s="19" t="n">
        <v>318</v>
      </c>
      <c r="E73" s="18" t="n">
        <v>41.61791006</v>
      </c>
      <c r="F73" s="20" t="n">
        <v>2.83245355</v>
      </c>
      <c r="G73" s="18" t="n">
        <v>57.73243173</v>
      </c>
      <c r="H73" s="20" t="n">
        <v>2.84935969</v>
      </c>
      <c r="I73" s="18" t="n">
        <v>0</v>
      </c>
      <c r="J73" s="20" t="n">
        <v>0</v>
      </c>
      <c r="K73" s="18" t="n">
        <v>0.64965821</v>
      </c>
      <c r="L73" s="20" t="n">
        <v>0.46437156</v>
      </c>
      <c r="M73" s="18" t="n">
        <v>0</v>
      </c>
      <c r="N73" s="20" t="n">
        <v>0</v>
      </c>
      <c r="O73" s="18" t="n">
        <v>0</v>
      </c>
      <c r="P73" s="20" t="n">
        <v>0</v>
      </c>
      <c r="Q73" s="18" t="n">
        <v>0</v>
      </c>
      <c r="R73" s="20" t="n">
        <v>0</v>
      </c>
    </row>
    <row r="74" spans="1:18">
      <c r="A74" s="15" t="s">
        <v>634</v>
      </c>
      <c r="B74" s="17" t="n">
        <v>3819</v>
      </c>
      <c r="C74" s="18">
        <f>(3405.0/B74*100)</f>
        <v/>
      </c>
      <c r="D74" s="19" t="n">
        <v>414</v>
      </c>
      <c r="E74" s="18" t="n">
        <v>50.53262654</v>
      </c>
      <c r="F74" s="20" t="n">
        <v>2.69732352</v>
      </c>
      <c r="G74" s="18" t="n">
        <v>47.63111851</v>
      </c>
      <c r="H74" s="20" t="n">
        <v>2.70009164</v>
      </c>
      <c r="I74" s="18" t="n">
        <v>0</v>
      </c>
      <c r="J74" s="20" t="n">
        <v>0</v>
      </c>
      <c r="K74" s="18" t="n">
        <v>0</v>
      </c>
      <c r="L74" s="20" t="n">
        <v>0</v>
      </c>
      <c r="M74" s="18" t="n">
        <v>0</v>
      </c>
      <c r="N74" s="20" t="n">
        <v>0</v>
      </c>
      <c r="O74" s="18" t="n">
        <v>0</v>
      </c>
      <c r="P74" s="20" t="n">
        <v>0</v>
      </c>
      <c r="Q74" s="18" t="n">
        <v>1.83625495</v>
      </c>
      <c r="R74" s="20" t="n">
        <v>0.65224234</v>
      </c>
    </row>
    <row r="75" spans="1:18">
      <c r="A75" s="15" t="s">
        <v>635</v>
      </c>
      <c r="B75" s="17" t="n">
        <v>4652</v>
      </c>
      <c r="C75" s="18">
        <f>(4133.0/B75*100)</f>
        <v/>
      </c>
      <c r="D75" s="19" t="n">
        <v>519</v>
      </c>
      <c r="E75" s="18" t="n">
        <v>80.26599838</v>
      </c>
      <c r="F75" s="20" t="n">
        <v>2.32776718</v>
      </c>
      <c r="G75" s="18" t="n">
        <v>16.7402256</v>
      </c>
      <c r="H75" s="20" t="n">
        <v>2.10231794</v>
      </c>
      <c r="I75" s="18" t="n">
        <v>0</v>
      </c>
      <c r="J75" s="20" t="n">
        <v>0</v>
      </c>
      <c r="K75" s="18" t="n">
        <v>0</v>
      </c>
      <c r="L75" s="20" t="n">
        <v>0</v>
      </c>
      <c r="M75" s="18" t="n">
        <v>0</v>
      </c>
      <c r="N75" s="20" t="n">
        <v>0</v>
      </c>
      <c r="O75" s="18" t="n">
        <v>0</v>
      </c>
      <c r="P75" s="20" t="n">
        <v>0</v>
      </c>
      <c r="Q75" s="18" t="n">
        <v>2.99377602</v>
      </c>
      <c r="R75" s="20" t="n">
        <v>0.89490148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(2673.0/B77*100)</f>
        <v/>
      </c>
      <c r="D77" s="19" t="n">
        <v>296</v>
      </c>
      <c r="E77" s="18" t="n">
        <v>77.83028027</v>
      </c>
      <c r="F77" s="20" t="n">
        <v>2.90140771</v>
      </c>
      <c r="G77" s="18" t="n">
        <v>11.91767333</v>
      </c>
      <c r="H77" s="20" t="n">
        <v>2.09106835</v>
      </c>
      <c r="I77" s="18" t="n">
        <v>0</v>
      </c>
      <c r="J77" s="20" t="n">
        <v>0</v>
      </c>
      <c r="K77" s="18" t="n">
        <v>4.42382022</v>
      </c>
      <c r="L77" s="20" t="n">
        <v>1.33726076</v>
      </c>
      <c r="M77" s="18" t="n">
        <v>0</v>
      </c>
      <c r="N77" s="20" t="n">
        <v>0</v>
      </c>
      <c r="O77" s="18" t="n">
        <v>0</v>
      </c>
      <c r="P77" s="20" t="n">
        <v>0</v>
      </c>
      <c r="Q77" s="18" t="n">
        <v>5.82822618</v>
      </c>
      <c r="R77" s="20" t="n">
        <v>1.45647066</v>
      </c>
    </row>
    <row r="78" spans="1:18">
      <c r="A78" s="15" t="s">
        <v>638</v>
      </c>
      <c r="B78" s="17" t="n">
        <v>7115</v>
      </c>
      <c r="C78" s="18">
        <f>(6320.0/B78*100)</f>
        <v/>
      </c>
      <c r="D78" s="19" t="n">
        <v>795</v>
      </c>
      <c r="E78" s="18" t="n">
        <v>67.54848791000001</v>
      </c>
      <c r="F78" s="20" t="n">
        <v>2.08597522</v>
      </c>
      <c r="G78" s="18" t="n">
        <v>30.30289137</v>
      </c>
      <c r="H78" s="20" t="n">
        <v>2.04505185</v>
      </c>
      <c r="I78" s="18" t="n">
        <v>0</v>
      </c>
      <c r="J78" s="20" t="n">
        <v>0</v>
      </c>
      <c r="K78" s="18" t="n">
        <v>0.38192699</v>
      </c>
      <c r="L78" s="20" t="n">
        <v>0.19619287</v>
      </c>
      <c r="M78" s="18" t="n">
        <v>0</v>
      </c>
      <c r="N78" s="20" t="n">
        <v>0</v>
      </c>
      <c r="O78" s="18" t="n">
        <v>0</v>
      </c>
      <c r="P78" s="20" t="n">
        <v>0</v>
      </c>
      <c r="Q78" s="18" t="n">
        <v>1.76669374</v>
      </c>
      <c r="R78" s="20" t="n">
        <v>0.60893467</v>
      </c>
    </row>
    <row r="79" spans="1:18">
      <c r="A79" s="15" t="s">
        <v>639</v>
      </c>
      <c r="B79" s="17" t="n">
        <v>3154</v>
      </c>
      <c r="C79" s="18">
        <f>(2853.0/B79*100)</f>
        <v/>
      </c>
      <c r="D79" s="19" t="n">
        <v>301</v>
      </c>
      <c r="E79" s="18" t="n">
        <v>70.17755708</v>
      </c>
      <c r="F79" s="20" t="n">
        <v>2.56115424</v>
      </c>
      <c r="G79" s="18" t="n">
        <v>21.09961927</v>
      </c>
      <c r="H79" s="20" t="n">
        <v>2.43572474</v>
      </c>
      <c r="I79" s="18" t="n">
        <v>0</v>
      </c>
      <c r="J79" s="20" t="n">
        <v>0</v>
      </c>
      <c r="K79" s="18" t="n">
        <v>2.0095351</v>
      </c>
      <c r="L79" s="20" t="n">
        <v>0.97600561</v>
      </c>
      <c r="M79" s="18" t="n">
        <v>0</v>
      </c>
      <c r="N79" s="20" t="n">
        <v>0</v>
      </c>
      <c r="O79" s="18" t="n">
        <v>0</v>
      </c>
      <c r="P79" s="20" t="n">
        <v>0</v>
      </c>
      <c r="Q79" s="18" t="n">
        <v>6.71328855</v>
      </c>
      <c r="R79" s="20" t="n">
        <v>1.66396527</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(14249.0/B82*100)</f>
        <v/>
      </c>
      <c r="D82" s="19" t="n">
        <v>1712</v>
      </c>
      <c r="E82" s="18" t="n">
        <v>69.17204567</v>
      </c>
      <c r="F82" s="20" t="n">
        <v>1.57923189</v>
      </c>
      <c r="G82" s="18" t="n">
        <v>26.99712518</v>
      </c>
      <c r="H82" s="20" t="n">
        <v>1.56784501</v>
      </c>
      <c r="I82" s="18" t="n">
        <v>0</v>
      </c>
      <c r="J82" s="20" t="n">
        <v>0</v>
      </c>
      <c r="K82" s="18" t="n">
        <v>0.40829965</v>
      </c>
      <c r="L82" s="20" t="n">
        <v>0.19099798</v>
      </c>
      <c r="M82" s="18" t="n">
        <v>0</v>
      </c>
      <c r="N82" s="20" t="n">
        <v>0</v>
      </c>
      <c r="O82" s="18" t="n">
        <v>0</v>
      </c>
      <c r="P82" s="20" t="n">
        <v>0</v>
      </c>
      <c r="Q82" s="18" t="n">
        <v>3.4225295</v>
      </c>
      <c r="R82" s="20" t="n">
        <v>0.87878363</v>
      </c>
    </row>
    <row r="83" spans="1:18">
      <c r="A83" s="15" t="s">
        <v>643</v>
      </c>
      <c r="B83" s="17" t="n">
        <v>808</v>
      </c>
      <c r="C83" s="18">
        <f>(723.0/B83*100)</f>
        <v/>
      </c>
      <c r="D83" s="19" t="n">
        <v>85</v>
      </c>
      <c r="E83" s="18" t="n">
        <v>49.97661268</v>
      </c>
      <c r="F83" s="20" t="n">
        <v>4.44466624</v>
      </c>
      <c r="G83" s="18" t="n">
        <v>48.99586558</v>
      </c>
      <c r="H83" s="20" t="n">
        <v>4.64846917</v>
      </c>
      <c r="I83" s="18" t="n">
        <v>0</v>
      </c>
      <c r="J83" s="20" t="n">
        <v>0</v>
      </c>
      <c r="K83" s="18" t="n">
        <v>0</v>
      </c>
      <c r="L83" s="20" t="n">
        <v>0</v>
      </c>
      <c r="M83" s="18" t="n">
        <v>0</v>
      </c>
      <c r="N83" s="20" t="n">
        <v>0</v>
      </c>
      <c r="O83" s="18" t="n">
        <v>0</v>
      </c>
      <c r="P83" s="20" t="n">
        <v>0</v>
      </c>
      <c r="Q83" s="18" t="n">
        <v>1.02752174</v>
      </c>
      <c r="R83" s="20" t="n">
        <v>0.9670851499999999</v>
      </c>
    </row>
    <row r="84" spans="1:18">
      <c r="A84" s="23" t="s">
        <v>644</v>
      </c>
      <c r="B84" s="24" t="n">
        <v>938</v>
      </c>
      <c r="C84" s="25">
        <f>(837.0/B84*100)</f>
        <v/>
      </c>
      <c r="D84" s="19" t="n">
        <v>101</v>
      </c>
      <c r="E84" s="18" t="n">
        <v>65.39897141</v>
      </c>
      <c r="F84" s="20" t="n">
        <v>4.22124209</v>
      </c>
      <c r="G84" s="18" t="n">
        <v>33.20358959</v>
      </c>
      <c r="H84" s="20" t="n">
        <v>4.34255741</v>
      </c>
      <c r="I84" s="18" t="n">
        <v>0</v>
      </c>
      <c r="J84" s="20" t="n">
        <v>0</v>
      </c>
      <c r="K84" s="18" t="n">
        <v>0</v>
      </c>
      <c r="L84" s="20" t="n">
        <v>0</v>
      </c>
      <c r="M84" s="18" t="n">
        <v>0</v>
      </c>
      <c r="N84" s="20" t="n">
        <v>0</v>
      </c>
      <c r="O84" s="18" t="n">
        <v>0</v>
      </c>
      <c r="P84" s="20" t="n">
        <v>0</v>
      </c>
      <c r="Q84" s="18" t="n">
        <v>1.39743899</v>
      </c>
      <c r="R84" s="20" t="n">
        <v>1.42410976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(6390.0/B7*100)</f>
        <v/>
      </c>
      <c r="D7" s="19" t="n">
        <v>773</v>
      </c>
      <c r="E7" s="18" t="n">
        <v>54.21142705</v>
      </c>
      <c r="F7" s="20" t="n">
        <v>2.08729525</v>
      </c>
      <c r="G7" s="18" t="n">
        <v>44.74755885</v>
      </c>
      <c r="H7" s="20" t="n">
        <v>2.12484614</v>
      </c>
      <c r="I7" s="18" t="n">
        <v>0</v>
      </c>
      <c r="J7" s="20" t="n">
        <v>0</v>
      </c>
      <c r="K7" s="18" t="n">
        <v>0.67531515</v>
      </c>
      <c r="L7" s="20" t="n">
        <v>0.31237902</v>
      </c>
      <c r="M7" s="18" t="n">
        <v>0</v>
      </c>
      <c r="N7" s="20" t="n">
        <v>0</v>
      </c>
      <c r="O7" s="18" t="n">
        <v>0</v>
      </c>
      <c r="P7" s="20" t="n">
        <v>0</v>
      </c>
      <c r="Q7" s="18" t="n">
        <v>0.36569895</v>
      </c>
      <c r="R7" s="20" t="n">
        <v>0.19305205</v>
      </c>
    </row>
    <row r="8" spans="1:18">
      <c r="A8" s="15" t="s">
        <v>566</v>
      </c>
      <c r="B8" s="17" t="n">
        <v>3443</v>
      </c>
      <c r="C8" s="18">
        <f>(3059.0/B8*100)</f>
        <v/>
      </c>
      <c r="D8" s="19" t="n">
        <v>384</v>
      </c>
      <c r="E8" s="18" t="n">
        <v>53.06380396</v>
      </c>
      <c r="F8" s="20" t="n">
        <v>2.95511274</v>
      </c>
      <c r="G8" s="18" t="n">
        <v>46.25295674</v>
      </c>
      <c r="H8" s="20" t="n">
        <v>2.97290324</v>
      </c>
      <c r="I8" s="18" t="n">
        <v>0</v>
      </c>
      <c r="J8" s="20" t="n">
        <v>0</v>
      </c>
      <c r="K8" s="18" t="n">
        <v>0.29560369</v>
      </c>
      <c r="L8" s="20" t="n">
        <v>0.3337513</v>
      </c>
      <c r="M8" s="18" t="n">
        <v>0</v>
      </c>
      <c r="N8" s="20" t="n">
        <v>0</v>
      </c>
      <c r="O8" s="18" t="n">
        <v>0</v>
      </c>
      <c r="P8" s="20" t="n">
        <v>0</v>
      </c>
      <c r="Q8" s="18" t="n">
        <v>0.38763561</v>
      </c>
      <c r="R8" s="20" t="n">
        <v>0.34575847</v>
      </c>
    </row>
    <row r="9" spans="1:18">
      <c r="A9" s="15" t="s">
        <v>567</v>
      </c>
      <c r="B9" s="17" t="n">
        <v>4752</v>
      </c>
      <c r="C9" s="18">
        <f>(4255.0/B9*100)</f>
        <v/>
      </c>
      <c r="D9" s="19" t="n">
        <v>497</v>
      </c>
      <c r="E9" s="18" t="n">
        <v>65.54375707</v>
      </c>
      <c r="F9" s="20" t="n">
        <v>2.19538032</v>
      </c>
      <c r="G9" s="18" t="n">
        <v>33.66411111</v>
      </c>
      <c r="H9" s="20" t="n">
        <v>2.15371416</v>
      </c>
      <c r="I9" s="18" t="n">
        <v>0</v>
      </c>
      <c r="J9" s="20" t="n">
        <v>0</v>
      </c>
      <c r="K9" s="18" t="n">
        <v>0.38673466</v>
      </c>
      <c r="L9" s="20" t="n">
        <v>0.32017976</v>
      </c>
      <c r="M9" s="18" t="n">
        <v>0</v>
      </c>
      <c r="N9" s="20" t="n">
        <v>0</v>
      </c>
      <c r="O9" s="18" t="n">
        <v>0</v>
      </c>
      <c r="P9" s="20" t="n">
        <v>0</v>
      </c>
      <c r="Q9" s="18" t="n">
        <v>0.40539717</v>
      </c>
      <c r="R9" s="20" t="n">
        <v>0.26216887</v>
      </c>
    </row>
    <row r="10" spans="1:18">
      <c r="A10" s="15" t="s">
        <v>568</v>
      </c>
      <c r="B10" s="17" t="n">
        <v>10022</v>
      </c>
      <c r="C10" s="18">
        <f>(8893.0/B10*100)</f>
        <v/>
      </c>
      <c r="D10" s="19" t="n">
        <v>1129</v>
      </c>
      <c r="E10" s="18" t="n">
        <v>50.55221222</v>
      </c>
      <c r="F10" s="20" t="n">
        <v>2.15041397</v>
      </c>
      <c r="G10" s="18" t="n">
        <v>48.03984045</v>
      </c>
      <c r="H10" s="20" t="n">
        <v>2.20408664</v>
      </c>
      <c r="I10" s="18" t="n">
        <v>0</v>
      </c>
      <c r="J10" s="20" t="n">
        <v>0</v>
      </c>
      <c r="K10" s="18" t="n">
        <v>0.832852</v>
      </c>
      <c r="L10" s="20" t="n">
        <v>0.55404349</v>
      </c>
      <c r="M10" s="18" t="n">
        <v>0</v>
      </c>
      <c r="N10" s="20" t="n">
        <v>0</v>
      </c>
      <c r="O10" s="18" t="n">
        <v>0</v>
      </c>
      <c r="P10" s="20" t="n">
        <v>0</v>
      </c>
      <c r="Q10" s="18" t="n">
        <v>0.57509533</v>
      </c>
      <c r="R10" s="20" t="n">
        <v>0.26141189</v>
      </c>
    </row>
    <row r="11" spans="1:18">
      <c r="A11" s="15" t="s">
        <v>569</v>
      </c>
      <c r="B11" s="17" t="n">
        <v>3500</v>
      </c>
      <c r="C11" s="18">
        <f>(3147.0/B11*100)</f>
        <v/>
      </c>
      <c r="D11" s="19" t="n">
        <v>353</v>
      </c>
      <c r="E11" s="18" t="n">
        <v>74.45563141</v>
      </c>
      <c r="F11" s="20" t="n">
        <v>2.66116618</v>
      </c>
      <c r="G11" s="18" t="n">
        <v>23.33730459</v>
      </c>
      <c r="H11" s="20" t="n">
        <v>2.41366186</v>
      </c>
      <c r="I11" s="18" t="n">
        <v>0</v>
      </c>
      <c r="J11" s="20" t="n">
        <v>0</v>
      </c>
      <c r="K11" s="18" t="n">
        <v>1.49943557</v>
      </c>
      <c r="L11" s="20" t="n">
        <v>0.69392494</v>
      </c>
      <c r="M11" s="18" t="n">
        <v>0</v>
      </c>
      <c r="N11" s="20" t="n">
        <v>0</v>
      </c>
      <c r="O11" s="18" t="n">
        <v>0</v>
      </c>
      <c r="P11" s="20" t="n">
        <v>0</v>
      </c>
      <c r="Q11" s="18" t="n">
        <v>0.70762843</v>
      </c>
      <c r="R11" s="20" t="n">
        <v>0.51173597</v>
      </c>
    </row>
    <row r="12" spans="1:18">
      <c r="A12" s="15" t="s">
        <v>570</v>
      </c>
      <c r="B12" s="17" t="n">
        <v>3422</v>
      </c>
      <c r="C12" s="18">
        <f>(3061.0/B12*100)</f>
        <v/>
      </c>
      <c r="D12" s="19" t="n">
        <v>361</v>
      </c>
      <c r="E12" s="18" t="n">
        <v>61.32399983</v>
      </c>
      <c r="F12" s="20" t="n">
        <v>3.61819862</v>
      </c>
      <c r="G12" s="18" t="n">
        <v>38.40647101</v>
      </c>
      <c r="H12" s="20" t="n">
        <v>3.58103684</v>
      </c>
      <c r="I12" s="18" t="n">
        <v>0</v>
      </c>
      <c r="J12" s="20" t="n">
        <v>0</v>
      </c>
      <c r="K12" s="18" t="n">
        <v>0.26952916</v>
      </c>
      <c r="L12" s="20" t="n">
        <v>0.26897451</v>
      </c>
      <c r="M12" s="18" t="n">
        <v>0</v>
      </c>
      <c r="N12" s="20" t="n">
        <v>0</v>
      </c>
      <c r="O12" s="18" t="n">
        <v>0</v>
      </c>
      <c r="P12" s="20" t="n">
        <v>0</v>
      </c>
      <c r="Q12" s="18" t="n">
        <v>0</v>
      </c>
      <c r="R12" s="20" t="n">
        <v>0</v>
      </c>
    </row>
    <row r="13" spans="1:18">
      <c r="A13" s="15" t="s">
        <v>571</v>
      </c>
      <c r="B13" s="17" t="n">
        <v>3602</v>
      </c>
      <c r="C13" s="18">
        <f>(3200.0/B13*100)</f>
        <v/>
      </c>
      <c r="D13" s="19" t="n">
        <v>402</v>
      </c>
      <c r="E13" s="18" t="n">
        <v>61.9005321</v>
      </c>
      <c r="F13" s="20" t="n">
        <v>2.86167429</v>
      </c>
      <c r="G13" s="18" t="n">
        <v>36.9486465</v>
      </c>
      <c r="H13" s="20" t="n">
        <v>2.87130733</v>
      </c>
      <c r="I13" s="18" t="n">
        <v>0</v>
      </c>
      <c r="J13" s="20" t="n">
        <v>0</v>
      </c>
      <c r="K13" s="18" t="n">
        <v>0.2588885</v>
      </c>
      <c r="L13" s="20" t="n">
        <v>0.29517767</v>
      </c>
      <c r="M13" s="18" t="n">
        <v>0</v>
      </c>
      <c r="N13" s="20" t="n">
        <v>0</v>
      </c>
      <c r="O13" s="18" t="n">
        <v>0</v>
      </c>
      <c r="P13" s="20" t="n">
        <v>0</v>
      </c>
      <c r="Q13" s="18" t="n">
        <v>0.89193291</v>
      </c>
      <c r="R13" s="20" t="n">
        <v>0.49915468</v>
      </c>
    </row>
    <row r="14" spans="1:18">
      <c r="A14" s="15" t="s">
        <v>572</v>
      </c>
      <c r="B14" s="17" t="n">
        <v>2788</v>
      </c>
      <c r="C14" s="18">
        <f>(2475.0/B14*100)</f>
        <v/>
      </c>
      <c r="D14" s="19" t="n">
        <v>313</v>
      </c>
      <c r="E14" s="18" t="n">
        <v>53.47522331</v>
      </c>
      <c r="F14" s="20" t="n">
        <v>2.58787402</v>
      </c>
      <c r="G14" s="18" t="n">
        <v>45.45860367</v>
      </c>
      <c r="H14" s="20" t="n">
        <v>2.70712327</v>
      </c>
      <c r="I14" s="18" t="n">
        <v>0</v>
      </c>
      <c r="J14" s="20" t="n">
        <v>0</v>
      </c>
      <c r="K14" s="18" t="n">
        <v>0</v>
      </c>
      <c r="L14" s="20" t="n">
        <v>0</v>
      </c>
      <c r="M14" s="18" t="n">
        <v>0</v>
      </c>
      <c r="N14" s="20" t="n">
        <v>0</v>
      </c>
      <c r="O14" s="18" t="n">
        <v>0</v>
      </c>
      <c r="P14" s="20" t="n">
        <v>0</v>
      </c>
      <c r="Q14" s="18" t="n">
        <v>1.06617302</v>
      </c>
      <c r="R14" s="20" t="n">
        <v>0.8726612500000001</v>
      </c>
    </row>
    <row r="15" spans="1:18">
      <c r="A15" s="15" t="s">
        <v>573</v>
      </c>
      <c r="B15" s="17" t="n">
        <v>2863</v>
      </c>
      <c r="C15" s="18">
        <f>(2560.0/B15*100)</f>
        <v/>
      </c>
      <c r="D15" s="19" t="n">
        <v>303</v>
      </c>
      <c r="E15" s="18" t="n">
        <v>23.18338068</v>
      </c>
      <c r="F15" s="20" t="n">
        <v>2.15907581</v>
      </c>
      <c r="G15" s="18" t="n">
        <v>76.81661932</v>
      </c>
      <c r="H15" s="20" t="n">
        <v>2.15907581</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(2774.0/B16*100)</f>
        <v/>
      </c>
      <c r="D16" s="19" t="n">
        <v>337</v>
      </c>
      <c r="E16" s="18" t="n">
        <v>69.60672264</v>
      </c>
      <c r="F16" s="20" t="n">
        <v>2.60022978</v>
      </c>
      <c r="G16" s="18" t="n">
        <v>28.51112261</v>
      </c>
      <c r="H16" s="20" t="n">
        <v>2.49360364</v>
      </c>
      <c r="I16" s="18" t="n">
        <v>0</v>
      </c>
      <c r="J16" s="20" t="n">
        <v>0</v>
      </c>
      <c r="K16" s="18" t="n">
        <v>0.91920568</v>
      </c>
      <c r="L16" s="20" t="n">
        <v>0.54950541</v>
      </c>
      <c r="M16" s="18" t="n">
        <v>0</v>
      </c>
      <c r="N16" s="20" t="n">
        <v>0</v>
      </c>
      <c r="O16" s="18" t="n">
        <v>0</v>
      </c>
      <c r="P16" s="20" t="n">
        <v>0</v>
      </c>
      <c r="Q16" s="18" t="n">
        <v>0.96294907</v>
      </c>
      <c r="R16" s="20" t="n">
        <v>0.57151977</v>
      </c>
    </row>
    <row r="17" spans="1:18">
      <c r="A17" s="15" t="s">
        <v>575</v>
      </c>
      <c r="B17" s="17" t="n">
        <v>3197</v>
      </c>
      <c r="C17" s="18">
        <f>(2850.0/B17*100)</f>
        <v/>
      </c>
      <c r="D17" s="19" t="n">
        <v>347</v>
      </c>
      <c r="E17" s="18" t="n">
        <v>54.46258793</v>
      </c>
      <c r="F17" s="20" t="n">
        <v>2.93521832</v>
      </c>
      <c r="G17" s="18" t="n">
        <v>44.6532643</v>
      </c>
      <c r="H17" s="20" t="n">
        <v>2.89888875</v>
      </c>
      <c r="I17" s="18" t="n">
        <v>0</v>
      </c>
      <c r="J17" s="20" t="n">
        <v>0</v>
      </c>
      <c r="K17" s="18" t="n">
        <v>0.29316236</v>
      </c>
      <c r="L17" s="20" t="n">
        <v>0.28858675</v>
      </c>
      <c r="M17" s="18" t="n">
        <v>0</v>
      </c>
      <c r="N17" s="20" t="n">
        <v>0</v>
      </c>
      <c r="O17" s="18" t="n">
        <v>0</v>
      </c>
      <c r="P17" s="20" t="n">
        <v>0</v>
      </c>
      <c r="Q17" s="18" t="n">
        <v>0.59098541</v>
      </c>
      <c r="R17" s="20" t="n">
        <v>0.42186901</v>
      </c>
    </row>
    <row r="18" spans="1:18">
      <c r="A18" s="15" t="s">
        <v>576</v>
      </c>
      <c r="B18" s="17" t="n">
        <v>2706</v>
      </c>
      <c r="C18" s="18">
        <f>(2421.0/B18*100)</f>
        <v/>
      </c>
      <c r="D18" s="19" t="n">
        <v>285</v>
      </c>
      <c r="E18" s="18" t="n">
        <v>75.83900821</v>
      </c>
      <c r="F18" s="20" t="n">
        <v>2.56273039</v>
      </c>
      <c r="G18" s="18" t="n">
        <v>23.06210266</v>
      </c>
      <c r="H18" s="20" t="n">
        <v>2.53087457</v>
      </c>
      <c r="I18" s="18" t="n">
        <v>0</v>
      </c>
      <c r="J18" s="20" t="n">
        <v>0</v>
      </c>
      <c r="K18" s="18" t="n">
        <v>0.63394482</v>
      </c>
      <c r="L18" s="20" t="n">
        <v>0.44743628</v>
      </c>
      <c r="M18" s="18" t="n">
        <v>0</v>
      </c>
      <c r="N18" s="20" t="n">
        <v>0</v>
      </c>
      <c r="O18" s="18" t="n">
        <v>0</v>
      </c>
      <c r="P18" s="20" t="n">
        <v>0</v>
      </c>
      <c r="Q18" s="18" t="n">
        <v>0.46494431</v>
      </c>
      <c r="R18" s="20" t="n">
        <v>0.33476476</v>
      </c>
    </row>
    <row r="19" spans="1:18">
      <c r="A19" s="15" t="s">
        <v>577</v>
      </c>
      <c r="B19" s="17" t="n">
        <v>2850</v>
      </c>
      <c r="C19" s="18">
        <f>(2545.0/B19*100)</f>
        <v/>
      </c>
      <c r="D19" s="19" t="n">
        <v>305</v>
      </c>
      <c r="E19" s="18" t="n">
        <v>63.08891417</v>
      </c>
      <c r="F19" s="20" t="n">
        <v>3.34884526</v>
      </c>
      <c r="G19" s="18" t="n">
        <v>34.56400072</v>
      </c>
      <c r="H19" s="20" t="n">
        <v>3.34198161</v>
      </c>
      <c r="I19" s="18" t="n">
        <v>0</v>
      </c>
      <c r="J19" s="20" t="n">
        <v>0</v>
      </c>
      <c r="K19" s="18" t="n">
        <v>0</v>
      </c>
      <c r="L19" s="20" t="n">
        <v>0</v>
      </c>
      <c r="M19" s="18" t="n">
        <v>0</v>
      </c>
      <c r="N19" s="20" t="n">
        <v>0</v>
      </c>
      <c r="O19" s="18" t="n">
        <v>0</v>
      </c>
      <c r="P19" s="20" t="n">
        <v>0</v>
      </c>
      <c r="Q19" s="18" t="n">
        <v>2.34708511</v>
      </c>
      <c r="R19" s="20" t="n">
        <v>1.10415223</v>
      </c>
    </row>
    <row r="20" spans="1:18">
      <c r="A20" s="15" t="s">
        <v>578</v>
      </c>
      <c r="B20" s="17" t="n">
        <v>1741</v>
      </c>
      <c r="C20" s="18">
        <f>(1524.0/B20*100)</f>
        <v/>
      </c>
      <c r="D20" s="19" t="n">
        <v>217</v>
      </c>
      <c r="E20" s="18" t="n">
        <v>58.01132999</v>
      </c>
      <c r="F20" s="20" t="n">
        <v>3.54617377</v>
      </c>
      <c r="G20" s="18" t="n">
        <v>39.92820164</v>
      </c>
      <c r="H20" s="20" t="n">
        <v>3.32247392</v>
      </c>
      <c r="I20" s="18" t="n">
        <v>0</v>
      </c>
      <c r="J20" s="20" t="n">
        <v>0</v>
      </c>
      <c r="K20" s="18" t="n">
        <v>0</v>
      </c>
      <c r="L20" s="20" t="n">
        <v>0</v>
      </c>
      <c r="M20" s="18" t="n">
        <v>0</v>
      </c>
      <c r="N20" s="20" t="n">
        <v>0</v>
      </c>
      <c r="O20" s="18" t="n">
        <v>0</v>
      </c>
      <c r="P20" s="20" t="n">
        <v>0</v>
      </c>
      <c r="Q20" s="18" t="n">
        <v>2.06046837</v>
      </c>
      <c r="R20" s="20" t="n">
        <v>1.02037507</v>
      </c>
    </row>
    <row r="21" spans="1:18">
      <c r="A21" s="15" t="s">
        <v>579</v>
      </c>
      <c r="B21" s="17" t="n">
        <v>2833</v>
      </c>
      <c r="C21" s="18">
        <f>(2530.0/B21*100)</f>
        <v/>
      </c>
      <c r="D21" s="19" t="n">
        <v>303</v>
      </c>
      <c r="E21" s="18" t="n">
        <v>50.57633733</v>
      </c>
      <c r="F21" s="20" t="n">
        <v>2.56374842</v>
      </c>
      <c r="G21" s="18" t="n">
        <v>49.08778007</v>
      </c>
      <c r="H21" s="20" t="n">
        <v>2.55996868</v>
      </c>
      <c r="I21" s="18" t="n">
        <v>0</v>
      </c>
      <c r="J21" s="20" t="n">
        <v>0</v>
      </c>
      <c r="K21" s="18" t="n">
        <v>0.33588261</v>
      </c>
      <c r="L21" s="20" t="n">
        <v>0.33291403</v>
      </c>
      <c r="M21" s="18" t="n">
        <v>0</v>
      </c>
      <c r="N21" s="20" t="n">
        <v>0</v>
      </c>
      <c r="O21" s="18" t="n">
        <v>0</v>
      </c>
      <c r="P21" s="20" t="n">
        <v>0</v>
      </c>
      <c r="Q21" s="18" t="n">
        <v>0</v>
      </c>
      <c r="R21" s="20" t="n">
        <v>0</v>
      </c>
    </row>
    <row r="22" spans="1:18">
      <c r="A22" s="15" t="s">
        <v>580</v>
      </c>
      <c r="B22" s="17" t="n">
        <v>3667</v>
      </c>
      <c r="C22" s="18">
        <f>(3246.0/B22*100)</f>
        <v/>
      </c>
      <c r="D22" s="19" t="n">
        <v>421</v>
      </c>
      <c r="E22" s="18" t="n">
        <v>64.35055484999999</v>
      </c>
      <c r="F22" s="20" t="n">
        <v>2.50128644</v>
      </c>
      <c r="G22" s="18" t="n">
        <v>34.3208595</v>
      </c>
      <c r="H22" s="20" t="n">
        <v>2.46655024</v>
      </c>
      <c r="I22" s="18" t="n">
        <v>0</v>
      </c>
      <c r="J22" s="20" t="n">
        <v>0</v>
      </c>
      <c r="K22" s="18" t="n">
        <v>0.64408196</v>
      </c>
      <c r="L22" s="20" t="n">
        <v>0.38381871</v>
      </c>
      <c r="M22" s="18" t="n">
        <v>0</v>
      </c>
      <c r="N22" s="20" t="n">
        <v>0</v>
      </c>
      <c r="O22" s="18" t="n">
        <v>0</v>
      </c>
      <c r="P22" s="20" t="n">
        <v>0</v>
      </c>
      <c r="Q22" s="18" t="n">
        <v>0.68450369</v>
      </c>
      <c r="R22" s="20" t="n">
        <v>0.41198289</v>
      </c>
    </row>
    <row r="23" spans="1:18">
      <c r="A23" s="15" t="s">
        <v>581</v>
      </c>
      <c r="B23" s="17" t="n">
        <v>5792</v>
      </c>
      <c r="C23" s="18">
        <f>(5160.0/B23*100)</f>
        <v/>
      </c>
      <c r="D23" s="19" t="n">
        <v>632</v>
      </c>
      <c r="E23" s="18" t="n">
        <v>70.48532047</v>
      </c>
      <c r="F23" s="20" t="n">
        <v>2.62304145</v>
      </c>
      <c r="G23" s="18" t="n">
        <v>28.30037842</v>
      </c>
      <c r="H23" s="20" t="n">
        <v>2.57071586</v>
      </c>
      <c r="I23" s="18" t="n">
        <v>0</v>
      </c>
      <c r="J23" s="20" t="n">
        <v>0</v>
      </c>
      <c r="K23" s="18" t="n">
        <v>0.29507605</v>
      </c>
      <c r="L23" s="20" t="n">
        <v>0.27429819</v>
      </c>
      <c r="M23" s="18" t="n">
        <v>0</v>
      </c>
      <c r="N23" s="20" t="n">
        <v>0</v>
      </c>
      <c r="O23" s="18" t="n">
        <v>0</v>
      </c>
      <c r="P23" s="20" t="n">
        <v>0</v>
      </c>
      <c r="Q23" s="18" t="n">
        <v>0.91922506</v>
      </c>
      <c r="R23" s="20" t="n">
        <v>0.52507041</v>
      </c>
    </row>
    <row r="24" spans="1:18">
      <c r="A24" s="15" t="s">
        <v>582</v>
      </c>
      <c r="B24" s="17" t="n">
        <v>3309</v>
      </c>
      <c r="C24" s="18">
        <f>(2953.0/B24*100)</f>
        <v/>
      </c>
      <c r="D24" s="19" t="n">
        <v>356</v>
      </c>
      <c r="E24" s="18" t="n">
        <v>43.29625757</v>
      </c>
      <c r="F24" s="20" t="n">
        <v>2.92284439</v>
      </c>
      <c r="G24" s="18" t="n">
        <v>55.89283971</v>
      </c>
      <c r="H24" s="20" t="n">
        <v>2.89426866</v>
      </c>
      <c r="I24" s="18" t="n">
        <v>0</v>
      </c>
      <c r="J24" s="20" t="n">
        <v>0</v>
      </c>
      <c r="K24" s="18" t="n">
        <v>0</v>
      </c>
      <c r="L24" s="20" t="n">
        <v>0</v>
      </c>
      <c r="M24" s="18" t="n">
        <v>0</v>
      </c>
      <c r="N24" s="20" t="n">
        <v>0</v>
      </c>
      <c r="O24" s="18" t="n">
        <v>0</v>
      </c>
      <c r="P24" s="20" t="n">
        <v>0</v>
      </c>
      <c r="Q24" s="18" t="n">
        <v>0.81090272</v>
      </c>
      <c r="R24" s="20" t="n">
        <v>0.46906902</v>
      </c>
    </row>
    <row r="25" spans="1:18">
      <c r="A25" s="15" t="s">
        <v>583</v>
      </c>
      <c r="B25" s="17" t="n">
        <v>2669</v>
      </c>
      <c r="C25" s="18">
        <f>(2362.0/B25*100)</f>
        <v/>
      </c>
      <c r="D25" s="19" t="n">
        <v>307</v>
      </c>
      <c r="E25" s="18" t="n">
        <v>61.31802407</v>
      </c>
      <c r="F25" s="20" t="n">
        <v>3.30841819</v>
      </c>
      <c r="G25" s="18" t="n">
        <v>38.39669264</v>
      </c>
      <c r="H25" s="20" t="n">
        <v>3.2908222</v>
      </c>
      <c r="I25" s="18" t="n">
        <v>0</v>
      </c>
      <c r="J25" s="20" t="n">
        <v>0</v>
      </c>
      <c r="K25" s="18" t="n">
        <v>0.28528329</v>
      </c>
      <c r="L25" s="20" t="n">
        <v>0.28424248</v>
      </c>
      <c r="M25" s="18" t="n">
        <v>0</v>
      </c>
      <c r="N25" s="20" t="n">
        <v>0</v>
      </c>
      <c r="O25" s="18" t="n">
        <v>0</v>
      </c>
      <c r="P25" s="20" t="n">
        <v>0</v>
      </c>
      <c r="Q25" s="18" t="n">
        <v>0</v>
      </c>
      <c r="R25" s="20" t="n">
        <v>0</v>
      </c>
    </row>
    <row r="26" spans="1:18">
      <c r="A26" s="15" t="s">
        <v>584</v>
      </c>
      <c r="B26" s="17" t="n">
        <v>2419</v>
      </c>
      <c r="C26" s="18">
        <f>(2160.0/B26*100)</f>
        <v/>
      </c>
      <c r="D26" s="19" t="n">
        <v>259</v>
      </c>
      <c r="E26" s="18" t="n">
        <v>57.03305686</v>
      </c>
      <c r="F26" s="20" t="n">
        <v>3.43449742</v>
      </c>
      <c r="G26" s="18" t="n">
        <v>42.66505664</v>
      </c>
      <c r="H26" s="20" t="n">
        <v>3.43599964</v>
      </c>
      <c r="I26" s="18" t="n">
        <v>0</v>
      </c>
      <c r="J26" s="20" t="n">
        <v>0</v>
      </c>
      <c r="K26" s="18" t="n">
        <v>0.3018865</v>
      </c>
      <c r="L26" s="20" t="n">
        <v>0.32922513</v>
      </c>
      <c r="M26" s="18" t="n">
        <v>0</v>
      </c>
      <c r="N26" s="20" t="n">
        <v>0</v>
      </c>
      <c r="O26" s="18" t="n">
        <v>0</v>
      </c>
      <c r="P26" s="20" t="n">
        <v>0</v>
      </c>
      <c r="Q26" s="18" t="n">
        <v>0</v>
      </c>
      <c r="R26" s="20" t="n">
        <v>0</v>
      </c>
    </row>
    <row r="27" spans="1:18">
      <c r="A27" s="15" t="s">
        <v>585</v>
      </c>
      <c r="B27" s="17" t="n">
        <v>2683</v>
      </c>
      <c r="C27" s="18">
        <f>(2376.0/B27*100)</f>
        <v/>
      </c>
      <c r="D27" s="19" t="n">
        <v>307</v>
      </c>
      <c r="E27" s="18" t="n">
        <v>65.94788469</v>
      </c>
      <c r="F27" s="20" t="n">
        <v>2.63656241</v>
      </c>
      <c r="G27" s="18" t="n">
        <v>31.44370441</v>
      </c>
      <c r="H27" s="20" t="n">
        <v>2.4094448</v>
      </c>
      <c r="I27" s="18" t="n">
        <v>0</v>
      </c>
      <c r="J27" s="20" t="n">
        <v>0</v>
      </c>
      <c r="K27" s="18" t="n">
        <v>0.33848928</v>
      </c>
      <c r="L27" s="20" t="n">
        <v>0.33962257</v>
      </c>
      <c r="M27" s="18" t="n">
        <v>0</v>
      </c>
      <c r="N27" s="20" t="n">
        <v>0</v>
      </c>
      <c r="O27" s="18" t="n">
        <v>0</v>
      </c>
      <c r="P27" s="20" t="n">
        <v>0</v>
      </c>
      <c r="Q27" s="18" t="n">
        <v>2.26992163</v>
      </c>
      <c r="R27" s="20" t="n">
        <v>0.81657599</v>
      </c>
    </row>
    <row r="28" spans="1:18">
      <c r="A28" s="15" t="s">
        <v>586</v>
      </c>
      <c r="B28" s="17" t="n">
        <v>3803</v>
      </c>
      <c r="C28" s="18">
        <f>(3428.0/B28*100)</f>
        <v/>
      </c>
      <c r="D28" s="19" t="n">
        <v>375</v>
      </c>
      <c r="E28" s="18" t="n">
        <v>74.94041604</v>
      </c>
      <c r="F28" s="20" t="n">
        <v>2.65529986</v>
      </c>
      <c r="G28" s="18" t="n">
        <v>21.61926539</v>
      </c>
      <c r="H28" s="20" t="n">
        <v>2.34893556</v>
      </c>
      <c r="I28" s="18" t="n">
        <v>0</v>
      </c>
      <c r="J28" s="20" t="n">
        <v>0</v>
      </c>
      <c r="K28" s="18" t="n">
        <v>2.19326317</v>
      </c>
      <c r="L28" s="20" t="n">
        <v>0.86789368</v>
      </c>
      <c r="M28" s="18" t="n">
        <v>0</v>
      </c>
      <c r="N28" s="20" t="n">
        <v>0</v>
      </c>
      <c r="O28" s="18" t="n">
        <v>0</v>
      </c>
      <c r="P28" s="20" t="n">
        <v>0</v>
      </c>
      <c r="Q28" s="18" t="n">
        <v>1.2470554</v>
      </c>
      <c r="R28" s="20" t="n">
        <v>0.7027660999999999</v>
      </c>
    </row>
    <row r="29" spans="1:18">
      <c r="A29" s="15" t="s">
        <v>587</v>
      </c>
      <c r="B29" s="17" t="n">
        <v>2700</v>
      </c>
      <c r="C29" s="18">
        <f>(2408.0/B29*100)</f>
        <v/>
      </c>
      <c r="D29" s="19" t="n">
        <v>292</v>
      </c>
      <c r="E29" s="18" t="n">
        <v>56.62658143</v>
      </c>
      <c r="F29" s="20" t="n">
        <v>3.09196832</v>
      </c>
      <c r="G29" s="18" t="n">
        <v>42.33072285</v>
      </c>
      <c r="H29" s="20" t="n">
        <v>2.9170166</v>
      </c>
      <c r="I29" s="18" t="n">
        <v>0</v>
      </c>
      <c r="J29" s="20" t="n">
        <v>0</v>
      </c>
      <c r="K29" s="18" t="n">
        <v>0.42050938</v>
      </c>
      <c r="L29" s="20" t="n">
        <v>0.39694228</v>
      </c>
      <c r="M29" s="18" t="n">
        <v>0</v>
      </c>
      <c r="N29" s="20" t="n">
        <v>0</v>
      </c>
      <c r="O29" s="18" t="n">
        <v>0</v>
      </c>
      <c r="P29" s="20" t="n">
        <v>0</v>
      </c>
      <c r="Q29" s="18" t="n">
        <v>0.6221863399999999</v>
      </c>
      <c r="R29" s="20" t="n">
        <v>0.48230416</v>
      </c>
    </row>
    <row r="30" spans="1:18">
      <c r="A30" s="15" t="s">
        <v>588</v>
      </c>
      <c r="B30" s="17" t="n">
        <v>2257</v>
      </c>
      <c r="C30" s="18">
        <f>(2005.0/B30*100)</f>
        <v/>
      </c>
      <c r="D30" s="19" t="n">
        <v>252</v>
      </c>
      <c r="E30" s="18" t="n">
        <v>50.99871075</v>
      </c>
      <c r="F30" s="20" t="n">
        <v>3.50921855</v>
      </c>
      <c r="G30" s="18" t="n">
        <v>48.21662882</v>
      </c>
      <c r="H30" s="20" t="n">
        <v>3.52464041</v>
      </c>
      <c r="I30" s="18" t="n">
        <v>0</v>
      </c>
      <c r="J30" s="20" t="n">
        <v>0</v>
      </c>
      <c r="K30" s="18" t="n">
        <v>0</v>
      </c>
      <c r="L30" s="20" t="n">
        <v>0</v>
      </c>
      <c r="M30" s="18" t="n">
        <v>0</v>
      </c>
      <c r="N30" s="20" t="n">
        <v>0</v>
      </c>
      <c r="O30" s="18" t="n">
        <v>0</v>
      </c>
      <c r="P30" s="20" t="n">
        <v>0</v>
      </c>
      <c r="Q30" s="18" t="n">
        <v>0.78466043</v>
      </c>
      <c r="R30" s="20" t="n">
        <v>0.48716971</v>
      </c>
    </row>
    <row r="31" spans="1:18">
      <c r="A31" s="15" t="s">
        <v>589</v>
      </c>
      <c r="B31" s="17" t="n">
        <v>2706</v>
      </c>
      <c r="C31" s="18">
        <f>(2417.0/B31*100)</f>
        <v/>
      </c>
      <c r="D31" s="19" t="n">
        <v>289</v>
      </c>
      <c r="E31" s="18" t="n">
        <v>51.85434897</v>
      </c>
      <c r="F31" s="20" t="n">
        <v>3.05732573</v>
      </c>
      <c r="G31" s="18" t="n">
        <v>44.11046232</v>
      </c>
      <c r="H31" s="20" t="n">
        <v>3.06052074</v>
      </c>
      <c r="I31" s="18" t="n">
        <v>0</v>
      </c>
      <c r="J31" s="20" t="n">
        <v>0</v>
      </c>
      <c r="K31" s="18" t="n">
        <v>1.31429998</v>
      </c>
      <c r="L31" s="20" t="n">
        <v>0.63321465</v>
      </c>
      <c r="M31" s="18" t="n">
        <v>0</v>
      </c>
      <c r="N31" s="20" t="n">
        <v>0</v>
      </c>
      <c r="O31" s="18" t="n">
        <v>0</v>
      </c>
      <c r="P31" s="20" t="n">
        <v>0</v>
      </c>
      <c r="Q31" s="18" t="n">
        <v>2.72088872</v>
      </c>
      <c r="R31" s="20" t="n">
        <v>0.96457123</v>
      </c>
    </row>
    <row r="32" spans="1:18">
      <c r="A32" s="15" t="s">
        <v>590</v>
      </c>
      <c r="B32" s="17" t="n">
        <v>2209</v>
      </c>
      <c r="C32" s="18">
        <f>(1968.0/B32*100)</f>
        <v/>
      </c>
      <c r="D32" s="19" t="n">
        <v>241</v>
      </c>
      <c r="E32" s="18" t="n">
        <v>59.52628615</v>
      </c>
      <c r="F32" s="20" t="n">
        <v>3.58116089</v>
      </c>
      <c r="G32" s="18" t="n">
        <v>40.47371385</v>
      </c>
      <c r="H32" s="20" t="n">
        <v>3.58116089</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(3277.0/B33*100)</f>
        <v/>
      </c>
      <c r="D33" s="19" t="n">
        <v>374</v>
      </c>
      <c r="E33" s="18" t="n">
        <v>79.814004</v>
      </c>
      <c r="F33" s="20" t="n">
        <v>2.07502515</v>
      </c>
      <c r="G33" s="18" t="n">
        <v>19.77801205</v>
      </c>
      <c r="H33" s="20" t="n">
        <v>2.08811043</v>
      </c>
      <c r="I33" s="18" t="n">
        <v>0</v>
      </c>
      <c r="J33" s="20" t="n">
        <v>0</v>
      </c>
      <c r="K33" s="18" t="n">
        <v>0.35914868</v>
      </c>
      <c r="L33" s="20" t="n">
        <v>0.35729747</v>
      </c>
      <c r="M33" s="18" t="n">
        <v>0</v>
      </c>
      <c r="N33" s="20" t="n">
        <v>0</v>
      </c>
      <c r="O33" s="18" t="n">
        <v>0</v>
      </c>
      <c r="P33" s="20" t="n">
        <v>0</v>
      </c>
      <c r="Q33" s="18" t="n">
        <v>0.04883528</v>
      </c>
      <c r="R33" s="20" t="n">
        <v>0.04911447</v>
      </c>
    </row>
    <row r="34" spans="1:18">
      <c r="A34" s="15" t="s">
        <v>592</v>
      </c>
      <c r="B34" s="17" t="n">
        <v>3035</v>
      </c>
      <c r="C34" s="18">
        <f>(2695.0/B34*100)</f>
        <v/>
      </c>
      <c r="D34" s="19" t="n">
        <v>340</v>
      </c>
      <c r="E34" s="18" t="n">
        <v>68.65993666999999</v>
      </c>
      <c r="F34" s="20" t="n">
        <v>2.3638291</v>
      </c>
      <c r="G34" s="18" t="n">
        <v>31.34006333</v>
      </c>
      <c r="H34" s="20" t="n">
        <v>2.3638291</v>
      </c>
      <c r="I34" s="18" t="n">
        <v>0</v>
      </c>
      <c r="J34" s="20" t="n">
        <v>0</v>
      </c>
      <c r="K34" s="18" t="n">
        <v>0</v>
      </c>
      <c r="L34" s="20" t="n">
        <v>0</v>
      </c>
      <c r="M34" s="18" t="n">
        <v>0</v>
      </c>
      <c r="N34" s="20" t="n">
        <v>0</v>
      </c>
      <c r="O34" s="18" t="n">
        <v>0</v>
      </c>
      <c r="P34" s="20" t="n">
        <v>0</v>
      </c>
      <c r="Q34" s="18" t="n">
        <v>0</v>
      </c>
      <c r="R34" s="20" t="n">
        <v>0</v>
      </c>
    </row>
    <row r="35" spans="1:18">
      <c r="A35" s="15" t="s">
        <v>593</v>
      </c>
      <c r="B35" s="17" t="n">
        <v>2901</v>
      </c>
      <c r="C35" s="18">
        <f>(2608.0/B35*100)</f>
        <v/>
      </c>
      <c r="D35" s="19" t="n">
        <v>293</v>
      </c>
      <c r="E35" s="18" t="n">
        <v>68.03287928</v>
      </c>
      <c r="F35" s="20" t="n">
        <v>3.08366133</v>
      </c>
      <c r="G35" s="18" t="n">
        <v>31.69536378</v>
      </c>
      <c r="H35" s="20" t="n">
        <v>3.04876272</v>
      </c>
      <c r="I35" s="18" t="n">
        <v>0</v>
      </c>
      <c r="J35" s="20" t="n">
        <v>0</v>
      </c>
      <c r="K35" s="18" t="n">
        <v>0.13986515</v>
      </c>
      <c r="L35" s="20" t="n">
        <v>0.14289993</v>
      </c>
      <c r="M35" s="18" t="n">
        <v>0</v>
      </c>
      <c r="N35" s="20" t="n">
        <v>0</v>
      </c>
      <c r="O35" s="18" t="n">
        <v>0</v>
      </c>
      <c r="P35" s="20" t="n">
        <v>0</v>
      </c>
      <c r="Q35" s="18" t="n">
        <v>0.13189179</v>
      </c>
      <c r="R35" s="20" t="n">
        <v>0.13445509</v>
      </c>
    </row>
    <row r="36" spans="1:18">
      <c r="A36" s="15" t="s">
        <v>594</v>
      </c>
      <c r="B36" s="17" t="n">
        <v>3404</v>
      </c>
      <c r="C36" s="18">
        <f>(3054.0/B36*100)</f>
        <v/>
      </c>
      <c r="D36" s="19" t="n">
        <v>350</v>
      </c>
      <c r="E36" s="18" t="n">
        <v>71.23540096000001</v>
      </c>
      <c r="F36" s="20" t="n">
        <v>2.1980002</v>
      </c>
      <c r="G36" s="18" t="n">
        <v>27.7489471</v>
      </c>
      <c r="H36" s="20" t="n">
        <v>2.22603376</v>
      </c>
      <c r="I36" s="18" t="n">
        <v>0</v>
      </c>
      <c r="J36" s="20" t="n">
        <v>0</v>
      </c>
      <c r="K36" s="18" t="n">
        <v>0</v>
      </c>
      <c r="L36" s="20" t="n">
        <v>0</v>
      </c>
      <c r="M36" s="18" t="n">
        <v>0</v>
      </c>
      <c r="N36" s="20" t="n">
        <v>0</v>
      </c>
      <c r="O36" s="18" t="n">
        <v>0</v>
      </c>
      <c r="P36" s="20" t="n">
        <v>0</v>
      </c>
      <c r="Q36" s="18" t="n">
        <v>1.01565194</v>
      </c>
      <c r="R36" s="20" t="n">
        <v>0.53666329</v>
      </c>
    </row>
    <row r="37" spans="1:18">
      <c r="A37" s="15" t="s">
        <v>595</v>
      </c>
      <c r="B37" s="17" t="n">
        <v>2731</v>
      </c>
      <c r="C37" s="18">
        <f>(2430.0/B37*100)</f>
        <v/>
      </c>
      <c r="D37" s="19" t="n">
        <v>301</v>
      </c>
      <c r="E37" s="18" t="n">
        <v>55.20851061</v>
      </c>
      <c r="F37" s="20" t="n">
        <v>3.03684808</v>
      </c>
      <c r="G37" s="18" t="n">
        <v>41.41535247</v>
      </c>
      <c r="H37" s="20" t="n">
        <v>3.21647543</v>
      </c>
      <c r="I37" s="18" t="n">
        <v>0</v>
      </c>
      <c r="J37" s="20" t="n">
        <v>0</v>
      </c>
      <c r="K37" s="18" t="n">
        <v>1.62845194</v>
      </c>
      <c r="L37" s="20" t="n">
        <v>0.74185851</v>
      </c>
      <c r="M37" s="18" t="n">
        <v>0</v>
      </c>
      <c r="N37" s="20" t="n">
        <v>0</v>
      </c>
      <c r="O37" s="18" t="n">
        <v>0</v>
      </c>
      <c r="P37" s="20" t="n">
        <v>0</v>
      </c>
      <c r="Q37" s="18" t="n">
        <v>1.74768498</v>
      </c>
      <c r="R37" s="20" t="n">
        <v>0.93617547</v>
      </c>
    </row>
    <row r="38" spans="1:18">
      <c r="A38" s="15" t="s">
        <v>596</v>
      </c>
      <c r="B38" s="17" t="n">
        <v>2807</v>
      </c>
      <c r="C38" s="18">
        <f>(2491.0/B38*100)</f>
        <v/>
      </c>
      <c r="D38" s="19" t="n">
        <v>316</v>
      </c>
      <c r="E38" s="18" t="n">
        <v>64.06870619999999</v>
      </c>
      <c r="F38" s="20" t="n">
        <v>2.72599245</v>
      </c>
      <c r="G38" s="18" t="n">
        <v>34.40053446</v>
      </c>
      <c r="H38" s="20" t="n">
        <v>2.59110073</v>
      </c>
      <c r="I38" s="18" t="n">
        <v>0</v>
      </c>
      <c r="J38" s="20" t="n">
        <v>0</v>
      </c>
      <c r="K38" s="18" t="n">
        <v>0.33534707</v>
      </c>
      <c r="L38" s="20" t="n">
        <v>0.33535662</v>
      </c>
      <c r="M38" s="18" t="n">
        <v>0</v>
      </c>
      <c r="N38" s="20" t="n">
        <v>0</v>
      </c>
      <c r="O38" s="18" t="n">
        <v>0</v>
      </c>
      <c r="P38" s="20" t="n">
        <v>0</v>
      </c>
      <c r="Q38" s="18" t="n">
        <v>1.19541228</v>
      </c>
      <c r="R38" s="20" t="n">
        <v>0.59585217</v>
      </c>
    </row>
    <row r="39" spans="1:18">
      <c r="A39" s="15" t="s">
        <v>597</v>
      </c>
      <c r="B39" s="17" t="n">
        <v>2938</v>
      </c>
      <c r="C39" s="18">
        <f>(2624.0/B39*100)</f>
        <v/>
      </c>
      <c r="D39" s="19" t="n">
        <v>314</v>
      </c>
      <c r="E39" s="18" t="n">
        <v>72.96867306999999</v>
      </c>
      <c r="F39" s="20" t="n">
        <v>3.24018227</v>
      </c>
      <c r="G39" s="18" t="n">
        <v>27.03132693</v>
      </c>
      <c r="H39" s="20" t="n">
        <v>3.24018227</v>
      </c>
      <c r="I39" s="18" t="n">
        <v>0</v>
      </c>
      <c r="J39" s="20" t="n">
        <v>0</v>
      </c>
      <c r="K39" s="18" t="n">
        <v>0</v>
      </c>
      <c r="L39" s="20" t="n">
        <v>0</v>
      </c>
      <c r="M39" s="18" t="n">
        <v>0</v>
      </c>
      <c r="N39" s="20" t="n">
        <v>0</v>
      </c>
      <c r="O39" s="18" t="n">
        <v>0</v>
      </c>
      <c r="P39" s="20" t="n">
        <v>0</v>
      </c>
      <c r="Q39" s="18" t="n">
        <v>0</v>
      </c>
      <c r="R39" s="20" t="n">
        <v>0</v>
      </c>
    </row>
    <row r="40" spans="1:18">
      <c r="A40" s="15" t="s">
        <v>598</v>
      </c>
      <c r="B40" s="17" t="n">
        <v>6922</v>
      </c>
      <c r="C40" s="18">
        <f>(6146.0/B40*100)</f>
        <v/>
      </c>
      <c r="D40" s="19" t="n">
        <v>776</v>
      </c>
      <c r="E40" s="18" t="n">
        <v>53.09157031</v>
      </c>
      <c r="F40" s="20" t="n">
        <v>2.78351444</v>
      </c>
      <c r="G40" s="18" t="n">
        <v>46.02216669</v>
      </c>
      <c r="H40" s="20" t="n">
        <v>2.76930603</v>
      </c>
      <c r="I40" s="18" t="n">
        <v>0</v>
      </c>
      <c r="J40" s="20" t="n">
        <v>0</v>
      </c>
      <c r="K40" s="18" t="n">
        <v>0.7186368400000001</v>
      </c>
      <c r="L40" s="20" t="n">
        <v>0.45889874</v>
      </c>
      <c r="M40" s="18" t="n">
        <v>0</v>
      </c>
      <c r="N40" s="20" t="n">
        <v>0</v>
      </c>
      <c r="O40" s="18" t="n">
        <v>0</v>
      </c>
      <c r="P40" s="20" t="n">
        <v>0</v>
      </c>
      <c r="Q40" s="18" t="n">
        <v>0.16762616</v>
      </c>
      <c r="R40" s="20" t="n">
        <v>0.07805953</v>
      </c>
    </row>
    <row r="41" spans="1:18">
      <c r="A41" s="15" t="s">
        <v>599</v>
      </c>
      <c r="B41" s="17" t="n">
        <v>2854</v>
      </c>
      <c r="C41" s="18">
        <f>(2550.0/B41*100)</f>
        <v/>
      </c>
      <c r="D41" s="19" t="n">
        <v>304</v>
      </c>
      <c r="E41" s="18" t="n">
        <v>64.70624297000001</v>
      </c>
      <c r="F41" s="20" t="n">
        <v>3.21715783</v>
      </c>
      <c r="G41" s="18" t="n">
        <v>35.29375703</v>
      </c>
      <c r="H41" s="20" t="n">
        <v>3.21715783</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(11071.0/B46*100)</f>
        <v/>
      </c>
      <c r="D46" s="19" t="n">
        <v>1002</v>
      </c>
      <c r="E46" s="18" t="n">
        <v>78.80637932</v>
      </c>
      <c r="F46" s="20" t="n">
        <v>1.69950604</v>
      </c>
      <c r="G46" s="18" t="n">
        <v>16.81831227</v>
      </c>
      <c r="H46" s="20" t="n">
        <v>1.4030872</v>
      </c>
      <c r="I46" s="18" t="n">
        <v>0</v>
      </c>
      <c r="J46" s="20" t="n">
        <v>0</v>
      </c>
      <c r="K46" s="18" t="n">
        <v>0.912979</v>
      </c>
      <c r="L46" s="20" t="n">
        <v>0.38363692</v>
      </c>
      <c r="M46" s="18" t="n">
        <v>0</v>
      </c>
      <c r="N46" s="20" t="n">
        <v>0</v>
      </c>
      <c r="O46" s="18" t="n">
        <v>0</v>
      </c>
      <c r="P46" s="20" t="n">
        <v>0</v>
      </c>
      <c r="Q46" s="18" t="n">
        <v>3.46232941</v>
      </c>
      <c r="R46" s="20" t="n">
        <v>0.96491686</v>
      </c>
    </row>
    <row r="47" spans="1:18">
      <c r="A47" s="15" t="s">
        <v>606</v>
      </c>
      <c r="B47" s="17" t="n">
        <v>2823</v>
      </c>
      <c r="C47" s="18">
        <f>(2507.0/B47*100)</f>
        <v/>
      </c>
      <c r="D47" s="19" t="n">
        <v>316</v>
      </c>
      <c r="E47" s="18" t="n">
        <v>77.85683939</v>
      </c>
      <c r="F47" s="20" t="n">
        <v>2.26966488</v>
      </c>
      <c r="G47" s="18" t="n">
        <v>20.90198595</v>
      </c>
      <c r="H47" s="20" t="n">
        <v>2.24824055</v>
      </c>
      <c r="I47" s="18" t="n">
        <v>0</v>
      </c>
      <c r="J47" s="20" t="n">
        <v>0</v>
      </c>
      <c r="K47" s="18" t="n">
        <v>0.62449276</v>
      </c>
      <c r="L47" s="20" t="n">
        <v>0.43396459</v>
      </c>
      <c r="M47" s="18" t="n">
        <v>0</v>
      </c>
      <c r="N47" s="20" t="n">
        <v>0</v>
      </c>
      <c r="O47" s="18" t="n">
        <v>0</v>
      </c>
      <c r="P47" s="20" t="n">
        <v>0</v>
      </c>
      <c r="Q47" s="18" t="n">
        <v>0.6166819</v>
      </c>
      <c r="R47" s="20" t="n">
        <v>0.43955398</v>
      </c>
    </row>
    <row r="48" spans="1:18">
      <c r="A48" s="15" t="s">
        <v>607</v>
      </c>
      <c r="B48" s="17" t="n">
        <v>4682</v>
      </c>
      <c r="C48" s="18">
        <f>(4168.0/B48*100)</f>
        <v/>
      </c>
      <c r="D48" s="19" t="n">
        <v>514</v>
      </c>
      <c r="E48" s="18" t="n">
        <v>57.13083746</v>
      </c>
      <c r="F48" s="20" t="n">
        <v>2.96141743</v>
      </c>
      <c r="G48" s="18" t="n">
        <v>42.04545231</v>
      </c>
      <c r="H48" s="20" t="n">
        <v>2.90009069</v>
      </c>
      <c r="I48" s="18" t="n">
        <v>0</v>
      </c>
      <c r="J48" s="20" t="n">
        <v>0</v>
      </c>
      <c r="K48" s="18" t="n">
        <v>0.49712552</v>
      </c>
      <c r="L48" s="20" t="n">
        <v>0.47575546</v>
      </c>
      <c r="M48" s="18" t="n">
        <v>0</v>
      </c>
      <c r="N48" s="20" t="n">
        <v>0</v>
      </c>
      <c r="O48" s="18" t="n">
        <v>0</v>
      </c>
      <c r="P48" s="20" t="n">
        <v>0</v>
      </c>
      <c r="Q48" s="18" t="n">
        <v>0.32658471</v>
      </c>
      <c r="R48" s="20" t="n">
        <v>0.30523893</v>
      </c>
    </row>
    <row r="49" spans="1:18">
      <c r="A49" s="15" t="s">
        <v>608</v>
      </c>
      <c r="B49" s="17" t="n">
        <v>6158</v>
      </c>
      <c r="C49" s="18">
        <f>(5504.0/B49*100)</f>
        <v/>
      </c>
      <c r="D49" s="19" t="n">
        <v>654</v>
      </c>
      <c r="E49" s="18" t="n">
        <v>80.79687921999999</v>
      </c>
      <c r="F49" s="20" t="n">
        <v>1.92513677</v>
      </c>
      <c r="G49" s="18" t="n">
        <v>17.0470325</v>
      </c>
      <c r="H49" s="20" t="n">
        <v>1.87505573</v>
      </c>
      <c r="I49" s="18" t="n">
        <v>0</v>
      </c>
      <c r="J49" s="20" t="n">
        <v>0</v>
      </c>
      <c r="K49" s="18" t="n">
        <v>1.13650591</v>
      </c>
      <c r="L49" s="20" t="n">
        <v>0.49050392</v>
      </c>
      <c r="M49" s="18" t="n">
        <v>0</v>
      </c>
      <c r="N49" s="20" t="n">
        <v>0</v>
      </c>
      <c r="O49" s="18" t="n">
        <v>0</v>
      </c>
      <c r="P49" s="20" t="n">
        <v>0</v>
      </c>
      <c r="Q49" s="18" t="n">
        <v>1.01958237</v>
      </c>
      <c r="R49" s="20" t="n">
        <v>0.4367769</v>
      </c>
    </row>
    <row r="50" spans="1:18">
      <c r="A50" s="15" t="s">
        <v>609</v>
      </c>
      <c r="B50" s="17" t="n">
        <v>3494</v>
      </c>
      <c r="C50" s="18">
        <f>(3163.0/B50*100)</f>
        <v/>
      </c>
      <c r="D50" s="19" t="n">
        <v>331</v>
      </c>
      <c r="E50" s="18" t="n">
        <v>85.20916573</v>
      </c>
      <c r="F50" s="20" t="n">
        <v>2.32468559</v>
      </c>
      <c r="G50" s="18" t="n">
        <v>13.00605227</v>
      </c>
      <c r="H50" s="20" t="n">
        <v>2.24517019</v>
      </c>
      <c r="I50" s="18" t="n">
        <v>0</v>
      </c>
      <c r="J50" s="20" t="n">
        <v>0</v>
      </c>
      <c r="K50" s="18" t="n">
        <v>0.41855827</v>
      </c>
      <c r="L50" s="20" t="n">
        <v>0.40689972</v>
      </c>
      <c r="M50" s="18" t="n">
        <v>0</v>
      </c>
      <c r="N50" s="20" t="n">
        <v>0</v>
      </c>
      <c r="O50" s="18" t="n">
        <v>0</v>
      </c>
      <c r="P50" s="20" t="n">
        <v>0</v>
      </c>
      <c r="Q50" s="18" t="n">
        <v>1.36622373</v>
      </c>
      <c r="R50" s="20" t="n">
        <v>0.75577492</v>
      </c>
    </row>
    <row r="51" spans="1:18">
      <c r="A51" s="15" t="s">
        <v>610</v>
      </c>
      <c r="B51" s="17" t="n">
        <v>3013</v>
      </c>
      <c r="C51" s="18">
        <f>(2651.0/B51*100)</f>
        <v/>
      </c>
      <c r="D51" s="19" t="n">
        <v>362</v>
      </c>
      <c r="E51" s="18" t="n">
        <v>75.85424364000001</v>
      </c>
      <c r="F51" s="20" t="n">
        <v>2.10083747</v>
      </c>
      <c r="G51" s="18" t="n">
        <v>23.74236171</v>
      </c>
      <c r="H51" s="20" t="n">
        <v>2.04772313</v>
      </c>
      <c r="I51" s="18" t="n">
        <v>0</v>
      </c>
      <c r="J51" s="20" t="n">
        <v>0</v>
      </c>
      <c r="K51" s="18" t="n">
        <v>0</v>
      </c>
      <c r="L51" s="20" t="n">
        <v>0</v>
      </c>
      <c r="M51" s="18" t="n">
        <v>0</v>
      </c>
      <c r="N51" s="20" t="n">
        <v>0</v>
      </c>
      <c r="O51" s="18" t="n">
        <v>0</v>
      </c>
      <c r="P51" s="20" t="n">
        <v>0</v>
      </c>
      <c r="Q51" s="18" t="n">
        <v>0.40339465</v>
      </c>
      <c r="R51" s="20" t="n">
        <v>0.26776138</v>
      </c>
    </row>
    <row r="52" spans="1:18">
      <c r="A52" s="15" t="s">
        <v>611</v>
      </c>
      <c r="B52" s="17" t="n">
        <v>2760</v>
      </c>
      <c r="C52" s="18">
        <f>(2464.0/B52*100)</f>
        <v/>
      </c>
      <c r="D52" s="19" t="n">
        <v>296</v>
      </c>
      <c r="E52" s="18" t="n">
        <v>83.82124754</v>
      </c>
      <c r="F52" s="20" t="n">
        <v>2.18538129</v>
      </c>
      <c r="G52" s="18" t="n">
        <v>15.4271768</v>
      </c>
      <c r="H52" s="20" t="n">
        <v>2.1778219</v>
      </c>
      <c r="I52" s="18" t="n">
        <v>0</v>
      </c>
      <c r="J52" s="20" t="n">
        <v>0</v>
      </c>
      <c r="K52" s="18" t="n">
        <v>0.26450497</v>
      </c>
      <c r="L52" s="20" t="n">
        <v>0.26638538</v>
      </c>
      <c r="M52" s="18" t="n">
        <v>0</v>
      </c>
      <c r="N52" s="20" t="n">
        <v>0</v>
      </c>
      <c r="O52" s="18" t="n">
        <v>0</v>
      </c>
      <c r="P52" s="20" t="n">
        <v>0</v>
      </c>
      <c r="Q52" s="18" t="n">
        <v>0.48707069</v>
      </c>
      <c r="R52" s="20" t="n">
        <v>0.34750116</v>
      </c>
    </row>
    <row r="53" spans="1:18">
      <c r="A53" s="15" t="s">
        <v>612</v>
      </c>
      <c r="B53" s="17" t="n">
        <v>2474</v>
      </c>
      <c r="C53" s="18">
        <f>(2235.0/B53*100)</f>
        <v/>
      </c>
      <c r="D53" s="19" t="n">
        <v>239</v>
      </c>
      <c r="E53" s="18" t="n">
        <v>64.86818588</v>
      </c>
      <c r="F53" s="20" t="n">
        <v>3.03394451</v>
      </c>
      <c r="G53" s="18" t="n">
        <v>14.46527732</v>
      </c>
      <c r="H53" s="20" t="n">
        <v>2.55172024</v>
      </c>
      <c r="I53" s="18" t="n">
        <v>0</v>
      </c>
      <c r="J53" s="20" t="n">
        <v>0</v>
      </c>
      <c r="K53" s="18" t="n">
        <v>18.16344762</v>
      </c>
      <c r="L53" s="20" t="n">
        <v>2.55583642</v>
      </c>
      <c r="M53" s="18" t="n">
        <v>0</v>
      </c>
      <c r="N53" s="20" t="n">
        <v>0</v>
      </c>
      <c r="O53" s="18" t="n">
        <v>0</v>
      </c>
      <c r="P53" s="20" t="n">
        <v>0</v>
      </c>
      <c r="Q53" s="18" t="n">
        <v>2.50308918</v>
      </c>
      <c r="R53" s="20" t="n">
        <v>0.9629424599999999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(2374.0/B55*100)</f>
        <v/>
      </c>
      <c r="D55" s="19" t="n">
        <v>301</v>
      </c>
      <c r="E55" s="18" t="n">
        <v>47.64797113</v>
      </c>
      <c r="F55" s="20" t="n">
        <v>3.12608933</v>
      </c>
      <c r="G55" s="18" t="n">
        <v>52.05587705</v>
      </c>
      <c r="H55" s="20" t="n">
        <v>3.14630038</v>
      </c>
      <c r="I55" s="18" t="n">
        <v>0</v>
      </c>
      <c r="J55" s="20" t="n">
        <v>0</v>
      </c>
      <c r="K55" s="18" t="n">
        <v>0.29615182</v>
      </c>
      <c r="L55" s="20" t="n">
        <v>0.30485626</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(2832.0/B61*100)</f>
        <v/>
      </c>
      <c r="D61" s="19" t="n">
        <v>369</v>
      </c>
      <c r="E61" s="18" t="n">
        <v>64.42766951999999</v>
      </c>
      <c r="F61" s="20" t="n">
        <v>2.90130686</v>
      </c>
      <c r="G61" s="18" t="n">
        <v>34.95201691</v>
      </c>
      <c r="H61" s="20" t="n">
        <v>2.98060665</v>
      </c>
      <c r="I61" s="18" t="n">
        <v>0</v>
      </c>
      <c r="J61" s="20" t="n">
        <v>0</v>
      </c>
      <c r="K61" s="18" t="n">
        <v>0</v>
      </c>
      <c r="L61" s="20" t="n">
        <v>0</v>
      </c>
      <c r="M61" s="18" t="n">
        <v>0</v>
      </c>
      <c r="N61" s="20" t="n">
        <v>0</v>
      </c>
      <c r="O61" s="18" t="n">
        <v>0</v>
      </c>
      <c r="P61" s="20" t="n">
        <v>0</v>
      </c>
      <c r="Q61" s="18" t="n">
        <v>0.62031357</v>
      </c>
      <c r="R61" s="20" t="n">
        <v>0.44019247</v>
      </c>
    </row>
    <row r="62" spans="1:18">
      <c r="A62" s="15" t="s">
        <v>622</v>
      </c>
      <c r="B62" s="17" t="n">
        <v>2230</v>
      </c>
      <c r="C62" s="18">
        <f>(1988.0/B62*100)</f>
        <v/>
      </c>
      <c r="D62" s="19" t="n">
        <v>242</v>
      </c>
      <c r="E62" s="18" t="n">
        <v>50.45116768</v>
      </c>
      <c r="F62" s="20" t="n">
        <v>3.66383529</v>
      </c>
      <c r="G62" s="18" t="n">
        <v>49.13788601</v>
      </c>
      <c r="H62" s="20" t="n">
        <v>3.66298006</v>
      </c>
      <c r="I62" s="18" t="n">
        <v>0</v>
      </c>
      <c r="J62" s="20" t="n">
        <v>0</v>
      </c>
      <c r="K62" s="18" t="n">
        <v>0</v>
      </c>
      <c r="L62" s="20" t="n">
        <v>0</v>
      </c>
      <c r="M62" s="18" t="n">
        <v>0</v>
      </c>
      <c r="N62" s="20" t="n">
        <v>0</v>
      </c>
      <c r="O62" s="18" t="n">
        <v>0</v>
      </c>
      <c r="P62" s="20" t="n">
        <v>0</v>
      </c>
      <c r="Q62" s="18" t="n">
        <v>0.41094631</v>
      </c>
      <c r="R62" s="20" t="n">
        <v>0.41193055</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(2453.0/B67*100)</f>
        <v/>
      </c>
      <c r="D67" s="19" t="n">
        <v>318</v>
      </c>
      <c r="E67" s="18" t="n">
        <v>77.61492121000001</v>
      </c>
      <c r="F67" s="20" t="n">
        <v>2.6417994</v>
      </c>
      <c r="G67" s="18" t="n">
        <v>19.1193424</v>
      </c>
      <c r="H67" s="20" t="n">
        <v>2.51456872</v>
      </c>
      <c r="I67" s="18" t="n">
        <v>0</v>
      </c>
      <c r="J67" s="20" t="n">
        <v>0</v>
      </c>
      <c r="K67" s="18" t="n">
        <v>0.69932638</v>
      </c>
      <c r="L67" s="20" t="n">
        <v>0.69198789</v>
      </c>
      <c r="M67" s="18" t="n">
        <v>0</v>
      </c>
      <c r="N67" s="20" t="n">
        <v>0</v>
      </c>
      <c r="O67" s="18" t="n">
        <v>0</v>
      </c>
      <c r="P67" s="20" t="n">
        <v>0</v>
      </c>
      <c r="Q67" s="18" t="n">
        <v>2.56641001</v>
      </c>
      <c r="R67" s="20" t="n">
        <v>1.0276981</v>
      </c>
    </row>
    <row r="68" spans="1:18">
      <c r="A68" s="15" t="s">
        <v>628</v>
      </c>
      <c r="B68" s="17" t="n">
        <v>3460</v>
      </c>
      <c r="C68" s="18">
        <f>(3124.0/B68*100)</f>
        <v/>
      </c>
      <c r="D68" s="19" t="n">
        <v>336</v>
      </c>
      <c r="E68" s="18" t="n">
        <v>76.30073563000001</v>
      </c>
      <c r="F68" s="20" t="n">
        <v>2.55058867</v>
      </c>
      <c r="G68" s="18" t="n">
        <v>23.17330223</v>
      </c>
      <c r="H68" s="20" t="n">
        <v>2.54010067</v>
      </c>
      <c r="I68" s="18" t="n">
        <v>0</v>
      </c>
      <c r="J68" s="20" t="n">
        <v>0</v>
      </c>
      <c r="K68" s="18" t="n">
        <v>0.23752361</v>
      </c>
      <c r="L68" s="20" t="n">
        <v>0.24449145</v>
      </c>
      <c r="M68" s="18" t="n">
        <v>0</v>
      </c>
      <c r="N68" s="20" t="n">
        <v>0</v>
      </c>
      <c r="O68" s="18" t="n">
        <v>0</v>
      </c>
      <c r="P68" s="20" t="n">
        <v>0</v>
      </c>
      <c r="Q68" s="18" t="n">
        <v>0.28843854</v>
      </c>
      <c r="R68" s="20" t="n">
        <v>0.28695758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(5403.0/B70*100)</f>
        <v/>
      </c>
      <c r="D70" s="19" t="n">
        <v>631</v>
      </c>
      <c r="E70" s="18" t="n">
        <v>69.9341963</v>
      </c>
      <c r="F70" s="20" t="n">
        <v>1.78298795</v>
      </c>
      <c r="G70" s="18" t="n">
        <v>27.04044698</v>
      </c>
      <c r="H70" s="20" t="n">
        <v>1.76708217</v>
      </c>
      <c r="I70" s="18" t="n">
        <v>0</v>
      </c>
      <c r="J70" s="20" t="n">
        <v>0</v>
      </c>
      <c r="K70" s="18" t="n">
        <v>2.37454081</v>
      </c>
      <c r="L70" s="20" t="n">
        <v>0.6786185</v>
      </c>
      <c r="M70" s="18" t="n">
        <v>0</v>
      </c>
      <c r="N70" s="20" t="n">
        <v>0</v>
      </c>
      <c r="O70" s="18" t="n">
        <v>0</v>
      </c>
      <c r="P70" s="20" t="n">
        <v>0</v>
      </c>
      <c r="Q70" s="18" t="n">
        <v>0.65081592</v>
      </c>
      <c r="R70" s="20" t="n">
        <v>0.32843342</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(2739.0/B72*100)</f>
        <v/>
      </c>
      <c r="D72" s="19" t="n">
        <v>368</v>
      </c>
      <c r="E72" s="18" t="n">
        <v>65.11752217</v>
      </c>
      <c r="F72" s="20" t="n">
        <v>1.96625608</v>
      </c>
      <c r="G72" s="18" t="n">
        <v>32.58578095</v>
      </c>
      <c r="H72" s="20" t="n">
        <v>2.01496966</v>
      </c>
      <c r="I72" s="18" t="n">
        <v>0</v>
      </c>
      <c r="J72" s="20" t="n">
        <v>0</v>
      </c>
      <c r="K72" s="18" t="n">
        <v>0.71755487</v>
      </c>
      <c r="L72" s="20" t="n">
        <v>0.49613812</v>
      </c>
      <c r="M72" s="18" t="n">
        <v>0</v>
      </c>
      <c r="N72" s="20" t="n">
        <v>0</v>
      </c>
      <c r="O72" s="18" t="n">
        <v>0</v>
      </c>
      <c r="P72" s="20" t="n">
        <v>0</v>
      </c>
      <c r="Q72" s="18" t="n">
        <v>1.579142</v>
      </c>
      <c r="R72" s="20" t="n">
        <v>0.63045219</v>
      </c>
    </row>
    <row r="73" spans="1:18">
      <c r="A73" s="15" t="s">
        <v>633</v>
      </c>
      <c r="B73" s="17" t="n">
        <v>2973</v>
      </c>
      <c r="C73" s="18">
        <f>(2655.0/B73*100)</f>
        <v/>
      </c>
      <c r="D73" s="19" t="n">
        <v>318</v>
      </c>
      <c r="E73" s="18" t="n">
        <v>39.75230865</v>
      </c>
      <c r="F73" s="20" t="n">
        <v>3.21617985</v>
      </c>
      <c r="G73" s="18" t="n">
        <v>59.59803314</v>
      </c>
      <c r="H73" s="20" t="n">
        <v>3.22133055</v>
      </c>
      <c r="I73" s="18" t="n">
        <v>0</v>
      </c>
      <c r="J73" s="20" t="n">
        <v>0</v>
      </c>
      <c r="K73" s="18" t="n">
        <v>0.64965821</v>
      </c>
      <c r="L73" s="20" t="n">
        <v>0.46437156</v>
      </c>
      <c r="M73" s="18" t="n">
        <v>0</v>
      </c>
      <c r="N73" s="20" t="n">
        <v>0</v>
      </c>
      <c r="O73" s="18" t="n">
        <v>0</v>
      </c>
      <c r="P73" s="20" t="n">
        <v>0</v>
      </c>
      <c r="Q73" s="18" t="n">
        <v>0</v>
      </c>
      <c r="R73" s="20" t="n">
        <v>0</v>
      </c>
    </row>
    <row r="74" spans="1:18">
      <c r="A74" s="15" t="s">
        <v>634</v>
      </c>
      <c r="B74" s="17" t="n">
        <v>3819</v>
      </c>
      <c r="C74" s="18">
        <f>(3405.0/B74*100)</f>
        <v/>
      </c>
      <c r="D74" s="19" t="n">
        <v>414</v>
      </c>
      <c r="E74" s="18" t="n">
        <v>55.49632831</v>
      </c>
      <c r="F74" s="20" t="n">
        <v>2.82164043</v>
      </c>
      <c r="G74" s="18" t="n">
        <v>44.50367169</v>
      </c>
      <c r="H74" s="20" t="n">
        <v>2.82164043</v>
      </c>
      <c r="I74" s="18" t="n">
        <v>0</v>
      </c>
      <c r="J74" s="20" t="n">
        <v>0</v>
      </c>
      <c r="K74" s="18" t="n">
        <v>0</v>
      </c>
      <c r="L74" s="20" t="n">
        <v>0</v>
      </c>
      <c r="M74" s="18" t="n">
        <v>0</v>
      </c>
      <c r="N74" s="20" t="n">
        <v>0</v>
      </c>
      <c r="O74" s="18" t="n">
        <v>0</v>
      </c>
      <c r="P74" s="20" t="n">
        <v>0</v>
      </c>
      <c r="Q74" s="18" t="n">
        <v>0</v>
      </c>
      <c r="R74" s="20" t="n">
        <v>0</v>
      </c>
    </row>
    <row r="75" spans="1:18">
      <c r="A75" s="15" t="s">
        <v>635</v>
      </c>
      <c r="B75" s="17" t="n">
        <v>4652</v>
      </c>
      <c r="C75" s="18">
        <f>(4136.0/B75*100)</f>
        <v/>
      </c>
      <c r="D75" s="19" t="n">
        <v>516</v>
      </c>
      <c r="E75" s="18" t="n">
        <v>79.31133379000001</v>
      </c>
      <c r="F75" s="20" t="n">
        <v>1.90135072</v>
      </c>
      <c r="G75" s="18" t="n">
        <v>20.09283483</v>
      </c>
      <c r="H75" s="20" t="n">
        <v>1.82531407</v>
      </c>
      <c r="I75" s="18" t="n">
        <v>0</v>
      </c>
      <c r="J75" s="20" t="n">
        <v>0</v>
      </c>
      <c r="K75" s="18" t="n">
        <v>0</v>
      </c>
      <c r="L75" s="20" t="n">
        <v>0</v>
      </c>
      <c r="M75" s="18" t="n">
        <v>0</v>
      </c>
      <c r="N75" s="20" t="n">
        <v>0</v>
      </c>
      <c r="O75" s="18" t="n">
        <v>0</v>
      </c>
      <c r="P75" s="20" t="n">
        <v>0</v>
      </c>
      <c r="Q75" s="18" t="n">
        <v>0.59583139</v>
      </c>
      <c r="R75" s="20" t="n">
        <v>0.38948204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(2674.0/B77*100)</f>
        <v/>
      </c>
      <c r="D77" s="19" t="n">
        <v>295</v>
      </c>
      <c r="E77" s="18" t="n">
        <v>76.95297773999999</v>
      </c>
      <c r="F77" s="20" t="n">
        <v>2.40677081</v>
      </c>
      <c r="G77" s="18" t="n">
        <v>15.6041859</v>
      </c>
      <c r="H77" s="20" t="n">
        <v>1.96401183</v>
      </c>
      <c r="I77" s="18" t="n">
        <v>0</v>
      </c>
      <c r="J77" s="20" t="n">
        <v>0</v>
      </c>
      <c r="K77" s="18" t="n">
        <v>4.7910756</v>
      </c>
      <c r="L77" s="20" t="n">
        <v>1.38917841</v>
      </c>
      <c r="M77" s="18" t="n">
        <v>0</v>
      </c>
      <c r="N77" s="20" t="n">
        <v>0</v>
      </c>
      <c r="O77" s="18" t="n">
        <v>0</v>
      </c>
      <c r="P77" s="20" t="n">
        <v>0</v>
      </c>
      <c r="Q77" s="18" t="n">
        <v>2.65176076</v>
      </c>
      <c r="R77" s="20" t="n">
        <v>0.89449965</v>
      </c>
    </row>
    <row r="78" spans="1:18">
      <c r="A78" s="15" t="s">
        <v>638</v>
      </c>
      <c r="B78" s="17" t="n">
        <v>7115</v>
      </c>
      <c r="C78" s="18">
        <f>(6320.0/B78*100)</f>
        <v/>
      </c>
      <c r="D78" s="19" t="n">
        <v>795</v>
      </c>
      <c r="E78" s="18" t="n">
        <v>70.61430721000001</v>
      </c>
      <c r="F78" s="20" t="n">
        <v>1.86368109</v>
      </c>
      <c r="G78" s="18" t="n">
        <v>28.58101155</v>
      </c>
      <c r="H78" s="20" t="n">
        <v>1.90327045</v>
      </c>
      <c r="I78" s="18" t="n">
        <v>0</v>
      </c>
      <c r="J78" s="20" t="n">
        <v>0</v>
      </c>
      <c r="K78" s="18" t="n">
        <v>0.38192699</v>
      </c>
      <c r="L78" s="20" t="n">
        <v>0.19619287</v>
      </c>
      <c r="M78" s="18" t="n">
        <v>0</v>
      </c>
      <c r="N78" s="20" t="n">
        <v>0</v>
      </c>
      <c r="O78" s="18" t="n">
        <v>0</v>
      </c>
      <c r="P78" s="20" t="n">
        <v>0</v>
      </c>
      <c r="Q78" s="18" t="n">
        <v>0.42275425</v>
      </c>
      <c r="R78" s="20" t="n">
        <v>0.29929479</v>
      </c>
    </row>
    <row r="79" spans="1:18">
      <c r="A79" s="15" t="s">
        <v>639</v>
      </c>
      <c r="B79" s="17" t="n">
        <v>3154</v>
      </c>
      <c r="C79" s="18">
        <f>(2853.0/B79*100)</f>
        <v/>
      </c>
      <c r="D79" s="19" t="n">
        <v>301</v>
      </c>
      <c r="E79" s="18" t="n">
        <v>73.70962385</v>
      </c>
      <c r="F79" s="20" t="n">
        <v>2.78176726</v>
      </c>
      <c r="G79" s="18" t="n">
        <v>22.97528425</v>
      </c>
      <c r="H79" s="20" t="n">
        <v>2.3283102</v>
      </c>
      <c r="I79" s="18" t="n">
        <v>0</v>
      </c>
      <c r="J79" s="20" t="n">
        <v>0</v>
      </c>
      <c r="K79" s="18" t="n">
        <v>2.0095351</v>
      </c>
      <c r="L79" s="20" t="n">
        <v>0.97600561</v>
      </c>
      <c r="M79" s="18" t="n">
        <v>0</v>
      </c>
      <c r="N79" s="20" t="n">
        <v>0</v>
      </c>
      <c r="O79" s="18" t="n">
        <v>0</v>
      </c>
      <c r="P79" s="20" t="n">
        <v>0</v>
      </c>
      <c r="Q79" s="18" t="n">
        <v>1.3055568</v>
      </c>
      <c r="R79" s="20" t="n">
        <v>0.69180244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(14254.0/B82*100)</f>
        <v/>
      </c>
      <c r="D82" s="19" t="n">
        <v>1707</v>
      </c>
      <c r="E82" s="18" t="n">
        <v>68.25877385</v>
      </c>
      <c r="F82" s="20" t="n">
        <v>1.45180192</v>
      </c>
      <c r="G82" s="18" t="n">
        <v>30.47148168</v>
      </c>
      <c r="H82" s="20" t="n">
        <v>1.52350724</v>
      </c>
      <c r="I82" s="18" t="n">
        <v>0</v>
      </c>
      <c r="J82" s="20" t="n">
        <v>0</v>
      </c>
      <c r="K82" s="18" t="n">
        <v>0.43516585</v>
      </c>
      <c r="L82" s="20" t="n">
        <v>0.19655525</v>
      </c>
      <c r="M82" s="18" t="n">
        <v>0</v>
      </c>
      <c r="N82" s="20" t="n">
        <v>0</v>
      </c>
      <c r="O82" s="18" t="n">
        <v>0</v>
      </c>
      <c r="P82" s="20" t="n">
        <v>0</v>
      </c>
      <c r="Q82" s="18" t="n">
        <v>0.83457862</v>
      </c>
      <c r="R82" s="20" t="n">
        <v>0.32976408</v>
      </c>
    </row>
    <row r="83" spans="1:18">
      <c r="A83" s="15" t="s">
        <v>643</v>
      </c>
      <c r="B83" s="17" t="n">
        <v>808</v>
      </c>
      <c r="C83" s="18">
        <f>(723.0/B83*100)</f>
        <v/>
      </c>
      <c r="D83" s="19" t="n">
        <v>85</v>
      </c>
      <c r="E83" s="18" t="n">
        <v>64.27201913</v>
      </c>
      <c r="F83" s="20" t="n">
        <v>5.40426579</v>
      </c>
      <c r="G83" s="18" t="n">
        <v>35.72798087</v>
      </c>
      <c r="H83" s="20" t="n">
        <v>5.40426579</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(837.0/B84*100)</f>
        <v/>
      </c>
      <c r="D84" s="19" t="n">
        <v>101</v>
      </c>
      <c r="E84" s="18" t="n">
        <v>56.69772361</v>
      </c>
      <c r="F84" s="20" t="n">
        <v>5.18508842</v>
      </c>
      <c r="G84" s="18" t="n">
        <v>43.30227639</v>
      </c>
      <c r="H84" s="20" t="n">
        <v>5.18508842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(6391.0/B7*100)</f>
        <v/>
      </c>
      <c r="D7" s="19" t="n">
        <v>772</v>
      </c>
      <c r="E7" s="18" t="n">
        <v>32.37662851</v>
      </c>
      <c r="F7" s="20" t="n">
        <v>1.77673397</v>
      </c>
      <c r="G7" s="18" t="n">
        <v>65.95322109999999</v>
      </c>
      <c r="H7" s="20" t="n">
        <v>1.86102181</v>
      </c>
      <c r="I7" s="18" t="n">
        <v>0</v>
      </c>
      <c r="J7" s="20" t="n">
        <v>0</v>
      </c>
      <c r="K7" s="18" t="n">
        <v>0.67586592</v>
      </c>
      <c r="L7" s="20" t="n">
        <v>0.31262558</v>
      </c>
      <c r="M7" s="18" t="n">
        <v>0</v>
      </c>
      <c r="N7" s="20" t="n">
        <v>0</v>
      </c>
      <c r="O7" s="18" t="n">
        <v>0</v>
      </c>
      <c r="P7" s="20" t="n">
        <v>0</v>
      </c>
      <c r="Q7" s="18" t="n">
        <v>0.99428447</v>
      </c>
      <c r="R7" s="20" t="n">
        <v>0.36436469</v>
      </c>
    </row>
    <row r="8" spans="1:18">
      <c r="A8" s="15" t="s">
        <v>566</v>
      </c>
      <c r="B8" s="17" t="n">
        <v>3443</v>
      </c>
      <c r="C8" s="18">
        <f>(3059.0/B8*100)</f>
        <v/>
      </c>
      <c r="D8" s="19" t="n">
        <v>384</v>
      </c>
      <c r="E8" s="18" t="n">
        <v>28.50411898</v>
      </c>
      <c r="F8" s="20" t="n">
        <v>2.8928091</v>
      </c>
      <c r="G8" s="18" t="n">
        <v>69.9354472</v>
      </c>
      <c r="H8" s="20" t="n">
        <v>2.98192891</v>
      </c>
      <c r="I8" s="18" t="n">
        <v>0</v>
      </c>
      <c r="J8" s="20" t="n">
        <v>0</v>
      </c>
      <c r="K8" s="18" t="n">
        <v>0.6385037099999999</v>
      </c>
      <c r="L8" s="20" t="n">
        <v>0.4734443</v>
      </c>
      <c r="M8" s="18" t="n">
        <v>0</v>
      </c>
      <c r="N8" s="20" t="n">
        <v>0</v>
      </c>
      <c r="O8" s="18" t="n">
        <v>0</v>
      </c>
      <c r="P8" s="20" t="n">
        <v>0</v>
      </c>
      <c r="Q8" s="18" t="n">
        <v>0.9219301</v>
      </c>
      <c r="R8" s="20" t="n">
        <v>0.53355523</v>
      </c>
    </row>
    <row r="9" spans="1:18">
      <c r="A9" s="15" t="s">
        <v>567</v>
      </c>
      <c r="B9" s="17" t="n">
        <v>4752</v>
      </c>
      <c r="C9" s="18">
        <f>(4258.0/B9*100)</f>
        <v/>
      </c>
      <c r="D9" s="19" t="n">
        <v>494</v>
      </c>
      <c r="E9" s="18" t="n">
        <v>34.28753352</v>
      </c>
      <c r="F9" s="20" t="n">
        <v>2.14381244</v>
      </c>
      <c r="G9" s="18" t="n">
        <v>65.18418880999999</v>
      </c>
      <c r="H9" s="20" t="n">
        <v>2.12985035</v>
      </c>
      <c r="I9" s="18" t="n">
        <v>0</v>
      </c>
      <c r="J9" s="20" t="n">
        <v>0</v>
      </c>
      <c r="K9" s="18" t="n">
        <v>0.38942284</v>
      </c>
      <c r="L9" s="20" t="n">
        <v>0.32240746</v>
      </c>
      <c r="M9" s="18" t="n">
        <v>0</v>
      </c>
      <c r="N9" s="20" t="n">
        <v>0</v>
      </c>
      <c r="O9" s="18" t="n">
        <v>0</v>
      </c>
      <c r="P9" s="20" t="n">
        <v>0</v>
      </c>
      <c r="Q9" s="18" t="n">
        <v>0.13885482</v>
      </c>
      <c r="R9" s="20" t="n">
        <v>0.11029653</v>
      </c>
    </row>
    <row r="10" spans="1:18">
      <c r="A10" s="15" t="s">
        <v>568</v>
      </c>
      <c r="B10" s="17" t="n">
        <v>10022</v>
      </c>
      <c r="C10" s="18">
        <f>(8894.0/B10*100)</f>
        <v/>
      </c>
      <c r="D10" s="19" t="n">
        <v>1128</v>
      </c>
      <c r="E10" s="18" t="n">
        <v>30.18889323</v>
      </c>
      <c r="F10" s="20" t="n">
        <v>1.6077806</v>
      </c>
      <c r="G10" s="18" t="n">
        <v>68.29011432999999</v>
      </c>
      <c r="H10" s="20" t="n">
        <v>1.70798913</v>
      </c>
      <c r="I10" s="18" t="n">
        <v>0</v>
      </c>
      <c r="J10" s="20" t="n">
        <v>0</v>
      </c>
      <c r="K10" s="18" t="n">
        <v>0.91732734</v>
      </c>
      <c r="L10" s="20" t="n">
        <v>0.5591994</v>
      </c>
      <c r="M10" s="18" t="n">
        <v>0</v>
      </c>
      <c r="N10" s="20" t="n">
        <v>0</v>
      </c>
      <c r="O10" s="18" t="n">
        <v>0</v>
      </c>
      <c r="P10" s="20" t="n">
        <v>0</v>
      </c>
      <c r="Q10" s="18" t="n">
        <v>0.6036651</v>
      </c>
      <c r="R10" s="20" t="n">
        <v>0.26629552</v>
      </c>
    </row>
    <row r="11" spans="1:18">
      <c r="A11" s="15" t="s">
        <v>569</v>
      </c>
      <c r="B11" s="17" t="n">
        <v>3500</v>
      </c>
      <c r="C11" s="18">
        <f>(3148.0/B11*100)</f>
        <v/>
      </c>
      <c r="D11" s="19" t="n">
        <v>352</v>
      </c>
      <c r="E11" s="18" t="n">
        <v>35.49471165</v>
      </c>
      <c r="F11" s="20" t="n">
        <v>2.88450787</v>
      </c>
      <c r="G11" s="18" t="n">
        <v>61.35328382</v>
      </c>
      <c r="H11" s="20" t="n">
        <v>2.90382963</v>
      </c>
      <c r="I11" s="18" t="n">
        <v>0</v>
      </c>
      <c r="J11" s="20" t="n">
        <v>0</v>
      </c>
      <c r="K11" s="18" t="n">
        <v>1.50449245</v>
      </c>
      <c r="L11" s="20" t="n">
        <v>0.69597229</v>
      </c>
      <c r="M11" s="18" t="n">
        <v>0</v>
      </c>
      <c r="N11" s="20" t="n">
        <v>0</v>
      </c>
      <c r="O11" s="18" t="n">
        <v>0</v>
      </c>
      <c r="P11" s="20" t="n">
        <v>0</v>
      </c>
      <c r="Q11" s="18" t="n">
        <v>1.64751207</v>
      </c>
      <c r="R11" s="20" t="n">
        <v>0.95526716</v>
      </c>
    </row>
    <row r="12" spans="1:18">
      <c r="A12" s="15" t="s">
        <v>570</v>
      </c>
      <c r="B12" s="17" t="n">
        <v>3422</v>
      </c>
      <c r="C12" s="18">
        <f>(3062.0/B12*100)</f>
        <v/>
      </c>
      <c r="D12" s="19" t="n">
        <v>360</v>
      </c>
      <c r="E12" s="18" t="n">
        <v>20.48376185</v>
      </c>
      <c r="F12" s="20" t="n">
        <v>2.23896927</v>
      </c>
      <c r="G12" s="18" t="n">
        <v>77.55869386000001</v>
      </c>
      <c r="H12" s="20" t="n">
        <v>2.31655198</v>
      </c>
      <c r="I12" s="18" t="n">
        <v>0</v>
      </c>
      <c r="J12" s="20" t="n">
        <v>0</v>
      </c>
      <c r="K12" s="18" t="n">
        <v>0.27060587</v>
      </c>
      <c r="L12" s="20" t="n">
        <v>0.27009636</v>
      </c>
      <c r="M12" s="18" t="n">
        <v>0</v>
      </c>
      <c r="N12" s="20" t="n">
        <v>0</v>
      </c>
      <c r="O12" s="18" t="n">
        <v>0</v>
      </c>
      <c r="P12" s="20" t="n">
        <v>0</v>
      </c>
      <c r="Q12" s="18" t="n">
        <v>1.68693842</v>
      </c>
      <c r="R12" s="20" t="n">
        <v>0.8314598600000001</v>
      </c>
    </row>
    <row r="13" spans="1:18">
      <c r="A13" s="15" t="s">
        <v>571</v>
      </c>
      <c r="B13" s="17" t="n">
        <v>3602</v>
      </c>
      <c r="C13" s="18">
        <f>(3201.0/B13*100)</f>
        <v/>
      </c>
      <c r="D13" s="19" t="n">
        <v>401</v>
      </c>
      <c r="E13" s="18" t="n">
        <v>38.04771376</v>
      </c>
      <c r="F13" s="20" t="n">
        <v>3.21292763</v>
      </c>
      <c r="G13" s="18" t="n">
        <v>59.94282906</v>
      </c>
      <c r="H13" s="20" t="n">
        <v>3.26332162</v>
      </c>
      <c r="I13" s="18" t="n">
        <v>0</v>
      </c>
      <c r="J13" s="20" t="n">
        <v>0</v>
      </c>
      <c r="K13" s="18" t="n">
        <v>0.26025597</v>
      </c>
      <c r="L13" s="20" t="n">
        <v>0.29674046</v>
      </c>
      <c r="M13" s="18" t="n">
        <v>0</v>
      </c>
      <c r="N13" s="20" t="n">
        <v>0</v>
      </c>
      <c r="O13" s="18" t="n">
        <v>0</v>
      </c>
      <c r="P13" s="20" t="n">
        <v>0</v>
      </c>
      <c r="Q13" s="18" t="n">
        <v>1.74920121</v>
      </c>
      <c r="R13" s="20" t="n">
        <v>0.76203566</v>
      </c>
    </row>
    <row r="14" spans="1:18">
      <c r="A14" s="15" t="s">
        <v>572</v>
      </c>
      <c r="B14" s="17" t="n">
        <v>2788</v>
      </c>
      <c r="C14" s="18">
        <f>(2475.0/B14*100)</f>
        <v/>
      </c>
      <c r="D14" s="19" t="n">
        <v>313</v>
      </c>
      <c r="E14" s="18" t="n">
        <v>24.95354932</v>
      </c>
      <c r="F14" s="20" t="n">
        <v>2.59881461</v>
      </c>
      <c r="G14" s="18" t="n">
        <v>73.7279774</v>
      </c>
      <c r="H14" s="20" t="n">
        <v>2.6414825</v>
      </c>
      <c r="I14" s="18" t="n">
        <v>0</v>
      </c>
      <c r="J14" s="20" t="n">
        <v>0</v>
      </c>
      <c r="K14" s="18" t="n">
        <v>0</v>
      </c>
      <c r="L14" s="20" t="n">
        <v>0</v>
      </c>
      <c r="M14" s="18" t="n">
        <v>0</v>
      </c>
      <c r="N14" s="20" t="n">
        <v>0</v>
      </c>
      <c r="O14" s="18" t="n">
        <v>0</v>
      </c>
      <c r="P14" s="20" t="n">
        <v>0</v>
      </c>
      <c r="Q14" s="18" t="n">
        <v>1.31847328</v>
      </c>
      <c r="R14" s="20" t="n">
        <v>0.91601006</v>
      </c>
    </row>
    <row r="15" spans="1:18">
      <c r="A15" s="15" t="s">
        <v>573</v>
      </c>
      <c r="B15" s="17" t="n">
        <v>2863</v>
      </c>
      <c r="C15" s="18">
        <f>(2560.0/B15*100)</f>
        <v/>
      </c>
      <c r="D15" s="19" t="n">
        <v>303</v>
      </c>
      <c r="E15" s="18" t="n">
        <v>16.63157424</v>
      </c>
      <c r="F15" s="20" t="n">
        <v>2.00752415</v>
      </c>
      <c r="G15" s="18" t="n">
        <v>83.00479360999999</v>
      </c>
      <c r="H15" s="20" t="n">
        <v>2.07148985</v>
      </c>
      <c r="I15" s="18" t="n">
        <v>0</v>
      </c>
      <c r="J15" s="20" t="n">
        <v>0</v>
      </c>
      <c r="K15" s="18" t="n">
        <v>0</v>
      </c>
      <c r="L15" s="20" t="n">
        <v>0</v>
      </c>
      <c r="M15" s="18" t="n">
        <v>0</v>
      </c>
      <c r="N15" s="20" t="n">
        <v>0</v>
      </c>
      <c r="O15" s="18" t="n">
        <v>0</v>
      </c>
      <c r="P15" s="20" t="n">
        <v>0</v>
      </c>
      <c r="Q15" s="18" t="n">
        <v>0.36363215</v>
      </c>
      <c r="R15" s="20" t="n">
        <v>0.34572094</v>
      </c>
    </row>
    <row r="16" spans="1:18">
      <c r="A16" s="15" t="s">
        <v>574</v>
      </c>
      <c r="B16" s="17" t="n">
        <v>3111</v>
      </c>
      <c r="C16" s="18">
        <f>(2774.0/B16*100)</f>
        <v/>
      </c>
      <c r="D16" s="19" t="n">
        <v>337</v>
      </c>
      <c r="E16" s="18" t="n">
        <v>38.05552303</v>
      </c>
      <c r="F16" s="20" t="n">
        <v>2.59370633</v>
      </c>
      <c r="G16" s="18" t="n">
        <v>59.85923498</v>
      </c>
      <c r="H16" s="20" t="n">
        <v>2.73320848</v>
      </c>
      <c r="I16" s="18" t="n">
        <v>0</v>
      </c>
      <c r="J16" s="20" t="n">
        <v>0</v>
      </c>
      <c r="K16" s="18" t="n">
        <v>0.91920568</v>
      </c>
      <c r="L16" s="20" t="n">
        <v>0.54950541</v>
      </c>
      <c r="M16" s="18" t="n">
        <v>0</v>
      </c>
      <c r="N16" s="20" t="n">
        <v>0</v>
      </c>
      <c r="O16" s="18" t="n">
        <v>0</v>
      </c>
      <c r="P16" s="20" t="n">
        <v>0</v>
      </c>
      <c r="Q16" s="18" t="n">
        <v>1.16603631</v>
      </c>
      <c r="R16" s="20" t="n">
        <v>0.56479146</v>
      </c>
    </row>
    <row r="17" spans="1:18">
      <c r="A17" s="15" t="s">
        <v>575</v>
      </c>
      <c r="B17" s="17" t="n">
        <v>3197</v>
      </c>
      <c r="C17" s="18">
        <f>(2850.0/B17*100)</f>
        <v/>
      </c>
      <c r="D17" s="19" t="n">
        <v>347</v>
      </c>
      <c r="E17" s="18" t="n">
        <v>31.2472389</v>
      </c>
      <c r="F17" s="20" t="n">
        <v>2.8304306</v>
      </c>
      <c r="G17" s="18" t="n">
        <v>67.21977908</v>
      </c>
      <c r="H17" s="20" t="n">
        <v>3.03324584</v>
      </c>
      <c r="I17" s="18" t="n">
        <v>0</v>
      </c>
      <c r="J17" s="20" t="n">
        <v>0</v>
      </c>
      <c r="K17" s="18" t="n">
        <v>0.29316236</v>
      </c>
      <c r="L17" s="20" t="n">
        <v>0.28858675</v>
      </c>
      <c r="M17" s="18" t="n">
        <v>0</v>
      </c>
      <c r="N17" s="20" t="n">
        <v>0</v>
      </c>
      <c r="O17" s="18" t="n">
        <v>0</v>
      </c>
      <c r="P17" s="20" t="n">
        <v>0</v>
      </c>
      <c r="Q17" s="18" t="n">
        <v>1.23981965</v>
      </c>
      <c r="R17" s="20" t="n">
        <v>0.93728064</v>
      </c>
    </row>
    <row r="18" spans="1:18">
      <c r="A18" s="15" t="s">
        <v>576</v>
      </c>
      <c r="B18" s="17" t="n">
        <v>2706</v>
      </c>
      <c r="C18" s="18">
        <f>(2421.0/B18*100)</f>
        <v/>
      </c>
      <c r="D18" s="19" t="n">
        <v>285</v>
      </c>
      <c r="E18" s="18" t="n">
        <v>25.90532652</v>
      </c>
      <c r="F18" s="20" t="n">
        <v>2.76773871</v>
      </c>
      <c r="G18" s="18" t="n">
        <v>70.40504190999999</v>
      </c>
      <c r="H18" s="20" t="n">
        <v>2.88220407</v>
      </c>
      <c r="I18" s="18" t="n">
        <v>0</v>
      </c>
      <c r="J18" s="20" t="n">
        <v>0</v>
      </c>
      <c r="K18" s="18" t="n">
        <v>0.63394482</v>
      </c>
      <c r="L18" s="20" t="n">
        <v>0.44743628</v>
      </c>
      <c r="M18" s="18" t="n">
        <v>0</v>
      </c>
      <c r="N18" s="20" t="n">
        <v>0</v>
      </c>
      <c r="O18" s="18" t="n">
        <v>0</v>
      </c>
      <c r="P18" s="20" t="n">
        <v>0</v>
      </c>
      <c r="Q18" s="18" t="n">
        <v>3.05568675</v>
      </c>
      <c r="R18" s="20" t="n">
        <v>1.28494064</v>
      </c>
    </row>
    <row r="19" spans="1:18">
      <c r="A19" s="15" t="s">
        <v>577</v>
      </c>
      <c r="B19" s="17" t="n">
        <v>2850</v>
      </c>
      <c r="C19" s="18">
        <f>(2546.0/B19*100)</f>
        <v/>
      </c>
      <c r="D19" s="19" t="n">
        <v>304</v>
      </c>
      <c r="E19" s="18" t="n">
        <v>27.7215857</v>
      </c>
      <c r="F19" s="20" t="n">
        <v>3.21164687</v>
      </c>
      <c r="G19" s="18" t="n">
        <v>69.86034589</v>
      </c>
      <c r="H19" s="20" t="n">
        <v>3.26620851</v>
      </c>
      <c r="I19" s="18" t="n">
        <v>0</v>
      </c>
      <c r="J19" s="20" t="n">
        <v>0</v>
      </c>
      <c r="K19" s="18" t="n">
        <v>0</v>
      </c>
      <c r="L19" s="20" t="n">
        <v>0</v>
      </c>
      <c r="M19" s="18" t="n">
        <v>0</v>
      </c>
      <c r="N19" s="20" t="n">
        <v>0</v>
      </c>
      <c r="O19" s="18" t="n">
        <v>0</v>
      </c>
      <c r="P19" s="20" t="n">
        <v>0</v>
      </c>
      <c r="Q19" s="18" t="n">
        <v>2.41806841</v>
      </c>
      <c r="R19" s="20" t="n">
        <v>1.15559258</v>
      </c>
    </row>
    <row r="20" spans="1:18">
      <c r="A20" s="15" t="s">
        <v>578</v>
      </c>
      <c r="B20" s="17" t="n">
        <v>1741</v>
      </c>
      <c r="C20" s="18">
        <f>(1525.0/B20*100)</f>
        <v/>
      </c>
      <c r="D20" s="19" t="n">
        <v>216</v>
      </c>
      <c r="E20" s="18" t="n">
        <v>30.59576299</v>
      </c>
      <c r="F20" s="20" t="n">
        <v>3.20067829</v>
      </c>
      <c r="G20" s="18" t="n">
        <v>65.89926688</v>
      </c>
      <c r="H20" s="20" t="n">
        <v>3.45479646</v>
      </c>
      <c r="I20" s="18" t="n">
        <v>0</v>
      </c>
      <c r="J20" s="20" t="n">
        <v>0</v>
      </c>
      <c r="K20" s="18" t="n">
        <v>0</v>
      </c>
      <c r="L20" s="20" t="n">
        <v>0</v>
      </c>
      <c r="M20" s="18" t="n">
        <v>0</v>
      </c>
      <c r="N20" s="20" t="n">
        <v>0</v>
      </c>
      <c r="O20" s="18" t="n">
        <v>0</v>
      </c>
      <c r="P20" s="20" t="n">
        <v>0</v>
      </c>
      <c r="Q20" s="18" t="n">
        <v>3.50497012</v>
      </c>
      <c r="R20" s="20" t="n">
        <v>1.29773391</v>
      </c>
    </row>
    <row r="21" spans="1:18">
      <c r="A21" s="15" t="s">
        <v>579</v>
      </c>
      <c r="B21" s="17" t="n">
        <v>2833</v>
      </c>
      <c r="C21" s="18">
        <f>(2530.0/B21*100)</f>
        <v/>
      </c>
      <c r="D21" s="19" t="n">
        <v>303</v>
      </c>
      <c r="E21" s="18" t="n">
        <v>32.70195777</v>
      </c>
      <c r="F21" s="20" t="n">
        <v>3.00088361</v>
      </c>
      <c r="G21" s="18" t="n">
        <v>66.96215961999999</v>
      </c>
      <c r="H21" s="20" t="n">
        <v>2.96057017</v>
      </c>
      <c r="I21" s="18" t="n">
        <v>0</v>
      </c>
      <c r="J21" s="20" t="n">
        <v>0</v>
      </c>
      <c r="K21" s="18" t="n">
        <v>0.33588261</v>
      </c>
      <c r="L21" s="20" t="n">
        <v>0.33291403</v>
      </c>
      <c r="M21" s="18" t="n">
        <v>0</v>
      </c>
      <c r="N21" s="20" t="n">
        <v>0</v>
      </c>
      <c r="O21" s="18" t="n">
        <v>0</v>
      </c>
      <c r="P21" s="20" t="n">
        <v>0</v>
      </c>
      <c r="Q21" s="18" t="n">
        <v>0</v>
      </c>
      <c r="R21" s="20" t="n">
        <v>0</v>
      </c>
    </row>
    <row r="22" spans="1:18">
      <c r="A22" s="15" t="s">
        <v>580</v>
      </c>
      <c r="B22" s="17" t="n">
        <v>3667</v>
      </c>
      <c r="C22" s="18">
        <f>(3249.0/B22*100)</f>
        <v/>
      </c>
      <c r="D22" s="19" t="n">
        <v>418</v>
      </c>
      <c r="E22" s="18" t="n">
        <v>43.77348565</v>
      </c>
      <c r="F22" s="20" t="n">
        <v>2.72505925</v>
      </c>
      <c r="G22" s="18" t="n">
        <v>53.99476395</v>
      </c>
      <c r="H22" s="20" t="n">
        <v>2.95707354</v>
      </c>
      <c r="I22" s="18" t="n">
        <v>0</v>
      </c>
      <c r="J22" s="20" t="n">
        <v>0</v>
      </c>
      <c r="K22" s="18" t="n">
        <v>0.64836535</v>
      </c>
      <c r="L22" s="20" t="n">
        <v>0.38620668</v>
      </c>
      <c r="M22" s="18" t="n">
        <v>0</v>
      </c>
      <c r="N22" s="20" t="n">
        <v>0</v>
      </c>
      <c r="O22" s="18" t="n">
        <v>0</v>
      </c>
      <c r="P22" s="20" t="n">
        <v>0</v>
      </c>
      <c r="Q22" s="18" t="n">
        <v>1.58338505</v>
      </c>
      <c r="R22" s="20" t="n">
        <v>0.6119675</v>
      </c>
    </row>
    <row r="23" spans="1:18">
      <c r="A23" s="15" t="s">
        <v>581</v>
      </c>
      <c r="B23" s="17" t="n">
        <v>5792</v>
      </c>
      <c r="C23" s="18">
        <f>(5163.0/B23*100)</f>
        <v/>
      </c>
      <c r="D23" s="19" t="n">
        <v>629</v>
      </c>
      <c r="E23" s="18" t="n">
        <v>28.94899736</v>
      </c>
      <c r="F23" s="20" t="n">
        <v>2.60573116</v>
      </c>
      <c r="G23" s="18" t="n">
        <v>69.32783567</v>
      </c>
      <c r="H23" s="20" t="n">
        <v>2.60896162</v>
      </c>
      <c r="I23" s="18" t="n">
        <v>0</v>
      </c>
      <c r="J23" s="20" t="n">
        <v>0</v>
      </c>
      <c r="K23" s="18" t="n">
        <v>0.30692532</v>
      </c>
      <c r="L23" s="20" t="n">
        <v>0.27714897</v>
      </c>
      <c r="M23" s="18" t="n">
        <v>0</v>
      </c>
      <c r="N23" s="20" t="n">
        <v>0</v>
      </c>
      <c r="O23" s="18" t="n">
        <v>0</v>
      </c>
      <c r="P23" s="20" t="n">
        <v>0</v>
      </c>
      <c r="Q23" s="18" t="n">
        <v>1.41624165</v>
      </c>
      <c r="R23" s="20" t="n">
        <v>0.63584196</v>
      </c>
    </row>
    <row r="24" spans="1:18">
      <c r="A24" s="15" t="s">
        <v>582</v>
      </c>
      <c r="B24" s="17" t="n">
        <v>3309</v>
      </c>
      <c r="C24" s="18">
        <f>(2953.0/B24*100)</f>
        <v/>
      </c>
      <c r="D24" s="19" t="n">
        <v>356</v>
      </c>
      <c r="E24" s="18" t="n">
        <v>30.50191446</v>
      </c>
      <c r="F24" s="20" t="n">
        <v>2.76674007</v>
      </c>
      <c r="G24" s="18" t="n">
        <v>67.9972568</v>
      </c>
      <c r="H24" s="20" t="n">
        <v>2.66642624</v>
      </c>
      <c r="I24" s="18" t="n">
        <v>0</v>
      </c>
      <c r="J24" s="20" t="n">
        <v>0</v>
      </c>
      <c r="K24" s="18" t="n">
        <v>0.33524582</v>
      </c>
      <c r="L24" s="20" t="n">
        <v>0.33732427</v>
      </c>
      <c r="M24" s="18" t="n">
        <v>0</v>
      </c>
      <c r="N24" s="20" t="n">
        <v>0</v>
      </c>
      <c r="O24" s="18" t="n">
        <v>0</v>
      </c>
      <c r="P24" s="20" t="n">
        <v>0</v>
      </c>
      <c r="Q24" s="18" t="n">
        <v>1.16558292</v>
      </c>
      <c r="R24" s="20" t="n">
        <v>0.56198369</v>
      </c>
    </row>
    <row r="25" spans="1:18">
      <c r="A25" s="15" t="s">
        <v>583</v>
      </c>
      <c r="B25" s="17" t="n">
        <v>2669</v>
      </c>
      <c r="C25" s="18">
        <f>(2362.0/B25*100)</f>
        <v/>
      </c>
      <c r="D25" s="19" t="n">
        <v>307</v>
      </c>
      <c r="E25" s="18" t="n">
        <v>26.86248304</v>
      </c>
      <c r="F25" s="20" t="n">
        <v>2.46281144</v>
      </c>
      <c r="G25" s="18" t="n">
        <v>72.85223367</v>
      </c>
      <c r="H25" s="20" t="n">
        <v>2.45978624</v>
      </c>
      <c r="I25" s="18" t="n">
        <v>0</v>
      </c>
      <c r="J25" s="20" t="n">
        <v>0</v>
      </c>
      <c r="K25" s="18" t="n">
        <v>0.28528329</v>
      </c>
      <c r="L25" s="20" t="n">
        <v>0.28424248</v>
      </c>
      <c r="M25" s="18" t="n">
        <v>0</v>
      </c>
      <c r="N25" s="20" t="n">
        <v>0</v>
      </c>
      <c r="O25" s="18" t="n">
        <v>0</v>
      </c>
      <c r="P25" s="20" t="n">
        <v>0</v>
      </c>
      <c r="Q25" s="18" t="n">
        <v>0</v>
      </c>
      <c r="R25" s="20" t="n">
        <v>0</v>
      </c>
    </row>
    <row r="26" spans="1:18">
      <c r="A26" s="15" t="s">
        <v>584</v>
      </c>
      <c r="B26" s="17" t="n">
        <v>2419</v>
      </c>
      <c r="C26" s="18">
        <f>(2161.0/B26*100)</f>
        <v/>
      </c>
      <c r="D26" s="19" t="n">
        <v>258</v>
      </c>
      <c r="E26" s="18" t="n">
        <v>23.61815184</v>
      </c>
      <c r="F26" s="20" t="n">
        <v>2.55369841</v>
      </c>
      <c r="G26" s="18" t="n">
        <v>76.07904555</v>
      </c>
      <c r="H26" s="20" t="n">
        <v>2.57323076</v>
      </c>
      <c r="I26" s="18" t="n">
        <v>0</v>
      </c>
      <c r="J26" s="20" t="n">
        <v>0</v>
      </c>
      <c r="K26" s="18" t="n">
        <v>0.30280262</v>
      </c>
      <c r="L26" s="20" t="n">
        <v>0.33021595</v>
      </c>
      <c r="M26" s="18" t="n">
        <v>0</v>
      </c>
      <c r="N26" s="20" t="n">
        <v>0</v>
      </c>
      <c r="O26" s="18" t="n">
        <v>0</v>
      </c>
      <c r="P26" s="20" t="n">
        <v>0</v>
      </c>
      <c r="Q26" s="18" t="n">
        <v>0</v>
      </c>
      <c r="R26" s="20" t="n">
        <v>0</v>
      </c>
    </row>
    <row r="27" spans="1:18">
      <c r="A27" s="15" t="s">
        <v>585</v>
      </c>
      <c r="B27" s="17" t="n">
        <v>2683</v>
      </c>
      <c r="C27" s="18">
        <f>(2378.0/B27*100)</f>
        <v/>
      </c>
      <c r="D27" s="19" t="n">
        <v>305</v>
      </c>
      <c r="E27" s="18" t="n">
        <v>38.48607195</v>
      </c>
      <c r="F27" s="20" t="n">
        <v>2.9241482</v>
      </c>
      <c r="G27" s="18" t="n">
        <v>57.585652</v>
      </c>
      <c r="H27" s="20" t="n">
        <v>2.86703229</v>
      </c>
      <c r="I27" s="18" t="n">
        <v>0</v>
      </c>
      <c r="J27" s="20" t="n">
        <v>0</v>
      </c>
      <c r="K27" s="18" t="n">
        <v>0.34070919</v>
      </c>
      <c r="L27" s="20" t="n">
        <v>0.34183391</v>
      </c>
      <c r="M27" s="18" t="n">
        <v>0</v>
      </c>
      <c r="N27" s="20" t="n">
        <v>0</v>
      </c>
      <c r="O27" s="18" t="n">
        <v>0</v>
      </c>
      <c r="P27" s="20" t="n">
        <v>0</v>
      </c>
      <c r="Q27" s="18" t="n">
        <v>3.58756685</v>
      </c>
      <c r="R27" s="20" t="n">
        <v>1.11824564</v>
      </c>
    </row>
    <row r="28" spans="1:18">
      <c r="A28" s="15" t="s">
        <v>586</v>
      </c>
      <c r="B28" s="17" t="n">
        <v>3803</v>
      </c>
      <c r="C28" s="18">
        <f>(3431.0/B28*100)</f>
        <v/>
      </c>
      <c r="D28" s="19" t="n">
        <v>372</v>
      </c>
      <c r="E28" s="18" t="n">
        <v>35.40374751</v>
      </c>
      <c r="F28" s="20" t="n">
        <v>2.86989716</v>
      </c>
      <c r="G28" s="18" t="n">
        <v>61.5122797</v>
      </c>
      <c r="H28" s="20" t="n">
        <v>2.90908523</v>
      </c>
      <c r="I28" s="18" t="n">
        <v>0</v>
      </c>
      <c r="J28" s="20" t="n">
        <v>0</v>
      </c>
      <c r="K28" s="18" t="n">
        <v>2.21196136</v>
      </c>
      <c r="L28" s="20" t="n">
        <v>0.87556154</v>
      </c>
      <c r="M28" s="18" t="n">
        <v>0</v>
      </c>
      <c r="N28" s="20" t="n">
        <v>0</v>
      </c>
      <c r="O28" s="18" t="n">
        <v>0</v>
      </c>
      <c r="P28" s="20" t="n">
        <v>0</v>
      </c>
      <c r="Q28" s="18" t="n">
        <v>0.87201144</v>
      </c>
      <c r="R28" s="20" t="n">
        <v>0.4634214</v>
      </c>
    </row>
    <row r="29" spans="1:18">
      <c r="A29" s="15" t="s">
        <v>587</v>
      </c>
      <c r="B29" s="17" t="n">
        <v>2700</v>
      </c>
      <c r="C29" s="18">
        <f>(2408.0/B29*100)</f>
        <v/>
      </c>
      <c r="D29" s="19" t="n">
        <v>292</v>
      </c>
      <c r="E29" s="18" t="n">
        <v>32.89242597</v>
      </c>
      <c r="F29" s="20" t="n">
        <v>2.97285952</v>
      </c>
      <c r="G29" s="18" t="n">
        <v>65.46846908000001</v>
      </c>
      <c r="H29" s="20" t="n">
        <v>2.96000817</v>
      </c>
      <c r="I29" s="18" t="n">
        <v>0</v>
      </c>
      <c r="J29" s="20" t="n">
        <v>0</v>
      </c>
      <c r="K29" s="18" t="n">
        <v>0.69193791</v>
      </c>
      <c r="L29" s="20" t="n">
        <v>0.47666259</v>
      </c>
      <c r="M29" s="18" t="n">
        <v>0</v>
      </c>
      <c r="N29" s="20" t="n">
        <v>0</v>
      </c>
      <c r="O29" s="18" t="n">
        <v>0</v>
      </c>
      <c r="P29" s="20" t="n">
        <v>0</v>
      </c>
      <c r="Q29" s="18" t="n">
        <v>0.94716703</v>
      </c>
      <c r="R29" s="20" t="n">
        <v>0.56217065</v>
      </c>
    </row>
    <row r="30" spans="1:18">
      <c r="A30" s="15" t="s">
        <v>588</v>
      </c>
      <c r="B30" s="17" t="n">
        <v>2257</v>
      </c>
      <c r="C30" s="18">
        <f>(2006.0/B30*100)</f>
        <v/>
      </c>
      <c r="D30" s="19" t="n">
        <v>251</v>
      </c>
      <c r="E30" s="18" t="n">
        <v>39.21315375</v>
      </c>
      <c r="F30" s="20" t="n">
        <v>3.42397633</v>
      </c>
      <c r="G30" s="18" t="n">
        <v>59.99941962</v>
      </c>
      <c r="H30" s="20" t="n">
        <v>3.42616203</v>
      </c>
      <c r="I30" s="18" t="n">
        <v>0</v>
      </c>
      <c r="J30" s="20" t="n">
        <v>0</v>
      </c>
      <c r="K30" s="18" t="n">
        <v>0</v>
      </c>
      <c r="L30" s="20" t="n">
        <v>0</v>
      </c>
      <c r="M30" s="18" t="n">
        <v>0</v>
      </c>
      <c r="N30" s="20" t="n">
        <v>0</v>
      </c>
      <c r="O30" s="18" t="n">
        <v>0</v>
      </c>
      <c r="P30" s="20" t="n">
        <v>0</v>
      </c>
      <c r="Q30" s="18" t="n">
        <v>0.78742664</v>
      </c>
      <c r="R30" s="20" t="n">
        <v>0.48909709</v>
      </c>
    </row>
    <row r="31" spans="1:18">
      <c r="A31" s="15" t="s">
        <v>589</v>
      </c>
      <c r="B31" s="17" t="n">
        <v>2706</v>
      </c>
      <c r="C31" s="18">
        <f>(2417.0/B31*100)</f>
        <v/>
      </c>
      <c r="D31" s="19" t="n">
        <v>289</v>
      </c>
      <c r="E31" s="18" t="n">
        <v>31.86389916</v>
      </c>
      <c r="F31" s="20" t="n">
        <v>2.50166906</v>
      </c>
      <c r="G31" s="18" t="n">
        <v>65.14693147</v>
      </c>
      <c r="H31" s="20" t="n">
        <v>2.57282762</v>
      </c>
      <c r="I31" s="18" t="n">
        <v>0</v>
      </c>
      <c r="J31" s="20" t="n">
        <v>0</v>
      </c>
      <c r="K31" s="18" t="n">
        <v>1.31429998</v>
      </c>
      <c r="L31" s="20" t="n">
        <v>0.63321465</v>
      </c>
      <c r="M31" s="18" t="n">
        <v>0</v>
      </c>
      <c r="N31" s="20" t="n">
        <v>0</v>
      </c>
      <c r="O31" s="18" t="n">
        <v>0</v>
      </c>
      <c r="P31" s="20" t="n">
        <v>0</v>
      </c>
      <c r="Q31" s="18" t="n">
        <v>1.67486939</v>
      </c>
      <c r="R31" s="20" t="n">
        <v>0.77253684</v>
      </c>
    </row>
    <row r="32" spans="1:18">
      <c r="A32" s="15" t="s">
        <v>590</v>
      </c>
      <c r="B32" s="17" t="n">
        <v>2209</v>
      </c>
      <c r="C32" s="18">
        <f>(1969.0/B32*100)</f>
        <v/>
      </c>
      <c r="D32" s="19" t="n">
        <v>240</v>
      </c>
      <c r="E32" s="18" t="n">
        <v>25.75569499</v>
      </c>
      <c r="F32" s="20" t="n">
        <v>2.75997099</v>
      </c>
      <c r="G32" s="18" t="n">
        <v>74.24430501000001</v>
      </c>
      <c r="H32" s="20" t="n">
        <v>2.75997099</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(3281.0/B33*100)</f>
        <v/>
      </c>
      <c r="D33" s="19" t="n">
        <v>370</v>
      </c>
      <c r="E33" s="18" t="n">
        <v>34.26681448</v>
      </c>
      <c r="F33" s="20" t="n">
        <v>2.92173072</v>
      </c>
      <c r="G33" s="18" t="n">
        <v>64.67304651000001</v>
      </c>
      <c r="H33" s="20" t="n">
        <v>2.89500365</v>
      </c>
      <c r="I33" s="18" t="n">
        <v>0</v>
      </c>
      <c r="J33" s="20" t="n">
        <v>0</v>
      </c>
      <c r="K33" s="18" t="n">
        <v>0.36297568</v>
      </c>
      <c r="L33" s="20" t="n">
        <v>0.36102578</v>
      </c>
      <c r="M33" s="18" t="n">
        <v>0</v>
      </c>
      <c r="N33" s="20" t="n">
        <v>0</v>
      </c>
      <c r="O33" s="18" t="n">
        <v>0</v>
      </c>
      <c r="P33" s="20" t="n">
        <v>0</v>
      </c>
      <c r="Q33" s="18" t="n">
        <v>0.69716333</v>
      </c>
      <c r="R33" s="20" t="n">
        <v>0.44189264</v>
      </c>
    </row>
    <row r="34" spans="1:18">
      <c r="A34" s="15" t="s">
        <v>592</v>
      </c>
      <c r="B34" s="17" t="n">
        <v>3035</v>
      </c>
      <c r="C34" s="18">
        <f>(2695.0/B34*100)</f>
        <v/>
      </c>
      <c r="D34" s="19" t="n">
        <v>340</v>
      </c>
      <c r="E34" s="18" t="n">
        <v>32.95636275</v>
      </c>
      <c r="F34" s="20" t="n">
        <v>2.97576751</v>
      </c>
      <c r="G34" s="18" t="n">
        <v>65.54622152</v>
      </c>
      <c r="H34" s="20" t="n">
        <v>2.98339541</v>
      </c>
      <c r="I34" s="18" t="n">
        <v>0</v>
      </c>
      <c r="J34" s="20" t="n">
        <v>0</v>
      </c>
      <c r="K34" s="18" t="n">
        <v>0.36851498</v>
      </c>
      <c r="L34" s="20" t="n">
        <v>0.26438293</v>
      </c>
      <c r="M34" s="18" t="n">
        <v>0</v>
      </c>
      <c r="N34" s="20" t="n">
        <v>0</v>
      </c>
      <c r="O34" s="18" t="n">
        <v>0</v>
      </c>
      <c r="P34" s="20" t="n">
        <v>0</v>
      </c>
      <c r="Q34" s="18" t="n">
        <v>1.12890076</v>
      </c>
      <c r="R34" s="20" t="n">
        <v>0.84656402</v>
      </c>
    </row>
    <row r="35" spans="1:18">
      <c r="A35" s="15" t="s">
        <v>593</v>
      </c>
      <c r="B35" s="17" t="n">
        <v>2901</v>
      </c>
      <c r="C35" s="18">
        <f>(2608.0/B35*100)</f>
        <v/>
      </c>
      <c r="D35" s="19" t="n">
        <v>293</v>
      </c>
      <c r="E35" s="18" t="n">
        <v>22.3816147</v>
      </c>
      <c r="F35" s="20" t="n">
        <v>3.02858171</v>
      </c>
      <c r="G35" s="18" t="n">
        <v>76.33591018</v>
      </c>
      <c r="H35" s="20" t="n">
        <v>3.121356</v>
      </c>
      <c r="I35" s="18" t="n">
        <v>0</v>
      </c>
      <c r="J35" s="20" t="n">
        <v>0</v>
      </c>
      <c r="K35" s="18" t="n">
        <v>0.13986515</v>
      </c>
      <c r="L35" s="20" t="n">
        <v>0.14289993</v>
      </c>
      <c r="M35" s="18" t="n">
        <v>0</v>
      </c>
      <c r="N35" s="20" t="n">
        <v>0</v>
      </c>
      <c r="O35" s="18" t="n">
        <v>0</v>
      </c>
      <c r="P35" s="20" t="n">
        <v>0</v>
      </c>
      <c r="Q35" s="18" t="n">
        <v>1.14260997</v>
      </c>
      <c r="R35" s="20" t="n">
        <v>0.95892047</v>
      </c>
    </row>
    <row r="36" spans="1:18">
      <c r="A36" s="15" t="s">
        <v>594</v>
      </c>
      <c r="B36" s="17" t="n">
        <v>3404</v>
      </c>
      <c r="C36" s="18">
        <f>(3057.0/B36*100)</f>
        <v/>
      </c>
      <c r="D36" s="19" t="n">
        <v>347</v>
      </c>
      <c r="E36" s="18" t="n">
        <v>33.28544625</v>
      </c>
      <c r="F36" s="20" t="n">
        <v>2.66257327</v>
      </c>
      <c r="G36" s="18" t="n">
        <v>65.42952046000001</v>
      </c>
      <c r="H36" s="20" t="n">
        <v>2.83005995</v>
      </c>
      <c r="I36" s="18" t="n">
        <v>0</v>
      </c>
      <c r="J36" s="20" t="n">
        <v>0</v>
      </c>
      <c r="K36" s="18" t="n">
        <v>0</v>
      </c>
      <c r="L36" s="20" t="n">
        <v>0</v>
      </c>
      <c r="M36" s="18" t="n">
        <v>0</v>
      </c>
      <c r="N36" s="20" t="n">
        <v>0</v>
      </c>
      <c r="O36" s="18" t="n">
        <v>0</v>
      </c>
      <c r="P36" s="20" t="n">
        <v>0</v>
      </c>
      <c r="Q36" s="18" t="n">
        <v>1.2850333</v>
      </c>
      <c r="R36" s="20" t="n">
        <v>0.68839166</v>
      </c>
    </row>
    <row r="37" spans="1:18">
      <c r="A37" s="15" t="s">
        <v>595</v>
      </c>
      <c r="B37" s="17" t="n">
        <v>2731</v>
      </c>
      <c r="C37" s="18">
        <f>(2431.0/B37*100)</f>
        <v/>
      </c>
      <c r="D37" s="19" t="n">
        <v>300</v>
      </c>
      <c r="E37" s="18" t="n">
        <v>33.79262357</v>
      </c>
      <c r="F37" s="20" t="n">
        <v>2.68230433</v>
      </c>
      <c r="G37" s="18" t="n">
        <v>62.11881617</v>
      </c>
      <c r="H37" s="20" t="n">
        <v>2.73261803</v>
      </c>
      <c r="I37" s="18" t="n">
        <v>0</v>
      </c>
      <c r="J37" s="20" t="n">
        <v>0</v>
      </c>
      <c r="K37" s="18" t="n">
        <v>1.63376004</v>
      </c>
      <c r="L37" s="20" t="n">
        <v>0.74464693</v>
      </c>
      <c r="M37" s="18" t="n">
        <v>0</v>
      </c>
      <c r="N37" s="20" t="n">
        <v>0</v>
      </c>
      <c r="O37" s="18" t="n">
        <v>0</v>
      </c>
      <c r="P37" s="20" t="n">
        <v>0</v>
      </c>
      <c r="Q37" s="18" t="n">
        <v>2.45480022</v>
      </c>
      <c r="R37" s="20" t="n">
        <v>1.05663767</v>
      </c>
    </row>
    <row r="38" spans="1:18">
      <c r="A38" s="15" t="s">
        <v>596</v>
      </c>
      <c r="B38" s="17" t="n">
        <v>2807</v>
      </c>
      <c r="C38" s="18">
        <f>(2491.0/B38*100)</f>
        <v/>
      </c>
      <c r="D38" s="19" t="n">
        <v>316</v>
      </c>
      <c r="E38" s="18" t="n">
        <v>36.31923512</v>
      </c>
      <c r="F38" s="20" t="n">
        <v>2.66864406</v>
      </c>
      <c r="G38" s="18" t="n">
        <v>62.27410369</v>
      </c>
      <c r="H38" s="20" t="n">
        <v>2.6705683</v>
      </c>
      <c r="I38" s="18" t="n">
        <v>0</v>
      </c>
      <c r="J38" s="20" t="n">
        <v>0</v>
      </c>
      <c r="K38" s="18" t="n">
        <v>0.33534707</v>
      </c>
      <c r="L38" s="20" t="n">
        <v>0.33535662</v>
      </c>
      <c r="M38" s="18" t="n">
        <v>0</v>
      </c>
      <c r="N38" s="20" t="n">
        <v>0</v>
      </c>
      <c r="O38" s="18" t="n">
        <v>0</v>
      </c>
      <c r="P38" s="20" t="n">
        <v>0</v>
      </c>
      <c r="Q38" s="18" t="n">
        <v>1.07131412</v>
      </c>
      <c r="R38" s="20" t="n">
        <v>0.56382457</v>
      </c>
    </row>
    <row r="39" spans="1:18">
      <c r="A39" s="15" t="s">
        <v>597</v>
      </c>
      <c r="B39" s="17" t="n">
        <v>2938</v>
      </c>
      <c r="C39" s="18">
        <f>(2624.0/B39*100)</f>
        <v/>
      </c>
      <c r="D39" s="19" t="n">
        <v>314</v>
      </c>
      <c r="E39" s="18" t="n">
        <v>41.9222266</v>
      </c>
      <c r="F39" s="20" t="n">
        <v>3.07449396</v>
      </c>
      <c r="G39" s="18" t="n">
        <v>56.56015722</v>
      </c>
      <c r="H39" s="20" t="n">
        <v>3.20803581</v>
      </c>
      <c r="I39" s="18" t="n">
        <v>0</v>
      </c>
      <c r="J39" s="20" t="n">
        <v>0</v>
      </c>
      <c r="K39" s="18" t="n">
        <v>0</v>
      </c>
      <c r="L39" s="20" t="n">
        <v>0</v>
      </c>
      <c r="M39" s="18" t="n">
        <v>0</v>
      </c>
      <c r="N39" s="20" t="n">
        <v>0</v>
      </c>
      <c r="O39" s="18" t="n">
        <v>0</v>
      </c>
      <c r="P39" s="20" t="n">
        <v>0</v>
      </c>
      <c r="Q39" s="18" t="n">
        <v>1.51761618</v>
      </c>
      <c r="R39" s="20" t="n">
        <v>0.67850123</v>
      </c>
    </row>
    <row r="40" spans="1:18">
      <c r="A40" s="15" t="s">
        <v>598</v>
      </c>
      <c r="B40" s="17" t="n">
        <v>6922</v>
      </c>
      <c r="C40" s="18">
        <f>(6146.0/B40*100)</f>
        <v/>
      </c>
      <c r="D40" s="19" t="n">
        <v>776</v>
      </c>
      <c r="E40" s="18" t="n">
        <v>34.81258016</v>
      </c>
      <c r="F40" s="20" t="n">
        <v>2.37177902</v>
      </c>
      <c r="G40" s="18" t="n">
        <v>63.93809355</v>
      </c>
      <c r="H40" s="20" t="n">
        <v>2.39886351</v>
      </c>
      <c r="I40" s="18" t="n">
        <v>0</v>
      </c>
      <c r="J40" s="20" t="n">
        <v>0</v>
      </c>
      <c r="K40" s="18" t="n">
        <v>0.7186368400000001</v>
      </c>
      <c r="L40" s="20" t="n">
        <v>0.45889874</v>
      </c>
      <c r="M40" s="18" t="n">
        <v>0</v>
      </c>
      <c r="N40" s="20" t="n">
        <v>0</v>
      </c>
      <c r="O40" s="18" t="n">
        <v>0</v>
      </c>
      <c r="P40" s="20" t="n">
        <v>0</v>
      </c>
      <c r="Q40" s="18" t="n">
        <v>0.53068945</v>
      </c>
      <c r="R40" s="20" t="n">
        <v>0.3462465</v>
      </c>
    </row>
    <row r="41" spans="1:18">
      <c r="A41" s="15" t="s">
        <v>599</v>
      </c>
      <c r="B41" s="17" t="n">
        <v>2854</v>
      </c>
      <c r="C41" s="18">
        <f>(2550.0/B41*100)</f>
        <v/>
      </c>
      <c r="D41" s="19" t="n">
        <v>304</v>
      </c>
      <c r="E41" s="18" t="n">
        <v>43.30220039</v>
      </c>
      <c r="F41" s="20" t="n">
        <v>2.7128982</v>
      </c>
      <c r="G41" s="18" t="n">
        <v>56.69779961</v>
      </c>
      <c r="H41" s="20" t="n">
        <v>2.7128982</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(11088.0/B46*100)</f>
        <v/>
      </c>
      <c r="D46" s="19" t="n">
        <v>985</v>
      </c>
      <c r="E46" s="18" t="n">
        <v>45.06777286</v>
      </c>
      <c r="F46" s="20" t="n">
        <v>1.74190419</v>
      </c>
      <c r="G46" s="18" t="n">
        <v>49.52214911</v>
      </c>
      <c r="H46" s="20" t="n">
        <v>2.06123868</v>
      </c>
      <c r="I46" s="18" t="n">
        <v>0</v>
      </c>
      <c r="J46" s="20" t="n">
        <v>0</v>
      </c>
      <c r="K46" s="18" t="n">
        <v>0.98391713</v>
      </c>
      <c r="L46" s="20" t="n">
        <v>0.38990961</v>
      </c>
      <c r="M46" s="18" t="n">
        <v>0</v>
      </c>
      <c r="N46" s="20" t="n">
        <v>0</v>
      </c>
      <c r="O46" s="18" t="n">
        <v>0</v>
      </c>
      <c r="P46" s="20" t="n">
        <v>0</v>
      </c>
      <c r="Q46" s="18" t="n">
        <v>4.4261609</v>
      </c>
      <c r="R46" s="20" t="n">
        <v>1.1266964</v>
      </c>
    </row>
    <row r="47" spans="1:18">
      <c r="A47" s="15" t="s">
        <v>606</v>
      </c>
      <c r="B47" s="17" t="n">
        <v>2823</v>
      </c>
      <c r="C47" s="18">
        <f>(2510.0/B47*100)</f>
        <v/>
      </c>
      <c r="D47" s="19" t="n">
        <v>313</v>
      </c>
      <c r="E47" s="18" t="n">
        <v>48.48208685</v>
      </c>
      <c r="F47" s="20" t="n">
        <v>3.13804048</v>
      </c>
      <c r="G47" s="18" t="n">
        <v>49.52977939</v>
      </c>
      <c r="H47" s="20" t="n">
        <v>3.01907485</v>
      </c>
      <c r="I47" s="18" t="n">
        <v>0</v>
      </c>
      <c r="J47" s="20" t="n">
        <v>0</v>
      </c>
      <c r="K47" s="18" t="n">
        <v>0.63018081</v>
      </c>
      <c r="L47" s="20" t="n">
        <v>0.43789954</v>
      </c>
      <c r="M47" s="18" t="n">
        <v>0</v>
      </c>
      <c r="N47" s="20" t="n">
        <v>0</v>
      </c>
      <c r="O47" s="18" t="n">
        <v>0</v>
      </c>
      <c r="P47" s="20" t="n">
        <v>0</v>
      </c>
      <c r="Q47" s="18" t="n">
        <v>1.35795294</v>
      </c>
      <c r="R47" s="20" t="n">
        <v>0.68837761</v>
      </c>
    </row>
    <row r="48" spans="1:18">
      <c r="A48" s="15" t="s">
        <v>607</v>
      </c>
      <c r="B48" s="17" t="n">
        <v>4682</v>
      </c>
      <c r="C48" s="18">
        <f>(4169.0/B48*100)</f>
        <v/>
      </c>
      <c r="D48" s="19" t="n">
        <v>513</v>
      </c>
      <c r="E48" s="18" t="n">
        <v>26.15981398</v>
      </c>
      <c r="F48" s="20" t="n">
        <v>2.56476958</v>
      </c>
      <c r="G48" s="18" t="n">
        <v>73.00310437</v>
      </c>
      <c r="H48" s="20" t="n">
        <v>2.63490835</v>
      </c>
      <c r="I48" s="18" t="n">
        <v>0</v>
      </c>
      <c r="J48" s="20" t="n">
        <v>0</v>
      </c>
      <c r="K48" s="18" t="n">
        <v>0.49890861</v>
      </c>
      <c r="L48" s="20" t="n">
        <v>0.47745454</v>
      </c>
      <c r="M48" s="18" t="n">
        <v>0</v>
      </c>
      <c r="N48" s="20" t="n">
        <v>0</v>
      </c>
      <c r="O48" s="18" t="n">
        <v>0</v>
      </c>
      <c r="P48" s="20" t="n">
        <v>0</v>
      </c>
      <c r="Q48" s="18" t="n">
        <v>0.33817304</v>
      </c>
      <c r="R48" s="20" t="n">
        <v>0.33783715</v>
      </c>
    </row>
    <row r="49" spans="1:18">
      <c r="A49" s="15" t="s">
        <v>608</v>
      </c>
      <c r="B49" s="17" t="n">
        <v>6158</v>
      </c>
      <c r="C49" s="18">
        <f>(5507.0/B49*100)</f>
        <v/>
      </c>
      <c r="D49" s="19" t="n">
        <v>651</v>
      </c>
      <c r="E49" s="18" t="n">
        <v>42.57133402</v>
      </c>
      <c r="F49" s="20" t="n">
        <v>2.1829868</v>
      </c>
      <c r="G49" s="18" t="n">
        <v>54.01131196</v>
      </c>
      <c r="H49" s="20" t="n">
        <v>2.3362363</v>
      </c>
      <c r="I49" s="18" t="n">
        <v>0</v>
      </c>
      <c r="J49" s="20" t="n">
        <v>0</v>
      </c>
      <c r="K49" s="18" t="n">
        <v>1.14701668</v>
      </c>
      <c r="L49" s="20" t="n">
        <v>0.49468178</v>
      </c>
      <c r="M49" s="18" t="n">
        <v>0</v>
      </c>
      <c r="N49" s="20" t="n">
        <v>0</v>
      </c>
      <c r="O49" s="18" t="n">
        <v>0</v>
      </c>
      <c r="P49" s="20" t="n">
        <v>0</v>
      </c>
      <c r="Q49" s="18" t="n">
        <v>2.27033734</v>
      </c>
      <c r="R49" s="20" t="n">
        <v>0.62921343</v>
      </c>
    </row>
    <row r="50" spans="1:18">
      <c r="A50" s="15" t="s">
        <v>609</v>
      </c>
      <c r="B50" s="17" t="n">
        <v>3494</v>
      </c>
      <c r="C50" s="18">
        <f>(3166.0/B50*100)</f>
        <v/>
      </c>
      <c r="D50" s="19" t="n">
        <v>328</v>
      </c>
      <c r="E50" s="18" t="n">
        <v>40.1093813</v>
      </c>
      <c r="F50" s="20" t="n">
        <v>3.01552088</v>
      </c>
      <c r="G50" s="18" t="n">
        <v>57.29028022</v>
      </c>
      <c r="H50" s="20" t="n">
        <v>2.87854244</v>
      </c>
      <c r="I50" s="18" t="n">
        <v>0</v>
      </c>
      <c r="J50" s="20" t="n">
        <v>0</v>
      </c>
      <c r="K50" s="18" t="n">
        <v>0.42269292</v>
      </c>
      <c r="L50" s="20" t="n">
        <v>0.41089814</v>
      </c>
      <c r="M50" s="18" t="n">
        <v>0</v>
      </c>
      <c r="N50" s="20" t="n">
        <v>0</v>
      </c>
      <c r="O50" s="18" t="n">
        <v>0</v>
      </c>
      <c r="P50" s="20" t="n">
        <v>0</v>
      </c>
      <c r="Q50" s="18" t="n">
        <v>2.17764557</v>
      </c>
      <c r="R50" s="20" t="n">
        <v>0.86463336</v>
      </c>
    </row>
    <row r="51" spans="1:18">
      <c r="A51" s="15" t="s">
        <v>610</v>
      </c>
      <c r="B51" s="17" t="n">
        <v>3013</v>
      </c>
      <c r="C51" s="18">
        <f>(2652.0/B51*100)</f>
        <v/>
      </c>
      <c r="D51" s="19" t="n">
        <v>361</v>
      </c>
      <c r="E51" s="18" t="n">
        <v>34.0915887</v>
      </c>
      <c r="F51" s="20" t="n">
        <v>2.68642987</v>
      </c>
      <c r="G51" s="18" t="n">
        <v>63.76539894</v>
      </c>
      <c r="H51" s="20" t="n">
        <v>2.72003834</v>
      </c>
      <c r="I51" s="18" t="n">
        <v>0</v>
      </c>
      <c r="J51" s="20" t="n">
        <v>0</v>
      </c>
      <c r="K51" s="18" t="n">
        <v>0.3372854</v>
      </c>
      <c r="L51" s="20" t="n">
        <v>0.33214548</v>
      </c>
      <c r="M51" s="18" t="n">
        <v>0</v>
      </c>
      <c r="N51" s="20" t="n">
        <v>0</v>
      </c>
      <c r="O51" s="18" t="n">
        <v>0</v>
      </c>
      <c r="P51" s="20" t="n">
        <v>0</v>
      </c>
      <c r="Q51" s="18" t="n">
        <v>1.80572696</v>
      </c>
      <c r="R51" s="20" t="n">
        <v>0.68813695</v>
      </c>
    </row>
    <row r="52" spans="1:18">
      <c r="A52" s="15" t="s">
        <v>611</v>
      </c>
      <c r="B52" s="17" t="n">
        <v>2760</v>
      </c>
      <c r="C52" s="18">
        <f>(2464.0/B52*100)</f>
        <v/>
      </c>
      <c r="D52" s="19" t="n">
        <v>296</v>
      </c>
      <c r="E52" s="18" t="n">
        <v>35.92322242</v>
      </c>
      <c r="F52" s="20" t="n">
        <v>2.5480111</v>
      </c>
      <c r="G52" s="18" t="n">
        <v>63.28695007</v>
      </c>
      <c r="H52" s="20" t="n">
        <v>2.51296996</v>
      </c>
      <c r="I52" s="18" t="n">
        <v>0</v>
      </c>
      <c r="J52" s="20" t="n">
        <v>0</v>
      </c>
      <c r="K52" s="18" t="n">
        <v>0.26450497</v>
      </c>
      <c r="L52" s="20" t="n">
        <v>0.26638538</v>
      </c>
      <c r="M52" s="18" t="n">
        <v>0</v>
      </c>
      <c r="N52" s="20" t="n">
        <v>0</v>
      </c>
      <c r="O52" s="18" t="n">
        <v>0</v>
      </c>
      <c r="P52" s="20" t="n">
        <v>0</v>
      </c>
      <c r="Q52" s="18" t="n">
        <v>0.52532254</v>
      </c>
      <c r="R52" s="20" t="n">
        <v>0.37369871</v>
      </c>
    </row>
    <row r="53" spans="1:18">
      <c r="A53" s="15" t="s">
        <v>612</v>
      </c>
      <c r="B53" s="17" t="n">
        <v>2474</v>
      </c>
      <c r="C53" s="18">
        <f>(2235.0/B53*100)</f>
        <v/>
      </c>
      <c r="D53" s="19" t="n">
        <v>239</v>
      </c>
      <c r="E53" s="18" t="n">
        <v>38.17666286</v>
      </c>
      <c r="F53" s="20" t="n">
        <v>3.66018866</v>
      </c>
      <c r="G53" s="18" t="n">
        <v>35.79649153</v>
      </c>
      <c r="H53" s="20" t="n">
        <v>3.24370897</v>
      </c>
      <c r="I53" s="18" t="n">
        <v>0</v>
      </c>
      <c r="J53" s="20" t="n">
        <v>0</v>
      </c>
      <c r="K53" s="18" t="n">
        <v>18.94990826</v>
      </c>
      <c r="L53" s="20" t="n">
        <v>2.60573712</v>
      </c>
      <c r="M53" s="18" t="n">
        <v>0</v>
      </c>
      <c r="N53" s="20" t="n">
        <v>0</v>
      </c>
      <c r="O53" s="18" t="n">
        <v>0</v>
      </c>
      <c r="P53" s="20" t="n">
        <v>0</v>
      </c>
      <c r="Q53" s="18" t="n">
        <v>7.07693736</v>
      </c>
      <c r="R53" s="20" t="n">
        <v>1.7307537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(2375.0/B55*100)</f>
        <v/>
      </c>
      <c r="D55" s="19" t="n">
        <v>300</v>
      </c>
      <c r="E55" s="18" t="n">
        <v>29.07247266</v>
      </c>
      <c r="F55" s="20" t="n">
        <v>2.88495819</v>
      </c>
      <c r="G55" s="18" t="n">
        <v>70.63033482</v>
      </c>
      <c r="H55" s="20" t="n">
        <v>2.88414021</v>
      </c>
      <c r="I55" s="18" t="n">
        <v>0</v>
      </c>
      <c r="J55" s="20" t="n">
        <v>0</v>
      </c>
      <c r="K55" s="18" t="n">
        <v>0.29719252</v>
      </c>
      <c r="L55" s="20" t="n">
        <v>0.30592841</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(2832.0/B61*100)</f>
        <v/>
      </c>
      <c r="D61" s="19" t="n">
        <v>369</v>
      </c>
      <c r="E61" s="18" t="n">
        <v>41.05330089</v>
      </c>
      <c r="F61" s="20" t="n">
        <v>2.76414895</v>
      </c>
      <c r="G61" s="18" t="n">
        <v>57.47923533</v>
      </c>
      <c r="H61" s="20" t="n">
        <v>2.77799093</v>
      </c>
      <c r="I61" s="18" t="n">
        <v>0</v>
      </c>
      <c r="J61" s="20" t="n">
        <v>0</v>
      </c>
      <c r="K61" s="18" t="n">
        <v>0</v>
      </c>
      <c r="L61" s="20" t="n">
        <v>0</v>
      </c>
      <c r="M61" s="18" t="n">
        <v>0</v>
      </c>
      <c r="N61" s="20" t="n">
        <v>0</v>
      </c>
      <c r="O61" s="18" t="n">
        <v>0</v>
      </c>
      <c r="P61" s="20" t="n">
        <v>0</v>
      </c>
      <c r="Q61" s="18" t="n">
        <v>1.46746378</v>
      </c>
      <c r="R61" s="20" t="n">
        <v>0.66879893</v>
      </c>
    </row>
    <row r="62" spans="1:18">
      <c r="A62" s="15" t="s">
        <v>622</v>
      </c>
      <c r="B62" s="17" t="n">
        <v>2230</v>
      </c>
      <c r="C62" s="18">
        <f>(1989.0/B62*100)</f>
        <v/>
      </c>
      <c r="D62" s="19" t="n">
        <v>241</v>
      </c>
      <c r="E62" s="18" t="n">
        <v>27.39152992</v>
      </c>
      <c r="F62" s="20" t="n">
        <v>2.78592488</v>
      </c>
      <c r="G62" s="18" t="n">
        <v>72.60847008</v>
      </c>
      <c r="H62" s="20" t="n">
        <v>2.78592488</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(2453.0/B67*100)</f>
        <v/>
      </c>
      <c r="D67" s="19" t="n">
        <v>318</v>
      </c>
      <c r="E67" s="18" t="n">
        <v>50.39616691</v>
      </c>
      <c r="F67" s="20" t="n">
        <v>2.57821511</v>
      </c>
      <c r="G67" s="18" t="n">
        <v>43.38587704</v>
      </c>
      <c r="H67" s="20" t="n">
        <v>2.59477376</v>
      </c>
      <c r="I67" s="18" t="n">
        <v>0</v>
      </c>
      <c r="J67" s="20" t="n">
        <v>0</v>
      </c>
      <c r="K67" s="18" t="n">
        <v>0.69932638</v>
      </c>
      <c r="L67" s="20" t="n">
        <v>0.69198789</v>
      </c>
      <c r="M67" s="18" t="n">
        <v>0</v>
      </c>
      <c r="N67" s="20" t="n">
        <v>0</v>
      </c>
      <c r="O67" s="18" t="n">
        <v>0</v>
      </c>
      <c r="P67" s="20" t="n">
        <v>0</v>
      </c>
      <c r="Q67" s="18" t="n">
        <v>5.51862966</v>
      </c>
      <c r="R67" s="20" t="n">
        <v>1.45711835</v>
      </c>
    </row>
    <row r="68" spans="1:18">
      <c r="A68" s="15" t="s">
        <v>628</v>
      </c>
      <c r="B68" s="17" t="n">
        <v>3460</v>
      </c>
      <c r="C68" s="18">
        <f>(3130.0/B68*100)</f>
        <v/>
      </c>
      <c r="D68" s="19" t="n">
        <v>330</v>
      </c>
      <c r="E68" s="18" t="n">
        <v>39.17116989</v>
      </c>
      <c r="F68" s="20" t="n">
        <v>2.43780069</v>
      </c>
      <c r="G68" s="18" t="n">
        <v>56.45893194</v>
      </c>
      <c r="H68" s="20" t="n">
        <v>2.40288141</v>
      </c>
      <c r="I68" s="18" t="n">
        <v>0</v>
      </c>
      <c r="J68" s="20" t="n">
        <v>0</v>
      </c>
      <c r="K68" s="18" t="n">
        <v>0.24230124</v>
      </c>
      <c r="L68" s="20" t="n">
        <v>0.24944698</v>
      </c>
      <c r="M68" s="18" t="n">
        <v>0</v>
      </c>
      <c r="N68" s="20" t="n">
        <v>0</v>
      </c>
      <c r="O68" s="18" t="n">
        <v>0</v>
      </c>
      <c r="P68" s="20" t="n">
        <v>0</v>
      </c>
      <c r="Q68" s="18" t="n">
        <v>4.12759693</v>
      </c>
      <c r="R68" s="20" t="n">
        <v>1.21595614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(5403.0/B70*100)</f>
        <v/>
      </c>
      <c r="D70" s="19" t="n">
        <v>631</v>
      </c>
      <c r="E70" s="18" t="n">
        <v>40.45203285</v>
      </c>
      <c r="F70" s="20" t="n">
        <v>1.94242027</v>
      </c>
      <c r="G70" s="18" t="n">
        <v>54.77083257</v>
      </c>
      <c r="H70" s="20" t="n">
        <v>2.13588774</v>
      </c>
      <c r="I70" s="18" t="n">
        <v>0</v>
      </c>
      <c r="J70" s="20" t="n">
        <v>0</v>
      </c>
      <c r="K70" s="18" t="n">
        <v>2.67895287</v>
      </c>
      <c r="L70" s="20" t="n">
        <v>0.70620053</v>
      </c>
      <c r="M70" s="18" t="n">
        <v>0</v>
      </c>
      <c r="N70" s="20" t="n">
        <v>0</v>
      </c>
      <c r="O70" s="18" t="n">
        <v>0</v>
      </c>
      <c r="P70" s="20" t="n">
        <v>0</v>
      </c>
      <c r="Q70" s="18" t="n">
        <v>2.09818171</v>
      </c>
      <c r="R70" s="20" t="n">
        <v>0.61350496</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(2740.0/B72*100)</f>
        <v/>
      </c>
      <c r="D72" s="19" t="n">
        <v>367</v>
      </c>
      <c r="E72" s="18" t="n">
        <v>28.34940244</v>
      </c>
      <c r="F72" s="20" t="n">
        <v>2.8913078</v>
      </c>
      <c r="G72" s="18" t="n">
        <v>68.86338807999999</v>
      </c>
      <c r="H72" s="20" t="n">
        <v>2.80790561</v>
      </c>
      <c r="I72" s="18" t="n">
        <v>0</v>
      </c>
      <c r="J72" s="20" t="n">
        <v>0</v>
      </c>
      <c r="K72" s="18" t="n">
        <v>0.7188376400000001</v>
      </c>
      <c r="L72" s="20" t="n">
        <v>0.49699344</v>
      </c>
      <c r="M72" s="18" t="n">
        <v>0</v>
      </c>
      <c r="N72" s="20" t="n">
        <v>0</v>
      </c>
      <c r="O72" s="18" t="n">
        <v>0</v>
      </c>
      <c r="P72" s="20" t="n">
        <v>0</v>
      </c>
      <c r="Q72" s="18" t="n">
        <v>2.06837184</v>
      </c>
      <c r="R72" s="20" t="n">
        <v>0.71412521</v>
      </c>
    </row>
    <row r="73" spans="1:18">
      <c r="A73" s="15" t="s">
        <v>633</v>
      </c>
      <c r="B73" s="17" t="n">
        <v>2973</v>
      </c>
      <c r="C73" s="18">
        <f>(2655.0/B73*100)</f>
        <v/>
      </c>
      <c r="D73" s="19" t="n">
        <v>318</v>
      </c>
      <c r="E73" s="18" t="n">
        <v>31.00869588</v>
      </c>
      <c r="F73" s="20" t="n">
        <v>2.27055773</v>
      </c>
      <c r="G73" s="18" t="n">
        <v>67.99754342999999</v>
      </c>
      <c r="H73" s="20" t="n">
        <v>2.23992749</v>
      </c>
      <c r="I73" s="18" t="n">
        <v>0</v>
      </c>
      <c r="J73" s="20" t="n">
        <v>0</v>
      </c>
      <c r="K73" s="18" t="n">
        <v>0.64965821</v>
      </c>
      <c r="L73" s="20" t="n">
        <v>0.46437156</v>
      </c>
      <c r="M73" s="18" t="n">
        <v>0</v>
      </c>
      <c r="N73" s="20" t="n">
        <v>0</v>
      </c>
      <c r="O73" s="18" t="n">
        <v>0</v>
      </c>
      <c r="P73" s="20" t="n">
        <v>0</v>
      </c>
      <c r="Q73" s="18" t="n">
        <v>0.34410248</v>
      </c>
      <c r="R73" s="20" t="n">
        <v>0.34258076</v>
      </c>
    </row>
    <row r="74" spans="1:18">
      <c r="A74" s="15" t="s">
        <v>634</v>
      </c>
      <c r="B74" s="17" t="n">
        <v>3819</v>
      </c>
      <c r="C74" s="18">
        <f>(3405.0/B74*100)</f>
        <v/>
      </c>
      <c r="D74" s="19" t="n">
        <v>414</v>
      </c>
      <c r="E74" s="18" t="n">
        <v>27.42236284</v>
      </c>
      <c r="F74" s="20" t="n">
        <v>2.410464</v>
      </c>
      <c r="G74" s="18" t="n">
        <v>72.25401714</v>
      </c>
      <c r="H74" s="20" t="n">
        <v>2.40025691</v>
      </c>
      <c r="I74" s="18" t="n">
        <v>0</v>
      </c>
      <c r="J74" s="20" t="n">
        <v>0</v>
      </c>
      <c r="K74" s="18" t="n">
        <v>0</v>
      </c>
      <c r="L74" s="20" t="n">
        <v>0</v>
      </c>
      <c r="M74" s="18" t="n">
        <v>0</v>
      </c>
      <c r="N74" s="20" t="n">
        <v>0</v>
      </c>
      <c r="O74" s="18" t="n">
        <v>0</v>
      </c>
      <c r="P74" s="20" t="n">
        <v>0</v>
      </c>
      <c r="Q74" s="18" t="n">
        <v>0.32362002</v>
      </c>
      <c r="R74" s="20" t="n">
        <v>0.32356489</v>
      </c>
    </row>
    <row r="75" spans="1:18">
      <c r="A75" s="15" t="s">
        <v>635</v>
      </c>
      <c r="B75" s="17" t="n">
        <v>4652</v>
      </c>
      <c r="C75" s="18">
        <f>(4138.0/B75*100)</f>
        <v/>
      </c>
      <c r="D75" s="19" t="n">
        <v>514</v>
      </c>
      <c r="E75" s="18" t="n">
        <v>32.78217006</v>
      </c>
      <c r="F75" s="20" t="n">
        <v>2.54778762</v>
      </c>
      <c r="G75" s="18" t="n">
        <v>66.25250982</v>
      </c>
      <c r="H75" s="20" t="n">
        <v>2.51285828</v>
      </c>
      <c r="I75" s="18" t="n">
        <v>0</v>
      </c>
      <c r="J75" s="20" t="n">
        <v>0</v>
      </c>
      <c r="K75" s="18" t="n">
        <v>0</v>
      </c>
      <c r="L75" s="20" t="n">
        <v>0</v>
      </c>
      <c r="M75" s="18" t="n">
        <v>0</v>
      </c>
      <c r="N75" s="20" t="n">
        <v>0</v>
      </c>
      <c r="O75" s="18" t="n">
        <v>0</v>
      </c>
      <c r="P75" s="20" t="n">
        <v>0</v>
      </c>
      <c r="Q75" s="18" t="n">
        <v>0.96532012</v>
      </c>
      <c r="R75" s="20" t="n">
        <v>0.47859324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(2674.0/B77*100)</f>
        <v/>
      </c>
      <c r="D77" s="19" t="n">
        <v>295</v>
      </c>
      <c r="E77" s="18" t="n">
        <v>39.561814</v>
      </c>
      <c r="F77" s="20" t="n">
        <v>3.02564405</v>
      </c>
      <c r="G77" s="18" t="n">
        <v>48.70656973</v>
      </c>
      <c r="H77" s="20" t="n">
        <v>3.01957508</v>
      </c>
      <c r="I77" s="18" t="n">
        <v>0</v>
      </c>
      <c r="J77" s="20" t="n">
        <v>0</v>
      </c>
      <c r="K77" s="18" t="n">
        <v>5.0594448</v>
      </c>
      <c r="L77" s="20" t="n">
        <v>1.41348184</v>
      </c>
      <c r="M77" s="18" t="n">
        <v>0</v>
      </c>
      <c r="N77" s="20" t="n">
        <v>0</v>
      </c>
      <c r="O77" s="18" t="n">
        <v>0</v>
      </c>
      <c r="P77" s="20" t="n">
        <v>0</v>
      </c>
      <c r="Q77" s="18" t="n">
        <v>6.67217147</v>
      </c>
      <c r="R77" s="20" t="n">
        <v>1.69996007</v>
      </c>
    </row>
    <row r="78" spans="1:18">
      <c r="A78" s="15" t="s">
        <v>638</v>
      </c>
      <c r="B78" s="17" t="n">
        <v>7115</v>
      </c>
      <c r="C78" s="18">
        <f>(6321.0/B78*100)</f>
        <v/>
      </c>
      <c r="D78" s="19" t="n">
        <v>794</v>
      </c>
      <c r="E78" s="18" t="n">
        <v>36.60066428</v>
      </c>
      <c r="F78" s="20" t="n">
        <v>1.82806094</v>
      </c>
      <c r="G78" s="18" t="n">
        <v>61.52187256</v>
      </c>
      <c r="H78" s="20" t="n">
        <v>2.0526879</v>
      </c>
      <c r="I78" s="18" t="n">
        <v>0</v>
      </c>
      <c r="J78" s="20" t="n">
        <v>0</v>
      </c>
      <c r="K78" s="18" t="n">
        <v>0.95367791</v>
      </c>
      <c r="L78" s="20" t="n">
        <v>0.55909303</v>
      </c>
      <c r="M78" s="18" t="n">
        <v>0</v>
      </c>
      <c r="N78" s="20" t="n">
        <v>0</v>
      </c>
      <c r="O78" s="18" t="n">
        <v>0</v>
      </c>
      <c r="P78" s="20" t="n">
        <v>0</v>
      </c>
      <c r="Q78" s="18" t="n">
        <v>0.92378525</v>
      </c>
      <c r="R78" s="20" t="n">
        <v>0.42266397</v>
      </c>
    </row>
    <row r="79" spans="1:18">
      <c r="A79" s="15" t="s">
        <v>639</v>
      </c>
      <c r="B79" s="17" t="n">
        <v>3154</v>
      </c>
      <c r="C79" s="18">
        <f>(2854.0/B79*100)</f>
        <v/>
      </c>
      <c r="D79" s="19" t="n">
        <v>300</v>
      </c>
      <c r="E79" s="18" t="n">
        <v>34.21497946</v>
      </c>
      <c r="F79" s="20" t="n">
        <v>2.37551181</v>
      </c>
      <c r="G79" s="18" t="n">
        <v>60.43566913</v>
      </c>
      <c r="H79" s="20" t="n">
        <v>2.78074309</v>
      </c>
      <c r="I79" s="18" t="n">
        <v>0</v>
      </c>
      <c r="J79" s="20" t="n">
        <v>0</v>
      </c>
      <c r="K79" s="18" t="n">
        <v>2.24129287</v>
      </c>
      <c r="L79" s="20" t="n">
        <v>0.99862768</v>
      </c>
      <c r="M79" s="18" t="n">
        <v>0</v>
      </c>
      <c r="N79" s="20" t="n">
        <v>0</v>
      </c>
      <c r="O79" s="18" t="n">
        <v>0</v>
      </c>
      <c r="P79" s="20" t="n">
        <v>0</v>
      </c>
      <c r="Q79" s="18" t="n">
        <v>3.10805854</v>
      </c>
      <c r="R79" s="20" t="n">
        <v>1.13289265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(14258.0/B82*100)</f>
        <v/>
      </c>
      <c r="D82" s="19" t="n">
        <v>1703</v>
      </c>
      <c r="E82" s="18" t="n">
        <v>34.09499419</v>
      </c>
      <c r="F82" s="20" t="n">
        <v>1.74666795</v>
      </c>
      <c r="G82" s="18" t="n">
        <v>64.56789372</v>
      </c>
      <c r="H82" s="20" t="n">
        <v>1.80986026</v>
      </c>
      <c r="I82" s="18" t="n">
        <v>0</v>
      </c>
      <c r="J82" s="20" t="n">
        <v>0</v>
      </c>
      <c r="K82" s="18" t="n">
        <v>0.45017628</v>
      </c>
      <c r="L82" s="20" t="n">
        <v>0.19772983</v>
      </c>
      <c r="M82" s="18" t="n">
        <v>0</v>
      </c>
      <c r="N82" s="20" t="n">
        <v>0</v>
      </c>
      <c r="O82" s="18" t="n">
        <v>0</v>
      </c>
      <c r="P82" s="20" t="n">
        <v>0</v>
      </c>
      <c r="Q82" s="18" t="n">
        <v>0.88693581</v>
      </c>
      <c r="R82" s="20" t="n">
        <v>0.32155327</v>
      </c>
    </row>
    <row r="83" spans="1:18">
      <c r="A83" s="15" t="s">
        <v>643</v>
      </c>
      <c r="B83" s="17" t="n">
        <v>808</v>
      </c>
      <c r="C83" s="18">
        <f>(723.0/B83*100)</f>
        <v/>
      </c>
      <c r="D83" s="19" t="n">
        <v>85</v>
      </c>
      <c r="E83" s="18" t="n">
        <v>26.61760488</v>
      </c>
      <c r="F83" s="20" t="n">
        <v>4.00633691</v>
      </c>
      <c r="G83" s="18" t="n">
        <v>72.34990138000001</v>
      </c>
      <c r="H83" s="20" t="n">
        <v>4.18171341</v>
      </c>
      <c r="I83" s="18" t="n">
        <v>0</v>
      </c>
      <c r="J83" s="20" t="n">
        <v>0</v>
      </c>
      <c r="K83" s="18" t="n">
        <v>0</v>
      </c>
      <c r="L83" s="20" t="n">
        <v>0</v>
      </c>
      <c r="M83" s="18" t="n">
        <v>0</v>
      </c>
      <c r="N83" s="20" t="n">
        <v>0</v>
      </c>
      <c r="O83" s="18" t="n">
        <v>0</v>
      </c>
      <c r="P83" s="20" t="n">
        <v>0</v>
      </c>
      <c r="Q83" s="18" t="n">
        <v>1.03249374</v>
      </c>
      <c r="R83" s="20" t="n">
        <v>1.10304761</v>
      </c>
    </row>
    <row r="84" spans="1:18">
      <c r="A84" s="23" t="s">
        <v>644</v>
      </c>
      <c r="B84" s="24" t="n">
        <v>938</v>
      </c>
      <c r="C84" s="25">
        <f>(837.0/B84*100)</f>
        <v/>
      </c>
      <c r="D84" s="19" t="n">
        <v>101</v>
      </c>
      <c r="E84" s="18" t="n">
        <v>37.02212531</v>
      </c>
      <c r="F84" s="20" t="n">
        <v>4.75551056</v>
      </c>
      <c r="G84" s="18" t="n">
        <v>62.97787469</v>
      </c>
      <c r="H84" s="20" t="n">
        <v>4.75551056</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(6400.0/B7*100)</f>
        <v/>
      </c>
      <c r="D7" s="19" t="n">
        <v>763</v>
      </c>
      <c r="E7" s="18" t="n">
        <v>56.45541129</v>
      </c>
      <c r="F7" s="20" t="n">
        <v>2.37756871</v>
      </c>
      <c r="G7" s="18" t="n">
        <v>41.66909652</v>
      </c>
      <c r="H7" s="20" t="n">
        <v>2.3354658</v>
      </c>
      <c r="I7" s="18" t="n">
        <v>0</v>
      </c>
      <c r="J7" s="20" t="n">
        <v>0</v>
      </c>
      <c r="K7" s="18" t="n">
        <v>1.00337156</v>
      </c>
      <c r="L7" s="20" t="n">
        <v>0.40547313</v>
      </c>
      <c r="M7" s="18" t="n">
        <v>0</v>
      </c>
      <c r="N7" s="20" t="n">
        <v>0</v>
      </c>
      <c r="O7" s="18" t="n">
        <v>0</v>
      </c>
      <c r="P7" s="20" t="n">
        <v>0</v>
      </c>
      <c r="Q7" s="18" t="n">
        <v>0.87212062</v>
      </c>
      <c r="R7" s="20" t="n">
        <v>0.32007099</v>
      </c>
    </row>
    <row r="8" spans="1:18">
      <c r="A8" s="15" t="s">
        <v>566</v>
      </c>
      <c r="B8" s="17" t="n">
        <v>3443</v>
      </c>
      <c r="C8" s="18">
        <f>(3059.0/B8*100)</f>
        <v/>
      </c>
      <c r="D8" s="19" t="n">
        <v>384</v>
      </c>
      <c r="E8" s="18" t="n">
        <v>61.83478953</v>
      </c>
      <c r="F8" s="20" t="n">
        <v>3.40158252</v>
      </c>
      <c r="G8" s="18" t="n">
        <v>37.37821741</v>
      </c>
      <c r="H8" s="20" t="n">
        <v>3.37541101</v>
      </c>
      <c r="I8" s="18" t="n">
        <v>0</v>
      </c>
      <c r="J8" s="20" t="n">
        <v>0</v>
      </c>
      <c r="K8" s="18" t="n">
        <v>0.6385037099999999</v>
      </c>
      <c r="L8" s="20" t="n">
        <v>0.4734443</v>
      </c>
      <c r="M8" s="18" t="n">
        <v>0</v>
      </c>
      <c r="N8" s="20" t="n">
        <v>0</v>
      </c>
      <c r="O8" s="18" t="n">
        <v>0</v>
      </c>
      <c r="P8" s="20" t="n">
        <v>0</v>
      </c>
      <c r="Q8" s="18" t="n">
        <v>0.14848936</v>
      </c>
      <c r="R8" s="20" t="n">
        <v>0.14781982</v>
      </c>
    </row>
    <row r="9" spans="1:18">
      <c r="A9" s="15" t="s">
        <v>567</v>
      </c>
      <c r="B9" s="17" t="n">
        <v>4752</v>
      </c>
      <c r="C9" s="18">
        <f>(4261.0/B9*100)</f>
        <v/>
      </c>
      <c r="D9" s="19" t="n">
        <v>491</v>
      </c>
      <c r="E9" s="18" t="n">
        <v>53.7907305</v>
      </c>
      <c r="F9" s="20" t="n">
        <v>2.24106121</v>
      </c>
      <c r="G9" s="18" t="n">
        <v>45.52862789</v>
      </c>
      <c r="H9" s="20" t="n">
        <v>2.2783784</v>
      </c>
      <c r="I9" s="18" t="n">
        <v>0</v>
      </c>
      <c r="J9" s="20" t="n">
        <v>0</v>
      </c>
      <c r="K9" s="18" t="n">
        <v>0.39155365</v>
      </c>
      <c r="L9" s="20" t="n">
        <v>0.32417826</v>
      </c>
      <c r="M9" s="18" t="n">
        <v>0</v>
      </c>
      <c r="N9" s="20" t="n">
        <v>0</v>
      </c>
      <c r="O9" s="18" t="n">
        <v>0</v>
      </c>
      <c r="P9" s="20" t="n">
        <v>0</v>
      </c>
      <c r="Q9" s="18" t="n">
        <v>0.28908795</v>
      </c>
      <c r="R9" s="20" t="n">
        <v>0.2639554</v>
      </c>
    </row>
    <row r="10" spans="1:18">
      <c r="A10" s="15" t="s">
        <v>568</v>
      </c>
      <c r="B10" s="17" t="n">
        <v>10022</v>
      </c>
      <c r="C10" s="18">
        <f>(8898.0/B10*100)</f>
        <v/>
      </c>
      <c r="D10" s="19" t="n">
        <v>1124</v>
      </c>
      <c r="E10" s="18" t="n">
        <v>57.67344902</v>
      </c>
      <c r="F10" s="20" t="n">
        <v>2.36540319</v>
      </c>
      <c r="G10" s="18" t="n">
        <v>41.25388748</v>
      </c>
      <c r="H10" s="20" t="n">
        <v>2.39820932</v>
      </c>
      <c r="I10" s="18" t="n">
        <v>0</v>
      </c>
      <c r="J10" s="20" t="n">
        <v>0</v>
      </c>
      <c r="K10" s="18" t="n">
        <v>0.93977917</v>
      </c>
      <c r="L10" s="20" t="n">
        <v>0.5623445</v>
      </c>
      <c r="M10" s="18" t="n">
        <v>0</v>
      </c>
      <c r="N10" s="20" t="n">
        <v>0</v>
      </c>
      <c r="O10" s="18" t="n">
        <v>0</v>
      </c>
      <c r="P10" s="20" t="n">
        <v>0</v>
      </c>
      <c r="Q10" s="18" t="n">
        <v>0.13288434</v>
      </c>
      <c r="R10" s="20" t="n">
        <v>0.05885443</v>
      </c>
    </row>
    <row r="11" spans="1:18">
      <c r="A11" s="15" t="s">
        <v>569</v>
      </c>
      <c r="B11" s="17" t="n">
        <v>3500</v>
      </c>
      <c r="C11" s="18">
        <f>(3149.0/B11*100)</f>
        <v/>
      </c>
      <c r="D11" s="19" t="n">
        <v>351</v>
      </c>
      <c r="E11" s="18" t="n">
        <v>59.5705591</v>
      </c>
      <c r="F11" s="20" t="n">
        <v>2.55648227</v>
      </c>
      <c r="G11" s="18" t="n">
        <v>37.87822705</v>
      </c>
      <c r="H11" s="20" t="n">
        <v>2.58795666</v>
      </c>
      <c r="I11" s="18" t="n">
        <v>0</v>
      </c>
      <c r="J11" s="20" t="n">
        <v>0</v>
      </c>
      <c r="K11" s="18" t="n">
        <v>2.55121385</v>
      </c>
      <c r="L11" s="20" t="n">
        <v>0.86436342</v>
      </c>
      <c r="M11" s="18" t="n">
        <v>0</v>
      </c>
      <c r="N11" s="20" t="n">
        <v>0</v>
      </c>
      <c r="O11" s="18" t="n">
        <v>0</v>
      </c>
      <c r="P11" s="20" t="n">
        <v>0</v>
      </c>
      <c r="Q11" s="18" t="n">
        <v>0</v>
      </c>
      <c r="R11" s="20" t="n">
        <v>0</v>
      </c>
    </row>
    <row r="12" spans="1:18">
      <c r="A12" s="15" t="s">
        <v>570</v>
      </c>
      <c r="B12" s="17" t="n">
        <v>3422</v>
      </c>
      <c r="C12" s="18">
        <f>(3062.0/B12*100)</f>
        <v/>
      </c>
      <c r="D12" s="19" t="n">
        <v>360</v>
      </c>
      <c r="E12" s="18" t="n">
        <v>60.48244862</v>
      </c>
      <c r="F12" s="20" t="n">
        <v>3.12594349</v>
      </c>
      <c r="G12" s="18" t="n">
        <v>39.24694551</v>
      </c>
      <c r="H12" s="20" t="n">
        <v>3.15827231</v>
      </c>
      <c r="I12" s="18" t="n">
        <v>0</v>
      </c>
      <c r="J12" s="20" t="n">
        <v>0</v>
      </c>
      <c r="K12" s="18" t="n">
        <v>0.27060587</v>
      </c>
      <c r="L12" s="20" t="n">
        <v>0.27009636</v>
      </c>
      <c r="M12" s="18" t="n">
        <v>0</v>
      </c>
      <c r="N12" s="20" t="n">
        <v>0</v>
      </c>
      <c r="O12" s="18" t="n">
        <v>0</v>
      </c>
      <c r="P12" s="20" t="n">
        <v>0</v>
      </c>
      <c r="Q12" s="18" t="n">
        <v>0</v>
      </c>
      <c r="R12" s="20" t="n">
        <v>0</v>
      </c>
    </row>
    <row r="13" spans="1:18">
      <c r="A13" s="15" t="s">
        <v>571</v>
      </c>
      <c r="B13" s="17" t="n">
        <v>3602</v>
      </c>
      <c r="C13" s="18">
        <f>(3202.0/B13*100)</f>
        <v/>
      </c>
      <c r="D13" s="19" t="n">
        <v>400</v>
      </c>
      <c r="E13" s="18" t="n">
        <v>61.63738632</v>
      </c>
      <c r="F13" s="20" t="n">
        <v>2.67299055</v>
      </c>
      <c r="G13" s="18" t="n">
        <v>37.71350227</v>
      </c>
      <c r="H13" s="20" t="n">
        <v>2.72885296</v>
      </c>
      <c r="I13" s="18" t="n">
        <v>0</v>
      </c>
      <c r="J13" s="20" t="n">
        <v>0</v>
      </c>
      <c r="K13" s="18" t="n">
        <v>0.26053202</v>
      </c>
      <c r="L13" s="20" t="n">
        <v>0.29706116</v>
      </c>
      <c r="M13" s="18" t="n">
        <v>0</v>
      </c>
      <c r="N13" s="20" t="n">
        <v>0</v>
      </c>
      <c r="O13" s="18" t="n">
        <v>0</v>
      </c>
      <c r="P13" s="20" t="n">
        <v>0</v>
      </c>
      <c r="Q13" s="18" t="n">
        <v>0.38857939</v>
      </c>
      <c r="R13" s="20" t="n">
        <v>0.36539282</v>
      </c>
    </row>
    <row r="14" spans="1:18">
      <c r="A14" s="15" t="s">
        <v>572</v>
      </c>
      <c r="B14" s="17" t="n">
        <v>2788</v>
      </c>
      <c r="C14" s="18">
        <f>(2475.0/B14*100)</f>
        <v/>
      </c>
      <c r="D14" s="19" t="n">
        <v>313</v>
      </c>
      <c r="E14" s="18" t="n">
        <v>63.91853127</v>
      </c>
      <c r="F14" s="20" t="n">
        <v>2.79090048</v>
      </c>
      <c r="G14" s="18" t="n">
        <v>35.30670052</v>
      </c>
      <c r="H14" s="20" t="n">
        <v>2.8304293</v>
      </c>
      <c r="I14" s="18" t="n">
        <v>0</v>
      </c>
      <c r="J14" s="20" t="n">
        <v>0</v>
      </c>
      <c r="K14" s="18" t="n">
        <v>0.25331764</v>
      </c>
      <c r="L14" s="20" t="n">
        <v>0.25139121</v>
      </c>
      <c r="M14" s="18" t="n">
        <v>0</v>
      </c>
      <c r="N14" s="20" t="n">
        <v>0</v>
      </c>
      <c r="O14" s="18" t="n">
        <v>0</v>
      </c>
      <c r="P14" s="20" t="n">
        <v>0</v>
      </c>
      <c r="Q14" s="18" t="n">
        <v>0.5214505699999999</v>
      </c>
      <c r="R14" s="20" t="n">
        <v>0.39229002</v>
      </c>
    </row>
    <row r="15" spans="1:18">
      <c r="A15" s="15" t="s">
        <v>573</v>
      </c>
      <c r="B15" s="17" t="n">
        <v>2863</v>
      </c>
      <c r="C15" s="18">
        <f>(2561.0/B15*100)</f>
        <v/>
      </c>
      <c r="D15" s="19" t="n">
        <v>302</v>
      </c>
      <c r="E15" s="18" t="n">
        <v>57.14341382</v>
      </c>
      <c r="F15" s="20" t="n">
        <v>2.78054982</v>
      </c>
      <c r="G15" s="18" t="n">
        <v>42.57359039</v>
      </c>
      <c r="H15" s="20" t="n">
        <v>2.69714423</v>
      </c>
      <c r="I15" s="18" t="n">
        <v>0</v>
      </c>
      <c r="J15" s="20" t="n">
        <v>0</v>
      </c>
      <c r="K15" s="18" t="n">
        <v>0.28299579</v>
      </c>
      <c r="L15" s="20" t="n">
        <v>0.29107812</v>
      </c>
      <c r="M15" s="18" t="n">
        <v>0</v>
      </c>
      <c r="N15" s="20" t="n">
        <v>0</v>
      </c>
      <c r="O15" s="18" t="n">
        <v>0</v>
      </c>
      <c r="P15" s="20" t="n">
        <v>0</v>
      </c>
      <c r="Q15" s="18" t="n">
        <v>0</v>
      </c>
      <c r="R15" s="20" t="n">
        <v>0</v>
      </c>
    </row>
    <row r="16" spans="1:18">
      <c r="A16" s="15" t="s">
        <v>574</v>
      </c>
      <c r="B16" s="17" t="n">
        <v>3111</v>
      </c>
      <c r="C16" s="18">
        <f>(2777.0/B16*100)</f>
        <v/>
      </c>
      <c r="D16" s="19" t="n">
        <v>334</v>
      </c>
      <c r="E16" s="18" t="n">
        <v>60.58319423</v>
      </c>
      <c r="F16" s="20" t="n">
        <v>2.9410898</v>
      </c>
      <c r="G16" s="18" t="n">
        <v>36.50158549</v>
      </c>
      <c r="H16" s="20" t="n">
        <v>2.87724046</v>
      </c>
      <c r="I16" s="18" t="n">
        <v>0</v>
      </c>
      <c r="J16" s="20" t="n">
        <v>0</v>
      </c>
      <c r="K16" s="18" t="n">
        <v>1.58128072</v>
      </c>
      <c r="L16" s="20" t="n">
        <v>0.78769606</v>
      </c>
      <c r="M16" s="18" t="n">
        <v>0</v>
      </c>
      <c r="N16" s="20" t="n">
        <v>0</v>
      </c>
      <c r="O16" s="18" t="n">
        <v>0</v>
      </c>
      <c r="P16" s="20" t="n">
        <v>0</v>
      </c>
      <c r="Q16" s="18" t="n">
        <v>1.33393956</v>
      </c>
      <c r="R16" s="20" t="n">
        <v>0.54266811</v>
      </c>
    </row>
    <row r="17" spans="1:18">
      <c r="A17" s="15" t="s">
        <v>575</v>
      </c>
      <c r="B17" s="17" t="n">
        <v>3197</v>
      </c>
      <c r="C17" s="18">
        <f>(2850.0/B17*100)</f>
        <v/>
      </c>
      <c r="D17" s="19" t="n">
        <v>347</v>
      </c>
      <c r="E17" s="18" t="n">
        <v>60.83796714</v>
      </c>
      <c r="F17" s="20" t="n">
        <v>2.75792059</v>
      </c>
      <c r="G17" s="18" t="n">
        <v>38.01769549</v>
      </c>
      <c r="H17" s="20" t="n">
        <v>2.76201981</v>
      </c>
      <c r="I17" s="18" t="n">
        <v>0</v>
      </c>
      <c r="J17" s="20" t="n">
        <v>0</v>
      </c>
      <c r="K17" s="18" t="n">
        <v>0.29316236</v>
      </c>
      <c r="L17" s="20" t="n">
        <v>0.28858675</v>
      </c>
      <c r="M17" s="18" t="n">
        <v>0</v>
      </c>
      <c r="N17" s="20" t="n">
        <v>0</v>
      </c>
      <c r="O17" s="18" t="n">
        <v>0</v>
      </c>
      <c r="P17" s="20" t="n">
        <v>0</v>
      </c>
      <c r="Q17" s="18" t="n">
        <v>0.85117501</v>
      </c>
      <c r="R17" s="20" t="n">
        <v>0.42579754</v>
      </c>
    </row>
    <row r="18" spans="1:18">
      <c r="A18" s="15" t="s">
        <v>576</v>
      </c>
      <c r="B18" s="17" t="n">
        <v>2706</v>
      </c>
      <c r="C18" s="18">
        <f>(2422.0/B18*100)</f>
        <v/>
      </c>
      <c r="D18" s="19" t="n">
        <v>284</v>
      </c>
      <c r="E18" s="18" t="n">
        <v>66.70969984</v>
      </c>
      <c r="F18" s="20" t="n">
        <v>2.89962155</v>
      </c>
      <c r="G18" s="18" t="n">
        <v>31.20576782</v>
      </c>
      <c r="H18" s="20" t="n">
        <v>2.86422327</v>
      </c>
      <c r="I18" s="18" t="n">
        <v>0</v>
      </c>
      <c r="J18" s="20" t="n">
        <v>0</v>
      </c>
      <c r="K18" s="18" t="n">
        <v>0.63599647</v>
      </c>
      <c r="L18" s="20" t="n">
        <v>0.44880417</v>
      </c>
      <c r="M18" s="18" t="n">
        <v>0</v>
      </c>
      <c r="N18" s="20" t="n">
        <v>0</v>
      </c>
      <c r="O18" s="18" t="n">
        <v>0</v>
      </c>
      <c r="P18" s="20" t="n">
        <v>0</v>
      </c>
      <c r="Q18" s="18" t="n">
        <v>1.44853587</v>
      </c>
      <c r="R18" s="20" t="n">
        <v>0.79727013</v>
      </c>
    </row>
    <row r="19" spans="1:18">
      <c r="A19" s="15" t="s">
        <v>577</v>
      </c>
      <c r="B19" s="17" t="n">
        <v>2850</v>
      </c>
      <c r="C19" s="18">
        <f>(2546.0/B19*100)</f>
        <v/>
      </c>
      <c r="D19" s="19" t="n">
        <v>304</v>
      </c>
      <c r="E19" s="18" t="n">
        <v>49.98232314</v>
      </c>
      <c r="F19" s="20" t="n">
        <v>2.88365413</v>
      </c>
      <c r="G19" s="18" t="n">
        <v>50.01767686</v>
      </c>
      <c r="H19" s="20" t="n">
        <v>2.88365413</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(1525.0/B20*100)</f>
        <v/>
      </c>
      <c r="D20" s="19" t="n">
        <v>216</v>
      </c>
      <c r="E20" s="18" t="n">
        <v>65.87560723999999</v>
      </c>
      <c r="F20" s="20" t="n">
        <v>3.16282642</v>
      </c>
      <c r="G20" s="18" t="n">
        <v>31.25222284</v>
      </c>
      <c r="H20" s="20" t="n">
        <v>2.89235209</v>
      </c>
      <c r="I20" s="18" t="n">
        <v>0</v>
      </c>
      <c r="J20" s="20" t="n">
        <v>0</v>
      </c>
      <c r="K20" s="18" t="n">
        <v>0.39259767</v>
      </c>
      <c r="L20" s="20" t="n">
        <v>0.38619014</v>
      </c>
      <c r="M20" s="18" t="n">
        <v>0</v>
      </c>
      <c r="N20" s="20" t="n">
        <v>0</v>
      </c>
      <c r="O20" s="18" t="n">
        <v>0</v>
      </c>
      <c r="P20" s="20" t="n">
        <v>0</v>
      </c>
      <c r="Q20" s="18" t="n">
        <v>2.47957226</v>
      </c>
      <c r="R20" s="20" t="n">
        <v>1.07981083</v>
      </c>
    </row>
    <row r="21" spans="1:18">
      <c r="A21" s="15" t="s">
        <v>579</v>
      </c>
      <c r="B21" s="17" t="n">
        <v>2833</v>
      </c>
      <c r="C21" s="18">
        <f>(2531.0/B21*100)</f>
        <v/>
      </c>
      <c r="D21" s="19" t="n">
        <v>302</v>
      </c>
      <c r="E21" s="18" t="n">
        <v>61.89325211</v>
      </c>
      <c r="F21" s="20" t="n">
        <v>2.91195218</v>
      </c>
      <c r="G21" s="18" t="n">
        <v>37.76968775</v>
      </c>
      <c r="H21" s="20" t="n">
        <v>2.81827723</v>
      </c>
      <c r="I21" s="18" t="n">
        <v>0</v>
      </c>
      <c r="J21" s="20" t="n">
        <v>0</v>
      </c>
      <c r="K21" s="18" t="n">
        <v>0.33706014</v>
      </c>
      <c r="L21" s="20" t="n">
        <v>0.33405618</v>
      </c>
      <c r="M21" s="18" t="n">
        <v>0</v>
      </c>
      <c r="N21" s="20" t="n">
        <v>0</v>
      </c>
      <c r="O21" s="18" t="n">
        <v>0</v>
      </c>
      <c r="P21" s="20" t="n">
        <v>0</v>
      </c>
      <c r="Q21" s="18" t="n">
        <v>0</v>
      </c>
      <c r="R21" s="20" t="n">
        <v>0</v>
      </c>
    </row>
    <row r="22" spans="1:18">
      <c r="A22" s="15" t="s">
        <v>580</v>
      </c>
      <c r="B22" s="17" t="n">
        <v>3667</v>
      </c>
      <c r="C22" s="18">
        <f>(3251.0/B22*100)</f>
        <v/>
      </c>
      <c r="D22" s="19" t="n">
        <v>416</v>
      </c>
      <c r="E22" s="18" t="n">
        <v>65.77685391999999</v>
      </c>
      <c r="F22" s="20" t="n">
        <v>2.12046546</v>
      </c>
      <c r="G22" s="18" t="n">
        <v>32.63704821</v>
      </c>
      <c r="H22" s="20" t="n">
        <v>2.19933547</v>
      </c>
      <c r="I22" s="18" t="n">
        <v>0</v>
      </c>
      <c r="J22" s="20" t="n">
        <v>0</v>
      </c>
      <c r="K22" s="18" t="n">
        <v>0.87738812</v>
      </c>
      <c r="L22" s="20" t="n">
        <v>0.44443513</v>
      </c>
      <c r="M22" s="18" t="n">
        <v>0</v>
      </c>
      <c r="N22" s="20" t="n">
        <v>0</v>
      </c>
      <c r="O22" s="18" t="n">
        <v>0</v>
      </c>
      <c r="P22" s="20" t="n">
        <v>0</v>
      </c>
      <c r="Q22" s="18" t="n">
        <v>0.70870975</v>
      </c>
      <c r="R22" s="20" t="n">
        <v>0.42056474</v>
      </c>
    </row>
    <row r="23" spans="1:18">
      <c r="A23" s="15" t="s">
        <v>581</v>
      </c>
      <c r="B23" s="17" t="n">
        <v>5792</v>
      </c>
      <c r="C23" s="18">
        <f>(5166.0/B23*100)</f>
        <v/>
      </c>
      <c r="D23" s="19" t="n">
        <v>626</v>
      </c>
      <c r="E23" s="18" t="n">
        <v>56.05502958</v>
      </c>
      <c r="F23" s="20" t="n">
        <v>2.91781576</v>
      </c>
      <c r="G23" s="18" t="n">
        <v>42.26764976</v>
      </c>
      <c r="H23" s="20" t="n">
        <v>2.88632303</v>
      </c>
      <c r="I23" s="18" t="n">
        <v>0</v>
      </c>
      <c r="J23" s="20" t="n">
        <v>0</v>
      </c>
      <c r="K23" s="18" t="n">
        <v>0.31178254</v>
      </c>
      <c r="L23" s="20" t="n">
        <v>0.28149869</v>
      </c>
      <c r="M23" s="18" t="n">
        <v>0</v>
      </c>
      <c r="N23" s="20" t="n">
        <v>0</v>
      </c>
      <c r="O23" s="18" t="n">
        <v>0</v>
      </c>
      <c r="P23" s="20" t="n">
        <v>0</v>
      </c>
      <c r="Q23" s="18" t="n">
        <v>1.36553811</v>
      </c>
      <c r="R23" s="20" t="n">
        <v>0.66397468</v>
      </c>
    </row>
    <row r="24" spans="1:18">
      <c r="A24" s="15" t="s">
        <v>582</v>
      </c>
      <c r="B24" s="17" t="n">
        <v>3309</v>
      </c>
      <c r="C24" s="18">
        <f>(2955.0/B24*100)</f>
        <v/>
      </c>
      <c r="D24" s="19" t="n">
        <v>354</v>
      </c>
      <c r="E24" s="18" t="n">
        <v>58.65955503</v>
      </c>
      <c r="F24" s="20" t="n">
        <v>2.89307774</v>
      </c>
      <c r="G24" s="18" t="n">
        <v>41.00319017</v>
      </c>
      <c r="H24" s="20" t="n">
        <v>2.8524929</v>
      </c>
      <c r="I24" s="18" t="n">
        <v>0</v>
      </c>
      <c r="J24" s="20" t="n">
        <v>0</v>
      </c>
      <c r="K24" s="18" t="n">
        <v>0.33725481</v>
      </c>
      <c r="L24" s="20" t="n">
        <v>0.33935115</v>
      </c>
      <c r="M24" s="18" t="n">
        <v>0</v>
      </c>
      <c r="N24" s="20" t="n">
        <v>0</v>
      </c>
      <c r="O24" s="18" t="n">
        <v>0</v>
      </c>
      <c r="P24" s="20" t="n">
        <v>0</v>
      </c>
      <c r="Q24" s="18" t="n">
        <v>0</v>
      </c>
      <c r="R24" s="20" t="n">
        <v>0</v>
      </c>
    </row>
    <row r="25" spans="1:18">
      <c r="A25" s="15" t="s">
        <v>583</v>
      </c>
      <c r="B25" s="17" t="n">
        <v>2669</v>
      </c>
      <c r="C25" s="18">
        <f>(2362.0/B25*100)</f>
        <v/>
      </c>
      <c r="D25" s="19" t="n">
        <v>307</v>
      </c>
      <c r="E25" s="18" t="n">
        <v>60.26956813</v>
      </c>
      <c r="F25" s="20" t="n">
        <v>2.81554723</v>
      </c>
      <c r="G25" s="18" t="n">
        <v>39.44514858</v>
      </c>
      <c r="H25" s="20" t="n">
        <v>2.82069816</v>
      </c>
      <c r="I25" s="18" t="n">
        <v>0</v>
      </c>
      <c r="J25" s="20" t="n">
        <v>0</v>
      </c>
      <c r="K25" s="18" t="n">
        <v>0.28528329</v>
      </c>
      <c r="L25" s="20" t="n">
        <v>0.28424248</v>
      </c>
      <c r="M25" s="18" t="n">
        <v>0</v>
      </c>
      <c r="N25" s="20" t="n">
        <v>0</v>
      </c>
      <c r="O25" s="18" t="n">
        <v>0</v>
      </c>
      <c r="P25" s="20" t="n">
        <v>0</v>
      </c>
      <c r="Q25" s="18" t="n">
        <v>0</v>
      </c>
      <c r="R25" s="20" t="n">
        <v>0</v>
      </c>
    </row>
    <row r="26" spans="1:18">
      <c r="A26" s="15" t="s">
        <v>584</v>
      </c>
      <c r="B26" s="17" t="n">
        <v>2419</v>
      </c>
      <c r="C26" s="18">
        <f>(2162.0/B26*100)</f>
        <v/>
      </c>
      <c r="D26" s="19" t="n">
        <v>257</v>
      </c>
      <c r="E26" s="18" t="n">
        <v>61.10894742</v>
      </c>
      <c r="F26" s="20" t="n">
        <v>3.32740561</v>
      </c>
      <c r="G26" s="18" t="n">
        <v>38.58718569</v>
      </c>
      <c r="H26" s="20" t="n">
        <v>3.31687493</v>
      </c>
      <c r="I26" s="18" t="n">
        <v>0</v>
      </c>
      <c r="J26" s="20" t="n">
        <v>0</v>
      </c>
      <c r="K26" s="18" t="n">
        <v>0.3038669</v>
      </c>
      <c r="L26" s="20" t="n">
        <v>0.33134985</v>
      </c>
      <c r="M26" s="18" t="n">
        <v>0</v>
      </c>
      <c r="N26" s="20" t="n">
        <v>0</v>
      </c>
      <c r="O26" s="18" t="n">
        <v>0</v>
      </c>
      <c r="P26" s="20" t="n">
        <v>0</v>
      </c>
      <c r="Q26" s="18" t="n">
        <v>0</v>
      </c>
      <c r="R26" s="20" t="n">
        <v>0</v>
      </c>
    </row>
    <row r="27" spans="1:18">
      <c r="A27" s="15" t="s">
        <v>585</v>
      </c>
      <c r="B27" s="17" t="n">
        <v>2683</v>
      </c>
      <c r="C27" s="18">
        <f>(2379.0/B27*100)</f>
        <v/>
      </c>
      <c r="D27" s="19" t="n">
        <v>304</v>
      </c>
      <c r="E27" s="18" t="n">
        <v>60.83988951</v>
      </c>
      <c r="F27" s="20" t="n">
        <v>2.82653208</v>
      </c>
      <c r="G27" s="18" t="n">
        <v>36.52137753</v>
      </c>
      <c r="H27" s="20" t="n">
        <v>2.74937101</v>
      </c>
      <c r="I27" s="18" t="n">
        <v>0</v>
      </c>
      <c r="J27" s="20" t="n">
        <v>0</v>
      </c>
      <c r="K27" s="18" t="n">
        <v>0.34183718</v>
      </c>
      <c r="L27" s="20" t="n">
        <v>0.34294933</v>
      </c>
      <c r="M27" s="18" t="n">
        <v>0</v>
      </c>
      <c r="N27" s="20" t="n">
        <v>0</v>
      </c>
      <c r="O27" s="18" t="n">
        <v>0</v>
      </c>
      <c r="P27" s="20" t="n">
        <v>0</v>
      </c>
      <c r="Q27" s="18" t="n">
        <v>2.29689578</v>
      </c>
      <c r="R27" s="20" t="n">
        <v>0.99112493</v>
      </c>
    </row>
    <row r="28" spans="1:18">
      <c r="A28" s="15" t="s">
        <v>586</v>
      </c>
      <c r="B28" s="17" t="n">
        <v>3803</v>
      </c>
      <c r="C28" s="18">
        <f>(3439.0/B28*100)</f>
        <v/>
      </c>
      <c r="D28" s="19" t="n">
        <v>364</v>
      </c>
      <c r="E28" s="18" t="n">
        <v>70.82200397</v>
      </c>
      <c r="F28" s="20" t="n">
        <v>2.48237569</v>
      </c>
      <c r="G28" s="18" t="n">
        <v>26.33921232</v>
      </c>
      <c r="H28" s="20" t="n">
        <v>2.29833355</v>
      </c>
      <c r="I28" s="18" t="n">
        <v>0</v>
      </c>
      <c r="J28" s="20" t="n">
        <v>0</v>
      </c>
      <c r="K28" s="18" t="n">
        <v>2.25069096</v>
      </c>
      <c r="L28" s="20" t="n">
        <v>0.88527778</v>
      </c>
      <c r="M28" s="18" t="n">
        <v>0</v>
      </c>
      <c r="N28" s="20" t="n">
        <v>0</v>
      </c>
      <c r="O28" s="18" t="n">
        <v>0</v>
      </c>
      <c r="P28" s="20" t="n">
        <v>0</v>
      </c>
      <c r="Q28" s="18" t="n">
        <v>0.5880927500000001</v>
      </c>
      <c r="R28" s="20" t="n">
        <v>0.42528138</v>
      </c>
    </row>
    <row r="29" spans="1:18">
      <c r="A29" s="15" t="s">
        <v>587</v>
      </c>
      <c r="B29" s="17" t="n">
        <v>2700</v>
      </c>
      <c r="C29" s="18">
        <f>(2408.0/B29*100)</f>
        <v/>
      </c>
      <c r="D29" s="19" t="n">
        <v>292</v>
      </c>
      <c r="E29" s="18" t="n">
        <v>55.52264243</v>
      </c>
      <c r="F29" s="20" t="n">
        <v>3.08996571</v>
      </c>
      <c r="G29" s="18" t="n">
        <v>43.78541966</v>
      </c>
      <c r="H29" s="20" t="n">
        <v>3.14716314</v>
      </c>
      <c r="I29" s="18" t="n">
        <v>0</v>
      </c>
      <c r="J29" s="20" t="n">
        <v>0</v>
      </c>
      <c r="K29" s="18" t="n">
        <v>0.69193791</v>
      </c>
      <c r="L29" s="20" t="n">
        <v>0.47666259</v>
      </c>
      <c r="M29" s="18" t="n">
        <v>0</v>
      </c>
      <c r="N29" s="20" t="n">
        <v>0</v>
      </c>
      <c r="O29" s="18" t="n">
        <v>0</v>
      </c>
      <c r="P29" s="20" t="n">
        <v>0</v>
      </c>
      <c r="Q29" s="18" t="n">
        <v>0</v>
      </c>
      <c r="R29" s="20" t="n">
        <v>0</v>
      </c>
    </row>
    <row r="30" spans="1:18">
      <c r="A30" s="15" t="s">
        <v>588</v>
      </c>
      <c r="B30" s="17" t="n">
        <v>2257</v>
      </c>
      <c r="C30" s="18">
        <f>(2009.0/B30*100)</f>
        <v/>
      </c>
      <c r="D30" s="19" t="n">
        <v>248</v>
      </c>
      <c r="E30" s="18" t="n">
        <v>60.23714014</v>
      </c>
      <c r="F30" s="20" t="n">
        <v>3.28571837</v>
      </c>
      <c r="G30" s="18" t="n">
        <v>38.96636278</v>
      </c>
      <c r="H30" s="20" t="n">
        <v>3.34794873</v>
      </c>
      <c r="I30" s="18" t="n">
        <v>0</v>
      </c>
      <c r="J30" s="20" t="n">
        <v>0</v>
      </c>
      <c r="K30" s="18" t="n">
        <v>0</v>
      </c>
      <c r="L30" s="20" t="n">
        <v>0</v>
      </c>
      <c r="M30" s="18" t="n">
        <v>0</v>
      </c>
      <c r="N30" s="20" t="n">
        <v>0</v>
      </c>
      <c r="O30" s="18" t="n">
        <v>0</v>
      </c>
      <c r="P30" s="20" t="n">
        <v>0</v>
      </c>
      <c r="Q30" s="18" t="n">
        <v>0.79649708</v>
      </c>
      <c r="R30" s="20" t="n">
        <v>0.5000852099999999</v>
      </c>
    </row>
    <row r="31" spans="1:18">
      <c r="A31" s="15" t="s">
        <v>589</v>
      </c>
      <c r="B31" s="17" t="n">
        <v>2706</v>
      </c>
      <c r="C31" s="18">
        <f>(2418.0/B31*100)</f>
        <v/>
      </c>
      <c r="D31" s="19" t="n">
        <v>288</v>
      </c>
      <c r="E31" s="18" t="n">
        <v>58.70017204</v>
      </c>
      <c r="F31" s="20" t="n">
        <v>2.88288551</v>
      </c>
      <c r="G31" s="18" t="n">
        <v>39.33589691</v>
      </c>
      <c r="H31" s="20" t="n">
        <v>2.9065125</v>
      </c>
      <c r="I31" s="18" t="n">
        <v>0</v>
      </c>
      <c r="J31" s="20" t="n">
        <v>0</v>
      </c>
      <c r="K31" s="18" t="n">
        <v>1.31922275</v>
      </c>
      <c r="L31" s="20" t="n">
        <v>0.6355739500000001</v>
      </c>
      <c r="M31" s="18" t="n">
        <v>0</v>
      </c>
      <c r="N31" s="20" t="n">
        <v>0</v>
      </c>
      <c r="O31" s="18" t="n">
        <v>0</v>
      </c>
      <c r="P31" s="20" t="n">
        <v>0</v>
      </c>
      <c r="Q31" s="18" t="n">
        <v>0.6447083</v>
      </c>
      <c r="R31" s="20" t="n">
        <v>0.45391078</v>
      </c>
    </row>
    <row r="32" spans="1:18">
      <c r="A32" s="15" t="s">
        <v>590</v>
      </c>
      <c r="B32" s="17" t="n">
        <v>2209</v>
      </c>
      <c r="C32" s="18">
        <f>(1972.0/B32*100)</f>
        <v/>
      </c>
      <c r="D32" s="19" t="n">
        <v>237</v>
      </c>
      <c r="E32" s="18" t="n">
        <v>52.67570064</v>
      </c>
      <c r="F32" s="20" t="n">
        <v>3.11870109</v>
      </c>
      <c r="G32" s="18" t="n">
        <v>46.84386642</v>
      </c>
      <c r="H32" s="20" t="n">
        <v>3.05643345</v>
      </c>
      <c r="I32" s="18" t="n">
        <v>0</v>
      </c>
      <c r="J32" s="20" t="n">
        <v>0</v>
      </c>
      <c r="K32" s="18" t="n">
        <v>0</v>
      </c>
      <c r="L32" s="20" t="n">
        <v>0</v>
      </c>
      <c r="M32" s="18" t="n">
        <v>0</v>
      </c>
      <c r="N32" s="20" t="n">
        <v>0</v>
      </c>
      <c r="O32" s="18" t="n">
        <v>0</v>
      </c>
      <c r="P32" s="20" t="n">
        <v>0</v>
      </c>
      <c r="Q32" s="18" t="n">
        <v>0.48043294</v>
      </c>
      <c r="R32" s="20" t="n">
        <v>0.48564784</v>
      </c>
    </row>
    <row r="33" spans="1:18">
      <c r="A33" s="15" t="s">
        <v>591</v>
      </c>
      <c r="B33" s="17" t="n">
        <v>3651</v>
      </c>
      <c r="C33" s="18">
        <f>(3284.0/B33*100)</f>
        <v/>
      </c>
      <c r="D33" s="19" t="n">
        <v>367</v>
      </c>
      <c r="E33" s="18" t="n">
        <v>56.43941097</v>
      </c>
      <c r="F33" s="20" t="n">
        <v>3.39612287</v>
      </c>
      <c r="G33" s="18" t="n">
        <v>42.86212223</v>
      </c>
      <c r="H33" s="20" t="n">
        <v>3.37019484</v>
      </c>
      <c r="I33" s="18" t="n">
        <v>0</v>
      </c>
      <c r="J33" s="20" t="n">
        <v>0</v>
      </c>
      <c r="K33" s="18" t="n">
        <v>0.36451164</v>
      </c>
      <c r="L33" s="20" t="n">
        <v>0.36252698</v>
      </c>
      <c r="M33" s="18" t="n">
        <v>0</v>
      </c>
      <c r="N33" s="20" t="n">
        <v>0</v>
      </c>
      <c r="O33" s="18" t="n">
        <v>0</v>
      </c>
      <c r="P33" s="20" t="n">
        <v>0</v>
      </c>
      <c r="Q33" s="18" t="n">
        <v>0.33395517</v>
      </c>
      <c r="R33" s="20" t="n">
        <v>0.34370406</v>
      </c>
    </row>
    <row r="34" spans="1:18">
      <c r="A34" s="15" t="s">
        <v>592</v>
      </c>
      <c r="B34" s="17" t="n">
        <v>3035</v>
      </c>
      <c r="C34" s="18">
        <f>(2697.0/B34*100)</f>
        <v/>
      </c>
      <c r="D34" s="19" t="n">
        <v>338</v>
      </c>
      <c r="E34" s="18" t="n">
        <v>60.79039679</v>
      </c>
      <c r="F34" s="20" t="n">
        <v>3.15494745</v>
      </c>
      <c r="G34" s="18" t="n">
        <v>38.83923219</v>
      </c>
      <c r="H34" s="20" t="n">
        <v>3.08947007</v>
      </c>
      <c r="I34" s="18" t="n">
        <v>0</v>
      </c>
      <c r="J34" s="20" t="n">
        <v>0</v>
      </c>
      <c r="K34" s="18" t="n">
        <v>0.37037101</v>
      </c>
      <c r="L34" s="20" t="n">
        <v>0.26573721</v>
      </c>
      <c r="M34" s="18" t="n">
        <v>0</v>
      </c>
      <c r="N34" s="20" t="n">
        <v>0</v>
      </c>
      <c r="O34" s="18" t="n">
        <v>0</v>
      </c>
      <c r="P34" s="20" t="n">
        <v>0</v>
      </c>
      <c r="Q34" s="18" t="n">
        <v>0</v>
      </c>
      <c r="R34" s="20" t="n">
        <v>0</v>
      </c>
    </row>
    <row r="35" spans="1:18">
      <c r="A35" s="15" t="s">
        <v>593</v>
      </c>
      <c r="B35" s="17" t="n">
        <v>2901</v>
      </c>
      <c r="C35" s="18">
        <f>(2608.0/B35*100)</f>
        <v/>
      </c>
      <c r="D35" s="19" t="n">
        <v>293</v>
      </c>
      <c r="E35" s="18" t="n">
        <v>59.29002459</v>
      </c>
      <c r="F35" s="20" t="n">
        <v>3.47880411</v>
      </c>
      <c r="G35" s="18" t="n">
        <v>40.43821847</v>
      </c>
      <c r="H35" s="20" t="n">
        <v>3.52005636</v>
      </c>
      <c r="I35" s="18" t="n">
        <v>0</v>
      </c>
      <c r="J35" s="20" t="n">
        <v>0</v>
      </c>
      <c r="K35" s="18" t="n">
        <v>0.13986515</v>
      </c>
      <c r="L35" s="20" t="n">
        <v>0.14289993</v>
      </c>
      <c r="M35" s="18" t="n">
        <v>0</v>
      </c>
      <c r="N35" s="20" t="n">
        <v>0</v>
      </c>
      <c r="O35" s="18" t="n">
        <v>0</v>
      </c>
      <c r="P35" s="20" t="n">
        <v>0</v>
      </c>
      <c r="Q35" s="18" t="n">
        <v>0.13189179</v>
      </c>
      <c r="R35" s="20" t="n">
        <v>0.13445509</v>
      </c>
    </row>
    <row r="36" spans="1:18">
      <c r="A36" s="15" t="s">
        <v>594</v>
      </c>
      <c r="B36" s="17" t="n">
        <v>3404</v>
      </c>
      <c r="C36" s="18">
        <f>(3059.0/B36*100)</f>
        <v/>
      </c>
      <c r="D36" s="19" t="n">
        <v>345</v>
      </c>
      <c r="E36" s="18" t="n">
        <v>57.10993823</v>
      </c>
      <c r="F36" s="20" t="n">
        <v>2.76380018</v>
      </c>
      <c r="G36" s="18" t="n">
        <v>41.559371</v>
      </c>
      <c r="H36" s="20" t="n">
        <v>2.7174535</v>
      </c>
      <c r="I36" s="18" t="n">
        <v>0</v>
      </c>
      <c r="J36" s="20" t="n">
        <v>0</v>
      </c>
      <c r="K36" s="18" t="n">
        <v>0.3628935</v>
      </c>
      <c r="L36" s="20" t="n">
        <v>0.34026292</v>
      </c>
      <c r="M36" s="18" t="n">
        <v>0</v>
      </c>
      <c r="N36" s="20" t="n">
        <v>0</v>
      </c>
      <c r="O36" s="18" t="n">
        <v>0</v>
      </c>
      <c r="P36" s="20" t="n">
        <v>0</v>
      </c>
      <c r="Q36" s="18" t="n">
        <v>0.96779727</v>
      </c>
      <c r="R36" s="20" t="n">
        <v>0.52640321</v>
      </c>
    </row>
    <row r="37" spans="1:18">
      <c r="A37" s="15" t="s">
        <v>595</v>
      </c>
      <c r="B37" s="17" t="n">
        <v>2731</v>
      </c>
      <c r="C37" s="18">
        <f>(2433.0/B37*100)</f>
        <v/>
      </c>
      <c r="D37" s="19" t="n">
        <v>298</v>
      </c>
      <c r="E37" s="18" t="n">
        <v>60.1262503</v>
      </c>
      <c r="F37" s="20" t="n">
        <v>2.5817992</v>
      </c>
      <c r="G37" s="18" t="n">
        <v>36.981408</v>
      </c>
      <c r="H37" s="20" t="n">
        <v>2.6568457</v>
      </c>
      <c r="I37" s="18" t="n">
        <v>0</v>
      </c>
      <c r="J37" s="20" t="n">
        <v>0</v>
      </c>
      <c r="K37" s="18" t="n">
        <v>1.98351649</v>
      </c>
      <c r="L37" s="20" t="n">
        <v>0.82525735</v>
      </c>
      <c r="M37" s="18" t="n">
        <v>0</v>
      </c>
      <c r="N37" s="20" t="n">
        <v>0</v>
      </c>
      <c r="O37" s="18" t="n">
        <v>0</v>
      </c>
      <c r="P37" s="20" t="n">
        <v>0</v>
      </c>
      <c r="Q37" s="18" t="n">
        <v>0.90882522</v>
      </c>
      <c r="R37" s="20" t="n">
        <v>0.54919239</v>
      </c>
    </row>
    <row r="38" spans="1:18">
      <c r="A38" s="15" t="s">
        <v>596</v>
      </c>
      <c r="B38" s="17" t="n">
        <v>2807</v>
      </c>
      <c r="C38" s="18">
        <f>(2493.0/B38*100)</f>
        <v/>
      </c>
      <c r="D38" s="19" t="n">
        <v>314</v>
      </c>
      <c r="E38" s="18" t="n">
        <v>63.80423304</v>
      </c>
      <c r="F38" s="20" t="n">
        <v>3.22101963</v>
      </c>
      <c r="G38" s="18" t="n">
        <v>35.81928557</v>
      </c>
      <c r="H38" s="20" t="n">
        <v>3.15486766</v>
      </c>
      <c r="I38" s="18" t="n">
        <v>0</v>
      </c>
      <c r="J38" s="20" t="n">
        <v>0</v>
      </c>
      <c r="K38" s="18" t="n">
        <v>0.33742728</v>
      </c>
      <c r="L38" s="20" t="n">
        <v>0.33737884</v>
      </c>
      <c r="M38" s="18" t="n">
        <v>0</v>
      </c>
      <c r="N38" s="20" t="n">
        <v>0</v>
      </c>
      <c r="O38" s="18" t="n">
        <v>0</v>
      </c>
      <c r="P38" s="20" t="n">
        <v>0</v>
      </c>
      <c r="Q38" s="18" t="n">
        <v>0.03905411</v>
      </c>
      <c r="R38" s="20" t="n">
        <v>0.03940733</v>
      </c>
    </row>
    <row r="39" spans="1:18">
      <c r="A39" s="15" t="s">
        <v>597</v>
      </c>
      <c r="B39" s="17" t="n">
        <v>2938</v>
      </c>
      <c r="C39" s="18">
        <f>(2624.0/B39*100)</f>
        <v/>
      </c>
      <c r="D39" s="19" t="n">
        <v>314</v>
      </c>
      <c r="E39" s="18" t="n">
        <v>66.59737636</v>
      </c>
      <c r="F39" s="20" t="n">
        <v>2.77653935</v>
      </c>
      <c r="G39" s="18" t="n">
        <v>33.40262364</v>
      </c>
      <c r="H39" s="20" t="n">
        <v>2.77653935</v>
      </c>
      <c r="I39" s="18" t="n">
        <v>0</v>
      </c>
      <c r="J39" s="20" t="n">
        <v>0</v>
      </c>
      <c r="K39" s="18" t="n">
        <v>0</v>
      </c>
      <c r="L39" s="20" t="n">
        <v>0</v>
      </c>
      <c r="M39" s="18" t="n">
        <v>0</v>
      </c>
      <c r="N39" s="20" t="n">
        <v>0</v>
      </c>
      <c r="O39" s="18" t="n">
        <v>0</v>
      </c>
      <c r="P39" s="20" t="n">
        <v>0</v>
      </c>
      <c r="Q39" s="18" t="n">
        <v>0</v>
      </c>
      <c r="R39" s="20" t="n">
        <v>0</v>
      </c>
    </row>
    <row r="40" spans="1:18">
      <c r="A40" s="15" t="s">
        <v>598</v>
      </c>
      <c r="B40" s="17" t="n">
        <v>6922</v>
      </c>
      <c r="C40" s="18">
        <f>(6146.0/B40*100)</f>
        <v/>
      </c>
      <c r="D40" s="19" t="n">
        <v>776</v>
      </c>
      <c r="E40" s="18" t="n">
        <v>62.17299125</v>
      </c>
      <c r="F40" s="20" t="n">
        <v>2.85378265</v>
      </c>
      <c r="G40" s="18" t="n">
        <v>36.55263469</v>
      </c>
      <c r="H40" s="20" t="n">
        <v>2.83824436</v>
      </c>
      <c r="I40" s="18" t="n">
        <v>0</v>
      </c>
      <c r="J40" s="20" t="n">
        <v>0</v>
      </c>
      <c r="K40" s="18" t="n">
        <v>0.76696695</v>
      </c>
      <c r="L40" s="20" t="n">
        <v>0.46031638</v>
      </c>
      <c r="M40" s="18" t="n">
        <v>0</v>
      </c>
      <c r="N40" s="20" t="n">
        <v>0</v>
      </c>
      <c r="O40" s="18" t="n">
        <v>0</v>
      </c>
      <c r="P40" s="20" t="n">
        <v>0</v>
      </c>
      <c r="Q40" s="18" t="n">
        <v>0.5074071</v>
      </c>
      <c r="R40" s="20" t="n">
        <v>0.34116644</v>
      </c>
    </row>
    <row r="41" spans="1:18">
      <c r="A41" s="15" t="s">
        <v>599</v>
      </c>
      <c r="B41" s="17" t="n">
        <v>2854</v>
      </c>
      <c r="C41" s="18">
        <f>(2552.0/B41*100)</f>
        <v/>
      </c>
      <c r="D41" s="19" t="n">
        <v>302</v>
      </c>
      <c r="E41" s="18" t="n">
        <v>68.33146787</v>
      </c>
      <c r="F41" s="20" t="n">
        <v>2.50189116</v>
      </c>
      <c r="G41" s="18" t="n">
        <v>31.39112722</v>
      </c>
      <c r="H41" s="20" t="n">
        <v>2.463681</v>
      </c>
      <c r="I41" s="18" t="n">
        <v>0</v>
      </c>
      <c r="J41" s="20" t="n">
        <v>0</v>
      </c>
      <c r="K41" s="18" t="n">
        <v>0.27740491</v>
      </c>
      <c r="L41" s="20" t="n">
        <v>0.30066833</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(11118.0/B46*100)</f>
        <v/>
      </c>
      <c r="D46" s="19" t="n">
        <v>955</v>
      </c>
      <c r="E46" s="18" t="n">
        <v>65.22143526000001</v>
      </c>
      <c r="F46" s="20" t="n">
        <v>1.89020872</v>
      </c>
      <c r="G46" s="18" t="n">
        <v>31.97700608</v>
      </c>
      <c r="H46" s="20" t="n">
        <v>2.00039509</v>
      </c>
      <c r="I46" s="18" t="n">
        <v>0</v>
      </c>
      <c r="J46" s="20" t="n">
        <v>0</v>
      </c>
      <c r="K46" s="18" t="n">
        <v>1.24840103</v>
      </c>
      <c r="L46" s="20" t="n">
        <v>0.43765904</v>
      </c>
      <c r="M46" s="18" t="n">
        <v>0</v>
      </c>
      <c r="N46" s="20" t="n">
        <v>0</v>
      </c>
      <c r="O46" s="18" t="n">
        <v>0</v>
      </c>
      <c r="P46" s="20" t="n">
        <v>0</v>
      </c>
      <c r="Q46" s="18" t="n">
        <v>1.55315762</v>
      </c>
      <c r="R46" s="20" t="n">
        <v>0.57095095</v>
      </c>
    </row>
    <row r="47" spans="1:18">
      <c r="A47" s="15" t="s">
        <v>606</v>
      </c>
      <c r="B47" s="17" t="n">
        <v>2823</v>
      </c>
      <c r="C47" s="18">
        <f>(2511.0/B47*100)</f>
        <v/>
      </c>
      <c r="D47" s="19" t="n">
        <v>312</v>
      </c>
      <c r="E47" s="18" t="n">
        <v>59.0143267</v>
      </c>
      <c r="F47" s="20" t="n">
        <v>3.16066212</v>
      </c>
      <c r="G47" s="18" t="n">
        <v>38.42794054</v>
      </c>
      <c r="H47" s="20" t="n">
        <v>2.97067075</v>
      </c>
      <c r="I47" s="18" t="n">
        <v>0</v>
      </c>
      <c r="J47" s="20" t="n">
        <v>0</v>
      </c>
      <c r="K47" s="18" t="n">
        <v>0.63230392</v>
      </c>
      <c r="L47" s="20" t="n">
        <v>0.43938984</v>
      </c>
      <c r="M47" s="18" t="n">
        <v>0</v>
      </c>
      <c r="N47" s="20" t="n">
        <v>0</v>
      </c>
      <c r="O47" s="18" t="n">
        <v>0</v>
      </c>
      <c r="P47" s="20" t="n">
        <v>0</v>
      </c>
      <c r="Q47" s="18" t="n">
        <v>1.92542883</v>
      </c>
      <c r="R47" s="20" t="n">
        <v>0.84437171</v>
      </c>
    </row>
    <row r="48" spans="1:18">
      <c r="A48" s="15" t="s">
        <v>607</v>
      </c>
      <c r="B48" s="17" t="n">
        <v>4682</v>
      </c>
      <c r="C48" s="18">
        <f>(4170.0/B48*100)</f>
        <v/>
      </c>
      <c r="D48" s="19" t="n">
        <v>512</v>
      </c>
      <c r="E48" s="18" t="n">
        <v>56.47766084</v>
      </c>
      <c r="F48" s="20" t="n">
        <v>3.00086566</v>
      </c>
      <c r="G48" s="18" t="n">
        <v>42.00064419</v>
      </c>
      <c r="H48" s="20" t="n">
        <v>3.1365273</v>
      </c>
      <c r="I48" s="18" t="n">
        <v>0</v>
      </c>
      <c r="J48" s="20" t="n">
        <v>0</v>
      </c>
      <c r="K48" s="18" t="n">
        <v>0.82949778</v>
      </c>
      <c r="L48" s="20" t="n">
        <v>0.56695768</v>
      </c>
      <c r="M48" s="18" t="n">
        <v>0</v>
      </c>
      <c r="N48" s="20" t="n">
        <v>0</v>
      </c>
      <c r="O48" s="18" t="n">
        <v>0</v>
      </c>
      <c r="P48" s="20" t="n">
        <v>0</v>
      </c>
      <c r="Q48" s="18" t="n">
        <v>0.69219719</v>
      </c>
      <c r="R48" s="20" t="n">
        <v>0.48700987</v>
      </c>
    </row>
    <row r="49" spans="1:18">
      <c r="A49" s="15" t="s">
        <v>608</v>
      </c>
      <c r="B49" s="17" t="n">
        <v>6158</v>
      </c>
      <c r="C49" s="18">
        <f>(5513.0/B49*100)</f>
        <v/>
      </c>
      <c r="D49" s="19" t="n">
        <v>645</v>
      </c>
      <c r="E49" s="18" t="n">
        <v>63.78519367</v>
      </c>
      <c r="F49" s="20" t="n">
        <v>2.53450552</v>
      </c>
      <c r="G49" s="18" t="n">
        <v>34.78450918</v>
      </c>
      <c r="H49" s="20" t="n">
        <v>2.52010516</v>
      </c>
      <c r="I49" s="18" t="n">
        <v>0</v>
      </c>
      <c r="J49" s="20" t="n">
        <v>0</v>
      </c>
      <c r="K49" s="18" t="n">
        <v>1.17049252</v>
      </c>
      <c r="L49" s="20" t="n">
        <v>0.49983552</v>
      </c>
      <c r="M49" s="18" t="n">
        <v>0</v>
      </c>
      <c r="N49" s="20" t="n">
        <v>0</v>
      </c>
      <c r="O49" s="18" t="n">
        <v>0</v>
      </c>
      <c r="P49" s="20" t="n">
        <v>0</v>
      </c>
      <c r="Q49" s="18" t="n">
        <v>0.25980463</v>
      </c>
      <c r="R49" s="20" t="n">
        <v>0.22499493</v>
      </c>
    </row>
    <row r="50" spans="1:18">
      <c r="A50" s="15" t="s">
        <v>609</v>
      </c>
      <c r="B50" s="17" t="n">
        <v>3494</v>
      </c>
      <c r="C50" s="18">
        <f>(3170.0/B50*100)</f>
        <v/>
      </c>
      <c r="D50" s="19" t="n">
        <v>324</v>
      </c>
      <c r="E50" s="18" t="n">
        <v>71.60741494</v>
      </c>
      <c r="F50" s="20" t="n">
        <v>2.74127468</v>
      </c>
      <c r="G50" s="18" t="n">
        <v>26.85386896</v>
      </c>
      <c r="H50" s="20" t="n">
        <v>2.68377373</v>
      </c>
      <c r="I50" s="18" t="n">
        <v>0</v>
      </c>
      <c r="J50" s="20" t="n">
        <v>0</v>
      </c>
      <c r="K50" s="18" t="n">
        <v>0.42737192</v>
      </c>
      <c r="L50" s="20" t="n">
        <v>0.41542408</v>
      </c>
      <c r="M50" s="18" t="n">
        <v>0</v>
      </c>
      <c r="N50" s="20" t="n">
        <v>0</v>
      </c>
      <c r="O50" s="18" t="n">
        <v>0</v>
      </c>
      <c r="P50" s="20" t="n">
        <v>0</v>
      </c>
      <c r="Q50" s="18" t="n">
        <v>1.11134419</v>
      </c>
      <c r="R50" s="20" t="n">
        <v>0.69787004</v>
      </c>
    </row>
    <row r="51" spans="1:18">
      <c r="A51" s="15" t="s">
        <v>610</v>
      </c>
      <c r="B51" s="17" t="n">
        <v>3013</v>
      </c>
      <c r="C51" s="18">
        <f>(2653.0/B51*100)</f>
        <v/>
      </c>
      <c r="D51" s="19" t="n">
        <v>360</v>
      </c>
      <c r="E51" s="18" t="n">
        <v>62.08695178</v>
      </c>
      <c r="F51" s="20" t="n">
        <v>2.58908372</v>
      </c>
      <c r="G51" s="18" t="n">
        <v>37.00770887</v>
      </c>
      <c r="H51" s="20" t="n">
        <v>2.45311279</v>
      </c>
      <c r="I51" s="18" t="n">
        <v>0</v>
      </c>
      <c r="J51" s="20" t="n">
        <v>0</v>
      </c>
      <c r="K51" s="18" t="n">
        <v>0.33828088</v>
      </c>
      <c r="L51" s="20" t="n">
        <v>0.33309414</v>
      </c>
      <c r="M51" s="18" t="n">
        <v>0</v>
      </c>
      <c r="N51" s="20" t="n">
        <v>0</v>
      </c>
      <c r="O51" s="18" t="n">
        <v>0</v>
      </c>
      <c r="P51" s="20" t="n">
        <v>0</v>
      </c>
      <c r="Q51" s="18" t="n">
        <v>0.56705847</v>
      </c>
      <c r="R51" s="20" t="n">
        <v>0.4185471</v>
      </c>
    </row>
    <row r="52" spans="1:18">
      <c r="A52" s="15" t="s">
        <v>611</v>
      </c>
      <c r="B52" s="17" t="n">
        <v>2760</v>
      </c>
      <c r="C52" s="18">
        <f>(2466.0/B52*100)</f>
        <v/>
      </c>
      <c r="D52" s="19" t="n">
        <v>294</v>
      </c>
      <c r="E52" s="18" t="n">
        <v>70.83466002</v>
      </c>
      <c r="F52" s="20" t="n">
        <v>3.01831642</v>
      </c>
      <c r="G52" s="18" t="n">
        <v>27.94458478</v>
      </c>
      <c r="H52" s="20" t="n">
        <v>2.90299412</v>
      </c>
      <c r="I52" s="18" t="n">
        <v>0</v>
      </c>
      <c r="J52" s="20" t="n">
        <v>0</v>
      </c>
      <c r="K52" s="18" t="n">
        <v>0.55486587</v>
      </c>
      <c r="L52" s="20" t="n">
        <v>0.39155003</v>
      </c>
      <c r="M52" s="18" t="n">
        <v>0</v>
      </c>
      <c r="N52" s="20" t="n">
        <v>0</v>
      </c>
      <c r="O52" s="18" t="n">
        <v>0</v>
      </c>
      <c r="P52" s="20" t="n">
        <v>0</v>
      </c>
      <c r="Q52" s="18" t="n">
        <v>0.66588934</v>
      </c>
      <c r="R52" s="20" t="n">
        <v>0.6578654</v>
      </c>
    </row>
    <row r="53" spans="1:18">
      <c r="A53" s="15" t="s">
        <v>612</v>
      </c>
      <c r="B53" s="17" t="n">
        <v>2474</v>
      </c>
      <c r="C53" s="18">
        <f>(2236.0/B53*100)</f>
        <v/>
      </c>
      <c r="D53" s="19" t="n">
        <v>238</v>
      </c>
      <c r="E53" s="18" t="n">
        <v>61.56090136</v>
      </c>
      <c r="F53" s="20" t="n">
        <v>3.10199065</v>
      </c>
      <c r="G53" s="18" t="n">
        <v>17.10569286</v>
      </c>
      <c r="H53" s="20" t="n">
        <v>2.59175484</v>
      </c>
      <c r="I53" s="18" t="n">
        <v>0</v>
      </c>
      <c r="J53" s="20" t="n">
        <v>0</v>
      </c>
      <c r="K53" s="18" t="n">
        <v>19.39581776</v>
      </c>
      <c r="L53" s="20" t="n">
        <v>2.69837728</v>
      </c>
      <c r="M53" s="18" t="n">
        <v>0</v>
      </c>
      <c r="N53" s="20" t="n">
        <v>0</v>
      </c>
      <c r="O53" s="18" t="n">
        <v>0</v>
      </c>
      <c r="P53" s="20" t="n">
        <v>0</v>
      </c>
      <c r="Q53" s="18" t="n">
        <v>1.93758803</v>
      </c>
      <c r="R53" s="20" t="n">
        <v>0.91624752</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(2375.0/B55*100)</f>
        <v/>
      </c>
      <c r="D55" s="19" t="n">
        <v>300</v>
      </c>
      <c r="E55" s="18" t="n">
        <v>53.97629041</v>
      </c>
      <c r="F55" s="20" t="n">
        <v>2.57267479</v>
      </c>
      <c r="G55" s="18" t="n">
        <v>45.72651707</v>
      </c>
      <c r="H55" s="20" t="n">
        <v>2.59420228</v>
      </c>
      <c r="I55" s="18" t="n">
        <v>0</v>
      </c>
      <c r="J55" s="20" t="n">
        <v>0</v>
      </c>
      <c r="K55" s="18" t="n">
        <v>0.29719252</v>
      </c>
      <c r="L55" s="20" t="n">
        <v>0.30592841</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(2834.0/B61*100)</f>
        <v/>
      </c>
      <c r="D61" s="19" t="n">
        <v>367</v>
      </c>
      <c r="E61" s="18" t="n">
        <v>63.10277425</v>
      </c>
      <c r="F61" s="20" t="n">
        <v>2.72705083</v>
      </c>
      <c r="G61" s="18" t="n">
        <v>36.89722575</v>
      </c>
      <c r="H61" s="20" t="n">
        <v>2.72705083</v>
      </c>
      <c r="I61" s="18" t="n">
        <v>0</v>
      </c>
      <c r="J61" s="20" t="n">
        <v>0</v>
      </c>
      <c r="K61" s="18" t="n">
        <v>0</v>
      </c>
      <c r="L61" s="20" t="n">
        <v>0</v>
      </c>
      <c r="M61" s="18" t="n">
        <v>0</v>
      </c>
      <c r="N61" s="20" t="n">
        <v>0</v>
      </c>
      <c r="O61" s="18" t="n">
        <v>0</v>
      </c>
      <c r="P61" s="20" t="n">
        <v>0</v>
      </c>
      <c r="Q61" s="18" t="n">
        <v>0</v>
      </c>
      <c r="R61" s="20" t="n">
        <v>0</v>
      </c>
    </row>
    <row r="62" spans="1:18">
      <c r="A62" s="15" t="s">
        <v>622</v>
      </c>
      <c r="B62" s="17" t="n">
        <v>2230</v>
      </c>
      <c r="C62" s="18">
        <f>(1992.0/B62*100)</f>
        <v/>
      </c>
      <c r="D62" s="19" t="n">
        <v>238</v>
      </c>
      <c r="E62" s="18" t="n">
        <v>48.6716535</v>
      </c>
      <c r="F62" s="20" t="n">
        <v>3.177003</v>
      </c>
      <c r="G62" s="18" t="n">
        <v>51.3283465</v>
      </c>
      <c r="H62" s="20" t="n">
        <v>3.177003</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(2455.0/B67*100)</f>
        <v/>
      </c>
      <c r="D67" s="19" t="n">
        <v>316</v>
      </c>
      <c r="E67" s="18" t="n">
        <v>59.01568938</v>
      </c>
      <c r="F67" s="20" t="n">
        <v>2.70335027</v>
      </c>
      <c r="G67" s="18" t="n">
        <v>37.43464436</v>
      </c>
      <c r="H67" s="20" t="n">
        <v>2.57175419</v>
      </c>
      <c r="I67" s="18" t="n">
        <v>0</v>
      </c>
      <c r="J67" s="20" t="n">
        <v>0</v>
      </c>
      <c r="K67" s="18" t="n">
        <v>0.7036781</v>
      </c>
      <c r="L67" s="20" t="n">
        <v>0.69619962</v>
      </c>
      <c r="M67" s="18" t="n">
        <v>0</v>
      </c>
      <c r="N67" s="20" t="n">
        <v>0</v>
      </c>
      <c r="O67" s="18" t="n">
        <v>0</v>
      </c>
      <c r="P67" s="20" t="n">
        <v>0</v>
      </c>
      <c r="Q67" s="18" t="n">
        <v>2.84598816</v>
      </c>
      <c r="R67" s="20" t="n">
        <v>0.92146719</v>
      </c>
    </row>
    <row r="68" spans="1:18">
      <c r="A68" s="15" t="s">
        <v>628</v>
      </c>
      <c r="B68" s="17" t="n">
        <v>3460</v>
      </c>
      <c r="C68" s="18">
        <f>(3136.0/B68*100)</f>
        <v/>
      </c>
      <c r="D68" s="19" t="n">
        <v>324</v>
      </c>
      <c r="E68" s="18" t="n">
        <v>67.18561638</v>
      </c>
      <c r="F68" s="20" t="n">
        <v>2.88672145</v>
      </c>
      <c r="G68" s="18" t="n">
        <v>32.09516197</v>
      </c>
      <c r="H68" s="20" t="n">
        <v>2.89126327</v>
      </c>
      <c r="I68" s="18" t="n">
        <v>0</v>
      </c>
      <c r="J68" s="20" t="n">
        <v>0</v>
      </c>
      <c r="K68" s="18" t="n">
        <v>0.2464606</v>
      </c>
      <c r="L68" s="20" t="n">
        <v>0.25375703</v>
      </c>
      <c r="M68" s="18" t="n">
        <v>0</v>
      </c>
      <c r="N68" s="20" t="n">
        <v>0</v>
      </c>
      <c r="O68" s="18" t="n">
        <v>0</v>
      </c>
      <c r="P68" s="20" t="n">
        <v>0</v>
      </c>
      <c r="Q68" s="18" t="n">
        <v>0.47276105</v>
      </c>
      <c r="R68" s="20" t="n">
        <v>0.47177644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(5403.0/B70*100)</f>
        <v/>
      </c>
      <c r="D70" s="19" t="n">
        <v>631</v>
      </c>
      <c r="E70" s="18" t="n">
        <v>62.68879636</v>
      </c>
      <c r="F70" s="20" t="n">
        <v>1.95071357</v>
      </c>
      <c r="G70" s="18" t="n">
        <v>33.77169665</v>
      </c>
      <c r="H70" s="20" t="n">
        <v>1.90561165</v>
      </c>
      <c r="I70" s="18" t="n">
        <v>0</v>
      </c>
      <c r="J70" s="20" t="n">
        <v>0</v>
      </c>
      <c r="K70" s="18" t="n">
        <v>2.98505949</v>
      </c>
      <c r="L70" s="20" t="n">
        <v>0.73312476</v>
      </c>
      <c r="M70" s="18" t="n">
        <v>0</v>
      </c>
      <c r="N70" s="20" t="n">
        <v>0</v>
      </c>
      <c r="O70" s="18" t="n">
        <v>0</v>
      </c>
      <c r="P70" s="20" t="n">
        <v>0</v>
      </c>
      <c r="Q70" s="18" t="n">
        <v>0.55444751</v>
      </c>
      <c r="R70" s="20" t="n">
        <v>0.31852197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(2743.0/B72*100)</f>
        <v/>
      </c>
      <c r="D72" s="19" t="n">
        <v>364</v>
      </c>
      <c r="E72" s="18" t="n">
        <v>60.20549698</v>
      </c>
      <c r="F72" s="20" t="n">
        <v>2.36047055</v>
      </c>
      <c r="G72" s="18" t="n">
        <v>38.31609639</v>
      </c>
      <c r="H72" s="20" t="n">
        <v>2.28022136</v>
      </c>
      <c r="I72" s="18" t="n">
        <v>0</v>
      </c>
      <c r="J72" s="20" t="n">
        <v>0</v>
      </c>
      <c r="K72" s="18" t="n">
        <v>0.72283429</v>
      </c>
      <c r="L72" s="20" t="n">
        <v>0.4999131</v>
      </c>
      <c r="M72" s="18" t="n">
        <v>0</v>
      </c>
      <c r="N72" s="20" t="n">
        <v>0</v>
      </c>
      <c r="O72" s="18" t="n">
        <v>0</v>
      </c>
      <c r="P72" s="20" t="n">
        <v>0</v>
      </c>
      <c r="Q72" s="18" t="n">
        <v>0.75557234</v>
      </c>
      <c r="R72" s="20" t="n">
        <v>0.4463068</v>
      </c>
    </row>
    <row r="73" spans="1:18">
      <c r="A73" s="15" t="s">
        <v>633</v>
      </c>
      <c r="B73" s="17" t="n">
        <v>2973</v>
      </c>
      <c r="C73" s="18">
        <f>(2657.0/B73*100)</f>
        <v/>
      </c>
      <c r="D73" s="19" t="n">
        <v>316</v>
      </c>
      <c r="E73" s="18" t="n">
        <v>47.73087795</v>
      </c>
      <c r="F73" s="20" t="n">
        <v>3.00263957</v>
      </c>
      <c r="G73" s="18" t="n">
        <v>51.61563905</v>
      </c>
      <c r="H73" s="20" t="n">
        <v>2.99286811</v>
      </c>
      <c r="I73" s="18" t="n">
        <v>0</v>
      </c>
      <c r="J73" s="20" t="n">
        <v>0</v>
      </c>
      <c r="K73" s="18" t="n">
        <v>0.653483</v>
      </c>
      <c r="L73" s="20" t="n">
        <v>0.46723616</v>
      </c>
      <c r="M73" s="18" t="n">
        <v>0</v>
      </c>
      <c r="N73" s="20" t="n">
        <v>0</v>
      </c>
      <c r="O73" s="18" t="n">
        <v>0</v>
      </c>
      <c r="P73" s="20" t="n">
        <v>0</v>
      </c>
      <c r="Q73" s="18" t="n">
        <v>0</v>
      </c>
      <c r="R73" s="20" t="n">
        <v>0</v>
      </c>
    </row>
    <row r="74" spans="1:18">
      <c r="A74" s="15" t="s">
        <v>634</v>
      </c>
      <c r="B74" s="17" t="n">
        <v>3819</v>
      </c>
      <c r="C74" s="18">
        <f>(3405.0/B74*100)</f>
        <v/>
      </c>
      <c r="D74" s="19" t="n">
        <v>414</v>
      </c>
      <c r="E74" s="18" t="n">
        <v>65.22953622</v>
      </c>
      <c r="F74" s="20" t="n">
        <v>2.35114436</v>
      </c>
      <c r="G74" s="18" t="n">
        <v>34.40497455</v>
      </c>
      <c r="H74" s="20" t="n">
        <v>2.36548451</v>
      </c>
      <c r="I74" s="18" t="n">
        <v>0</v>
      </c>
      <c r="J74" s="20" t="n">
        <v>0</v>
      </c>
      <c r="K74" s="18" t="n">
        <v>0</v>
      </c>
      <c r="L74" s="20" t="n">
        <v>0</v>
      </c>
      <c r="M74" s="18" t="n">
        <v>0</v>
      </c>
      <c r="N74" s="20" t="n">
        <v>0</v>
      </c>
      <c r="O74" s="18" t="n">
        <v>0</v>
      </c>
      <c r="P74" s="20" t="n">
        <v>0</v>
      </c>
      <c r="Q74" s="18" t="n">
        <v>0.36548922</v>
      </c>
      <c r="R74" s="20" t="n">
        <v>0.3686019</v>
      </c>
    </row>
    <row r="75" spans="1:18">
      <c r="A75" s="15" t="s">
        <v>635</v>
      </c>
      <c r="B75" s="17" t="n">
        <v>4652</v>
      </c>
      <c r="C75" s="18">
        <f>(4144.0/B75*100)</f>
        <v/>
      </c>
      <c r="D75" s="19" t="n">
        <v>508</v>
      </c>
      <c r="E75" s="18" t="n">
        <v>68.05786697000001</v>
      </c>
      <c r="F75" s="20" t="n">
        <v>2.34926521</v>
      </c>
      <c r="G75" s="18" t="n">
        <v>31.94213303</v>
      </c>
      <c r="H75" s="20" t="n">
        <v>2.34926521</v>
      </c>
      <c r="I75" s="18" t="n">
        <v>0</v>
      </c>
      <c r="J75" s="20" t="n">
        <v>0</v>
      </c>
      <c r="K75" s="18" t="n">
        <v>0</v>
      </c>
      <c r="L75" s="20" t="n">
        <v>0</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(2676.0/B77*100)</f>
        <v/>
      </c>
      <c r="D77" s="19" t="n">
        <v>293</v>
      </c>
      <c r="E77" s="18" t="n">
        <v>72.543103</v>
      </c>
      <c r="F77" s="20" t="n">
        <v>2.65749896</v>
      </c>
      <c r="G77" s="18" t="n">
        <v>18.88165427</v>
      </c>
      <c r="H77" s="20" t="n">
        <v>2.63332985</v>
      </c>
      <c r="I77" s="18" t="n">
        <v>0</v>
      </c>
      <c r="J77" s="20" t="n">
        <v>0</v>
      </c>
      <c r="K77" s="18" t="n">
        <v>5.41254832</v>
      </c>
      <c r="L77" s="20" t="n">
        <v>1.45537124</v>
      </c>
      <c r="M77" s="18" t="n">
        <v>0</v>
      </c>
      <c r="N77" s="20" t="n">
        <v>0</v>
      </c>
      <c r="O77" s="18" t="n">
        <v>0</v>
      </c>
      <c r="P77" s="20" t="n">
        <v>0</v>
      </c>
      <c r="Q77" s="18" t="n">
        <v>3.16269441</v>
      </c>
      <c r="R77" s="20" t="n">
        <v>1.2495836</v>
      </c>
    </row>
    <row r="78" spans="1:18">
      <c r="A78" s="15" t="s">
        <v>638</v>
      </c>
      <c r="B78" s="17" t="n">
        <v>7115</v>
      </c>
      <c r="C78" s="18">
        <f>(6324.0/B78*100)</f>
        <v/>
      </c>
      <c r="D78" s="19" t="n">
        <v>791</v>
      </c>
      <c r="E78" s="18" t="n">
        <v>67.37330077999999</v>
      </c>
      <c r="F78" s="20" t="n">
        <v>2.02233576</v>
      </c>
      <c r="G78" s="18" t="n">
        <v>31.45712394</v>
      </c>
      <c r="H78" s="20" t="n">
        <v>2.02756737</v>
      </c>
      <c r="I78" s="18" t="n">
        <v>0</v>
      </c>
      <c r="J78" s="20" t="n">
        <v>0</v>
      </c>
      <c r="K78" s="18" t="n">
        <v>0.95825785</v>
      </c>
      <c r="L78" s="20" t="n">
        <v>0.5630124</v>
      </c>
      <c r="M78" s="18" t="n">
        <v>0</v>
      </c>
      <c r="N78" s="20" t="n">
        <v>0</v>
      </c>
      <c r="O78" s="18" t="n">
        <v>0</v>
      </c>
      <c r="P78" s="20" t="n">
        <v>0</v>
      </c>
      <c r="Q78" s="18" t="n">
        <v>0.21131744</v>
      </c>
      <c r="R78" s="20" t="n">
        <v>0.14219137</v>
      </c>
    </row>
    <row r="79" spans="1:18">
      <c r="A79" s="15" t="s">
        <v>639</v>
      </c>
      <c r="B79" s="17" t="n">
        <v>3154</v>
      </c>
      <c r="C79" s="18">
        <f>(2857.0/B79*100)</f>
        <v/>
      </c>
      <c r="D79" s="19" t="n">
        <v>297</v>
      </c>
      <c r="E79" s="18" t="n">
        <v>68.42085775</v>
      </c>
      <c r="F79" s="20" t="n">
        <v>3.22899976</v>
      </c>
      <c r="G79" s="18" t="n">
        <v>26.50232357</v>
      </c>
      <c r="H79" s="20" t="n">
        <v>3.02623216</v>
      </c>
      <c r="I79" s="18" t="n">
        <v>0</v>
      </c>
      <c r="J79" s="20" t="n">
        <v>0</v>
      </c>
      <c r="K79" s="18" t="n">
        <v>2.86731402</v>
      </c>
      <c r="L79" s="20" t="n">
        <v>1.07351322</v>
      </c>
      <c r="M79" s="18" t="n">
        <v>0</v>
      </c>
      <c r="N79" s="20" t="n">
        <v>0</v>
      </c>
      <c r="O79" s="18" t="n">
        <v>0</v>
      </c>
      <c r="P79" s="20" t="n">
        <v>0</v>
      </c>
      <c r="Q79" s="18" t="n">
        <v>2.20950465</v>
      </c>
      <c r="R79" s="20" t="n">
        <v>1.01056216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(14269.0/B82*100)</f>
        <v/>
      </c>
      <c r="D82" s="19" t="n">
        <v>1692</v>
      </c>
      <c r="E82" s="18" t="n">
        <v>56.7268883</v>
      </c>
      <c r="F82" s="20" t="n">
        <v>1.60323541</v>
      </c>
      <c r="G82" s="18" t="n">
        <v>41.77700614</v>
      </c>
      <c r="H82" s="20" t="n">
        <v>1.57111708</v>
      </c>
      <c r="I82" s="18" t="n">
        <v>0</v>
      </c>
      <c r="J82" s="20" t="n">
        <v>0</v>
      </c>
      <c r="K82" s="18" t="n">
        <v>0.90431343</v>
      </c>
      <c r="L82" s="20" t="n">
        <v>0.35008938</v>
      </c>
      <c r="M82" s="18" t="n">
        <v>0</v>
      </c>
      <c r="N82" s="20" t="n">
        <v>0</v>
      </c>
      <c r="O82" s="18" t="n">
        <v>0</v>
      </c>
      <c r="P82" s="20" t="n">
        <v>0</v>
      </c>
      <c r="Q82" s="18" t="n">
        <v>0.59179213</v>
      </c>
      <c r="R82" s="20" t="n">
        <v>0.36100557</v>
      </c>
    </row>
    <row r="83" spans="1:18">
      <c r="A83" s="15" t="s">
        <v>643</v>
      </c>
      <c r="B83" s="17" t="n">
        <v>808</v>
      </c>
      <c r="C83" s="18">
        <f>(723.0/B83*100)</f>
        <v/>
      </c>
      <c r="D83" s="19" t="n">
        <v>85</v>
      </c>
      <c r="E83" s="18" t="n">
        <v>60.95513211</v>
      </c>
      <c r="F83" s="20" t="n">
        <v>5.50221793</v>
      </c>
      <c r="G83" s="18" t="n">
        <v>39.04486789</v>
      </c>
      <c r="H83" s="20" t="n">
        <v>5.50221793</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(838.0/B84*100)</f>
        <v/>
      </c>
      <c r="D84" s="19" t="n">
        <v>100</v>
      </c>
      <c r="E84" s="18" t="n">
        <v>63.54906194</v>
      </c>
      <c r="F84" s="20" t="n">
        <v>5.75801154</v>
      </c>
      <c r="G84" s="18" t="n">
        <v>36.45093806</v>
      </c>
      <c r="H84" s="20" t="n">
        <v>5.75801154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(6401.0/B7*100)</f>
        <v/>
      </c>
      <c r="D7" s="19" t="n">
        <v>762</v>
      </c>
      <c r="E7" s="18" t="n">
        <v>57.69154079</v>
      </c>
      <c r="F7" s="20" t="n">
        <v>2.11184722</v>
      </c>
      <c r="G7" s="18" t="n">
        <v>39.61839674</v>
      </c>
      <c r="H7" s="20" t="n">
        <v>2.12497768</v>
      </c>
      <c r="I7" s="18" t="n">
        <v>0</v>
      </c>
      <c r="J7" s="20" t="n">
        <v>0</v>
      </c>
      <c r="K7" s="18" t="n">
        <v>1.26664529</v>
      </c>
      <c r="L7" s="20" t="n">
        <v>0.45566744</v>
      </c>
      <c r="M7" s="18" t="n">
        <v>0</v>
      </c>
      <c r="N7" s="20" t="n">
        <v>0</v>
      </c>
      <c r="O7" s="18" t="n">
        <v>0</v>
      </c>
      <c r="P7" s="20" t="n">
        <v>0</v>
      </c>
      <c r="Q7" s="18" t="n">
        <v>1.42341719</v>
      </c>
      <c r="R7" s="20" t="n">
        <v>0.48703841</v>
      </c>
    </row>
    <row r="8" spans="1:18">
      <c r="A8" s="15" t="s">
        <v>566</v>
      </c>
      <c r="B8" s="17" t="n">
        <v>3443</v>
      </c>
      <c r="C8" s="18">
        <f>(3060.0/B8*100)</f>
        <v/>
      </c>
      <c r="D8" s="19" t="n">
        <v>383</v>
      </c>
      <c r="E8" s="18" t="n">
        <v>66.60337126</v>
      </c>
      <c r="F8" s="20" t="n">
        <v>2.49622923</v>
      </c>
      <c r="G8" s="18" t="n">
        <v>31.48938221</v>
      </c>
      <c r="H8" s="20" t="n">
        <v>2.48177243</v>
      </c>
      <c r="I8" s="18" t="n">
        <v>0</v>
      </c>
      <c r="J8" s="20" t="n">
        <v>0</v>
      </c>
      <c r="K8" s="18" t="n">
        <v>0.63949162</v>
      </c>
      <c r="L8" s="20" t="n">
        <v>0.47417366</v>
      </c>
      <c r="M8" s="18" t="n">
        <v>0</v>
      </c>
      <c r="N8" s="20" t="n">
        <v>0</v>
      </c>
      <c r="O8" s="18" t="n">
        <v>0</v>
      </c>
      <c r="P8" s="20" t="n">
        <v>0</v>
      </c>
      <c r="Q8" s="18" t="n">
        <v>1.26775491</v>
      </c>
      <c r="R8" s="20" t="n">
        <v>0.60830912</v>
      </c>
    </row>
    <row r="9" spans="1:18">
      <c r="A9" s="15" t="s">
        <v>567</v>
      </c>
      <c r="B9" s="17" t="n">
        <v>4752</v>
      </c>
      <c r="C9" s="18">
        <f>(4262.0/B9*100)</f>
        <v/>
      </c>
      <c r="D9" s="19" t="n">
        <v>490</v>
      </c>
      <c r="E9" s="18" t="n">
        <v>60.73806012</v>
      </c>
      <c r="F9" s="20" t="n">
        <v>2.43193727</v>
      </c>
      <c r="G9" s="18" t="n">
        <v>38.44974792</v>
      </c>
      <c r="H9" s="20" t="n">
        <v>2.50709448</v>
      </c>
      <c r="I9" s="18" t="n">
        <v>0</v>
      </c>
      <c r="J9" s="20" t="n">
        <v>0</v>
      </c>
      <c r="K9" s="18" t="n">
        <v>0.39223142</v>
      </c>
      <c r="L9" s="20" t="n">
        <v>0.32472401</v>
      </c>
      <c r="M9" s="18" t="n">
        <v>0</v>
      </c>
      <c r="N9" s="20" t="n">
        <v>0</v>
      </c>
      <c r="O9" s="18" t="n">
        <v>0</v>
      </c>
      <c r="P9" s="20" t="n">
        <v>0</v>
      </c>
      <c r="Q9" s="18" t="n">
        <v>0.41996054</v>
      </c>
      <c r="R9" s="20" t="n">
        <v>0.20390987</v>
      </c>
    </row>
    <row r="10" spans="1:18">
      <c r="A10" s="15" t="s">
        <v>568</v>
      </c>
      <c r="B10" s="17" t="n">
        <v>10022</v>
      </c>
      <c r="C10" s="18">
        <f>(8898.0/B10*100)</f>
        <v/>
      </c>
      <c r="D10" s="19" t="n">
        <v>1124</v>
      </c>
      <c r="E10" s="18" t="n">
        <v>54.0581344</v>
      </c>
      <c r="F10" s="20" t="n">
        <v>1.68066782</v>
      </c>
      <c r="G10" s="18" t="n">
        <v>44.58245849</v>
      </c>
      <c r="H10" s="20" t="n">
        <v>1.73439454</v>
      </c>
      <c r="I10" s="18" t="n">
        <v>0</v>
      </c>
      <c r="J10" s="20" t="n">
        <v>0</v>
      </c>
      <c r="K10" s="18" t="n">
        <v>0.93977917</v>
      </c>
      <c r="L10" s="20" t="n">
        <v>0.5623445</v>
      </c>
      <c r="M10" s="18" t="n">
        <v>0</v>
      </c>
      <c r="N10" s="20" t="n">
        <v>0</v>
      </c>
      <c r="O10" s="18" t="n">
        <v>0</v>
      </c>
      <c r="P10" s="20" t="n">
        <v>0</v>
      </c>
      <c r="Q10" s="18" t="n">
        <v>0.41962794</v>
      </c>
      <c r="R10" s="20" t="n">
        <v>0.21307325</v>
      </c>
    </row>
    <row r="11" spans="1:18">
      <c r="A11" s="15" t="s">
        <v>569</v>
      </c>
      <c r="B11" s="17" t="n">
        <v>3500</v>
      </c>
      <c r="C11" s="18">
        <f>(3150.0/B11*100)</f>
        <v/>
      </c>
      <c r="D11" s="19" t="n">
        <v>350</v>
      </c>
      <c r="E11" s="18" t="n">
        <v>52.99648698</v>
      </c>
      <c r="F11" s="20" t="n">
        <v>3.06300619</v>
      </c>
      <c r="G11" s="18" t="n">
        <v>44.36508175</v>
      </c>
      <c r="H11" s="20" t="n">
        <v>3.09137581</v>
      </c>
      <c r="I11" s="18" t="n">
        <v>0</v>
      </c>
      <c r="J11" s="20" t="n">
        <v>0</v>
      </c>
      <c r="K11" s="18" t="n">
        <v>2.56142962</v>
      </c>
      <c r="L11" s="20" t="n">
        <v>0.86774789</v>
      </c>
      <c r="M11" s="18" t="n">
        <v>0</v>
      </c>
      <c r="N11" s="20" t="n">
        <v>0</v>
      </c>
      <c r="O11" s="18" t="n">
        <v>0</v>
      </c>
      <c r="P11" s="20" t="n">
        <v>0</v>
      </c>
      <c r="Q11" s="18" t="n">
        <v>0.07700166</v>
      </c>
      <c r="R11" s="20" t="n">
        <v>0.07656841</v>
      </c>
    </row>
    <row r="12" spans="1:18">
      <c r="A12" s="15" t="s">
        <v>570</v>
      </c>
      <c r="B12" s="17" t="n">
        <v>3422</v>
      </c>
      <c r="C12" s="18">
        <f>(3064.0/B12*100)</f>
        <v/>
      </c>
      <c r="D12" s="19" t="n">
        <v>358</v>
      </c>
      <c r="E12" s="18" t="n">
        <v>59.16056655</v>
      </c>
      <c r="F12" s="20" t="n">
        <v>2.90580601</v>
      </c>
      <c r="G12" s="18" t="n">
        <v>37.79611441</v>
      </c>
      <c r="H12" s="20" t="n">
        <v>2.86047952</v>
      </c>
      <c r="I12" s="18" t="n">
        <v>0</v>
      </c>
      <c r="J12" s="20" t="n">
        <v>0</v>
      </c>
      <c r="K12" s="18" t="n">
        <v>0.27280658</v>
      </c>
      <c r="L12" s="20" t="n">
        <v>0.27266303</v>
      </c>
      <c r="M12" s="18" t="n">
        <v>0</v>
      </c>
      <c r="N12" s="20" t="n">
        <v>0</v>
      </c>
      <c r="O12" s="18" t="n">
        <v>0</v>
      </c>
      <c r="P12" s="20" t="n">
        <v>0</v>
      </c>
      <c r="Q12" s="18" t="n">
        <v>2.77051247</v>
      </c>
      <c r="R12" s="20" t="n">
        <v>1.11460292</v>
      </c>
    </row>
    <row r="13" spans="1:18">
      <c r="A13" s="15" t="s">
        <v>571</v>
      </c>
      <c r="B13" s="17" t="n">
        <v>3602</v>
      </c>
      <c r="C13" s="18">
        <f>(3202.0/B13*100)</f>
        <v/>
      </c>
      <c r="D13" s="19" t="n">
        <v>400</v>
      </c>
      <c r="E13" s="18" t="n">
        <v>51.49435432</v>
      </c>
      <c r="F13" s="20" t="n">
        <v>2.8904071</v>
      </c>
      <c r="G13" s="18" t="n">
        <v>46.91691486</v>
      </c>
      <c r="H13" s="20" t="n">
        <v>2.8626766</v>
      </c>
      <c r="I13" s="18" t="n">
        <v>0</v>
      </c>
      <c r="J13" s="20" t="n">
        <v>0</v>
      </c>
      <c r="K13" s="18" t="n">
        <v>0.51924132</v>
      </c>
      <c r="L13" s="20" t="n">
        <v>0.07831291999999999</v>
      </c>
      <c r="M13" s="18" t="n">
        <v>0</v>
      </c>
      <c r="N13" s="20" t="n">
        <v>0</v>
      </c>
      <c r="O13" s="18" t="n">
        <v>0</v>
      </c>
      <c r="P13" s="20" t="n">
        <v>0</v>
      </c>
      <c r="Q13" s="18" t="n">
        <v>1.0694895</v>
      </c>
      <c r="R13" s="20" t="n">
        <v>0.64225897</v>
      </c>
    </row>
    <row r="14" spans="1:18">
      <c r="A14" s="15" t="s">
        <v>572</v>
      </c>
      <c r="B14" s="17" t="n">
        <v>2788</v>
      </c>
      <c r="C14" s="18">
        <f>(2475.0/B14*100)</f>
        <v/>
      </c>
      <c r="D14" s="19" t="n">
        <v>313</v>
      </c>
      <c r="E14" s="18" t="n">
        <v>63.76768208</v>
      </c>
      <c r="F14" s="20" t="n">
        <v>2.54243744</v>
      </c>
      <c r="G14" s="18" t="n">
        <v>35.18769288</v>
      </c>
      <c r="H14" s="20" t="n">
        <v>2.56934178</v>
      </c>
      <c r="I14" s="18" t="n">
        <v>0</v>
      </c>
      <c r="J14" s="20" t="n">
        <v>0</v>
      </c>
      <c r="K14" s="18" t="n">
        <v>0.25331764</v>
      </c>
      <c r="L14" s="20" t="n">
        <v>0.25139121</v>
      </c>
      <c r="M14" s="18" t="n">
        <v>0</v>
      </c>
      <c r="N14" s="20" t="n">
        <v>0</v>
      </c>
      <c r="O14" s="18" t="n">
        <v>0</v>
      </c>
      <c r="P14" s="20" t="n">
        <v>0</v>
      </c>
      <c r="Q14" s="18" t="n">
        <v>0.7913074</v>
      </c>
      <c r="R14" s="20" t="n">
        <v>0.4697549</v>
      </c>
    </row>
    <row r="15" spans="1:18">
      <c r="A15" s="15" t="s">
        <v>573</v>
      </c>
      <c r="B15" s="17" t="n">
        <v>2863</v>
      </c>
      <c r="C15" s="18">
        <f>(2561.0/B15*100)</f>
        <v/>
      </c>
      <c r="D15" s="19" t="n">
        <v>302</v>
      </c>
      <c r="E15" s="18" t="n">
        <v>54.69086059</v>
      </c>
      <c r="F15" s="20" t="n">
        <v>3.27458316</v>
      </c>
      <c r="G15" s="18" t="n">
        <v>45.02614362</v>
      </c>
      <c r="H15" s="20" t="n">
        <v>3.25130521</v>
      </c>
      <c r="I15" s="18" t="n">
        <v>0</v>
      </c>
      <c r="J15" s="20" t="n">
        <v>0</v>
      </c>
      <c r="K15" s="18" t="n">
        <v>0.28299579</v>
      </c>
      <c r="L15" s="20" t="n">
        <v>0.29107812</v>
      </c>
      <c r="M15" s="18" t="n">
        <v>0</v>
      </c>
      <c r="N15" s="20" t="n">
        <v>0</v>
      </c>
      <c r="O15" s="18" t="n">
        <v>0</v>
      </c>
      <c r="P15" s="20" t="n">
        <v>0</v>
      </c>
      <c r="Q15" s="18" t="n">
        <v>0</v>
      </c>
      <c r="R15" s="20" t="n">
        <v>0</v>
      </c>
    </row>
    <row r="16" spans="1:18">
      <c r="A16" s="15" t="s">
        <v>574</v>
      </c>
      <c r="B16" s="17" t="n">
        <v>3111</v>
      </c>
      <c r="C16" s="18">
        <f>(2778.0/B16*100)</f>
        <v/>
      </c>
      <c r="D16" s="19" t="n">
        <v>333</v>
      </c>
      <c r="E16" s="18" t="n">
        <v>54.74261508</v>
      </c>
      <c r="F16" s="20" t="n">
        <v>2.65840904</v>
      </c>
      <c r="G16" s="18" t="n">
        <v>41.18836897</v>
      </c>
      <c r="H16" s="20" t="n">
        <v>2.71589704</v>
      </c>
      <c r="I16" s="18" t="n">
        <v>0</v>
      </c>
      <c r="J16" s="20" t="n">
        <v>0</v>
      </c>
      <c r="K16" s="18" t="n">
        <v>1.58573853</v>
      </c>
      <c r="L16" s="20" t="n">
        <v>0.79030269</v>
      </c>
      <c r="M16" s="18" t="n">
        <v>0</v>
      </c>
      <c r="N16" s="20" t="n">
        <v>0</v>
      </c>
      <c r="O16" s="18" t="n">
        <v>0</v>
      </c>
      <c r="P16" s="20" t="n">
        <v>0</v>
      </c>
      <c r="Q16" s="18" t="n">
        <v>2.48327742</v>
      </c>
      <c r="R16" s="20" t="n">
        <v>0.86553588</v>
      </c>
    </row>
    <row r="17" spans="1:18">
      <c r="A17" s="15" t="s">
        <v>575</v>
      </c>
      <c r="B17" s="17" t="n">
        <v>3197</v>
      </c>
      <c r="C17" s="18">
        <f>(2851.0/B17*100)</f>
        <v/>
      </c>
      <c r="D17" s="19" t="n">
        <v>346</v>
      </c>
      <c r="E17" s="18" t="n">
        <v>61.96984031</v>
      </c>
      <c r="F17" s="20" t="n">
        <v>3.02948921</v>
      </c>
      <c r="G17" s="18" t="n">
        <v>36.36791322</v>
      </c>
      <c r="H17" s="20" t="n">
        <v>3.01829836</v>
      </c>
      <c r="I17" s="18" t="n">
        <v>0</v>
      </c>
      <c r="J17" s="20" t="n">
        <v>0</v>
      </c>
      <c r="K17" s="18" t="n">
        <v>0.29389244</v>
      </c>
      <c r="L17" s="20" t="n">
        <v>0.28929525</v>
      </c>
      <c r="M17" s="18" t="n">
        <v>0</v>
      </c>
      <c r="N17" s="20" t="n">
        <v>0</v>
      </c>
      <c r="O17" s="18" t="n">
        <v>0</v>
      </c>
      <c r="P17" s="20" t="n">
        <v>0</v>
      </c>
      <c r="Q17" s="18" t="n">
        <v>1.36835403</v>
      </c>
      <c r="R17" s="20" t="n">
        <v>0.6182265300000001</v>
      </c>
    </row>
    <row r="18" spans="1:18">
      <c r="A18" s="15" t="s">
        <v>576</v>
      </c>
      <c r="B18" s="17" t="n">
        <v>2706</v>
      </c>
      <c r="C18" s="18">
        <f>(2422.0/B18*100)</f>
        <v/>
      </c>
      <c r="D18" s="19" t="n">
        <v>284</v>
      </c>
      <c r="E18" s="18" t="n">
        <v>62.20116898</v>
      </c>
      <c r="F18" s="20" t="n">
        <v>3.10369135</v>
      </c>
      <c r="G18" s="18" t="n">
        <v>36.16923485</v>
      </c>
      <c r="H18" s="20" t="n">
        <v>3.22035029</v>
      </c>
      <c r="I18" s="18" t="n">
        <v>0</v>
      </c>
      <c r="J18" s="20" t="n">
        <v>0</v>
      </c>
      <c r="K18" s="18" t="n">
        <v>0.63599647</v>
      </c>
      <c r="L18" s="20" t="n">
        <v>0.44880417</v>
      </c>
      <c r="M18" s="18" t="n">
        <v>0</v>
      </c>
      <c r="N18" s="20" t="n">
        <v>0</v>
      </c>
      <c r="O18" s="18" t="n">
        <v>0</v>
      </c>
      <c r="P18" s="20" t="n">
        <v>0</v>
      </c>
      <c r="Q18" s="18" t="n">
        <v>0.9935997</v>
      </c>
      <c r="R18" s="20" t="n">
        <v>0.68390341</v>
      </c>
    </row>
    <row r="19" spans="1:18">
      <c r="A19" s="15" t="s">
        <v>577</v>
      </c>
      <c r="B19" s="17" t="n">
        <v>2850</v>
      </c>
      <c r="C19" s="18">
        <f>(2548.0/B19*100)</f>
        <v/>
      </c>
      <c r="D19" s="19" t="n">
        <v>302</v>
      </c>
      <c r="E19" s="18" t="n">
        <v>0</v>
      </c>
      <c r="F19" s="20" t="n">
        <v>0</v>
      </c>
      <c r="G19" s="18" t="n">
        <v>0</v>
      </c>
      <c r="H19" s="20" t="n">
        <v>0</v>
      </c>
      <c r="I19" s="18" t="n">
        <v>0</v>
      </c>
      <c r="J19" s="20" t="n">
        <v>0</v>
      </c>
      <c r="K19" s="18" t="n">
        <v>0</v>
      </c>
      <c r="L19" s="20" t="n">
        <v>0</v>
      </c>
      <c r="M19" s="18" t="n">
        <v>100</v>
      </c>
      <c r="N19" s="20" t="n">
        <v>0</v>
      </c>
      <c r="O19" s="18" t="n">
        <v>0</v>
      </c>
      <c r="P19" s="20" t="n">
        <v>0</v>
      </c>
      <c r="Q19" s="18" t="n">
        <v>0</v>
      </c>
      <c r="R19" s="20" t="n">
        <v>0</v>
      </c>
    </row>
    <row r="20" spans="1:18">
      <c r="A20" s="15" t="s">
        <v>578</v>
      </c>
      <c r="B20" s="17" t="n">
        <v>1741</v>
      </c>
      <c r="C20" s="18">
        <f>(1526.0/B20*100)</f>
        <v/>
      </c>
      <c r="D20" s="19" t="n">
        <v>215</v>
      </c>
      <c r="E20" s="18" t="n">
        <v>55.67325265</v>
      </c>
      <c r="F20" s="20" t="n">
        <v>3.73410461</v>
      </c>
      <c r="G20" s="18" t="n">
        <v>41.49920774</v>
      </c>
      <c r="H20" s="20" t="n">
        <v>3.53276326</v>
      </c>
      <c r="I20" s="18" t="n">
        <v>0</v>
      </c>
      <c r="J20" s="20" t="n">
        <v>0</v>
      </c>
      <c r="K20" s="18" t="n">
        <v>0.39421734</v>
      </c>
      <c r="L20" s="20" t="n">
        <v>0.3877582</v>
      </c>
      <c r="M20" s="18" t="n">
        <v>0</v>
      </c>
      <c r="N20" s="20" t="n">
        <v>0</v>
      </c>
      <c r="O20" s="18" t="n">
        <v>0</v>
      </c>
      <c r="P20" s="20" t="n">
        <v>0</v>
      </c>
      <c r="Q20" s="18" t="n">
        <v>2.43332228</v>
      </c>
      <c r="R20" s="20" t="n">
        <v>1.06017895</v>
      </c>
    </row>
    <row r="21" spans="1:18">
      <c r="A21" s="15" t="s">
        <v>579</v>
      </c>
      <c r="B21" s="17" t="n">
        <v>2833</v>
      </c>
      <c r="C21" s="18">
        <f>(2530.0/B21*100)</f>
        <v/>
      </c>
      <c r="D21" s="19" t="n">
        <v>303</v>
      </c>
      <c r="E21" s="18" t="n">
        <v>55.99999094</v>
      </c>
      <c r="F21" s="20" t="n">
        <v>2.9265232</v>
      </c>
      <c r="G21" s="18" t="n">
        <v>43.04181987</v>
      </c>
      <c r="H21" s="20" t="n">
        <v>2.82493912</v>
      </c>
      <c r="I21" s="18" t="n">
        <v>0</v>
      </c>
      <c r="J21" s="20" t="n">
        <v>0</v>
      </c>
      <c r="K21" s="18" t="n">
        <v>0.65226328</v>
      </c>
      <c r="L21" s="20" t="n">
        <v>0.57903985</v>
      </c>
      <c r="M21" s="18" t="n">
        <v>0</v>
      </c>
      <c r="N21" s="20" t="n">
        <v>0</v>
      </c>
      <c r="O21" s="18" t="n">
        <v>0</v>
      </c>
      <c r="P21" s="20" t="n">
        <v>0</v>
      </c>
      <c r="Q21" s="18" t="n">
        <v>0.30592591</v>
      </c>
      <c r="R21" s="20" t="n">
        <v>0.30108548</v>
      </c>
    </row>
    <row r="22" spans="1:18">
      <c r="A22" s="15" t="s">
        <v>580</v>
      </c>
      <c r="B22" s="17" t="n">
        <v>3667</v>
      </c>
      <c r="C22" s="18">
        <f>(3254.0/B22*100)</f>
        <v/>
      </c>
      <c r="D22" s="19" t="n">
        <v>413</v>
      </c>
      <c r="E22" s="18" t="n">
        <v>59.91634831</v>
      </c>
      <c r="F22" s="20" t="n">
        <v>2.48577909</v>
      </c>
      <c r="G22" s="18" t="n">
        <v>37.17689565</v>
      </c>
      <c r="H22" s="20" t="n">
        <v>2.63355256</v>
      </c>
      <c r="I22" s="18" t="n">
        <v>0</v>
      </c>
      <c r="J22" s="20" t="n">
        <v>0</v>
      </c>
      <c r="K22" s="18" t="n">
        <v>1.08980942</v>
      </c>
      <c r="L22" s="20" t="n">
        <v>0.4935436</v>
      </c>
      <c r="M22" s="18" t="n">
        <v>0</v>
      </c>
      <c r="N22" s="20" t="n">
        <v>0</v>
      </c>
      <c r="O22" s="18" t="n">
        <v>0</v>
      </c>
      <c r="P22" s="20" t="n">
        <v>0</v>
      </c>
      <c r="Q22" s="18" t="n">
        <v>1.81694662</v>
      </c>
      <c r="R22" s="20" t="n">
        <v>0.7304923</v>
      </c>
    </row>
    <row r="23" spans="1:18">
      <c r="A23" s="15" t="s">
        <v>581</v>
      </c>
      <c r="B23" s="17" t="n">
        <v>5792</v>
      </c>
      <c r="C23" s="18">
        <f>(5168.0/B23*100)</f>
        <v/>
      </c>
      <c r="D23" s="19" t="n">
        <v>624</v>
      </c>
      <c r="E23" s="18" t="n">
        <v>68.61588168999999</v>
      </c>
      <c r="F23" s="20" t="n">
        <v>2.77888912</v>
      </c>
      <c r="G23" s="18" t="n">
        <v>28.18762189</v>
      </c>
      <c r="H23" s="20" t="n">
        <v>2.5706841</v>
      </c>
      <c r="I23" s="18" t="n">
        <v>0</v>
      </c>
      <c r="J23" s="20" t="n">
        <v>0</v>
      </c>
      <c r="K23" s="18" t="n">
        <v>1.18877547</v>
      </c>
      <c r="L23" s="20" t="n">
        <v>0.95934256</v>
      </c>
      <c r="M23" s="18" t="n">
        <v>0</v>
      </c>
      <c r="N23" s="20" t="n">
        <v>0</v>
      </c>
      <c r="O23" s="18" t="n">
        <v>0</v>
      </c>
      <c r="P23" s="20" t="n">
        <v>0</v>
      </c>
      <c r="Q23" s="18" t="n">
        <v>2.00772095</v>
      </c>
      <c r="R23" s="20" t="n">
        <v>0.80326524</v>
      </c>
    </row>
    <row r="24" spans="1:18">
      <c r="A24" s="15" t="s">
        <v>582</v>
      </c>
      <c r="B24" s="17" t="n">
        <v>3309</v>
      </c>
      <c r="C24" s="18">
        <f>(2956.0/B24*100)</f>
        <v/>
      </c>
      <c r="D24" s="19" t="n">
        <v>353</v>
      </c>
      <c r="E24" s="18" t="n">
        <v>56.08661354</v>
      </c>
      <c r="F24" s="20" t="n">
        <v>2.81813402</v>
      </c>
      <c r="G24" s="18" t="n">
        <v>41.95838744</v>
      </c>
      <c r="H24" s="20" t="n">
        <v>2.7112124</v>
      </c>
      <c r="I24" s="18" t="n">
        <v>0</v>
      </c>
      <c r="J24" s="20" t="n">
        <v>0</v>
      </c>
      <c r="K24" s="18" t="n">
        <v>0.33808151</v>
      </c>
      <c r="L24" s="20" t="n">
        <v>0.34018998</v>
      </c>
      <c r="M24" s="18" t="n">
        <v>0</v>
      </c>
      <c r="N24" s="20" t="n">
        <v>0</v>
      </c>
      <c r="O24" s="18" t="n">
        <v>0</v>
      </c>
      <c r="P24" s="20" t="n">
        <v>0</v>
      </c>
      <c r="Q24" s="18" t="n">
        <v>1.61691752</v>
      </c>
      <c r="R24" s="20" t="n">
        <v>0.65707818</v>
      </c>
    </row>
    <row r="25" spans="1:18">
      <c r="A25" s="15" t="s">
        <v>583</v>
      </c>
      <c r="B25" s="17" t="n">
        <v>2669</v>
      </c>
      <c r="C25" s="18">
        <f>(2362.0/B25*100)</f>
        <v/>
      </c>
      <c r="D25" s="19" t="n">
        <v>307</v>
      </c>
      <c r="E25" s="18" t="n">
        <v>62.00093858</v>
      </c>
      <c r="F25" s="20" t="n">
        <v>2.81005744</v>
      </c>
      <c r="G25" s="18" t="n">
        <v>37.07985598</v>
      </c>
      <c r="H25" s="20" t="n">
        <v>2.77512476</v>
      </c>
      <c r="I25" s="18" t="n">
        <v>0</v>
      </c>
      <c r="J25" s="20" t="n">
        <v>0</v>
      </c>
      <c r="K25" s="18" t="n">
        <v>0.28528329</v>
      </c>
      <c r="L25" s="20" t="n">
        <v>0.28424248</v>
      </c>
      <c r="M25" s="18" t="n">
        <v>0</v>
      </c>
      <c r="N25" s="20" t="n">
        <v>0</v>
      </c>
      <c r="O25" s="18" t="n">
        <v>0</v>
      </c>
      <c r="P25" s="20" t="n">
        <v>0</v>
      </c>
      <c r="Q25" s="18" t="n">
        <v>0.63392215</v>
      </c>
      <c r="R25" s="20" t="n">
        <v>0.41681248</v>
      </c>
    </row>
    <row r="26" spans="1:18">
      <c r="A26" s="15" t="s">
        <v>584</v>
      </c>
      <c r="B26" s="17" t="n">
        <v>2419</v>
      </c>
      <c r="C26" s="18">
        <f>(2162.0/B26*100)</f>
        <v/>
      </c>
      <c r="D26" s="19" t="n">
        <v>257</v>
      </c>
      <c r="E26" s="18" t="n">
        <v>56.04420999</v>
      </c>
      <c r="F26" s="20" t="n">
        <v>3.34823267</v>
      </c>
      <c r="G26" s="18" t="n">
        <v>43.65192311</v>
      </c>
      <c r="H26" s="20" t="n">
        <v>3.34294008</v>
      </c>
      <c r="I26" s="18" t="n">
        <v>0</v>
      </c>
      <c r="J26" s="20" t="n">
        <v>0</v>
      </c>
      <c r="K26" s="18" t="n">
        <v>0.3038669</v>
      </c>
      <c r="L26" s="20" t="n">
        <v>0.33134985</v>
      </c>
      <c r="M26" s="18" t="n">
        <v>0</v>
      </c>
      <c r="N26" s="20" t="n">
        <v>0</v>
      </c>
      <c r="O26" s="18" t="n">
        <v>0</v>
      </c>
      <c r="P26" s="20" t="n">
        <v>0</v>
      </c>
      <c r="Q26" s="18" t="n">
        <v>0</v>
      </c>
      <c r="R26" s="20" t="n">
        <v>0</v>
      </c>
    </row>
    <row r="27" spans="1:18">
      <c r="A27" s="15" t="s">
        <v>585</v>
      </c>
      <c r="B27" s="17" t="n">
        <v>2683</v>
      </c>
      <c r="C27" s="18">
        <f>(2382.0/B27*100)</f>
        <v/>
      </c>
      <c r="D27" s="19" t="n">
        <v>301</v>
      </c>
      <c r="E27" s="18" t="n">
        <v>63.06203504</v>
      </c>
      <c r="F27" s="20" t="n">
        <v>2.88757696</v>
      </c>
      <c r="G27" s="18" t="n">
        <v>34.25391519</v>
      </c>
      <c r="H27" s="20" t="n">
        <v>2.70480249</v>
      </c>
      <c r="I27" s="18" t="n">
        <v>0</v>
      </c>
      <c r="J27" s="20" t="n">
        <v>0</v>
      </c>
      <c r="K27" s="18" t="n">
        <v>0.6701254</v>
      </c>
      <c r="L27" s="20" t="n">
        <v>0.46768667</v>
      </c>
      <c r="M27" s="18" t="n">
        <v>0</v>
      </c>
      <c r="N27" s="20" t="n">
        <v>0</v>
      </c>
      <c r="O27" s="18" t="n">
        <v>0</v>
      </c>
      <c r="P27" s="20" t="n">
        <v>0</v>
      </c>
      <c r="Q27" s="18" t="n">
        <v>2.01392438</v>
      </c>
      <c r="R27" s="20" t="n">
        <v>0.82761043</v>
      </c>
    </row>
    <row r="28" spans="1:18">
      <c r="A28" s="15" t="s">
        <v>586</v>
      </c>
      <c r="B28" s="17" t="n">
        <v>3803</v>
      </c>
      <c r="C28" s="18">
        <f>(3443.0/B28*100)</f>
        <v/>
      </c>
      <c r="D28" s="19" t="n">
        <v>360</v>
      </c>
      <c r="E28" s="18" t="n">
        <v>56.05194114</v>
      </c>
      <c r="F28" s="20" t="n">
        <v>2.7743899</v>
      </c>
      <c r="G28" s="18" t="n">
        <v>40.94859015</v>
      </c>
      <c r="H28" s="20" t="n">
        <v>2.70652177</v>
      </c>
      <c r="I28" s="18" t="n">
        <v>0</v>
      </c>
      <c r="J28" s="20" t="n">
        <v>0</v>
      </c>
      <c r="K28" s="18" t="n">
        <v>2.27766723</v>
      </c>
      <c r="L28" s="20" t="n">
        <v>0.89508772</v>
      </c>
      <c r="M28" s="18" t="n">
        <v>0</v>
      </c>
      <c r="N28" s="20" t="n">
        <v>0</v>
      </c>
      <c r="O28" s="18" t="n">
        <v>0</v>
      </c>
      <c r="P28" s="20" t="n">
        <v>0</v>
      </c>
      <c r="Q28" s="18" t="n">
        <v>0.72180148</v>
      </c>
      <c r="R28" s="20" t="n">
        <v>0.43898119</v>
      </c>
    </row>
    <row r="29" spans="1:18">
      <c r="A29" s="15" t="s">
        <v>587</v>
      </c>
      <c r="B29" s="17" t="n">
        <v>2700</v>
      </c>
      <c r="C29" s="18">
        <f>(2408.0/B29*100)</f>
        <v/>
      </c>
      <c r="D29" s="19" t="n">
        <v>292</v>
      </c>
      <c r="E29" s="18" t="n">
        <v>52.92555338</v>
      </c>
      <c r="F29" s="20" t="n">
        <v>3.36818367</v>
      </c>
      <c r="G29" s="18" t="n">
        <v>46.13140381</v>
      </c>
      <c r="H29" s="20" t="n">
        <v>3.30194955</v>
      </c>
      <c r="I29" s="18" t="n">
        <v>0</v>
      </c>
      <c r="J29" s="20" t="n">
        <v>0</v>
      </c>
      <c r="K29" s="18" t="n">
        <v>0.9430428199999999</v>
      </c>
      <c r="L29" s="20" t="n">
        <v>0.5567986700000001</v>
      </c>
      <c r="M29" s="18" t="n">
        <v>0</v>
      </c>
      <c r="N29" s="20" t="n">
        <v>0</v>
      </c>
      <c r="O29" s="18" t="n">
        <v>0</v>
      </c>
      <c r="P29" s="20" t="n">
        <v>0</v>
      </c>
      <c r="Q29" s="18" t="n">
        <v>0</v>
      </c>
      <c r="R29" s="20" t="n">
        <v>0</v>
      </c>
    </row>
    <row r="30" spans="1:18">
      <c r="A30" s="15" t="s">
        <v>588</v>
      </c>
      <c r="B30" s="17" t="n">
        <v>2257</v>
      </c>
      <c r="C30" s="18">
        <f>(2011.0/B30*100)</f>
        <v/>
      </c>
      <c r="D30" s="19" t="n">
        <v>246</v>
      </c>
      <c r="E30" s="18" t="n">
        <v>54.76431715</v>
      </c>
      <c r="F30" s="20" t="n">
        <v>2.98313524</v>
      </c>
      <c r="G30" s="18" t="n">
        <v>44.10360499</v>
      </c>
      <c r="H30" s="20" t="n">
        <v>3.05336989</v>
      </c>
      <c r="I30" s="18" t="n">
        <v>0</v>
      </c>
      <c r="J30" s="20" t="n">
        <v>0</v>
      </c>
      <c r="K30" s="18" t="n">
        <v>0</v>
      </c>
      <c r="L30" s="20" t="n">
        <v>0</v>
      </c>
      <c r="M30" s="18" t="n">
        <v>0</v>
      </c>
      <c r="N30" s="20" t="n">
        <v>0</v>
      </c>
      <c r="O30" s="18" t="n">
        <v>0</v>
      </c>
      <c r="P30" s="20" t="n">
        <v>0</v>
      </c>
      <c r="Q30" s="18" t="n">
        <v>1.13207787</v>
      </c>
      <c r="R30" s="20" t="n">
        <v>0.60355709</v>
      </c>
    </row>
    <row r="31" spans="1:18">
      <c r="A31" s="15" t="s">
        <v>589</v>
      </c>
      <c r="B31" s="17" t="n">
        <v>2706</v>
      </c>
      <c r="C31" s="18">
        <f>(2417.0/B31*100)</f>
        <v/>
      </c>
      <c r="D31" s="19" t="n">
        <v>289</v>
      </c>
      <c r="E31" s="18" t="n">
        <v>66.73817956000001</v>
      </c>
      <c r="F31" s="20" t="n">
        <v>2.65657558</v>
      </c>
      <c r="G31" s="18" t="n">
        <v>29.26983757</v>
      </c>
      <c r="H31" s="20" t="n">
        <v>2.7439183</v>
      </c>
      <c r="I31" s="18" t="n">
        <v>0</v>
      </c>
      <c r="J31" s="20" t="n">
        <v>0</v>
      </c>
      <c r="K31" s="18" t="n">
        <v>1.68745731</v>
      </c>
      <c r="L31" s="20" t="n">
        <v>0.7424583300000001</v>
      </c>
      <c r="M31" s="18" t="n">
        <v>0</v>
      </c>
      <c r="N31" s="20" t="n">
        <v>0</v>
      </c>
      <c r="O31" s="18" t="n">
        <v>0</v>
      </c>
      <c r="P31" s="20" t="n">
        <v>0</v>
      </c>
      <c r="Q31" s="18" t="n">
        <v>2.30452556</v>
      </c>
      <c r="R31" s="20" t="n">
        <v>0.87303456</v>
      </c>
    </row>
    <row r="32" spans="1:18">
      <c r="A32" s="15" t="s">
        <v>590</v>
      </c>
      <c r="B32" s="17" t="n">
        <v>2209</v>
      </c>
      <c r="C32" s="18">
        <f>(1970.0/B32*100)</f>
        <v/>
      </c>
      <c r="D32" s="19" t="n">
        <v>239</v>
      </c>
      <c r="E32" s="18" t="n">
        <v>62.8204854</v>
      </c>
      <c r="F32" s="20" t="n">
        <v>3.28620641</v>
      </c>
      <c r="G32" s="18" t="n">
        <v>36.73592013</v>
      </c>
      <c r="H32" s="20" t="n">
        <v>3.31511486</v>
      </c>
      <c r="I32" s="18" t="n">
        <v>0</v>
      </c>
      <c r="J32" s="20" t="n">
        <v>0</v>
      </c>
      <c r="K32" s="18" t="n">
        <v>0</v>
      </c>
      <c r="L32" s="20" t="n">
        <v>0</v>
      </c>
      <c r="M32" s="18" t="n">
        <v>0</v>
      </c>
      <c r="N32" s="20" t="n">
        <v>0</v>
      </c>
      <c r="O32" s="18" t="n">
        <v>0</v>
      </c>
      <c r="P32" s="20" t="n">
        <v>0</v>
      </c>
      <c r="Q32" s="18" t="n">
        <v>0.44359446</v>
      </c>
      <c r="R32" s="20" t="n">
        <v>0.49649747</v>
      </c>
    </row>
    <row r="33" spans="1:18">
      <c r="A33" s="15" t="s">
        <v>591</v>
      </c>
      <c r="B33" s="17" t="n">
        <v>3651</v>
      </c>
      <c r="C33" s="18">
        <f>(3289.0/B33*100)</f>
        <v/>
      </c>
      <c r="D33" s="19" t="n">
        <v>362</v>
      </c>
      <c r="E33" s="18" t="n">
        <v>62.73208174</v>
      </c>
      <c r="F33" s="20" t="n">
        <v>3.02627339</v>
      </c>
      <c r="G33" s="18" t="n">
        <v>36.25162024</v>
      </c>
      <c r="H33" s="20" t="n">
        <v>3.14004703</v>
      </c>
      <c r="I33" s="18" t="n">
        <v>0</v>
      </c>
      <c r="J33" s="20" t="n">
        <v>0</v>
      </c>
      <c r="K33" s="18" t="n">
        <v>0.36956755</v>
      </c>
      <c r="L33" s="20" t="n">
        <v>0.36745874</v>
      </c>
      <c r="M33" s="18" t="n">
        <v>0</v>
      </c>
      <c r="N33" s="20" t="n">
        <v>0</v>
      </c>
      <c r="O33" s="18" t="n">
        <v>0</v>
      </c>
      <c r="P33" s="20" t="n">
        <v>0</v>
      </c>
      <c r="Q33" s="18" t="n">
        <v>0.6467304699999999</v>
      </c>
      <c r="R33" s="20" t="n">
        <v>0.33859729</v>
      </c>
    </row>
    <row r="34" spans="1:18">
      <c r="A34" s="15" t="s">
        <v>592</v>
      </c>
      <c r="B34" s="17" t="n">
        <v>3035</v>
      </c>
      <c r="C34" s="18">
        <f>(2697.0/B34*100)</f>
        <v/>
      </c>
      <c r="D34" s="19" t="n">
        <v>338</v>
      </c>
      <c r="E34" s="18" t="n">
        <v>66.39129928</v>
      </c>
      <c r="F34" s="20" t="n">
        <v>2.77809302</v>
      </c>
      <c r="G34" s="18" t="n">
        <v>32.7459409</v>
      </c>
      <c r="H34" s="20" t="n">
        <v>2.7734516</v>
      </c>
      <c r="I34" s="18" t="n">
        <v>0</v>
      </c>
      <c r="J34" s="20" t="n">
        <v>0</v>
      </c>
      <c r="K34" s="18" t="n">
        <v>0.37037101</v>
      </c>
      <c r="L34" s="20" t="n">
        <v>0.26573721</v>
      </c>
      <c r="M34" s="18" t="n">
        <v>0</v>
      </c>
      <c r="N34" s="20" t="n">
        <v>0</v>
      </c>
      <c r="O34" s="18" t="n">
        <v>0</v>
      </c>
      <c r="P34" s="20" t="n">
        <v>0</v>
      </c>
      <c r="Q34" s="18" t="n">
        <v>0.49238881</v>
      </c>
      <c r="R34" s="20" t="n">
        <v>0.33375099</v>
      </c>
    </row>
    <row r="35" spans="1:18">
      <c r="A35" s="15" t="s">
        <v>593</v>
      </c>
      <c r="B35" s="17" t="n">
        <v>2901</v>
      </c>
      <c r="C35" s="18">
        <f>(2608.0/B35*100)</f>
        <v/>
      </c>
      <c r="D35" s="19" t="n">
        <v>293</v>
      </c>
      <c r="E35" s="18" t="n">
        <v>67.94875623</v>
      </c>
      <c r="F35" s="20" t="n">
        <v>3.31238096</v>
      </c>
      <c r="G35" s="18" t="n">
        <v>31.65290982</v>
      </c>
      <c r="H35" s="20" t="n">
        <v>3.29847804</v>
      </c>
      <c r="I35" s="18" t="n">
        <v>0</v>
      </c>
      <c r="J35" s="20" t="n">
        <v>0</v>
      </c>
      <c r="K35" s="18" t="n">
        <v>0.13986515</v>
      </c>
      <c r="L35" s="20" t="n">
        <v>0.14289993</v>
      </c>
      <c r="M35" s="18" t="n">
        <v>0</v>
      </c>
      <c r="N35" s="20" t="n">
        <v>0</v>
      </c>
      <c r="O35" s="18" t="n">
        <v>0</v>
      </c>
      <c r="P35" s="20" t="n">
        <v>0</v>
      </c>
      <c r="Q35" s="18" t="n">
        <v>0.25846881</v>
      </c>
      <c r="R35" s="20" t="n">
        <v>0.18749275</v>
      </c>
    </row>
    <row r="36" spans="1:18">
      <c r="A36" s="15" t="s">
        <v>594</v>
      </c>
      <c r="B36" s="17" t="n">
        <v>3404</v>
      </c>
      <c r="C36" s="18">
        <f>(3060.0/B36*100)</f>
        <v/>
      </c>
      <c r="D36" s="19" t="n">
        <v>344</v>
      </c>
      <c r="E36" s="18" t="n">
        <v>55.14548423</v>
      </c>
      <c r="F36" s="20" t="n">
        <v>2.83085436</v>
      </c>
      <c r="G36" s="18" t="n">
        <v>42.1983775</v>
      </c>
      <c r="H36" s="20" t="n">
        <v>2.77867015</v>
      </c>
      <c r="I36" s="18" t="n">
        <v>0</v>
      </c>
      <c r="J36" s="20" t="n">
        <v>0</v>
      </c>
      <c r="K36" s="18" t="n">
        <v>0.36387903</v>
      </c>
      <c r="L36" s="20" t="n">
        <v>0.34120872</v>
      </c>
      <c r="M36" s="18" t="n">
        <v>0</v>
      </c>
      <c r="N36" s="20" t="n">
        <v>0</v>
      </c>
      <c r="O36" s="18" t="n">
        <v>0</v>
      </c>
      <c r="P36" s="20" t="n">
        <v>0</v>
      </c>
      <c r="Q36" s="18" t="n">
        <v>2.29225925</v>
      </c>
      <c r="R36" s="20" t="n">
        <v>0.80504296</v>
      </c>
    </row>
    <row r="37" spans="1:18">
      <c r="A37" s="15" t="s">
        <v>595</v>
      </c>
      <c r="B37" s="17" t="n">
        <v>2731</v>
      </c>
      <c r="C37" s="18">
        <f>(2434.0/B37*100)</f>
        <v/>
      </c>
      <c r="D37" s="19" t="n">
        <v>297</v>
      </c>
      <c r="E37" s="18" t="n">
        <v>65.11511084</v>
      </c>
      <c r="F37" s="20" t="n">
        <v>2.40302654</v>
      </c>
      <c r="G37" s="18" t="n">
        <v>30.85881336</v>
      </c>
      <c r="H37" s="20" t="n">
        <v>2.56021193</v>
      </c>
      <c r="I37" s="18" t="n">
        <v>0</v>
      </c>
      <c r="J37" s="20" t="n">
        <v>0</v>
      </c>
      <c r="K37" s="18" t="n">
        <v>1.99057157</v>
      </c>
      <c r="L37" s="20" t="n">
        <v>0.82911904</v>
      </c>
      <c r="M37" s="18" t="n">
        <v>0</v>
      </c>
      <c r="N37" s="20" t="n">
        <v>0</v>
      </c>
      <c r="O37" s="18" t="n">
        <v>0</v>
      </c>
      <c r="P37" s="20" t="n">
        <v>0</v>
      </c>
      <c r="Q37" s="18" t="n">
        <v>2.03550423</v>
      </c>
      <c r="R37" s="20" t="n">
        <v>0.8503824800000001</v>
      </c>
    </row>
    <row r="38" spans="1:18">
      <c r="A38" s="15" t="s">
        <v>596</v>
      </c>
      <c r="B38" s="17" t="n">
        <v>2807</v>
      </c>
      <c r="C38" s="18">
        <f>(2493.0/B38*100)</f>
        <v/>
      </c>
      <c r="D38" s="19" t="n">
        <v>314</v>
      </c>
      <c r="E38" s="18" t="n">
        <v>68.12016503</v>
      </c>
      <c r="F38" s="20" t="n">
        <v>2.98639157</v>
      </c>
      <c r="G38" s="18" t="n">
        <v>29.04128705</v>
      </c>
      <c r="H38" s="20" t="n">
        <v>3.09594691</v>
      </c>
      <c r="I38" s="18" t="n">
        <v>0</v>
      </c>
      <c r="J38" s="20" t="n">
        <v>0</v>
      </c>
      <c r="K38" s="18" t="n">
        <v>0.33742728</v>
      </c>
      <c r="L38" s="20" t="n">
        <v>0.33737884</v>
      </c>
      <c r="M38" s="18" t="n">
        <v>0</v>
      </c>
      <c r="N38" s="20" t="n">
        <v>0</v>
      </c>
      <c r="O38" s="18" t="n">
        <v>0</v>
      </c>
      <c r="P38" s="20" t="n">
        <v>0</v>
      </c>
      <c r="Q38" s="18" t="n">
        <v>2.50112063</v>
      </c>
      <c r="R38" s="20" t="n">
        <v>1.03212773</v>
      </c>
    </row>
    <row r="39" spans="1:18">
      <c r="A39" s="15" t="s">
        <v>597</v>
      </c>
      <c r="B39" s="17" t="n">
        <v>2938</v>
      </c>
      <c r="C39" s="18">
        <f>(2624.0/B39*100)</f>
        <v/>
      </c>
      <c r="D39" s="19" t="n">
        <v>314</v>
      </c>
      <c r="E39" s="18" t="n">
        <v>64.38086997000001</v>
      </c>
      <c r="F39" s="20" t="n">
        <v>3.04566504</v>
      </c>
      <c r="G39" s="18" t="n">
        <v>34.12675595</v>
      </c>
      <c r="H39" s="20" t="n">
        <v>3.27075741</v>
      </c>
      <c r="I39" s="18" t="n">
        <v>0</v>
      </c>
      <c r="J39" s="20" t="n">
        <v>0</v>
      </c>
      <c r="K39" s="18" t="n">
        <v>0.39449852</v>
      </c>
      <c r="L39" s="20" t="n">
        <v>0.41090094</v>
      </c>
      <c r="M39" s="18" t="n">
        <v>0</v>
      </c>
      <c r="N39" s="20" t="n">
        <v>0</v>
      </c>
      <c r="O39" s="18" t="n">
        <v>0</v>
      </c>
      <c r="P39" s="20" t="n">
        <v>0</v>
      </c>
      <c r="Q39" s="18" t="n">
        <v>1.09787557</v>
      </c>
      <c r="R39" s="20" t="n">
        <v>0.53990023</v>
      </c>
    </row>
    <row r="40" spans="1:18">
      <c r="A40" s="15" t="s">
        <v>598</v>
      </c>
      <c r="B40" s="17" t="n">
        <v>6922</v>
      </c>
      <c r="C40" s="18">
        <f>(6147.0/B40*100)</f>
        <v/>
      </c>
      <c r="D40" s="19" t="n">
        <v>775</v>
      </c>
      <c r="E40" s="18" t="n">
        <v>52.6060572</v>
      </c>
      <c r="F40" s="20" t="n">
        <v>2.74768533</v>
      </c>
      <c r="G40" s="18" t="n">
        <v>45.37886508</v>
      </c>
      <c r="H40" s="20" t="n">
        <v>2.70587008</v>
      </c>
      <c r="I40" s="18" t="n">
        <v>0</v>
      </c>
      <c r="J40" s="20" t="n">
        <v>0</v>
      </c>
      <c r="K40" s="18" t="n">
        <v>0.81508573</v>
      </c>
      <c r="L40" s="20" t="n">
        <v>0.4641337</v>
      </c>
      <c r="M40" s="18" t="n">
        <v>0</v>
      </c>
      <c r="N40" s="20" t="n">
        <v>0</v>
      </c>
      <c r="O40" s="18" t="n">
        <v>0</v>
      </c>
      <c r="P40" s="20" t="n">
        <v>0</v>
      </c>
      <c r="Q40" s="18" t="n">
        <v>1.19999199</v>
      </c>
      <c r="R40" s="20" t="n">
        <v>0.49959151</v>
      </c>
    </row>
    <row r="41" spans="1:18">
      <c r="A41" s="15" t="s">
        <v>599</v>
      </c>
      <c r="B41" s="17" t="n">
        <v>2854</v>
      </c>
      <c r="C41" s="18">
        <f>(2553.0/B41*100)</f>
        <v/>
      </c>
      <c r="D41" s="19" t="n">
        <v>301</v>
      </c>
      <c r="E41" s="18" t="n">
        <v>48.09079208</v>
      </c>
      <c r="F41" s="20" t="n">
        <v>2.95919091</v>
      </c>
      <c r="G41" s="18" t="n">
        <v>50.92249339</v>
      </c>
      <c r="H41" s="20" t="n">
        <v>2.89238254</v>
      </c>
      <c r="I41" s="18" t="n">
        <v>0</v>
      </c>
      <c r="J41" s="20" t="n">
        <v>0</v>
      </c>
      <c r="K41" s="18" t="n">
        <v>0.27836221</v>
      </c>
      <c r="L41" s="20" t="n">
        <v>0.30167895</v>
      </c>
      <c r="M41" s="18" t="n">
        <v>0</v>
      </c>
      <c r="N41" s="20" t="n">
        <v>0</v>
      </c>
      <c r="O41" s="18" t="n">
        <v>0</v>
      </c>
      <c r="P41" s="20" t="n">
        <v>0</v>
      </c>
      <c r="Q41" s="18" t="n">
        <v>0.70835232</v>
      </c>
      <c r="R41" s="20" t="n">
        <v>0.7161743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(11129.0/B46*100)</f>
        <v/>
      </c>
      <c r="D46" s="19" t="n">
        <v>944</v>
      </c>
      <c r="E46" s="18" t="n">
        <v>59.89840295</v>
      </c>
      <c r="F46" s="20" t="n">
        <v>1.99152705</v>
      </c>
      <c r="G46" s="18" t="n">
        <v>36.17873143</v>
      </c>
      <c r="H46" s="20" t="n">
        <v>2.08353107</v>
      </c>
      <c r="I46" s="18" t="n">
        <v>0</v>
      </c>
      <c r="J46" s="20" t="n">
        <v>0</v>
      </c>
      <c r="K46" s="18" t="n">
        <v>1.382276</v>
      </c>
      <c r="L46" s="20" t="n">
        <v>0.50492816</v>
      </c>
      <c r="M46" s="18" t="n">
        <v>0</v>
      </c>
      <c r="N46" s="20" t="n">
        <v>0</v>
      </c>
      <c r="O46" s="18" t="n">
        <v>0</v>
      </c>
      <c r="P46" s="20" t="n">
        <v>0</v>
      </c>
      <c r="Q46" s="18" t="n">
        <v>2.54058962</v>
      </c>
      <c r="R46" s="20" t="n">
        <v>0.70481521</v>
      </c>
    </row>
    <row r="47" spans="1:18">
      <c r="A47" s="15" t="s">
        <v>606</v>
      </c>
      <c r="B47" s="17" t="n">
        <v>2823</v>
      </c>
      <c r="C47" s="18">
        <f>(2513.0/B47*100)</f>
        <v/>
      </c>
      <c r="D47" s="19" t="n">
        <v>310</v>
      </c>
      <c r="E47" s="18" t="n">
        <v>71.27975114</v>
      </c>
      <c r="F47" s="20" t="n">
        <v>2.38833648</v>
      </c>
      <c r="G47" s="18" t="n">
        <v>27.42918619</v>
      </c>
      <c r="H47" s="20" t="n">
        <v>2.43457667</v>
      </c>
      <c r="I47" s="18" t="n">
        <v>0</v>
      </c>
      <c r="J47" s="20" t="n">
        <v>0</v>
      </c>
      <c r="K47" s="18" t="n">
        <v>0.63649946</v>
      </c>
      <c r="L47" s="20" t="n">
        <v>0.44201099</v>
      </c>
      <c r="M47" s="18" t="n">
        <v>0</v>
      </c>
      <c r="N47" s="20" t="n">
        <v>0</v>
      </c>
      <c r="O47" s="18" t="n">
        <v>0</v>
      </c>
      <c r="P47" s="20" t="n">
        <v>0</v>
      </c>
      <c r="Q47" s="18" t="n">
        <v>0.65456321</v>
      </c>
      <c r="R47" s="20" t="n">
        <v>0.46511254</v>
      </c>
    </row>
    <row r="48" spans="1:18">
      <c r="A48" s="15" t="s">
        <v>607</v>
      </c>
      <c r="B48" s="17" t="n">
        <v>4682</v>
      </c>
      <c r="C48" s="18">
        <f>(4170.0/B48*100)</f>
        <v/>
      </c>
      <c r="D48" s="19" t="n">
        <v>512</v>
      </c>
      <c r="E48" s="18" t="n">
        <v>51.20530203</v>
      </c>
      <c r="F48" s="20" t="n">
        <v>2.80374501</v>
      </c>
      <c r="G48" s="18" t="n">
        <v>47.48026971</v>
      </c>
      <c r="H48" s="20" t="n">
        <v>2.87355973</v>
      </c>
      <c r="I48" s="18" t="n">
        <v>0</v>
      </c>
      <c r="J48" s="20" t="n">
        <v>0</v>
      </c>
      <c r="K48" s="18" t="n">
        <v>0.97913265</v>
      </c>
      <c r="L48" s="20" t="n">
        <v>0.58744602</v>
      </c>
      <c r="M48" s="18" t="n">
        <v>0</v>
      </c>
      <c r="N48" s="20" t="n">
        <v>0</v>
      </c>
      <c r="O48" s="18" t="n">
        <v>0</v>
      </c>
      <c r="P48" s="20" t="n">
        <v>0</v>
      </c>
      <c r="Q48" s="18" t="n">
        <v>0.33529561</v>
      </c>
      <c r="R48" s="20" t="n">
        <v>0.33618155</v>
      </c>
    </row>
    <row r="49" spans="1:18">
      <c r="A49" s="15" t="s">
        <v>608</v>
      </c>
      <c r="B49" s="17" t="n">
        <v>6158</v>
      </c>
      <c r="C49" s="18">
        <f>(5516.0/B49*100)</f>
        <v/>
      </c>
      <c r="D49" s="19" t="n">
        <v>642</v>
      </c>
      <c r="E49" s="18" t="n">
        <v>59.61837105</v>
      </c>
      <c r="F49" s="20" t="n">
        <v>2.65747101</v>
      </c>
      <c r="G49" s="18" t="n">
        <v>38.79767371</v>
      </c>
      <c r="H49" s="20" t="n">
        <v>2.60089202</v>
      </c>
      <c r="I49" s="18" t="n">
        <v>0</v>
      </c>
      <c r="J49" s="20" t="n">
        <v>0</v>
      </c>
      <c r="K49" s="18" t="n">
        <v>1.49151646</v>
      </c>
      <c r="L49" s="20" t="n">
        <v>0.5372667</v>
      </c>
      <c r="M49" s="18" t="n">
        <v>0</v>
      </c>
      <c r="N49" s="20" t="n">
        <v>0</v>
      </c>
      <c r="O49" s="18" t="n">
        <v>0</v>
      </c>
      <c r="P49" s="20" t="n">
        <v>0</v>
      </c>
      <c r="Q49" s="18" t="n">
        <v>0.09243878</v>
      </c>
      <c r="R49" s="20" t="n">
        <v>0.06703725000000001</v>
      </c>
    </row>
    <row r="50" spans="1:18">
      <c r="A50" s="15" t="s">
        <v>609</v>
      </c>
      <c r="B50" s="17" t="n">
        <v>3494</v>
      </c>
      <c r="C50" s="18">
        <f>(3173.0/B50*100)</f>
        <v/>
      </c>
      <c r="D50" s="19" t="n">
        <v>321</v>
      </c>
      <c r="E50" s="18" t="n">
        <v>59.62749236</v>
      </c>
      <c r="F50" s="20" t="n">
        <v>3.13207154</v>
      </c>
      <c r="G50" s="18" t="n">
        <v>37.77584111</v>
      </c>
      <c r="H50" s="20" t="n">
        <v>3.05239144</v>
      </c>
      <c r="I50" s="18" t="n">
        <v>0</v>
      </c>
      <c r="J50" s="20" t="n">
        <v>0</v>
      </c>
      <c r="K50" s="18" t="n">
        <v>0.59490135</v>
      </c>
      <c r="L50" s="20" t="n">
        <v>0.45110041</v>
      </c>
      <c r="M50" s="18" t="n">
        <v>0</v>
      </c>
      <c r="N50" s="20" t="n">
        <v>0</v>
      </c>
      <c r="O50" s="18" t="n">
        <v>0</v>
      </c>
      <c r="P50" s="20" t="n">
        <v>0</v>
      </c>
      <c r="Q50" s="18" t="n">
        <v>2.00176518</v>
      </c>
      <c r="R50" s="20" t="n">
        <v>0.85598778</v>
      </c>
    </row>
    <row r="51" spans="1:18">
      <c r="A51" s="15" t="s">
        <v>610</v>
      </c>
      <c r="B51" s="17" t="n">
        <v>3013</v>
      </c>
      <c r="C51" s="18">
        <f>(2653.0/B51*100)</f>
        <v/>
      </c>
      <c r="D51" s="19" t="n">
        <v>360</v>
      </c>
      <c r="E51" s="18" t="n">
        <v>63.31717192</v>
      </c>
      <c r="F51" s="20" t="n">
        <v>2.7719362</v>
      </c>
      <c r="G51" s="18" t="n">
        <v>35.46568096</v>
      </c>
      <c r="H51" s="20" t="n">
        <v>2.6942696</v>
      </c>
      <c r="I51" s="18" t="n">
        <v>0</v>
      </c>
      <c r="J51" s="20" t="n">
        <v>0</v>
      </c>
      <c r="K51" s="18" t="n">
        <v>0.33828088</v>
      </c>
      <c r="L51" s="20" t="n">
        <v>0.33309414</v>
      </c>
      <c r="M51" s="18" t="n">
        <v>0</v>
      </c>
      <c r="N51" s="20" t="n">
        <v>0</v>
      </c>
      <c r="O51" s="18" t="n">
        <v>0</v>
      </c>
      <c r="P51" s="20" t="n">
        <v>0</v>
      </c>
      <c r="Q51" s="18" t="n">
        <v>0.87886624</v>
      </c>
      <c r="R51" s="20" t="n">
        <v>0.51555651</v>
      </c>
    </row>
    <row r="52" spans="1:18">
      <c r="A52" s="15" t="s">
        <v>611</v>
      </c>
      <c r="B52" s="17" t="n">
        <v>2760</v>
      </c>
      <c r="C52" s="18">
        <f>(2468.0/B52*100)</f>
        <v/>
      </c>
      <c r="D52" s="19" t="n">
        <v>292</v>
      </c>
      <c r="E52" s="18" t="n">
        <v>66.6184286</v>
      </c>
      <c r="F52" s="20" t="n">
        <v>2.61144689</v>
      </c>
      <c r="G52" s="18" t="n">
        <v>31.12486852</v>
      </c>
      <c r="H52" s="20" t="n">
        <v>2.52083532</v>
      </c>
      <c r="I52" s="18" t="n">
        <v>0</v>
      </c>
      <c r="J52" s="20" t="n">
        <v>0</v>
      </c>
      <c r="K52" s="18" t="n">
        <v>0.55912463</v>
      </c>
      <c r="L52" s="20" t="n">
        <v>0.39453947</v>
      </c>
      <c r="M52" s="18" t="n">
        <v>0</v>
      </c>
      <c r="N52" s="20" t="n">
        <v>0</v>
      </c>
      <c r="O52" s="18" t="n">
        <v>0</v>
      </c>
      <c r="P52" s="20" t="n">
        <v>0</v>
      </c>
      <c r="Q52" s="18" t="n">
        <v>1.69757825</v>
      </c>
      <c r="R52" s="20" t="n">
        <v>0.8856861499999999</v>
      </c>
    </row>
    <row r="53" spans="1:18">
      <c r="A53" s="15" t="s">
        <v>612</v>
      </c>
      <c r="B53" s="17" t="n">
        <v>2474</v>
      </c>
      <c r="C53" s="18">
        <f>(2236.0/B53*100)</f>
        <v/>
      </c>
      <c r="D53" s="19" t="n">
        <v>238</v>
      </c>
      <c r="E53" s="18" t="n">
        <v>44.68398427</v>
      </c>
      <c r="F53" s="20" t="n">
        <v>3.725534</v>
      </c>
      <c r="G53" s="18" t="n">
        <v>31.50454838</v>
      </c>
      <c r="H53" s="20" t="n">
        <v>3.67908057</v>
      </c>
      <c r="I53" s="18" t="n">
        <v>0</v>
      </c>
      <c r="J53" s="20" t="n">
        <v>0</v>
      </c>
      <c r="K53" s="18" t="n">
        <v>22.06032194</v>
      </c>
      <c r="L53" s="20" t="n">
        <v>2.75023787</v>
      </c>
      <c r="M53" s="18" t="n">
        <v>0</v>
      </c>
      <c r="N53" s="20" t="n">
        <v>0</v>
      </c>
      <c r="O53" s="18" t="n">
        <v>0</v>
      </c>
      <c r="P53" s="20" t="n">
        <v>0</v>
      </c>
      <c r="Q53" s="18" t="n">
        <v>1.75114541</v>
      </c>
      <c r="R53" s="20" t="n">
        <v>0.79257751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(2375.0/B55*100)</f>
        <v/>
      </c>
      <c r="D55" s="19" t="n">
        <v>300</v>
      </c>
      <c r="E55" s="18" t="n">
        <v>56.22343281</v>
      </c>
      <c r="F55" s="20" t="n">
        <v>2.59455294</v>
      </c>
      <c r="G55" s="18" t="n">
        <v>43.19259281</v>
      </c>
      <c r="H55" s="20" t="n">
        <v>2.6288361</v>
      </c>
      <c r="I55" s="18" t="n">
        <v>0</v>
      </c>
      <c r="J55" s="20" t="n">
        <v>0</v>
      </c>
      <c r="K55" s="18" t="n">
        <v>0.29719252</v>
      </c>
      <c r="L55" s="20" t="n">
        <v>0.30592841</v>
      </c>
      <c r="M55" s="18" t="n">
        <v>0</v>
      </c>
      <c r="N55" s="20" t="n">
        <v>0</v>
      </c>
      <c r="O55" s="18" t="n">
        <v>0</v>
      </c>
      <c r="P55" s="20" t="n">
        <v>0</v>
      </c>
      <c r="Q55" s="18" t="n">
        <v>0.28678185</v>
      </c>
      <c r="R55" s="20" t="n">
        <v>0.31028134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(2835.0/B61*100)</f>
        <v/>
      </c>
      <c r="D61" s="19" t="n">
        <v>366</v>
      </c>
      <c r="E61" s="18" t="n">
        <v>60.63933946</v>
      </c>
      <c r="F61" s="20" t="n">
        <v>2.92178829</v>
      </c>
      <c r="G61" s="18" t="n">
        <v>38.28334717</v>
      </c>
      <c r="H61" s="20" t="n">
        <v>2.9952096</v>
      </c>
      <c r="I61" s="18" t="n">
        <v>0</v>
      </c>
      <c r="J61" s="20" t="n">
        <v>0</v>
      </c>
      <c r="K61" s="18" t="n">
        <v>0</v>
      </c>
      <c r="L61" s="20" t="n">
        <v>0</v>
      </c>
      <c r="M61" s="18" t="n">
        <v>0</v>
      </c>
      <c r="N61" s="20" t="n">
        <v>0</v>
      </c>
      <c r="O61" s="18" t="n">
        <v>0</v>
      </c>
      <c r="P61" s="20" t="n">
        <v>0</v>
      </c>
      <c r="Q61" s="18" t="n">
        <v>1.07731337</v>
      </c>
      <c r="R61" s="20" t="n">
        <v>0.60753796</v>
      </c>
    </row>
    <row r="62" spans="1:18">
      <c r="A62" s="15" t="s">
        <v>622</v>
      </c>
      <c r="B62" s="17" t="n">
        <v>2230</v>
      </c>
      <c r="C62" s="18">
        <f>(1992.0/B62*100)</f>
        <v/>
      </c>
      <c r="D62" s="19" t="n">
        <v>238</v>
      </c>
      <c r="E62" s="18" t="n">
        <v>54.66070786</v>
      </c>
      <c r="F62" s="20" t="n">
        <v>3.15256642</v>
      </c>
      <c r="G62" s="18" t="n">
        <v>44.92147786</v>
      </c>
      <c r="H62" s="20" t="n">
        <v>3.04000342</v>
      </c>
      <c r="I62" s="18" t="n">
        <v>0</v>
      </c>
      <c r="J62" s="20" t="n">
        <v>0</v>
      </c>
      <c r="K62" s="18" t="n">
        <v>0</v>
      </c>
      <c r="L62" s="20" t="n">
        <v>0</v>
      </c>
      <c r="M62" s="18" t="n">
        <v>0</v>
      </c>
      <c r="N62" s="20" t="n">
        <v>0</v>
      </c>
      <c r="O62" s="18" t="n">
        <v>0</v>
      </c>
      <c r="P62" s="20" t="n">
        <v>0</v>
      </c>
      <c r="Q62" s="18" t="n">
        <v>0.41781428</v>
      </c>
      <c r="R62" s="20" t="n">
        <v>0.41845658</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(2458.0/B67*100)</f>
        <v/>
      </c>
      <c r="D67" s="19" t="n">
        <v>313</v>
      </c>
      <c r="E67" s="18" t="n">
        <v>52.34672107</v>
      </c>
      <c r="F67" s="20" t="n">
        <v>2.9239036</v>
      </c>
      <c r="G67" s="18" t="n">
        <v>40.07645344</v>
      </c>
      <c r="H67" s="20" t="n">
        <v>2.70001392</v>
      </c>
      <c r="I67" s="18" t="n">
        <v>0</v>
      </c>
      <c r="J67" s="20" t="n">
        <v>0</v>
      </c>
      <c r="K67" s="18" t="n">
        <v>0.71085836</v>
      </c>
      <c r="L67" s="20" t="n">
        <v>0.70315882</v>
      </c>
      <c r="M67" s="18" t="n">
        <v>0</v>
      </c>
      <c r="N67" s="20" t="n">
        <v>0</v>
      </c>
      <c r="O67" s="18" t="n">
        <v>0</v>
      </c>
      <c r="P67" s="20" t="n">
        <v>0</v>
      </c>
      <c r="Q67" s="18" t="n">
        <v>6.86596713</v>
      </c>
      <c r="R67" s="20" t="n">
        <v>1.51371166</v>
      </c>
    </row>
    <row r="68" spans="1:18">
      <c r="A68" s="15" t="s">
        <v>628</v>
      </c>
      <c r="B68" s="17" t="n">
        <v>3460</v>
      </c>
      <c r="C68" s="18">
        <f>(3142.0/B68*100)</f>
        <v/>
      </c>
      <c r="D68" s="19" t="n">
        <v>318</v>
      </c>
      <c r="E68" s="18" t="n">
        <v>57.26045558</v>
      </c>
      <c r="F68" s="20" t="n">
        <v>3.1588087</v>
      </c>
      <c r="G68" s="18" t="n">
        <v>41.84620796</v>
      </c>
      <c r="H68" s="20" t="n">
        <v>3.06643748</v>
      </c>
      <c r="I68" s="18" t="n">
        <v>0</v>
      </c>
      <c r="J68" s="20" t="n">
        <v>0</v>
      </c>
      <c r="K68" s="18" t="n">
        <v>0.25043949</v>
      </c>
      <c r="L68" s="20" t="n">
        <v>0.2579131</v>
      </c>
      <c r="M68" s="18" t="n">
        <v>0</v>
      </c>
      <c r="N68" s="20" t="n">
        <v>0</v>
      </c>
      <c r="O68" s="18" t="n">
        <v>0</v>
      </c>
      <c r="P68" s="20" t="n">
        <v>0</v>
      </c>
      <c r="Q68" s="18" t="n">
        <v>0.64289697</v>
      </c>
      <c r="R68" s="20" t="n">
        <v>0.55907783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(5403.0/B70*100)</f>
        <v/>
      </c>
      <c r="D70" s="19" t="n">
        <v>631</v>
      </c>
      <c r="E70" s="18" t="n">
        <v>58.75840557</v>
      </c>
      <c r="F70" s="20" t="n">
        <v>2.08459829</v>
      </c>
      <c r="G70" s="18" t="n">
        <v>36.14696153</v>
      </c>
      <c r="H70" s="20" t="n">
        <v>2.01780354</v>
      </c>
      <c r="I70" s="18" t="n">
        <v>0</v>
      </c>
      <c r="J70" s="20" t="n">
        <v>0</v>
      </c>
      <c r="K70" s="18" t="n">
        <v>3.29395961</v>
      </c>
      <c r="L70" s="20" t="n">
        <v>0.76006974</v>
      </c>
      <c r="M70" s="18" t="n">
        <v>0</v>
      </c>
      <c r="N70" s="20" t="n">
        <v>0</v>
      </c>
      <c r="O70" s="18" t="n">
        <v>0</v>
      </c>
      <c r="P70" s="20" t="n">
        <v>0</v>
      </c>
      <c r="Q70" s="18" t="n">
        <v>1.80067329</v>
      </c>
      <c r="R70" s="20" t="n">
        <v>0.47778602</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(2744.0/B72*100)</f>
        <v/>
      </c>
      <c r="D72" s="19" t="n">
        <v>363</v>
      </c>
      <c r="E72" s="18" t="n">
        <v>62.53103167</v>
      </c>
      <c r="F72" s="20" t="n">
        <v>2.4685871</v>
      </c>
      <c r="G72" s="18" t="n">
        <v>35.98639825</v>
      </c>
      <c r="H72" s="20" t="n">
        <v>2.29158704</v>
      </c>
      <c r="I72" s="18" t="n">
        <v>0</v>
      </c>
      <c r="J72" s="20" t="n">
        <v>0</v>
      </c>
      <c r="K72" s="18" t="n">
        <v>1.07514159</v>
      </c>
      <c r="L72" s="20" t="n">
        <v>0.53310416</v>
      </c>
      <c r="M72" s="18" t="n">
        <v>0</v>
      </c>
      <c r="N72" s="20" t="n">
        <v>0</v>
      </c>
      <c r="O72" s="18" t="n">
        <v>0</v>
      </c>
      <c r="P72" s="20" t="n">
        <v>0</v>
      </c>
      <c r="Q72" s="18" t="n">
        <v>0.4074285</v>
      </c>
      <c r="R72" s="20" t="n">
        <v>0.2794512</v>
      </c>
    </row>
    <row r="73" spans="1:18">
      <c r="A73" s="15" t="s">
        <v>633</v>
      </c>
      <c r="B73" s="17" t="n">
        <v>2973</v>
      </c>
      <c r="C73" s="18">
        <f>(2657.0/B73*100)</f>
        <v/>
      </c>
      <c r="D73" s="19" t="n">
        <v>316</v>
      </c>
      <c r="E73" s="18" t="n">
        <v>40.64376269</v>
      </c>
      <c r="F73" s="20" t="n">
        <v>2.87387629</v>
      </c>
      <c r="G73" s="18" t="n">
        <v>58.37336072</v>
      </c>
      <c r="H73" s="20" t="n">
        <v>2.94340926</v>
      </c>
      <c r="I73" s="18" t="n">
        <v>0</v>
      </c>
      <c r="J73" s="20" t="n">
        <v>0</v>
      </c>
      <c r="K73" s="18" t="n">
        <v>0.653483</v>
      </c>
      <c r="L73" s="20" t="n">
        <v>0.46723616</v>
      </c>
      <c r="M73" s="18" t="n">
        <v>0</v>
      </c>
      <c r="N73" s="20" t="n">
        <v>0</v>
      </c>
      <c r="O73" s="18" t="n">
        <v>0</v>
      </c>
      <c r="P73" s="20" t="n">
        <v>0</v>
      </c>
      <c r="Q73" s="18" t="n">
        <v>0.32939358</v>
      </c>
      <c r="R73" s="20" t="n">
        <v>0.32679576</v>
      </c>
    </row>
    <row r="74" spans="1:18">
      <c r="A74" s="15" t="s">
        <v>634</v>
      </c>
      <c r="B74" s="17" t="n">
        <v>3819</v>
      </c>
      <c r="C74" s="18">
        <f>(3406.0/B74*100)</f>
        <v/>
      </c>
      <c r="D74" s="19" t="n">
        <v>413</v>
      </c>
      <c r="E74" s="18" t="n">
        <v>58.33319862</v>
      </c>
      <c r="F74" s="20" t="n">
        <v>2.20447427</v>
      </c>
      <c r="G74" s="18" t="n">
        <v>41.33165555</v>
      </c>
      <c r="H74" s="20" t="n">
        <v>2.19517823</v>
      </c>
      <c r="I74" s="18" t="n">
        <v>0</v>
      </c>
      <c r="J74" s="20" t="n">
        <v>0</v>
      </c>
      <c r="K74" s="18" t="n">
        <v>0</v>
      </c>
      <c r="L74" s="20" t="n">
        <v>0</v>
      </c>
      <c r="M74" s="18" t="n">
        <v>0</v>
      </c>
      <c r="N74" s="20" t="n">
        <v>0</v>
      </c>
      <c r="O74" s="18" t="n">
        <v>0</v>
      </c>
      <c r="P74" s="20" t="n">
        <v>0</v>
      </c>
      <c r="Q74" s="18" t="n">
        <v>0.33514582</v>
      </c>
      <c r="R74" s="20" t="n">
        <v>0.25178066</v>
      </c>
    </row>
    <row r="75" spans="1:18">
      <c r="A75" s="15" t="s">
        <v>635</v>
      </c>
      <c r="B75" s="17" t="n">
        <v>4652</v>
      </c>
      <c r="C75" s="18">
        <f>(4145.0/B75*100)</f>
        <v/>
      </c>
      <c r="D75" s="19" t="n">
        <v>507</v>
      </c>
      <c r="E75" s="18" t="n">
        <v>56.85118162</v>
      </c>
      <c r="F75" s="20" t="n">
        <v>2.63230281</v>
      </c>
      <c r="G75" s="18" t="n">
        <v>42.46535245</v>
      </c>
      <c r="H75" s="20" t="n">
        <v>2.65030354</v>
      </c>
      <c r="I75" s="18" t="n">
        <v>0</v>
      </c>
      <c r="J75" s="20" t="n">
        <v>0</v>
      </c>
      <c r="K75" s="18" t="n">
        <v>0.26315047</v>
      </c>
      <c r="L75" s="20" t="n">
        <v>0.26194134</v>
      </c>
      <c r="M75" s="18" t="n">
        <v>0</v>
      </c>
      <c r="N75" s="20" t="n">
        <v>0</v>
      </c>
      <c r="O75" s="18" t="n">
        <v>0</v>
      </c>
      <c r="P75" s="20" t="n">
        <v>0</v>
      </c>
      <c r="Q75" s="18" t="n">
        <v>0.42031546</v>
      </c>
      <c r="R75" s="20" t="n">
        <v>0.29352669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(2676.0/B77*100)</f>
        <v/>
      </c>
      <c r="D77" s="19" t="n">
        <v>293</v>
      </c>
      <c r="E77" s="18" t="n">
        <v>66.87122458</v>
      </c>
      <c r="F77" s="20" t="n">
        <v>3.06939005</v>
      </c>
      <c r="G77" s="18" t="n">
        <v>24.15949861</v>
      </c>
      <c r="H77" s="20" t="n">
        <v>2.62821485</v>
      </c>
      <c r="I77" s="18" t="n">
        <v>0</v>
      </c>
      <c r="J77" s="20" t="n">
        <v>0</v>
      </c>
      <c r="K77" s="18" t="n">
        <v>5.7653716</v>
      </c>
      <c r="L77" s="20" t="n">
        <v>1.4868142</v>
      </c>
      <c r="M77" s="18" t="n">
        <v>0</v>
      </c>
      <c r="N77" s="20" t="n">
        <v>0</v>
      </c>
      <c r="O77" s="18" t="n">
        <v>0</v>
      </c>
      <c r="P77" s="20" t="n">
        <v>0</v>
      </c>
      <c r="Q77" s="18" t="n">
        <v>3.20390521</v>
      </c>
      <c r="R77" s="20" t="n">
        <v>1.06887002</v>
      </c>
    </row>
    <row r="78" spans="1:18">
      <c r="A78" s="15" t="s">
        <v>638</v>
      </c>
      <c r="B78" s="17" t="n">
        <v>7115</v>
      </c>
      <c r="C78" s="18">
        <f>(6324.0/B78*100)</f>
        <v/>
      </c>
      <c r="D78" s="19" t="n">
        <v>791</v>
      </c>
      <c r="E78" s="18" t="n">
        <v>58.49007783</v>
      </c>
      <c r="F78" s="20" t="n">
        <v>1.94593015</v>
      </c>
      <c r="G78" s="18" t="n">
        <v>39.1271141</v>
      </c>
      <c r="H78" s="20" t="n">
        <v>2.00517743</v>
      </c>
      <c r="I78" s="18" t="n">
        <v>0</v>
      </c>
      <c r="J78" s="20" t="n">
        <v>0</v>
      </c>
      <c r="K78" s="18" t="n">
        <v>1.67704793</v>
      </c>
      <c r="L78" s="20" t="n">
        <v>0.79964751</v>
      </c>
      <c r="M78" s="18" t="n">
        <v>0</v>
      </c>
      <c r="N78" s="20" t="n">
        <v>0</v>
      </c>
      <c r="O78" s="18" t="n">
        <v>0</v>
      </c>
      <c r="P78" s="20" t="n">
        <v>0</v>
      </c>
      <c r="Q78" s="18" t="n">
        <v>0.70576014</v>
      </c>
      <c r="R78" s="20" t="n">
        <v>0.33230032</v>
      </c>
    </row>
    <row r="79" spans="1:18">
      <c r="A79" s="15" t="s">
        <v>639</v>
      </c>
      <c r="B79" s="17" t="n">
        <v>3154</v>
      </c>
      <c r="C79" s="18">
        <f>(2860.0/B79*100)</f>
        <v/>
      </c>
      <c r="D79" s="19" t="n">
        <v>294</v>
      </c>
      <c r="E79" s="18" t="n">
        <v>65.99778203</v>
      </c>
      <c r="F79" s="20" t="n">
        <v>2.78371203</v>
      </c>
      <c r="G79" s="18" t="n">
        <v>29.53586157</v>
      </c>
      <c r="H79" s="20" t="n">
        <v>2.74577736</v>
      </c>
      <c r="I79" s="18" t="n">
        <v>0</v>
      </c>
      <c r="J79" s="20" t="n">
        <v>0</v>
      </c>
      <c r="K79" s="18" t="n">
        <v>2.89650004</v>
      </c>
      <c r="L79" s="20" t="n">
        <v>1.08477821</v>
      </c>
      <c r="M79" s="18" t="n">
        <v>0</v>
      </c>
      <c r="N79" s="20" t="n">
        <v>0</v>
      </c>
      <c r="O79" s="18" t="n">
        <v>0</v>
      </c>
      <c r="P79" s="20" t="n">
        <v>0</v>
      </c>
      <c r="Q79" s="18" t="n">
        <v>1.56985636</v>
      </c>
      <c r="R79" s="20" t="n">
        <v>0.76835197</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(14277.0/B82*100)</f>
        <v/>
      </c>
      <c r="D82" s="19" t="n">
        <v>1684</v>
      </c>
      <c r="E82" s="18" t="n">
        <v>54.5790738</v>
      </c>
      <c r="F82" s="20" t="n">
        <v>1.77720046</v>
      </c>
      <c r="G82" s="18" t="n">
        <v>42.99026559</v>
      </c>
      <c r="H82" s="20" t="n">
        <v>1.72152592</v>
      </c>
      <c r="I82" s="18" t="n">
        <v>0</v>
      </c>
      <c r="J82" s="20" t="n">
        <v>0</v>
      </c>
      <c r="K82" s="18" t="n">
        <v>1.00921373</v>
      </c>
      <c r="L82" s="20" t="n">
        <v>0.35475819</v>
      </c>
      <c r="M82" s="18" t="n">
        <v>0</v>
      </c>
      <c r="N82" s="20" t="n">
        <v>0</v>
      </c>
      <c r="O82" s="18" t="n">
        <v>0</v>
      </c>
      <c r="P82" s="20" t="n">
        <v>0</v>
      </c>
      <c r="Q82" s="18" t="n">
        <v>1.42144689</v>
      </c>
      <c r="R82" s="20" t="n">
        <v>0.54981915</v>
      </c>
    </row>
    <row r="83" spans="1:18">
      <c r="A83" s="15" t="s">
        <v>643</v>
      </c>
      <c r="B83" s="17" t="n">
        <v>808</v>
      </c>
      <c r="C83" s="18">
        <f>(723.0/B83*100)</f>
        <v/>
      </c>
      <c r="D83" s="19" t="n">
        <v>85</v>
      </c>
      <c r="E83" s="18" t="n">
        <v>50.73905459</v>
      </c>
      <c r="F83" s="20" t="n">
        <v>6.57927486</v>
      </c>
      <c r="G83" s="18" t="n">
        <v>49.26094541</v>
      </c>
      <c r="H83" s="20" t="n">
        <v>6.57927486</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(838.0/B84*100)</f>
        <v/>
      </c>
      <c r="D84" s="19" t="n">
        <v>100</v>
      </c>
      <c r="E84" s="18" t="n">
        <v>54.32614742</v>
      </c>
      <c r="F84" s="20" t="n">
        <v>4.9763069</v>
      </c>
      <c r="G84" s="18" t="n">
        <v>44.31380974</v>
      </c>
      <c r="H84" s="20" t="n">
        <v>4.79867083</v>
      </c>
      <c r="I84" s="18" t="n">
        <v>0</v>
      </c>
      <c r="J84" s="20" t="n">
        <v>0</v>
      </c>
      <c r="K84" s="18" t="n">
        <v>1.36004284</v>
      </c>
      <c r="L84" s="20" t="n">
        <v>1.33013242</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692</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(6408.0/B7*100)</f>
        <v/>
      </c>
      <c r="D7" s="19" t="n">
        <v>755</v>
      </c>
      <c r="E7" s="18" t="n">
        <v>28.54369511</v>
      </c>
      <c r="F7" s="20" t="n">
        <v>1.91200615</v>
      </c>
      <c r="G7" s="18" t="n">
        <v>11.43156271</v>
      </c>
      <c r="H7" s="20" t="n">
        <v>1.27351567</v>
      </c>
      <c r="I7" s="18" t="n">
        <v>54.83091308</v>
      </c>
      <c r="J7" s="20" t="n">
        <v>2.00976426</v>
      </c>
      <c r="K7" s="18" t="n">
        <v>0</v>
      </c>
      <c r="L7" s="20" t="n">
        <v>0</v>
      </c>
      <c r="M7" s="18" t="n">
        <v>1.59886273</v>
      </c>
      <c r="N7" s="20" t="n">
        <v>0.51548698</v>
      </c>
      <c r="O7" s="18" t="n">
        <v>0.28871822</v>
      </c>
      <c r="P7" s="20" t="n">
        <v>0.31534309</v>
      </c>
      <c r="Q7" s="18" t="n">
        <v>0</v>
      </c>
      <c r="R7" s="20" t="n">
        <v>0</v>
      </c>
      <c r="S7" s="18" t="n">
        <v>3.30624814</v>
      </c>
      <c r="T7" s="20" t="n">
        <v>0.69586212</v>
      </c>
    </row>
    <row r="8" spans="1:20">
      <c r="A8" s="15" t="s">
        <v>566</v>
      </c>
      <c r="B8" s="17" t="n">
        <v>3443</v>
      </c>
      <c r="C8" s="18">
        <f>(3064.0/B8*100)</f>
        <v/>
      </c>
      <c r="D8" s="19" t="n">
        <v>379</v>
      </c>
      <c r="E8" s="18" t="n">
        <v>46.68027374</v>
      </c>
      <c r="F8" s="20" t="n">
        <v>2.69082968</v>
      </c>
      <c r="G8" s="18" t="n">
        <v>3.72084575</v>
      </c>
      <c r="H8" s="20" t="n">
        <v>1.15962736</v>
      </c>
      <c r="I8" s="18" t="n">
        <v>46.29163997</v>
      </c>
      <c r="J8" s="20" t="n">
        <v>2.76782344</v>
      </c>
      <c r="K8" s="18" t="n">
        <v>0</v>
      </c>
      <c r="L8" s="20" t="n">
        <v>0</v>
      </c>
      <c r="M8" s="18" t="n">
        <v>1.32447817</v>
      </c>
      <c r="N8" s="20" t="n">
        <v>0.62325295</v>
      </c>
      <c r="O8" s="18" t="n">
        <v>0</v>
      </c>
      <c r="P8" s="20" t="n">
        <v>0</v>
      </c>
      <c r="Q8" s="18" t="n">
        <v>0</v>
      </c>
      <c r="R8" s="20" t="n">
        <v>0</v>
      </c>
      <c r="S8" s="18" t="n">
        <v>1.98276238</v>
      </c>
      <c r="T8" s="20" t="n">
        <v>0.7468946</v>
      </c>
    </row>
    <row r="9" spans="1:20">
      <c r="A9" s="15" t="s">
        <v>567</v>
      </c>
      <c r="B9" s="17" t="n">
        <v>4752</v>
      </c>
      <c r="C9" s="18">
        <f>(4267.0/B9*100)</f>
        <v/>
      </c>
      <c r="D9" s="19" t="n">
        <v>485</v>
      </c>
      <c r="E9" s="18" t="n">
        <v>23.36191733</v>
      </c>
      <c r="F9" s="20" t="n">
        <v>2.21697307</v>
      </c>
      <c r="G9" s="18" t="n">
        <v>5.67681718</v>
      </c>
      <c r="H9" s="20" t="n">
        <v>1.25101655</v>
      </c>
      <c r="I9" s="18" t="n">
        <v>68.59813626</v>
      </c>
      <c r="J9" s="20" t="n">
        <v>2.12819179</v>
      </c>
      <c r="K9" s="18" t="n">
        <v>0</v>
      </c>
      <c r="L9" s="20" t="n">
        <v>0</v>
      </c>
      <c r="M9" s="18" t="n">
        <v>0.39706967</v>
      </c>
      <c r="N9" s="20" t="n">
        <v>0.3286969</v>
      </c>
      <c r="O9" s="18" t="n">
        <v>0</v>
      </c>
      <c r="P9" s="20" t="n">
        <v>0</v>
      </c>
      <c r="Q9" s="18" t="n">
        <v>0</v>
      </c>
      <c r="R9" s="20" t="n">
        <v>0</v>
      </c>
      <c r="S9" s="18" t="n">
        <v>1.96605956</v>
      </c>
      <c r="T9" s="20" t="n">
        <v>0.59930249</v>
      </c>
    </row>
    <row r="10" spans="1:20">
      <c r="A10" s="15" t="s">
        <v>568</v>
      </c>
      <c r="B10" s="17" t="n">
        <v>10022</v>
      </c>
      <c r="C10" s="18">
        <f>(8901.0/B10*100)</f>
        <v/>
      </c>
      <c r="D10" s="19" t="n">
        <v>1121</v>
      </c>
      <c r="E10" s="18" t="n">
        <v>26.65167939</v>
      </c>
      <c r="F10" s="20" t="n">
        <v>1.89807755</v>
      </c>
      <c r="G10" s="18" t="n">
        <v>6.15827417</v>
      </c>
      <c r="H10" s="20" t="n">
        <v>0.92868284</v>
      </c>
      <c r="I10" s="18" t="n">
        <v>65.54179832</v>
      </c>
      <c r="J10" s="20" t="n">
        <v>1.92713744</v>
      </c>
      <c r="K10" s="18" t="n">
        <v>0</v>
      </c>
      <c r="L10" s="20" t="n">
        <v>0</v>
      </c>
      <c r="M10" s="18" t="n">
        <v>0.940431</v>
      </c>
      <c r="N10" s="20" t="n">
        <v>0.56275054</v>
      </c>
      <c r="O10" s="18" t="n">
        <v>0.01240378</v>
      </c>
      <c r="P10" s="20" t="n">
        <v>0.01253084</v>
      </c>
      <c r="Q10" s="18" t="n">
        <v>0</v>
      </c>
      <c r="R10" s="20" t="n">
        <v>0</v>
      </c>
      <c r="S10" s="18" t="n">
        <v>0.69541334</v>
      </c>
      <c r="T10" s="20" t="n">
        <v>0.33193429</v>
      </c>
    </row>
    <row r="11" spans="1:20">
      <c r="A11" s="15" t="s">
        <v>569</v>
      </c>
      <c r="B11" s="17" t="n">
        <v>3500</v>
      </c>
      <c r="C11" s="18">
        <f>(3153.0/B11*100)</f>
        <v/>
      </c>
      <c r="D11" s="19" t="n">
        <v>347</v>
      </c>
      <c r="E11" s="18" t="n">
        <v>50.65710423</v>
      </c>
      <c r="F11" s="20" t="n">
        <v>3.09809689</v>
      </c>
      <c r="G11" s="18" t="n">
        <v>17.84240198</v>
      </c>
      <c r="H11" s="20" t="n">
        <v>2.22158052</v>
      </c>
      <c r="I11" s="18" t="n">
        <v>26.54833867</v>
      </c>
      <c r="J11" s="20" t="n">
        <v>2.64119598</v>
      </c>
      <c r="K11" s="18" t="n">
        <v>0</v>
      </c>
      <c r="L11" s="20" t="n">
        <v>0</v>
      </c>
      <c r="M11" s="18" t="n">
        <v>3.39919647</v>
      </c>
      <c r="N11" s="20" t="n">
        <v>1.17199737</v>
      </c>
      <c r="O11" s="18" t="n">
        <v>0</v>
      </c>
      <c r="P11" s="20" t="n">
        <v>0</v>
      </c>
      <c r="Q11" s="18" t="n">
        <v>0</v>
      </c>
      <c r="R11" s="20" t="n">
        <v>0</v>
      </c>
      <c r="S11" s="18" t="n">
        <v>1.55295865</v>
      </c>
      <c r="T11" s="20" t="n">
        <v>0.56613543</v>
      </c>
    </row>
    <row r="12" spans="1:20">
      <c r="A12" s="15" t="s">
        <v>570</v>
      </c>
      <c r="B12" s="17" t="n">
        <v>3422</v>
      </c>
      <c r="C12" s="18">
        <f>(3063.0/B12*100)</f>
        <v/>
      </c>
      <c r="D12" s="19" t="n">
        <v>359</v>
      </c>
      <c r="E12" s="18" t="n">
        <v>44.97914636</v>
      </c>
      <c r="F12" s="20" t="n">
        <v>2.71784986</v>
      </c>
      <c r="G12" s="18" t="n">
        <v>14.33510374</v>
      </c>
      <c r="H12" s="20" t="n">
        <v>2.06148467</v>
      </c>
      <c r="I12" s="18" t="n">
        <v>38.6725672</v>
      </c>
      <c r="J12" s="20" t="n">
        <v>2.70927224</v>
      </c>
      <c r="K12" s="18" t="n">
        <v>0</v>
      </c>
      <c r="L12" s="20" t="n">
        <v>0</v>
      </c>
      <c r="M12" s="18" t="n">
        <v>0.80819914</v>
      </c>
      <c r="N12" s="20" t="n">
        <v>0.60137272</v>
      </c>
      <c r="O12" s="18" t="n">
        <v>0</v>
      </c>
      <c r="P12" s="20" t="n">
        <v>0</v>
      </c>
      <c r="Q12" s="18" t="n">
        <v>0</v>
      </c>
      <c r="R12" s="20" t="n">
        <v>0</v>
      </c>
      <c r="S12" s="18" t="n">
        <v>1.20498356</v>
      </c>
      <c r="T12" s="20" t="n">
        <v>0.65647513</v>
      </c>
    </row>
    <row r="13" spans="1:20">
      <c r="A13" s="15" t="s">
        <v>571</v>
      </c>
      <c r="B13" s="17" t="n">
        <v>3602</v>
      </c>
      <c r="C13" s="18">
        <f>(3206.0/B13*100)</f>
        <v/>
      </c>
      <c r="D13" s="19" t="n">
        <v>396</v>
      </c>
      <c r="E13" s="18" t="n">
        <v>31.82586099</v>
      </c>
      <c r="F13" s="20" t="n">
        <v>2.53194302</v>
      </c>
      <c r="G13" s="18" t="n">
        <v>3.29743561</v>
      </c>
      <c r="H13" s="20" t="n">
        <v>1.11532609</v>
      </c>
      <c r="I13" s="18" t="n">
        <v>62.82367147</v>
      </c>
      <c r="J13" s="20" t="n">
        <v>2.78156005</v>
      </c>
      <c r="K13" s="18" t="n">
        <v>0</v>
      </c>
      <c r="L13" s="20" t="n">
        <v>0</v>
      </c>
      <c r="M13" s="18" t="n">
        <v>0.5250632200000001</v>
      </c>
      <c r="N13" s="20" t="n">
        <v>0.07932851</v>
      </c>
      <c r="O13" s="18" t="n">
        <v>0</v>
      </c>
      <c r="P13" s="20" t="n">
        <v>0</v>
      </c>
      <c r="Q13" s="18" t="n">
        <v>0</v>
      </c>
      <c r="R13" s="20" t="n">
        <v>0</v>
      </c>
      <c r="S13" s="18" t="n">
        <v>1.5279687</v>
      </c>
      <c r="T13" s="20" t="n">
        <v>0.55008479</v>
      </c>
    </row>
    <row r="14" spans="1:20">
      <c r="A14" s="15" t="s">
        <v>572</v>
      </c>
      <c r="B14" s="17" t="n">
        <v>2788</v>
      </c>
      <c r="C14" s="18">
        <f>(2475.0/B14*100)</f>
        <v/>
      </c>
      <c r="D14" s="19" t="n">
        <v>313</v>
      </c>
      <c r="E14" s="18" t="n">
        <v>15.458602</v>
      </c>
      <c r="F14" s="20" t="n">
        <v>2.08176167</v>
      </c>
      <c r="G14" s="18" t="n">
        <v>26.79323212</v>
      </c>
      <c r="H14" s="20" t="n">
        <v>2.73792667</v>
      </c>
      <c r="I14" s="18" t="n">
        <v>57.49484823</v>
      </c>
      <c r="J14" s="20" t="n">
        <v>2.93308835</v>
      </c>
      <c r="K14" s="18" t="n">
        <v>0</v>
      </c>
      <c r="L14" s="20" t="n">
        <v>0</v>
      </c>
      <c r="M14" s="18" t="n">
        <v>0.25331764</v>
      </c>
      <c r="N14" s="20" t="n">
        <v>0.25139121</v>
      </c>
      <c r="O14" s="18" t="n">
        <v>0</v>
      </c>
      <c r="P14" s="20" t="n">
        <v>0</v>
      </c>
      <c r="Q14" s="18" t="n">
        <v>0</v>
      </c>
      <c r="R14" s="20" t="n">
        <v>0</v>
      </c>
      <c r="S14" s="18" t="n">
        <v>0</v>
      </c>
      <c r="T14" s="20" t="n">
        <v>0</v>
      </c>
    </row>
    <row r="15" spans="1:20">
      <c r="A15" s="15" t="s">
        <v>573</v>
      </c>
      <c r="B15" s="17" t="n">
        <v>2863</v>
      </c>
      <c r="C15" s="18">
        <f>(2563.0/B15*100)</f>
        <v/>
      </c>
      <c r="D15" s="19" t="n">
        <v>300</v>
      </c>
      <c r="E15" s="18" t="n">
        <v>28.48149174</v>
      </c>
      <c r="F15" s="20" t="n">
        <v>2.4865616</v>
      </c>
      <c r="G15" s="18" t="n">
        <v>3.40858762</v>
      </c>
      <c r="H15" s="20" t="n">
        <v>0.9747547600000001</v>
      </c>
      <c r="I15" s="18" t="n">
        <v>66.78954508</v>
      </c>
      <c r="J15" s="20" t="n">
        <v>2.47384796</v>
      </c>
      <c r="K15" s="18" t="n">
        <v>0</v>
      </c>
      <c r="L15" s="20" t="n">
        <v>0</v>
      </c>
      <c r="M15" s="18" t="n">
        <v>0.28499283</v>
      </c>
      <c r="N15" s="20" t="n">
        <v>0.29309779</v>
      </c>
      <c r="O15" s="18" t="n">
        <v>0</v>
      </c>
      <c r="P15" s="20" t="n">
        <v>0</v>
      </c>
      <c r="Q15" s="18" t="n">
        <v>0</v>
      </c>
      <c r="R15" s="20" t="n">
        <v>0</v>
      </c>
      <c r="S15" s="18" t="n">
        <v>1.03538274</v>
      </c>
      <c r="T15" s="20" t="n">
        <v>0.59450538</v>
      </c>
    </row>
    <row r="16" spans="1:20">
      <c r="A16" s="15" t="s">
        <v>574</v>
      </c>
      <c r="B16" s="17" t="n">
        <v>3111</v>
      </c>
      <c r="C16" s="18">
        <f>(2781.0/B16*100)</f>
        <v/>
      </c>
      <c r="D16" s="19" t="n">
        <v>330</v>
      </c>
      <c r="E16" s="18" t="n">
        <v>21.08676213</v>
      </c>
      <c r="F16" s="20" t="n">
        <v>2.73257646</v>
      </c>
      <c r="G16" s="18" t="n">
        <v>2.74405092</v>
      </c>
      <c r="H16" s="20" t="n">
        <v>0.84556045</v>
      </c>
      <c r="I16" s="18" t="n">
        <v>72.19729364</v>
      </c>
      <c r="J16" s="20" t="n">
        <v>2.98249281</v>
      </c>
      <c r="K16" s="18" t="n">
        <v>0</v>
      </c>
      <c r="L16" s="20" t="n">
        <v>0</v>
      </c>
      <c r="M16" s="18" t="n">
        <v>1.60124517</v>
      </c>
      <c r="N16" s="20" t="n">
        <v>0.79959</v>
      </c>
      <c r="O16" s="18" t="n">
        <v>0</v>
      </c>
      <c r="P16" s="20" t="n">
        <v>0</v>
      </c>
      <c r="Q16" s="18" t="n">
        <v>0</v>
      </c>
      <c r="R16" s="20" t="n">
        <v>0</v>
      </c>
      <c r="S16" s="18" t="n">
        <v>2.37064815</v>
      </c>
      <c r="T16" s="20" t="n">
        <v>0.94075477</v>
      </c>
    </row>
    <row r="17" spans="1:20">
      <c r="A17" s="15" t="s">
        <v>575</v>
      </c>
      <c r="B17" s="17" t="n">
        <v>3197</v>
      </c>
      <c r="C17" s="18">
        <f>(2853.0/B17*100)</f>
        <v/>
      </c>
      <c r="D17" s="19" t="n">
        <v>344</v>
      </c>
      <c r="E17" s="18" t="n">
        <v>35.18872487</v>
      </c>
      <c r="F17" s="20" t="n">
        <v>2.42434639</v>
      </c>
      <c r="G17" s="18" t="n">
        <v>5.53102288</v>
      </c>
      <c r="H17" s="20" t="n">
        <v>1.29666819</v>
      </c>
      <c r="I17" s="18" t="n">
        <v>57.23129096</v>
      </c>
      <c r="J17" s="20" t="n">
        <v>2.58505276</v>
      </c>
      <c r="K17" s="18" t="n">
        <v>0</v>
      </c>
      <c r="L17" s="20" t="n">
        <v>0</v>
      </c>
      <c r="M17" s="18" t="n">
        <v>0.29540461</v>
      </c>
      <c r="N17" s="20" t="n">
        <v>0.29076787</v>
      </c>
      <c r="O17" s="18" t="n">
        <v>0</v>
      </c>
      <c r="P17" s="20" t="n">
        <v>0</v>
      </c>
      <c r="Q17" s="18" t="n">
        <v>0</v>
      </c>
      <c r="R17" s="20" t="n">
        <v>0</v>
      </c>
      <c r="S17" s="18" t="n">
        <v>1.75355669</v>
      </c>
      <c r="T17" s="20" t="n">
        <v>0.80229405</v>
      </c>
    </row>
    <row r="18" spans="1:20">
      <c r="A18" s="15" t="s">
        <v>576</v>
      </c>
      <c r="B18" s="17" t="n">
        <v>2706</v>
      </c>
      <c r="C18" s="18">
        <f>(2423.0/B18*100)</f>
        <v/>
      </c>
      <c r="D18" s="19" t="n">
        <v>283</v>
      </c>
      <c r="E18" s="18" t="n">
        <v>43.80767318</v>
      </c>
      <c r="F18" s="20" t="n">
        <v>3.05159101</v>
      </c>
      <c r="G18" s="18" t="n">
        <v>7.27837467</v>
      </c>
      <c r="H18" s="20" t="n">
        <v>1.6591282</v>
      </c>
      <c r="I18" s="18" t="n">
        <v>47.0084878</v>
      </c>
      <c r="J18" s="20" t="n">
        <v>2.94171759</v>
      </c>
      <c r="K18" s="18" t="n">
        <v>0</v>
      </c>
      <c r="L18" s="20" t="n">
        <v>0</v>
      </c>
      <c r="M18" s="18" t="n">
        <v>0.63853655</v>
      </c>
      <c r="N18" s="20" t="n">
        <v>0.45055061</v>
      </c>
      <c r="O18" s="18" t="n">
        <v>0</v>
      </c>
      <c r="P18" s="20" t="n">
        <v>0</v>
      </c>
      <c r="Q18" s="18" t="n">
        <v>0</v>
      </c>
      <c r="R18" s="20" t="n">
        <v>0</v>
      </c>
      <c r="S18" s="18" t="n">
        <v>1.26692781</v>
      </c>
      <c r="T18" s="20" t="n">
        <v>0.73157845</v>
      </c>
    </row>
    <row r="19" spans="1:20">
      <c r="A19" s="15" t="s">
        <v>577</v>
      </c>
      <c r="B19" s="17" t="n">
        <v>2850</v>
      </c>
      <c r="C19" s="18">
        <f>(2549.0/B19*100)</f>
        <v/>
      </c>
      <c r="D19" s="19" t="n">
        <v>301</v>
      </c>
      <c r="E19" s="18" t="n">
        <v>34.7510597</v>
      </c>
      <c r="F19" s="20" t="n">
        <v>2.93157654</v>
      </c>
      <c r="G19" s="18" t="n">
        <v>5.23765365</v>
      </c>
      <c r="H19" s="20" t="n">
        <v>1.28121138</v>
      </c>
      <c r="I19" s="18" t="n">
        <v>58.56891411</v>
      </c>
      <c r="J19" s="20" t="n">
        <v>2.79137813</v>
      </c>
      <c r="K19" s="18" t="n">
        <v>0</v>
      </c>
      <c r="L19" s="20" t="n">
        <v>0</v>
      </c>
      <c r="M19" s="18" t="n">
        <v>0</v>
      </c>
      <c r="N19" s="20" t="n">
        <v>0</v>
      </c>
      <c r="O19" s="18" t="n">
        <v>0</v>
      </c>
      <c r="P19" s="20" t="n">
        <v>0</v>
      </c>
      <c r="Q19" s="18" t="n">
        <v>0</v>
      </c>
      <c r="R19" s="20" t="n">
        <v>0</v>
      </c>
      <c r="S19" s="18" t="n">
        <v>1.44237253</v>
      </c>
      <c r="T19" s="20" t="n">
        <v>0.9368169200000001</v>
      </c>
    </row>
    <row r="20" spans="1:20">
      <c r="A20" s="15" t="s">
        <v>578</v>
      </c>
      <c r="B20" s="17" t="n">
        <v>1741</v>
      </c>
      <c r="C20" s="18">
        <f>(1526.0/B20*100)</f>
        <v/>
      </c>
      <c r="D20" s="19" t="n">
        <v>215</v>
      </c>
      <c r="E20" s="18" t="n">
        <v>61.89309945</v>
      </c>
      <c r="F20" s="20" t="n">
        <v>2.94058636</v>
      </c>
      <c r="G20" s="18" t="n">
        <v>2.70298665</v>
      </c>
      <c r="H20" s="20" t="n">
        <v>1.1191917</v>
      </c>
      <c r="I20" s="18" t="n">
        <v>32.04408233</v>
      </c>
      <c r="J20" s="20" t="n">
        <v>2.97144424</v>
      </c>
      <c r="K20" s="18" t="n">
        <v>0</v>
      </c>
      <c r="L20" s="20" t="n">
        <v>0</v>
      </c>
      <c r="M20" s="18" t="n">
        <v>0.39421734</v>
      </c>
      <c r="N20" s="20" t="n">
        <v>0.3877582</v>
      </c>
      <c r="O20" s="18" t="n">
        <v>0</v>
      </c>
      <c r="P20" s="20" t="n">
        <v>0</v>
      </c>
      <c r="Q20" s="18" t="n">
        <v>0</v>
      </c>
      <c r="R20" s="20" t="n">
        <v>0</v>
      </c>
      <c r="S20" s="18" t="n">
        <v>2.96561424</v>
      </c>
      <c r="T20" s="20" t="n">
        <v>1.20867749</v>
      </c>
    </row>
    <row r="21" spans="1:20">
      <c r="A21" s="15" t="s">
        <v>579</v>
      </c>
      <c r="B21" s="17" t="n">
        <v>2833</v>
      </c>
      <c r="C21" s="18">
        <f>(2531.0/B21*100)</f>
        <v/>
      </c>
      <c r="D21" s="19" t="n">
        <v>302</v>
      </c>
      <c r="E21" s="18" t="n">
        <v>15.31624994</v>
      </c>
      <c r="F21" s="20" t="n">
        <v>2.00775167</v>
      </c>
      <c r="G21" s="18" t="n">
        <v>8.27032425</v>
      </c>
      <c r="H21" s="20" t="n">
        <v>1.58806065</v>
      </c>
      <c r="I21" s="18" t="n">
        <v>75.75888706000001</v>
      </c>
      <c r="J21" s="20" t="n">
        <v>2.23436401</v>
      </c>
      <c r="K21" s="18" t="n">
        <v>0</v>
      </c>
      <c r="L21" s="20" t="n">
        <v>0</v>
      </c>
      <c r="M21" s="18" t="n">
        <v>0.65453876</v>
      </c>
      <c r="N21" s="20" t="n">
        <v>0.58100881</v>
      </c>
      <c r="O21" s="18" t="n">
        <v>0</v>
      </c>
      <c r="P21" s="20" t="n">
        <v>0</v>
      </c>
      <c r="Q21" s="18" t="n">
        <v>0</v>
      </c>
      <c r="R21" s="20" t="n">
        <v>0</v>
      </c>
      <c r="S21" s="18" t="n">
        <v>0</v>
      </c>
      <c r="T21" s="20" t="n">
        <v>0</v>
      </c>
    </row>
    <row r="22" spans="1:20">
      <c r="A22" s="15" t="s">
        <v>580</v>
      </c>
      <c r="B22" s="17" t="n">
        <v>3667</v>
      </c>
      <c r="C22" s="18">
        <f>(3258.0/B22*100)</f>
        <v/>
      </c>
      <c r="D22" s="19" t="n">
        <v>409</v>
      </c>
      <c r="E22" s="18" t="n">
        <v>41.27944523</v>
      </c>
      <c r="F22" s="20" t="n">
        <v>3.17321374</v>
      </c>
      <c r="G22" s="18" t="n">
        <v>5.65454219</v>
      </c>
      <c r="H22" s="20" t="n">
        <v>1.10709184</v>
      </c>
      <c r="I22" s="18" t="n">
        <v>49.77682612</v>
      </c>
      <c r="J22" s="20" t="n">
        <v>2.85413413</v>
      </c>
      <c r="K22" s="18" t="n">
        <v>0</v>
      </c>
      <c r="L22" s="20" t="n">
        <v>0</v>
      </c>
      <c r="M22" s="18" t="n">
        <v>1.10046786</v>
      </c>
      <c r="N22" s="20" t="n">
        <v>0.49834382</v>
      </c>
      <c r="O22" s="18" t="n">
        <v>0</v>
      </c>
      <c r="P22" s="20" t="n">
        <v>0</v>
      </c>
      <c r="Q22" s="18" t="n">
        <v>0</v>
      </c>
      <c r="R22" s="20" t="n">
        <v>0</v>
      </c>
      <c r="S22" s="18" t="n">
        <v>2.1887186</v>
      </c>
      <c r="T22" s="20" t="n">
        <v>0.95162371</v>
      </c>
    </row>
    <row r="23" spans="1:20">
      <c r="A23" s="15" t="s">
        <v>581</v>
      </c>
      <c r="B23" s="17" t="n">
        <v>5792</v>
      </c>
      <c r="C23" s="18">
        <f>(5167.0/B23*100)</f>
        <v/>
      </c>
      <c r="D23" s="19" t="n">
        <v>625</v>
      </c>
      <c r="E23" s="18" t="n">
        <v>37.09505546</v>
      </c>
      <c r="F23" s="20" t="n">
        <v>2.90847757</v>
      </c>
      <c r="G23" s="18" t="n">
        <v>3.29429392</v>
      </c>
      <c r="H23" s="20" t="n">
        <v>0.96315147</v>
      </c>
      <c r="I23" s="18" t="n">
        <v>52.35651306</v>
      </c>
      <c r="J23" s="20" t="n">
        <v>3.05203242</v>
      </c>
      <c r="K23" s="18" t="n">
        <v>0</v>
      </c>
      <c r="L23" s="20" t="n">
        <v>0</v>
      </c>
      <c r="M23" s="18" t="n">
        <v>2.78047234</v>
      </c>
      <c r="N23" s="20" t="n">
        <v>1.06421568</v>
      </c>
      <c r="O23" s="18" t="n">
        <v>0</v>
      </c>
      <c r="P23" s="20" t="n">
        <v>0</v>
      </c>
      <c r="Q23" s="18" t="n">
        <v>0</v>
      </c>
      <c r="R23" s="20" t="n">
        <v>0</v>
      </c>
      <c r="S23" s="18" t="n">
        <v>4.47366523</v>
      </c>
      <c r="T23" s="20" t="n">
        <v>1.48994511</v>
      </c>
    </row>
    <row r="24" spans="1:20">
      <c r="A24" s="15" t="s">
        <v>582</v>
      </c>
      <c r="B24" s="17" t="n">
        <v>3309</v>
      </c>
      <c r="C24" s="18">
        <f>(2959.0/B24*100)</f>
        <v/>
      </c>
      <c r="D24" s="19" t="n">
        <v>350</v>
      </c>
      <c r="E24" s="18" t="n">
        <v>21.65627207</v>
      </c>
      <c r="F24" s="20" t="n">
        <v>2.29392016</v>
      </c>
      <c r="G24" s="18" t="n">
        <v>6.70137646</v>
      </c>
      <c r="H24" s="20" t="n">
        <v>1.26696175</v>
      </c>
      <c r="I24" s="18" t="n">
        <v>68.26418375999999</v>
      </c>
      <c r="J24" s="20" t="n">
        <v>2.51242022</v>
      </c>
      <c r="K24" s="18" t="n">
        <v>0</v>
      </c>
      <c r="L24" s="20" t="n">
        <v>0</v>
      </c>
      <c r="M24" s="18" t="n">
        <v>0.6208564</v>
      </c>
      <c r="N24" s="20" t="n">
        <v>0.44500909</v>
      </c>
      <c r="O24" s="18" t="n">
        <v>0</v>
      </c>
      <c r="P24" s="20" t="n">
        <v>0</v>
      </c>
      <c r="Q24" s="18" t="n">
        <v>0</v>
      </c>
      <c r="R24" s="20" t="n">
        <v>0</v>
      </c>
      <c r="S24" s="18" t="n">
        <v>2.7573113</v>
      </c>
      <c r="T24" s="20" t="n">
        <v>0.82586531</v>
      </c>
    </row>
    <row r="25" spans="1:20">
      <c r="A25" s="15" t="s">
        <v>583</v>
      </c>
      <c r="B25" s="17" t="n">
        <v>2669</v>
      </c>
      <c r="C25" s="18">
        <f>(2362.0/B25*100)</f>
        <v/>
      </c>
      <c r="D25" s="19" t="n">
        <v>307</v>
      </c>
      <c r="E25" s="18" t="n">
        <v>23.49987809</v>
      </c>
      <c r="F25" s="20" t="n">
        <v>2.68174134</v>
      </c>
      <c r="G25" s="18" t="n">
        <v>2.95799487</v>
      </c>
      <c r="H25" s="20" t="n">
        <v>0.9362438</v>
      </c>
      <c r="I25" s="18" t="n">
        <v>73.21265725000001</v>
      </c>
      <c r="J25" s="20" t="n">
        <v>2.70351726</v>
      </c>
      <c r="K25" s="18" t="n">
        <v>0</v>
      </c>
      <c r="L25" s="20" t="n">
        <v>0</v>
      </c>
      <c r="M25" s="18" t="n">
        <v>0.28528329</v>
      </c>
      <c r="N25" s="20" t="n">
        <v>0.28424248</v>
      </c>
      <c r="O25" s="18" t="n">
        <v>0</v>
      </c>
      <c r="P25" s="20" t="n">
        <v>0</v>
      </c>
      <c r="Q25" s="18" t="n">
        <v>0</v>
      </c>
      <c r="R25" s="20" t="n">
        <v>0</v>
      </c>
      <c r="S25" s="18" t="n">
        <v>0.0441865</v>
      </c>
      <c r="T25" s="20" t="n">
        <v>0.04442956</v>
      </c>
    </row>
    <row r="26" spans="1:20">
      <c r="A26" s="15" t="s">
        <v>584</v>
      </c>
      <c r="B26" s="17" t="n">
        <v>2419</v>
      </c>
      <c r="C26" s="18">
        <f>(2163.0/B26*100)</f>
        <v/>
      </c>
      <c r="D26" s="19" t="n">
        <v>256</v>
      </c>
      <c r="E26" s="18" t="n">
        <v>18.82998228</v>
      </c>
      <c r="F26" s="20" t="n">
        <v>2.45968779</v>
      </c>
      <c r="G26" s="18" t="n">
        <v>30.13705903</v>
      </c>
      <c r="H26" s="20" t="n">
        <v>2.88263742</v>
      </c>
      <c r="I26" s="18" t="n">
        <v>50.72826373</v>
      </c>
      <c r="J26" s="20" t="n">
        <v>3.39249268</v>
      </c>
      <c r="K26" s="18" t="n">
        <v>0</v>
      </c>
      <c r="L26" s="20" t="n">
        <v>0</v>
      </c>
      <c r="M26" s="18" t="n">
        <v>0.30469497</v>
      </c>
      <c r="N26" s="20" t="n">
        <v>0.33227493</v>
      </c>
      <c r="O26" s="18" t="n">
        <v>0</v>
      </c>
      <c r="P26" s="20" t="n">
        <v>0</v>
      </c>
      <c r="Q26" s="18" t="n">
        <v>0</v>
      </c>
      <c r="R26" s="20" t="n">
        <v>0</v>
      </c>
      <c r="S26" s="18" t="n">
        <v>0</v>
      </c>
      <c r="T26" s="20" t="n">
        <v>0</v>
      </c>
    </row>
    <row r="27" spans="1:20">
      <c r="A27" s="15" t="s">
        <v>585</v>
      </c>
      <c r="B27" s="17" t="n">
        <v>2683</v>
      </c>
      <c r="C27" s="18">
        <f>(2384.0/B27*100)</f>
        <v/>
      </c>
      <c r="D27" s="19" t="n">
        <v>299</v>
      </c>
      <c r="E27" s="18" t="n">
        <v>34.41846111</v>
      </c>
      <c r="F27" s="20" t="n">
        <v>2.93573284</v>
      </c>
      <c r="G27" s="18" t="n">
        <v>3.32246393</v>
      </c>
      <c r="H27" s="20" t="n">
        <v>1.03145208</v>
      </c>
      <c r="I27" s="18" t="n">
        <v>57.21079681</v>
      </c>
      <c r="J27" s="20" t="n">
        <v>2.90899081</v>
      </c>
      <c r="K27" s="18" t="n">
        <v>0</v>
      </c>
      <c r="L27" s="20" t="n">
        <v>0</v>
      </c>
      <c r="M27" s="18" t="n">
        <v>0.67450292</v>
      </c>
      <c r="N27" s="20" t="n">
        <v>0.47065536</v>
      </c>
      <c r="O27" s="18" t="n">
        <v>0</v>
      </c>
      <c r="P27" s="20" t="n">
        <v>0</v>
      </c>
      <c r="Q27" s="18" t="n">
        <v>0</v>
      </c>
      <c r="R27" s="20" t="n">
        <v>0</v>
      </c>
      <c r="S27" s="18" t="n">
        <v>4.37377524</v>
      </c>
      <c r="T27" s="20" t="n">
        <v>1.19273955</v>
      </c>
    </row>
    <row r="28" spans="1:20">
      <c r="A28" s="15" t="s">
        <v>586</v>
      </c>
      <c r="B28" s="17" t="n">
        <v>3803</v>
      </c>
      <c r="C28" s="18">
        <f>(3448.0/B28*100)</f>
        <v/>
      </c>
      <c r="D28" s="19" t="n">
        <v>355</v>
      </c>
      <c r="E28" s="18" t="n">
        <v>67.87257185999999</v>
      </c>
      <c r="F28" s="20" t="n">
        <v>2.6450563</v>
      </c>
      <c r="G28" s="18" t="n">
        <v>10.25531506</v>
      </c>
      <c r="H28" s="20" t="n">
        <v>1.38538634</v>
      </c>
      <c r="I28" s="18" t="n">
        <v>18.88831557</v>
      </c>
      <c r="J28" s="20" t="n">
        <v>2.22579728</v>
      </c>
      <c r="K28" s="18" t="n">
        <v>0</v>
      </c>
      <c r="L28" s="20" t="n">
        <v>0</v>
      </c>
      <c r="M28" s="18" t="n">
        <v>2.3170197</v>
      </c>
      <c r="N28" s="20" t="n">
        <v>0.9098627500000001</v>
      </c>
      <c r="O28" s="18" t="n">
        <v>0</v>
      </c>
      <c r="P28" s="20" t="n">
        <v>0</v>
      </c>
      <c r="Q28" s="18" t="n">
        <v>0</v>
      </c>
      <c r="R28" s="20" t="n">
        <v>0</v>
      </c>
      <c r="S28" s="18" t="n">
        <v>0.66677781</v>
      </c>
      <c r="T28" s="20" t="n">
        <v>0.46858029</v>
      </c>
    </row>
    <row r="29" spans="1:20">
      <c r="A29" s="15" t="s">
        <v>587</v>
      </c>
      <c r="B29" s="17" t="n">
        <v>2700</v>
      </c>
      <c r="C29" s="18">
        <f>(2408.0/B29*100)</f>
        <v/>
      </c>
      <c r="D29" s="19" t="n">
        <v>292</v>
      </c>
      <c r="E29" s="18" t="n">
        <v>33.32457929</v>
      </c>
      <c r="F29" s="20" t="n">
        <v>3.1726046</v>
      </c>
      <c r="G29" s="18" t="n">
        <v>9.11563653</v>
      </c>
      <c r="H29" s="20" t="n">
        <v>1.90694423</v>
      </c>
      <c r="I29" s="18" t="n">
        <v>55.8658394</v>
      </c>
      <c r="J29" s="20" t="n">
        <v>3.03992206</v>
      </c>
      <c r="K29" s="18" t="n">
        <v>0</v>
      </c>
      <c r="L29" s="20" t="n">
        <v>0</v>
      </c>
      <c r="M29" s="18" t="n">
        <v>0.9430428199999999</v>
      </c>
      <c r="N29" s="20" t="n">
        <v>0.5567986700000001</v>
      </c>
      <c r="O29" s="18" t="n">
        <v>0</v>
      </c>
      <c r="P29" s="20" t="n">
        <v>0</v>
      </c>
      <c r="Q29" s="18" t="n">
        <v>0</v>
      </c>
      <c r="R29" s="20" t="n">
        <v>0</v>
      </c>
      <c r="S29" s="18" t="n">
        <v>0.75090196</v>
      </c>
      <c r="T29" s="20" t="n">
        <v>0.43477673</v>
      </c>
    </row>
    <row r="30" spans="1:20">
      <c r="A30" s="15" t="s">
        <v>588</v>
      </c>
      <c r="B30" s="17" t="n">
        <v>2257</v>
      </c>
      <c r="C30" s="18">
        <f>(2012.0/B30*100)</f>
        <v/>
      </c>
      <c r="D30" s="19" t="n">
        <v>245</v>
      </c>
      <c r="E30" s="18" t="n">
        <v>27.9368821</v>
      </c>
      <c r="F30" s="20" t="n">
        <v>3.53382183</v>
      </c>
      <c r="G30" s="18" t="n">
        <v>4.77279558</v>
      </c>
      <c r="H30" s="20" t="n">
        <v>1.40714467</v>
      </c>
      <c r="I30" s="18" t="n">
        <v>65.709914</v>
      </c>
      <c r="J30" s="20" t="n">
        <v>3.61562007</v>
      </c>
      <c r="K30" s="18" t="n">
        <v>0</v>
      </c>
      <c r="L30" s="20" t="n">
        <v>0</v>
      </c>
      <c r="M30" s="18" t="n">
        <v>0</v>
      </c>
      <c r="N30" s="20" t="n">
        <v>0</v>
      </c>
      <c r="O30" s="18" t="n">
        <v>0</v>
      </c>
      <c r="P30" s="20" t="n">
        <v>0</v>
      </c>
      <c r="Q30" s="18" t="n">
        <v>0</v>
      </c>
      <c r="R30" s="20" t="n">
        <v>0</v>
      </c>
      <c r="S30" s="18" t="n">
        <v>1.58040832</v>
      </c>
      <c r="T30" s="20" t="n">
        <v>0.69602305</v>
      </c>
    </row>
    <row r="31" spans="1:20">
      <c r="A31" s="15" t="s">
        <v>589</v>
      </c>
      <c r="B31" s="17" t="n">
        <v>2706</v>
      </c>
      <c r="C31" s="18">
        <f>(2419.0/B31*100)</f>
        <v/>
      </c>
      <c r="D31" s="19" t="n">
        <v>287</v>
      </c>
      <c r="E31" s="18" t="n">
        <v>46.8564726</v>
      </c>
      <c r="F31" s="20" t="n">
        <v>2.84139238</v>
      </c>
      <c r="G31" s="18" t="n">
        <v>4.48327363</v>
      </c>
      <c r="H31" s="20" t="n">
        <v>1.25658732</v>
      </c>
      <c r="I31" s="18" t="n">
        <v>44.59530437</v>
      </c>
      <c r="J31" s="20" t="n">
        <v>2.88307705</v>
      </c>
      <c r="K31" s="18" t="n">
        <v>0</v>
      </c>
      <c r="L31" s="20" t="n">
        <v>0</v>
      </c>
      <c r="M31" s="18" t="n">
        <v>2.37529058</v>
      </c>
      <c r="N31" s="20" t="n">
        <v>0.8921637100000001</v>
      </c>
      <c r="O31" s="18" t="n">
        <v>0</v>
      </c>
      <c r="P31" s="20" t="n">
        <v>0</v>
      </c>
      <c r="Q31" s="18" t="n">
        <v>0</v>
      </c>
      <c r="R31" s="20" t="n">
        <v>0</v>
      </c>
      <c r="S31" s="18" t="n">
        <v>1.68965882</v>
      </c>
      <c r="T31" s="20" t="n">
        <v>0.75020873</v>
      </c>
    </row>
    <row r="32" spans="1:20">
      <c r="A32" s="15" t="s">
        <v>590</v>
      </c>
      <c r="B32" s="17" t="n">
        <v>2209</v>
      </c>
      <c r="C32" s="18">
        <f>(1970.0/B32*100)</f>
        <v/>
      </c>
      <c r="D32" s="19" t="n">
        <v>239</v>
      </c>
      <c r="E32" s="18" t="n">
        <v>31.90890776</v>
      </c>
      <c r="F32" s="20" t="n">
        <v>3.32337435</v>
      </c>
      <c r="G32" s="18" t="n">
        <v>2.8468519</v>
      </c>
      <c r="H32" s="20" t="n">
        <v>1.03268199</v>
      </c>
      <c r="I32" s="18" t="n">
        <v>65.24424034</v>
      </c>
      <c r="J32" s="20" t="n">
        <v>3.22716466</v>
      </c>
      <c r="K32" s="18" t="n">
        <v>0</v>
      </c>
      <c r="L32" s="20" t="n">
        <v>0</v>
      </c>
      <c r="M32" s="18" t="n">
        <v>0</v>
      </c>
      <c r="N32" s="20" t="n">
        <v>0</v>
      </c>
      <c r="O32" s="18" t="n">
        <v>0</v>
      </c>
      <c r="P32" s="20" t="n">
        <v>0</v>
      </c>
      <c r="Q32" s="18" t="n">
        <v>0</v>
      </c>
      <c r="R32" s="20" t="n">
        <v>0</v>
      </c>
      <c r="S32" s="18" t="n">
        <v>0</v>
      </c>
      <c r="T32" s="20" t="n">
        <v>0</v>
      </c>
    </row>
    <row r="33" spans="1:20">
      <c r="A33" s="15" t="s">
        <v>591</v>
      </c>
      <c r="B33" s="17" t="n">
        <v>3651</v>
      </c>
      <c r="C33" s="18">
        <f>(3296.0/B33*100)</f>
        <v/>
      </c>
      <c r="D33" s="19" t="n">
        <v>355</v>
      </c>
      <c r="E33" s="18" t="n">
        <v>33.33370789</v>
      </c>
      <c r="F33" s="20" t="n">
        <v>2.73537161</v>
      </c>
      <c r="G33" s="18" t="n">
        <v>3.05523763</v>
      </c>
      <c r="H33" s="20" t="n">
        <v>1.17734669</v>
      </c>
      <c r="I33" s="18" t="n">
        <v>61.29561939</v>
      </c>
      <c r="J33" s="20" t="n">
        <v>2.72205213</v>
      </c>
      <c r="K33" s="18" t="n">
        <v>0</v>
      </c>
      <c r="L33" s="20" t="n">
        <v>0</v>
      </c>
      <c r="M33" s="18" t="n">
        <v>0.37567454</v>
      </c>
      <c r="N33" s="20" t="n">
        <v>0.37281011</v>
      </c>
      <c r="O33" s="18" t="n">
        <v>0.36361479</v>
      </c>
      <c r="P33" s="20" t="n">
        <v>0.36520873</v>
      </c>
      <c r="Q33" s="18" t="n">
        <v>0</v>
      </c>
      <c r="R33" s="20" t="n">
        <v>0</v>
      </c>
      <c r="S33" s="18" t="n">
        <v>1.57614576</v>
      </c>
      <c r="T33" s="20" t="n">
        <v>0.64048871</v>
      </c>
    </row>
    <row r="34" spans="1:20">
      <c r="A34" s="15" t="s">
        <v>592</v>
      </c>
      <c r="B34" s="17" t="n">
        <v>3035</v>
      </c>
      <c r="C34" s="18">
        <f>(2697.0/B34*100)</f>
        <v/>
      </c>
      <c r="D34" s="19" t="n">
        <v>338</v>
      </c>
      <c r="E34" s="18" t="n">
        <v>50.31902542</v>
      </c>
      <c r="F34" s="20" t="n">
        <v>3.19838343</v>
      </c>
      <c r="G34" s="18" t="n">
        <v>9.92841469</v>
      </c>
      <c r="H34" s="20" t="n">
        <v>1.7173081</v>
      </c>
      <c r="I34" s="18" t="n">
        <v>38.26418035</v>
      </c>
      <c r="J34" s="20" t="n">
        <v>3.1013121</v>
      </c>
      <c r="K34" s="18" t="n">
        <v>0</v>
      </c>
      <c r="L34" s="20" t="n">
        <v>0</v>
      </c>
      <c r="M34" s="18" t="n">
        <v>0.60390408</v>
      </c>
      <c r="N34" s="20" t="n">
        <v>0.36134935</v>
      </c>
      <c r="O34" s="18" t="n">
        <v>0.20445701</v>
      </c>
      <c r="P34" s="20" t="n">
        <v>0.19190433</v>
      </c>
      <c r="Q34" s="18" t="n">
        <v>0</v>
      </c>
      <c r="R34" s="20" t="n">
        <v>0</v>
      </c>
      <c r="S34" s="18" t="n">
        <v>0.6800184500000001</v>
      </c>
      <c r="T34" s="20" t="n">
        <v>0.4995211</v>
      </c>
    </row>
    <row r="35" spans="1:20">
      <c r="A35" s="15" t="s">
        <v>593</v>
      </c>
      <c r="B35" s="17" t="n">
        <v>2901</v>
      </c>
      <c r="C35" s="18">
        <f>(2608.0/B35*100)</f>
        <v/>
      </c>
      <c r="D35" s="19" t="n">
        <v>293</v>
      </c>
      <c r="E35" s="18" t="n">
        <v>25.91453728</v>
      </c>
      <c r="F35" s="20" t="n">
        <v>2.92110934</v>
      </c>
      <c r="G35" s="18" t="n">
        <v>7.49576008</v>
      </c>
      <c r="H35" s="20" t="n">
        <v>1.91892275</v>
      </c>
      <c r="I35" s="18" t="n">
        <v>65.50524747999999</v>
      </c>
      <c r="J35" s="20" t="n">
        <v>2.98510876</v>
      </c>
      <c r="K35" s="18" t="n">
        <v>0</v>
      </c>
      <c r="L35" s="20" t="n">
        <v>0</v>
      </c>
      <c r="M35" s="18" t="n">
        <v>0.13986515</v>
      </c>
      <c r="N35" s="20" t="n">
        <v>0.14289993</v>
      </c>
      <c r="O35" s="18" t="n">
        <v>0</v>
      </c>
      <c r="P35" s="20" t="n">
        <v>0</v>
      </c>
      <c r="Q35" s="18" t="n">
        <v>0</v>
      </c>
      <c r="R35" s="20" t="n">
        <v>0</v>
      </c>
      <c r="S35" s="18" t="n">
        <v>0.94459001</v>
      </c>
      <c r="T35" s="20" t="n">
        <v>0.47053326</v>
      </c>
    </row>
    <row r="36" spans="1:20">
      <c r="A36" s="15" t="s">
        <v>594</v>
      </c>
      <c r="B36" s="17" t="n">
        <v>3404</v>
      </c>
      <c r="C36" s="18">
        <f>(3062.0/B36*100)</f>
        <v/>
      </c>
      <c r="D36" s="19" t="n">
        <v>342</v>
      </c>
      <c r="E36" s="18" t="n">
        <v>33.17390698</v>
      </c>
      <c r="F36" s="20" t="n">
        <v>2.48520127</v>
      </c>
      <c r="G36" s="18" t="n">
        <v>14.44066419</v>
      </c>
      <c r="H36" s="20" t="n">
        <v>1.92258041</v>
      </c>
      <c r="I36" s="18" t="n">
        <v>50.83078954</v>
      </c>
      <c r="J36" s="20" t="n">
        <v>2.63355638</v>
      </c>
      <c r="K36" s="18" t="n">
        <v>0</v>
      </c>
      <c r="L36" s="20" t="n">
        <v>0</v>
      </c>
      <c r="M36" s="18" t="n">
        <v>0.36598159</v>
      </c>
      <c r="N36" s="20" t="n">
        <v>0.34309877</v>
      </c>
      <c r="O36" s="18" t="n">
        <v>0</v>
      </c>
      <c r="P36" s="20" t="n">
        <v>0</v>
      </c>
      <c r="Q36" s="18" t="n">
        <v>0</v>
      </c>
      <c r="R36" s="20" t="n">
        <v>0</v>
      </c>
      <c r="S36" s="18" t="n">
        <v>1.1886577</v>
      </c>
      <c r="T36" s="20" t="n">
        <v>0.5883059899999999</v>
      </c>
    </row>
    <row r="37" spans="1:20">
      <c r="A37" s="15" t="s">
        <v>595</v>
      </c>
      <c r="B37" s="17" t="n">
        <v>2731</v>
      </c>
      <c r="C37" s="18">
        <f>(2435.0/B37*100)</f>
        <v/>
      </c>
      <c r="D37" s="19" t="n">
        <v>296</v>
      </c>
      <c r="E37" s="18" t="n">
        <v>38.67279287</v>
      </c>
      <c r="F37" s="20" t="n">
        <v>3.0046407</v>
      </c>
      <c r="G37" s="18" t="n">
        <v>5.03898518</v>
      </c>
      <c r="H37" s="20" t="n">
        <v>1.32191812</v>
      </c>
      <c r="I37" s="18" t="n">
        <v>52.27962291</v>
      </c>
      <c r="J37" s="20" t="n">
        <v>2.96152782</v>
      </c>
      <c r="K37" s="18" t="n">
        <v>0</v>
      </c>
      <c r="L37" s="20" t="n">
        <v>0</v>
      </c>
      <c r="M37" s="18" t="n">
        <v>2.32671084</v>
      </c>
      <c r="N37" s="20" t="n">
        <v>0.89856492</v>
      </c>
      <c r="O37" s="18" t="n">
        <v>0</v>
      </c>
      <c r="P37" s="20" t="n">
        <v>0</v>
      </c>
      <c r="Q37" s="18" t="n">
        <v>0</v>
      </c>
      <c r="R37" s="20" t="n">
        <v>0</v>
      </c>
      <c r="S37" s="18" t="n">
        <v>1.6818882</v>
      </c>
      <c r="T37" s="20" t="n">
        <v>0.74053157</v>
      </c>
    </row>
    <row r="38" spans="1:20">
      <c r="A38" s="15" t="s">
        <v>596</v>
      </c>
      <c r="B38" s="17" t="n">
        <v>2807</v>
      </c>
      <c r="C38" s="18">
        <f>(2494.0/B38*100)</f>
        <v/>
      </c>
      <c r="D38" s="19" t="n">
        <v>313</v>
      </c>
      <c r="E38" s="18" t="n">
        <v>31.37537208</v>
      </c>
      <c r="F38" s="20" t="n">
        <v>2.79434996</v>
      </c>
      <c r="G38" s="18" t="n">
        <v>8.056203139999999</v>
      </c>
      <c r="H38" s="20" t="n">
        <v>2.07364349</v>
      </c>
      <c r="I38" s="18" t="n">
        <v>54.32476695</v>
      </c>
      <c r="J38" s="20" t="n">
        <v>3.22680835</v>
      </c>
      <c r="K38" s="18" t="n">
        <v>0</v>
      </c>
      <c r="L38" s="20" t="n">
        <v>0</v>
      </c>
      <c r="M38" s="18" t="n">
        <v>0.5978052700000001</v>
      </c>
      <c r="N38" s="20" t="n">
        <v>0.42601763</v>
      </c>
      <c r="O38" s="18" t="n">
        <v>3.73027902</v>
      </c>
      <c r="P38" s="20" t="n">
        <v>1.28860341</v>
      </c>
      <c r="Q38" s="18" t="n">
        <v>0</v>
      </c>
      <c r="R38" s="20" t="n">
        <v>0</v>
      </c>
      <c r="S38" s="18" t="n">
        <v>1.91557355</v>
      </c>
      <c r="T38" s="20" t="n">
        <v>0.79696236</v>
      </c>
    </row>
    <row r="39" spans="1:20">
      <c r="A39" s="15" t="s">
        <v>597</v>
      </c>
      <c r="B39" s="17" t="n">
        <v>2938</v>
      </c>
      <c r="C39" s="18">
        <f>(2624.0/B39*100)</f>
        <v/>
      </c>
      <c r="D39" s="19" t="n">
        <v>314</v>
      </c>
      <c r="E39" s="18" t="n">
        <v>63.13171938</v>
      </c>
      <c r="F39" s="20" t="n">
        <v>3.77511065</v>
      </c>
      <c r="G39" s="18" t="n">
        <v>7.02637268</v>
      </c>
      <c r="H39" s="20" t="n">
        <v>1.63314646</v>
      </c>
      <c r="I39" s="18" t="n">
        <v>26.12695945</v>
      </c>
      <c r="J39" s="20" t="n">
        <v>3.5708992</v>
      </c>
      <c r="K39" s="18" t="n">
        <v>0</v>
      </c>
      <c r="L39" s="20" t="n">
        <v>0</v>
      </c>
      <c r="M39" s="18" t="n">
        <v>0.39449852</v>
      </c>
      <c r="N39" s="20" t="n">
        <v>0.41090094</v>
      </c>
      <c r="O39" s="18" t="n">
        <v>0</v>
      </c>
      <c r="P39" s="20" t="n">
        <v>0</v>
      </c>
      <c r="Q39" s="18" t="n">
        <v>0</v>
      </c>
      <c r="R39" s="20" t="n">
        <v>0</v>
      </c>
      <c r="S39" s="18" t="n">
        <v>3.32044997</v>
      </c>
      <c r="T39" s="20" t="n">
        <v>1.21263967</v>
      </c>
    </row>
    <row r="40" spans="1:20">
      <c r="A40" s="15" t="s">
        <v>598</v>
      </c>
      <c r="B40" s="17" t="n">
        <v>6922</v>
      </c>
      <c r="C40" s="18">
        <f>(6147.0/B40*100)</f>
        <v/>
      </c>
      <c r="D40" s="19" t="n">
        <v>775</v>
      </c>
      <c r="E40" s="18" t="n">
        <v>24.44323898</v>
      </c>
      <c r="F40" s="20" t="n">
        <v>2.50793329</v>
      </c>
      <c r="G40" s="18" t="n">
        <v>2.48121473</v>
      </c>
      <c r="H40" s="20" t="n">
        <v>0.66473099</v>
      </c>
      <c r="I40" s="18" t="n">
        <v>70.97516340999999</v>
      </c>
      <c r="J40" s="20" t="n">
        <v>2.66351865</v>
      </c>
      <c r="K40" s="18" t="n">
        <v>0</v>
      </c>
      <c r="L40" s="20" t="n">
        <v>0</v>
      </c>
      <c r="M40" s="18" t="n">
        <v>0.83620401</v>
      </c>
      <c r="N40" s="20" t="n">
        <v>0.46469146</v>
      </c>
      <c r="O40" s="18" t="n">
        <v>0</v>
      </c>
      <c r="P40" s="20" t="n">
        <v>0</v>
      </c>
      <c r="Q40" s="18" t="n">
        <v>0</v>
      </c>
      <c r="R40" s="20" t="n">
        <v>0</v>
      </c>
      <c r="S40" s="18" t="n">
        <v>1.26417888</v>
      </c>
      <c r="T40" s="20" t="n">
        <v>0.52972844</v>
      </c>
    </row>
    <row r="41" spans="1:20">
      <c r="A41" s="15" t="s">
        <v>599</v>
      </c>
      <c r="B41" s="17" t="n">
        <v>2854</v>
      </c>
      <c r="C41" s="18">
        <f>(2555.0/B41*100)</f>
        <v/>
      </c>
      <c r="D41" s="19" t="n">
        <v>299</v>
      </c>
      <c r="E41" s="18" t="n">
        <v>29.1328218</v>
      </c>
      <c r="F41" s="20" t="n">
        <v>2.87923746</v>
      </c>
      <c r="G41" s="18" t="n">
        <v>14.67325255</v>
      </c>
      <c r="H41" s="20" t="n">
        <v>2.5966223</v>
      </c>
      <c r="I41" s="18" t="n">
        <v>55.36271804</v>
      </c>
      <c r="J41" s="20" t="n">
        <v>2.91880261</v>
      </c>
      <c r="K41" s="18" t="n">
        <v>0</v>
      </c>
      <c r="L41" s="20" t="n">
        <v>0</v>
      </c>
      <c r="M41" s="18" t="n">
        <v>0.55178099</v>
      </c>
      <c r="N41" s="20" t="n">
        <v>0.40757595</v>
      </c>
      <c r="O41" s="18" t="n">
        <v>0</v>
      </c>
      <c r="P41" s="20" t="n">
        <v>0</v>
      </c>
      <c r="Q41" s="18" t="n">
        <v>0</v>
      </c>
      <c r="R41" s="20" t="n">
        <v>0</v>
      </c>
      <c r="S41" s="18" t="n">
        <v>0.27942662</v>
      </c>
      <c r="T41" s="20" t="n">
        <v>0.30285533</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12073</v>
      </c>
      <c r="C46" s="18">
        <f>(11152.0/B46*100)</f>
        <v/>
      </c>
      <c r="D46" s="19" t="n">
        <v>921</v>
      </c>
      <c r="E46" s="18" t="n">
        <v>51.11533803</v>
      </c>
      <c r="F46" s="20" t="n">
        <v>2.2579555</v>
      </c>
      <c r="G46" s="18" t="n">
        <v>23.31547185</v>
      </c>
      <c r="H46" s="20" t="n">
        <v>1.89357481</v>
      </c>
      <c r="I46" s="18" t="n">
        <v>19.08994952</v>
      </c>
      <c r="J46" s="20" t="n">
        <v>1.87751235</v>
      </c>
      <c r="K46" s="18" t="n">
        <v>0</v>
      </c>
      <c r="L46" s="20" t="n">
        <v>0</v>
      </c>
      <c r="M46" s="18" t="n">
        <v>1.80586197</v>
      </c>
      <c r="N46" s="20" t="n">
        <v>0.58296716</v>
      </c>
      <c r="O46" s="18" t="n">
        <v>0.30248309</v>
      </c>
      <c r="P46" s="20" t="n">
        <v>0.1690017</v>
      </c>
      <c r="Q46" s="18" t="n">
        <v>0</v>
      </c>
      <c r="R46" s="20" t="n">
        <v>0</v>
      </c>
      <c r="S46" s="18" t="n">
        <v>4.37089554</v>
      </c>
      <c r="T46" s="20" t="n">
        <v>1.03755329</v>
      </c>
    </row>
    <row r="47" spans="1:20">
      <c r="A47" s="15" t="s">
        <v>606</v>
      </c>
      <c r="B47" s="17" t="n">
        <v>2823</v>
      </c>
      <c r="C47" s="18">
        <f>(2516.0/B47*100)</f>
        <v/>
      </c>
      <c r="D47" s="19" t="n">
        <v>307</v>
      </c>
      <c r="E47" s="18" t="n">
        <v>48.83576379</v>
      </c>
      <c r="F47" s="20" t="n">
        <v>2.86314995</v>
      </c>
      <c r="G47" s="18" t="n">
        <v>17.01318047</v>
      </c>
      <c r="H47" s="20" t="n">
        <v>1.99957076</v>
      </c>
      <c r="I47" s="18" t="n">
        <v>32.5912304</v>
      </c>
      <c r="J47" s="20" t="n">
        <v>2.53258665</v>
      </c>
      <c r="K47" s="18" t="n">
        <v>0</v>
      </c>
      <c r="L47" s="20" t="n">
        <v>0</v>
      </c>
      <c r="M47" s="18" t="n">
        <v>0.64252888</v>
      </c>
      <c r="N47" s="20" t="n">
        <v>0.44607171</v>
      </c>
      <c r="O47" s="18" t="n">
        <v>0</v>
      </c>
      <c r="P47" s="20" t="n">
        <v>0</v>
      </c>
      <c r="Q47" s="18" t="n">
        <v>0</v>
      </c>
      <c r="R47" s="20" t="n">
        <v>0</v>
      </c>
      <c r="S47" s="18" t="n">
        <v>0.91729647</v>
      </c>
      <c r="T47" s="20" t="n">
        <v>0.6820143</v>
      </c>
    </row>
    <row r="48" spans="1:20">
      <c r="A48" s="15" t="s">
        <v>607</v>
      </c>
      <c r="B48" s="17" t="n">
        <v>4682</v>
      </c>
      <c r="C48" s="18">
        <f>(4171.0/B48*100)</f>
        <v/>
      </c>
      <c r="D48" s="19" t="n">
        <v>511</v>
      </c>
      <c r="E48" s="18" t="n">
        <v>33.99603365</v>
      </c>
      <c r="F48" s="20" t="n">
        <v>2.91076615</v>
      </c>
      <c r="G48" s="18" t="n">
        <v>0.76317083</v>
      </c>
      <c r="H48" s="20" t="n">
        <v>0.50460479</v>
      </c>
      <c r="I48" s="18" t="n">
        <v>63.91606826</v>
      </c>
      <c r="J48" s="20" t="n">
        <v>2.86434494</v>
      </c>
      <c r="K48" s="18" t="n">
        <v>0</v>
      </c>
      <c r="L48" s="20" t="n">
        <v>0</v>
      </c>
      <c r="M48" s="18" t="n">
        <v>0.98256666</v>
      </c>
      <c r="N48" s="20" t="n">
        <v>0.58960524</v>
      </c>
      <c r="O48" s="18" t="n">
        <v>0</v>
      </c>
      <c r="P48" s="20" t="n">
        <v>0</v>
      </c>
      <c r="Q48" s="18" t="n">
        <v>0</v>
      </c>
      <c r="R48" s="20" t="n">
        <v>0</v>
      </c>
      <c r="S48" s="18" t="n">
        <v>0.34216059</v>
      </c>
      <c r="T48" s="20" t="n">
        <v>0.34022097</v>
      </c>
    </row>
    <row r="49" spans="1:20">
      <c r="A49" s="15" t="s">
        <v>608</v>
      </c>
      <c r="B49" s="17" t="n">
        <v>6158</v>
      </c>
      <c r="C49" s="18">
        <f>(5520.0/B49*100)</f>
        <v/>
      </c>
      <c r="D49" s="19" t="n">
        <v>638</v>
      </c>
      <c r="E49" s="18" t="n">
        <v>47.18410799</v>
      </c>
      <c r="F49" s="20" t="n">
        <v>2.58581672</v>
      </c>
      <c r="G49" s="18" t="n">
        <v>27.46729461</v>
      </c>
      <c r="H49" s="20" t="n">
        <v>1.48765203</v>
      </c>
      <c r="I49" s="18" t="n">
        <v>22.13594107</v>
      </c>
      <c r="J49" s="20" t="n">
        <v>2.0212426</v>
      </c>
      <c r="K49" s="18" t="n">
        <v>0</v>
      </c>
      <c r="L49" s="20" t="n">
        <v>0</v>
      </c>
      <c r="M49" s="18" t="n">
        <v>2.07558846</v>
      </c>
      <c r="N49" s="20" t="n">
        <v>0.5502503399999999</v>
      </c>
      <c r="O49" s="18" t="n">
        <v>0.00947218</v>
      </c>
      <c r="P49" s="20" t="n">
        <v>0.00645929</v>
      </c>
      <c r="Q49" s="18" t="n">
        <v>0</v>
      </c>
      <c r="R49" s="20" t="n">
        <v>0</v>
      </c>
      <c r="S49" s="18" t="n">
        <v>1.12759569</v>
      </c>
      <c r="T49" s="20" t="n">
        <v>0.5500453</v>
      </c>
    </row>
    <row r="50" spans="1:20">
      <c r="A50" s="15" t="s">
        <v>609</v>
      </c>
      <c r="B50" s="17" t="n">
        <v>3494</v>
      </c>
      <c r="C50" s="18">
        <f>(3175.0/B50*100)</f>
        <v/>
      </c>
      <c r="D50" s="19" t="n">
        <v>319</v>
      </c>
      <c r="E50" s="18" t="n">
        <v>38.59692139</v>
      </c>
      <c r="F50" s="20" t="n">
        <v>3.23219826</v>
      </c>
      <c r="G50" s="18" t="n">
        <v>19.81013618</v>
      </c>
      <c r="H50" s="20" t="n">
        <v>2.28535974</v>
      </c>
      <c r="I50" s="18" t="n">
        <v>38.00209904</v>
      </c>
      <c r="J50" s="20" t="n">
        <v>2.59652877</v>
      </c>
      <c r="K50" s="18" t="n">
        <v>0</v>
      </c>
      <c r="L50" s="20" t="n">
        <v>0</v>
      </c>
      <c r="M50" s="18" t="n">
        <v>0.59890561</v>
      </c>
      <c r="N50" s="20" t="n">
        <v>0.45423194</v>
      </c>
      <c r="O50" s="18" t="n">
        <v>0</v>
      </c>
      <c r="P50" s="20" t="n">
        <v>0</v>
      </c>
      <c r="Q50" s="18" t="n">
        <v>0</v>
      </c>
      <c r="R50" s="20" t="n">
        <v>0</v>
      </c>
      <c r="S50" s="18" t="n">
        <v>2.99193778</v>
      </c>
      <c r="T50" s="20" t="n">
        <v>1.06153999</v>
      </c>
    </row>
    <row r="51" spans="1:20">
      <c r="A51" s="15" t="s">
        <v>610</v>
      </c>
      <c r="B51" s="17" t="n">
        <v>3013</v>
      </c>
      <c r="C51" s="18">
        <f>(2654.0/B51*100)</f>
        <v/>
      </c>
      <c r="D51" s="19" t="n">
        <v>359</v>
      </c>
      <c r="E51" s="18" t="n">
        <v>34.8429101</v>
      </c>
      <c r="F51" s="20" t="n">
        <v>2.25188015</v>
      </c>
      <c r="G51" s="18" t="n">
        <v>1.81402157</v>
      </c>
      <c r="H51" s="20" t="n">
        <v>0.59096316</v>
      </c>
      <c r="I51" s="18" t="n">
        <v>61.20099444</v>
      </c>
      <c r="J51" s="20" t="n">
        <v>2.40002456</v>
      </c>
      <c r="K51" s="18" t="n">
        <v>0</v>
      </c>
      <c r="L51" s="20" t="n">
        <v>0</v>
      </c>
      <c r="M51" s="18" t="n">
        <v>0.33910623</v>
      </c>
      <c r="N51" s="20" t="n">
        <v>0.33389217</v>
      </c>
      <c r="O51" s="18" t="n">
        <v>0</v>
      </c>
      <c r="P51" s="20" t="n">
        <v>0</v>
      </c>
      <c r="Q51" s="18" t="n">
        <v>0</v>
      </c>
      <c r="R51" s="20" t="n">
        <v>0</v>
      </c>
      <c r="S51" s="18" t="n">
        <v>1.80296764</v>
      </c>
      <c r="T51" s="20" t="n">
        <v>0.70350229</v>
      </c>
    </row>
    <row r="52" spans="1:20">
      <c r="A52" s="15" t="s">
        <v>611</v>
      </c>
      <c r="B52" s="17" t="n">
        <v>2760</v>
      </c>
      <c r="C52" s="18">
        <f>(2469.0/B52*100)</f>
        <v/>
      </c>
      <c r="D52" s="19" t="n">
        <v>291</v>
      </c>
      <c r="E52" s="18" t="n">
        <v>44.87716053</v>
      </c>
      <c r="F52" s="20" t="n">
        <v>2.79466097</v>
      </c>
      <c r="G52" s="18" t="n">
        <v>14.43765357</v>
      </c>
      <c r="H52" s="20" t="n">
        <v>2.31449384</v>
      </c>
      <c r="I52" s="18" t="n">
        <v>37.95489268</v>
      </c>
      <c r="J52" s="20" t="n">
        <v>2.71134028</v>
      </c>
      <c r="K52" s="18" t="n">
        <v>0</v>
      </c>
      <c r="L52" s="20" t="n">
        <v>0</v>
      </c>
      <c r="M52" s="18" t="n">
        <v>0.56259489</v>
      </c>
      <c r="N52" s="20" t="n">
        <v>0.397044</v>
      </c>
      <c r="O52" s="18" t="n">
        <v>0</v>
      </c>
      <c r="P52" s="20" t="n">
        <v>0</v>
      </c>
      <c r="Q52" s="18" t="n">
        <v>0</v>
      </c>
      <c r="R52" s="20" t="n">
        <v>0</v>
      </c>
      <c r="S52" s="18" t="n">
        <v>2.16769834</v>
      </c>
      <c r="T52" s="20" t="n">
        <v>1.05317085</v>
      </c>
    </row>
    <row r="53" spans="1:20">
      <c r="A53" s="15" t="s">
        <v>612</v>
      </c>
      <c r="B53" s="17" t="n">
        <v>2474</v>
      </c>
      <c r="C53" s="18">
        <f>(2236.0/B53*100)</f>
        <v/>
      </c>
      <c r="D53" s="19" t="n">
        <v>238</v>
      </c>
      <c r="E53" s="18" t="n">
        <v>59.53665875</v>
      </c>
      <c r="F53" s="20" t="n">
        <v>3.33581554</v>
      </c>
      <c r="G53" s="18" t="n">
        <v>6.91889816</v>
      </c>
      <c r="H53" s="20" t="n">
        <v>1.69442073</v>
      </c>
      <c r="I53" s="18" t="n">
        <v>5.5831602</v>
      </c>
      <c r="J53" s="20" t="n">
        <v>1.44768621</v>
      </c>
      <c r="K53" s="18" t="n">
        <v>0</v>
      </c>
      <c r="L53" s="20" t="n">
        <v>0</v>
      </c>
      <c r="M53" s="18" t="n">
        <v>24.42168953</v>
      </c>
      <c r="N53" s="20" t="n">
        <v>2.89049697</v>
      </c>
      <c r="O53" s="18" t="n">
        <v>1.33336123</v>
      </c>
      <c r="P53" s="20" t="n">
        <v>1.07864672</v>
      </c>
      <c r="Q53" s="18" t="n">
        <v>0</v>
      </c>
      <c r="R53" s="20" t="n">
        <v>0</v>
      </c>
      <c r="S53" s="18" t="n">
        <v>2.20623212</v>
      </c>
      <c r="T53" s="20" t="n">
        <v>0.7777046399999999</v>
      </c>
    </row>
    <row r="54" spans="1:20">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2675</v>
      </c>
      <c r="C55" s="18">
        <f>(2378.0/B55*100)</f>
        <v/>
      </c>
      <c r="D55" s="19" t="n">
        <v>297</v>
      </c>
      <c r="E55" s="18" t="n">
        <v>17.3411172</v>
      </c>
      <c r="F55" s="20" t="n">
        <v>2.59103225</v>
      </c>
      <c r="G55" s="18" t="n">
        <v>4.63320338</v>
      </c>
      <c r="H55" s="20" t="n">
        <v>1.08722173</v>
      </c>
      <c r="I55" s="18" t="n">
        <v>77.72593927</v>
      </c>
      <c r="J55" s="20" t="n">
        <v>2.7028858</v>
      </c>
      <c r="K55" s="18" t="n">
        <v>0</v>
      </c>
      <c r="L55" s="20" t="n">
        <v>0</v>
      </c>
      <c r="M55" s="18" t="n">
        <v>0.29974015</v>
      </c>
      <c r="N55" s="20" t="n">
        <v>0.30855362</v>
      </c>
      <c r="O55" s="18" t="n">
        <v>0</v>
      </c>
      <c r="P55" s="20" t="n">
        <v>0</v>
      </c>
      <c r="Q55" s="18" t="n">
        <v>0</v>
      </c>
      <c r="R55" s="20" t="n">
        <v>0</v>
      </c>
      <c r="S55" s="18" t="n">
        <v>0</v>
      </c>
      <c r="T55" s="20" t="n">
        <v>0</v>
      </c>
    </row>
    <row r="56" spans="1:20">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3201</v>
      </c>
      <c r="C61" s="18">
        <f>(2835.0/B61*100)</f>
        <v/>
      </c>
      <c r="D61" s="19" t="n">
        <v>366</v>
      </c>
      <c r="E61" s="18" t="n">
        <v>34.4436036</v>
      </c>
      <c r="F61" s="20" t="n">
        <v>2.72069573</v>
      </c>
      <c r="G61" s="18" t="n">
        <v>4.54229839</v>
      </c>
      <c r="H61" s="20" t="n">
        <v>1.17955591</v>
      </c>
      <c r="I61" s="18" t="n">
        <v>60.00490887</v>
      </c>
      <c r="J61" s="20" t="n">
        <v>2.84680327</v>
      </c>
      <c r="K61" s="18" t="n">
        <v>0</v>
      </c>
      <c r="L61" s="20" t="n">
        <v>0</v>
      </c>
      <c r="M61" s="18" t="n">
        <v>0</v>
      </c>
      <c r="N61" s="20" t="n">
        <v>0</v>
      </c>
      <c r="O61" s="18" t="n">
        <v>0</v>
      </c>
      <c r="P61" s="20" t="n">
        <v>0</v>
      </c>
      <c r="Q61" s="18" t="n">
        <v>0</v>
      </c>
      <c r="R61" s="20" t="n">
        <v>0</v>
      </c>
      <c r="S61" s="18" t="n">
        <v>1.00918913</v>
      </c>
      <c r="T61" s="20" t="n">
        <v>0.57461481</v>
      </c>
    </row>
    <row r="62" spans="1:20">
      <c r="A62" s="15" t="s">
        <v>622</v>
      </c>
      <c r="B62" s="17" t="n">
        <v>2230</v>
      </c>
      <c r="C62" s="18">
        <f>(1994.0/B62*100)</f>
        <v/>
      </c>
      <c r="D62" s="19" t="n">
        <v>236</v>
      </c>
      <c r="E62" s="18" t="n">
        <v>20.86918983</v>
      </c>
      <c r="F62" s="20" t="n">
        <v>2.70145543</v>
      </c>
      <c r="G62" s="18" t="n">
        <v>2.52801046</v>
      </c>
      <c r="H62" s="20" t="n">
        <v>1.04130925</v>
      </c>
      <c r="I62" s="18" t="n">
        <v>76.60279971</v>
      </c>
      <c r="J62" s="20" t="n">
        <v>2.66036335</v>
      </c>
      <c r="K62" s="18" t="n">
        <v>0</v>
      </c>
      <c r="L62" s="20" t="n">
        <v>0</v>
      </c>
      <c r="M62" s="18" t="n">
        <v>0</v>
      </c>
      <c r="N62" s="20" t="n">
        <v>0</v>
      </c>
      <c r="O62" s="18" t="n">
        <v>0</v>
      </c>
      <c r="P62" s="20" t="n">
        <v>0</v>
      </c>
      <c r="Q62" s="18" t="n">
        <v>0</v>
      </c>
      <c r="R62" s="20" t="n">
        <v>0</v>
      </c>
      <c r="S62" s="18" t="n">
        <v>0</v>
      </c>
      <c r="T62" s="20" t="n">
        <v>0</v>
      </c>
    </row>
    <row r="63" spans="1:20">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2771</v>
      </c>
      <c r="C67" s="18">
        <f>(2458.0/B67*100)</f>
        <v/>
      </c>
      <c r="D67" s="19" t="n">
        <v>313</v>
      </c>
      <c r="E67" s="18" t="n">
        <v>31.60761678</v>
      </c>
      <c r="F67" s="20" t="n">
        <v>2.64651308</v>
      </c>
      <c r="G67" s="18" t="n">
        <v>2.50577806</v>
      </c>
      <c r="H67" s="20" t="n">
        <v>0.87622844</v>
      </c>
      <c r="I67" s="18" t="n">
        <v>24.77230789</v>
      </c>
      <c r="J67" s="20" t="n">
        <v>2.1694134</v>
      </c>
      <c r="K67" s="18" t="n">
        <v>0</v>
      </c>
      <c r="L67" s="20" t="n">
        <v>0</v>
      </c>
      <c r="M67" s="18" t="n">
        <v>0.999885</v>
      </c>
      <c r="N67" s="20" t="n">
        <v>0.75693675</v>
      </c>
      <c r="O67" s="18" t="n">
        <v>36.53435696</v>
      </c>
      <c r="P67" s="20" t="n">
        <v>2.79469044</v>
      </c>
      <c r="Q67" s="18" t="n">
        <v>0</v>
      </c>
      <c r="R67" s="20" t="n">
        <v>0</v>
      </c>
      <c r="S67" s="18" t="n">
        <v>3.58005531</v>
      </c>
      <c r="T67" s="20" t="n">
        <v>1.08315327</v>
      </c>
    </row>
    <row r="68" spans="1:20">
      <c r="A68" s="15" t="s">
        <v>628</v>
      </c>
      <c r="B68" s="17" t="n">
        <v>3460</v>
      </c>
      <c r="C68" s="18">
        <f>(3149.0/B68*100)</f>
        <v/>
      </c>
      <c r="D68" s="19" t="n">
        <v>311</v>
      </c>
      <c r="E68" s="18" t="n">
        <v>68.888858</v>
      </c>
      <c r="F68" s="20" t="n">
        <v>2.72901015</v>
      </c>
      <c r="G68" s="18" t="n">
        <v>2.5427617</v>
      </c>
      <c r="H68" s="20" t="n">
        <v>0.93187571</v>
      </c>
      <c r="I68" s="18" t="n">
        <v>25.26261185</v>
      </c>
      <c r="J68" s="20" t="n">
        <v>2.35278351</v>
      </c>
      <c r="K68" s="18" t="n">
        <v>0</v>
      </c>
      <c r="L68" s="20" t="n">
        <v>0</v>
      </c>
      <c r="M68" s="18" t="n">
        <v>0.25587277</v>
      </c>
      <c r="N68" s="20" t="n">
        <v>0.26354922</v>
      </c>
      <c r="O68" s="18" t="n">
        <v>0.85316967</v>
      </c>
      <c r="P68" s="20" t="n">
        <v>0.49487584</v>
      </c>
      <c r="Q68" s="18" t="n">
        <v>0</v>
      </c>
      <c r="R68" s="20" t="n">
        <v>0</v>
      </c>
      <c r="S68" s="18" t="n">
        <v>2.19672601</v>
      </c>
      <c r="T68" s="20" t="n">
        <v>0.86320917</v>
      </c>
    </row>
    <row r="69" spans="1:20">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6034</v>
      </c>
      <c r="C70" s="18">
        <f>(5402.0/B70*100)</f>
        <v/>
      </c>
      <c r="D70" s="19" t="n">
        <v>632</v>
      </c>
      <c r="E70" s="18" t="n">
        <v>40.34137632</v>
      </c>
      <c r="F70" s="20" t="n">
        <v>1.99944552</v>
      </c>
      <c r="G70" s="18" t="n">
        <v>7.65727895</v>
      </c>
      <c r="H70" s="20" t="n">
        <v>0.94622668</v>
      </c>
      <c r="I70" s="18" t="n">
        <v>47.07111611</v>
      </c>
      <c r="J70" s="20" t="n">
        <v>1.91783795</v>
      </c>
      <c r="K70" s="18" t="n">
        <v>0</v>
      </c>
      <c r="L70" s="20" t="n">
        <v>0</v>
      </c>
      <c r="M70" s="18" t="n">
        <v>3.43965722</v>
      </c>
      <c r="N70" s="20" t="n">
        <v>0.8050664</v>
      </c>
      <c r="O70" s="18" t="n">
        <v>0</v>
      </c>
      <c r="P70" s="20" t="n">
        <v>0</v>
      </c>
      <c r="Q70" s="18" t="n">
        <v>0</v>
      </c>
      <c r="R70" s="20" t="n">
        <v>0</v>
      </c>
      <c r="S70" s="18" t="n">
        <v>1.49057141</v>
      </c>
      <c r="T70" s="20" t="n">
        <v>0.49279362</v>
      </c>
    </row>
    <row r="71" spans="1:20">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3107</v>
      </c>
      <c r="C72" s="18">
        <f>(2750.0/B72*100)</f>
        <v/>
      </c>
      <c r="D72" s="19" t="n">
        <v>357</v>
      </c>
      <c r="E72" s="18" t="n">
        <v>46.30173347</v>
      </c>
      <c r="F72" s="20" t="n">
        <v>3.65406885</v>
      </c>
      <c r="G72" s="18" t="n">
        <v>15.91839435</v>
      </c>
      <c r="H72" s="20" t="n">
        <v>2.17027601</v>
      </c>
      <c r="I72" s="18" t="n">
        <v>34.97135922</v>
      </c>
      <c r="J72" s="20" t="n">
        <v>3.01542942</v>
      </c>
      <c r="K72" s="18" t="n">
        <v>0</v>
      </c>
      <c r="L72" s="20" t="n">
        <v>0</v>
      </c>
      <c r="M72" s="18" t="n">
        <v>1.09324843</v>
      </c>
      <c r="N72" s="20" t="n">
        <v>0.53952205</v>
      </c>
      <c r="O72" s="18" t="n">
        <v>0</v>
      </c>
      <c r="P72" s="20" t="n">
        <v>0</v>
      </c>
      <c r="Q72" s="18" t="n">
        <v>0</v>
      </c>
      <c r="R72" s="20" t="n">
        <v>0</v>
      </c>
      <c r="S72" s="18" t="n">
        <v>1.71526453</v>
      </c>
      <c r="T72" s="20" t="n">
        <v>0.64111134</v>
      </c>
    </row>
    <row r="73" spans="1:20">
      <c r="A73" s="15" t="s">
        <v>633</v>
      </c>
      <c r="B73" s="17" t="n">
        <v>2973</v>
      </c>
      <c r="C73" s="18">
        <f>(2657.0/B73*100)</f>
        <v/>
      </c>
      <c r="D73" s="19" t="n">
        <v>316</v>
      </c>
      <c r="E73" s="18" t="n">
        <v>10.10013953</v>
      </c>
      <c r="F73" s="20" t="n">
        <v>1.54594003</v>
      </c>
      <c r="G73" s="18" t="n">
        <v>3.00538443</v>
      </c>
      <c r="H73" s="20" t="n">
        <v>0.8303763</v>
      </c>
      <c r="I73" s="18" t="n">
        <v>85.89921837999999</v>
      </c>
      <c r="J73" s="20" t="n">
        <v>1.65185925</v>
      </c>
      <c r="K73" s="18" t="n">
        <v>0</v>
      </c>
      <c r="L73" s="20" t="n">
        <v>0</v>
      </c>
      <c r="M73" s="18" t="n">
        <v>0.653483</v>
      </c>
      <c r="N73" s="20" t="n">
        <v>0.46723616</v>
      </c>
      <c r="O73" s="18" t="n">
        <v>0.34177466</v>
      </c>
      <c r="P73" s="20" t="n">
        <v>0.3379641</v>
      </c>
      <c r="Q73" s="18" t="n">
        <v>0</v>
      </c>
      <c r="R73" s="20" t="n">
        <v>0</v>
      </c>
      <c r="S73" s="18" t="n">
        <v>0</v>
      </c>
      <c r="T73" s="20" t="n">
        <v>0</v>
      </c>
    </row>
    <row r="74" spans="1:20">
      <c r="A74" s="15" t="s">
        <v>634</v>
      </c>
      <c r="B74" s="17" t="n">
        <v>3819</v>
      </c>
      <c r="C74" s="18">
        <f>(3408.0/B74*100)</f>
        <v/>
      </c>
      <c r="D74" s="19" t="n">
        <v>411</v>
      </c>
      <c r="E74" s="18" t="n">
        <v>30.18678202</v>
      </c>
      <c r="F74" s="20" t="n">
        <v>2.50744639</v>
      </c>
      <c r="G74" s="18" t="n">
        <v>5.10435416</v>
      </c>
      <c r="H74" s="20" t="n">
        <v>1.2883996</v>
      </c>
      <c r="I74" s="18" t="n">
        <v>64.5405544</v>
      </c>
      <c r="J74" s="20" t="n">
        <v>2.70284772</v>
      </c>
      <c r="K74" s="18" t="n">
        <v>0</v>
      </c>
      <c r="L74" s="20" t="n">
        <v>0</v>
      </c>
      <c r="M74" s="18" t="n">
        <v>0</v>
      </c>
      <c r="N74" s="20" t="n">
        <v>0</v>
      </c>
      <c r="O74" s="18" t="n">
        <v>0.16830943</v>
      </c>
      <c r="P74" s="20" t="n">
        <v>0.17029783</v>
      </c>
      <c r="Q74" s="18" t="n">
        <v>0</v>
      </c>
      <c r="R74" s="20" t="n">
        <v>0</v>
      </c>
      <c r="S74" s="18" t="n">
        <v>0</v>
      </c>
      <c r="T74" s="20" t="n">
        <v>0</v>
      </c>
    </row>
    <row r="75" spans="1:20">
      <c r="A75" s="15" t="s">
        <v>635</v>
      </c>
      <c r="B75" s="17" t="n">
        <v>4652</v>
      </c>
      <c r="C75" s="18">
        <f>(4155.0/B75*100)</f>
        <v/>
      </c>
      <c r="D75" s="19" t="n">
        <v>497</v>
      </c>
      <c r="E75" s="18" t="n">
        <v>53.92401072</v>
      </c>
      <c r="F75" s="20" t="n">
        <v>2.64699074</v>
      </c>
      <c r="G75" s="18" t="n">
        <v>3.77074035</v>
      </c>
      <c r="H75" s="20" t="n">
        <v>0.98917316</v>
      </c>
      <c r="I75" s="18" t="n">
        <v>41.6829302</v>
      </c>
      <c r="J75" s="20" t="n">
        <v>2.23355555</v>
      </c>
      <c r="K75" s="18" t="n">
        <v>0</v>
      </c>
      <c r="L75" s="20" t="n">
        <v>0</v>
      </c>
      <c r="M75" s="18" t="n">
        <v>0.26878546</v>
      </c>
      <c r="N75" s="20" t="n">
        <v>0.2675253</v>
      </c>
      <c r="O75" s="18" t="n">
        <v>0</v>
      </c>
      <c r="P75" s="20" t="n">
        <v>0</v>
      </c>
      <c r="Q75" s="18" t="n">
        <v>0</v>
      </c>
      <c r="R75" s="20" t="n">
        <v>0</v>
      </c>
      <c r="S75" s="18" t="n">
        <v>0.35353328</v>
      </c>
      <c r="T75" s="20" t="n">
        <v>0.28892407</v>
      </c>
    </row>
    <row r="76" spans="1:20">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2969</v>
      </c>
      <c r="C77" s="18">
        <f>(2680.0/B77*100)</f>
        <v/>
      </c>
      <c r="D77" s="19" t="n">
        <v>289</v>
      </c>
      <c r="E77" s="18" t="n">
        <v>50.88587602</v>
      </c>
      <c r="F77" s="20" t="n">
        <v>3.48760777</v>
      </c>
      <c r="G77" s="18" t="n">
        <v>11.04791272</v>
      </c>
      <c r="H77" s="20" t="n">
        <v>1.66079409</v>
      </c>
      <c r="I77" s="18" t="n">
        <v>27.28919853</v>
      </c>
      <c r="J77" s="20" t="n">
        <v>2.88934555</v>
      </c>
      <c r="K77" s="18" t="n">
        <v>0</v>
      </c>
      <c r="L77" s="20" t="n">
        <v>0</v>
      </c>
      <c r="M77" s="18" t="n">
        <v>6.22461179</v>
      </c>
      <c r="N77" s="20" t="n">
        <v>1.55265678</v>
      </c>
      <c r="O77" s="18" t="n">
        <v>0.70006345</v>
      </c>
      <c r="P77" s="20" t="n">
        <v>0.43626352</v>
      </c>
      <c r="Q77" s="18" t="n">
        <v>0</v>
      </c>
      <c r="R77" s="20" t="n">
        <v>0</v>
      </c>
      <c r="S77" s="18" t="n">
        <v>3.85233749</v>
      </c>
      <c r="T77" s="20" t="n">
        <v>1.19389419</v>
      </c>
    </row>
    <row r="78" spans="1:20">
      <c r="A78" s="15" t="s">
        <v>638</v>
      </c>
      <c r="B78" s="17" t="n">
        <v>7115</v>
      </c>
      <c r="C78" s="18">
        <f>(6324.0/B78*100)</f>
        <v/>
      </c>
      <c r="D78" s="19" t="n">
        <v>791</v>
      </c>
      <c r="E78" s="18" t="n">
        <v>37.36056925</v>
      </c>
      <c r="F78" s="20" t="n">
        <v>2.27927433</v>
      </c>
      <c r="G78" s="18" t="n">
        <v>8.15698626</v>
      </c>
      <c r="H78" s="20" t="n">
        <v>1.00159112</v>
      </c>
      <c r="I78" s="18" t="n">
        <v>50.32588405</v>
      </c>
      <c r="J78" s="20" t="n">
        <v>2.08462843</v>
      </c>
      <c r="K78" s="18" t="n">
        <v>0</v>
      </c>
      <c r="L78" s="20" t="n">
        <v>0</v>
      </c>
      <c r="M78" s="18" t="n">
        <v>1.80264814</v>
      </c>
      <c r="N78" s="20" t="n">
        <v>0.8092448</v>
      </c>
      <c r="O78" s="18" t="n">
        <v>0.09099928</v>
      </c>
      <c r="P78" s="20" t="n">
        <v>0.09200566</v>
      </c>
      <c r="Q78" s="18" t="n">
        <v>0</v>
      </c>
      <c r="R78" s="20" t="n">
        <v>0</v>
      </c>
      <c r="S78" s="18" t="n">
        <v>2.26291302</v>
      </c>
      <c r="T78" s="20" t="n">
        <v>0.87557839</v>
      </c>
    </row>
    <row r="79" spans="1:20">
      <c r="A79" s="15" t="s">
        <v>639</v>
      </c>
      <c r="B79" s="17" t="n">
        <v>3154</v>
      </c>
      <c r="C79" s="18">
        <f>(2866.0/B79*100)</f>
        <v/>
      </c>
      <c r="D79" s="19" t="n">
        <v>288</v>
      </c>
      <c r="E79" s="18" t="n">
        <v>53.38525908</v>
      </c>
      <c r="F79" s="20" t="n">
        <v>3.07671676</v>
      </c>
      <c r="G79" s="18" t="n">
        <v>8.533214210000001</v>
      </c>
      <c r="H79" s="20" t="n">
        <v>1.98286207</v>
      </c>
      <c r="I79" s="18" t="n">
        <v>31.42691578</v>
      </c>
      <c r="J79" s="20" t="n">
        <v>2.69262615</v>
      </c>
      <c r="K79" s="18" t="n">
        <v>0</v>
      </c>
      <c r="L79" s="20" t="n">
        <v>0</v>
      </c>
      <c r="M79" s="18" t="n">
        <v>3.38691065</v>
      </c>
      <c r="N79" s="20" t="n">
        <v>1.20511681</v>
      </c>
      <c r="O79" s="18" t="n">
        <v>0</v>
      </c>
      <c r="P79" s="20" t="n">
        <v>0</v>
      </c>
      <c r="Q79" s="18" t="n">
        <v>0</v>
      </c>
      <c r="R79" s="20" t="n">
        <v>0</v>
      </c>
      <c r="S79" s="18" t="n">
        <v>3.26770029</v>
      </c>
      <c r="T79" s="20" t="n">
        <v>1.36141654</v>
      </c>
    </row>
    <row r="80" spans="1:20">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15961</v>
      </c>
      <c r="C82" s="18">
        <f>(14285.0/B82*100)</f>
        <v/>
      </c>
      <c r="D82" s="19" t="n">
        <v>1676</v>
      </c>
      <c r="E82" s="18" t="n">
        <v>32.45381987</v>
      </c>
      <c r="F82" s="20" t="n">
        <v>1.87838646</v>
      </c>
      <c r="G82" s="18" t="n">
        <v>16.27916278</v>
      </c>
      <c r="H82" s="20" t="n">
        <v>1.25065301</v>
      </c>
      <c r="I82" s="18" t="n">
        <v>48.29775715</v>
      </c>
      <c r="J82" s="20" t="n">
        <v>1.87756485</v>
      </c>
      <c r="K82" s="18" t="n">
        <v>0</v>
      </c>
      <c r="L82" s="20" t="n">
        <v>0</v>
      </c>
      <c r="M82" s="18" t="n">
        <v>1.20556569</v>
      </c>
      <c r="N82" s="20" t="n">
        <v>0.43987908</v>
      </c>
      <c r="O82" s="18" t="n">
        <v>0</v>
      </c>
      <c r="P82" s="20" t="n">
        <v>0</v>
      </c>
      <c r="Q82" s="18" t="n">
        <v>0</v>
      </c>
      <c r="R82" s="20" t="n">
        <v>0</v>
      </c>
      <c r="S82" s="18" t="n">
        <v>1.76369451</v>
      </c>
      <c r="T82" s="20" t="n">
        <v>0.52366451</v>
      </c>
    </row>
    <row r="83" spans="1:20">
      <c r="A83" s="15" t="s">
        <v>643</v>
      </c>
      <c r="B83" s="17" t="n">
        <v>808</v>
      </c>
      <c r="C83" s="18">
        <f>(723.0/B83*100)</f>
        <v/>
      </c>
      <c r="D83" s="19" t="n">
        <v>85</v>
      </c>
      <c r="E83" s="18" t="n">
        <v>19.82747739</v>
      </c>
      <c r="F83" s="20" t="n">
        <v>4.32519629</v>
      </c>
      <c r="G83" s="18" t="n">
        <v>19.00482288</v>
      </c>
      <c r="H83" s="20" t="n">
        <v>3.6105835</v>
      </c>
      <c r="I83" s="18" t="n">
        <v>60.14017799</v>
      </c>
      <c r="J83" s="20" t="n">
        <v>5.32809305</v>
      </c>
      <c r="K83" s="18" t="n">
        <v>0</v>
      </c>
      <c r="L83" s="20" t="n">
        <v>0</v>
      </c>
      <c r="M83" s="18" t="n">
        <v>0</v>
      </c>
      <c r="N83" s="20" t="n">
        <v>0</v>
      </c>
      <c r="O83" s="18" t="n">
        <v>0</v>
      </c>
      <c r="P83" s="20" t="n">
        <v>0</v>
      </c>
      <c r="Q83" s="18" t="n">
        <v>0</v>
      </c>
      <c r="R83" s="20" t="n">
        <v>0</v>
      </c>
      <c r="S83" s="18" t="n">
        <v>1.02752174</v>
      </c>
      <c r="T83" s="20" t="n">
        <v>0.9670851499999999</v>
      </c>
    </row>
    <row r="84" spans="1:20">
      <c r="A84" s="23" t="s">
        <v>644</v>
      </c>
      <c r="B84" s="24" t="n">
        <v>938</v>
      </c>
      <c r="C84" s="25">
        <f>(839.0/B84*100)</f>
        <v/>
      </c>
      <c r="D84" s="19" t="n">
        <v>99</v>
      </c>
      <c r="E84" s="18" t="n">
        <v>25.5882035</v>
      </c>
      <c r="F84" s="20" t="n">
        <v>5.53648528</v>
      </c>
      <c r="G84" s="18" t="n">
        <v>13.62863105</v>
      </c>
      <c r="H84" s="20" t="n">
        <v>4.16493026</v>
      </c>
      <c r="I84" s="18" t="n">
        <v>58.46908648</v>
      </c>
      <c r="J84" s="20" t="n">
        <v>5.80278902</v>
      </c>
      <c r="K84" s="18" t="n">
        <v>0</v>
      </c>
      <c r="L84" s="20" t="n">
        <v>0</v>
      </c>
      <c r="M84" s="18" t="n">
        <v>1.3740764</v>
      </c>
      <c r="N84" s="20" t="n">
        <v>1.34323903</v>
      </c>
      <c r="O84" s="18" t="n">
        <v>0</v>
      </c>
      <c r="P84" s="20" t="n">
        <v>0</v>
      </c>
      <c r="Q84" s="18" t="n">
        <v>0</v>
      </c>
      <c r="R84" s="20" t="n">
        <v>0</v>
      </c>
      <c r="S84" s="18" t="n">
        <v>0.94000257</v>
      </c>
      <c r="T84" s="20" t="n">
        <v>0.91747251</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(6434.0/B7*100)</f>
        <v/>
      </c>
      <c r="D7" s="19" t="n">
        <v>729</v>
      </c>
      <c r="E7" s="18" t="n">
        <v>51.09858395</v>
      </c>
      <c r="F7" s="20" t="n">
        <v>2.2179912</v>
      </c>
      <c r="G7" s="18" t="n">
        <v>39.26569504</v>
      </c>
      <c r="H7" s="20" t="n">
        <v>2.38741965</v>
      </c>
      <c r="I7" s="18" t="n">
        <v>0</v>
      </c>
      <c r="J7" s="20" t="n">
        <v>0</v>
      </c>
      <c r="K7" s="18" t="n">
        <v>3.08874048</v>
      </c>
      <c r="L7" s="20" t="n">
        <v>0.66301847</v>
      </c>
      <c r="M7" s="18" t="n">
        <v>0</v>
      </c>
      <c r="N7" s="20" t="n">
        <v>0</v>
      </c>
      <c r="O7" s="18" t="n">
        <v>0</v>
      </c>
      <c r="P7" s="20" t="n">
        <v>0</v>
      </c>
      <c r="Q7" s="18" t="n">
        <v>6.54698053</v>
      </c>
      <c r="R7" s="20" t="n">
        <v>1.05724531</v>
      </c>
    </row>
    <row r="8" spans="1:18">
      <c r="A8" s="15" t="s">
        <v>566</v>
      </c>
      <c r="B8" s="17" t="n">
        <v>3443</v>
      </c>
      <c r="C8" s="18">
        <f>(3070.0/B8*100)</f>
        <v/>
      </c>
      <c r="D8" s="19" t="n">
        <v>373</v>
      </c>
      <c r="E8" s="18" t="n">
        <v>54.26864135</v>
      </c>
      <c r="F8" s="20" t="n">
        <v>2.799742</v>
      </c>
      <c r="G8" s="18" t="n">
        <v>32.94595385</v>
      </c>
      <c r="H8" s="20" t="n">
        <v>2.49837273</v>
      </c>
      <c r="I8" s="18" t="n">
        <v>0</v>
      </c>
      <c r="J8" s="20" t="n">
        <v>0</v>
      </c>
      <c r="K8" s="18" t="n">
        <v>2.07879394</v>
      </c>
      <c r="L8" s="20" t="n">
        <v>0.80094992</v>
      </c>
      <c r="M8" s="18" t="n">
        <v>0</v>
      </c>
      <c r="N8" s="20" t="n">
        <v>0</v>
      </c>
      <c r="O8" s="18" t="n">
        <v>0</v>
      </c>
      <c r="P8" s="20" t="n">
        <v>0</v>
      </c>
      <c r="Q8" s="18" t="n">
        <v>10.70661086</v>
      </c>
      <c r="R8" s="20" t="n">
        <v>2.00549989</v>
      </c>
    </row>
    <row r="9" spans="1:18">
      <c r="A9" s="15" t="s">
        <v>567</v>
      </c>
      <c r="B9" s="17" t="n">
        <v>4752</v>
      </c>
      <c r="C9" s="18">
        <f>(4296.0/B9*100)</f>
        <v/>
      </c>
      <c r="D9" s="19" t="n">
        <v>456</v>
      </c>
      <c r="E9" s="18" t="n">
        <v>49.97736027</v>
      </c>
      <c r="F9" s="20" t="n">
        <v>2.74020509</v>
      </c>
      <c r="G9" s="18" t="n">
        <v>40.93216636</v>
      </c>
      <c r="H9" s="20" t="n">
        <v>3.0710768</v>
      </c>
      <c r="I9" s="18" t="n">
        <v>0</v>
      </c>
      <c r="J9" s="20" t="n">
        <v>0</v>
      </c>
      <c r="K9" s="18" t="n">
        <v>0.79553372</v>
      </c>
      <c r="L9" s="20" t="n">
        <v>0.45118842</v>
      </c>
      <c r="M9" s="18" t="n">
        <v>0</v>
      </c>
      <c r="N9" s="20" t="n">
        <v>0</v>
      </c>
      <c r="O9" s="18" t="n">
        <v>0</v>
      </c>
      <c r="P9" s="20" t="n">
        <v>0</v>
      </c>
      <c r="Q9" s="18" t="n">
        <v>8.29493965</v>
      </c>
      <c r="R9" s="20" t="n">
        <v>1.42162512</v>
      </c>
    </row>
    <row r="10" spans="1:18">
      <c r="A10" s="15" t="s">
        <v>568</v>
      </c>
      <c r="B10" s="17" t="n">
        <v>10022</v>
      </c>
      <c r="C10" s="18">
        <f>(8922.0/B10*100)</f>
        <v/>
      </c>
      <c r="D10" s="19" t="n">
        <v>1100</v>
      </c>
      <c r="E10" s="18" t="n">
        <v>53.31607518</v>
      </c>
      <c r="F10" s="20" t="n">
        <v>2.02786571</v>
      </c>
      <c r="G10" s="18" t="n">
        <v>42.20042105</v>
      </c>
      <c r="H10" s="20" t="n">
        <v>2.08283544</v>
      </c>
      <c r="I10" s="18" t="n">
        <v>0</v>
      </c>
      <c r="J10" s="20" t="n">
        <v>0</v>
      </c>
      <c r="K10" s="18" t="n">
        <v>2.03614568</v>
      </c>
      <c r="L10" s="20" t="n">
        <v>0.68146432</v>
      </c>
      <c r="M10" s="18" t="n">
        <v>0</v>
      </c>
      <c r="N10" s="20" t="n">
        <v>0</v>
      </c>
      <c r="O10" s="18" t="n">
        <v>0</v>
      </c>
      <c r="P10" s="20" t="n">
        <v>0</v>
      </c>
      <c r="Q10" s="18" t="n">
        <v>2.44735809</v>
      </c>
      <c r="R10" s="20" t="n">
        <v>0.53583459</v>
      </c>
    </row>
    <row r="11" spans="1:18">
      <c r="A11" s="15" t="s">
        <v>569</v>
      </c>
      <c r="B11" s="17" t="n">
        <v>3500</v>
      </c>
      <c r="C11" s="18">
        <f>(3169.0/B11*100)</f>
        <v/>
      </c>
      <c r="D11" s="19" t="n">
        <v>331</v>
      </c>
      <c r="E11" s="18" t="n">
        <v>47.09711208</v>
      </c>
      <c r="F11" s="20" t="n">
        <v>2.85040438</v>
      </c>
      <c r="G11" s="18" t="n">
        <v>40.79314557</v>
      </c>
      <c r="H11" s="20" t="n">
        <v>3.09949367</v>
      </c>
      <c r="I11" s="18" t="n">
        <v>0</v>
      </c>
      <c r="J11" s="20" t="n">
        <v>0</v>
      </c>
      <c r="K11" s="18" t="n">
        <v>5.8186204</v>
      </c>
      <c r="L11" s="20" t="n">
        <v>1.54614572</v>
      </c>
      <c r="M11" s="18" t="n">
        <v>0</v>
      </c>
      <c r="N11" s="20" t="n">
        <v>0</v>
      </c>
      <c r="O11" s="18" t="n">
        <v>0</v>
      </c>
      <c r="P11" s="20" t="n">
        <v>0</v>
      </c>
      <c r="Q11" s="18" t="n">
        <v>6.29112195</v>
      </c>
      <c r="R11" s="20" t="n">
        <v>1.21226583</v>
      </c>
    </row>
    <row r="12" spans="1:18">
      <c r="A12" s="15" t="s">
        <v>570</v>
      </c>
      <c r="B12" s="17" t="n">
        <v>3422</v>
      </c>
      <c r="C12" s="18">
        <f>(3071.0/B12*100)</f>
        <v/>
      </c>
      <c r="D12" s="19" t="n">
        <v>351</v>
      </c>
      <c r="E12" s="18" t="n">
        <v>30.29392664</v>
      </c>
      <c r="F12" s="20" t="n">
        <v>2.90109747</v>
      </c>
      <c r="G12" s="18" t="n">
        <v>51.69792286</v>
      </c>
      <c r="H12" s="20" t="n">
        <v>2.85519824</v>
      </c>
      <c r="I12" s="18" t="n">
        <v>0</v>
      </c>
      <c r="J12" s="20" t="n">
        <v>0</v>
      </c>
      <c r="K12" s="18" t="n">
        <v>1.82573791</v>
      </c>
      <c r="L12" s="20" t="n">
        <v>0.62647182</v>
      </c>
      <c r="M12" s="18" t="n">
        <v>0</v>
      </c>
      <c r="N12" s="20" t="n">
        <v>0</v>
      </c>
      <c r="O12" s="18" t="n">
        <v>0</v>
      </c>
      <c r="P12" s="20" t="n">
        <v>0</v>
      </c>
      <c r="Q12" s="18" t="n">
        <v>16.18241259</v>
      </c>
      <c r="R12" s="20" t="n">
        <v>2.23074956</v>
      </c>
    </row>
    <row r="13" spans="1:18">
      <c r="A13" s="15" t="s">
        <v>571</v>
      </c>
      <c r="B13" s="17" t="n">
        <v>3602</v>
      </c>
      <c r="C13" s="18">
        <f>(3217.0/B13*100)</f>
        <v/>
      </c>
      <c r="D13" s="19" t="n">
        <v>385</v>
      </c>
      <c r="E13" s="18" t="n">
        <v>48.99619074</v>
      </c>
      <c r="F13" s="20" t="n">
        <v>3.17950136</v>
      </c>
      <c r="G13" s="18" t="n">
        <v>41.51046911</v>
      </c>
      <c r="H13" s="20" t="n">
        <v>3.24577973</v>
      </c>
      <c r="I13" s="18" t="n">
        <v>0</v>
      </c>
      <c r="J13" s="20" t="n">
        <v>0</v>
      </c>
      <c r="K13" s="18" t="n">
        <v>0.5915613</v>
      </c>
      <c r="L13" s="20" t="n">
        <v>0.08602882000000001</v>
      </c>
      <c r="M13" s="18" t="n">
        <v>0</v>
      </c>
      <c r="N13" s="20" t="n">
        <v>0</v>
      </c>
      <c r="O13" s="18" t="n">
        <v>0</v>
      </c>
      <c r="P13" s="20" t="n">
        <v>0</v>
      </c>
      <c r="Q13" s="18" t="n">
        <v>8.901778849999999</v>
      </c>
      <c r="R13" s="20" t="n">
        <v>1.78441917</v>
      </c>
    </row>
    <row r="14" spans="1:18">
      <c r="A14" s="15" t="s">
        <v>572</v>
      </c>
      <c r="B14" s="17" t="n">
        <v>2788</v>
      </c>
      <c r="C14" s="18">
        <f>(2482.0/B14*100)</f>
        <v/>
      </c>
      <c r="D14" s="19" t="n">
        <v>306</v>
      </c>
      <c r="E14" s="18" t="n">
        <v>37.08573575</v>
      </c>
      <c r="F14" s="20" t="n">
        <v>3.04907302</v>
      </c>
      <c r="G14" s="18" t="n">
        <v>58.465395</v>
      </c>
      <c r="H14" s="20" t="n">
        <v>3.17277994</v>
      </c>
      <c r="I14" s="18" t="n">
        <v>0</v>
      </c>
      <c r="J14" s="20" t="n">
        <v>0</v>
      </c>
      <c r="K14" s="18" t="n">
        <v>0.26098902</v>
      </c>
      <c r="L14" s="20" t="n">
        <v>0.2589171</v>
      </c>
      <c r="M14" s="18" t="n">
        <v>0</v>
      </c>
      <c r="N14" s="20" t="n">
        <v>0</v>
      </c>
      <c r="O14" s="18" t="n">
        <v>0</v>
      </c>
      <c r="P14" s="20" t="n">
        <v>0</v>
      </c>
      <c r="Q14" s="18" t="n">
        <v>4.18788023</v>
      </c>
      <c r="R14" s="20" t="n">
        <v>1.19051639</v>
      </c>
    </row>
    <row r="15" spans="1:18">
      <c r="A15" s="15" t="s">
        <v>573</v>
      </c>
      <c r="B15" s="17" t="n">
        <v>2863</v>
      </c>
      <c r="C15" s="18">
        <f>(2569.0/B15*100)</f>
        <v/>
      </c>
      <c r="D15" s="19" t="n">
        <v>294</v>
      </c>
      <c r="E15" s="18" t="n">
        <v>45.96803425</v>
      </c>
      <c r="F15" s="20" t="n">
        <v>2.8011316</v>
      </c>
      <c r="G15" s="18" t="n">
        <v>50.39833625</v>
      </c>
      <c r="H15" s="20" t="n">
        <v>2.78407943</v>
      </c>
      <c r="I15" s="18" t="n">
        <v>0</v>
      </c>
      <c r="J15" s="20" t="n">
        <v>0</v>
      </c>
      <c r="K15" s="18" t="n">
        <v>0.60005819</v>
      </c>
      <c r="L15" s="20" t="n">
        <v>0.42804916</v>
      </c>
      <c r="M15" s="18" t="n">
        <v>0</v>
      </c>
      <c r="N15" s="20" t="n">
        <v>0</v>
      </c>
      <c r="O15" s="18" t="n">
        <v>0</v>
      </c>
      <c r="P15" s="20" t="n">
        <v>0</v>
      </c>
      <c r="Q15" s="18" t="n">
        <v>3.03357132</v>
      </c>
      <c r="R15" s="20" t="n">
        <v>0.98429511</v>
      </c>
    </row>
    <row r="16" spans="1:18">
      <c r="A16" s="15" t="s">
        <v>574</v>
      </c>
      <c r="B16" s="17" t="n">
        <v>3111</v>
      </c>
      <c r="C16" s="18">
        <f>(2799.0/B16*100)</f>
        <v/>
      </c>
      <c r="D16" s="19" t="n">
        <v>312</v>
      </c>
      <c r="E16" s="18" t="n">
        <v>35.74064774</v>
      </c>
      <c r="F16" s="20" t="n">
        <v>2.40113131</v>
      </c>
      <c r="G16" s="18" t="n">
        <v>48.34689603</v>
      </c>
      <c r="H16" s="20" t="n">
        <v>2.90532665</v>
      </c>
      <c r="I16" s="18" t="n">
        <v>0</v>
      </c>
      <c r="J16" s="20" t="n">
        <v>0</v>
      </c>
      <c r="K16" s="18" t="n">
        <v>3.24509307</v>
      </c>
      <c r="L16" s="20" t="n">
        <v>1.17288872</v>
      </c>
      <c r="M16" s="18" t="n">
        <v>0</v>
      </c>
      <c r="N16" s="20" t="n">
        <v>0</v>
      </c>
      <c r="O16" s="18" t="n">
        <v>0</v>
      </c>
      <c r="P16" s="20" t="n">
        <v>0</v>
      </c>
      <c r="Q16" s="18" t="n">
        <v>12.66736317</v>
      </c>
      <c r="R16" s="20" t="n">
        <v>2.10827544</v>
      </c>
    </row>
    <row r="17" spans="1:18">
      <c r="A17" s="15" t="s">
        <v>575</v>
      </c>
      <c r="B17" s="17" t="n">
        <v>3197</v>
      </c>
      <c r="C17" s="18">
        <f>(2868.0/B17*100)</f>
        <v/>
      </c>
      <c r="D17" s="19" t="n">
        <v>329</v>
      </c>
      <c r="E17" s="18" t="n">
        <v>51.65692465</v>
      </c>
      <c r="F17" s="20" t="n">
        <v>2.94462216</v>
      </c>
      <c r="G17" s="18" t="n">
        <v>38.8662151</v>
      </c>
      <c r="H17" s="20" t="n">
        <v>2.84700834</v>
      </c>
      <c r="I17" s="18" t="n">
        <v>0</v>
      </c>
      <c r="J17" s="20" t="n">
        <v>0</v>
      </c>
      <c r="K17" s="18" t="n">
        <v>0.643616</v>
      </c>
      <c r="L17" s="20" t="n">
        <v>0.38060784</v>
      </c>
      <c r="M17" s="18" t="n">
        <v>0</v>
      </c>
      <c r="N17" s="20" t="n">
        <v>0</v>
      </c>
      <c r="O17" s="18" t="n">
        <v>0</v>
      </c>
      <c r="P17" s="20" t="n">
        <v>0</v>
      </c>
      <c r="Q17" s="18" t="n">
        <v>8.83324425</v>
      </c>
      <c r="R17" s="20" t="n">
        <v>1.7899544</v>
      </c>
    </row>
    <row r="18" spans="1:18">
      <c r="A18" s="15" t="s">
        <v>576</v>
      </c>
      <c r="B18" s="17" t="n">
        <v>2706</v>
      </c>
      <c r="C18" s="18">
        <f>(2428.0/B18*100)</f>
        <v/>
      </c>
      <c r="D18" s="19" t="n">
        <v>278</v>
      </c>
      <c r="E18" s="18" t="n">
        <v>34.86063131</v>
      </c>
      <c r="F18" s="20" t="n">
        <v>2.91923737</v>
      </c>
      <c r="G18" s="18" t="n">
        <v>51.37790361</v>
      </c>
      <c r="H18" s="20" t="n">
        <v>2.95423725</v>
      </c>
      <c r="I18" s="18" t="n">
        <v>0</v>
      </c>
      <c r="J18" s="20" t="n">
        <v>0</v>
      </c>
      <c r="K18" s="18" t="n">
        <v>1.8182314</v>
      </c>
      <c r="L18" s="20" t="n">
        <v>0.72154328</v>
      </c>
      <c r="M18" s="18" t="n">
        <v>0</v>
      </c>
      <c r="N18" s="20" t="n">
        <v>0</v>
      </c>
      <c r="O18" s="18" t="n">
        <v>0</v>
      </c>
      <c r="P18" s="20" t="n">
        <v>0</v>
      </c>
      <c r="Q18" s="18" t="n">
        <v>11.94323367</v>
      </c>
      <c r="R18" s="20" t="n">
        <v>2.25954103</v>
      </c>
    </row>
    <row r="19" spans="1:18">
      <c r="A19" s="15" t="s">
        <v>577</v>
      </c>
      <c r="B19" s="17" t="n">
        <v>2850</v>
      </c>
      <c r="C19" s="18">
        <f>(2564.0/B19*100)</f>
        <v/>
      </c>
      <c r="D19" s="19" t="n">
        <v>286</v>
      </c>
      <c r="E19" s="18" t="n">
        <v>49.94402712</v>
      </c>
      <c r="F19" s="20" t="n">
        <v>4.0427691</v>
      </c>
      <c r="G19" s="18" t="n">
        <v>37.12802407</v>
      </c>
      <c r="H19" s="20" t="n">
        <v>3.38396974</v>
      </c>
      <c r="I19" s="18" t="n">
        <v>0</v>
      </c>
      <c r="J19" s="20" t="n">
        <v>0</v>
      </c>
      <c r="K19" s="18" t="n">
        <v>0</v>
      </c>
      <c r="L19" s="20" t="n">
        <v>0</v>
      </c>
      <c r="M19" s="18" t="n">
        <v>0</v>
      </c>
      <c r="N19" s="20" t="n">
        <v>0</v>
      </c>
      <c r="O19" s="18" t="n">
        <v>0</v>
      </c>
      <c r="P19" s="20" t="n">
        <v>0</v>
      </c>
      <c r="Q19" s="18" t="n">
        <v>12.92794882</v>
      </c>
      <c r="R19" s="20" t="n">
        <v>1.94189767</v>
      </c>
    </row>
    <row r="20" spans="1:18">
      <c r="A20" s="15" t="s">
        <v>578</v>
      </c>
      <c r="B20" s="17" t="n">
        <v>1741</v>
      </c>
      <c r="C20" s="18">
        <f>(1534.0/B20*100)</f>
        <v/>
      </c>
      <c r="D20" s="19" t="n">
        <v>207</v>
      </c>
      <c r="E20" s="18" t="n">
        <v>54.08191497</v>
      </c>
      <c r="F20" s="20" t="n">
        <v>3.25823423</v>
      </c>
      <c r="G20" s="18" t="n">
        <v>37.14506278</v>
      </c>
      <c r="H20" s="20" t="n">
        <v>3.41846975</v>
      </c>
      <c r="I20" s="18" t="n">
        <v>0</v>
      </c>
      <c r="J20" s="20" t="n">
        <v>0</v>
      </c>
      <c r="K20" s="18" t="n">
        <v>0.40812803</v>
      </c>
      <c r="L20" s="20" t="n">
        <v>0.40121883</v>
      </c>
      <c r="M20" s="18" t="n">
        <v>0</v>
      </c>
      <c r="N20" s="20" t="n">
        <v>0</v>
      </c>
      <c r="O20" s="18" t="n">
        <v>0</v>
      </c>
      <c r="P20" s="20" t="n">
        <v>0</v>
      </c>
      <c r="Q20" s="18" t="n">
        <v>8.364894209999999</v>
      </c>
      <c r="R20" s="20" t="n">
        <v>2.01467579</v>
      </c>
    </row>
    <row r="21" spans="1:18">
      <c r="A21" s="15" t="s">
        <v>579</v>
      </c>
      <c r="B21" s="17" t="n">
        <v>2833</v>
      </c>
      <c r="C21" s="18">
        <f>(2538.0/B21*100)</f>
        <v/>
      </c>
      <c r="D21" s="19" t="n">
        <v>295</v>
      </c>
      <c r="E21" s="18" t="n">
        <v>59.79835017</v>
      </c>
      <c r="F21" s="20" t="n">
        <v>3.04185839</v>
      </c>
      <c r="G21" s="18" t="n">
        <v>38.99833711</v>
      </c>
      <c r="H21" s="20" t="n">
        <v>2.97703277</v>
      </c>
      <c r="I21" s="18" t="n">
        <v>0</v>
      </c>
      <c r="J21" s="20" t="n">
        <v>0</v>
      </c>
      <c r="K21" s="18" t="n">
        <v>0.67054836</v>
      </c>
      <c r="L21" s="20" t="n">
        <v>0.5939803</v>
      </c>
      <c r="M21" s="18" t="n">
        <v>0</v>
      </c>
      <c r="N21" s="20" t="n">
        <v>0</v>
      </c>
      <c r="O21" s="18" t="n">
        <v>0</v>
      </c>
      <c r="P21" s="20" t="n">
        <v>0</v>
      </c>
      <c r="Q21" s="18" t="n">
        <v>0.53276436</v>
      </c>
      <c r="R21" s="20" t="n">
        <v>0.34140453</v>
      </c>
    </row>
    <row r="22" spans="1:18">
      <c r="A22" s="15" t="s">
        <v>580</v>
      </c>
      <c r="B22" s="17" t="n">
        <v>3667</v>
      </c>
      <c r="C22" s="18">
        <f>(3326.0/B22*100)</f>
        <v/>
      </c>
      <c r="D22" s="19" t="n">
        <v>341</v>
      </c>
      <c r="E22" s="18" t="n">
        <v>55.57411059</v>
      </c>
      <c r="F22" s="20" t="n">
        <v>2.76895772</v>
      </c>
      <c r="G22" s="18" t="n">
        <v>28.72634946</v>
      </c>
      <c r="H22" s="20" t="n">
        <v>2.55650035</v>
      </c>
      <c r="I22" s="18" t="n">
        <v>0</v>
      </c>
      <c r="J22" s="20" t="n">
        <v>0</v>
      </c>
      <c r="K22" s="18" t="n">
        <v>2.61801299</v>
      </c>
      <c r="L22" s="20" t="n">
        <v>0.762159</v>
      </c>
      <c r="M22" s="18" t="n">
        <v>0</v>
      </c>
      <c r="N22" s="20" t="n">
        <v>0</v>
      </c>
      <c r="O22" s="18" t="n">
        <v>0</v>
      </c>
      <c r="P22" s="20" t="n">
        <v>0</v>
      </c>
      <c r="Q22" s="18" t="n">
        <v>13.08152695</v>
      </c>
      <c r="R22" s="20" t="n">
        <v>2.07355008</v>
      </c>
    </row>
    <row r="23" spans="1:18">
      <c r="A23" s="15" t="s">
        <v>581</v>
      </c>
      <c r="B23" s="17" t="n">
        <v>5792</v>
      </c>
      <c r="C23" s="18">
        <f>(5181.0/B23*100)</f>
        <v/>
      </c>
      <c r="D23" s="19" t="n">
        <v>611</v>
      </c>
      <c r="E23" s="18" t="n">
        <v>48.57184509</v>
      </c>
      <c r="F23" s="20" t="n">
        <v>2.82104827</v>
      </c>
      <c r="G23" s="18" t="n">
        <v>29.74917905</v>
      </c>
      <c r="H23" s="20" t="n">
        <v>2.5324056</v>
      </c>
      <c r="I23" s="18" t="n">
        <v>0</v>
      </c>
      <c r="J23" s="20" t="n">
        <v>0</v>
      </c>
      <c r="K23" s="18" t="n">
        <v>4.5893691</v>
      </c>
      <c r="L23" s="20" t="n">
        <v>1.45323814</v>
      </c>
      <c r="M23" s="18" t="n">
        <v>0</v>
      </c>
      <c r="N23" s="20" t="n">
        <v>0</v>
      </c>
      <c r="O23" s="18" t="n">
        <v>0</v>
      </c>
      <c r="P23" s="20" t="n">
        <v>0</v>
      </c>
      <c r="Q23" s="18" t="n">
        <v>17.08960676</v>
      </c>
      <c r="R23" s="20" t="n">
        <v>2.77377014</v>
      </c>
    </row>
    <row r="24" spans="1:18">
      <c r="A24" s="15" t="s">
        <v>582</v>
      </c>
      <c r="B24" s="17" t="n">
        <v>3309</v>
      </c>
      <c r="C24" s="18">
        <f>(2973.0/B24*100)</f>
        <v/>
      </c>
      <c r="D24" s="19" t="n">
        <v>336</v>
      </c>
      <c r="E24" s="18" t="n">
        <v>55.07080667</v>
      </c>
      <c r="F24" s="20" t="n">
        <v>2.66110474</v>
      </c>
      <c r="G24" s="18" t="n">
        <v>39.79209417</v>
      </c>
      <c r="H24" s="20" t="n">
        <v>2.56434346</v>
      </c>
      <c r="I24" s="18" t="n">
        <v>0</v>
      </c>
      <c r="J24" s="20" t="n">
        <v>0</v>
      </c>
      <c r="K24" s="18" t="n">
        <v>0.64866064</v>
      </c>
      <c r="L24" s="20" t="n">
        <v>0.46477752</v>
      </c>
      <c r="M24" s="18" t="n">
        <v>0</v>
      </c>
      <c r="N24" s="20" t="n">
        <v>0</v>
      </c>
      <c r="O24" s="18" t="n">
        <v>0</v>
      </c>
      <c r="P24" s="20" t="n">
        <v>0</v>
      </c>
      <c r="Q24" s="18" t="n">
        <v>4.48843852</v>
      </c>
      <c r="R24" s="20" t="n">
        <v>1.13730903</v>
      </c>
    </row>
    <row r="25" spans="1:18">
      <c r="A25" s="15" t="s">
        <v>583</v>
      </c>
      <c r="B25" s="17" t="n">
        <v>2669</v>
      </c>
      <c r="C25" s="18">
        <f>(2362.0/B25*100)</f>
        <v/>
      </c>
      <c r="D25" s="19" t="n">
        <v>307</v>
      </c>
      <c r="E25" s="18" t="n">
        <v>52.93141969</v>
      </c>
      <c r="F25" s="20" t="n">
        <v>3.03043833</v>
      </c>
      <c r="G25" s="18" t="n">
        <v>41.79861174</v>
      </c>
      <c r="H25" s="20" t="n">
        <v>3.44503984</v>
      </c>
      <c r="I25" s="18" t="n">
        <v>0</v>
      </c>
      <c r="J25" s="20" t="n">
        <v>0</v>
      </c>
      <c r="K25" s="18" t="n">
        <v>0.8595034499999999</v>
      </c>
      <c r="L25" s="20" t="n">
        <v>0.50469712</v>
      </c>
      <c r="M25" s="18" t="n">
        <v>0</v>
      </c>
      <c r="N25" s="20" t="n">
        <v>0</v>
      </c>
      <c r="O25" s="18" t="n">
        <v>0</v>
      </c>
      <c r="P25" s="20" t="n">
        <v>0</v>
      </c>
      <c r="Q25" s="18" t="n">
        <v>4.41046513</v>
      </c>
      <c r="R25" s="20" t="n">
        <v>1.16876288</v>
      </c>
    </row>
    <row r="26" spans="1:18">
      <c r="A26" s="15" t="s">
        <v>584</v>
      </c>
      <c r="B26" s="17" t="n">
        <v>2419</v>
      </c>
      <c r="C26" s="18">
        <f>(2165.0/B26*100)</f>
        <v/>
      </c>
      <c r="D26" s="19" t="n">
        <v>254</v>
      </c>
      <c r="E26" s="18" t="n">
        <v>43.48272357</v>
      </c>
      <c r="F26" s="20" t="n">
        <v>3.59082185</v>
      </c>
      <c r="G26" s="18" t="n">
        <v>52.34212236</v>
      </c>
      <c r="H26" s="20" t="n">
        <v>3.69631257</v>
      </c>
      <c r="I26" s="18" t="n">
        <v>0</v>
      </c>
      <c r="J26" s="20" t="n">
        <v>0</v>
      </c>
      <c r="K26" s="18" t="n">
        <v>0.30683601</v>
      </c>
      <c r="L26" s="20" t="n">
        <v>0.33458213</v>
      </c>
      <c r="M26" s="18" t="n">
        <v>0</v>
      </c>
      <c r="N26" s="20" t="n">
        <v>0</v>
      </c>
      <c r="O26" s="18" t="n">
        <v>0</v>
      </c>
      <c r="P26" s="20" t="n">
        <v>0</v>
      </c>
      <c r="Q26" s="18" t="n">
        <v>3.86831806</v>
      </c>
      <c r="R26" s="20" t="n">
        <v>1.10045359</v>
      </c>
    </row>
    <row r="27" spans="1:18">
      <c r="A27" s="15" t="s">
        <v>585</v>
      </c>
      <c r="B27" s="17" t="n">
        <v>2683</v>
      </c>
      <c r="C27" s="18">
        <f>(2409.0/B27*100)</f>
        <v/>
      </c>
      <c r="D27" s="19" t="n">
        <v>274</v>
      </c>
      <c r="E27" s="18" t="n">
        <v>46.0475985</v>
      </c>
      <c r="F27" s="20" t="n">
        <v>3.02736668</v>
      </c>
      <c r="G27" s="18" t="n">
        <v>40.19742161</v>
      </c>
      <c r="H27" s="20" t="n">
        <v>2.98700976</v>
      </c>
      <c r="I27" s="18" t="n">
        <v>0</v>
      </c>
      <c r="J27" s="20" t="n">
        <v>0</v>
      </c>
      <c r="K27" s="18" t="n">
        <v>1.09322456</v>
      </c>
      <c r="L27" s="20" t="n">
        <v>0.56501413</v>
      </c>
      <c r="M27" s="18" t="n">
        <v>0</v>
      </c>
      <c r="N27" s="20" t="n">
        <v>0</v>
      </c>
      <c r="O27" s="18" t="n">
        <v>0</v>
      </c>
      <c r="P27" s="20" t="n">
        <v>0</v>
      </c>
      <c r="Q27" s="18" t="n">
        <v>12.66175533</v>
      </c>
      <c r="R27" s="20" t="n">
        <v>1.85897687</v>
      </c>
    </row>
    <row r="28" spans="1:18">
      <c r="A28" s="15" t="s">
        <v>586</v>
      </c>
      <c r="B28" s="17" t="n">
        <v>3803</v>
      </c>
      <c r="C28" s="18">
        <f>(3478.0/B28*100)</f>
        <v/>
      </c>
      <c r="D28" s="19" t="n">
        <v>325</v>
      </c>
      <c r="E28" s="18" t="n">
        <v>66.73465122</v>
      </c>
      <c r="F28" s="20" t="n">
        <v>2.49050988</v>
      </c>
      <c r="G28" s="18" t="n">
        <v>28.3551716</v>
      </c>
      <c r="H28" s="20" t="n">
        <v>2.4422017</v>
      </c>
      <c r="I28" s="18" t="n">
        <v>0</v>
      </c>
      <c r="J28" s="20" t="n">
        <v>0</v>
      </c>
      <c r="K28" s="18" t="n">
        <v>3.10227464</v>
      </c>
      <c r="L28" s="20" t="n">
        <v>1.0779489</v>
      </c>
      <c r="M28" s="18" t="n">
        <v>0</v>
      </c>
      <c r="N28" s="20" t="n">
        <v>0</v>
      </c>
      <c r="O28" s="18" t="n">
        <v>0</v>
      </c>
      <c r="P28" s="20" t="n">
        <v>0</v>
      </c>
      <c r="Q28" s="18" t="n">
        <v>1.80790254</v>
      </c>
      <c r="R28" s="20" t="n">
        <v>0.70252799</v>
      </c>
    </row>
    <row r="29" spans="1:18">
      <c r="A29" s="15" t="s">
        <v>587</v>
      </c>
      <c r="B29" s="17" t="n">
        <v>2700</v>
      </c>
      <c r="C29" s="18">
        <f>(2408.0/B29*100)</f>
        <v/>
      </c>
      <c r="D29" s="19" t="n">
        <v>292</v>
      </c>
      <c r="E29" s="18" t="n">
        <v>53.41979021</v>
      </c>
      <c r="F29" s="20" t="n">
        <v>2.93120719</v>
      </c>
      <c r="G29" s="18" t="n">
        <v>43.08054316</v>
      </c>
      <c r="H29" s="20" t="n">
        <v>2.88710725</v>
      </c>
      <c r="I29" s="18" t="n">
        <v>0</v>
      </c>
      <c r="J29" s="20" t="n">
        <v>0</v>
      </c>
      <c r="K29" s="18" t="n">
        <v>0.9430428199999999</v>
      </c>
      <c r="L29" s="20" t="n">
        <v>0.5567986700000001</v>
      </c>
      <c r="M29" s="18" t="n">
        <v>0</v>
      </c>
      <c r="N29" s="20" t="n">
        <v>0</v>
      </c>
      <c r="O29" s="18" t="n">
        <v>0</v>
      </c>
      <c r="P29" s="20" t="n">
        <v>0</v>
      </c>
      <c r="Q29" s="18" t="n">
        <v>2.55662381</v>
      </c>
      <c r="R29" s="20" t="n">
        <v>0.93927334</v>
      </c>
    </row>
    <row r="30" spans="1:18">
      <c r="A30" s="15" t="s">
        <v>588</v>
      </c>
      <c r="B30" s="17" t="n">
        <v>2257</v>
      </c>
      <c r="C30" s="18">
        <f>(2025.0/B30*100)</f>
        <v/>
      </c>
      <c r="D30" s="19" t="n">
        <v>232</v>
      </c>
      <c r="E30" s="18" t="n">
        <v>60.44160102</v>
      </c>
      <c r="F30" s="20" t="n">
        <v>3.5772998</v>
      </c>
      <c r="G30" s="18" t="n">
        <v>31.21230916</v>
      </c>
      <c r="H30" s="20" t="n">
        <v>2.78870881</v>
      </c>
      <c r="I30" s="18" t="n">
        <v>0</v>
      </c>
      <c r="J30" s="20" t="n">
        <v>0</v>
      </c>
      <c r="K30" s="18" t="n">
        <v>1.69218715</v>
      </c>
      <c r="L30" s="20" t="n">
        <v>0.85227608</v>
      </c>
      <c r="M30" s="18" t="n">
        <v>0</v>
      </c>
      <c r="N30" s="20" t="n">
        <v>0</v>
      </c>
      <c r="O30" s="18" t="n">
        <v>0</v>
      </c>
      <c r="P30" s="20" t="n">
        <v>0</v>
      </c>
      <c r="Q30" s="18" t="n">
        <v>6.65390267</v>
      </c>
      <c r="R30" s="20" t="n">
        <v>1.84961544</v>
      </c>
    </row>
    <row r="31" spans="1:18">
      <c r="A31" s="15" t="s">
        <v>589</v>
      </c>
      <c r="B31" s="17" t="n">
        <v>2706</v>
      </c>
      <c r="C31" s="18">
        <f>(2426.0/B31*100)</f>
        <v/>
      </c>
      <c r="D31" s="19" t="n">
        <v>280</v>
      </c>
      <c r="E31" s="18" t="n">
        <v>47.4586955</v>
      </c>
      <c r="F31" s="20" t="n">
        <v>3.07055206</v>
      </c>
      <c r="G31" s="18" t="n">
        <v>37.89710074</v>
      </c>
      <c r="H31" s="20" t="n">
        <v>2.69562255</v>
      </c>
      <c r="I31" s="18" t="n">
        <v>0</v>
      </c>
      <c r="J31" s="20" t="n">
        <v>0</v>
      </c>
      <c r="K31" s="18" t="n">
        <v>3.43205047</v>
      </c>
      <c r="L31" s="20" t="n">
        <v>1.06054303</v>
      </c>
      <c r="M31" s="18" t="n">
        <v>0</v>
      </c>
      <c r="N31" s="20" t="n">
        <v>0</v>
      </c>
      <c r="O31" s="18" t="n">
        <v>0</v>
      </c>
      <c r="P31" s="20" t="n">
        <v>0</v>
      </c>
      <c r="Q31" s="18" t="n">
        <v>11.21215329</v>
      </c>
      <c r="R31" s="20" t="n">
        <v>1.85597238</v>
      </c>
    </row>
    <row r="32" spans="1:18">
      <c r="A32" s="15" t="s">
        <v>590</v>
      </c>
      <c r="B32" s="17" t="n">
        <v>2209</v>
      </c>
      <c r="C32" s="18">
        <f>(1978.0/B32*100)</f>
        <v/>
      </c>
      <c r="D32" s="19" t="n">
        <v>231</v>
      </c>
      <c r="E32" s="18" t="n">
        <v>45.79664021</v>
      </c>
      <c r="F32" s="20" t="n">
        <v>3.35668463</v>
      </c>
      <c r="G32" s="18" t="n">
        <v>45.64060628</v>
      </c>
      <c r="H32" s="20" t="n">
        <v>2.98359239</v>
      </c>
      <c r="I32" s="18" t="n">
        <v>0</v>
      </c>
      <c r="J32" s="20" t="n">
        <v>0</v>
      </c>
      <c r="K32" s="18" t="n">
        <v>0</v>
      </c>
      <c r="L32" s="20" t="n">
        <v>0</v>
      </c>
      <c r="M32" s="18" t="n">
        <v>0</v>
      </c>
      <c r="N32" s="20" t="n">
        <v>0</v>
      </c>
      <c r="O32" s="18" t="n">
        <v>0</v>
      </c>
      <c r="P32" s="20" t="n">
        <v>0</v>
      </c>
      <c r="Q32" s="18" t="n">
        <v>8.562753519999999</v>
      </c>
      <c r="R32" s="20" t="n">
        <v>2.00507538</v>
      </c>
    </row>
    <row r="33" spans="1:18">
      <c r="A33" s="15" t="s">
        <v>591</v>
      </c>
      <c r="B33" s="17" t="n">
        <v>3651</v>
      </c>
      <c r="C33" s="18">
        <f>(3322.0/B33*100)</f>
        <v/>
      </c>
      <c r="D33" s="19" t="n">
        <v>329</v>
      </c>
      <c r="E33" s="18" t="n">
        <v>46.75995463</v>
      </c>
      <c r="F33" s="20" t="n">
        <v>3.17272796</v>
      </c>
      <c r="G33" s="18" t="n">
        <v>44.93942452</v>
      </c>
      <c r="H33" s="20" t="n">
        <v>3.20000146</v>
      </c>
      <c r="I33" s="18" t="n">
        <v>0</v>
      </c>
      <c r="J33" s="20" t="n">
        <v>0</v>
      </c>
      <c r="K33" s="18" t="n">
        <v>0.41161559</v>
      </c>
      <c r="L33" s="20" t="n">
        <v>0.40959557</v>
      </c>
      <c r="M33" s="18" t="n">
        <v>0</v>
      </c>
      <c r="N33" s="20" t="n">
        <v>0</v>
      </c>
      <c r="O33" s="18" t="n">
        <v>0</v>
      </c>
      <c r="P33" s="20" t="n">
        <v>0</v>
      </c>
      <c r="Q33" s="18" t="n">
        <v>7.88900526</v>
      </c>
      <c r="R33" s="20" t="n">
        <v>1.91902161</v>
      </c>
    </row>
    <row r="34" spans="1:18">
      <c r="A34" s="15" t="s">
        <v>592</v>
      </c>
      <c r="B34" s="17" t="n">
        <v>3035</v>
      </c>
      <c r="C34" s="18">
        <f>(2705.0/B34*100)</f>
        <v/>
      </c>
      <c r="D34" s="19" t="n">
        <v>330</v>
      </c>
      <c r="E34" s="18" t="n">
        <v>55.51556398</v>
      </c>
      <c r="F34" s="20" t="n">
        <v>2.97015879</v>
      </c>
      <c r="G34" s="18" t="n">
        <v>30.62328279</v>
      </c>
      <c r="H34" s="20" t="n">
        <v>2.65397137</v>
      </c>
      <c r="I34" s="18" t="n">
        <v>0</v>
      </c>
      <c r="J34" s="20" t="n">
        <v>0</v>
      </c>
      <c r="K34" s="18" t="n">
        <v>1.19257006</v>
      </c>
      <c r="L34" s="20" t="n">
        <v>0.39098031</v>
      </c>
      <c r="M34" s="18" t="n">
        <v>0.20977405</v>
      </c>
      <c r="N34" s="20" t="n">
        <v>0.19660736</v>
      </c>
      <c r="O34" s="18" t="n">
        <v>0</v>
      </c>
      <c r="P34" s="20" t="n">
        <v>0</v>
      </c>
      <c r="Q34" s="18" t="n">
        <v>12.45880913</v>
      </c>
      <c r="R34" s="20" t="n">
        <v>1.87462787</v>
      </c>
    </row>
    <row r="35" spans="1:18">
      <c r="A35" s="15" t="s">
        <v>593</v>
      </c>
      <c r="B35" s="17" t="n">
        <v>2901</v>
      </c>
      <c r="C35" s="18">
        <f>(2610.0/B35*100)</f>
        <v/>
      </c>
      <c r="D35" s="19" t="n">
        <v>291</v>
      </c>
      <c r="E35" s="18" t="n">
        <v>28.01955669</v>
      </c>
      <c r="F35" s="20" t="n">
        <v>3.16717364</v>
      </c>
      <c r="G35" s="18" t="n">
        <v>67.79660474000001</v>
      </c>
      <c r="H35" s="20" t="n">
        <v>3.33153407</v>
      </c>
      <c r="I35" s="18" t="n">
        <v>0</v>
      </c>
      <c r="J35" s="20" t="n">
        <v>0</v>
      </c>
      <c r="K35" s="18" t="n">
        <v>0.30159681</v>
      </c>
      <c r="L35" s="20" t="n">
        <v>0.26868144</v>
      </c>
      <c r="M35" s="18" t="n">
        <v>0</v>
      </c>
      <c r="N35" s="20" t="n">
        <v>0</v>
      </c>
      <c r="O35" s="18" t="n">
        <v>0</v>
      </c>
      <c r="P35" s="20" t="n">
        <v>0</v>
      </c>
      <c r="Q35" s="18" t="n">
        <v>3.88224176</v>
      </c>
      <c r="R35" s="20" t="n">
        <v>1.35387506</v>
      </c>
    </row>
    <row r="36" spans="1:18">
      <c r="A36" s="15" t="s">
        <v>594</v>
      </c>
      <c r="B36" s="17" t="n">
        <v>3404</v>
      </c>
      <c r="C36" s="18">
        <f>(3084.0/B36*100)</f>
        <v/>
      </c>
      <c r="D36" s="19" t="n">
        <v>320</v>
      </c>
      <c r="E36" s="18" t="n">
        <v>50.07752052</v>
      </c>
      <c r="F36" s="20" t="n">
        <v>3.09316178</v>
      </c>
      <c r="G36" s="18" t="n">
        <v>37.48985127</v>
      </c>
      <c r="H36" s="20" t="n">
        <v>3.03065267</v>
      </c>
      <c r="I36" s="18" t="n">
        <v>0</v>
      </c>
      <c r="J36" s="20" t="n">
        <v>0</v>
      </c>
      <c r="K36" s="18" t="n">
        <v>2.40935872</v>
      </c>
      <c r="L36" s="20" t="n">
        <v>0.99994837</v>
      </c>
      <c r="M36" s="18" t="n">
        <v>0</v>
      </c>
      <c r="N36" s="20" t="n">
        <v>0</v>
      </c>
      <c r="O36" s="18" t="n">
        <v>0</v>
      </c>
      <c r="P36" s="20" t="n">
        <v>0</v>
      </c>
      <c r="Q36" s="18" t="n">
        <v>10.02326949</v>
      </c>
      <c r="R36" s="20" t="n">
        <v>1.87411732</v>
      </c>
    </row>
    <row r="37" spans="1:18">
      <c r="A37" s="15" t="s">
        <v>595</v>
      </c>
      <c r="B37" s="17" t="n">
        <v>2731</v>
      </c>
      <c r="C37" s="18">
        <f>(2452.0/B37*100)</f>
        <v/>
      </c>
      <c r="D37" s="19" t="n">
        <v>279</v>
      </c>
      <c r="E37" s="18" t="n">
        <v>42.48174853</v>
      </c>
      <c r="F37" s="20" t="n">
        <v>2.84838771</v>
      </c>
      <c r="G37" s="18" t="n">
        <v>42.47556362</v>
      </c>
      <c r="H37" s="20" t="n">
        <v>2.62438407</v>
      </c>
      <c r="I37" s="18" t="n">
        <v>0</v>
      </c>
      <c r="J37" s="20" t="n">
        <v>0</v>
      </c>
      <c r="K37" s="18" t="n">
        <v>4.09291784</v>
      </c>
      <c r="L37" s="20" t="n">
        <v>1.28913723</v>
      </c>
      <c r="M37" s="18" t="n">
        <v>0</v>
      </c>
      <c r="N37" s="20" t="n">
        <v>0</v>
      </c>
      <c r="O37" s="18" t="n">
        <v>0</v>
      </c>
      <c r="P37" s="20" t="n">
        <v>0</v>
      </c>
      <c r="Q37" s="18" t="n">
        <v>10.94977001</v>
      </c>
      <c r="R37" s="20" t="n">
        <v>1.94883018</v>
      </c>
    </row>
    <row r="38" spans="1:18">
      <c r="A38" s="15" t="s">
        <v>596</v>
      </c>
      <c r="B38" s="17" t="n">
        <v>2807</v>
      </c>
      <c r="C38" s="18">
        <f>(2501.0/B38*100)</f>
        <v/>
      </c>
      <c r="D38" s="19" t="n">
        <v>306</v>
      </c>
      <c r="E38" s="18" t="n">
        <v>47.7463846</v>
      </c>
      <c r="F38" s="20" t="n">
        <v>2.92638278</v>
      </c>
      <c r="G38" s="18" t="n">
        <v>41.41653167</v>
      </c>
      <c r="H38" s="20" t="n">
        <v>3.04264706</v>
      </c>
      <c r="I38" s="18" t="n">
        <v>0</v>
      </c>
      <c r="J38" s="20" t="n">
        <v>0</v>
      </c>
      <c r="K38" s="18" t="n">
        <v>1.53021287</v>
      </c>
      <c r="L38" s="20" t="n">
        <v>0.64758508</v>
      </c>
      <c r="M38" s="18" t="n">
        <v>4.3595186</v>
      </c>
      <c r="N38" s="20" t="n">
        <v>1.54035456</v>
      </c>
      <c r="O38" s="18" t="n">
        <v>0</v>
      </c>
      <c r="P38" s="20" t="n">
        <v>0</v>
      </c>
      <c r="Q38" s="18" t="n">
        <v>4.94735226</v>
      </c>
      <c r="R38" s="20" t="n">
        <v>1.42419742</v>
      </c>
    </row>
    <row r="39" spans="1:18">
      <c r="A39" s="15" t="s">
        <v>597</v>
      </c>
      <c r="B39" s="17" t="n">
        <v>2938</v>
      </c>
      <c r="C39" s="18">
        <f>(2625.0/B39*100)</f>
        <v/>
      </c>
      <c r="D39" s="19" t="n">
        <v>313</v>
      </c>
      <c r="E39" s="18" t="n">
        <v>68.04499778</v>
      </c>
      <c r="F39" s="20" t="n">
        <v>2.10808058</v>
      </c>
      <c r="G39" s="18" t="n">
        <v>22.92972735</v>
      </c>
      <c r="H39" s="20" t="n">
        <v>1.9935868</v>
      </c>
      <c r="I39" s="18" t="n">
        <v>0</v>
      </c>
      <c r="J39" s="20" t="n">
        <v>0</v>
      </c>
      <c r="K39" s="18" t="n">
        <v>0.51091767</v>
      </c>
      <c r="L39" s="20" t="n">
        <v>0.42629242</v>
      </c>
      <c r="M39" s="18" t="n">
        <v>0</v>
      </c>
      <c r="N39" s="20" t="n">
        <v>0</v>
      </c>
      <c r="O39" s="18" t="n">
        <v>0</v>
      </c>
      <c r="P39" s="20" t="n">
        <v>0</v>
      </c>
      <c r="Q39" s="18" t="n">
        <v>8.514357199999999</v>
      </c>
      <c r="R39" s="20" t="n">
        <v>1.69867187</v>
      </c>
    </row>
    <row r="40" spans="1:18">
      <c r="A40" s="15" t="s">
        <v>598</v>
      </c>
      <c r="B40" s="17" t="n">
        <v>6922</v>
      </c>
      <c r="C40" s="18">
        <f>(6153.0/B40*100)</f>
        <v/>
      </c>
      <c r="D40" s="19" t="n">
        <v>769</v>
      </c>
      <c r="E40" s="18" t="n">
        <v>58.53632414</v>
      </c>
      <c r="F40" s="20" t="n">
        <v>2.6053994</v>
      </c>
      <c r="G40" s="18" t="n">
        <v>33.30280333</v>
      </c>
      <c r="H40" s="20" t="n">
        <v>2.6884259</v>
      </c>
      <c r="I40" s="18" t="n">
        <v>0</v>
      </c>
      <c r="J40" s="20" t="n">
        <v>0</v>
      </c>
      <c r="K40" s="18" t="n">
        <v>1.70479883</v>
      </c>
      <c r="L40" s="20" t="n">
        <v>0.70737247</v>
      </c>
      <c r="M40" s="18" t="n">
        <v>0.30338131</v>
      </c>
      <c r="N40" s="20" t="n">
        <v>0.31991536</v>
      </c>
      <c r="O40" s="18" t="n">
        <v>0</v>
      </c>
      <c r="P40" s="20" t="n">
        <v>0</v>
      </c>
      <c r="Q40" s="18" t="n">
        <v>6.1526924</v>
      </c>
      <c r="R40" s="20" t="n">
        <v>1.44397652</v>
      </c>
    </row>
    <row r="41" spans="1:18">
      <c r="A41" s="15" t="s">
        <v>599</v>
      </c>
      <c r="B41" s="17" t="n">
        <v>2854</v>
      </c>
      <c r="C41" s="18">
        <f>(2562.0/B41*100)</f>
        <v/>
      </c>
      <c r="D41" s="19" t="n">
        <v>292</v>
      </c>
      <c r="E41" s="18" t="n">
        <v>63.20710799</v>
      </c>
      <c r="F41" s="20" t="n">
        <v>3.05091821</v>
      </c>
      <c r="G41" s="18" t="n">
        <v>34.1454927</v>
      </c>
      <c r="H41" s="20" t="n">
        <v>2.91448436</v>
      </c>
      <c r="I41" s="18" t="n">
        <v>0</v>
      </c>
      <c r="J41" s="20" t="n">
        <v>0</v>
      </c>
      <c r="K41" s="18" t="n">
        <v>1.76944269</v>
      </c>
      <c r="L41" s="20" t="n">
        <v>1.26941471</v>
      </c>
      <c r="M41" s="18" t="n">
        <v>0</v>
      </c>
      <c r="N41" s="20" t="n">
        <v>0</v>
      </c>
      <c r="O41" s="18" t="n">
        <v>0</v>
      </c>
      <c r="P41" s="20" t="n">
        <v>0</v>
      </c>
      <c r="Q41" s="18" t="n">
        <v>0.87795662</v>
      </c>
      <c r="R41" s="20" t="n">
        <v>0.49813602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(11255.0/B46*100)</f>
        <v/>
      </c>
      <c r="D46" s="19" t="n">
        <v>818</v>
      </c>
      <c r="E46" s="18" t="n">
        <v>48.80815013</v>
      </c>
      <c r="F46" s="20" t="n">
        <v>2.09032898</v>
      </c>
      <c r="G46" s="18" t="n">
        <v>26.59709702</v>
      </c>
      <c r="H46" s="20" t="n">
        <v>1.74893617</v>
      </c>
      <c r="I46" s="18" t="n">
        <v>0</v>
      </c>
      <c r="J46" s="20" t="n">
        <v>0</v>
      </c>
      <c r="K46" s="18" t="n">
        <v>2.78092235</v>
      </c>
      <c r="L46" s="20" t="n">
        <v>0.67906796</v>
      </c>
      <c r="M46" s="18" t="n">
        <v>0.336721</v>
      </c>
      <c r="N46" s="20" t="n">
        <v>0.18762185</v>
      </c>
      <c r="O46" s="18" t="n">
        <v>0</v>
      </c>
      <c r="P46" s="20" t="n">
        <v>0</v>
      </c>
      <c r="Q46" s="18" t="n">
        <v>21.4771095</v>
      </c>
      <c r="R46" s="20" t="n">
        <v>1.7440015</v>
      </c>
    </row>
    <row r="47" spans="1:18">
      <c r="A47" s="15" t="s">
        <v>606</v>
      </c>
      <c r="B47" s="17" t="n">
        <v>2823</v>
      </c>
      <c r="C47" s="18">
        <f>(2530.0/B47*100)</f>
        <v/>
      </c>
      <c r="D47" s="19" t="n">
        <v>293</v>
      </c>
      <c r="E47" s="18" t="n">
        <v>38.11637819</v>
      </c>
      <c r="F47" s="20" t="n">
        <v>2.52095886</v>
      </c>
      <c r="G47" s="18" t="n">
        <v>37.60155498</v>
      </c>
      <c r="H47" s="20" t="n">
        <v>3.09550528</v>
      </c>
      <c r="I47" s="18" t="n">
        <v>0</v>
      </c>
      <c r="J47" s="20" t="n">
        <v>0</v>
      </c>
      <c r="K47" s="18" t="n">
        <v>0.93745978</v>
      </c>
      <c r="L47" s="20" t="n">
        <v>0.54679858</v>
      </c>
      <c r="M47" s="18" t="n">
        <v>0</v>
      </c>
      <c r="N47" s="20" t="n">
        <v>0</v>
      </c>
      <c r="O47" s="18" t="n">
        <v>0</v>
      </c>
      <c r="P47" s="20" t="n">
        <v>0</v>
      </c>
      <c r="Q47" s="18" t="n">
        <v>23.34460706</v>
      </c>
      <c r="R47" s="20" t="n">
        <v>2.3900117</v>
      </c>
    </row>
    <row r="48" spans="1:18">
      <c r="A48" s="15" t="s">
        <v>607</v>
      </c>
      <c r="B48" s="17" t="n">
        <v>4682</v>
      </c>
      <c r="C48" s="18">
        <f>(4181.0/B48*100)</f>
        <v/>
      </c>
      <c r="D48" s="19" t="n">
        <v>501</v>
      </c>
      <c r="E48" s="18" t="n">
        <v>44.81142509</v>
      </c>
      <c r="F48" s="20" t="n">
        <v>3.35403585</v>
      </c>
      <c r="G48" s="18" t="n">
        <v>48.86003827</v>
      </c>
      <c r="H48" s="20" t="n">
        <v>3.56737434</v>
      </c>
      <c r="I48" s="18" t="n">
        <v>0</v>
      </c>
      <c r="J48" s="20" t="n">
        <v>0</v>
      </c>
      <c r="K48" s="18" t="n">
        <v>1.01288269</v>
      </c>
      <c r="L48" s="20" t="n">
        <v>0.60812358</v>
      </c>
      <c r="M48" s="18" t="n">
        <v>0</v>
      </c>
      <c r="N48" s="20" t="n">
        <v>0</v>
      </c>
      <c r="O48" s="18" t="n">
        <v>0</v>
      </c>
      <c r="P48" s="20" t="n">
        <v>0</v>
      </c>
      <c r="Q48" s="18" t="n">
        <v>5.31565395</v>
      </c>
      <c r="R48" s="20" t="n">
        <v>1.34894594</v>
      </c>
    </row>
    <row r="49" spans="1:18">
      <c r="A49" s="15" t="s">
        <v>608</v>
      </c>
      <c r="B49" s="17" t="n">
        <v>6158</v>
      </c>
      <c r="C49" s="18">
        <f>(5547.0/B49*100)</f>
        <v/>
      </c>
      <c r="D49" s="19" t="n">
        <v>611</v>
      </c>
      <c r="E49" s="18" t="n">
        <v>65.87022797</v>
      </c>
      <c r="F49" s="20" t="n">
        <v>2.37843548</v>
      </c>
      <c r="G49" s="18" t="n">
        <v>25.99965177</v>
      </c>
      <c r="H49" s="20" t="n">
        <v>2.43401643</v>
      </c>
      <c r="I49" s="18" t="n">
        <v>0</v>
      </c>
      <c r="J49" s="20" t="n">
        <v>0</v>
      </c>
      <c r="K49" s="18" t="n">
        <v>2.42429073</v>
      </c>
      <c r="L49" s="20" t="n">
        <v>0.59704462</v>
      </c>
      <c r="M49" s="18" t="n">
        <v>0.009975070000000001</v>
      </c>
      <c r="N49" s="20" t="n">
        <v>0.0068042</v>
      </c>
      <c r="O49" s="18" t="n">
        <v>0</v>
      </c>
      <c r="P49" s="20" t="n">
        <v>0</v>
      </c>
      <c r="Q49" s="18" t="n">
        <v>5.69585446</v>
      </c>
      <c r="R49" s="20" t="n">
        <v>1.34601962</v>
      </c>
    </row>
    <row r="50" spans="1:18">
      <c r="A50" s="15" t="s">
        <v>609</v>
      </c>
      <c r="B50" s="17" t="n">
        <v>3494</v>
      </c>
      <c r="C50" s="18">
        <f>(3190.0/B50*100)</f>
        <v/>
      </c>
      <c r="D50" s="19" t="n">
        <v>304</v>
      </c>
      <c r="E50" s="18" t="n">
        <v>51.54575576</v>
      </c>
      <c r="F50" s="20" t="n">
        <v>3.52776525</v>
      </c>
      <c r="G50" s="18" t="n">
        <v>42.1887282</v>
      </c>
      <c r="H50" s="20" t="n">
        <v>3.10129626</v>
      </c>
      <c r="I50" s="18" t="n">
        <v>0</v>
      </c>
      <c r="J50" s="20" t="n">
        <v>0</v>
      </c>
      <c r="K50" s="18" t="n">
        <v>0.96248848</v>
      </c>
      <c r="L50" s="20" t="n">
        <v>0.57484458</v>
      </c>
      <c r="M50" s="18" t="n">
        <v>0</v>
      </c>
      <c r="N50" s="20" t="n">
        <v>0</v>
      </c>
      <c r="O50" s="18" t="n">
        <v>0</v>
      </c>
      <c r="P50" s="20" t="n">
        <v>0</v>
      </c>
      <c r="Q50" s="18" t="n">
        <v>5.30302756</v>
      </c>
      <c r="R50" s="20" t="n">
        <v>1.4098659</v>
      </c>
    </row>
    <row r="51" spans="1:18">
      <c r="A51" s="15" t="s">
        <v>610</v>
      </c>
      <c r="B51" s="17" t="n">
        <v>3013</v>
      </c>
      <c r="C51" s="18">
        <f>(2667.0/B51*100)</f>
        <v/>
      </c>
      <c r="D51" s="19" t="n">
        <v>346</v>
      </c>
      <c r="E51" s="18" t="n">
        <v>40.98735541</v>
      </c>
      <c r="F51" s="20" t="n">
        <v>2.56493358</v>
      </c>
      <c r="G51" s="18" t="n">
        <v>48.48195887</v>
      </c>
      <c r="H51" s="20" t="n">
        <v>2.96695068</v>
      </c>
      <c r="I51" s="18" t="n">
        <v>0</v>
      </c>
      <c r="J51" s="20" t="n">
        <v>0</v>
      </c>
      <c r="K51" s="18" t="n">
        <v>0.53271538</v>
      </c>
      <c r="L51" s="20" t="n">
        <v>0.38657198</v>
      </c>
      <c r="M51" s="18" t="n">
        <v>0</v>
      </c>
      <c r="N51" s="20" t="n">
        <v>0</v>
      </c>
      <c r="O51" s="18" t="n">
        <v>0</v>
      </c>
      <c r="P51" s="20" t="n">
        <v>0</v>
      </c>
      <c r="Q51" s="18" t="n">
        <v>9.99797034</v>
      </c>
      <c r="R51" s="20" t="n">
        <v>1.70201239</v>
      </c>
    </row>
    <row r="52" spans="1:18">
      <c r="A52" s="15" t="s">
        <v>611</v>
      </c>
      <c r="B52" s="17" t="n">
        <v>2760</v>
      </c>
      <c r="C52" s="18">
        <f>(2478.0/B52*100)</f>
        <v/>
      </c>
      <c r="D52" s="19" t="n">
        <v>282</v>
      </c>
      <c r="E52" s="18" t="n">
        <v>48.74148479</v>
      </c>
      <c r="F52" s="20" t="n">
        <v>3.13719202</v>
      </c>
      <c r="G52" s="18" t="n">
        <v>35.37471271</v>
      </c>
      <c r="H52" s="20" t="n">
        <v>3.25083267</v>
      </c>
      <c r="I52" s="18" t="n">
        <v>0</v>
      </c>
      <c r="J52" s="20" t="n">
        <v>0</v>
      </c>
      <c r="K52" s="18" t="n">
        <v>1.06157568</v>
      </c>
      <c r="L52" s="20" t="n">
        <v>0.63831077</v>
      </c>
      <c r="M52" s="18" t="n">
        <v>0</v>
      </c>
      <c r="N52" s="20" t="n">
        <v>0</v>
      </c>
      <c r="O52" s="18" t="n">
        <v>0</v>
      </c>
      <c r="P52" s="20" t="n">
        <v>0</v>
      </c>
      <c r="Q52" s="18" t="n">
        <v>14.82222682</v>
      </c>
      <c r="R52" s="20" t="n">
        <v>2.32344853</v>
      </c>
    </row>
    <row r="53" spans="1:18">
      <c r="A53" s="15" t="s">
        <v>612</v>
      </c>
      <c r="B53" s="17" t="n">
        <v>2474</v>
      </c>
      <c r="C53" s="18">
        <f>(2240.0/B53*100)</f>
        <v/>
      </c>
      <c r="D53" s="19" t="n">
        <v>234</v>
      </c>
      <c r="E53" s="18" t="n">
        <v>44.04351029</v>
      </c>
      <c r="F53" s="20" t="n">
        <v>3.5200391</v>
      </c>
      <c r="G53" s="18" t="n">
        <v>9.243314</v>
      </c>
      <c r="H53" s="20" t="n">
        <v>2.13079509</v>
      </c>
      <c r="I53" s="18" t="n">
        <v>0</v>
      </c>
      <c r="J53" s="20" t="n">
        <v>0</v>
      </c>
      <c r="K53" s="18" t="n">
        <v>30.05166389</v>
      </c>
      <c r="L53" s="20" t="n">
        <v>2.78397283</v>
      </c>
      <c r="M53" s="18" t="n">
        <v>1.34923542</v>
      </c>
      <c r="N53" s="20" t="n">
        <v>1.09194747</v>
      </c>
      <c r="O53" s="18" t="n">
        <v>0</v>
      </c>
      <c r="P53" s="20" t="n">
        <v>0</v>
      </c>
      <c r="Q53" s="18" t="n">
        <v>15.31227641</v>
      </c>
      <c r="R53" s="20" t="n">
        <v>2.18223394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(2388.0/B55*100)</f>
        <v/>
      </c>
      <c r="D55" s="19" t="n">
        <v>287</v>
      </c>
      <c r="E55" s="18" t="n">
        <v>55.72203426</v>
      </c>
      <c r="F55" s="20" t="n">
        <v>2.79942356</v>
      </c>
      <c r="G55" s="18" t="n">
        <v>41.79708153</v>
      </c>
      <c r="H55" s="20" t="n">
        <v>2.91597277</v>
      </c>
      <c r="I55" s="18" t="n">
        <v>0</v>
      </c>
      <c r="J55" s="20" t="n">
        <v>0</v>
      </c>
      <c r="K55" s="18" t="n">
        <v>0.30939136</v>
      </c>
      <c r="L55" s="20" t="n">
        <v>0.31845204</v>
      </c>
      <c r="M55" s="18" t="n">
        <v>0</v>
      </c>
      <c r="N55" s="20" t="n">
        <v>0</v>
      </c>
      <c r="O55" s="18" t="n">
        <v>0</v>
      </c>
      <c r="P55" s="20" t="n">
        <v>0</v>
      </c>
      <c r="Q55" s="18" t="n">
        <v>2.17149285</v>
      </c>
      <c r="R55" s="20" t="n">
        <v>0.93741055</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(2842.0/B61*100)</f>
        <v/>
      </c>
      <c r="D61" s="19" t="n">
        <v>359</v>
      </c>
      <c r="E61" s="18" t="n">
        <v>47.32970657</v>
      </c>
      <c r="F61" s="20" t="n">
        <v>2.80099949</v>
      </c>
      <c r="G61" s="18" t="n">
        <v>46.40087266</v>
      </c>
      <c r="H61" s="20" t="n">
        <v>2.67309836</v>
      </c>
      <c r="I61" s="18" t="n">
        <v>0</v>
      </c>
      <c r="J61" s="20" t="n">
        <v>0</v>
      </c>
      <c r="K61" s="18" t="n">
        <v>0</v>
      </c>
      <c r="L61" s="20" t="n">
        <v>0</v>
      </c>
      <c r="M61" s="18" t="n">
        <v>0</v>
      </c>
      <c r="N61" s="20" t="n">
        <v>0</v>
      </c>
      <c r="O61" s="18" t="n">
        <v>0</v>
      </c>
      <c r="P61" s="20" t="n">
        <v>0</v>
      </c>
      <c r="Q61" s="18" t="n">
        <v>6.26942077</v>
      </c>
      <c r="R61" s="20" t="n">
        <v>1.43526677</v>
      </c>
    </row>
    <row r="62" spans="1:18">
      <c r="A62" s="15" t="s">
        <v>622</v>
      </c>
      <c r="B62" s="17" t="n">
        <v>2230</v>
      </c>
      <c r="C62" s="18">
        <f>(2018.0/B62*100)</f>
        <v/>
      </c>
      <c r="D62" s="19" t="n">
        <v>212</v>
      </c>
      <c r="E62" s="18" t="n">
        <v>53.3456562</v>
      </c>
      <c r="F62" s="20" t="n">
        <v>3.14402141</v>
      </c>
      <c r="G62" s="18" t="n">
        <v>45.24737431</v>
      </c>
      <c r="H62" s="20" t="n">
        <v>3.08346497</v>
      </c>
      <c r="I62" s="18" t="n">
        <v>0</v>
      </c>
      <c r="J62" s="20" t="n">
        <v>0</v>
      </c>
      <c r="K62" s="18" t="n">
        <v>0</v>
      </c>
      <c r="L62" s="20" t="n">
        <v>0</v>
      </c>
      <c r="M62" s="18" t="n">
        <v>0</v>
      </c>
      <c r="N62" s="20" t="n">
        <v>0</v>
      </c>
      <c r="O62" s="18" t="n">
        <v>0</v>
      </c>
      <c r="P62" s="20" t="n">
        <v>0</v>
      </c>
      <c r="Q62" s="18" t="n">
        <v>1.40696949</v>
      </c>
      <c r="R62" s="20" t="n">
        <v>0.8137980500000001</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(2466.0/B67*100)</f>
        <v/>
      </c>
      <c r="D67" s="19" t="n">
        <v>305</v>
      </c>
      <c r="E67" s="18" t="n">
        <v>29.06663304</v>
      </c>
      <c r="F67" s="20" t="n">
        <v>2.41567802</v>
      </c>
      <c r="G67" s="18" t="n">
        <v>47.31931963</v>
      </c>
      <c r="H67" s="20" t="n">
        <v>2.83044634</v>
      </c>
      <c r="I67" s="18" t="n">
        <v>0</v>
      </c>
      <c r="J67" s="20" t="n">
        <v>0</v>
      </c>
      <c r="K67" s="18" t="n">
        <v>4.04106536</v>
      </c>
      <c r="L67" s="20" t="n">
        <v>1.43324821</v>
      </c>
      <c r="M67" s="18" t="n">
        <v>0.30887602</v>
      </c>
      <c r="N67" s="20" t="n">
        <v>0.30040071</v>
      </c>
      <c r="O67" s="18" t="n">
        <v>0</v>
      </c>
      <c r="P67" s="20" t="n">
        <v>0</v>
      </c>
      <c r="Q67" s="18" t="n">
        <v>19.26410594</v>
      </c>
      <c r="R67" s="20" t="n">
        <v>2.14675555</v>
      </c>
    </row>
    <row r="68" spans="1:18">
      <c r="A68" s="15" t="s">
        <v>628</v>
      </c>
      <c r="B68" s="17" t="n">
        <v>3460</v>
      </c>
      <c r="C68" s="18">
        <f>(3185.0/B68*100)</f>
        <v/>
      </c>
      <c r="D68" s="19" t="n">
        <v>275</v>
      </c>
      <c r="E68" s="18" t="n">
        <v>52.23342636</v>
      </c>
      <c r="F68" s="20" t="n">
        <v>2.94783835</v>
      </c>
      <c r="G68" s="18" t="n">
        <v>36.49865351</v>
      </c>
      <c r="H68" s="20" t="n">
        <v>3.09200589</v>
      </c>
      <c r="I68" s="18" t="n">
        <v>0</v>
      </c>
      <c r="J68" s="20" t="n">
        <v>0</v>
      </c>
      <c r="K68" s="18" t="n">
        <v>0.64563833</v>
      </c>
      <c r="L68" s="20" t="n">
        <v>0.4816534</v>
      </c>
      <c r="M68" s="18" t="n">
        <v>0.96027289</v>
      </c>
      <c r="N68" s="20" t="n">
        <v>0.55389807</v>
      </c>
      <c r="O68" s="18" t="n">
        <v>0</v>
      </c>
      <c r="P68" s="20" t="n">
        <v>0</v>
      </c>
      <c r="Q68" s="18" t="n">
        <v>9.662008910000001</v>
      </c>
      <c r="R68" s="20" t="n">
        <v>1.63856071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(5403.0/B70*100)</f>
        <v/>
      </c>
      <c r="D70" s="19" t="n">
        <v>631</v>
      </c>
      <c r="E70" s="18" t="n">
        <v>53.56421241</v>
      </c>
      <c r="F70" s="20" t="n">
        <v>1.74980815</v>
      </c>
      <c r="G70" s="18" t="n">
        <v>34.15886258</v>
      </c>
      <c r="H70" s="20" t="n">
        <v>1.52258123</v>
      </c>
      <c r="I70" s="18" t="n">
        <v>0</v>
      </c>
      <c r="J70" s="20" t="n">
        <v>0</v>
      </c>
      <c r="K70" s="18" t="n">
        <v>4.21589268</v>
      </c>
      <c r="L70" s="20" t="n">
        <v>0.89774953</v>
      </c>
      <c r="M70" s="18" t="n">
        <v>0</v>
      </c>
      <c r="N70" s="20" t="n">
        <v>0</v>
      </c>
      <c r="O70" s="18" t="n">
        <v>0</v>
      </c>
      <c r="P70" s="20" t="n">
        <v>0</v>
      </c>
      <c r="Q70" s="18" t="n">
        <v>8.061032340000001</v>
      </c>
      <c r="R70" s="20" t="n">
        <v>0.99029833</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(2760.0/B72*100)</f>
        <v/>
      </c>
      <c r="D72" s="19" t="n">
        <v>347</v>
      </c>
      <c r="E72" s="18" t="n">
        <v>51.07617632</v>
      </c>
      <c r="F72" s="20" t="n">
        <v>2.73325901</v>
      </c>
      <c r="G72" s="18" t="n">
        <v>34.54534121</v>
      </c>
      <c r="H72" s="20" t="n">
        <v>2.72394717</v>
      </c>
      <c r="I72" s="18" t="n">
        <v>0</v>
      </c>
      <c r="J72" s="20" t="n">
        <v>0</v>
      </c>
      <c r="K72" s="18" t="n">
        <v>1.35692726</v>
      </c>
      <c r="L72" s="20" t="n">
        <v>0.64420466</v>
      </c>
      <c r="M72" s="18" t="n">
        <v>0</v>
      </c>
      <c r="N72" s="20" t="n">
        <v>0</v>
      </c>
      <c r="O72" s="18" t="n">
        <v>0</v>
      </c>
      <c r="P72" s="20" t="n">
        <v>0</v>
      </c>
      <c r="Q72" s="18" t="n">
        <v>13.02155521</v>
      </c>
      <c r="R72" s="20" t="n">
        <v>2.09192209</v>
      </c>
    </row>
    <row r="73" spans="1:18">
      <c r="A73" s="15" t="s">
        <v>633</v>
      </c>
      <c r="B73" s="17" t="n">
        <v>2973</v>
      </c>
      <c r="C73" s="18">
        <f>(2666.0/B73*100)</f>
        <v/>
      </c>
      <c r="D73" s="19" t="n">
        <v>307</v>
      </c>
      <c r="E73" s="18" t="n">
        <v>63.32493199</v>
      </c>
      <c r="F73" s="20" t="n">
        <v>2.91611094</v>
      </c>
      <c r="G73" s="18" t="n">
        <v>33.93006003</v>
      </c>
      <c r="H73" s="20" t="n">
        <v>2.99587732</v>
      </c>
      <c r="I73" s="18" t="n">
        <v>0</v>
      </c>
      <c r="J73" s="20" t="n">
        <v>0</v>
      </c>
      <c r="K73" s="18" t="n">
        <v>0.67207514</v>
      </c>
      <c r="L73" s="20" t="n">
        <v>0.47990428</v>
      </c>
      <c r="M73" s="18" t="n">
        <v>0.35149844</v>
      </c>
      <c r="N73" s="20" t="n">
        <v>0.34871429</v>
      </c>
      <c r="O73" s="18" t="n">
        <v>0</v>
      </c>
      <c r="P73" s="20" t="n">
        <v>0</v>
      </c>
      <c r="Q73" s="18" t="n">
        <v>1.72143441</v>
      </c>
      <c r="R73" s="20" t="n">
        <v>0.7681063</v>
      </c>
    </row>
    <row r="74" spans="1:18">
      <c r="A74" s="15" t="s">
        <v>634</v>
      </c>
      <c r="B74" s="17" t="n">
        <v>3819</v>
      </c>
      <c r="C74" s="18">
        <f>(3411.0/B74*100)</f>
        <v/>
      </c>
      <c r="D74" s="19" t="n">
        <v>408</v>
      </c>
      <c r="E74" s="18" t="n">
        <v>50.18779719</v>
      </c>
      <c r="F74" s="20" t="n">
        <v>2.98401197</v>
      </c>
      <c r="G74" s="18" t="n">
        <v>44.42925556</v>
      </c>
      <c r="H74" s="20" t="n">
        <v>2.9607757</v>
      </c>
      <c r="I74" s="18" t="n">
        <v>0</v>
      </c>
      <c r="J74" s="20" t="n">
        <v>0</v>
      </c>
      <c r="K74" s="18" t="n">
        <v>0</v>
      </c>
      <c r="L74" s="20" t="n">
        <v>0</v>
      </c>
      <c r="M74" s="18" t="n">
        <v>0</v>
      </c>
      <c r="N74" s="20" t="n">
        <v>0</v>
      </c>
      <c r="O74" s="18" t="n">
        <v>0</v>
      </c>
      <c r="P74" s="20" t="n">
        <v>0</v>
      </c>
      <c r="Q74" s="18" t="n">
        <v>5.38294725</v>
      </c>
      <c r="R74" s="20" t="n">
        <v>1.22711146</v>
      </c>
    </row>
    <row r="75" spans="1:18">
      <c r="A75" s="15" t="s">
        <v>635</v>
      </c>
      <c r="B75" s="17" t="n">
        <v>4652</v>
      </c>
      <c r="C75" s="18">
        <f>(4186.0/B75*100)</f>
        <v/>
      </c>
      <c r="D75" s="19" t="n">
        <v>466</v>
      </c>
      <c r="E75" s="18" t="n">
        <v>82.61928163</v>
      </c>
      <c r="F75" s="20" t="n">
        <v>2.59050353</v>
      </c>
      <c r="G75" s="18" t="n">
        <v>13.12253705</v>
      </c>
      <c r="H75" s="20" t="n">
        <v>2.34981304</v>
      </c>
      <c r="I75" s="18" t="n">
        <v>0</v>
      </c>
      <c r="J75" s="20" t="n">
        <v>0</v>
      </c>
      <c r="K75" s="18" t="n">
        <v>0.86228165</v>
      </c>
      <c r="L75" s="20" t="n">
        <v>0.49618155</v>
      </c>
      <c r="M75" s="18" t="n">
        <v>0</v>
      </c>
      <c r="N75" s="20" t="n">
        <v>0</v>
      </c>
      <c r="O75" s="18" t="n">
        <v>0</v>
      </c>
      <c r="P75" s="20" t="n">
        <v>0</v>
      </c>
      <c r="Q75" s="18" t="n">
        <v>3.39589967</v>
      </c>
      <c r="R75" s="20" t="n">
        <v>1.09062893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(2696.0/B77*100)</f>
        <v/>
      </c>
      <c r="D77" s="19" t="n">
        <v>273</v>
      </c>
      <c r="E77" s="18" t="n">
        <v>58.11026948</v>
      </c>
      <c r="F77" s="20" t="n">
        <v>2.86461083</v>
      </c>
      <c r="G77" s="18" t="n">
        <v>7.459479</v>
      </c>
      <c r="H77" s="20" t="n">
        <v>1.65488054</v>
      </c>
      <c r="I77" s="18" t="n">
        <v>0</v>
      </c>
      <c r="J77" s="20" t="n">
        <v>0</v>
      </c>
      <c r="K77" s="18" t="n">
        <v>8.21445656</v>
      </c>
      <c r="L77" s="20" t="n">
        <v>1.52937183</v>
      </c>
      <c r="M77" s="18" t="n">
        <v>0.36645051</v>
      </c>
      <c r="N77" s="20" t="n">
        <v>0.37880304</v>
      </c>
      <c r="O77" s="18" t="n">
        <v>0</v>
      </c>
      <c r="P77" s="20" t="n">
        <v>0</v>
      </c>
      <c r="Q77" s="18" t="n">
        <v>25.84934445</v>
      </c>
      <c r="R77" s="20" t="n">
        <v>2.71828637</v>
      </c>
    </row>
    <row r="78" spans="1:18">
      <c r="A78" s="15" t="s">
        <v>638</v>
      </c>
      <c r="B78" s="17" t="n">
        <v>7115</v>
      </c>
      <c r="C78" s="18">
        <f>(6329.0/B78*100)</f>
        <v/>
      </c>
      <c r="D78" s="19" t="n">
        <v>786</v>
      </c>
      <c r="E78" s="18" t="n">
        <v>69.01017226</v>
      </c>
      <c r="F78" s="20" t="n">
        <v>1.85802661</v>
      </c>
      <c r="G78" s="18" t="n">
        <v>25.22591414</v>
      </c>
      <c r="H78" s="20" t="n">
        <v>1.55012282</v>
      </c>
      <c r="I78" s="18" t="n">
        <v>0</v>
      </c>
      <c r="J78" s="20" t="n">
        <v>0</v>
      </c>
      <c r="K78" s="18" t="n">
        <v>2.07505229</v>
      </c>
      <c r="L78" s="20" t="n">
        <v>0.82198987</v>
      </c>
      <c r="M78" s="18" t="n">
        <v>0.09157085</v>
      </c>
      <c r="N78" s="20" t="n">
        <v>0.09259028</v>
      </c>
      <c r="O78" s="18" t="n">
        <v>0</v>
      </c>
      <c r="P78" s="20" t="n">
        <v>0</v>
      </c>
      <c r="Q78" s="18" t="n">
        <v>3.59729045</v>
      </c>
      <c r="R78" s="20" t="n">
        <v>0.64610062</v>
      </c>
    </row>
    <row r="79" spans="1:18">
      <c r="A79" s="15" t="s">
        <v>639</v>
      </c>
      <c r="B79" s="17" t="n">
        <v>3154</v>
      </c>
      <c r="C79" s="18">
        <f>(2881.0/B79*100)</f>
        <v/>
      </c>
      <c r="D79" s="19" t="n">
        <v>273</v>
      </c>
      <c r="E79" s="18" t="n">
        <v>39.05928001</v>
      </c>
      <c r="F79" s="20" t="n">
        <v>2.73855833</v>
      </c>
      <c r="G79" s="18" t="n">
        <v>35.37778875</v>
      </c>
      <c r="H79" s="20" t="n">
        <v>3.05335133</v>
      </c>
      <c r="I79" s="18" t="n">
        <v>0</v>
      </c>
      <c r="J79" s="20" t="n">
        <v>0</v>
      </c>
      <c r="K79" s="18" t="n">
        <v>6.00671825</v>
      </c>
      <c r="L79" s="20" t="n">
        <v>1.34504005</v>
      </c>
      <c r="M79" s="18" t="n">
        <v>0</v>
      </c>
      <c r="N79" s="20" t="n">
        <v>0</v>
      </c>
      <c r="O79" s="18" t="n">
        <v>0</v>
      </c>
      <c r="P79" s="20" t="n">
        <v>0</v>
      </c>
      <c r="Q79" s="18" t="n">
        <v>19.55621299</v>
      </c>
      <c r="R79" s="20" t="n">
        <v>2.25439095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(14352.0/B82*100)</f>
        <v/>
      </c>
      <c r="D82" s="19" t="n">
        <v>1609</v>
      </c>
      <c r="E82" s="18" t="n">
        <v>50.68961144</v>
      </c>
      <c r="F82" s="20" t="n">
        <v>1.94454601</v>
      </c>
      <c r="G82" s="18" t="n">
        <v>37.40495625</v>
      </c>
      <c r="H82" s="20" t="n">
        <v>1.98782607</v>
      </c>
      <c r="I82" s="18" t="n">
        <v>0</v>
      </c>
      <c r="J82" s="20" t="n">
        <v>0</v>
      </c>
      <c r="K82" s="18" t="n">
        <v>2.51485894</v>
      </c>
      <c r="L82" s="20" t="n">
        <v>0.68159247</v>
      </c>
      <c r="M82" s="18" t="n">
        <v>0</v>
      </c>
      <c r="N82" s="20" t="n">
        <v>0</v>
      </c>
      <c r="O82" s="18" t="n">
        <v>0</v>
      </c>
      <c r="P82" s="20" t="n">
        <v>0</v>
      </c>
      <c r="Q82" s="18" t="n">
        <v>9.39057337</v>
      </c>
      <c r="R82" s="20" t="n">
        <v>1.25757903</v>
      </c>
    </row>
    <row r="83" spans="1:18">
      <c r="A83" s="15" t="s">
        <v>643</v>
      </c>
      <c r="B83" s="17" t="n">
        <v>808</v>
      </c>
      <c r="C83" s="18">
        <f>(728.0/B83*100)</f>
        <v/>
      </c>
      <c r="D83" s="19" t="n">
        <v>80</v>
      </c>
      <c r="E83" s="18" t="n">
        <v>56.97858534</v>
      </c>
      <c r="F83" s="20" t="n">
        <v>4.40857567</v>
      </c>
      <c r="G83" s="18" t="n">
        <v>43.02141466</v>
      </c>
      <c r="H83" s="20" t="n">
        <v>4.40857567</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(842.0/B84*100)</f>
        <v/>
      </c>
      <c r="D84" s="19" t="n">
        <v>96</v>
      </c>
      <c r="E84" s="18" t="n">
        <v>56.50483134</v>
      </c>
      <c r="F84" s="20" t="n">
        <v>5.41367843</v>
      </c>
      <c r="G84" s="18" t="n">
        <v>41.10128488</v>
      </c>
      <c r="H84" s="20" t="n">
        <v>4.91845521</v>
      </c>
      <c r="I84" s="18" t="n">
        <v>0</v>
      </c>
      <c r="J84" s="20" t="n">
        <v>0</v>
      </c>
      <c r="K84" s="18" t="n">
        <v>1.42146368</v>
      </c>
      <c r="L84" s="20" t="n">
        <v>1.38955976</v>
      </c>
      <c r="M84" s="18" t="n">
        <v>0</v>
      </c>
      <c r="N84" s="20" t="n">
        <v>0</v>
      </c>
      <c r="O84" s="18" t="n">
        <v>0</v>
      </c>
      <c r="P84" s="20" t="n">
        <v>0</v>
      </c>
      <c r="Q84" s="18" t="n">
        <v>0.9724201</v>
      </c>
      <c r="R84" s="20" t="n">
        <v>0.94850678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(6423.0/B7*100)</f>
        <v/>
      </c>
      <c r="D7" s="19" t="n">
        <v>740</v>
      </c>
      <c r="E7" s="18" t="n">
        <v>30.12928867</v>
      </c>
      <c r="F7" s="20" t="n">
        <v>1.84336337</v>
      </c>
      <c r="G7" s="18" t="n">
        <v>65.64526859999999</v>
      </c>
      <c r="H7" s="20" t="n">
        <v>1.98794457</v>
      </c>
      <c r="I7" s="18" t="n">
        <v>0</v>
      </c>
      <c r="J7" s="20" t="n">
        <v>0</v>
      </c>
      <c r="K7" s="18" t="n">
        <v>3.51959937</v>
      </c>
      <c r="L7" s="20" t="n">
        <v>0.7082169</v>
      </c>
      <c r="M7" s="18" t="n">
        <v>0</v>
      </c>
      <c r="N7" s="20" t="n">
        <v>0</v>
      </c>
      <c r="O7" s="18" t="n">
        <v>0</v>
      </c>
      <c r="P7" s="20" t="n">
        <v>0</v>
      </c>
      <c r="Q7" s="18" t="n">
        <v>0.70584336</v>
      </c>
      <c r="R7" s="20" t="n">
        <v>0.32431217</v>
      </c>
    </row>
    <row r="8" spans="1:18">
      <c r="A8" s="15" t="s">
        <v>566</v>
      </c>
      <c r="B8" s="17" t="n">
        <v>3443</v>
      </c>
      <c r="C8" s="18">
        <f>(3068.0/B8*100)</f>
        <v/>
      </c>
      <c r="D8" s="19" t="n">
        <v>375</v>
      </c>
      <c r="E8" s="18" t="n">
        <v>30.7340919</v>
      </c>
      <c r="F8" s="20" t="n">
        <v>2.67380167</v>
      </c>
      <c r="G8" s="18" t="n">
        <v>65.83791411999999</v>
      </c>
      <c r="H8" s="20" t="n">
        <v>2.81304125</v>
      </c>
      <c r="I8" s="18" t="n">
        <v>0</v>
      </c>
      <c r="J8" s="20" t="n">
        <v>0</v>
      </c>
      <c r="K8" s="18" t="n">
        <v>2.23075819</v>
      </c>
      <c r="L8" s="20" t="n">
        <v>0.80315965</v>
      </c>
      <c r="M8" s="18" t="n">
        <v>0</v>
      </c>
      <c r="N8" s="20" t="n">
        <v>0</v>
      </c>
      <c r="O8" s="18" t="n">
        <v>0</v>
      </c>
      <c r="P8" s="20" t="n">
        <v>0</v>
      </c>
      <c r="Q8" s="18" t="n">
        <v>1.1972358</v>
      </c>
      <c r="R8" s="20" t="n">
        <v>0.5910998</v>
      </c>
    </row>
    <row r="9" spans="1:18">
      <c r="A9" s="15" t="s">
        <v>567</v>
      </c>
      <c r="B9" s="17" t="n">
        <v>4752</v>
      </c>
      <c r="C9" s="18">
        <f>(4279.0/B9*100)</f>
        <v/>
      </c>
      <c r="D9" s="19" t="n">
        <v>473</v>
      </c>
      <c r="E9" s="18" t="n">
        <v>33.4681357</v>
      </c>
      <c r="F9" s="20" t="n">
        <v>2.52441815</v>
      </c>
      <c r="G9" s="18" t="n">
        <v>64.21850297</v>
      </c>
      <c r="H9" s="20" t="n">
        <v>2.5216791</v>
      </c>
      <c r="I9" s="18" t="n">
        <v>0</v>
      </c>
      <c r="J9" s="20" t="n">
        <v>0</v>
      </c>
      <c r="K9" s="18" t="n">
        <v>1.13977463</v>
      </c>
      <c r="L9" s="20" t="n">
        <v>0.5045798</v>
      </c>
      <c r="M9" s="18" t="n">
        <v>0</v>
      </c>
      <c r="N9" s="20" t="n">
        <v>0</v>
      </c>
      <c r="O9" s="18" t="n">
        <v>0</v>
      </c>
      <c r="P9" s="20" t="n">
        <v>0</v>
      </c>
      <c r="Q9" s="18" t="n">
        <v>1.1735867</v>
      </c>
      <c r="R9" s="20" t="n">
        <v>0.54730264</v>
      </c>
    </row>
    <row r="10" spans="1:18">
      <c r="A10" s="15" t="s">
        <v>568</v>
      </c>
      <c r="B10" s="17" t="n">
        <v>10022</v>
      </c>
      <c r="C10" s="18">
        <f>(8914.0/B10*100)</f>
        <v/>
      </c>
      <c r="D10" s="19" t="n">
        <v>1108</v>
      </c>
      <c r="E10" s="18" t="n">
        <v>25.79880342</v>
      </c>
      <c r="F10" s="20" t="n">
        <v>1.82723364</v>
      </c>
      <c r="G10" s="18" t="n">
        <v>71.12950449</v>
      </c>
      <c r="H10" s="20" t="n">
        <v>2.0758476</v>
      </c>
      <c r="I10" s="18" t="n">
        <v>0</v>
      </c>
      <c r="J10" s="20" t="n">
        <v>0</v>
      </c>
      <c r="K10" s="18" t="n">
        <v>2.79863202</v>
      </c>
      <c r="L10" s="20" t="n">
        <v>0.73261386</v>
      </c>
      <c r="M10" s="18" t="n">
        <v>0</v>
      </c>
      <c r="N10" s="20" t="n">
        <v>0</v>
      </c>
      <c r="O10" s="18" t="n">
        <v>0</v>
      </c>
      <c r="P10" s="20" t="n">
        <v>0</v>
      </c>
      <c r="Q10" s="18" t="n">
        <v>0.27306008</v>
      </c>
      <c r="R10" s="20" t="n">
        <v>0.2097585</v>
      </c>
    </row>
    <row r="11" spans="1:18">
      <c r="A11" s="15" t="s">
        <v>569</v>
      </c>
      <c r="B11" s="17" t="n">
        <v>3500</v>
      </c>
      <c r="C11" s="18">
        <f>(3163.0/B11*100)</f>
        <v/>
      </c>
      <c r="D11" s="19" t="n">
        <v>337</v>
      </c>
      <c r="E11" s="18" t="n">
        <v>36.79938179</v>
      </c>
      <c r="F11" s="20" t="n">
        <v>2.60962231</v>
      </c>
      <c r="G11" s="18" t="n">
        <v>55.61056472</v>
      </c>
      <c r="H11" s="20" t="n">
        <v>2.99818163</v>
      </c>
      <c r="I11" s="18" t="n">
        <v>0</v>
      </c>
      <c r="J11" s="20" t="n">
        <v>0</v>
      </c>
      <c r="K11" s="18" t="n">
        <v>6.24894997</v>
      </c>
      <c r="L11" s="20" t="n">
        <v>1.5584985</v>
      </c>
      <c r="M11" s="18" t="n">
        <v>0</v>
      </c>
      <c r="N11" s="20" t="n">
        <v>0</v>
      </c>
      <c r="O11" s="18" t="n">
        <v>0</v>
      </c>
      <c r="P11" s="20" t="n">
        <v>0</v>
      </c>
      <c r="Q11" s="18" t="n">
        <v>1.34110352</v>
      </c>
      <c r="R11" s="20" t="n">
        <v>0.64973104</v>
      </c>
    </row>
    <row r="12" spans="1:18">
      <c r="A12" s="15" t="s">
        <v>570</v>
      </c>
      <c r="B12" s="17" t="n">
        <v>3422</v>
      </c>
      <c r="C12" s="18">
        <f>(3066.0/B12*100)</f>
        <v/>
      </c>
      <c r="D12" s="19" t="n">
        <v>356</v>
      </c>
      <c r="E12" s="18" t="n">
        <v>31.17176466</v>
      </c>
      <c r="F12" s="20" t="n">
        <v>2.5342095</v>
      </c>
      <c r="G12" s="18" t="n">
        <v>65.04490975</v>
      </c>
      <c r="H12" s="20" t="n">
        <v>2.86984278</v>
      </c>
      <c r="I12" s="18" t="n">
        <v>0</v>
      </c>
      <c r="J12" s="20" t="n">
        <v>0</v>
      </c>
      <c r="K12" s="18" t="n">
        <v>2.43185781</v>
      </c>
      <c r="L12" s="20" t="n">
        <v>0.81577923</v>
      </c>
      <c r="M12" s="18" t="n">
        <v>0</v>
      </c>
      <c r="N12" s="20" t="n">
        <v>0</v>
      </c>
      <c r="O12" s="18" t="n">
        <v>0</v>
      </c>
      <c r="P12" s="20" t="n">
        <v>0</v>
      </c>
      <c r="Q12" s="18" t="n">
        <v>1.35146778</v>
      </c>
      <c r="R12" s="20" t="n">
        <v>0.78204239</v>
      </c>
    </row>
    <row r="13" spans="1:18">
      <c r="A13" s="15" t="s">
        <v>571</v>
      </c>
      <c r="B13" s="17" t="n">
        <v>3602</v>
      </c>
      <c r="C13" s="18">
        <f>(3211.0/B13*100)</f>
        <v/>
      </c>
      <c r="D13" s="19" t="n">
        <v>391</v>
      </c>
      <c r="E13" s="18" t="n">
        <v>28.37171373</v>
      </c>
      <c r="F13" s="20" t="n">
        <v>2.48165476</v>
      </c>
      <c r="G13" s="18" t="n">
        <v>68.84477597999999</v>
      </c>
      <c r="H13" s="20" t="n">
        <v>2.68966426</v>
      </c>
      <c r="I13" s="18" t="n">
        <v>0</v>
      </c>
      <c r="J13" s="20" t="n">
        <v>0</v>
      </c>
      <c r="K13" s="18" t="n">
        <v>1.62481661</v>
      </c>
      <c r="L13" s="20" t="n">
        <v>0.65735722</v>
      </c>
      <c r="M13" s="18" t="n">
        <v>0</v>
      </c>
      <c r="N13" s="20" t="n">
        <v>0</v>
      </c>
      <c r="O13" s="18" t="n">
        <v>0</v>
      </c>
      <c r="P13" s="20" t="n">
        <v>0</v>
      </c>
      <c r="Q13" s="18" t="n">
        <v>1.15869367</v>
      </c>
      <c r="R13" s="20" t="n">
        <v>0.77809572</v>
      </c>
    </row>
    <row r="14" spans="1:18">
      <c r="A14" s="15" t="s">
        <v>572</v>
      </c>
      <c r="B14" s="17" t="n">
        <v>2788</v>
      </c>
      <c r="C14" s="18">
        <f>(2478.0/B14*100)</f>
        <v/>
      </c>
      <c r="D14" s="19" t="n">
        <v>310</v>
      </c>
      <c r="E14" s="18" t="n">
        <v>25.17099591</v>
      </c>
      <c r="F14" s="20" t="n">
        <v>2.65403572</v>
      </c>
      <c r="G14" s="18" t="n">
        <v>72.95426738</v>
      </c>
      <c r="H14" s="20" t="n">
        <v>2.76473417</v>
      </c>
      <c r="I14" s="18" t="n">
        <v>0</v>
      </c>
      <c r="J14" s="20" t="n">
        <v>0</v>
      </c>
      <c r="K14" s="18" t="n">
        <v>1.62017115</v>
      </c>
      <c r="L14" s="20" t="n">
        <v>0.95527219</v>
      </c>
      <c r="M14" s="18" t="n">
        <v>0</v>
      </c>
      <c r="N14" s="20" t="n">
        <v>0</v>
      </c>
      <c r="O14" s="18" t="n">
        <v>0</v>
      </c>
      <c r="P14" s="20" t="n">
        <v>0</v>
      </c>
      <c r="Q14" s="18" t="n">
        <v>0.25456557</v>
      </c>
      <c r="R14" s="20" t="n">
        <v>0.28787306</v>
      </c>
    </row>
    <row r="15" spans="1:18">
      <c r="A15" s="15" t="s">
        <v>573</v>
      </c>
      <c r="B15" s="17" t="n">
        <v>2863</v>
      </c>
      <c r="C15" s="18">
        <f>(2566.0/B15*100)</f>
        <v/>
      </c>
      <c r="D15" s="19" t="n">
        <v>297</v>
      </c>
      <c r="E15" s="18" t="n">
        <v>32.40424767</v>
      </c>
      <c r="F15" s="20" t="n">
        <v>2.72898607</v>
      </c>
      <c r="G15" s="18" t="n">
        <v>66.67184244000001</v>
      </c>
      <c r="H15" s="20" t="n">
        <v>2.8467375</v>
      </c>
      <c r="I15" s="18" t="n">
        <v>0</v>
      </c>
      <c r="J15" s="20" t="n">
        <v>0</v>
      </c>
      <c r="K15" s="18" t="n">
        <v>0.92390989</v>
      </c>
      <c r="L15" s="20" t="n">
        <v>0.54253007</v>
      </c>
      <c r="M15" s="18" t="n">
        <v>0</v>
      </c>
      <c r="N15" s="20" t="n">
        <v>0</v>
      </c>
      <c r="O15" s="18" t="n">
        <v>0</v>
      </c>
      <c r="P15" s="20" t="n">
        <v>0</v>
      </c>
      <c r="Q15" s="18" t="n">
        <v>0</v>
      </c>
      <c r="R15" s="20" t="n">
        <v>0</v>
      </c>
    </row>
    <row r="16" spans="1:18">
      <c r="A16" s="15" t="s">
        <v>574</v>
      </c>
      <c r="B16" s="17" t="n">
        <v>3111</v>
      </c>
      <c r="C16" s="18">
        <f>(2791.0/B16*100)</f>
        <v/>
      </c>
      <c r="D16" s="19" t="n">
        <v>320</v>
      </c>
      <c r="E16" s="18" t="n">
        <v>38.41353498</v>
      </c>
      <c r="F16" s="20" t="n">
        <v>2.5809378</v>
      </c>
      <c r="G16" s="18" t="n">
        <v>56.85080273</v>
      </c>
      <c r="H16" s="20" t="n">
        <v>2.67581747</v>
      </c>
      <c r="I16" s="18" t="n">
        <v>0</v>
      </c>
      <c r="J16" s="20" t="n">
        <v>0</v>
      </c>
      <c r="K16" s="18" t="n">
        <v>3.16207809</v>
      </c>
      <c r="L16" s="20" t="n">
        <v>1.14430113</v>
      </c>
      <c r="M16" s="18" t="n">
        <v>0</v>
      </c>
      <c r="N16" s="20" t="n">
        <v>0</v>
      </c>
      <c r="O16" s="18" t="n">
        <v>0</v>
      </c>
      <c r="P16" s="20" t="n">
        <v>0</v>
      </c>
      <c r="Q16" s="18" t="n">
        <v>1.5735842</v>
      </c>
      <c r="R16" s="20" t="n">
        <v>0.7166171099999999</v>
      </c>
    </row>
    <row r="17" spans="1:18">
      <c r="A17" s="15" t="s">
        <v>575</v>
      </c>
      <c r="B17" s="17" t="n">
        <v>3197</v>
      </c>
      <c r="C17" s="18">
        <f>(2857.0/B17*100)</f>
        <v/>
      </c>
      <c r="D17" s="19" t="n">
        <v>340</v>
      </c>
      <c r="E17" s="18" t="n">
        <v>33.31839108</v>
      </c>
      <c r="F17" s="20" t="n">
        <v>2.68286496</v>
      </c>
      <c r="G17" s="18" t="n">
        <v>65.47860899</v>
      </c>
      <c r="H17" s="20" t="n">
        <v>2.61358446</v>
      </c>
      <c r="I17" s="18" t="n">
        <v>0</v>
      </c>
      <c r="J17" s="20" t="n">
        <v>0</v>
      </c>
      <c r="K17" s="18" t="n">
        <v>0.93445535</v>
      </c>
      <c r="L17" s="20" t="n">
        <v>0.4241397</v>
      </c>
      <c r="M17" s="18" t="n">
        <v>0</v>
      </c>
      <c r="N17" s="20" t="n">
        <v>0</v>
      </c>
      <c r="O17" s="18" t="n">
        <v>0</v>
      </c>
      <c r="P17" s="20" t="n">
        <v>0</v>
      </c>
      <c r="Q17" s="18" t="n">
        <v>0.26854458</v>
      </c>
      <c r="R17" s="20" t="n">
        <v>0.28642229</v>
      </c>
    </row>
    <row r="18" spans="1:18">
      <c r="A18" s="15" t="s">
        <v>576</v>
      </c>
      <c r="B18" s="17" t="n">
        <v>2706</v>
      </c>
      <c r="C18" s="18">
        <f>(2424.0/B18*100)</f>
        <v/>
      </c>
      <c r="D18" s="19" t="n">
        <v>282</v>
      </c>
      <c r="E18" s="18" t="n">
        <v>40.11646364</v>
      </c>
      <c r="F18" s="20" t="n">
        <v>2.93426177</v>
      </c>
      <c r="G18" s="18" t="n">
        <v>57.50698826</v>
      </c>
      <c r="H18" s="20" t="n">
        <v>3.0987747</v>
      </c>
      <c r="I18" s="18" t="n">
        <v>0</v>
      </c>
      <c r="J18" s="20" t="n">
        <v>0</v>
      </c>
      <c r="K18" s="18" t="n">
        <v>2.21211022</v>
      </c>
      <c r="L18" s="20" t="n">
        <v>0.81935422</v>
      </c>
      <c r="M18" s="18" t="n">
        <v>0</v>
      </c>
      <c r="N18" s="20" t="n">
        <v>0</v>
      </c>
      <c r="O18" s="18" t="n">
        <v>0</v>
      </c>
      <c r="P18" s="20" t="n">
        <v>0</v>
      </c>
      <c r="Q18" s="18" t="n">
        <v>0.16443788</v>
      </c>
      <c r="R18" s="20" t="n">
        <v>0.16390857</v>
      </c>
    </row>
    <row r="19" spans="1:18">
      <c r="A19" s="15" t="s">
        <v>577</v>
      </c>
      <c r="B19" s="17" t="n">
        <v>2850</v>
      </c>
      <c r="C19" s="18">
        <f>(2559.0/B19*100)</f>
        <v/>
      </c>
      <c r="D19" s="19" t="n">
        <v>291</v>
      </c>
      <c r="E19" s="18" t="n">
        <v>36.77634184</v>
      </c>
      <c r="F19" s="20" t="n">
        <v>3.00631239</v>
      </c>
      <c r="G19" s="18" t="n">
        <v>63.22365816</v>
      </c>
      <c r="H19" s="20" t="n">
        <v>3.00631239</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(1530.0/B20*100)</f>
        <v/>
      </c>
      <c r="D20" s="19" t="n">
        <v>211</v>
      </c>
      <c r="E20" s="18" t="n">
        <v>34.08220993</v>
      </c>
      <c r="F20" s="20" t="n">
        <v>3.50591654</v>
      </c>
      <c r="G20" s="18" t="n">
        <v>63.54126356</v>
      </c>
      <c r="H20" s="20" t="n">
        <v>3.41114832</v>
      </c>
      <c r="I20" s="18" t="n">
        <v>0</v>
      </c>
      <c r="J20" s="20" t="n">
        <v>0</v>
      </c>
      <c r="K20" s="18" t="n">
        <v>1.30676068</v>
      </c>
      <c r="L20" s="20" t="n">
        <v>0.7250984700000001</v>
      </c>
      <c r="M20" s="18" t="n">
        <v>0</v>
      </c>
      <c r="N20" s="20" t="n">
        <v>0</v>
      </c>
      <c r="O20" s="18" t="n">
        <v>0</v>
      </c>
      <c r="P20" s="20" t="n">
        <v>0</v>
      </c>
      <c r="Q20" s="18" t="n">
        <v>1.06976583</v>
      </c>
      <c r="R20" s="20" t="n">
        <v>0.77201385</v>
      </c>
    </row>
    <row r="21" spans="1:18">
      <c r="A21" s="15" t="s">
        <v>579</v>
      </c>
      <c r="B21" s="17" t="n">
        <v>2833</v>
      </c>
      <c r="C21" s="18">
        <f>(2534.0/B21*100)</f>
        <v/>
      </c>
      <c r="D21" s="19" t="n">
        <v>299</v>
      </c>
      <c r="E21" s="18" t="n">
        <v>31.93269163</v>
      </c>
      <c r="F21" s="20" t="n">
        <v>2.27348278</v>
      </c>
      <c r="G21" s="18" t="n">
        <v>67.40621602</v>
      </c>
      <c r="H21" s="20" t="n">
        <v>2.27284749</v>
      </c>
      <c r="I21" s="18" t="n">
        <v>0</v>
      </c>
      <c r="J21" s="20" t="n">
        <v>0</v>
      </c>
      <c r="K21" s="18" t="n">
        <v>0.66109235</v>
      </c>
      <c r="L21" s="20" t="n">
        <v>0.58687417</v>
      </c>
      <c r="M21" s="18" t="n">
        <v>0</v>
      </c>
      <c r="N21" s="20" t="n">
        <v>0</v>
      </c>
      <c r="O21" s="18" t="n">
        <v>0</v>
      </c>
      <c r="P21" s="20" t="n">
        <v>0</v>
      </c>
      <c r="Q21" s="18" t="n">
        <v>0</v>
      </c>
      <c r="R21" s="20" t="n">
        <v>0</v>
      </c>
    </row>
    <row r="22" spans="1:18">
      <c r="A22" s="15" t="s">
        <v>580</v>
      </c>
      <c r="B22" s="17" t="n">
        <v>3667</v>
      </c>
      <c r="C22" s="18">
        <f>(3324.0/B22*100)</f>
        <v/>
      </c>
      <c r="D22" s="19" t="n">
        <v>343</v>
      </c>
      <c r="E22" s="18" t="n">
        <v>36.6472792</v>
      </c>
      <c r="F22" s="20" t="n">
        <v>2.81545356</v>
      </c>
      <c r="G22" s="18" t="n">
        <v>59.39988342</v>
      </c>
      <c r="H22" s="20" t="n">
        <v>2.64027406</v>
      </c>
      <c r="I22" s="18" t="n">
        <v>0</v>
      </c>
      <c r="J22" s="20" t="n">
        <v>0</v>
      </c>
      <c r="K22" s="18" t="n">
        <v>3.45200478</v>
      </c>
      <c r="L22" s="20" t="n">
        <v>0.91069997</v>
      </c>
      <c r="M22" s="18" t="n">
        <v>0</v>
      </c>
      <c r="N22" s="20" t="n">
        <v>0</v>
      </c>
      <c r="O22" s="18" t="n">
        <v>0</v>
      </c>
      <c r="P22" s="20" t="n">
        <v>0</v>
      </c>
      <c r="Q22" s="18" t="n">
        <v>0.50083261</v>
      </c>
      <c r="R22" s="20" t="n">
        <v>0.49454416</v>
      </c>
    </row>
    <row r="23" spans="1:18">
      <c r="A23" s="15" t="s">
        <v>581</v>
      </c>
      <c r="B23" s="17" t="n">
        <v>5792</v>
      </c>
      <c r="C23" s="18">
        <f>(5173.0/B23*100)</f>
        <v/>
      </c>
      <c r="D23" s="19" t="n">
        <v>619</v>
      </c>
      <c r="E23" s="18" t="n">
        <v>29.06352399</v>
      </c>
      <c r="F23" s="20" t="n">
        <v>2.49022513</v>
      </c>
      <c r="G23" s="18" t="n">
        <v>65.33794913</v>
      </c>
      <c r="H23" s="20" t="n">
        <v>2.6433306</v>
      </c>
      <c r="I23" s="18" t="n">
        <v>0</v>
      </c>
      <c r="J23" s="20" t="n">
        <v>0</v>
      </c>
      <c r="K23" s="18" t="n">
        <v>4.94351928</v>
      </c>
      <c r="L23" s="20" t="n">
        <v>1.46957785</v>
      </c>
      <c r="M23" s="18" t="n">
        <v>0</v>
      </c>
      <c r="N23" s="20" t="n">
        <v>0</v>
      </c>
      <c r="O23" s="18" t="n">
        <v>0</v>
      </c>
      <c r="P23" s="20" t="n">
        <v>0</v>
      </c>
      <c r="Q23" s="18" t="n">
        <v>0.6550076</v>
      </c>
      <c r="R23" s="20" t="n">
        <v>0.51347106</v>
      </c>
    </row>
    <row r="24" spans="1:18">
      <c r="A24" s="15" t="s">
        <v>582</v>
      </c>
      <c r="B24" s="17" t="n">
        <v>3309</v>
      </c>
      <c r="C24" s="18">
        <f>(2962.0/B24*100)</f>
        <v/>
      </c>
      <c r="D24" s="19" t="n">
        <v>347</v>
      </c>
      <c r="E24" s="18" t="n">
        <v>21.5377217</v>
      </c>
      <c r="F24" s="20" t="n">
        <v>2.60702589</v>
      </c>
      <c r="G24" s="18" t="n">
        <v>77.19745974999999</v>
      </c>
      <c r="H24" s="20" t="n">
        <v>2.63425978</v>
      </c>
      <c r="I24" s="18" t="n">
        <v>0</v>
      </c>
      <c r="J24" s="20" t="n">
        <v>0</v>
      </c>
      <c r="K24" s="18" t="n">
        <v>0.62648757</v>
      </c>
      <c r="L24" s="20" t="n">
        <v>0.44892545</v>
      </c>
      <c r="M24" s="18" t="n">
        <v>0</v>
      </c>
      <c r="N24" s="20" t="n">
        <v>0</v>
      </c>
      <c r="O24" s="18" t="n">
        <v>0</v>
      </c>
      <c r="P24" s="20" t="n">
        <v>0</v>
      </c>
      <c r="Q24" s="18" t="n">
        <v>0.6383309700000001</v>
      </c>
      <c r="R24" s="20" t="n">
        <v>0.46290199</v>
      </c>
    </row>
    <row r="25" spans="1:18">
      <c r="A25" s="15" t="s">
        <v>583</v>
      </c>
      <c r="B25" s="17" t="n">
        <v>2669</v>
      </c>
      <c r="C25" s="18">
        <f>(2362.0/B25*100)</f>
        <v/>
      </c>
      <c r="D25" s="19" t="n">
        <v>307</v>
      </c>
      <c r="E25" s="18" t="n">
        <v>23.48353483</v>
      </c>
      <c r="F25" s="20" t="n">
        <v>2.32129766</v>
      </c>
      <c r="G25" s="18" t="n">
        <v>74.88379845999999</v>
      </c>
      <c r="H25" s="20" t="n">
        <v>2.2259768</v>
      </c>
      <c r="I25" s="18" t="n">
        <v>0</v>
      </c>
      <c r="J25" s="20" t="n">
        <v>0</v>
      </c>
      <c r="K25" s="18" t="n">
        <v>0.8595034499999999</v>
      </c>
      <c r="L25" s="20" t="n">
        <v>0.50469712</v>
      </c>
      <c r="M25" s="18" t="n">
        <v>0</v>
      </c>
      <c r="N25" s="20" t="n">
        <v>0</v>
      </c>
      <c r="O25" s="18" t="n">
        <v>0</v>
      </c>
      <c r="P25" s="20" t="n">
        <v>0</v>
      </c>
      <c r="Q25" s="18" t="n">
        <v>0.77316326</v>
      </c>
      <c r="R25" s="20" t="n">
        <v>0.4277226</v>
      </c>
    </row>
    <row r="26" spans="1:18">
      <c r="A26" s="15" t="s">
        <v>584</v>
      </c>
      <c r="B26" s="17" t="n">
        <v>2419</v>
      </c>
      <c r="C26" s="18">
        <f>(2165.0/B26*100)</f>
        <v/>
      </c>
      <c r="D26" s="19" t="n">
        <v>254</v>
      </c>
      <c r="E26" s="18" t="n">
        <v>32.81731862</v>
      </c>
      <c r="F26" s="20" t="n">
        <v>2.90014963</v>
      </c>
      <c r="G26" s="18" t="n">
        <v>66.42352425999999</v>
      </c>
      <c r="H26" s="20" t="n">
        <v>2.9841164</v>
      </c>
      <c r="I26" s="18" t="n">
        <v>0</v>
      </c>
      <c r="J26" s="20" t="n">
        <v>0</v>
      </c>
      <c r="K26" s="18" t="n">
        <v>0.30683601</v>
      </c>
      <c r="L26" s="20" t="n">
        <v>0.33458213</v>
      </c>
      <c r="M26" s="18" t="n">
        <v>0</v>
      </c>
      <c r="N26" s="20" t="n">
        <v>0</v>
      </c>
      <c r="O26" s="18" t="n">
        <v>0</v>
      </c>
      <c r="P26" s="20" t="n">
        <v>0</v>
      </c>
      <c r="Q26" s="18" t="n">
        <v>0.45232111</v>
      </c>
      <c r="R26" s="20" t="n">
        <v>0.44786197</v>
      </c>
    </row>
    <row r="27" spans="1:18">
      <c r="A27" s="15" t="s">
        <v>585</v>
      </c>
      <c r="B27" s="17" t="n">
        <v>2683</v>
      </c>
      <c r="C27" s="18">
        <f>(2397.0/B27*100)</f>
        <v/>
      </c>
      <c r="D27" s="19" t="n">
        <v>286</v>
      </c>
      <c r="E27" s="18" t="n">
        <v>37.67348223</v>
      </c>
      <c r="F27" s="20" t="n">
        <v>2.61752698</v>
      </c>
      <c r="G27" s="18" t="n">
        <v>59.80941046</v>
      </c>
      <c r="H27" s="20" t="n">
        <v>2.7795999</v>
      </c>
      <c r="I27" s="18" t="n">
        <v>0</v>
      </c>
      <c r="J27" s="20" t="n">
        <v>0</v>
      </c>
      <c r="K27" s="18" t="n">
        <v>1.83420081</v>
      </c>
      <c r="L27" s="20" t="n">
        <v>0.86100966</v>
      </c>
      <c r="M27" s="18" t="n">
        <v>0</v>
      </c>
      <c r="N27" s="20" t="n">
        <v>0</v>
      </c>
      <c r="O27" s="18" t="n">
        <v>0</v>
      </c>
      <c r="P27" s="20" t="n">
        <v>0</v>
      </c>
      <c r="Q27" s="18" t="n">
        <v>0.6829065</v>
      </c>
      <c r="R27" s="20" t="n">
        <v>0.48369732</v>
      </c>
    </row>
    <row r="28" spans="1:18">
      <c r="A28" s="15" t="s">
        <v>586</v>
      </c>
      <c r="B28" s="17" t="n">
        <v>3803</v>
      </c>
      <c r="C28" s="18">
        <f>(3460.0/B28*100)</f>
        <v/>
      </c>
      <c r="D28" s="19" t="n">
        <v>343</v>
      </c>
      <c r="E28" s="18" t="n">
        <v>44.16356963</v>
      </c>
      <c r="F28" s="20" t="n">
        <v>3.27811835</v>
      </c>
      <c r="G28" s="18" t="n">
        <v>52.76065874</v>
      </c>
      <c r="H28" s="20" t="n">
        <v>3.37069602</v>
      </c>
      <c r="I28" s="18" t="n">
        <v>0</v>
      </c>
      <c r="J28" s="20" t="n">
        <v>0</v>
      </c>
      <c r="K28" s="18" t="n">
        <v>3.07577163</v>
      </c>
      <c r="L28" s="20" t="n">
        <v>1.0354948</v>
      </c>
      <c r="M28" s="18" t="n">
        <v>0</v>
      </c>
      <c r="N28" s="20" t="n">
        <v>0</v>
      </c>
      <c r="O28" s="18" t="n">
        <v>0</v>
      </c>
      <c r="P28" s="20" t="n">
        <v>0</v>
      </c>
      <c r="Q28" s="18" t="n">
        <v>0</v>
      </c>
      <c r="R28" s="20" t="n">
        <v>0</v>
      </c>
    </row>
    <row r="29" spans="1:18">
      <c r="A29" s="15" t="s">
        <v>587</v>
      </c>
      <c r="B29" s="17" t="n">
        <v>2700</v>
      </c>
      <c r="C29" s="18">
        <f>(2408.0/B29*100)</f>
        <v/>
      </c>
      <c r="D29" s="19" t="n">
        <v>292</v>
      </c>
      <c r="E29" s="18" t="n">
        <v>30.06282323</v>
      </c>
      <c r="F29" s="20" t="n">
        <v>2.7317077</v>
      </c>
      <c r="G29" s="18" t="n">
        <v>68.69351283</v>
      </c>
      <c r="H29" s="20" t="n">
        <v>2.5814553</v>
      </c>
      <c r="I29" s="18" t="n">
        <v>0</v>
      </c>
      <c r="J29" s="20" t="n">
        <v>0</v>
      </c>
      <c r="K29" s="18" t="n">
        <v>1.24366395</v>
      </c>
      <c r="L29" s="20" t="n">
        <v>0.62702231</v>
      </c>
      <c r="M29" s="18" t="n">
        <v>0</v>
      </c>
      <c r="N29" s="20" t="n">
        <v>0</v>
      </c>
      <c r="O29" s="18" t="n">
        <v>0</v>
      </c>
      <c r="P29" s="20" t="n">
        <v>0</v>
      </c>
      <c r="Q29" s="18" t="n">
        <v>0</v>
      </c>
      <c r="R29" s="20" t="n">
        <v>0</v>
      </c>
    </row>
    <row r="30" spans="1:18">
      <c r="A30" s="15" t="s">
        <v>588</v>
      </c>
      <c r="B30" s="17" t="n">
        <v>2257</v>
      </c>
      <c r="C30" s="18">
        <f>(2019.0/B30*100)</f>
        <v/>
      </c>
      <c r="D30" s="19" t="n">
        <v>238</v>
      </c>
      <c r="E30" s="18" t="n">
        <v>30.29641861</v>
      </c>
      <c r="F30" s="20" t="n">
        <v>2.8627803</v>
      </c>
      <c r="G30" s="18" t="n">
        <v>68.04860586</v>
      </c>
      <c r="H30" s="20" t="n">
        <v>3.13233249</v>
      </c>
      <c r="I30" s="18" t="n">
        <v>0</v>
      </c>
      <c r="J30" s="20" t="n">
        <v>0</v>
      </c>
      <c r="K30" s="18" t="n">
        <v>1.65497553</v>
      </c>
      <c r="L30" s="20" t="n">
        <v>0.8335314</v>
      </c>
      <c r="M30" s="18" t="n">
        <v>0</v>
      </c>
      <c r="N30" s="20" t="n">
        <v>0</v>
      </c>
      <c r="O30" s="18" t="n">
        <v>0</v>
      </c>
      <c r="P30" s="20" t="n">
        <v>0</v>
      </c>
      <c r="Q30" s="18" t="n">
        <v>0</v>
      </c>
      <c r="R30" s="20" t="n">
        <v>0</v>
      </c>
    </row>
    <row r="31" spans="1:18">
      <c r="A31" s="15" t="s">
        <v>589</v>
      </c>
      <c r="B31" s="17" t="n">
        <v>2706</v>
      </c>
      <c r="C31" s="18">
        <f>(2424.0/B31*100)</f>
        <v/>
      </c>
      <c r="D31" s="19" t="n">
        <v>282</v>
      </c>
      <c r="E31" s="18" t="n">
        <v>33.49998248</v>
      </c>
      <c r="F31" s="20" t="n">
        <v>2.87990622</v>
      </c>
      <c r="G31" s="18" t="n">
        <v>62.08674542</v>
      </c>
      <c r="H31" s="20" t="n">
        <v>3.11820885</v>
      </c>
      <c r="I31" s="18" t="n">
        <v>0</v>
      </c>
      <c r="J31" s="20" t="n">
        <v>0</v>
      </c>
      <c r="K31" s="18" t="n">
        <v>4.04186027</v>
      </c>
      <c r="L31" s="20" t="n">
        <v>1.1400921</v>
      </c>
      <c r="M31" s="18" t="n">
        <v>0</v>
      </c>
      <c r="N31" s="20" t="n">
        <v>0</v>
      </c>
      <c r="O31" s="18" t="n">
        <v>0</v>
      </c>
      <c r="P31" s="20" t="n">
        <v>0</v>
      </c>
      <c r="Q31" s="18" t="n">
        <v>0.37141184</v>
      </c>
      <c r="R31" s="20" t="n">
        <v>0.3889537</v>
      </c>
    </row>
    <row r="32" spans="1:18">
      <c r="A32" s="15" t="s">
        <v>590</v>
      </c>
      <c r="B32" s="17" t="n">
        <v>2209</v>
      </c>
      <c r="C32" s="18">
        <f>(1975.0/B32*100)</f>
        <v/>
      </c>
      <c r="D32" s="19" t="n">
        <v>234</v>
      </c>
      <c r="E32" s="18" t="n">
        <v>30.17588315</v>
      </c>
      <c r="F32" s="20" t="n">
        <v>2.80796466</v>
      </c>
      <c r="G32" s="18" t="n">
        <v>69.42921196</v>
      </c>
      <c r="H32" s="20" t="n">
        <v>2.87197636</v>
      </c>
      <c r="I32" s="18" t="n">
        <v>0</v>
      </c>
      <c r="J32" s="20" t="n">
        <v>0</v>
      </c>
      <c r="K32" s="18" t="n">
        <v>0.39490489</v>
      </c>
      <c r="L32" s="20" t="n">
        <v>0.41291511</v>
      </c>
      <c r="M32" s="18" t="n">
        <v>0</v>
      </c>
      <c r="N32" s="20" t="n">
        <v>0</v>
      </c>
      <c r="O32" s="18" t="n">
        <v>0</v>
      </c>
      <c r="P32" s="20" t="n">
        <v>0</v>
      </c>
      <c r="Q32" s="18" t="n">
        <v>0</v>
      </c>
      <c r="R32" s="20" t="n">
        <v>0</v>
      </c>
    </row>
    <row r="33" spans="1:18">
      <c r="A33" s="15" t="s">
        <v>591</v>
      </c>
      <c r="B33" s="17" t="n">
        <v>3651</v>
      </c>
      <c r="C33" s="18">
        <f>(3310.0/B33*100)</f>
        <v/>
      </c>
      <c r="D33" s="19" t="n">
        <v>341</v>
      </c>
      <c r="E33" s="18" t="n">
        <v>26.27063873</v>
      </c>
      <c r="F33" s="20" t="n">
        <v>3.07763534</v>
      </c>
      <c r="G33" s="18" t="n">
        <v>72.74754249999999</v>
      </c>
      <c r="H33" s="20" t="n">
        <v>3.19150005</v>
      </c>
      <c r="I33" s="18" t="n">
        <v>0</v>
      </c>
      <c r="J33" s="20" t="n">
        <v>0</v>
      </c>
      <c r="K33" s="18" t="n">
        <v>0.6535983</v>
      </c>
      <c r="L33" s="20" t="n">
        <v>0.44380207</v>
      </c>
      <c r="M33" s="18" t="n">
        <v>0</v>
      </c>
      <c r="N33" s="20" t="n">
        <v>0</v>
      </c>
      <c r="O33" s="18" t="n">
        <v>0</v>
      </c>
      <c r="P33" s="20" t="n">
        <v>0</v>
      </c>
      <c r="Q33" s="18" t="n">
        <v>0.32822046</v>
      </c>
      <c r="R33" s="20" t="n">
        <v>0.32838064</v>
      </c>
    </row>
    <row r="34" spans="1:18">
      <c r="A34" s="15" t="s">
        <v>592</v>
      </c>
      <c r="B34" s="17" t="n">
        <v>3035</v>
      </c>
      <c r="C34" s="18">
        <f>(2703.0/B34*100)</f>
        <v/>
      </c>
      <c r="D34" s="19" t="n">
        <v>332</v>
      </c>
      <c r="E34" s="18" t="n">
        <v>36.31870044</v>
      </c>
      <c r="F34" s="20" t="n">
        <v>3.14319667</v>
      </c>
      <c r="G34" s="18" t="n">
        <v>61.36945101</v>
      </c>
      <c r="H34" s="20" t="n">
        <v>3.14074725</v>
      </c>
      <c r="I34" s="18" t="n">
        <v>0</v>
      </c>
      <c r="J34" s="20" t="n">
        <v>0</v>
      </c>
      <c r="K34" s="18" t="n">
        <v>1.75447339</v>
      </c>
      <c r="L34" s="20" t="n">
        <v>0.58973679</v>
      </c>
      <c r="M34" s="18" t="n">
        <v>0</v>
      </c>
      <c r="N34" s="20" t="n">
        <v>0</v>
      </c>
      <c r="O34" s="18" t="n">
        <v>0</v>
      </c>
      <c r="P34" s="20" t="n">
        <v>0</v>
      </c>
      <c r="Q34" s="18" t="n">
        <v>0.55737516</v>
      </c>
      <c r="R34" s="20" t="n">
        <v>0.36948719</v>
      </c>
    </row>
    <row r="35" spans="1:18">
      <c r="A35" s="15" t="s">
        <v>593</v>
      </c>
      <c r="B35" s="17" t="n">
        <v>2901</v>
      </c>
      <c r="C35" s="18">
        <f>(2609.0/B35*100)</f>
        <v/>
      </c>
      <c r="D35" s="19" t="n">
        <v>292</v>
      </c>
      <c r="E35" s="18" t="n">
        <v>30.76451594</v>
      </c>
      <c r="F35" s="20" t="n">
        <v>3.54673428</v>
      </c>
      <c r="G35" s="18" t="n">
        <v>68.56330831</v>
      </c>
      <c r="H35" s="20" t="n">
        <v>3.55791685</v>
      </c>
      <c r="I35" s="18" t="n">
        <v>0</v>
      </c>
      <c r="J35" s="20" t="n">
        <v>0</v>
      </c>
      <c r="K35" s="18" t="n">
        <v>0.67217575</v>
      </c>
      <c r="L35" s="20" t="n">
        <v>0.45682439</v>
      </c>
      <c r="M35" s="18" t="n">
        <v>0</v>
      </c>
      <c r="N35" s="20" t="n">
        <v>0</v>
      </c>
      <c r="O35" s="18" t="n">
        <v>0</v>
      </c>
      <c r="P35" s="20" t="n">
        <v>0</v>
      </c>
      <c r="Q35" s="18" t="n">
        <v>0</v>
      </c>
      <c r="R35" s="20" t="n">
        <v>0</v>
      </c>
    </row>
    <row r="36" spans="1:18">
      <c r="A36" s="15" t="s">
        <v>594</v>
      </c>
      <c r="B36" s="17" t="n">
        <v>3404</v>
      </c>
      <c r="C36" s="18">
        <f>(3070.0/B36*100)</f>
        <v/>
      </c>
      <c r="D36" s="19" t="n">
        <v>334</v>
      </c>
      <c r="E36" s="18" t="n">
        <v>31.82915121</v>
      </c>
      <c r="F36" s="20" t="n">
        <v>2.53342768</v>
      </c>
      <c r="G36" s="18" t="n">
        <v>64.64244227</v>
      </c>
      <c r="H36" s="20" t="n">
        <v>2.58706694</v>
      </c>
      <c r="I36" s="18" t="n">
        <v>0</v>
      </c>
      <c r="J36" s="20" t="n">
        <v>0</v>
      </c>
      <c r="K36" s="18" t="n">
        <v>3.21618077</v>
      </c>
      <c r="L36" s="20" t="n">
        <v>1.09452142</v>
      </c>
      <c r="M36" s="18" t="n">
        <v>0</v>
      </c>
      <c r="N36" s="20" t="n">
        <v>0</v>
      </c>
      <c r="O36" s="18" t="n">
        <v>0</v>
      </c>
      <c r="P36" s="20" t="n">
        <v>0</v>
      </c>
      <c r="Q36" s="18" t="n">
        <v>0.31222575</v>
      </c>
      <c r="R36" s="20" t="n">
        <v>0.30378343</v>
      </c>
    </row>
    <row r="37" spans="1:18">
      <c r="A37" s="15" t="s">
        <v>595</v>
      </c>
      <c r="B37" s="17" t="n">
        <v>2731</v>
      </c>
      <c r="C37" s="18">
        <f>(2445.0/B37*100)</f>
        <v/>
      </c>
      <c r="D37" s="19" t="n">
        <v>286</v>
      </c>
      <c r="E37" s="18" t="n">
        <v>32.49776463</v>
      </c>
      <c r="F37" s="20" t="n">
        <v>2.9933778</v>
      </c>
      <c r="G37" s="18" t="n">
        <v>60.93722689</v>
      </c>
      <c r="H37" s="20" t="n">
        <v>2.95828894</v>
      </c>
      <c r="I37" s="18" t="n">
        <v>0</v>
      </c>
      <c r="J37" s="20" t="n">
        <v>0</v>
      </c>
      <c r="K37" s="18" t="n">
        <v>5.2471463</v>
      </c>
      <c r="L37" s="20" t="n">
        <v>1.51802277</v>
      </c>
      <c r="M37" s="18" t="n">
        <v>0</v>
      </c>
      <c r="N37" s="20" t="n">
        <v>0</v>
      </c>
      <c r="O37" s="18" t="n">
        <v>0</v>
      </c>
      <c r="P37" s="20" t="n">
        <v>0</v>
      </c>
      <c r="Q37" s="18" t="n">
        <v>1.31786218</v>
      </c>
      <c r="R37" s="20" t="n">
        <v>0.69947894</v>
      </c>
    </row>
    <row r="38" spans="1:18">
      <c r="A38" s="15" t="s">
        <v>596</v>
      </c>
      <c r="B38" s="17" t="n">
        <v>2807</v>
      </c>
      <c r="C38" s="18">
        <f>(2501.0/B38*100)</f>
        <v/>
      </c>
      <c r="D38" s="19" t="n">
        <v>306</v>
      </c>
      <c r="E38" s="18" t="n">
        <v>31.44147624</v>
      </c>
      <c r="F38" s="20" t="n">
        <v>3.22715597</v>
      </c>
      <c r="G38" s="18" t="n">
        <v>65.42644047</v>
      </c>
      <c r="H38" s="20" t="n">
        <v>3.13318054</v>
      </c>
      <c r="I38" s="18" t="n">
        <v>0</v>
      </c>
      <c r="J38" s="20" t="n">
        <v>0</v>
      </c>
      <c r="K38" s="18" t="n">
        <v>2.49365643</v>
      </c>
      <c r="L38" s="20" t="n">
        <v>0.960206</v>
      </c>
      <c r="M38" s="18" t="n">
        <v>0</v>
      </c>
      <c r="N38" s="20" t="n">
        <v>0</v>
      </c>
      <c r="O38" s="18" t="n">
        <v>0</v>
      </c>
      <c r="P38" s="20" t="n">
        <v>0</v>
      </c>
      <c r="Q38" s="18" t="n">
        <v>0.63842686</v>
      </c>
      <c r="R38" s="20" t="n">
        <v>0.46032811</v>
      </c>
    </row>
    <row r="39" spans="1:18">
      <c r="A39" s="15" t="s">
        <v>597</v>
      </c>
      <c r="B39" s="17" t="n">
        <v>2938</v>
      </c>
      <c r="C39" s="18">
        <f>(2624.0/B39*100)</f>
        <v/>
      </c>
      <c r="D39" s="19" t="n">
        <v>314</v>
      </c>
      <c r="E39" s="18" t="n">
        <v>40.43473656</v>
      </c>
      <c r="F39" s="20" t="n">
        <v>2.84927115</v>
      </c>
      <c r="G39" s="18" t="n">
        <v>57.50449738</v>
      </c>
      <c r="H39" s="20" t="n">
        <v>2.83362497</v>
      </c>
      <c r="I39" s="18" t="n">
        <v>0</v>
      </c>
      <c r="J39" s="20" t="n">
        <v>0</v>
      </c>
      <c r="K39" s="18" t="n">
        <v>0.50800186</v>
      </c>
      <c r="L39" s="20" t="n">
        <v>0.42394116</v>
      </c>
      <c r="M39" s="18" t="n">
        <v>0</v>
      </c>
      <c r="N39" s="20" t="n">
        <v>0</v>
      </c>
      <c r="O39" s="18" t="n">
        <v>0</v>
      </c>
      <c r="P39" s="20" t="n">
        <v>0</v>
      </c>
      <c r="Q39" s="18" t="n">
        <v>1.5527642</v>
      </c>
      <c r="R39" s="20" t="n">
        <v>0.8142355</v>
      </c>
    </row>
    <row r="40" spans="1:18">
      <c r="A40" s="15" t="s">
        <v>598</v>
      </c>
      <c r="B40" s="17" t="n">
        <v>6922</v>
      </c>
      <c r="C40" s="18">
        <f>(6151.0/B40*100)</f>
        <v/>
      </c>
      <c r="D40" s="19" t="n">
        <v>771</v>
      </c>
      <c r="E40" s="18" t="n">
        <v>34.27599133</v>
      </c>
      <c r="F40" s="20" t="n">
        <v>2.36845686</v>
      </c>
      <c r="G40" s="18" t="n">
        <v>62.32678159</v>
      </c>
      <c r="H40" s="20" t="n">
        <v>2.69051532</v>
      </c>
      <c r="I40" s="18" t="n">
        <v>0</v>
      </c>
      <c r="J40" s="20" t="n">
        <v>0</v>
      </c>
      <c r="K40" s="18" t="n">
        <v>1.82628762</v>
      </c>
      <c r="L40" s="20" t="n">
        <v>0.7113118</v>
      </c>
      <c r="M40" s="18" t="n">
        <v>0</v>
      </c>
      <c r="N40" s="20" t="n">
        <v>0</v>
      </c>
      <c r="O40" s="18" t="n">
        <v>0</v>
      </c>
      <c r="P40" s="20" t="n">
        <v>0</v>
      </c>
      <c r="Q40" s="18" t="n">
        <v>1.57093946</v>
      </c>
      <c r="R40" s="20" t="n">
        <v>0.76201942</v>
      </c>
    </row>
    <row r="41" spans="1:18">
      <c r="A41" s="15" t="s">
        <v>599</v>
      </c>
      <c r="B41" s="17" t="n">
        <v>2854</v>
      </c>
      <c r="C41" s="18">
        <f>(2557.0/B41*100)</f>
        <v/>
      </c>
      <c r="D41" s="19" t="n">
        <v>297</v>
      </c>
      <c r="E41" s="18" t="n">
        <v>29.04627583</v>
      </c>
      <c r="F41" s="20" t="n">
        <v>2.81922909</v>
      </c>
      <c r="G41" s="18" t="n">
        <v>69.20884622</v>
      </c>
      <c r="H41" s="20" t="n">
        <v>3.04219721</v>
      </c>
      <c r="I41" s="18" t="n">
        <v>0</v>
      </c>
      <c r="J41" s="20" t="n">
        <v>0</v>
      </c>
      <c r="K41" s="18" t="n">
        <v>1.74487795</v>
      </c>
      <c r="L41" s="20" t="n">
        <v>1.25391975</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(11206.0/B46*100)</f>
        <v/>
      </c>
      <c r="D46" s="19" t="n">
        <v>867</v>
      </c>
      <c r="E46" s="18" t="n">
        <v>36.79528832</v>
      </c>
      <c r="F46" s="20" t="n">
        <v>2.01134238</v>
      </c>
      <c r="G46" s="18" t="n">
        <v>57.08895479</v>
      </c>
      <c r="H46" s="20" t="n">
        <v>2.09670497</v>
      </c>
      <c r="I46" s="18" t="n">
        <v>0</v>
      </c>
      <c r="J46" s="20" t="n">
        <v>0</v>
      </c>
      <c r="K46" s="18" t="n">
        <v>4.59017102</v>
      </c>
      <c r="L46" s="20" t="n">
        <v>0.97611233</v>
      </c>
      <c r="M46" s="18" t="n">
        <v>0</v>
      </c>
      <c r="N46" s="20" t="n">
        <v>0</v>
      </c>
      <c r="O46" s="18" t="n">
        <v>0</v>
      </c>
      <c r="P46" s="20" t="n">
        <v>0</v>
      </c>
      <c r="Q46" s="18" t="n">
        <v>1.52558587</v>
      </c>
      <c r="R46" s="20" t="n">
        <v>0.5542353</v>
      </c>
    </row>
    <row r="47" spans="1:18">
      <c r="A47" s="15" t="s">
        <v>606</v>
      </c>
      <c r="B47" s="17" t="n">
        <v>2823</v>
      </c>
      <c r="C47" s="18">
        <f>(2523.0/B47*100)</f>
        <v/>
      </c>
      <c r="D47" s="19" t="n">
        <v>300</v>
      </c>
      <c r="E47" s="18" t="n">
        <v>33.09721714</v>
      </c>
      <c r="F47" s="20" t="n">
        <v>2.49534162</v>
      </c>
      <c r="G47" s="18" t="n">
        <v>64.30165669</v>
      </c>
      <c r="H47" s="20" t="n">
        <v>2.53792399</v>
      </c>
      <c r="I47" s="18" t="n">
        <v>0</v>
      </c>
      <c r="J47" s="20" t="n">
        <v>0</v>
      </c>
      <c r="K47" s="18" t="n">
        <v>0.91574157</v>
      </c>
      <c r="L47" s="20" t="n">
        <v>0.53375091</v>
      </c>
      <c r="M47" s="18" t="n">
        <v>0</v>
      </c>
      <c r="N47" s="20" t="n">
        <v>0</v>
      </c>
      <c r="O47" s="18" t="n">
        <v>0</v>
      </c>
      <c r="P47" s="20" t="n">
        <v>0</v>
      </c>
      <c r="Q47" s="18" t="n">
        <v>1.68538459</v>
      </c>
      <c r="R47" s="20" t="n">
        <v>0.8639555799999999</v>
      </c>
    </row>
    <row r="48" spans="1:18">
      <c r="A48" s="15" t="s">
        <v>607</v>
      </c>
      <c r="B48" s="17" t="n">
        <v>4682</v>
      </c>
      <c r="C48" s="18">
        <f>(4174.0/B48*100)</f>
        <v/>
      </c>
      <c r="D48" s="19" t="n">
        <v>508</v>
      </c>
      <c r="E48" s="18" t="n">
        <v>36.00615357</v>
      </c>
      <c r="F48" s="20" t="n">
        <v>3.22240018</v>
      </c>
      <c r="G48" s="18" t="n">
        <v>62.9934403</v>
      </c>
      <c r="H48" s="20" t="n">
        <v>3.36143289</v>
      </c>
      <c r="I48" s="18" t="n">
        <v>0</v>
      </c>
      <c r="J48" s="20" t="n">
        <v>0</v>
      </c>
      <c r="K48" s="18" t="n">
        <v>1.00040612</v>
      </c>
      <c r="L48" s="20" t="n">
        <v>0.59561738</v>
      </c>
      <c r="M48" s="18" t="n">
        <v>0</v>
      </c>
      <c r="N48" s="20" t="n">
        <v>0</v>
      </c>
      <c r="O48" s="18" t="n">
        <v>0</v>
      </c>
      <c r="P48" s="20" t="n">
        <v>0</v>
      </c>
      <c r="Q48" s="18" t="n">
        <v>0</v>
      </c>
      <c r="R48" s="20" t="n">
        <v>0</v>
      </c>
    </row>
    <row r="49" spans="1:18">
      <c r="A49" s="15" t="s">
        <v>608</v>
      </c>
      <c r="B49" s="17" t="n">
        <v>6158</v>
      </c>
      <c r="C49" s="18">
        <f>(5539.0/B49*100)</f>
        <v/>
      </c>
      <c r="D49" s="19" t="n">
        <v>619</v>
      </c>
      <c r="E49" s="18" t="n">
        <v>46.25074929</v>
      </c>
      <c r="F49" s="20" t="n">
        <v>2.35462513</v>
      </c>
      <c r="G49" s="18" t="n">
        <v>49.02700437</v>
      </c>
      <c r="H49" s="20" t="n">
        <v>2.41656561</v>
      </c>
      <c r="I49" s="18" t="n">
        <v>0</v>
      </c>
      <c r="J49" s="20" t="n">
        <v>0</v>
      </c>
      <c r="K49" s="18" t="n">
        <v>3.26506613</v>
      </c>
      <c r="L49" s="20" t="n">
        <v>0.80720095</v>
      </c>
      <c r="M49" s="18" t="n">
        <v>0</v>
      </c>
      <c r="N49" s="20" t="n">
        <v>0</v>
      </c>
      <c r="O49" s="18" t="n">
        <v>0</v>
      </c>
      <c r="P49" s="20" t="n">
        <v>0</v>
      </c>
      <c r="Q49" s="18" t="n">
        <v>1.45718021</v>
      </c>
      <c r="R49" s="20" t="n">
        <v>0.73475102</v>
      </c>
    </row>
    <row r="50" spans="1:18">
      <c r="A50" s="15" t="s">
        <v>609</v>
      </c>
      <c r="B50" s="17" t="n">
        <v>3494</v>
      </c>
      <c r="C50" s="18">
        <f>(3182.0/B50*100)</f>
        <v/>
      </c>
      <c r="D50" s="19" t="n">
        <v>312</v>
      </c>
      <c r="E50" s="18" t="n">
        <v>45.14522574</v>
      </c>
      <c r="F50" s="20" t="n">
        <v>2.87506722</v>
      </c>
      <c r="G50" s="18" t="n">
        <v>52.88512013</v>
      </c>
      <c r="H50" s="20" t="n">
        <v>2.88263645</v>
      </c>
      <c r="I50" s="18" t="n">
        <v>0</v>
      </c>
      <c r="J50" s="20" t="n">
        <v>0</v>
      </c>
      <c r="K50" s="18" t="n">
        <v>0.94249323</v>
      </c>
      <c r="L50" s="20" t="n">
        <v>0.56286257</v>
      </c>
      <c r="M50" s="18" t="n">
        <v>0</v>
      </c>
      <c r="N50" s="20" t="n">
        <v>0</v>
      </c>
      <c r="O50" s="18" t="n">
        <v>0</v>
      </c>
      <c r="P50" s="20" t="n">
        <v>0</v>
      </c>
      <c r="Q50" s="18" t="n">
        <v>1.02716089</v>
      </c>
      <c r="R50" s="20" t="n">
        <v>0.5986054200000001</v>
      </c>
    </row>
    <row r="51" spans="1:18">
      <c r="A51" s="15" t="s">
        <v>610</v>
      </c>
      <c r="B51" s="17" t="n">
        <v>3013</v>
      </c>
      <c r="C51" s="18">
        <f>(2660.0/B51*100)</f>
        <v/>
      </c>
      <c r="D51" s="19" t="n">
        <v>353</v>
      </c>
      <c r="E51" s="18" t="n">
        <v>43.52023062</v>
      </c>
      <c r="F51" s="20" t="n">
        <v>2.47735558</v>
      </c>
      <c r="G51" s="18" t="n">
        <v>55.42087519</v>
      </c>
      <c r="H51" s="20" t="n">
        <v>2.57650486</v>
      </c>
      <c r="I51" s="18" t="n">
        <v>0</v>
      </c>
      <c r="J51" s="20" t="n">
        <v>0</v>
      </c>
      <c r="K51" s="18" t="n">
        <v>0.81091757</v>
      </c>
      <c r="L51" s="20" t="n">
        <v>0.4677479</v>
      </c>
      <c r="M51" s="18" t="n">
        <v>0</v>
      </c>
      <c r="N51" s="20" t="n">
        <v>0</v>
      </c>
      <c r="O51" s="18" t="n">
        <v>0</v>
      </c>
      <c r="P51" s="20" t="n">
        <v>0</v>
      </c>
      <c r="Q51" s="18" t="n">
        <v>0.24797661</v>
      </c>
      <c r="R51" s="20" t="n">
        <v>0.25002645</v>
      </c>
    </row>
    <row r="52" spans="1:18">
      <c r="A52" s="15" t="s">
        <v>611</v>
      </c>
      <c r="B52" s="17" t="n">
        <v>2760</v>
      </c>
      <c r="C52" s="18">
        <f>(2474.0/B52*100)</f>
        <v/>
      </c>
      <c r="D52" s="19" t="n">
        <v>286</v>
      </c>
      <c r="E52" s="18" t="n">
        <v>44.18519674</v>
      </c>
      <c r="F52" s="20" t="n">
        <v>3.26817215</v>
      </c>
      <c r="G52" s="18" t="n">
        <v>52.86174516</v>
      </c>
      <c r="H52" s="20" t="n">
        <v>3.14067505</v>
      </c>
      <c r="I52" s="18" t="n">
        <v>0</v>
      </c>
      <c r="J52" s="20" t="n">
        <v>0</v>
      </c>
      <c r="K52" s="18" t="n">
        <v>1.55396992</v>
      </c>
      <c r="L52" s="20" t="n">
        <v>0.73172033</v>
      </c>
      <c r="M52" s="18" t="n">
        <v>0</v>
      </c>
      <c r="N52" s="20" t="n">
        <v>0</v>
      </c>
      <c r="O52" s="18" t="n">
        <v>0</v>
      </c>
      <c r="P52" s="20" t="n">
        <v>0</v>
      </c>
      <c r="Q52" s="18" t="n">
        <v>1.39908818</v>
      </c>
      <c r="R52" s="20" t="n">
        <v>0.40197543</v>
      </c>
    </row>
    <row r="53" spans="1:18">
      <c r="A53" s="15" t="s">
        <v>612</v>
      </c>
      <c r="B53" s="17" t="n">
        <v>2474</v>
      </c>
      <c r="C53" s="18">
        <f>(2240.0/B53*100)</f>
        <v/>
      </c>
      <c r="D53" s="19" t="n">
        <v>234</v>
      </c>
      <c r="E53" s="18" t="n">
        <v>39.04311826</v>
      </c>
      <c r="F53" s="20" t="n">
        <v>3.5410809</v>
      </c>
      <c r="G53" s="18" t="n">
        <v>29.7287265</v>
      </c>
      <c r="H53" s="20" t="n">
        <v>3.18941842</v>
      </c>
      <c r="I53" s="18" t="n">
        <v>0</v>
      </c>
      <c r="J53" s="20" t="n">
        <v>0</v>
      </c>
      <c r="K53" s="18" t="n">
        <v>30.29582425</v>
      </c>
      <c r="L53" s="20" t="n">
        <v>2.78292583</v>
      </c>
      <c r="M53" s="18" t="n">
        <v>0</v>
      </c>
      <c r="N53" s="20" t="n">
        <v>0</v>
      </c>
      <c r="O53" s="18" t="n">
        <v>0</v>
      </c>
      <c r="P53" s="20" t="n">
        <v>0</v>
      </c>
      <c r="Q53" s="18" t="n">
        <v>0.93233099</v>
      </c>
      <c r="R53" s="20" t="n">
        <v>0.67283815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(2382.0/B55*100)</f>
        <v/>
      </c>
      <c r="D55" s="19" t="n">
        <v>293</v>
      </c>
      <c r="E55" s="18" t="n">
        <v>19.37859553</v>
      </c>
      <c r="F55" s="20" t="n">
        <v>2.11977156</v>
      </c>
      <c r="G55" s="18" t="n">
        <v>79.12831475999999</v>
      </c>
      <c r="H55" s="20" t="n">
        <v>2.19072805</v>
      </c>
      <c r="I55" s="18" t="n">
        <v>0</v>
      </c>
      <c r="J55" s="20" t="n">
        <v>0</v>
      </c>
      <c r="K55" s="18" t="n">
        <v>0.70003109</v>
      </c>
      <c r="L55" s="20" t="n">
        <v>0.51625042</v>
      </c>
      <c r="M55" s="18" t="n">
        <v>0</v>
      </c>
      <c r="N55" s="20" t="n">
        <v>0</v>
      </c>
      <c r="O55" s="18" t="n">
        <v>0</v>
      </c>
      <c r="P55" s="20" t="n">
        <v>0</v>
      </c>
      <c r="Q55" s="18" t="n">
        <v>0.79305863</v>
      </c>
      <c r="R55" s="20" t="n">
        <v>0.53554933</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(2839.0/B61*100)</f>
        <v/>
      </c>
      <c r="D61" s="19" t="n">
        <v>362</v>
      </c>
      <c r="E61" s="18" t="n">
        <v>36.47912912</v>
      </c>
      <c r="F61" s="20" t="n">
        <v>2.72717433</v>
      </c>
      <c r="G61" s="18" t="n">
        <v>61.93875064</v>
      </c>
      <c r="H61" s="20" t="n">
        <v>2.76477534</v>
      </c>
      <c r="I61" s="18" t="n">
        <v>0</v>
      </c>
      <c r="J61" s="20" t="n">
        <v>0</v>
      </c>
      <c r="K61" s="18" t="n">
        <v>1.10654999</v>
      </c>
      <c r="L61" s="20" t="n">
        <v>0.64839166</v>
      </c>
      <c r="M61" s="18" t="n">
        <v>0</v>
      </c>
      <c r="N61" s="20" t="n">
        <v>0</v>
      </c>
      <c r="O61" s="18" t="n">
        <v>0</v>
      </c>
      <c r="P61" s="20" t="n">
        <v>0</v>
      </c>
      <c r="Q61" s="18" t="n">
        <v>0.47557025</v>
      </c>
      <c r="R61" s="20" t="n">
        <v>0.32736063</v>
      </c>
    </row>
    <row r="62" spans="1:18">
      <c r="A62" s="15" t="s">
        <v>622</v>
      </c>
      <c r="B62" s="17" t="n">
        <v>2230</v>
      </c>
      <c r="C62" s="18">
        <f>(2006.0/B62*100)</f>
        <v/>
      </c>
      <c r="D62" s="19" t="n">
        <v>224</v>
      </c>
      <c r="E62" s="18" t="n">
        <v>22.33247292</v>
      </c>
      <c r="F62" s="20" t="n">
        <v>3.16615936</v>
      </c>
      <c r="G62" s="18" t="n">
        <v>77.66752708</v>
      </c>
      <c r="H62" s="20" t="n">
        <v>3.16615936</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(2464.0/B67*100)</f>
        <v/>
      </c>
      <c r="D67" s="19" t="n">
        <v>307</v>
      </c>
      <c r="E67" s="18" t="n">
        <v>47.32170812</v>
      </c>
      <c r="F67" s="20" t="n">
        <v>2.84946844</v>
      </c>
      <c r="G67" s="18" t="n">
        <v>44.87825601</v>
      </c>
      <c r="H67" s="20" t="n">
        <v>2.60074395</v>
      </c>
      <c r="I67" s="18" t="n">
        <v>0</v>
      </c>
      <c r="J67" s="20" t="n">
        <v>0</v>
      </c>
      <c r="K67" s="18" t="n">
        <v>5.71201699</v>
      </c>
      <c r="L67" s="20" t="n">
        <v>1.67266535</v>
      </c>
      <c r="M67" s="18" t="n">
        <v>0</v>
      </c>
      <c r="N67" s="20" t="n">
        <v>0</v>
      </c>
      <c r="O67" s="18" t="n">
        <v>0</v>
      </c>
      <c r="P67" s="20" t="n">
        <v>0</v>
      </c>
      <c r="Q67" s="18" t="n">
        <v>2.08801888</v>
      </c>
      <c r="R67" s="20" t="n">
        <v>1.02495419</v>
      </c>
    </row>
    <row r="68" spans="1:18">
      <c r="A68" s="15" t="s">
        <v>628</v>
      </c>
      <c r="B68" s="17" t="n">
        <v>3460</v>
      </c>
      <c r="C68" s="18">
        <f>(3169.0/B68*100)</f>
        <v/>
      </c>
      <c r="D68" s="19" t="n">
        <v>291</v>
      </c>
      <c r="E68" s="18" t="n">
        <v>51.65488914</v>
      </c>
      <c r="F68" s="20" t="n">
        <v>3.20356923</v>
      </c>
      <c r="G68" s="18" t="n">
        <v>47.733494</v>
      </c>
      <c r="H68" s="20" t="n">
        <v>3.11146534</v>
      </c>
      <c r="I68" s="18" t="n">
        <v>0</v>
      </c>
      <c r="J68" s="20" t="n">
        <v>0</v>
      </c>
      <c r="K68" s="18" t="n">
        <v>0.61161686</v>
      </c>
      <c r="L68" s="20" t="n">
        <v>0.4567997</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(5403.0/B70*100)</f>
        <v/>
      </c>
      <c r="D70" s="19" t="n">
        <v>631</v>
      </c>
      <c r="E70" s="18" t="n">
        <v>40.14473204</v>
      </c>
      <c r="F70" s="20" t="n">
        <v>1.85640878</v>
      </c>
      <c r="G70" s="18" t="n">
        <v>53.56925451</v>
      </c>
      <c r="H70" s="20" t="n">
        <v>1.84583403</v>
      </c>
      <c r="I70" s="18" t="n">
        <v>0</v>
      </c>
      <c r="J70" s="20" t="n">
        <v>0</v>
      </c>
      <c r="K70" s="18" t="n">
        <v>5.02558734</v>
      </c>
      <c r="L70" s="20" t="n">
        <v>1.00939116</v>
      </c>
      <c r="M70" s="18" t="n">
        <v>0</v>
      </c>
      <c r="N70" s="20" t="n">
        <v>0</v>
      </c>
      <c r="O70" s="18" t="n">
        <v>0</v>
      </c>
      <c r="P70" s="20" t="n">
        <v>0</v>
      </c>
      <c r="Q70" s="18" t="n">
        <v>1.2604261</v>
      </c>
      <c r="R70" s="20" t="n">
        <v>0.43897322</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(2755.0/B72*100)</f>
        <v/>
      </c>
      <c r="D72" s="19" t="n">
        <v>352</v>
      </c>
      <c r="E72" s="18" t="n">
        <v>43.97072682</v>
      </c>
      <c r="F72" s="20" t="n">
        <v>3.49437356</v>
      </c>
      <c r="G72" s="18" t="n">
        <v>53.44573509</v>
      </c>
      <c r="H72" s="20" t="n">
        <v>4.0072981</v>
      </c>
      <c r="I72" s="18" t="n">
        <v>0</v>
      </c>
      <c r="J72" s="20" t="n">
        <v>0</v>
      </c>
      <c r="K72" s="18" t="n">
        <v>1.33545477</v>
      </c>
      <c r="L72" s="20" t="n">
        <v>0.63432497</v>
      </c>
      <c r="M72" s="18" t="n">
        <v>0</v>
      </c>
      <c r="N72" s="20" t="n">
        <v>0</v>
      </c>
      <c r="O72" s="18" t="n">
        <v>0</v>
      </c>
      <c r="P72" s="20" t="n">
        <v>0</v>
      </c>
      <c r="Q72" s="18" t="n">
        <v>1.24808332</v>
      </c>
      <c r="R72" s="20" t="n">
        <v>1.23216503</v>
      </c>
    </row>
    <row r="73" spans="1:18">
      <c r="A73" s="15" t="s">
        <v>633</v>
      </c>
      <c r="B73" s="17" t="n">
        <v>2973</v>
      </c>
      <c r="C73" s="18">
        <f>(2660.0/B73*100)</f>
        <v/>
      </c>
      <c r="D73" s="19" t="n">
        <v>313</v>
      </c>
      <c r="E73" s="18" t="n">
        <v>27.68244289</v>
      </c>
      <c r="F73" s="20" t="n">
        <v>2.57635513</v>
      </c>
      <c r="G73" s="18" t="n">
        <v>71.65863201000001</v>
      </c>
      <c r="H73" s="20" t="n">
        <v>2.54041451</v>
      </c>
      <c r="I73" s="18" t="n">
        <v>0</v>
      </c>
      <c r="J73" s="20" t="n">
        <v>0</v>
      </c>
      <c r="K73" s="18" t="n">
        <v>0.6589251</v>
      </c>
      <c r="L73" s="20" t="n">
        <v>0.47070807</v>
      </c>
      <c r="M73" s="18" t="n">
        <v>0</v>
      </c>
      <c r="N73" s="20" t="n">
        <v>0</v>
      </c>
      <c r="O73" s="18" t="n">
        <v>0</v>
      </c>
      <c r="P73" s="20" t="n">
        <v>0</v>
      </c>
      <c r="Q73" s="18" t="n">
        <v>0</v>
      </c>
      <c r="R73" s="20" t="n">
        <v>0</v>
      </c>
    </row>
    <row r="74" spans="1:18">
      <c r="A74" s="15" t="s">
        <v>634</v>
      </c>
      <c r="B74" s="17" t="n">
        <v>3819</v>
      </c>
      <c r="C74" s="18">
        <f>(3410.0/B74*100)</f>
        <v/>
      </c>
      <c r="D74" s="19" t="n">
        <v>409</v>
      </c>
      <c r="E74" s="18" t="n">
        <v>31.58570919</v>
      </c>
      <c r="F74" s="20" t="n">
        <v>2.51978973</v>
      </c>
      <c r="G74" s="18" t="n">
        <v>68.17217141</v>
      </c>
      <c r="H74" s="20" t="n">
        <v>2.49774089</v>
      </c>
      <c r="I74" s="18" t="n">
        <v>0</v>
      </c>
      <c r="J74" s="20" t="n">
        <v>0</v>
      </c>
      <c r="K74" s="18" t="n">
        <v>0.2421194</v>
      </c>
      <c r="L74" s="20" t="n">
        <v>0.16993315</v>
      </c>
      <c r="M74" s="18" t="n">
        <v>0</v>
      </c>
      <c r="N74" s="20" t="n">
        <v>0</v>
      </c>
      <c r="O74" s="18" t="n">
        <v>0</v>
      </c>
      <c r="P74" s="20" t="n">
        <v>0</v>
      </c>
      <c r="Q74" s="18" t="n">
        <v>0</v>
      </c>
      <c r="R74" s="20" t="n">
        <v>0</v>
      </c>
    </row>
    <row r="75" spans="1:18">
      <c r="A75" s="15" t="s">
        <v>635</v>
      </c>
      <c r="B75" s="17" t="n">
        <v>4652</v>
      </c>
      <c r="C75" s="18">
        <f>(4172.0/B75*100)</f>
        <v/>
      </c>
      <c r="D75" s="19" t="n">
        <v>480</v>
      </c>
      <c r="E75" s="18" t="n">
        <v>60.68510628</v>
      </c>
      <c r="F75" s="20" t="n">
        <v>2.75030774</v>
      </c>
      <c r="G75" s="18" t="n">
        <v>37.84925574</v>
      </c>
      <c r="H75" s="20" t="n">
        <v>2.75586079</v>
      </c>
      <c r="I75" s="18" t="n">
        <v>0</v>
      </c>
      <c r="J75" s="20" t="n">
        <v>0</v>
      </c>
      <c r="K75" s="18" t="n">
        <v>1.18336254</v>
      </c>
      <c r="L75" s="20" t="n">
        <v>0.56364062</v>
      </c>
      <c r="M75" s="18" t="n">
        <v>0</v>
      </c>
      <c r="N75" s="20" t="n">
        <v>0</v>
      </c>
      <c r="O75" s="18" t="n">
        <v>0</v>
      </c>
      <c r="P75" s="20" t="n">
        <v>0</v>
      </c>
      <c r="Q75" s="18" t="n">
        <v>0.28227544</v>
      </c>
      <c r="R75" s="20" t="n">
        <v>0.28356361</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(2689.0/B77*100)</f>
        <v/>
      </c>
      <c r="D77" s="19" t="n">
        <v>280</v>
      </c>
      <c r="E77" s="18" t="n">
        <v>46.04949562</v>
      </c>
      <c r="F77" s="20" t="n">
        <v>2.66274737</v>
      </c>
      <c r="G77" s="18" t="n">
        <v>42.12017156</v>
      </c>
      <c r="H77" s="20" t="n">
        <v>2.89391734</v>
      </c>
      <c r="I77" s="18" t="n">
        <v>0</v>
      </c>
      <c r="J77" s="20" t="n">
        <v>0</v>
      </c>
      <c r="K77" s="18" t="n">
        <v>8.39557536</v>
      </c>
      <c r="L77" s="20" t="n">
        <v>1.54864573</v>
      </c>
      <c r="M77" s="18" t="n">
        <v>0</v>
      </c>
      <c r="N77" s="20" t="n">
        <v>0</v>
      </c>
      <c r="O77" s="18" t="n">
        <v>0</v>
      </c>
      <c r="P77" s="20" t="n">
        <v>0</v>
      </c>
      <c r="Q77" s="18" t="n">
        <v>3.43475745</v>
      </c>
      <c r="R77" s="20" t="n">
        <v>1.13680912</v>
      </c>
    </row>
    <row r="78" spans="1:18">
      <c r="A78" s="15" t="s">
        <v>638</v>
      </c>
      <c r="B78" s="17" t="n">
        <v>7115</v>
      </c>
      <c r="C78" s="18">
        <f>(6327.0/B78*100)</f>
        <v/>
      </c>
      <c r="D78" s="19" t="n">
        <v>788</v>
      </c>
      <c r="E78" s="18" t="n">
        <v>49.54247021</v>
      </c>
      <c r="F78" s="20" t="n">
        <v>1.69303126</v>
      </c>
      <c r="G78" s="18" t="n">
        <v>47.4070503</v>
      </c>
      <c r="H78" s="20" t="n">
        <v>1.69281868</v>
      </c>
      <c r="I78" s="18" t="n">
        <v>0</v>
      </c>
      <c r="J78" s="20" t="n">
        <v>0</v>
      </c>
      <c r="K78" s="18" t="n">
        <v>2.59763427</v>
      </c>
      <c r="L78" s="20" t="n">
        <v>0.87971609</v>
      </c>
      <c r="M78" s="18" t="n">
        <v>0</v>
      </c>
      <c r="N78" s="20" t="n">
        <v>0</v>
      </c>
      <c r="O78" s="18" t="n">
        <v>0</v>
      </c>
      <c r="P78" s="20" t="n">
        <v>0</v>
      </c>
      <c r="Q78" s="18" t="n">
        <v>0.45284523</v>
      </c>
      <c r="R78" s="20" t="n">
        <v>0.30718731</v>
      </c>
    </row>
    <row r="79" spans="1:18">
      <c r="A79" s="15" t="s">
        <v>639</v>
      </c>
      <c r="B79" s="17" t="n">
        <v>3154</v>
      </c>
      <c r="C79" s="18">
        <f>(2875.0/B79*100)</f>
        <v/>
      </c>
      <c r="D79" s="19" t="n">
        <v>279</v>
      </c>
      <c r="E79" s="18" t="n">
        <v>41.26321287</v>
      </c>
      <c r="F79" s="20" t="n">
        <v>3.42579684</v>
      </c>
      <c r="G79" s="18" t="n">
        <v>51.74613222</v>
      </c>
      <c r="H79" s="20" t="n">
        <v>3.38759192</v>
      </c>
      <c r="I79" s="18" t="n">
        <v>0</v>
      </c>
      <c r="J79" s="20" t="n">
        <v>0</v>
      </c>
      <c r="K79" s="18" t="n">
        <v>6.13764759</v>
      </c>
      <c r="L79" s="20" t="n">
        <v>1.32696388</v>
      </c>
      <c r="M79" s="18" t="n">
        <v>0</v>
      </c>
      <c r="N79" s="20" t="n">
        <v>0</v>
      </c>
      <c r="O79" s="18" t="n">
        <v>0</v>
      </c>
      <c r="P79" s="20" t="n">
        <v>0</v>
      </c>
      <c r="Q79" s="18" t="n">
        <v>0.85300732</v>
      </c>
      <c r="R79" s="20" t="n">
        <v>0.50248495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(14313.0/B82*100)</f>
        <v/>
      </c>
      <c r="D82" s="19" t="n">
        <v>1648</v>
      </c>
      <c r="E82" s="18" t="n">
        <v>33.6612358</v>
      </c>
      <c r="F82" s="20" t="n">
        <v>1.98247095</v>
      </c>
      <c r="G82" s="18" t="n">
        <v>62.71474587</v>
      </c>
      <c r="H82" s="20" t="n">
        <v>2.130373</v>
      </c>
      <c r="I82" s="18" t="n">
        <v>0</v>
      </c>
      <c r="J82" s="20" t="n">
        <v>0</v>
      </c>
      <c r="K82" s="18" t="n">
        <v>2.88193676</v>
      </c>
      <c r="L82" s="20" t="n">
        <v>0.69474168</v>
      </c>
      <c r="M82" s="18" t="n">
        <v>0</v>
      </c>
      <c r="N82" s="20" t="n">
        <v>0</v>
      </c>
      <c r="O82" s="18" t="n">
        <v>0</v>
      </c>
      <c r="P82" s="20" t="n">
        <v>0</v>
      </c>
      <c r="Q82" s="18" t="n">
        <v>0.74208157</v>
      </c>
      <c r="R82" s="20" t="n">
        <v>0.31360491</v>
      </c>
    </row>
    <row r="83" spans="1:18">
      <c r="A83" s="15" t="s">
        <v>643</v>
      </c>
      <c r="B83" s="17" t="n">
        <v>808</v>
      </c>
      <c r="C83" s="18">
        <f>(726.0/B83*100)</f>
        <v/>
      </c>
      <c r="D83" s="19" t="n">
        <v>82</v>
      </c>
      <c r="E83" s="18" t="n">
        <v>33.61004183</v>
      </c>
      <c r="F83" s="20" t="n">
        <v>5.25851436</v>
      </c>
      <c r="G83" s="18" t="n">
        <v>66.38995817</v>
      </c>
      <c r="H83" s="20" t="n">
        <v>5.25851436</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(841.0/B84*100)</f>
        <v/>
      </c>
      <c r="D84" s="19" t="n">
        <v>97</v>
      </c>
      <c r="E84" s="18" t="n">
        <v>29.55094375</v>
      </c>
      <c r="F84" s="20" t="n">
        <v>4.14056894</v>
      </c>
      <c r="G84" s="18" t="n">
        <v>69.04405036</v>
      </c>
      <c r="H84" s="20" t="n">
        <v>4.34491867</v>
      </c>
      <c r="I84" s="18" t="n">
        <v>0</v>
      </c>
      <c r="J84" s="20" t="n">
        <v>0</v>
      </c>
      <c r="K84" s="18" t="n">
        <v>1.40500588</v>
      </c>
      <c r="L84" s="20" t="n">
        <v>1.3741968</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(6427.0/B7*100)</f>
        <v/>
      </c>
      <c r="D7" s="19" t="n">
        <v>736</v>
      </c>
      <c r="E7" s="18" t="n">
        <v>46.37663801</v>
      </c>
      <c r="F7" s="20" t="n">
        <v>2.2007327</v>
      </c>
      <c r="G7" s="18" t="n">
        <v>49.61397959</v>
      </c>
      <c r="H7" s="20" t="n">
        <v>2.27885703</v>
      </c>
      <c r="I7" s="18" t="n">
        <v>0</v>
      </c>
      <c r="J7" s="20" t="n">
        <v>0</v>
      </c>
      <c r="K7" s="18" t="n">
        <v>3.93626617</v>
      </c>
      <c r="L7" s="20" t="n">
        <v>0.73553893</v>
      </c>
      <c r="M7" s="18" t="n">
        <v>0</v>
      </c>
      <c r="N7" s="20" t="n">
        <v>0</v>
      </c>
      <c r="O7" s="18" t="n">
        <v>0</v>
      </c>
      <c r="P7" s="20" t="n">
        <v>0</v>
      </c>
      <c r="Q7" s="18" t="n">
        <v>0.07311623</v>
      </c>
      <c r="R7" s="20" t="n">
        <v>0.05255522</v>
      </c>
    </row>
    <row r="8" spans="1:18">
      <c r="A8" s="15" t="s">
        <v>566</v>
      </c>
      <c r="B8" s="17" t="n">
        <v>3443</v>
      </c>
      <c r="C8" s="18">
        <f>(3069.0/B8*100)</f>
        <v/>
      </c>
      <c r="D8" s="19" t="n">
        <v>374</v>
      </c>
      <c r="E8" s="18" t="n">
        <v>53.28785547</v>
      </c>
      <c r="F8" s="20" t="n">
        <v>3.38561124</v>
      </c>
      <c r="G8" s="18" t="n">
        <v>42.33707019</v>
      </c>
      <c r="H8" s="20" t="n">
        <v>3.42520376</v>
      </c>
      <c r="I8" s="18" t="n">
        <v>0</v>
      </c>
      <c r="J8" s="20" t="n">
        <v>0</v>
      </c>
      <c r="K8" s="18" t="n">
        <v>2.61954122</v>
      </c>
      <c r="L8" s="20" t="n">
        <v>0.8819960999999999</v>
      </c>
      <c r="M8" s="18" t="n">
        <v>0</v>
      </c>
      <c r="N8" s="20" t="n">
        <v>0</v>
      </c>
      <c r="O8" s="18" t="n">
        <v>0</v>
      </c>
      <c r="P8" s="20" t="n">
        <v>0</v>
      </c>
      <c r="Q8" s="18" t="n">
        <v>1.75553312</v>
      </c>
      <c r="R8" s="20" t="n">
        <v>0.85797412</v>
      </c>
    </row>
    <row r="9" spans="1:18">
      <c r="A9" s="15" t="s">
        <v>567</v>
      </c>
      <c r="B9" s="17" t="n">
        <v>4752</v>
      </c>
      <c r="C9" s="18">
        <f>(4287.0/B9*100)</f>
        <v/>
      </c>
      <c r="D9" s="19" t="n">
        <v>465</v>
      </c>
      <c r="E9" s="18" t="n">
        <v>46.77188731</v>
      </c>
      <c r="F9" s="20" t="n">
        <v>2.62759093</v>
      </c>
      <c r="G9" s="18" t="n">
        <v>51.01730384</v>
      </c>
      <c r="H9" s="20" t="n">
        <v>2.59847714</v>
      </c>
      <c r="I9" s="18" t="n">
        <v>0</v>
      </c>
      <c r="J9" s="20" t="n">
        <v>0</v>
      </c>
      <c r="K9" s="18" t="n">
        <v>1.7231917</v>
      </c>
      <c r="L9" s="20" t="n">
        <v>0.59157741</v>
      </c>
      <c r="M9" s="18" t="n">
        <v>0</v>
      </c>
      <c r="N9" s="20" t="n">
        <v>0</v>
      </c>
      <c r="O9" s="18" t="n">
        <v>0</v>
      </c>
      <c r="P9" s="20" t="n">
        <v>0</v>
      </c>
      <c r="Q9" s="18" t="n">
        <v>0.48761714</v>
      </c>
      <c r="R9" s="20" t="n">
        <v>0.30273062</v>
      </c>
    </row>
    <row r="10" spans="1:18">
      <c r="A10" s="15" t="s">
        <v>568</v>
      </c>
      <c r="B10" s="17" t="n">
        <v>10022</v>
      </c>
      <c r="C10" s="18">
        <f>(8916.0/B10*100)</f>
        <v/>
      </c>
      <c r="D10" s="19" t="n">
        <v>1106</v>
      </c>
      <c r="E10" s="18" t="n">
        <v>42.9074307</v>
      </c>
      <c r="F10" s="20" t="n">
        <v>2.36629043</v>
      </c>
      <c r="G10" s="18" t="n">
        <v>54.15899947</v>
      </c>
      <c r="H10" s="20" t="n">
        <v>2.45939998</v>
      </c>
      <c r="I10" s="18" t="n">
        <v>0</v>
      </c>
      <c r="J10" s="20" t="n">
        <v>0</v>
      </c>
      <c r="K10" s="18" t="n">
        <v>2.81178328</v>
      </c>
      <c r="L10" s="20" t="n">
        <v>0.73293008</v>
      </c>
      <c r="M10" s="18" t="n">
        <v>0</v>
      </c>
      <c r="N10" s="20" t="n">
        <v>0</v>
      </c>
      <c r="O10" s="18" t="n">
        <v>0</v>
      </c>
      <c r="P10" s="20" t="n">
        <v>0</v>
      </c>
      <c r="Q10" s="18" t="n">
        <v>0.12178655</v>
      </c>
      <c r="R10" s="20" t="n">
        <v>0.08393908999999999</v>
      </c>
    </row>
    <row r="11" spans="1:18">
      <c r="A11" s="15" t="s">
        <v>569</v>
      </c>
      <c r="B11" s="17" t="n">
        <v>3500</v>
      </c>
      <c r="C11" s="18">
        <f>(3166.0/B11*100)</f>
        <v/>
      </c>
      <c r="D11" s="19" t="n">
        <v>334</v>
      </c>
      <c r="E11" s="18" t="n">
        <v>59.53086881</v>
      </c>
      <c r="F11" s="20" t="n">
        <v>3.27774539</v>
      </c>
      <c r="G11" s="18" t="n">
        <v>32.93181765</v>
      </c>
      <c r="H11" s="20" t="n">
        <v>3.22385433</v>
      </c>
      <c r="I11" s="18" t="n">
        <v>0</v>
      </c>
      <c r="J11" s="20" t="n">
        <v>0</v>
      </c>
      <c r="K11" s="18" t="n">
        <v>6.56033602</v>
      </c>
      <c r="L11" s="20" t="n">
        <v>1.50208723</v>
      </c>
      <c r="M11" s="18" t="n">
        <v>0</v>
      </c>
      <c r="N11" s="20" t="n">
        <v>0</v>
      </c>
      <c r="O11" s="18" t="n">
        <v>0</v>
      </c>
      <c r="P11" s="20" t="n">
        <v>0</v>
      </c>
      <c r="Q11" s="18" t="n">
        <v>0.97697752</v>
      </c>
      <c r="R11" s="20" t="n">
        <v>0.5330735599999999</v>
      </c>
    </row>
    <row r="12" spans="1:18">
      <c r="A12" s="15" t="s">
        <v>570</v>
      </c>
      <c r="B12" s="17" t="n">
        <v>3422</v>
      </c>
      <c r="C12" s="18">
        <f>(3068.0/B12*100)</f>
        <v/>
      </c>
      <c r="D12" s="19" t="n">
        <v>354</v>
      </c>
      <c r="E12" s="18" t="n">
        <v>57.54448406</v>
      </c>
      <c r="F12" s="20" t="n">
        <v>2.9960451</v>
      </c>
      <c r="G12" s="18" t="n">
        <v>39.43003805</v>
      </c>
      <c r="H12" s="20" t="n">
        <v>3.05619896</v>
      </c>
      <c r="I12" s="18" t="n">
        <v>0</v>
      </c>
      <c r="J12" s="20" t="n">
        <v>0</v>
      </c>
      <c r="K12" s="18" t="n">
        <v>2.43815529</v>
      </c>
      <c r="L12" s="20" t="n">
        <v>0.81798402</v>
      </c>
      <c r="M12" s="18" t="n">
        <v>0</v>
      </c>
      <c r="N12" s="20" t="n">
        <v>0</v>
      </c>
      <c r="O12" s="18" t="n">
        <v>0</v>
      </c>
      <c r="P12" s="20" t="n">
        <v>0</v>
      </c>
      <c r="Q12" s="18" t="n">
        <v>0.5873226</v>
      </c>
      <c r="R12" s="20" t="n">
        <v>0.65394791</v>
      </c>
    </row>
    <row r="13" spans="1:18">
      <c r="A13" s="15" t="s">
        <v>571</v>
      </c>
      <c r="B13" s="17" t="n">
        <v>3602</v>
      </c>
      <c r="C13" s="18">
        <f>(3213.0/B13*100)</f>
        <v/>
      </c>
      <c r="D13" s="19" t="n">
        <v>389</v>
      </c>
      <c r="E13" s="18" t="n">
        <v>43.09736704</v>
      </c>
      <c r="F13" s="20" t="n">
        <v>2.64118443</v>
      </c>
      <c r="G13" s="18" t="n">
        <v>55.02979885</v>
      </c>
      <c r="H13" s="20" t="n">
        <v>2.56983636</v>
      </c>
      <c r="I13" s="18" t="n">
        <v>0</v>
      </c>
      <c r="J13" s="20" t="n">
        <v>0</v>
      </c>
      <c r="K13" s="18" t="n">
        <v>1.78558149</v>
      </c>
      <c r="L13" s="20" t="n">
        <v>0.67610811</v>
      </c>
      <c r="M13" s="18" t="n">
        <v>0</v>
      </c>
      <c r="N13" s="20" t="n">
        <v>0</v>
      </c>
      <c r="O13" s="18" t="n">
        <v>0</v>
      </c>
      <c r="P13" s="20" t="n">
        <v>0</v>
      </c>
      <c r="Q13" s="18" t="n">
        <v>0.08725262</v>
      </c>
      <c r="R13" s="20" t="n">
        <v>0.08821756</v>
      </c>
    </row>
    <row r="14" spans="1:18">
      <c r="A14" s="15" t="s">
        <v>572</v>
      </c>
      <c r="B14" s="17" t="n">
        <v>2788</v>
      </c>
      <c r="C14" s="18">
        <f>(2478.0/B14*100)</f>
        <v/>
      </c>
      <c r="D14" s="19" t="n">
        <v>310</v>
      </c>
      <c r="E14" s="18" t="n">
        <v>55.49583039</v>
      </c>
      <c r="F14" s="20" t="n">
        <v>3.24716882</v>
      </c>
      <c r="G14" s="18" t="n">
        <v>42.40359316</v>
      </c>
      <c r="H14" s="20" t="n">
        <v>3.35185127</v>
      </c>
      <c r="I14" s="18" t="n">
        <v>0</v>
      </c>
      <c r="J14" s="20" t="n">
        <v>0</v>
      </c>
      <c r="K14" s="18" t="n">
        <v>2.10057645</v>
      </c>
      <c r="L14" s="20" t="n">
        <v>1.06169015</v>
      </c>
      <c r="M14" s="18" t="n">
        <v>0</v>
      </c>
      <c r="N14" s="20" t="n">
        <v>0</v>
      </c>
      <c r="O14" s="18" t="n">
        <v>0</v>
      </c>
      <c r="P14" s="20" t="n">
        <v>0</v>
      </c>
      <c r="Q14" s="18" t="n">
        <v>0</v>
      </c>
      <c r="R14" s="20" t="n">
        <v>0</v>
      </c>
    </row>
    <row r="15" spans="1:18">
      <c r="A15" s="15" t="s">
        <v>573</v>
      </c>
      <c r="B15" s="17" t="n">
        <v>2863</v>
      </c>
      <c r="C15" s="18">
        <f>(2567.0/B15*100)</f>
        <v/>
      </c>
      <c r="D15" s="19" t="n">
        <v>296</v>
      </c>
      <c r="E15" s="18" t="n">
        <v>45.79147303</v>
      </c>
      <c r="F15" s="20" t="n">
        <v>2.93968422</v>
      </c>
      <c r="G15" s="18" t="n">
        <v>53.28182604</v>
      </c>
      <c r="H15" s="20" t="n">
        <v>3.04875003</v>
      </c>
      <c r="I15" s="18" t="n">
        <v>0</v>
      </c>
      <c r="J15" s="20" t="n">
        <v>0</v>
      </c>
      <c r="K15" s="18" t="n">
        <v>0.92670092</v>
      </c>
      <c r="L15" s="20" t="n">
        <v>0.54428627</v>
      </c>
      <c r="M15" s="18" t="n">
        <v>0</v>
      </c>
      <c r="N15" s="20" t="n">
        <v>0</v>
      </c>
      <c r="O15" s="18" t="n">
        <v>0</v>
      </c>
      <c r="P15" s="20" t="n">
        <v>0</v>
      </c>
      <c r="Q15" s="18" t="n">
        <v>0</v>
      </c>
      <c r="R15" s="20" t="n">
        <v>0</v>
      </c>
    </row>
    <row r="16" spans="1:18">
      <c r="A16" s="15" t="s">
        <v>574</v>
      </c>
      <c r="B16" s="17" t="n">
        <v>3111</v>
      </c>
      <c r="C16" s="18">
        <f>(2793.0/B16*100)</f>
        <v/>
      </c>
      <c r="D16" s="19" t="n">
        <v>318</v>
      </c>
      <c r="E16" s="18" t="n">
        <v>49.58274468</v>
      </c>
      <c r="F16" s="20" t="n">
        <v>2.6583498</v>
      </c>
      <c r="G16" s="18" t="n">
        <v>44.65827009</v>
      </c>
      <c r="H16" s="20" t="n">
        <v>2.84113491</v>
      </c>
      <c r="I16" s="18" t="n">
        <v>0</v>
      </c>
      <c r="J16" s="20" t="n">
        <v>0</v>
      </c>
      <c r="K16" s="18" t="n">
        <v>4.85196054</v>
      </c>
      <c r="L16" s="20" t="n">
        <v>1.4226326</v>
      </c>
      <c r="M16" s="18" t="n">
        <v>0</v>
      </c>
      <c r="N16" s="20" t="n">
        <v>0</v>
      </c>
      <c r="O16" s="18" t="n">
        <v>0</v>
      </c>
      <c r="P16" s="20" t="n">
        <v>0</v>
      </c>
      <c r="Q16" s="18" t="n">
        <v>0.9070247</v>
      </c>
      <c r="R16" s="20" t="n">
        <v>0.74668562</v>
      </c>
    </row>
    <row r="17" spans="1:18">
      <c r="A17" s="15" t="s">
        <v>575</v>
      </c>
      <c r="B17" s="17" t="n">
        <v>3197</v>
      </c>
      <c r="C17" s="18">
        <f>(2861.0/B17*100)</f>
        <v/>
      </c>
      <c r="D17" s="19" t="n">
        <v>336</v>
      </c>
      <c r="E17" s="18" t="n">
        <v>51.2027994</v>
      </c>
      <c r="F17" s="20" t="n">
        <v>2.41095277</v>
      </c>
      <c r="G17" s="18" t="n">
        <v>46.89043095</v>
      </c>
      <c r="H17" s="20" t="n">
        <v>2.3810637</v>
      </c>
      <c r="I17" s="18" t="n">
        <v>0</v>
      </c>
      <c r="J17" s="20" t="n">
        <v>0</v>
      </c>
      <c r="K17" s="18" t="n">
        <v>1.661523</v>
      </c>
      <c r="L17" s="20" t="n">
        <v>0.66005113</v>
      </c>
      <c r="M17" s="18" t="n">
        <v>0</v>
      </c>
      <c r="N17" s="20" t="n">
        <v>0</v>
      </c>
      <c r="O17" s="18" t="n">
        <v>0</v>
      </c>
      <c r="P17" s="20" t="n">
        <v>0</v>
      </c>
      <c r="Q17" s="18" t="n">
        <v>0.24524664</v>
      </c>
      <c r="R17" s="20" t="n">
        <v>0.25437063</v>
      </c>
    </row>
    <row r="18" spans="1:18">
      <c r="A18" s="15" t="s">
        <v>576</v>
      </c>
      <c r="B18" s="17" t="n">
        <v>2706</v>
      </c>
      <c r="C18" s="18">
        <f>(2426.0/B18*100)</f>
        <v/>
      </c>
      <c r="D18" s="19" t="n">
        <v>280</v>
      </c>
      <c r="E18" s="18" t="n">
        <v>48.76013958</v>
      </c>
      <c r="F18" s="20" t="n">
        <v>3.08230228</v>
      </c>
      <c r="G18" s="18" t="n">
        <v>46.3015221</v>
      </c>
      <c r="H18" s="20" t="n">
        <v>2.99037158</v>
      </c>
      <c r="I18" s="18" t="n">
        <v>0</v>
      </c>
      <c r="J18" s="20" t="n">
        <v>0</v>
      </c>
      <c r="K18" s="18" t="n">
        <v>2.65990133</v>
      </c>
      <c r="L18" s="20" t="n">
        <v>0.87967717</v>
      </c>
      <c r="M18" s="18" t="n">
        <v>0</v>
      </c>
      <c r="N18" s="20" t="n">
        <v>0</v>
      </c>
      <c r="O18" s="18" t="n">
        <v>0</v>
      </c>
      <c r="P18" s="20" t="n">
        <v>0</v>
      </c>
      <c r="Q18" s="18" t="n">
        <v>2.27843699</v>
      </c>
      <c r="R18" s="20" t="n">
        <v>1.01949074</v>
      </c>
    </row>
    <row r="19" spans="1:18">
      <c r="A19" s="15" t="s">
        <v>577</v>
      </c>
      <c r="B19" s="17" t="n">
        <v>2850</v>
      </c>
      <c r="C19" s="18">
        <f>(2561.0/B19*100)</f>
        <v/>
      </c>
      <c r="D19" s="19" t="n">
        <v>289</v>
      </c>
      <c r="E19" s="18" t="n">
        <v>54.62276503</v>
      </c>
      <c r="F19" s="20" t="n">
        <v>3.16342574</v>
      </c>
      <c r="G19" s="18" t="n">
        <v>44.32331058</v>
      </c>
      <c r="H19" s="20" t="n">
        <v>3.0915033</v>
      </c>
      <c r="I19" s="18" t="n">
        <v>0</v>
      </c>
      <c r="J19" s="20" t="n">
        <v>0</v>
      </c>
      <c r="K19" s="18" t="n">
        <v>0.34787318</v>
      </c>
      <c r="L19" s="20" t="n">
        <v>0.32757157</v>
      </c>
      <c r="M19" s="18" t="n">
        <v>0</v>
      </c>
      <c r="N19" s="20" t="n">
        <v>0</v>
      </c>
      <c r="O19" s="18" t="n">
        <v>0</v>
      </c>
      <c r="P19" s="20" t="n">
        <v>0</v>
      </c>
      <c r="Q19" s="18" t="n">
        <v>0.70605121</v>
      </c>
      <c r="R19" s="20" t="n">
        <v>0.44003519</v>
      </c>
    </row>
    <row r="20" spans="1:18">
      <c r="A20" s="15" t="s">
        <v>578</v>
      </c>
      <c r="B20" s="17" t="n">
        <v>1741</v>
      </c>
      <c r="C20" s="18">
        <f>(1531.0/B20*100)</f>
        <v/>
      </c>
      <c r="D20" s="19" t="n">
        <v>210</v>
      </c>
      <c r="E20" s="18" t="n">
        <v>46.13850738</v>
      </c>
      <c r="F20" s="20" t="n">
        <v>3.58957177</v>
      </c>
      <c r="G20" s="18" t="n">
        <v>50.5097843</v>
      </c>
      <c r="H20" s="20" t="n">
        <v>3.47798695</v>
      </c>
      <c r="I20" s="18" t="n">
        <v>0</v>
      </c>
      <c r="J20" s="20" t="n">
        <v>0</v>
      </c>
      <c r="K20" s="18" t="n">
        <v>1.31251876</v>
      </c>
      <c r="L20" s="20" t="n">
        <v>0.72822816</v>
      </c>
      <c r="M20" s="18" t="n">
        <v>0</v>
      </c>
      <c r="N20" s="20" t="n">
        <v>0</v>
      </c>
      <c r="O20" s="18" t="n">
        <v>0</v>
      </c>
      <c r="P20" s="20" t="n">
        <v>0</v>
      </c>
      <c r="Q20" s="18" t="n">
        <v>2.03918956</v>
      </c>
      <c r="R20" s="20" t="n">
        <v>1.01690797</v>
      </c>
    </row>
    <row r="21" spans="1:18">
      <c r="A21" s="15" t="s">
        <v>579</v>
      </c>
      <c r="B21" s="17" t="n">
        <v>2833</v>
      </c>
      <c r="C21" s="18">
        <f>(2535.0/B21*100)</f>
        <v/>
      </c>
      <c r="D21" s="19" t="n">
        <v>298</v>
      </c>
      <c r="E21" s="18" t="n">
        <v>45.39681224</v>
      </c>
      <c r="F21" s="20" t="n">
        <v>3.42003935</v>
      </c>
      <c r="G21" s="18" t="n">
        <v>53.60610538</v>
      </c>
      <c r="H21" s="20" t="n">
        <v>3.42317785</v>
      </c>
      <c r="I21" s="18" t="n">
        <v>0</v>
      </c>
      <c r="J21" s="20" t="n">
        <v>0</v>
      </c>
      <c r="K21" s="18" t="n">
        <v>0.99708237</v>
      </c>
      <c r="L21" s="20" t="n">
        <v>0.65851336</v>
      </c>
      <c r="M21" s="18" t="n">
        <v>0</v>
      </c>
      <c r="N21" s="20" t="n">
        <v>0</v>
      </c>
      <c r="O21" s="18" t="n">
        <v>0</v>
      </c>
      <c r="P21" s="20" t="n">
        <v>0</v>
      </c>
      <c r="Q21" s="18" t="n">
        <v>0</v>
      </c>
      <c r="R21" s="20" t="n">
        <v>0</v>
      </c>
    </row>
    <row r="22" spans="1:18">
      <c r="A22" s="15" t="s">
        <v>580</v>
      </c>
      <c r="B22" s="17" t="n">
        <v>3667</v>
      </c>
      <c r="C22" s="18">
        <f>(3324.0/B22*100)</f>
        <v/>
      </c>
      <c r="D22" s="19" t="n">
        <v>343</v>
      </c>
      <c r="E22" s="18" t="n">
        <v>53.99648062</v>
      </c>
      <c r="F22" s="20" t="n">
        <v>2.91598735</v>
      </c>
      <c r="G22" s="18" t="n">
        <v>41.75527749</v>
      </c>
      <c r="H22" s="20" t="n">
        <v>2.86786525</v>
      </c>
      <c r="I22" s="18" t="n">
        <v>0</v>
      </c>
      <c r="J22" s="20" t="n">
        <v>0</v>
      </c>
      <c r="K22" s="18" t="n">
        <v>3.71567366</v>
      </c>
      <c r="L22" s="20" t="n">
        <v>0.94604023</v>
      </c>
      <c r="M22" s="18" t="n">
        <v>0</v>
      </c>
      <c r="N22" s="20" t="n">
        <v>0</v>
      </c>
      <c r="O22" s="18" t="n">
        <v>0</v>
      </c>
      <c r="P22" s="20" t="n">
        <v>0</v>
      </c>
      <c r="Q22" s="18" t="n">
        <v>0.53256823</v>
      </c>
      <c r="R22" s="20" t="n">
        <v>0.46181847</v>
      </c>
    </row>
    <row r="23" spans="1:18">
      <c r="A23" s="15" t="s">
        <v>581</v>
      </c>
      <c r="B23" s="17" t="n">
        <v>5792</v>
      </c>
      <c r="C23" s="18">
        <f>(5177.0/B23*100)</f>
        <v/>
      </c>
      <c r="D23" s="19" t="n">
        <v>615</v>
      </c>
      <c r="E23" s="18" t="n">
        <v>54.89997985</v>
      </c>
      <c r="F23" s="20" t="n">
        <v>2.70101057</v>
      </c>
      <c r="G23" s="18" t="n">
        <v>38.07810384</v>
      </c>
      <c r="H23" s="20" t="n">
        <v>2.70619587</v>
      </c>
      <c r="I23" s="18" t="n">
        <v>0</v>
      </c>
      <c r="J23" s="20" t="n">
        <v>0</v>
      </c>
      <c r="K23" s="18" t="n">
        <v>5.39487484</v>
      </c>
      <c r="L23" s="20" t="n">
        <v>1.52674788</v>
      </c>
      <c r="M23" s="18" t="n">
        <v>0</v>
      </c>
      <c r="N23" s="20" t="n">
        <v>0</v>
      </c>
      <c r="O23" s="18" t="n">
        <v>0</v>
      </c>
      <c r="P23" s="20" t="n">
        <v>0</v>
      </c>
      <c r="Q23" s="18" t="n">
        <v>1.62704147</v>
      </c>
      <c r="R23" s="20" t="n">
        <v>0.83683717</v>
      </c>
    </row>
    <row r="24" spans="1:18">
      <c r="A24" s="15" t="s">
        <v>582</v>
      </c>
      <c r="B24" s="17" t="n">
        <v>3309</v>
      </c>
      <c r="C24" s="18">
        <f>(2967.0/B24*100)</f>
        <v/>
      </c>
      <c r="D24" s="19" t="n">
        <v>342</v>
      </c>
      <c r="E24" s="18" t="n">
        <v>41.64653375</v>
      </c>
      <c r="F24" s="20" t="n">
        <v>2.40174092</v>
      </c>
      <c r="G24" s="18" t="n">
        <v>56.29149184</v>
      </c>
      <c r="H24" s="20" t="n">
        <v>2.3556053</v>
      </c>
      <c r="I24" s="18" t="n">
        <v>0</v>
      </c>
      <c r="J24" s="20" t="n">
        <v>0</v>
      </c>
      <c r="K24" s="18" t="n">
        <v>1.23144989</v>
      </c>
      <c r="L24" s="20" t="n">
        <v>0.61420177</v>
      </c>
      <c r="M24" s="18" t="n">
        <v>0</v>
      </c>
      <c r="N24" s="20" t="n">
        <v>0</v>
      </c>
      <c r="O24" s="18" t="n">
        <v>0</v>
      </c>
      <c r="P24" s="20" t="n">
        <v>0</v>
      </c>
      <c r="Q24" s="18" t="n">
        <v>0.83052451</v>
      </c>
      <c r="R24" s="20" t="n">
        <v>0.47474069</v>
      </c>
    </row>
    <row r="25" spans="1:18">
      <c r="A25" s="15" t="s">
        <v>583</v>
      </c>
      <c r="B25" s="17" t="n">
        <v>2669</v>
      </c>
      <c r="C25" s="18">
        <f>(2362.0/B25*100)</f>
        <v/>
      </c>
      <c r="D25" s="19" t="n">
        <v>307</v>
      </c>
      <c r="E25" s="18" t="n">
        <v>34.35737548</v>
      </c>
      <c r="F25" s="20" t="n">
        <v>2.54595462</v>
      </c>
      <c r="G25" s="18" t="n">
        <v>64.18816726999999</v>
      </c>
      <c r="H25" s="20" t="n">
        <v>2.65299612</v>
      </c>
      <c r="I25" s="18" t="n">
        <v>0</v>
      </c>
      <c r="J25" s="20" t="n">
        <v>0</v>
      </c>
      <c r="K25" s="18" t="n">
        <v>0.8595034499999999</v>
      </c>
      <c r="L25" s="20" t="n">
        <v>0.50469712</v>
      </c>
      <c r="M25" s="18" t="n">
        <v>0</v>
      </c>
      <c r="N25" s="20" t="n">
        <v>0</v>
      </c>
      <c r="O25" s="18" t="n">
        <v>0</v>
      </c>
      <c r="P25" s="20" t="n">
        <v>0</v>
      </c>
      <c r="Q25" s="18" t="n">
        <v>0.59495381</v>
      </c>
      <c r="R25" s="20" t="n">
        <v>0.38927588</v>
      </c>
    </row>
    <row r="26" spans="1:18">
      <c r="A26" s="15" t="s">
        <v>584</v>
      </c>
      <c r="B26" s="17" t="n">
        <v>2419</v>
      </c>
      <c r="C26" s="18">
        <f>(2165.0/B26*100)</f>
        <v/>
      </c>
      <c r="D26" s="19" t="n">
        <v>254</v>
      </c>
      <c r="E26" s="18" t="n">
        <v>54.54275272</v>
      </c>
      <c r="F26" s="20" t="n">
        <v>3.04197409</v>
      </c>
      <c r="G26" s="18" t="n">
        <v>44.83585489</v>
      </c>
      <c r="H26" s="20" t="n">
        <v>2.99863201</v>
      </c>
      <c r="I26" s="18" t="n">
        <v>0</v>
      </c>
      <c r="J26" s="20" t="n">
        <v>0</v>
      </c>
      <c r="K26" s="18" t="n">
        <v>0.30683601</v>
      </c>
      <c r="L26" s="20" t="n">
        <v>0.33458213</v>
      </c>
      <c r="M26" s="18" t="n">
        <v>0</v>
      </c>
      <c r="N26" s="20" t="n">
        <v>0</v>
      </c>
      <c r="O26" s="18" t="n">
        <v>0</v>
      </c>
      <c r="P26" s="20" t="n">
        <v>0</v>
      </c>
      <c r="Q26" s="18" t="n">
        <v>0.31455638</v>
      </c>
      <c r="R26" s="20" t="n">
        <v>0.28126657</v>
      </c>
    </row>
    <row r="27" spans="1:18">
      <c r="A27" s="15" t="s">
        <v>585</v>
      </c>
      <c r="B27" s="17" t="n">
        <v>2683</v>
      </c>
      <c r="C27" s="18">
        <f>(2400.0/B27*100)</f>
        <v/>
      </c>
      <c r="D27" s="19" t="n">
        <v>283</v>
      </c>
      <c r="E27" s="18" t="n">
        <v>51.19647772</v>
      </c>
      <c r="F27" s="20" t="n">
        <v>2.92074298</v>
      </c>
      <c r="G27" s="18" t="n">
        <v>44.79949173</v>
      </c>
      <c r="H27" s="20" t="n">
        <v>3.046982</v>
      </c>
      <c r="I27" s="18" t="n">
        <v>0</v>
      </c>
      <c r="J27" s="20" t="n">
        <v>0</v>
      </c>
      <c r="K27" s="18" t="n">
        <v>3.30537289</v>
      </c>
      <c r="L27" s="20" t="n">
        <v>1.10562932</v>
      </c>
      <c r="M27" s="18" t="n">
        <v>0</v>
      </c>
      <c r="N27" s="20" t="n">
        <v>0</v>
      </c>
      <c r="O27" s="18" t="n">
        <v>0</v>
      </c>
      <c r="P27" s="20" t="n">
        <v>0</v>
      </c>
      <c r="Q27" s="18" t="n">
        <v>0.69865766</v>
      </c>
      <c r="R27" s="20" t="n">
        <v>0.48891177</v>
      </c>
    </row>
    <row r="28" spans="1:18">
      <c r="A28" s="15" t="s">
        <v>586</v>
      </c>
      <c r="B28" s="17" t="n">
        <v>3803</v>
      </c>
      <c r="C28" s="18">
        <f>(3467.0/B28*100)</f>
        <v/>
      </c>
      <c r="D28" s="19" t="n">
        <v>336</v>
      </c>
      <c r="E28" s="18" t="n">
        <v>66.26813452</v>
      </c>
      <c r="F28" s="20" t="n">
        <v>2.87194003</v>
      </c>
      <c r="G28" s="18" t="n">
        <v>29.22795915</v>
      </c>
      <c r="H28" s="20" t="n">
        <v>2.57151229</v>
      </c>
      <c r="I28" s="18" t="n">
        <v>0</v>
      </c>
      <c r="J28" s="20" t="n">
        <v>0</v>
      </c>
      <c r="K28" s="18" t="n">
        <v>3.14750496</v>
      </c>
      <c r="L28" s="20" t="n">
        <v>1.06016562</v>
      </c>
      <c r="M28" s="18" t="n">
        <v>0</v>
      </c>
      <c r="N28" s="20" t="n">
        <v>0</v>
      </c>
      <c r="O28" s="18" t="n">
        <v>0</v>
      </c>
      <c r="P28" s="20" t="n">
        <v>0</v>
      </c>
      <c r="Q28" s="18" t="n">
        <v>1.35640137</v>
      </c>
      <c r="R28" s="20" t="n">
        <v>0.7492959</v>
      </c>
    </row>
    <row r="29" spans="1:18">
      <c r="A29" s="15" t="s">
        <v>587</v>
      </c>
      <c r="B29" s="17" t="n">
        <v>2700</v>
      </c>
      <c r="C29" s="18">
        <f>(2408.0/B29*100)</f>
        <v/>
      </c>
      <c r="D29" s="19" t="n">
        <v>292</v>
      </c>
      <c r="E29" s="18" t="n">
        <v>42.05883379</v>
      </c>
      <c r="F29" s="20" t="n">
        <v>3.0052162</v>
      </c>
      <c r="G29" s="18" t="n">
        <v>56.69750226</v>
      </c>
      <c r="H29" s="20" t="n">
        <v>2.96225416</v>
      </c>
      <c r="I29" s="18" t="n">
        <v>0</v>
      </c>
      <c r="J29" s="20" t="n">
        <v>0</v>
      </c>
      <c r="K29" s="18" t="n">
        <v>1.24366395</v>
      </c>
      <c r="L29" s="20" t="n">
        <v>0.62702231</v>
      </c>
      <c r="M29" s="18" t="n">
        <v>0</v>
      </c>
      <c r="N29" s="20" t="n">
        <v>0</v>
      </c>
      <c r="O29" s="18" t="n">
        <v>0</v>
      </c>
      <c r="P29" s="20" t="n">
        <v>0</v>
      </c>
      <c r="Q29" s="18" t="n">
        <v>0</v>
      </c>
      <c r="R29" s="20" t="n">
        <v>0</v>
      </c>
    </row>
    <row r="30" spans="1:18">
      <c r="A30" s="15" t="s">
        <v>588</v>
      </c>
      <c r="B30" s="17" t="n">
        <v>2257</v>
      </c>
      <c r="C30" s="18">
        <f>(2020.0/B30*100)</f>
        <v/>
      </c>
      <c r="D30" s="19" t="n">
        <v>237</v>
      </c>
      <c r="E30" s="18" t="n">
        <v>54.08622857</v>
      </c>
      <c r="F30" s="20" t="n">
        <v>3.36550816</v>
      </c>
      <c r="G30" s="18" t="n">
        <v>43.40064338</v>
      </c>
      <c r="H30" s="20" t="n">
        <v>3.54782387</v>
      </c>
      <c r="I30" s="18" t="n">
        <v>0</v>
      </c>
      <c r="J30" s="20" t="n">
        <v>0</v>
      </c>
      <c r="K30" s="18" t="n">
        <v>2.51312805</v>
      </c>
      <c r="L30" s="20" t="n">
        <v>1.02606582</v>
      </c>
      <c r="M30" s="18" t="n">
        <v>0</v>
      </c>
      <c r="N30" s="20" t="n">
        <v>0</v>
      </c>
      <c r="O30" s="18" t="n">
        <v>0</v>
      </c>
      <c r="P30" s="20" t="n">
        <v>0</v>
      </c>
      <c r="Q30" s="18" t="n">
        <v>0</v>
      </c>
      <c r="R30" s="20" t="n">
        <v>0</v>
      </c>
    </row>
    <row r="31" spans="1:18">
      <c r="A31" s="15" t="s">
        <v>589</v>
      </c>
      <c r="B31" s="17" t="n">
        <v>2706</v>
      </c>
      <c r="C31" s="18">
        <f>(2425.0/B31*100)</f>
        <v/>
      </c>
      <c r="D31" s="19" t="n">
        <v>281</v>
      </c>
      <c r="E31" s="18" t="n">
        <v>46.29699542</v>
      </c>
      <c r="F31" s="20" t="n">
        <v>3.23143415</v>
      </c>
      <c r="G31" s="18" t="n">
        <v>49.00539355</v>
      </c>
      <c r="H31" s="20" t="n">
        <v>3.13896625</v>
      </c>
      <c r="I31" s="18" t="n">
        <v>0</v>
      </c>
      <c r="J31" s="20" t="n">
        <v>0</v>
      </c>
      <c r="K31" s="18" t="n">
        <v>4.37911997</v>
      </c>
      <c r="L31" s="20" t="n">
        <v>1.17740159</v>
      </c>
      <c r="M31" s="18" t="n">
        <v>0</v>
      </c>
      <c r="N31" s="20" t="n">
        <v>0</v>
      </c>
      <c r="O31" s="18" t="n">
        <v>0</v>
      </c>
      <c r="P31" s="20" t="n">
        <v>0</v>
      </c>
      <c r="Q31" s="18" t="n">
        <v>0.31849105</v>
      </c>
      <c r="R31" s="20" t="n">
        <v>0.31789464</v>
      </c>
    </row>
    <row r="32" spans="1:18">
      <c r="A32" s="15" t="s">
        <v>590</v>
      </c>
      <c r="B32" s="17" t="n">
        <v>2209</v>
      </c>
      <c r="C32" s="18">
        <f>(1975.0/B32*100)</f>
        <v/>
      </c>
      <c r="D32" s="19" t="n">
        <v>234</v>
      </c>
      <c r="E32" s="18" t="n">
        <v>48.17267035</v>
      </c>
      <c r="F32" s="20" t="n">
        <v>3.25181668</v>
      </c>
      <c r="G32" s="18" t="n">
        <v>50.70305296</v>
      </c>
      <c r="H32" s="20" t="n">
        <v>3.29496435</v>
      </c>
      <c r="I32" s="18" t="n">
        <v>0</v>
      </c>
      <c r="J32" s="20" t="n">
        <v>0</v>
      </c>
      <c r="K32" s="18" t="n">
        <v>1.12427669</v>
      </c>
      <c r="L32" s="20" t="n">
        <v>0.37483742</v>
      </c>
      <c r="M32" s="18" t="n">
        <v>0</v>
      </c>
      <c r="N32" s="20" t="n">
        <v>0</v>
      </c>
      <c r="O32" s="18" t="n">
        <v>0</v>
      </c>
      <c r="P32" s="20" t="n">
        <v>0</v>
      </c>
      <c r="Q32" s="18" t="n">
        <v>0</v>
      </c>
      <c r="R32" s="20" t="n">
        <v>0</v>
      </c>
    </row>
    <row r="33" spans="1:18">
      <c r="A33" s="15" t="s">
        <v>591</v>
      </c>
      <c r="B33" s="17" t="n">
        <v>3651</v>
      </c>
      <c r="C33" s="18">
        <f>(3315.0/B33*100)</f>
        <v/>
      </c>
      <c r="D33" s="19" t="n">
        <v>336</v>
      </c>
      <c r="E33" s="18" t="n">
        <v>59.24531654</v>
      </c>
      <c r="F33" s="20" t="n">
        <v>2.86958662</v>
      </c>
      <c r="G33" s="18" t="n">
        <v>39.18475753</v>
      </c>
      <c r="H33" s="20" t="n">
        <v>2.84719872</v>
      </c>
      <c r="I33" s="18" t="n">
        <v>0</v>
      </c>
      <c r="J33" s="20" t="n">
        <v>0</v>
      </c>
      <c r="K33" s="18" t="n">
        <v>0.66600235</v>
      </c>
      <c r="L33" s="20" t="n">
        <v>0.45214895</v>
      </c>
      <c r="M33" s="18" t="n">
        <v>0</v>
      </c>
      <c r="N33" s="20" t="n">
        <v>0</v>
      </c>
      <c r="O33" s="18" t="n">
        <v>0</v>
      </c>
      <c r="P33" s="20" t="n">
        <v>0</v>
      </c>
      <c r="Q33" s="18" t="n">
        <v>0.9039235799999999</v>
      </c>
      <c r="R33" s="20" t="n">
        <v>0.60760918</v>
      </c>
    </row>
    <row r="34" spans="1:18">
      <c r="A34" s="15" t="s">
        <v>592</v>
      </c>
      <c r="B34" s="17" t="n">
        <v>3035</v>
      </c>
      <c r="C34" s="18">
        <f>(2703.0/B34*100)</f>
        <v/>
      </c>
      <c r="D34" s="19" t="n">
        <v>332</v>
      </c>
      <c r="E34" s="18" t="n">
        <v>57.9386981</v>
      </c>
      <c r="F34" s="20" t="n">
        <v>2.46863178</v>
      </c>
      <c r="G34" s="18" t="n">
        <v>39.88106412</v>
      </c>
      <c r="H34" s="20" t="n">
        <v>2.49498058</v>
      </c>
      <c r="I34" s="18" t="n">
        <v>0</v>
      </c>
      <c r="J34" s="20" t="n">
        <v>0</v>
      </c>
      <c r="K34" s="18" t="n">
        <v>1.93706057</v>
      </c>
      <c r="L34" s="20" t="n">
        <v>0.62554292</v>
      </c>
      <c r="M34" s="18" t="n">
        <v>0</v>
      </c>
      <c r="N34" s="20" t="n">
        <v>0</v>
      </c>
      <c r="O34" s="18" t="n">
        <v>0</v>
      </c>
      <c r="P34" s="20" t="n">
        <v>0</v>
      </c>
      <c r="Q34" s="18" t="n">
        <v>0.24317721</v>
      </c>
      <c r="R34" s="20" t="n">
        <v>0.34568398</v>
      </c>
    </row>
    <row r="35" spans="1:18">
      <c r="A35" s="15" t="s">
        <v>593</v>
      </c>
      <c r="B35" s="17" t="n">
        <v>2901</v>
      </c>
      <c r="C35" s="18">
        <f>(2609.0/B35*100)</f>
        <v/>
      </c>
      <c r="D35" s="19" t="n">
        <v>292</v>
      </c>
      <c r="E35" s="18" t="n">
        <v>48.33313145</v>
      </c>
      <c r="F35" s="20" t="n">
        <v>3.89010678</v>
      </c>
      <c r="G35" s="18" t="n">
        <v>48.82589672</v>
      </c>
      <c r="H35" s="20" t="n">
        <v>3.83369522</v>
      </c>
      <c r="I35" s="18" t="n">
        <v>0</v>
      </c>
      <c r="J35" s="20" t="n">
        <v>0</v>
      </c>
      <c r="K35" s="18" t="n">
        <v>1.61779753</v>
      </c>
      <c r="L35" s="20" t="n">
        <v>0.94195785</v>
      </c>
      <c r="M35" s="18" t="n">
        <v>0</v>
      </c>
      <c r="N35" s="20" t="n">
        <v>0</v>
      </c>
      <c r="O35" s="18" t="n">
        <v>0</v>
      </c>
      <c r="P35" s="20" t="n">
        <v>0</v>
      </c>
      <c r="Q35" s="18" t="n">
        <v>1.2231743</v>
      </c>
      <c r="R35" s="20" t="n">
        <v>1.02956828</v>
      </c>
    </row>
    <row r="36" spans="1:18">
      <c r="A36" s="15" t="s">
        <v>594</v>
      </c>
      <c r="B36" s="17" t="n">
        <v>3404</v>
      </c>
      <c r="C36" s="18">
        <f>(3073.0/B36*100)</f>
        <v/>
      </c>
      <c r="D36" s="19" t="n">
        <v>331</v>
      </c>
      <c r="E36" s="18" t="n">
        <v>56.33192346</v>
      </c>
      <c r="F36" s="20" t="n">
        <v>2.77650263</v>
      </c>
      <c r="G36" s="18" t="n">
        <v>39.24293377</v>
      </c>
      <c r="H36" s="20" t="n">
        <v>2.64913145</v>
      </c>
      <c r="I36" s="18" t="n">
        <v>0</v>
      </c>
      <c r="J36" s="20" t="n">
        <v>0</v>
      </c>
      <c r="K36" s="18" t="n">
        <v>4.07132477</v>
      </c>
      <c r="L36" s="20" t="n">
        <v>1.30375782</v>
      </c>
      <c r="M36" s="18" t="n">
        <v>0</v>
      </c>
      <c r="N36" s="20" t="n">
        <v>0</v>
      </c>
      <c r="O36" s="18" t="n">
        <v>0</v>
      </c>
      <c r="P36" s="20" t="n">
        <v>0</v>
      </c>
      <c r="Q36" s="18" t="n">
        <v>0.35381799</v>
      </c>
      <c r="R36" s="20" t="n">
        <v>0.34886761</v>
      </c>
    </row>
    <row r="37" spans="1:18">
      <c r="A37" s="15" t="s">
        <v>595</v>
      </c>
      <c r="B37" s="17" t="n">
        <v>2731</v>
      </c>
      <c r="C37" s="18">
        <f>(2446.0/B37*100)</f>
        <v/>
      </c>
      <c r="D37" s="19" t="n">
        <v>285</v>
      </c>
      <c r="E37" s="18" t="n">
        <v>40.08661108</v>
      </c>
      <c r="F37" s="20" t="n">
        <v>3.0697269</v>
      </c>
      <c r="G37" s="18" t="n">
        <v>52.99001175</v>
      </c>
      <c r="H37" s="20" t="n">
        <v>3.23009993</v>
      </c>
      <c r="I37" s="18" t="n">
        <v>0</v>
      </c>
      <c r="J37" s="20" t="n">
        <v>0</v>
      </c>
      <c r="K37" s="18" t="n">
        <v>5.63701655</v>
      </c>
      <c r="L37" s="20" t="n">
        <v>1.4819465</v>
      </c>
      <c r="M37" s="18" t="n">
        <v>0</v>
      </c>
      <c r="N37" s="20" t="n">
        <v>0</v>
      </c>
      <c r="O37" s="18" t="n">
        <v>0</v>
      </c>
      <c r="P37" s="20" t="n">
        <v>0</v>
      </c>
      <c r="Q37" s="18" t="n">
        <v>1.28636062</v>
      </c>
      <c r="R37" s="20" t="n">
        <v>0.8165681299999999</v>
      </c>
    </row>
    <row r="38" spans="1:18">
      <c r="A38" s="15" t="s">
        <v>596</v>
      </c>
      <c r="B38" s="17" t="n">
        <v>2807</v>
      </c>
      <c r="C38" s="18">
        <f>(2501.0/B38*100)</f>
        <v/>
      </c>
      <c r="D38" s="19" t="n">
        <v>306</v>
      </c>
      <c r="E38" s="18" t="n">
        <v>44.98992381</v>
      </c>
      <c r="F38" s="20" t="n">
        <v>3.16865429</v>
      </c>
      <c r="G38" s="18" t="n">
        <v>51.26176317</v>
      </c>
      <c r="H38" s="20" t="n">
        <v>3.26170307</v>
      </c>
      <c r="I38" s="18" t="n">
        <v>0</v>
      </c>
      <c r="J38" s="20" t="n">
        <v>0</v>
      </c>
      <c r="K38" s="18" t="n">
        <v>3.74831301</v>
      </c>
      <c r="L38" s="20" t="n">
        <v>1.14901907</v>
      </c>
      <c r="M38" s="18" t="n">
        <v>0</v>
      </c>
      <c r="N38" s="20" t="n">
        <v>0</v>
      </c>
      <c r="O38" s="18" t="n">
        <v>0</v>
      </c>
      <c r="P38" s="20" t="n">
        <v>0</v>
      </c>
      <c r="Q38" s="18" t="n">
        <v>0</v>
      </c>
      <c r="R38" s="20" t="n">
        <v>0</v>
      </c>
    </row>
    <row r="39" spans="1:18">
      <c r="A39" s="15" t="s">
        <v>597</v>
      </c>
      <c r="B39" s="17" t="n">
        <v>2938</v>
      </c>
      <c r="C39" s="18">
        <f>(2624.0/B39*100)</f>
        <v/>
      </c>
      <c r="D39" s="19" t="n">
        <v>314</v>
      </c>
      <c r="E39" s="18" t="n">
        <v>65.00827258</v>
      </c>
      <c r="F39" s="20" t="n">
        <v>3.43778074</v>
      </c>
      <c r="G39" s="18" t="n">
        <v>32.22341901</v>
      </c>
      <c r="H39" s="20" t="n">
        <v>3.42024603</v>
      </c>
      <c r="I39" s="18" t="n">
        <v>0</v>
      </c>
      <c r="J39" s="20" t="n">
        <v>0</v>
      </c>
      <c r="K39" s="18" t="n">
        <v>0.7317536</v>
      </c>
      <c r="L39" s="20" t="n">
        <v>0.45187476</v>
      </c>
      <c r="M39" s="18" t="n">
        <v>0</v>
      </c>
      <c r="N39" s="20" t="n">
        <v>0</v>
      </c>
      <c r="O39" s="18" t="n">
        <v>0</v>
      </c>
      <c r="P39" s="20" t="n">
        <v>0</v>
      </c>
      <c r="Q39" s="18" t="n">
        <v>2.03655481</v>
      </c>
      <c r="R39" s="20" t="n">
        <v>0.81810574</v>
      </c>
    </row>
    <row r="40" spans="1:18">
      <c r="A40" s="15" t="s">
        <v>598</v>
      </c>
      <c r="B40" s="17" t="n">
        <v>6922</v>
      </c>
      <c r="C40" s="18">
        <f>(6152.0/B40*100)</f>
        <v/>
      </c>
      <c r="D40" s="19" t="n">
        <v>770</v>
      </c>
      <c r="E40" s="18" t="n">
        <v>50.11904255</v>
      </c>
      <c r="F40" s="20" t="n">
        <v>2.35963155</v>
      </c>
      <c r="G40" s="18" t="n">
        <v>47.38413199</v>
      </c>
      <c r="H40" s="20" t="n">
        <v>2.46363207</v>
      </c>
      <c r="I40" s="18" t="n">
        <v>0</v>
      </c>
      <c r="J40" s="20" t="n">
        <v>0</v>
      </c>
      <c r="K40" s="18" t="n">
        <v>1.94224708</v>
      </c>
      <c r="L40" s="20" t="n">
        <v>0.71627769</v>
      </c>
      <c r="M40" s="18" t="n">
        <v>0</v>
      </c>
      <c r="N40" s="20" t="n">
        <v>0</v>
      </c>
      <c r="O40" s="18" t="n">
        <v>0</v>
      </c>
      <c r="P40" s="20" t="n">
        <v>0</v>
      </c>
      <c r="Q40" s="18" t="n">
        <v>0.55457837</v>
      </c>
      <c r="R40" s="20" t="n">
        <v>0.49202932</v>
      </c>
    </row>
    <row r="41" spans="1:18">
      <c r="A41" s="15" t="s">
        <v>599</v>
      </c>
      <c r="B41" s="17" t="n">
        <v>2854</v>
      </c>
      <c r="C41" s="18">
        <f>(2558.0/B41*100)</f>
        <v/>
      </c>
      <c r="D41" s="19" t="n">
        <v>296</v>
      </c>
      <c r="E41" s="18" t="n">
        <v>49.36077134</v>
      </c>
      <c r="F41" s="20" t="n">
        <v>3.2462187</v>
      </c>
      <c r="G41" s="18" t="n">
        <v>47.74773897</v>
      </c>
      <c r="H41" s="20" t="n">
        <v>3.10448526</v>
      </c>
      <c r="I41" s="18" t="n">
        <v>0</v>
      </c>
      <c r="J41" s="20" t="n">
        <v>0</v>
      </c>
      <c r="K41" s="18" t="n">
        <v>2.51685838</v>
      </c>
      <c r="L41" s="20" t="n">
        <v>1.38627812</v>
      </c>
      <c r="M41" s="18" t="n">
        <v>0</v>
      </c>
      <c r="N41" s="20" t="n">
        <v>0</v>
      </c>
      <c r="O41" s="18" t="n">
        <v>0</v>
      </c>
      <c r="P41" s="20" t="n">
        <v>0</v>
      </c>
      <c r="Q41" s="18" t="n">
        <v>0.37463131</v>
      </c>
      <c r="R41" s="20" t="n">
        <v>0.40761628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(11221.0/B46*100)</f>
        <v/>
      </c>
      <c r="D46" s="19" t="n">
        <v>852</v>
      </c>
      <c r="E46" s="18" t="n">
        <v>66.31695812</v>
      </c>
      <c r="F46" s="20" t="n">
        <v>2.2814312</v>
      </c>
      <c r="G46" s="18" t="n">
        <v>27.44075494</v>
      </c>
      <c r="H46" s="20" t="n">
        <v>2.08108525</v>
      </c>
      <c r="I46" s="18" t="n">
        <v>0</v>
      </c>
      <c r="J46" s="20" t="n">
        <v>0</v>
      </c>
      <c r="K46" s="18" t="n">
        <v>6.13032076</v>
      </c>
      <c r="L46" s="20" t="n">
        <v>1.19507641</v>
      </c>
      <c r="M46" s="18" t="n">
        <v>0</v>
      </c>
      <c r="N46" s="20" t="n">
        <v>0</v>
      </c>
      <c r="O46" s="18" t="n">
        <v>0</v>
      </c>
      <c r="P46" s="20" t="n">
        <v>0</v>
      </c>
      <c r="Q46" s="18" t="n">
        <v>0.11196618</v>
      </c>
      <c r="R46" s="20" t="n">
        <v>0.06061218</v>
      </c>
    </row>
    <row r="47" spans="1:18">
      <c r="A47" s="15" t="s">
        <v>606</v>
      </c>
      <c r="B47" s="17" t="n">
        <v>2823</v>
      </c>
      <c r="C47" s="18">
        <f>(2525.0/B47*100)</f>
        <v/>
      </c>
      <c r="D47" s="19" t="n">
        <v>298</v>
      </c>
      <c r="E47" s="18" t="n">
        <v>57.10221699</v>
      </c>
      <c r="F47" s="20" t="n">
        <v>2.72574462</v>
      </c>
      <c r="G47" s="18" t="n">
        <v>41.01872543</v>
      </c>
      <c r="H47" s="20" t="n">
        <v>2.89866825</v>
      </c>
      <c r="I47" s="18" t="n">
        <v>0</v>
      </c>
      <c r="J47" s="20" t="n">
        <v>0</v>
      </c>
      <c r="K47" s="18" t="n">
        <v>1.54104826</v>
      </c>
      <c r="L47" s="20" t="n">
        <v>0.7087538</v>
      </c>
      <c r="M47" s="18" t="n">
        <v>0</v>
      </c>
      <c r="N47" s="20" t="n">
        <v>0</v>
      </c>
      <c r="O47" s="18" t="n">
        <v>0</v>
      </c>
      <c r="P47" s="20" t="n">
        <v>0</v>
      </c>
      <c r="Q47" s="18" t="n">
        <v>0.33800932</v>
      </c>
      <c r="R47" s="20" t="n">
        <v>0.33860889</v>
      </c>
    </row>
    <row r="48" spans="1:18">
      <c r="A48" s="15" t="s">
        <v>607</v>
      </c>
      <c r="B48" s="17" t="n">
        <v>4682</v>
      </c>
      <c r="C48" s="18">
        <f>(4175.0/B48*100)</f>
        <v/>
      </c>
      <c r="D48" s="19" t="n">
        <v>507</v>
      </c>
      <c r="E48" s="18" t="n">
        <v>36.18167268</v>
      </c>
      <c r="F48" s="20" t="n">
        <v>2.84833151</v>
      </c>
      <c r="G48" s="18" t="n">
        <v>62.81790619</v>
      </c>
      <c r="H48" s="20" t="n">
        <v>3.00275729</v>
      </c>
      <c r="I48" s="18" t="n">
        <v>0</v>
      </c>
      <c r="J48" s="20" t="n">
        <v>0</v>
      </c>
      <c r="K48" s="18" t="n">
        <v>1.00042113</v>
      </c>
      <c r="L48" s="20" t="n">
        <v>0.59562647</v>
      </c>
      <c r="M48" s="18" t="n">
        <v>0</v>
      </c>
      <c r="N48" s="20" t="n">
        <v>0</v>
      </c>
      <c r="O48" s="18" t="n">
        <v>0</v>
      </c>
      <c r="P48" s="20" t="n">
        <v>0</v>
      </c>
      <c r="Q48" s="18" t="n">
        <v>0</v>
      </c>
      <c r="R48" s="20" t="n">
        <v>0</v>
      </c>
    </row>
    <row r="49" spans="1:18">
      <c r="A49" s="15" t="s">
        <v>608</v>
      </c>
      <c r="B49" s="17" t="n">
        <v>6158</v>
      </c>
      <c r="C49" s="18">
        <f>(5540.0/B49*100)</f>
        <v/>
      </c>
      <c r="D49" s="19" t="n">
        <v>618</v>
      </c>
      <c r="E49" s="18" t="n">
        <v>65.22254626</v>
      </c>
      <c r="F49" s="20" t="n">
        <v>2.70452872</v>
      </c>
      <c r="G49" s="18" t="n">
        <v>30.03234136</v>
      </c>
      <c r="H49" s="20" t="n">
        <v>2.6262336</v>
      </c>
      <c r="I49" s="18" t="n">
        <v>0</v>
      </c>
      <c r="J49" s="20" t="n">
        <v>0</v>
      </c>
      <c r="K49" s="18" t="n">
        <v>4.13432696</v>
      </c>
      <c r="L49" s="20" t="n">
        <v>1.03415568</v>
      </c>
      <c r="M49" s="18" t="n">
        <v>0</v>
      </c>
      <c r="N49" s="20" t="n">
        <v>0</v>
      </c>
      <c r="O49" s="18" t="n">
        <v>0</v>
      </c>
      <c r="P49" s="20" t="n">
        <v>0</v>
      </c>
      <c r="Q49" s="18" t="n">
        <v>0.61078543</v>
      </c>
      <c r="R49" s="20" t="n">
        <v>0.32685817</v>
      </c>
    </row>
    <row r="50" spans="1:18">
      <c r="A50" s="15" t="s">
        <v>609</v>
      </c>
      <c r="B50" s="17" t="n">
        <v>3494</v>
      </c>
      <c r="C50" s="18">
        <f>(3185.0/B50*100)</f>
        <v/>
      </c>
      <c r="D50" s="19" t="n">
        <v>309</v>
      </c>
      <c r="E50" s="18" t="n">
        <v>63.24159728</v>
      </c>
      <c r="F50" s="20" t="n">
        <v>2.86031937</v>
      </c>
      <c r="G50" s="18" t="n">
        <v>34.16371715</v>
      </c>
      <c r="H50" s="20" t="n">
        <v>2.83852936</v>
      </c>
      <c r="I50" s="18" t="n">
        <v>0</v>
      </c>
      <c r="J50" s="20" t="n">
        <v>0</v>
      </c>
      <c r="K50" s="18" t="n">
        <v>2.16378869</v>
      </c>
      <c r="L50" s="20" t="n">
        <v>0.73994049</v>
      </c>
      <c r="M50" s="18" t="n">
        <v>0</v>
      </c>
      <c r="N50" s="20" t="n">
        <v>0</v>
      </c>
      <c r="O50" s="18" t="n">
        <v>0</v>
      </c>
      <c r="P50" s="20" t="n">
        <v>0</v>
      </c>
      <c r="Q50" s="18" t="n">
        <v>0.43089687</v>
      </c>
      <c r="R50" s="20" t="n">
        <v>0.4365334</v>
      </c>
    </row>
    <row r="51" spans="1:18">
      <c r="A51" s="15" t="s">
        <v>610</v>
      </c>
      <c r="B51" s="17" t="n">
        <v>3013</v>
      </c>
      <c r="C51" s="18">
        <f>(2664.0/B51*100)</f>
        <v/>
      </c>
      <c r="D51" s="19" t="n">
        <v>349</v>
      </c>
      <c r="E51" s="18" t="n">
        <v>60.77705824</v>
      </c>
      <c r="F51" s="20" t="n">
        <v>3.05030636</v>
      </c>
      <c r="G51" s="18" t="n">
        <v>37.38369872</v>
      </c>
      <c r="H51" s="20" t="n">
        <v>3.17110011</v>
      </c>
      <c r="I51" s="18" t="n">
        <v>0</v>
      </c>
      <c r="J51" s="20" t="n">
        <v>0</v>
      </c>
      <c r="K51" s="18" t="n">
        <v>1.65979874</v>
      </c>
      <c r="L51" s="20" t="n">
        <v>0.67972032</v>
      </c>
      <c r="M51" s="18" t="n">
        <v>0</v>
      </c>
      <c r="N51" s="20" t="n">
        <v>0</v>
      </c>
      <c r="O51" s="18" t="n">
        <v>0</v>
      </c>
      <c r="P51" s="20" t="n">
        <v>0</v>
      </c>
      <c r="Q51" s="18" t="n">
        <v>0.1794443</v>
      </c>
      <c r="R51" s="20" t="n">
        <v>0.17765843</v>
      </c>
    </row>
    <row r="52" spans="1:18">
      <c r="A52" s="15" t="s">
        <v>611</v>
      </c>
      <c r="B52" s="17" t="n">
        <v>2760</v>
      </c>
      <c r="C52" s="18">
        <f>(2475.0/B52*100)</f>
        <v/>
      </c>
      <c r="D52" s="19" t="n">
        <v>285</v>
      </c>
      <c r="E52" s="18" t="n">
        <v>63.82372893</v>
      </c>
      <c r="F52" s="20" t="n">
        <v>2.76517085</v>
      </c>
      <c r="G52" s="18" t="n">
        <v>33.71664879</v>
      </c>
      <c r="H52" s="20" t="n">
        <v>2.72531602</v>
      </c>
      <c r="I52" s="18" t="n">
        <v>0</v>
      </c>
      <c r="J52" s="20" t="n">
        <v>0</v>
      </c>
      <c r="K52" s="18" t="n">
        <v>2.45962228</v>
      </c>
      <c r="L52" s="20" t="n">
        <v>0.97411266</v>
      </c>
      <c r="M52" s="18" t="n">
        <v>0</v>
      </c>
      <c r="N52" s="20" t="n">
        <v>0</v>
      </c>
      <c r="O52" s="18" t="n">
        <v>0</v>
      </c>
      <c r="P52" s="20" t="n">
        <v>0</v>
      </c>
      <c r="Q52" s="18" t="n">
        <v>0</v>
      </c>
      <c r="R52" s="20" t="n">
        <v>0</v>
      </c>
    </row>
    <row r="53" spans="1:18">
      <c r="A53" s="15" t="s">
        <v>612</v>
      </c>
      <c r="B53" s="17" t="n">
        <v>2474</v>
      </c>
      <c r="C53" s="18">
        <f>(2240.0/B53*100)</f>
        <v/>
      </c>
      <c r="D53" s="19" t="n">
        <v>234</v>
      </c>
      <c r="E53" s="18" t="n">
        <v>49.3794026</v>
      </c>
      <c r="F53" s="20" t="n">
        <v>3.10613628</v>
      </c>
      <c r="G53" s="18" t="n">
        <v>17.09810731</v>
      </c>
      <c r="H53" s="20" t="n">
        <v>2.74513487</v>
      </c>
      <c r="I53" s="18" t="n">
        <v>0</v>
      </c>
      <c r="J53" s="20" t="n">
        <v>0</v>
      </c>
      <c r="K53" s="18" t="n">
        <v>31.5212032</v>
      </c>
      <c r="L53" s="20" t="n">
        <v>2.76894364</v>
      </c>
      <c r="M53" s="18" t="n">
        <v>0</v>
      </c>
      <c r="N53" s="20" t="n">
        <v>0</v>
      </c>
      <c r="O53" s="18" t="n">
        <v>0</v>
      </c>
      <c r="P53" s="20" t="n">
        <v>0</v>
      </c>
      <c r="Q53" s="18" t="n">
        <v>2.00128689</v>
      </c>
      <c r="R53" s="20" t="n">
        <v>1.04305594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(2383.0/B55*100)</f>
        <v/>
      </c>
      <c r="D55" s="19" t="n">
        <v>292</v>
      </c>
      <c r="E55" s="18" t="n">
        <v>39.41024685</v>
      </c>
      <c r="F55" s="20" t="n">
        <v>3.05137982</v>
      </c>
      <c r="G55" s="18" t="n">
        <v>59.8874366</v>
      </c>
      <c r="H55" s="20" t="n">
        <v>3.11718986</v>
      </c>
      <c r="I55" s="18" t="n">
        <v>0</v>
      </c>
      <c r="J55" s="20" t="n">
        <v>0</v>
      </c>
      <c r="K55" s="18" t="n">
        <v>0.70231655</v>
      </c>
      <c r="L55" s="20" t="n">
        <v>0.51792173</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(2840.0/B61*100)</f>
        <v/>
      </c>
      <c r="D61" s="19" t="n">
        <v>361</v>
      </c>
      <c r="E61" s="18" t="n">
        <v>59.72451953</v>
      </c>
      <c r="F61" s="20" t="n">
        <v>2.85071871</v>
      </c>
      <c r="G61" s="18" t="n">
        <v>39.1682122</v>
      </c>
      <c r="H61" s="20" t="n">
        <v>2.76177044</v>
      </c>
      <c r="I61" s="18" t="n">
        <v>0</v>
      </c>
      <c r="J61" s="20" t="n">
        <v>0</v>
      </c>
      <c r="K61" s="18" t="n">
        <v>1.10726827</v>
      </c>
      <c r="L61" s="20" t="n">
        <v>0.6488071</v>
      </c>
      <c r="M61" s="18" t="n">
        <v>0</v>
      </c>
      <c r="N61" s="20" t="n">
        <v>0</v>
      </c>
      <c r="O61" s="18" t="n">
        <v>0</v>
      </c>
      <c r="P61" s="20" t="n">
        <v>0</v>
      </c>
      <c r="Q61" s="18" t="n">
        <v>0</v>
      </c>
      <c r="R61" s="20" t="n">
        <v>0</v>
      </c>
    </row>
    <row r="62" spans="1:18">
      <c r="A62" s="15" t="s">
        <v>622</v>
      </c>
      <c r="B62" s="17" t="n">
        <v>2230</v>
      </c>
      <c r="C62" s="18">
        <f>(2010.0/B62*100)</f>
        <v/>
      </c>
      <c r="D62" s="19" t="n">
        <v>220</v>
      </c>
      <c r="E62" s="18" t="n">
        <v>51.01248891</v>
      </c>
      <c r="F62" s="20" t="n">
        <v>3.34574981</v>
      </c>
      <c r="G62" s="18" t="n">
        <v>48.98751109</v>
      </c>
      <c r="H62" s="20" t="n">
        <v>3.34574981</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(2464.0/B67*100)</f>
        <v/>
      </c>
      <c r="D67" s="19" t="n">
        <v>307</v>
      </c>
      <c r="E67" s="18" t="n">
        <v>61.47498628</v>
      </c>
      <c r="F67" s="20" t="n">
        <v>2.93669047</v>
      </c>
      <c r="G67" s="18" t="n">
        <v>26.95411467</v>
      </c>
      <c r="H67" s="20" t="n">
        <v>2.77087584</v>
      </c>
      <c r="I67" s="18" t="n">
        <v>0</v>
      </c>
      <c r="J67" s="20" t="n">
        <v>0</v>
      </c>
      <c r="K67" s="18" t="n">
        <v>8.82702523</v>
      </c>
      <c r="L67" s="20" t="n">
        <v>1.8860661</v>
      </c>
      <c r="M67" s="18" t="n">
        <v>0</v>
      </c>
      <c r="N67" s="20" t="n">
        <v>0</v>
      </c>
      <c r="O67" s="18" t="n">
        <v>0</v>
      </c>
      <c r="P67" s="20" t="n">
        <v>0</v>
      </c>
      <c r="Q67" s="18" t="n">
        <v>2.74387382</v>
      </c>
      <c r="R67" s="20" t="n">
        <v>1.19339542</v>
      </c>
    </row>
    <row r="68" spans="1:18">
      <c r="A68" s="15" t="s">
        <v>628</v>
      </c>
      <c r="B68" s="17" t="n">
        <v>3460</v>
      </c>
      <c r="C68" s="18">
        <f>(3173.0/B68*100)</f>
        <v/>
      </c>
      <c r="D68" s="19" t="n">
        <v>287</v>
      </c>
      <c r="E68" s="18" t="n">
        <v>69.99902077</v>
      </c>
      <c r="F68" s="20" t="n">
        <v>2.75055923</v>
      </c>
      <c r="G68" s="18" t="n">
        <v>29.03417494</v>
      </c>
      <c r="H68" s="20" t="n">
        <v>2.81963687</v>
      </c>
      <c r="I68" s="18" t="n">
        <v>0</v>
      </c>
      <c r="J68" s="20" t="n">
        <v>0</v>
      </c>
      <c r="K68" s="18" t="n">
        <v>0.96680429</v>
      </c>
      <c r="L68" s="20" t="n">
        <v>0.57051508</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(5403.0/B70*100)</f>
        <v/>
      </c>
      <c r="D70" s="19" t="n">
        <v>631</v>
      </c>
      <c r="E70" s="18" t="n">
        <v>57.46005551</v>
      </c>
      <c r="F70" s="20" t="n">
        <v>1.93300464</v>
      </c>
      <c r="G70" s="18" t="n">
        <v>34.49841189</v>
      </c>
      <c r="H70" s="20" t="n">
        <v>1.91795425</v>
      </c>
      <c r="I70" s="18" t="n">
        <v>0</v>
      </c>
      <c r="J70" s="20" t="n">
        <v>0</v>
      </c>
      <c r="K70" s="18" t="n">
        <v>6.58342058</v>
      </c>
      <c r="L70" s="20" t="n">
        <v>1.1622679</v>
      </c>
      <c r="M70" s="18" t="n">
        <v>0</v>
      </c>
      <c r="N70" s="20" t="n">
        <v>0</v>
      </c>
      <c r="O70" s="18" t="n">
        <v>0</v>
      </c>
      <c r="P70" s="20" t="n">
        <v>0</v>
      </c>
      <c r="Q70" s="18" t="n">
        <v>1.45811202</v>
      </c>
      <c r="R70" s="20" t="n">
        <v>0.48961829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(2757.0/B72*100)</f>
        <v/>
      </c>
      <c r="D72" s="19" t="n">
        <v>350</v>
      </c>
      <c r="E72" s="18" t="n">
        <v>59.6714033</v>
      </c>
      <c r="F72" s="20" t="n">
        <v>3.31843541</v>
      </c>
      <c r="G72" s="18" t="n">
        <v>38.42615062</v>
      </c>
      <c r="H72" s="20" t="n">
        <v>3.29455293</v>
      </c>
      <c r="I72" s="18" t="n">
        <v>0</v>
      </c>
      <c r="J72" s="20" t="n">
        <v>0</v>
      </c>
      <c r="K72" s="18" t="n">
        <v>1.34771865</v>
      </c>
      <c r="L72" s="20" t="n">
        <v>0.63990043</v>
      </c>
      <c r="M72" s="18" t="n">
        <v>0</v>
      </c>
      <c r="N72" s="20" t="n">
        <v>0</v>
      </c>
      <c r="O72" s="18" t="n">
        <v>0</v>
      </c>
      <c r="P72" s="20" t="n">
        <v>0</v>
      </c>
      <c r="Q72" s="18" t="n">
        <v>0.55472743</v>
      </c>
      <c r="R72" s="20" t="n">
        <v>0.39015815</v>
      </c>
    </row>
    <row r="73" spans="1:18">
      <c r="A73" s="15" t="s">
        <v>633</v>
      </c>
      <c r="B73" s="17" t="n">
        <v>2973</v>
      </c>
      <c r="C73" s="18">
        <f>(2661.0/B73*100)</f>
        <v/>
      </c>
      <c r="D73" s="19" t="n">
        <v>312</v>
      </c>
      <c r="E73" s="18" t="n">
        <v>35.61587915</v>
      </c>
      <c r="F73" s="20" t="n">
        <v>2.82062421</v>
      </c>
      <c r="G73" s="18" t="n">
        <v>63.33217677</v>
      </c>
      <c r="H73" s="20" t="n">
        <v>2.9419846</v>
      </c>
      <c r="I73" s="18" t="n">
        <v>0</v>
      </c>
      <c r="J73" s="20" t="n">
        <v>0</v>
      </c>
      <c r="K73" s="18" t="n">
        <v>1.05194408</v>
      </c>
      <c r="L73" s="20" t="n">
        <v>0.62033876</v>
      </c>
      <c r="M73" s="18" t="n">
        <v>0</v>
      </c>
      <c r="N73" s="20" t="n">
        <v>0</v>
      </c>
      <c r="O73" s="18" t="n">
        <v>0</v>
      </c>
      <c r="P73" s="20" t="n">
        <v>0</v>
      </c>
      <c r="Q73" s="18" t="n">
        <v>0</v>
      </c>
      <c r="R73" s="20" t="n">
        <v>0</v>
      </c>
    </row>
    <row r="74" spans="1:18">
      <c r="A74" s="15" t="s">
        <v>634</v>
      </c>
      <c r="B74" s="17" t="n">
        <v>3819</v>
      </c>
      <c r="C74" s="18">
        <f>(3410.0/B74*100)</f>
        <v/>
      </c>
      <c r="D74" s="19" t="n">
        <v>409</v>
      </c>
      <c r="E74" s="18" t="n">
        <v>37.17975799</v>
      </c>
      <c r="F74" s="20" t="n">
        <v>2.6878456</v>
      </c>
      <c r="G74" s="18" t="n">
        <v>61.80051028</v>
      </c>
      <c r="H74" s="20" t="n">
        <v>2.71707026</v>
      </c>
      <c r="I74" s="18" t="n">
        <v>0</v>
      </c>
      <c r="J74" s="20" t="n">
        <v>0</v>
      </c>
      <c r="K74" s="18" t="n">
        <v>0.40128939</v>
      </c>
      <c r="L74" s="20" t="n">
        <v>0.23266133</v>
      </c>
      <c r="M74" s="18" t="n">
        <v>0</v>
      </c>
      <c r="N74" s="20" t="n">
        <v>0</v>
      </c>
      <c r="O74" s="18" t="n">
        <v>0</v>
      </c>
      <c r="P74" s="20" t="n">
        <v>0</v>
      </c>
      <c r="Q74" s="18" t="n">
        <v>0.61844234</v>
      </c>
      <c r="R74" s="20" t="n">
        <v>0.37427146</v>
      </c>
    </row>
    <row r="75" spans="1:18">
      <c r="A75" s="15" t="s">
        <v>635</v>
      </c>
      <c r="B75" s="17" t="n">
        <v>4652</v>
      </c>
      <c r="C75" s="18">
        <f>(4178.0/B75*100)</f>
        <v/>
      </c>
      <c r="D75" s="19" t="n">
        <v>474</v>
      </c>
      <c r="E75" s="18" t="n">
        <v>61.73761704</v>
      </c>
      <c r="F75" s="20" t="n">
        <v>2.50898965</v>
      </c>
      <c r="G75" s="18" t="n">
        <v>36.69826512</v>
      </c>
      <c r="H75" s="20" t="n">
        <v>2.45195446</v>
      </c>
      <c r="I75" s="18" t="n">
        <v>0</v>
      </c>
      <c r="J75" s="20" t="n">
        <v>0</v>
      </c>
      <c r="K75" s="18" t="n">
        <v>1.20568445</v>
      </c>
      <c r="L75" s="20" t="n">
        <v>0.5724503399999999</v>
      </c>
      <c r="M75" s="18" t="n">
        <v>0</v>
      </c>
      <c r="N75" s="20" t="n">
        <v>0</v>
      </c>
      <c r="O75" s="18" t="n">
        <v>0</v>
      </c>
      <c r="P75" s="20" t="n">
        <v>0</v>
      </c>
      <c r="Q75" s="18" t="n">
        <v>0.35843338</v>
      </c>
      <c r="R75" s="20" t="n">
        <v>0.35760503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(2693.0/B77*100)</f>
        <v/>
      </c>
      <c r="D77" s="19" t="n">
        <v>276</v>
      </c>
      <c r="E77" s="18" t="n">
        <v>62.59911224</v>
      </c>
      <c r="F77" s="20" t="n">
        <v>2.99341423</v>
      </c>
      <c r="G77" s="18" t="n">
        <v>22.60097451</v>
      </c>
      <c r="H77" s="20" t="n">
        <v>2.59677931</v>
      </c>
      <c r="I77" s="18" t="n">
        <v>0</v>
      </c>
      <c r="J77" s="20" t="n">
        <v>0</v>
      </c>
      <c r="K77" s="18" t="n">
        <v>10.78887518</v>
      </c>
      <c r="L77" s="20" t="n">
        <v>1.66469672</v>
      </c>
      <c r="M77" s="18" t="n">
        <v>0</v>
      </c>
      <c r="N77" s="20" t="n">
        <v>0</v>
      </c>
      <c r="O77" s="18" t="n">
        <v>0</v>
      </c>
      <c r="P77" s="20" t="n">
        <v>0</v>
      </c>
      <c r="Q77" s="18" t="n">
        <v>4.01103807</v>
      </c>
      <c r="R77" s="20" t="n">
        <v>1.12620303</v>
      </c>
    </row>
    <row r="78" spans="1:18">
      <c r="A78" s="15" t="s">
        <v>638</v>
      </c>
      <c r="B78" s="17" t="n">
        <v>7115</v>
      </c>
      <c r="C78" s="18">
        <f>(6327.0/B78*100)</f>
        <v/>
      </c>
      <c r="D78" s="19" t="n">
        <v>788</v>
      </c>
      <c r="E78" s="18" t="n">
        <v>61.34043488</v>
      </c>
      <c r="F78" s="20" t="n">
        <v>2.51409541</v>
      </c>
      <c r="G78" s="18" t="n">
        <v>35.14962546</v>
      </c>
      <c r="H78" s="20" t="n">
        <v>2.23387413</v>
      </c>
      <c r="I78" s="18" t="n">
        <v>0</v>
      </c>
      <c r="J78" s="20" t="n">
        <v>0</v>
      </c>
      <c r="K78" s="18" t="n">
        <v>2.59763427</v>
      </c>
      <c r="L78" s="20" t="n">
        <v>0.87971609</v>
      </c>
      <c r="M78" s="18" t="n">
        <v>0</v>
      </c>
      <c r="N78" s="20" t="n">
        <v>0</v>
      </c>
      <c r="O78" s="18" t="n">
        <v>0</v>
      </c>
      <c r="P78" s="20" t="n">
        <v>0</v>
      </c>
      <c r="Q78" s="18" t="n">
        <v>0.9123054</v>
      </c>
      <c r="R78" s="20" t="n">
        <v>0.46866492</v>
      </c>
    </row>
    <row r="79" spans="1:18">
      <c r="A79" s="15" t="s">
        <v>639</v>
      </c>
      <c r="B79" s="17" t="n">
        <v>3154</v>
      </c>
      <c r="C79" s="18">
        <f>(2876.0/B79*100)</f>
        <v/>
      </c>
      <c r="D79" s="19" t="n">
        <v>278</v>
      </c>
      <c r="E79" s="18" t="n">
        <v>61.70462055</v>
      </c>
      <c r="F79" s="20" t="n">
        <v>2.54714694</v>
      </c>
      <c r="G79" s="18" t="n">
        <v>29.10016597</v>
      </c>
      <c r="H79" s="20" t="n">
        <v>2.41778521</v>
      </c>
      <c r="I79" s="18" t="n">
        <v>0</v>
      </c>
      <c r="J79" s="20" t="n">
        <v>0</v>
      </c>
      <c r="K79" s="18" t="n">
        <v>7.80440397</v>
      </c>
      <c r="L79" s="20" t="n">
        <v>1.60368688</v>
      </c>
      <c r="M79" s="18" t="n">
        <v>0</v>
      </c>
      <c r="N79" s="20" t="n">
        <v>0</v>
      </c>
      <c r="O79" s="18" t="n">
        <v>0</v>
      </c>
      <c r="P79" s="20" t="n">
        <v>0</v>
      </c>
      <c r="Q79" s="18" t="n">
        <v>1.39080951</v>
      </c>
      <c r="R79" s="20" t="n">
        <v>0.69664711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(14325.0/B82*100)</f>
        <v/>
      </c>
      <c r="D82" s="19" t="n">
        <v>1636</v>
      </c>
      <c r="E82" s="18" t="n">
        <v>56.12234539</v>
      </c>
      <c r="F82" s="20" t="n">
        <v>1.67051146</v>
      </c>
      <c r="G82" s="18" t="n">
        <v>40.18814506</v>
      </c>
      <c r="H82" s="20" t="n">
        <v>1.80557676</v>
      </c>
      <c r="I82" s="18" t="n">
        <v>0</v>
      </c>
      <c r="J82" s="20" t="n">
        <v>0</v>
      </c>
      <c r="K82" s="18" t="n">
        <v>3.38014216</v>
      </c>
      <c r="L82" s="20" t="n">
        <v>0.75735983</v>
      </c>
      <c r="M82" s="18" t="n">
        <v>0</v>
      </c>
      <c r="N82" s="20" t="n">
        <v>0</v>
      </c>
      <c r="O82" s="18" t="n">
        <v>0</v>
      </c>
      <c r="P82" s="20" t="n">
        <v>0</v>
      </c>
      <c r="Q82" s="18" t="n">
        <v>0.3093674</v>
      </c>
      <c r="R82" s="20" t="n">
        <v>0.1644741</v>
      </c>
    </row>
    <row r="83" spans="1:18">
      <c r="A83" s="15" t="s">
        <v>643</v>
      </c>
      <c r="B83" s="17" t="n">
        <v>808</v>
      </c>
      <c r="C83" s="18">
        <f>(727.0/B83*100)</f>
        <v/>
      </c>
      <c r="D83" s="19" t="n">
        <v>81</v>
      </c>
      <c r="E83" s="18" t="n">
        <v>40.35782321</v>
      </c>
      <c r="F83" s="20" t="n">
        <v>7.17373036</v>
      </c>
      <c r="G83" s="18" t="n">
        <v>58.30301545</v>
      </c>
      <c r="H83" s="20" t="n">
        <v>6.78157042</v>
      </c>
      <c r="I83" s="18" t="n">
        <v>0</v>
      </c>
      <c r="J83" s="20" t="n">
        <v>0</v>
      </c>
      <c r="K83" s="18" t="n">
        <v>0</v>
      </c>
      <c r="L83" s="20" t="n">
        <v>0</v>
      </c>
      <c r="M83" s="18" t="n">
        <v>0</v>
      </c>
      <c r="N83" s="20" t="n">
        <v>0</v>
      </c>
      <c r="O83" s="18" t="n">
        <v>0</v>
      </c>
      <c r="P83" s="20" t="n">
        <v>0</v>
      </c>
      <c r="Q83" s="18" t="n">
        <v>1.33916133</v>
      </c>
      <c r="R83" s="20" t="n">
        <v>1.3897404</v>
      </c>
    </row>
    <row r="84" spans="1:18">
      <c r="A84" s="23" t="s">
        <v>644</v>
      </c>
      <c r="B84" s="24" t="n">
        <v>938</v>
      </c>
      <c r="C84" s="25">
        <f>(842.0/B84*100)</f>
        <v/>
      </c>
      <c r="D84" s="19" t="n">
        <v>96</v>
      </c>
      <c r="E84" s="18" t="n">
        <v>46.02962099</v>
      </c>
      <c r="F84" s="20" t="n">
        <v>5.69183492</v>
      </c>
      <c r="G84" s="18" t="n">
        <v>52.54891533</v>
      </c>
      <c r="H84" s="20" t="n">
        <v>5.77202163</v>
      </c>
      <c r="I84" s="18" t="n">
        <v>0</v>
      </c>
      <c r="J84" s="20" t="n">
        <v>0</v>
      </c>
      <c r="K84" s="18" t="n">
        <v>1.42146368</v>
      </c>
      <c r="L84" s="20" t="n">
        <v>1.38955976</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(6433.0/B7*100)</f>
        <v/>
      </c>
      <c r="D7" s="19" t="n">
        <v>730</v>
      </c>
      <c r="E7" s="18" t="n">
        <v>68.86277066</v>
      </c>
      <c r="F7" s="20" t="n">
        <v>2.07913138</v>
      </c>
      <c r="G7" s="18" t="n">
        <v>18.19444172</v>
      </c>
      <c r="H7" s="20" t="n">
        <v>1.57000261</v>
      </c>
      <c r="I7" s="18" t="n">
        <v>0</v>
      </c>
      <c r="J7" s="20" t="n">
        <v>0</v>
      </c>
      <c r="K7" s="18" t="n">
        <v>12.94278762</v>
      </c>
      <c r="L7" s="20" t="n">
        <v>1.56573112</v>
      </c>
      <c r="M7" s="18" t="n">
        <v>0</v>
      </c>
      <c r="N7" s="20" t="n">
        <v>0</v>
      </c>
      <c r="O7" s="18" t="n">
        <v>0</v>
      </c>
      <c r="P7" s="20" t="n">
        <v>0</v>
      </c>
      <c r="Q7" s="18" t="n">
        <v>0</v>
      </c>
      <c r="R7" s="20" t="n">
        <v>0</v>
      </c>
    </row>
    <row r="8" spans="1:18">
      <c r="A8" s="15" t="s">
        <v>566</v>
      </c>
      <c r="B8" s="17" t="n">
        <v>3443</v>
      </c>
      <c r="C8" s="18">
        <f>(3070.0/B8*100)</f>
        <v/>
      </c>
      <c r="D8" s="19" t="n">
        <v>373</v>
      </c>
      <c r="E8" s="18" t="n">
        <v>44.08219244</v>
      </c>
      <c r="F8" s="20" t="n">
        <v>3.21053077</v>
      </c>
      <c r="G8" s="18" t="n">
        <v>35.22685103</v>
      </c>
      <c r="H8" s="20" t="n">
        <v>2.60694551</v>
      </c>
      <c r="I8" s="18" t="n">
        <v>0</v>
      </c>
      <c r="J8" s="20" t="n">
        <v>0</v>
      </c>
      <c r="K8" s="18" t="n">
        <v>20.69095653</v>
      </c>
      <c r="L8" s="20" t="n">
        <v>2.91859411</v>
      </c>
      <c r="M8" s="18" t="n">
        <v>0</v>
      </c>
      <c r="N8" s="20" t="n">
        <v>0</v>
      </c>
      <c r="O8" s="18" t="n">
        <v>0</v>
      </c>
      <c r="P8" s="20" t="n">
        <v>0</v>
      </c>
      <c r="Q8" s="18" t="n">
        <v>0</v>
      </c>
      <c r="R8" s="20" t="n">
        <v>0</v>
      </c>
    </row>
    <row r="9" spans="1:18">
      <c r="A9" s="15" t="s">
        <v>567</v>
      </c>
      <c r="B9" s="17" t="n">
        <v>4752</v>
      </c>
      <c r="C9" s="18">
        <f>(4296.0/B9*100)</f>
        <v/>
      </c>
      <c r="D9" s="19" t="n">
        <v>456</v>
      </c>
      <c r="E9" s="18" t="n">
        <v>57.87831557</v>
      </c>
      <c r="F9" s="20" t="n">
        <v>2.0234876</v>
      </c>
      <c r="G9" s="18" t="n">
        <v>29.26054461</v>
      </c>
      <c r="H9" s="20" t="n">
        <v>1.93459175</v>
      </c>
      <c r="I9" s="18" t="n">
        <v>0</v>
      </c>
      <c r="J9" s="20" t="n">
        <v>0</v>
      </c>
      <c r="K9" s="18" t="n">
        <v>12.86113982</v>
      </c>
      <c r="L9" s="20" t="n">
        <v>1.57939803</v>
      </c>
      <c r="M9" s="18" t="n">
        <v>0</v>
      </c>
      <c r="N9" s="20" t="n">
        <v>0</v>
      </c>
      <c r="O9" s="18" t="n">
        <v>0</v>
      </c>
      <c r="P9" s="20" t="n">
        <v>0</v>
      </c>
      <c r="Q9" s="18" t="n">
        <v>0</v>
      </c>
      <c r="R9" s="20" t="n">
        <v>0</v>
      </c>
    </row>
    <row r="10" spans="1:18">
      <c r="A10" s="15" t="s">
        <v>568</v>
      </c>
      <c r="B10" s="17" t="n">
        <v>10022</v>
      </c>
      <c r="C10" s="18">
        <f>(8921.0/B10*100)</f>
        <v/>
      </c>
      <c r="D10" s="19" t="n">
        <v>1101</v>
      </c>
      <c r="E10" s="18" t="n">
        <v>59.54205507</v>
      </c>
      <c r="F10" s="20" t="n">
        <v>2.01905936</v>
      </c>
      <c r="G10" s="18" t="n">
        <v>33.77056423</v>
      </c>
      <c r="H10" s="20" t="n">
        <v>2.02250129</v>
      </c>
      <c r="I10" s="18" t="n">
        <v>0</v>
      </c>
      <c r="J10" s="20" t="n">
        <v>0</v>
      </c>
      <c r="K10" s="18" t="n">
        <v>6.68738069</v>
      </c>
      <c r="L10" s="20" t="n">
        <v>1.00355638</v>
      </c>
      <c r="M10" s="18" t="n">
        <v>0</v>
      </c>
      <c r="N10" s="20" t="n">
        <v>0</v>
      </c>
      <c r="O10" s="18" t="n">
        <v>0</v>
      </c>
      <c r="P10" s="20" t="n">
        <v>0</v>
      </c>
      <c r="Q10" s="18" t="n">
        <v>0</v>
      </c>
      <c r="R10" s="20" t="n">
        <v>0</v>
      </c>
    </row>
    <row r="11" spans="1:18">
      <c r="A11" s="15" t="s">
        <v>569</v>
      </c>
      <c r="B11" s="17" t="n">
        <v>3500</v>
      </c>
      <c r="C11" s="18">
        <f>(3169.0/B11*100)</f>
        <v/>
      </c>
      <c r="D11" s="19" t="n">
        <v>331</v>
      </c>
      <c r="E11" s="18" t="n">
        <v>63.54104766</v>
      </c>
      <c r="F11" s="20" t="n">
        <v>2.7321982</v>
      </c>
      <c r="G11" s="18" t="n">
        <v>19.2443187</v>
      </c>
      <c r="H11" s="20" t="n">
        <v>2.24796547</v>
      </c>
      <c r="I11" s="18" t="n">
        <v>0</v>
      </c>
      <c r="J11" s="20" t="n">
        <v>0</v>
      </c>
      <c r="K11" s="18" t="n">
        <v>17.21463364</v>
      </c>
      <c r="L11" s="20" t="n">
        <v>2.29487264</v>
      </c>
      <c r="M11" s="18" t="n">
        <v>0</v>
      </c>
      <c r="N11" s="20" t="n">
        <v>0</v>
      </c>
      <c r="O11" s="18" t="n">
        <v>0</v>
      </c>
      <c r="P11" s="20" t="n">
        <v>0</v>
      </c>
      <c r="Q11" s="18" t="n">
        <v>0</v>
      </c>
      <c r="R11" s="20" t="n">
        <v>0</v>
      </c>
    </row>
    <row r="12" spans="1:18">
      <c r="A12" s="15" t="s">
        <v>570</v>
      </c>
      <c r="B12" s="17" t="n">
        <v>3422</v>
      </c>
      <c r="C12" s="18">
        <f>(3071.0/B12*100)</f>
        <v/>
      </c>
      <c r="D12" s="19" t="n">
        <v>351</v>
      </c>
      <c r="E12" s="18" t="n">
        <v>60.80499657</v>
      </c>
      <c r="F12" s="20" t="n">
        <v>2.85530294</v>
      </c>
      <c r="G12" s="18" t="n">
        <v>20.24672298</v>
      </c>
      <c r="H12" s="20" t="n">
        <v>2.28607175</v>
      </c>
      <c r="I12" s="18" t="n">
        <v>0</v>
      </c>
      <c r="J12" s="20" t="n">
        <v>0</v>
      </c>
      <c r="K12" s="18" t="n">
        <v>18.94828045</v>
      </c>
      <c r="L12" s="20" t="n">
        <v>2.36889064</v>
      </c>
      <c r="M12" s="18" t="n">
        <v>0</v>
      </c>
      <c r="N12" s="20" t="n">
        <v>0</v>
      </c>
      <c r="O12" s="18" t="n">
        <v>0</v>
      </c>
      <c r="P12" s="20" t="n">
        <v>0</v>
      </c>
      <c r="Q12" s="18" t="n">
        <v>0</v>
      </c>
      <c r="R12" s="20" t="n">
        <v>0</v>
      </c>
    </row>
    <row r="13" spans="1:18">
      <c r="A13" s="15" t="s">
        <v>571</v>
      </c>
      <c r="B13" s="17" t="n">
        <v>3602</v>
      </c>
      <c r="C13" s="18">
        <f>(3216.0/B13*100)</f>
        <v/>
      </c>
      <c r="D13" s="19" t="n">
        <v>386</v>
      </c>
      <c r="E13" s="18" t="n">
        <v>66.3524006</v>
      </c>
      <c r="F13" s="20" t="n">
        <v>2.77318588</v>
      </c>
      <c r="G13" s="18" t="n">
        <v>19.82217431</v>
      </c>
      <c r="H13" s="20" t="n">
        <v>2.12361435</v>
      </c>
      <c r="I13" s="18" t="n">
        <v>0</v>
      </c>
      <c r="J13" s="20" t="n">
        <v>0</v>
      </c>
      <c r="K13" s="18" t="n">
        <v>13.8254251</v>
      </c>
      <c r="L13" s="20" t="n">
        <v>2.08496991</v>
      </c>
      <c r="M13" s="18" t="n">
        <v>0</v>
      </c>
      <c r="N13" s="20" t="n">
        <v>0</v>
      </c>
      <c r="O13" s="18" t="n">
        <v>0</v>
      </c>
      <c r="P13" s="20" t="n">
        <v>0</v>
      </c>
      <c r="Q13" s="18" t="n">
        <v>0</v>
      </c>
      <c r="R13" s="20" t="n">
        <v>0</v>
      </c>
    </row>
    <row r="14" spans="1:18">
      <c r="A14" s="15" t="s">
        <v>572</v>
      </c>
      <c r="B14" s="17" t="n">
        <v>2788</v>
      </c>
      <c r="C14" s="18">
        <f>(2482.0/B14*100)</f>
        <v/>
      </c>
      <c r="D14" s="19" t="n">
        <v>306</v>
      </c>
      <c r="E14" s="18" t="n">
        <v>52.35865177</v>
      </c>
      <c r="F14" s="20" t="n">
        <v>3.20287787</v>
      </c>
      <c r="G14" s="18" t="n">
        <v>41.76079114</v>
      </c>
      <c r="H14" s="20" t="n">
        <v>3.06895362</v>
      </c>
      <c r="I14" s="18" t="n">
        <v>0</v>
      </c>
      <c r="J14" s="20" t="n">
        <v>0</v>
      </c>
      <c r="K14" s="18" t="n">
        <v>5.88055708</v>
      </c>
      <c r="L14" s="20" t="n">
        <v>1.36100279</v>
      </c>
      <c r="M14" s="18" t="n">
        <v>0</v>
      </c>
      <c r="N14" s="20" t="n">
        <v>0</v>
      </c>
      <c r="O14" s="18" t="n">
        <v>0</v>
      </c>
      <c r="P14" s="20" t="n">
        <v>0</v>
      </c>
      <c r="Q14" s="18" t="n">
        <v>0</v>
      </c>
      <c r="R14" s="20" t="n">
        <v>0</v>
      </c>
    </row>
    <row r="15" spans="1:18">
      <c r="A15" s="15" t="s">
        <v>573</v>
      </c>
      <c r="B15" s="17" t="n">
        <v>2863</v>
      </c>
      <c r="C15" s="18">
        <f>(2569.0/B15*100)</f>
        <v/>
      </c>
      <c r="D15" s="19" t="n">
        <v>294</v>
      </c>
      <c r="E15" s="18" t="n">
        <v>43.67424273</v>
      </c>
      <c r="F15" s="20" t="n">
        <v>2.92279484</v>
      </c>
      <c r="G15" s="18" t="n">
        <v>50.47403541</v>
      </c>
      <c r="H15" s="20" t="n">
        <v>2.98156859</v>
      </c>
      <c r="I15" s="18" t="n">
        <v>0</v>
      </c>
      <c r="J15" s="20" t="n">
        <v>0</v>
      </c>
      <c r="K15" s="18" t="n">
        <v>5.85172186</v>
      </c>
      <c r="L15" s="20" t="n">
        <v>1.60027919</v>
      </c>
      <c r="M15" s="18" t="n">
        <v>0</v>
      </c>
      <c r="N15" s="20" t="n">
        <v>0</v>
      </c>
      <c r="O15" s="18" t="n">
        <v>0</v>
      </c>
      <c r="P15" s="20" t="n">
        <v>0</v>
      </c>
      <c r="Q15" s="18" t="n">
        <v>0</v>
      </c>
      <c r="R15" s="20" t="n">
        <v>0</v>
      </c>
    </row>
    <row r="16" spans="1:18">
      <c r="A16" s="15" t="s">
        <v>574</v>
      </c>
      <c r="B16" s="17" t="n">
        <v>3111</v>
      </c>
      <c r="C16" s="18">
        <f>(2799.0/B16*100)</f>
        <v/>
      </c>
      <c r="D16" s="19" t="n">
        <v>312</v>
      </c>
      <c r="E16" s="18" t="n">
        <v>51.04052532</v>
      </c>
      <c r="F16" s="20" t="n">
        <v>2.79231033</v>
      </c>
      <c r="G16" s="18" t="n">
        <v>31.31442535</v>
      </c>
      <c r="H16" s="20" t="n">
        <v>2.50574683</v>
      </c>
      <c r="I16" s="18" t="n">
        <v>0</v>
      </c>
      <c r="J16" s="20" t="n">
        <v>0</v>
      </c>
      <c r="K16" s="18" t="n">
        <v>17.64504932</v>
      </c>
      <c r="L16" s="20" t="n">
        <v>2.25872844</v>
      </c>
      <c r="M16" s="18" t="n">
        <v>0</v>
      </c>
      <c r="N16" s="20" t="n">
        <v>0</v>
      </c>
      <c r="O16" s="18" t="n">
        <v>0</v>
      </c>
      <c r="P16" s="20" t="n">
        <v>0</v>
      </c>
      <c r="Q16" s="18" t="n">
        <v>0</v>
      </c>
      <c r="R16" s="20" t="n">
        <v>0</v>
      </c>
    </row>
    <row r="17" spans="1:18">
      <c r="A17" s="15" t="s">
        <v>575</v>
      </c>
      <c r="B17" s="17" t="n">
        <v>3197</v>
      </c>
      <c r="C17" s="18">
        <f>(2868.0/B17*100)</f>
        <v/>
      </c>
      <c r="D17" s="19" t="n">
        <v>329</v>
      </c>
      <c r="E17" s="18" t="n">
        <v>46.19739488</v>
      </c>
      <c r="F17" s="20" t="n">
        <v>2.88517924</v>
      </c>
      <c r="G17" s="18" t="n">
        <v>38.59612641</v>
      </c>
      <c r="H17" s="20" t="n">
        <v>2.38085784</v>
      </c>
      <c r="I17" s="18" t="n">
        <v>0</v>
      </c>
      <c r="J17" s="20" t="n">
        <v>0</v>
      </c>
      <c r="K17" s="18" t="n">
        <v>15.2064787</v>
      </c>
      <c r="L17" s="20" t="n">
        <v>2.19225051</v>
      </c>
      <c r="M17" s="18" t="n">
        <v>0</v>
      </c>
      <c r="N17" s="20" t="n">
        <v>0</v>
      </c>
      <c r="O17" s="18" t="n">
        <v>0</v>
      </c>
      <c r="P17" s="20" t="n">
        <v>0</v>
      </c>
      <c r="Q17" s="18" t="n">
        <v>0</v>
      </c>
      <c r="R17" s="20" t="n">
        <v>0</v>
      </c>
    </row>
    <row r="18" spans="1:18">
      <c r="A18" s="15" t="s">
        <v>576</v>
      </c>
      <c r="B18" s="17" t="n">
        <v>2706</v>
      </c>
      <c r="C18" s="18">
        <f>(2428.0/B18*100)</f>
        <v/>
      </c>
      <c r="D18" s="19" t="n">
        <v>278</v>
      </c>
      <c r="E18" s="18" t="n">
        <v>53.5083079</v>
      </c>
      <c r="F18" s="20" t="n">
        <v>3.1233576</v>
      </c>
      <c r="G18" s="18" t="n">
        <v>31.16944598</v>
      </c>
      <c r="H18" s="20" t="n">
        <v>2.79529122</v>
      </c>
      <c r="I18" s="18" t="n">
        <v>0</v>
      </c>
      <c r="J18" s="20" t="n">
        <v>0</v>
      </c>
      <c r="K18" s="18" t="n">
        <v>15.32224612</v>
      </c>
      <c r="L18" s="20" t="n">
        <v>2.76796728</v>
      </c>
      <c r="M18" s="18" t="n">
        <v>0</v>
      </c>
      <c r="N18" s="20" t="n">
        <v>0</v>
      </c>
      <c r="O18" s="18" t="n">
        <v>0</v>
      </c>
      <c r="P18" s="20" t="n">
        <v>0</v>
      </c>
      <c r="Q18" s="18" t="n">
        <v>0</v>
      </c>
      <c r="R18" s="20" t="n">
        <v>0</v>
      </c>
    </row>
    <row r="19" spans="1:18">
      <c r="A19" s="15" t="s">
        <v>577</v>
      </c>
      <c r="B19" s="17" t="n">
        <v>2850</v>
      </c>
      <c r="C19" s="18">
        <f>(2564.0/B19*100)</f>
        <v/>
      </c>
      <c r="D19" s="19" t="n">
        <v>286</v>
      </c>
      <c r="E19" s="18" t="n">
        <v>50.95662208</v>
      </c>
      <c r="F19" s="20" t="n">
        <v>2.47856665</v>
      </c>
      <c r="G19" s="18" t="n">
        <v>32.70707996</v>
      </c>
      <c r="H19" s="20" t="n">
        <v>3.02943947</v>
      </c>
      <c r="I19" s="18" t="n">
        <v>0</v>
      </c>
      <c r="J19" s="20" t="n">
        <v>0</v>
      </c>
      <c r="K19" s="18" t="n">
        <v>16.33629796</v>
      </c>
      <c r="L19" s="20" t="n">
        <v>2.32238888</v>
      </c>
      <c r="M19" s="18" t="n">
        <v>0</v>
      </c>
      <c r="N19" s="20" t="n">
        <v>0</v>
      </c>
      <c r="O19" s="18" t="n">
        <v>0</v>
      </c>
      <c r="P19" s="20" t="n">
        <v>0</v>
      </c>
      <c r="Q19" s="18" t="n">
        <v>0</v>
      </c>
      <c r="R19" s="20" t="n">
        <v>0</v>
      </c>
    </row>
    <row r="20" spans="1:18">
      <c r="A20" s="15" t="s">
        <v>578</v>
      </c>
      <c r="B20" s="17" t="n">
        <v>1741</v>
      </c>
      <c r="C20" s="18">
        <f>(1533.0/B20*100)</f>
        <v/>
      </c>
      <c r="D20" s="19" t="n">
        <v>208</v>
      </c>
      <c r="E20" s="18" t="n">
        <v>65.85540537</v>
      </c>
      <c r="F20" s="20" t="n">
        <v>3.26972341</v>
      </c>
      <c r="G20" s="18" t="n">
        <v>16.74341649</v>
      </c>
      <c r="H20" s="20" t="n">
        <v>2.73956236</v>
      </c>
      <c r="I20" s="18" t="n">
        <v>0</v>
      </c>
      <c r="J20" s="20" t="n">
        <v>0</v>
      </c>
      <c r="K20" s="18" t="n">
        <v>17.40117813</v>
      </c>
      <c r="L20" s="20" t="n">
        <v>2.39198619</v>
      </c>
      <c r="M20" s="18" t="n">
        <v>0</v>
      </c>
      <c r="N20" s="20" t="n">
        <v>0</v>
      </c>
      <c r="O20" s="18" t="n">
        <v>0</v>
      </c>
      <c r="P20" s="20" t="n">
        <v>0</v>
      </c>
      <c r="Q20" s="18" t="n">
        <v>0</v>
      </c>
      <c r="R20" s="20" t="n">
        <v>0</v>
      </c>
    </row>
    <row r="21" spans="1:18">
      <c r="A21" s="15" t="s">
        <v>579</v>
      </c>
      <c r="B21" s="17" t="n">
        <v>2833</v>
      </c>
      <c r="C21" s="18">
        <f>(2538.0/B21*100)</f>
        <v/>
      </c>
      <c r="D21" s="19" t="n">
        <v>295</v>
      </c>
      <c r="E21" s="18" t="n">
        <v>77.27323130000001</v>
      </c>
      <c r="F21" s="20" t="n">
        <v>2.49551627</v>
      </c>
      <c r="G21" s="18" t="n">
        <v>19.54108168</v>
      </c>
      <c r="H21" s="20" t="n">
        <v>2.42099854</v>
      </c>
      <c r="I21" s="18" t="n">
        <v>0</v>
      </c>
      <c r="J21" s="20" t="n">
        <v>0</v>
      </c>
      <c r="K21" s="18" t="n">
        <v>3.18568703</v>
      </c>
      <c r="L21" s="20" t="n">
        <v>0.85260968</v>
      </c>
      <c r="M21" s="18" t="n">
        <v>0</v>
      </c>
      <c r="N21" s="20" t="n">
        <v>0</v>
      </c>
      <c r="O21" s="18" t="n">
        <v>0</v>
      </c>
      <c r="P21" s="20" t="n">
        <v>0</v>
      </c>
      <c r="Q21" s="18" t="n">
        <v>0</v>
      </c>
      <c r="R21" s="20" t="n">
        <v>0</v>
      </c>
    </row>
    <row r="22" spans="1:18">
      <c r="A22" s="15" t="s">
        <v>580</v>
      </c>
      <c r="B22" s="17" t="n">
        <v>3667</v>
      </c>
      <c r="C22" s="18">
        <f>(3326.0/B22*100)</f>
        <v/>
      </c>
      <c r="D22" s="19" t="n">
        <v>341</v>
      </c>
      <c r="E22" s="18" t="n">
        <v>42.88507585</v>
      </c>
      <c r="F22" s="20" t="n">
        <v>3.20741934</v>
      </c>
      <c r="G22" s="18" t="n">
        <v>38.69169462</v>
      </c>
      <c r="H22" s="20" t="n">
        <v>3.16617616</v>
      </c>
      <c r="I22" s="18" t="n">
        <v>0</v>
      </c>
      <c r="J22" s="20" t="n">
        <v>0</v>
      </c>
      <c r="K22" s="18" t="n">
        <v>18.42322953</v>
      </c>
      <c r="L22" s="20" t="n">
        <v>2.19169314</v>
      </c>
      <c r="M22" s="18" t="n">
        <v>0</v>
      </c>
      <c r="N22" s="20" t="n">
        <v>0</v>
      </c>
      <c r="O22" s="18" t="n">
        <v>0</v>
      </c>
      <c r="P22" s="20" t="n">
        <v>0</v>
      </c>
      <c r="Q22" s="18" t="n">
        <v>0</v>
      </c>
      <c r="R22" s="20" t="n">
        <v>0</v>
      </c>
    </row>
    <row r="23" spans="1:18">
      <c r="A23" s="15" t="s">
        <v>581</v>
      </c>
      <c r="B23" s="17" t="n">
        <v>5792</v>
      </c>
      <c r="C23" s="18">
        <f>(5180.0/B23*100)</f>
        <v/>
      </c>
      <c r="D23" s="19" t="n">
        <v>612</v>
      </c>
      <c r="E23" s="18" t="n">
        <v>57.80166428</v>
      </c>
      <c r="F23" s="20" t="n">
        <v>2.52677605</v>
      </c>
      <c r="G23" s="18" t="n">
        <v>20.91205501</v>
      </c>
      <c r="H23" s="20" t="n">
        <v>2.30392254</v>
      </c>
      <c r="I23" s="18" t="n">
        <v>0</v>
      </c>
      <c r="J23" s="20" t="n">
        <v>0</v>
      </c>
      <c r="K23" s="18" t="n">
        <v>21.28628071</v>
      </c>
      <c r="L23" s="20" t="n">
        <v>2.71507746</v>
      </c>
      <c r="M23" s="18" t="n">
        <v>0</v>
      </c>
      <c r="N23" s="20" t="n">
        <v>0</v>
      </c>
      <c r="O23" s="18" t="n">
        <v>0</v>
      </c>
      <c r="P23" s="20" t="n">
        <v>0</v>
      </c>
      <c r="Q23" s="18" t="n">
        <v>0</v>
      </c>
      <c r="R23" s="20" t="n">
        <v>0</v>
      </c>
    </row>
    <row r="24" spans="1:18">
      <c r="A24" s="15" t="s">
        <v>582</v>
      </c>
      <c r="B24" s="17" t="n">
        <v>3309</v>
      </c>
      <c r="C24" s="18">
        <f>(2973.0/B24*100)</f>
        <v/>
      </c>
      <c r="D24" s="19" t="n">
        <v>336</v>
      </c>
      <c r="E24" s="18" t="n">
        <v>67.85465103</v>
      </c>
      <c r="F24" s="20" t="n">
        <v>2.15029569</v>
      </c>
      <c r="G24" s="18" t="n">
        <v>20.88003663</v>
      </c>
      <c r="H24" s="20" t="n">
        <v>2.09853305</v>
      </c>
      <c r="I24" s="18" t="n">
        <v>0</v>
      </c>
      <c r="J24" s="20" t="n">
        <v>0</v>
      </c>
      <c r="K24" s="18" t="n">
        <v>11.26531234</v>
      </c>
      <c r="L24" s="20" t="n">
        <v>1.57710103</v>
      </c>
      <c r="M24" s="18" t="n">
        <v>0</v>
      </c>
      <c r="N24" s="20" t="n">
        <v>0</v>
      </c>
      <c r="O24" s="18" t="n">
        <v>0</v>
      </c>
      <c r="P24" s="20" t="n">
        <v>0</v>
      </c>
      <c r="Q24" s="18" t="n">
        <v>0</v>
      </c>
      <c r="R24" s="20" t="n">
        <v>0</v>
      </c>
    </row>
    <row r="25" spans="1:18">
      <c r="A25" s="15" t="s">
        <v>583</v>
      </c>
      <c r="B25" s="17" t="n">
        <v>2669</v>
      </c>
      <c r="C25" s="18">
        <f>(2362.0/B25*100)</f>
        <v/>
      </c>
      <c r="D25" s="19" t="n">
        <v>307</v>
      </c>
      <c r="E25" s="18" t="n">
        <v>70.43059337</v>
      </c>
      <c r="F25" s="20" t="n">
        <v>2.99952979</v>
      </c>
      <c r="G25" s="18" t="n">
        <v>18.89111855</v>
      </c>
      <c r="H25" s="20" t="n">
        <v>2.43982266</v>
      </c>
      <c r="I25" s="18" t="n">
        <v>0</v>
      </c>
      <c r="J25" s="20" t="n">
        <v>0</v>
      </c>
      <c r="K25" s="18" t="n">
        <v>10.67828808</v>
      </c>
      <c r="L25" s="20" t="n">
        <v>2.0801697</v>
      </c>
      <c r="M25" s="18" t="n">
        <v>0</v>
      </c>
      <c r="N25" s="20" t="n">
        <v>0</v>
      </c>
      <c r="O25" s="18" t="n">
        <v>0</v>
      </c>
      <c r="P25" s="20" t="n">
        <v>0</v>
      </c>
      <c r="Q25" s="18" t="n">
        <v>0</v>
      </c>
      <c r="R25" s="20" t="n">
        <v>0</v>
      </c>
    </row>
    <row r="26" spans="1:18">
      <c r="A26" s="15" t="s">
        <v>584</v>
      </c>
      <c r="B26" s="17" t="n">
        <v>2419</v>
      </c>
      <c r="C26" s="18">
        <f>(2165.0/B26*100)</f>
        <v/>
      </c>
      <c r="D26" s="19" t="n">
        <v>254</v>
      </c>
      <c r="E26" s="18" t="n">
        <v>67.29687708</v>
      </c>
      <c r="F26" s="20" t="n">
        <v>3.20700175</v>
      </c>
      <c r="G26" s="18" t="n">
        <v>28.62697129</v>
      </c>
      <c r="H26" s="20" t="n">
        <v>3.27980825</v>
      </c>
      <c r="I26" s="18" t="n">
        <v>0</v>
      </c>
      <c r="J26" s="20" t="n">
        <v>0</v>
      </c>
      <c r="K26" s="18" t="n">
        <v>4.07615164</v>
      </c>
      <c r="L26" s="20" t="n">
        <v>1.25626335</v>
      </c>
      <c r="M26" s="18" t="n">
        <v>0</v>
      </c>
      <c r="N26" s="20" t="n">
        <v>0</v>
      </c>
      <c r="O26" s="18" t="n">
        <v>0</v>
      </c>
      <c r="P26" s="20" t="n">
        <v>0</v>
      </c>
      <c r="Q26" s="18" t="n">
        <v>0</v>
      </c>
      <c r="R26" s="20" t="n">
        <v>0</v>
      </c>
    </row>
    <row r="27" spans="1:18">
      <c r="A27" s="15" t="s">
        <v>585</v>
      </c>
      <c r="B27" s="17" t="n">
        <v>2683</v>
      </c>
      <c r="C27" s="18">
        <f>(2409.0/B27*100)</f>
        <v/>
      </c>
      <c r="D27" s="19" t="n">
        <v>274</v>
      </c>
      <c r="E27" s="18" t="n">
        <v>54.30106001</v>
      </c>
      <c r="F27" s="20" t="n">
        <v>3.29522094</v>
      </c>
      <c r="G27" s="18" t="n">
        <v>29.52981125</v>
      </c>
      <c r="H27" s="20" t="n">
        <v>2.98021288</v>
      </c>
      <c r="I27" s="18" t="n">
        <v>0</v>
      </c>
      <c r="J27" s="20" t="n">
        <v>0</v>
      </c>
      <c r="K27" s="18" t="n">
        <v>16.16912874</v>
      </c>
      <c r="L27" s="20" t="n">
        <v>2.37177054</v>
      </c>
      <c r="M27" s="18" t="n">
        <v>0</v>
      </c>
      <c r="N27" s="20" t="n">
        <v>0</v>
      </c>
      <c r="O27" s="18" t="n">
        <v>0</v>
      </c>
      <c r="P27" s="20" t="n">
        <v>0</v>
      </c>
      <c r="Q27" s="18" t="n">
        <v>0</v>
      </c>
      <c r="R27" s="20" t="n">
        <v>0</v>
      </c>
    </row>
    <row r="28" spans="1:18">
      <c r="A28" s="15" t="s">
        <v>586</v>
      </c>
      <c r="B28" s="17" t="n">
        <v>3803</v>
      </c>
      <c r="C28" s="18">
        <f>(3478.0/B28*100)</f>
        <v/>
      </c>
      <c r="D28" s="19" t="n">
        <v>325</v>
      </c>
      <c r="E28" s="18" t="n">
        <v>81.90925463000001</v>
      </c>
      <c r="F28" s="20" t="n">
        <v>2.4891601</v>
      </c>
      <c r="G28" s="18" t="n">
        <v>11.02059767</v>
      </c>
      <c r="H28" s="20" t="n">
        <v>1.89759087</v>
      </c>
      <c r="I28" s="18" t="n">
        <v>0</v>
      </c>
      <c r="J28" s="20" t="n">
        <v>0</v>
      </c>
      <c r="K28" s="18" t="n">
        <v>7.0701477</v>
      </c>
      <c r="L28" s="20" t="n">
        <v>1.52368167</v>
      </c>
      <c r="M28" s="18" t="n">
        <v>0</v>
      </c>
      <c r="N28" s="20" t="n">
        <v>0</v>
      </c>
      <c r="O28" s="18" t="n">
        <v>0</v>
      </c>
      <c r="P28" s="20" t="n">
        <v>0</v>
      </c>
      <c r="Q28" s="18" t="n">
        <v>0</v>
      </c>
      <c r="R28" s="20" t="n">
        <v>0</v>
      </c>
    </row>
    <row r="29" spans="1:18">
      <c r="A29" s="15" t="s">
        <v>587</v>
      </c>
      <c r="B29" s="17" t="n">
        <v>2700</v>
      </c>
      <c r="C29" s="18">
        <f>(2408.0/B29*100)</f>
        <v/>
      </c>
      <c r="D29" s="19" t="n">
        <v>292</v>
      </c>
      <c r="E29" s="18" t="n">
        <v>66.99947747</v>
      </c>
      <c r="F29" s="20" t="n">
        <v>3.25783644</v>
      </c>
      <c r="G29" s="18" t="n">
        <v>26.35781768</v>
      </c>
      <c r="H29" s="20" t="n">
        <v>3.21275605</v>
      </c>
      <c r="I29" s="18" t="n">
        <v>0</v>
      </c>
      <c r="J29" s="20" t="n">
        <v>0</v>
      </c>
      <c r="K29" s="18" t="n">
        <v>6.64270485</v>
      </c>
      <c r="L29" s="20" t="n">
        <v>1.40624623</v>
      </c>
      <c r="M29" s="18" t="n">
        <v>0</v>
      </c>
      <c r="N29" s="20" t="n">
        <v>0</v>
      </c>
      <c r="O29" s="18" t="n">
        <v>0</v>
      </c>
      <c r="P29" s="20" t="n">
        <v>0</v>
      </c>
      <c r="Q29" s="18" t="n">
        <v>0</v>
      </c>
      <c r="R29" s="20" t="n">
        <v>0</v>
      </c>
    </row>
    <row r="30" spans="1:18">
      <c r="A30" s="15" t="s">
        <v>588</v>
      </c>
      <c r="B30" s="17" t="n">
        <v>2257</v>
      </c>
      <c r="C30" s="18">
        <f>(2025.0/B30*100)</f>
        <v/>
      </c>
      <c r="D30" s="19" t="n">
        <v>232</v>
      </c>
      <c r="E30" s="18" t="n">
        <v>61.46487425</v>
      </c>
      <c r="F30" s="20" t="n">
        <v>3.00219042</v>
      </c>
      <c r="G30" s="18" t="n">
        <v>25.50465596</v>
      </c>
      <c r="H30" s="20" t="n">
        <v>2.77359444</v>
      </c>
      <c r="I30" s="18" t="n">
        <v>0</v>
      </c>
      <c r="J30" s="20" t="n">
        <v>0</v>
      </c>
      <c r="K30" s="18" t="n">
        <v>13.03046979</v>
      </c>
      <c r="L30" s="20" t="n">
        <v>2.16980579</v>
      </c>
      <c r="M30" s="18" t="n">
        <v>0</v>
      </c>
      <c r="N30" s="20" t="n">
        <v>0</v>
      </c>
      <c r="O30" s="18" t="n">
        <v>0</v>
      </c>
      <c r="P30" s="20" t="n">
        <v>0</v>
      </c>
      <c r="Q30" s="18" t="n">
        <v>0</v>
      </c>
      <c r="R30" s="20" t="n">
        <v>0</v>
      </c>
    </row>
    <row r="31" spans="1:18">
      <c r="A31" s="15" t="s">
        <v>589</v>
      </c>
      <c r="B31" s="17" t="n">
        <v>2706</v>
      </c>
      <c r="C31" s="18">
        <f>(2426.0/B31*100)</f>
        <v/>
      </c>
      <c r="D31" s="19" t="n">
        <v>280</v>
      </c>
      <c r="E31" s="18" t="n">
        <v>58.5301067</v>
      </c>
      <c r="F31" s="20" t="n">
        <v>3.11484223</v>
      </c>
      <c r="G31" s="18" t="n">
        <v>19.94654186</v>
      </c>
      <c r="H31" s="20" t="n">
        <v>2.4781827</v>
      </c>
      <c r="I31" s="18" t="n">
        <v>0</v>
      </c>
      <c r="J31" s="20" t="n">
        <v>0</v>
      </c>
      <c r="K31" s="18" t="n">
        <v>21.52335144</v>
      </c>
      <c r="L31" s="20" t="n">
        <v>2.36091489</v>
      </c>
      <c r="M31" s="18" t="n">
        <v>0</v>
      </c>
      <c r="N31" s="20" t="n">
        <v>0</v>
      </c>
      <c r="O31" s="18" t="n">
        <v>0</v>
      </c>
      <c r="P31" s="20" t="n">
        <v>0</v>
      </c>
      <c r="Q31" s="18" t="n">
        <v>0</v>
      </c>
      <c r="R31" s="20" t="n">
        <v>0</v>
      </c>
    </row>
    <row r="32" spans="1:18">
      <c r="A32" s="15" t="s">
        <v>590</v>
      </c>
      <c r="B32" s="17" t="n">
        <v>2209</v>
      </c>
      <c r="C32" s="18">
        <f>(1978.0/B32*100)</f>
        <v/>
      </c>
      <c r="D32" s="19" t="n">
        <v>231</v>
      </c>
      <c r="E32" s="18" t="n">
        <v>67.54064657000001</v>
      </c>
      <c r="F32" s="20" t="n">
        <v>3.14286879</v>
      </c>
      <c r="G32" s="18" t="n">
        <v>23.07997694</v>
      </c>
      <c r="H32" s="20" t="n">
        <v>2.81757996</v>
      </c>
      <c r="I32" s="18" t="n">
        <v>0</v>
      </c>
      <c r="J32" s="20" t="n">
        <v>0</v>
      </c>
      <c r="K32" s="18" t="n">
        <v>9.379376499999999</v>
      </c>
      <c r="L32" s="20" t="n">
        <v>2.18363852</v>
      </c>
      <c r="M32" s="18" t="n">
        <v>0</v>
      </c>
      <c r="N32" s="20" t="n">
        <v>0</v>
      </c>
      <c r="O32" s="18" t="n">
        <v>0</v>
      </c>
      <c r="P32" s="20" t="n">
        <v>0</v>
      </c>
      <c r="Q32" s="18" t="n">
        <v>0</v>
      </c>
      <c r="R32" s="20" t="n">
        <v>0</v>
      </c>
    </row>
    <row r="33" spans="1:18">
      <c r="A33" s="15" t="s">
        <v>591</v>
      </c>
      <c r="B33" s="17" t="n">
        <v>3651</v>
      </c>
      <c r="C33" s="18">
        <f>(3322.0/B33*100)</f>
        <v/>
      </c>
      <c r="D33" s="19" t="n">
        <v>329</v>
      </c>
      <c r="E33" s="18" t="n">
        <v>54.68893319</v>
      </c>
      <c r="F33" s="20" t="n">
        <v>2.92634574</v>
      </c>
      <c r="G33" s="18" t="n">
        <v>34.30226886</v>
      </c>
      <c r="H33" s="20" t="n">
        <v>2.67152986</v>
      </c>
      <c r="I33" s="18" t="n">
        <v>0</v>
      </c>
      <c r="J33" s="20" t="n">
        <v>0</v>
      </c>
      <c r="K33" s="18" t="n">
        <v>11.00879796</v>
      </c>
      <c r="L33" s="20" t="n">
        <v>2.11031966</v>
      </c>
      <c r="M33" s="18" t="n">
        <v>0</v>
      </c>
      <c r="N33" s="20" t="n">
        <v>0</v>
      </c>
      <c r="O33" s="18" t="n">
        <v>0</v>
      </c>
      <c r="P33" s="20" t="n">
        <v>0</v>
      </c>
      <c r="Q33" s="18" t="n">
        <v>0</v>
      </c>
      <c r="R33" s="20" t="n">
        <v>0</v>
      </c>
    </row>
    <row r="34" spans="1:18">
      <c r="A34" s="15" t="s">
        <v>592</v>
      </c>
      <c r="B34" s="17" t="n">
        <v>3035</v>
      </c>
      <c r="C34" s="18">
        <f>(2706.0/B34*100)</f>
        <v/>
      </c>
      <c r="D34" s="19" t="n">
        <v>329</v>
      </c>
      <c r="E34" s="18" t="n">
        <v>61.26580291</v>
      </c>
      <c r="F34" s="20" t="n">
        <v>2.65779693</v>
      </c>
      <c r="G34" s="18" t="n">
        <v>22.06383092</v>
      </c>
      <c r="H34" s="20" t="n">
        <v>2.42188489</v>
      </c>
      <c r="I34" s="18" t="n">
        <v>0</v>
      </c>
      <c r="J34" s="20" t="n">
        <v>0</v>
      </c>
      <c r="K34" s="18" t="n">
        <v>16.45998844</v>
      </c>
      <c r="L34" s="20" t="n">
        <v>2.40348441</v>
      </c>
      <c r="M34" s="18" t="n">
        <v>0.21037773</v>
      </c>
      <c r="N34" s="20" t="n">
        <v>0.19717889</v>
      </c>
      <c r="O34" s="18" t="n">
        <v>0</v>
      </c>
      <c r="P34" s="20" t="n">
        <v>0</v>
      </c>
      <c r="Q34" s="18" t="n">
        <v>0</v>
      </c>
      <c r="R34" s="20" t="n">
        <v>0</v>
      </c>
    </row>
    <row r="35" spans="1:18">
      <c r="A35" s="15" t="s">
        <v>593</v>
      </c>
      <c r="B35" s="17" t="n">
        <v>2901</v>
      </c>
      <c r="C35" s="18">
        <f>(2610.0/B35*100)</f>
        <v/>
      </c>
      <c r="D35" s="19" t="n">
        <v>291</v>
      </c>
      <c r="E35" s="18" t="n">
        <v>47.23286645</v>
      </c>
      <c r="F35" s="20" t="n">
        <v>3.76840214</v>
      </c>
      <c r="G35" s="18" t="n">
        <v>45.15504098</v>
      </c>
      <c r="H35" s="20" t="n">
        <v>3.75943756</v>
      </c>
      <c r="I35" s="18" t="n">
        <v>0</v>
      </c>
      <c r="J35" s="20" t="n">
        <v>0</v>
      </c>
      <c r="K35" s="18" t="n">
        <v>7.61209257</v>
      </c>
      <c r="L35" s="20" t="n">
        <v>1.73940275</v>
      </c>
      <c r="M35" s="18" t="n">
        <v>0</v>
      </c>
      <c r="N35" s="20" t="n">
        <v>0</v>
      </c>
      <c r="O35" s="18" t="n">
        <v>0</v>
      </c>
      <c r="P35" s="20" t="n">
        <v>0</v>
      </c>
      <c r="Q35" s="18" t="n">
        <v>0</v>
      </c>
      <c r="R35" s="20" t="n">
        <v>0</v>
      </c>
    </row>
    <row r="36" spans="1:18">
      <c r="A36" s="15" t="s">
        <v>594</v>
      </c>
      <c r="B36" s="17" t="n">
        <v>3404</v>
      </c>
      <c r="C36" s="18">
        <f>(3083.0/B36*100)</f>
        <v/>
      </c>
      <c r="D36" s="19" t="n">
        <v>321</v>
      </c>
      <c r="E36" s="18" t="n">
        <v>50.46772324</v>
      </c>
      <c r="F36" s="20" t="n">
        <v>3.01645908</v>
      </c>
      <c r="G36" s="18" t="n">
        <v>39.53258815</v>
      </c>
      <c r="H36" s="20" t="n">
        <v>3.00395911</v>
      </c>
      <c r="I36" s="18" t="n">
        <v>0</v>
      </c>
      <c r="J36" s="20" t="n">
        <v>0</v>
      </c>
      <c r="K36" s="18" t="n">
        <v>9.999688620000001</v>
      </c>
      <c r="L36" s="20" t="n">
        <v>1.82196338</v>
      </c>
      <c r="M36" s="18" t="n">
        <v>0</v>
      </c>
      <c r="N36" s="20" t="n">
        <v>0</v>
      </c>
      <c r="O36" s="18" t="n">
        <v>0</v>
      </c>
      <c r="P36" s="20" t="n">
        <v>0</v>
      </c>
      <c r="Q36" s="18" t="n">
        <v>0</v>
      </c>
      <c r="R36" s="20" t="n">
        <v>0</v>
      </c>
    </row>
    <row r="37" spans="1:18">
      <c r="A37" s="15" t="s">
        <v>595</v>
      </c>
      <c r="B37" s="17" t="n">
        <v>2731</v>
      </c>
      <c r="C37" s="18">
        <f>(2452.0/B37*100)</f>
        <v/>
      </c>
      <c r="D37" s="19" t="n">
        <v>279</v>
      </c>
      <c r="E37" s="18" t="n">
        <v>47.98365898</v>
      </c>
      <c r="F37" s="20" t="n">
        <v>2.862132</v>
      </c>
      <c r="G37" s="18" t="n">
        <v>35.27310152</v>
      </c>
      <c r="H37" s="20" t="n">
        <v>2.76826387</v>
      </c>
      <c r="I37" s="18" t="n">
        <v>0</v>
      </c>
      <c r="J37" s="20" t="n">
        <v>0</v>
      </c>
      <c r="K37" s="18" t="n">
        <v>16.74323949</v>
      </c>
      <c r="L37" s="20" t="n">
        <v>2.24431297</v>
      </c>
      <c r="M37" s="18" t="n">
        <v>0</v>
      </c>
      <c r="N37" s="20" t="n">
        <v>0</v>
      </c>
      <c r="O37" s="18" t="n">
        <v>0</v>
      </c>
      <c r="P37" s="20" t="n">
        <v>0</v>
      </c>
      <c r="Q37" s="18" t="n">
        <v>0</v>
      </c>
      <c r="R37" s="20" t="n">
        <v>0</v>
      </c>
    </row>
    <row r="38" spans="1:18">
      <c r="A38" s="15" t="s">
        <v>596</v>
      </c>
      <c r="B38" s="17" t="n">
        <v>2807</v>
      </c>
      <c r="C38" s="18">
        <f>(2501.0/B38*100)</f>
        <v/>
      </c>
      <c r="D38" s="19" t="n">
        <v>306</v>
      </c>
      <c r="E38" s="18" t="n">
        <v>45.11163898</v>
      </c>
      <c r="F38" s="20" t="n">
        <v>3.13860805</v>
      </c>
      <c r="G38" s="18" t="n">
        <v>38.77166433</v>
      </c>
      <c r="H38" s="20" t="n">
        <v>3.39023999</v>
      </c>
      <c r="I38" s="18" t="n">
        <v>0</v>
      </c>
      <c r="J38" s="20" t="n">
        <v>0</v>
      </c>
      <c r="K38" s="18" t="n">
        <v>13.6612732</v>
      </c>
      <c r="L38" s="20" t="n">
        <v>2.38817183</v>
      </c>
      <c r="M38" s="18" t="n">
        <v>2.45542348</v>
      </c>
      <c r="N38" s="20" t="n">
        <v>0.97469611</v>
      </c>
      <c r="O38" s="18" t="n">
        <v>0</v>
      </c>
      <c r="P38" s="20" t="n">
        <v>0</v>
      </c>
      <c r="Q38" s="18" t="n">
        <v>0</v>
      </c>
      <c r="R38" s="20" t="n">
        <v>0</v>
      </c>
    </row>
    <row r="39" spans="1:18">
      <c r="A39" s="15" t="s">
        <v>597</v>
      </c>
      <c r="B39" s="17" t="n">
        <v>2938</v>
      </c>
      <c r="C39" s="18">
        <f>(2624.0/B39*100)</f>
        <v/>
      </c>
      <c r="D39" s="19" t="n">
        <v>314</v>
      </c>
      <c r="E39" s="18" t="n">
        <v>70.02652104000001</v>
      </c>
      <c r="F39" s="20" t="n">
        <v>3.0595383</v>
      </c>
      <c r="G39" s="18" t="n">
        <v>15.86453827</v>
      </c>
      <c r="H39" s="20" t="n">
        <v>2.25151592</v>
      </c>
      <c r="I39" s="18" t="n">
        <v>0</v>
      </c>
      <c r="J39" s="20" t="n">
        <v>0</v>
      </c>
      <c r="K39" s="18" t="n">
        <v>14.10894069</v>
      </c>
      <c r="L39" s="20" t="n">
        <v>2.67102291</v>
      </c>
      <c r="M39" s="18" t="n">
        <v>0</v>
      </c>
      <c r="N39" s="20" t="n">
        <v>0</v>
      </c>
      <c r="O39" s="18" t="n">
        <v>0</v>
      </c>
      <c r="P39" s="20" t="n">
        <v>0</v>
      </c>
      <c r="Q39" s="18" t="n">
        <v>0</v>
      </c>
      <c r="R39" s="20" t="n">
        <v>0</v>
      </c>
    </row>
    <row r="40" spans="1:18">
      <c r="A40" s="15" t="s">
        <v>598</v>
      </c>
      <c r="B40" s="17" t="n">
        <v>6922</v>
      </c>
      <c r="C40" s="18">
        <f>(6153.0/B40*100)</f>
        <v/>
      </c>
      <c r="D40" s="19" t="n">
        <v>769</v>
      </c>
      <c r="E40" s="18" t="n">
        <v>66.33616281</v>
      </c>
      <c r="F40" s="20" t="n">
        <v>2.76643578</v>
      </c>
      <c r="G40" s="18" t="n">
        <v>23.17863044</v>
      </c>
      <c r="H40" s="20" t="n">
        <v>2.34963846</v>
      </c>
      <c r="I40" s="18" t="n">
        <v>0</v>
      </c>
      <c r="J40" s="20" t="n">
        <v>0</v>
      </c>
      <c r="K40" s="18" t="n">
        <v>10.48520674</v>
      </c>
      <c r="L40" s="20" t="n">
        <v>2.05263386</v>
      </c>
      <c r="M40" s="18" t="n">
        <v>0</v>
      </c>
      <c r="N40" s="20" t="n">
        <v>0</v>
      </c>
      <c r="O40" s="18" t="n">
        <v>0</v>
      </c>
      <c r="P40" s="20" t="n">
        <v>0</v>
      </c>
      <c r="Q40" s="18" t="n">
        <v>0</v>
      </c>
      <c r="R40" s="20" t="n">
        <v>0</v>
      </c>
    </row>
    <row r="41" spans="1:18">
      <c r="A41" s="15" t="s">
        <v>599</v>
      </c>
      <c r="B41" s="17" t="n">
        <v>2854</v>
      </c>
      <c r="C41" s="18">
        <f>(2562.0/B41*100)</f>
        <v/>
      </c>
      <c r="D41" s="19" t="n">
        <v>292</v>
      </c>
      <c r="E41" s="18" t="n">
        <v>76.64199255</v>
      </c>
      <c r="F41" s="20" t="n">
        <v>2.96849277</v>
      </c>
      <c r="G41" s="18" t="n">
        <v>18.0026297</v>
      </c>
      <c r="H41" s="20" t="n">
        <v>2.39627674</v>
      </c>
      <c r="I41" s="18" t="n">
        <v>0</v>
      </c>
      <c r="J41" s="20" t="n">
        <v>0</v>
      </c>
      <c r="K41" s="18" t="n">
        <v>5.35537775</v>
      </c>
      <c r="L41" s="20" t="n">
        <v>1.72330192</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(11251.0/B46*100)</f>
        <v/>
      </c>
      <c r="D46" s="19" t="n">
        <v>822</v>
      </c>
      <c r="E46" s="18" t="n">
        <v>68.66957094999999</v>
      </c>
      <c r="F46" s="20" t="n">
        <v>2.37258247</v>
      </c>
      <c r="G46" s="18" t="n">
        <v>7.24019915</v>
      </c>
      <c r="H46" s="20" t="n">
        <v>1.09158595</v>
      </c>
      <c r="I46" s="18" t="n">
        <v>0</v>
      </c>
      <c r="J46" s="20" t="n">
        <v>0</v>
      </c>
      <c r="K46" s="18" t="n">
        <v>23.7680783</v>
      </c>
      <c r="L46" s="20" t="n">
        <v>2.32211462</v>
      </c>
      <c r="M46" s="18" t="n">
        <v>0.32215159</v>
      </c>
      <c r="N46" s="20" t="n">
        <v>0.18568185</v>
      </c>
      <c r="O46" s="18" t="n">
        <v>0</v>
      </c>
      <c r="P46" s="20" t="n">
        <v>0</v>
      </c>
      <c r="Q46" s="18" t="n">
        <v>0</v>
      </c>
      <c r="R46" s="20" t="n">
        <v>0</v>
      </c>
    </row>
    <row r="47" spans="1:18">
      <c r="A47" s="15" t="s">
        <v>606</v>
      </c>
      <c r="B47" s="17" t="n">
        <v>2823</v>
      </c>
      <c r="C47" s="18">
        <f>(2530.0/B47*100)</f>
        <v/>
      </c>
      <c r="D47" s="19" t="n">
        <v>293</v>
      </c>
      <c r="E47" s="18" t="n">
        <v>58.5545656</v>
      </c>
      <c r="F47" s="20" t="n">
        <v>2.60501997</v>
      </c>
      <c r="G47" s="18" t="n">
        <v>19.35201722</v>
      </c>
      <c r="H47" s="20" t="n">
        <v>2.47984541</v>
      </c>
      <c r="I47" s="18" t="n">
        <v>0</v>
      </c>
      <c r="J47" s="20" t="n">
        <v>0</v>
      </c>
      <c r="K47" s="18" t="n">
        <v>22.09341718</v>
      </c>
      <c r="L47" s="20" t="n">
        <v>2.13624726</v>
      </c>
      <c r="M47" s="18" t="n">
        <v>0</v>
      </c>
      <c r="N47" s="20" t="n">
        <v>0</v>
      </c>
      <c r="O47" s="18" t="n">
        <v>0</v>
      </c>
      <c r="P47" s="20" t="n">
        <v>0</v>
      </c>
      <c r="Q47" s="18" t="n">
        <v>0</v>
      </c>
      <c r="R47" s="20" t="n">
        <v>0</v>
      </c>
    </row>
    <row r="48" spans="1:18">
      <c r="A48" s="15" t="s">
        <v>607</v>
      </c>
      <c r="B48" s="17" t="n">
        <v>4682</v>
      </c>
      <c r="C48" s="18">
        <f>(4181.0/B48*100)</f>
        <v/>
      </c>
      <c r="D48" s="19" t="n">
        <v>501</v>
      </c>
      <c r="E48" s="18" t="n">
        <v>64.12801082999999</v>
      </c>
      <c r="F48" s="20" t="n">
        <v>3.14736874</v>
      </c>
      <c r="G48" s="18" t="n">
        <v>26.76283857</v>
      </c>
      <c r="H48" s="20" t="n">
        <v>3.06713467</v>
      </c>
      <c r="I48" s="18" t="n">
        <v>0</v>
      </c>
      <c r="J48" s="20" t="n">
        <v>0</v>
      </c>
      <c r="K48" s="18" t="n">
        <v>9.1091506</v>
      </c>
      <c r="L48" s="20" t="n">
        <v>1.92771696</v>
      </c>
      <c r="M48" s="18" t="n">
        <v>0</v>
      </c>
      <c r="N48" s="20" t="n">
        <v>0</v>
      </c>
      <c r="O48" s="18" t="n">
        <v>0</v>
      </c>
      <c r="P48" s="20" t="n">
        <v>0</v>
      </c>
      <c r="Q48" s="18" t="n">
        <v>0</v>
      </c>
      <c r="R48" s="20" t="n">
        <v>0</v>
      </c>
    </row>
    <row r="49" spans="1:18">
      <c r="A49" s="15" t="s">
        <v>608</v>
      </c>
      <c r="B49" s="17" t="n">
        <v>6158</v>
      </c>
      <c r="C49" s="18">
        <f>(5547.0/B49*100)</f>
        <v/>
      </c>
      <c r="D49" s="19" t="n">
        <v>611</v>
      </c>
      <c r="E49" s="18" t="n">
        <v>78.20690553</v>
      </c>
      <c r="F49" s="20" t="n">
        <v>1.99001397</v>
      </c>
      <c r="G49" s="18" t="n">
        <v>9.43949559</v>
      </c>
      <c r="H49" s="20" t="n">
        <v>1.2950796</v>
      </c>
      <c r="I49" s="18" t="n">
        <v>0</v>
      </c>
      <c r="J49" s="20" t="n">
        <v>0</v>
      </c>
      <c r="K49" s="18" t="n">
        <v>12.34362381</v>
      </c>
      <c r="L49" s="20" t="n">
        <v>1.72637298</v>
      </c>
      <c r="M49" s="18" t="n">
        <v>0.009975070000000001</v>
      </c>
      <c r="N49" s="20" t="n">
        <v>0.0068042</v>
      </c>
      <c r="O49" s="18" t="n">
        <v>0</v>
      </c>
      <c r="P49" s="20" t="n">
        <v>0</v>
      </c>
      <c r="Q49" s="18" t="n">
        <v>0</v>
      </c>
      <c r="R49" s="20" t="n">
        <v>0</v>
      </c>
    </row>
    <row r="50" spans="1:18">
      <c r="A50" s="15" t="s">
        <v>609</v>
      </c>
      <c r="B50" s="17" t="n">
        <v>3494</v>
      </c>
      <c r="C50" s="18">
        <f>(3190.0/B50*100)</f>
        <v/>
      </c>
      <c r="D50" s="19" t="n">
        <v>304</v>
      </c>
      <c r="E50" s="18" t="n">
        <v>76.15007133</v>
      </c>
      <c r="F50" s="20" t="n">
        <v>2.85379396</v>
      </c>
      <c r="G50" s="18" t="n">
        <v>14.78085575</v>
      </c>
      <c r="H50" s="20" t="n">
        <v>2.1994366</v>
      </c>
      <c r="I50" s="18" t="n">
        <v>0</v>
      </c>
      <c r="J50" s="20" t="n">
        <v>0</v>
      </c>
      <c r="K50" s="18" t="n">
        <v>9.06907292</v>
      </c>
      <c r="L50" s="20" t="n">
        <v>1.74901335</v>
      </c>
      <c r="M50" s="18" t="n">
        <v>0</v>
      </c>
      <c r="N50" s="20" t="n">
        <v>0</v>
      </c>
      <c r="O50" s="18" t="n">
        <v>0</v>
      </c>
      <c r="P50" s="20" t="n">
        <v>0</v>
      </c>
      <c r="Q50" s="18" t="n">
        <v>0</v>
      </c>
      <c r="R50" s="20" t="n">
        <v>0</v>
      </c>
    </row>
    <row r="51" spans="1:18">
      <c r="A51" s="15" t="s">
        <v>610</v>
      </c>
      <c r="B51" s="17" t="n">
        <v>3013</v>
      </c>
      <c r="C51" s="18">
        <f>(2667.0/B51*100)</f>
        <v/>
      </c>
      <c r="D51" s="19" t="n">
        <v>346</v>
      </c>
      <c r="E51" s="18" t="n">
        <v>72.74264122</v>
      </c>
      <c r="F51" s="20" t="n">
        <v>2.323242</v>
      </c>
      <c r="G51" s="18" t="n">
        <v>16.41345826</v>
      </c>
      <c r="H51" s="20" t="n">
        <v>1.98659514</v>
      </c>
      <c r="I51" s="18" t="n">
        <v>0</v>
      </c>
      <c r="J51" s="20" t="n">
        <v>0</v>
      </c>
      <c r="K51" s="18" t="n">
        <v>10.84390052</v>
      </c>
      <c r="L51" s="20" t="n">
        <v>1.42908582</v>
      </c>
      <c r="M51" s="18" t="n">
        <v>0</v>
      </c>
      <c r="N51" s="20" t="n">
        <v>0</v>
      </c>
      <c r="O51" s="18" t="n">
        <v>0</v>
      </c>
      <c r="P51" s="20" t="n">
        <v>0</v>
      </c>
      <c r="Q51" s="18" t="n">
        <v>0</v>
      </c>
      <c r="R51" s="20" t="n">
        <v>0</v>
      </c>
    </row>
    <row r="52" spans="1:18">
      <c r="A52" s="15" t="s">
        <v>611</v>
      </c>
      <c r="B52" s="17" t="n">
        <v>2760</v>
      </c>
      <c r="C52" s="18">
        <f>(2477.0/B52*100)</f>
        <v/>
      </c>
      <c r="D52" s="19" t="n">
        <v>283</v>
      </c>
      <c r="E52" s="18" t="n">
        <v>55.88947954</v>
      </c>
      <c r="F52" s="20" t="n">
        <v>2.90247508</v>
      </c>
      <c r="G52" s="18" t="n">
        <v>22.90695576</v>
      </c>
      <c r="H52" s="20" t="n">
        <v>2.52493066</v>
      </c>
      <c r="I52" s="18" t="n">
        <v>0</v>
      </c>
      <c r="J52" s="20" t="n">
        <v>0</v>
      </c>
      <c r="K52" s="18" t="n">
        <v>21.20356471</v>
      </c>
      <c r="L52" s="20" t="n">
        <v>2.46370075</v>
      </c>
      <c r="M52" s="18" t="n">
        <v>0</v>
      </c>
      <c r="N52" s="20" t="n">
        <v>0</v>
      </c>
      <c r="O52" s="18" t="n">
        <v>0</v>
      </c>
      <c r="P52" s="20" t="n">
        <v>0</v>
      </c>
      <c r="Q52" s="18" t="n">
        <v>0</v>
      </c>
      <c r="R52" s="20" t="n">
        <v>0</v>
      </c>
    </row>
    <row r="53" spans="1:18">
      <c r="A53" s="15" t="s">
        <v>612</v>
      </c>
      <c r="B53" s="17" t="n">
        <v>2474</v>
      </c>
      <c r="C53" s="18">
        <f>(2240.0/B53*100)</f>
        <v/>
      </c>
      <c r="D53" s="19" t="n">
        <v>234</v>
      </c>
      <c r="E53" s="18" t="n">
        <v>49.61773984</v>
      </c>
      <c r="F53" s="20" t="n">
        <v>3.61070235</v>
      </c>
      <c r="G53" s="18" t="n">
        <v>1.28258233</v>
      </c>
      <c r="H53" s="20" t="n">
        <v>0.71726413</v>
      </c>
      <c r="I53" s="18" t="n">
        <v>0</v>
      </c>
      <c r="J53" s="20" t="n">
        <v>0</v>
      </c>
      <c r="K53" s="18" t="n">
        <v>47.75044241</v>
      </c>
      <c r="L53" s="20" t="n">
        <v>3.45921044</v>
      </c>
      <c r="M53" s="18" t="n">
        <v>1.34923542</v>
      </c>
      <c r="N53" s="20" t="n">
        <v>1.09194747</v>
      </c>
      <c r="O53" s="18" t="n">
        <v>0</v>
      </c>
      <c r="P53" s="20" t="n">
        <v>0</v>
      </c>
      <c r="Q53" s="18" t="n">
        <v>0</v>
      </c>
      <c r="R53" s="20" t="n">
        <v>0</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(2388.0/B55*100)</f>
        <v/>
      </c>
      <c r="D55" s="19" t="n">
        <v>287</v>
      </c>
      <c r="E55" s="18" t="n">
        <v>69.3669281</v>
      </c>
      <c r="F55" s="20" t="n">
        <v>2.95998762</v>
      </c>
      <c r="G55" s="18" t="n">
        <v>24.06449021</v>
      </c>
      <c r="H55" s="20" t="n">
        <v>2.69454984</v>
      </c>
      <c r="I55" s="18" t="n">
        <v>0</v>
      </c>
      <c r="J55" s="20" t="n">
        <v>0</v>
      </c>
      <c r="K55" s="18" t="n">
        <v>6.56858169</v>
      </c>
      <c r="L55" s="20" t="n">
        <v>1.4725557</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(2841.0/B61*100)</f>
        <v/>
      </c>
      <c r="D61" s="19" t="n">
        <v>360</v>
      </c>
      <c r="E61" s="18" t="n">
        <v>67.10483991</v>
      </c>
      <c r="F61" s="20" t="n">
        <v>2.89830964</v>
      </c>
      <c r="G61" s="18" t="n">
        <v>23.58167726</v>
      </c>
      <c r="H61" s="20" t="n">
        <v>2.33065024</v>
      </c>
      <c r="I61" s="18" t="n">
        <v>0</v>
      </c>
      <c r="J61" s="20" t="n">
        <v>0</v>
      </c>
      <c r="K61" s="18" t="n">
        <v>9.31348283</v>
      </c>
      <c r="L61" s="20" t="n">
        <v>1.65481226</v>
      </c>
      <c r="M61" s="18" t="n">
        <v>0</v>
      </c>
      <c r="N61" s="20" t="n">
        <v>0</v>
      </c>
      <c r="O61" s="18" t="n">
        <v>0</v>
      </c>
      <c r="P61" s="20" t="n">
        <v>0</v>
      </c>
      <c r="Q61" s="18" t="n">
        <v>0</v>
      </c>
      <c r="R61" s="20" t="n">
        <v>0</v>
      </c>
    </row>
    <row r="62" spans="1:18">
      <c r="A62" s="15" t="s">
        <v>622</v>
      </c>
      <c r="B62" s="17" t="n">
        <v>2230</v>
      </c>
      <c r="C62" s="18">
        <f>(2018.0/B62*100)</f>
        <v/>
      </c>
      <c r="D62" s="19" t="n">
        <v>212</v>
      </c>
      <c r="E62" s="18" t="n">
        <v>68.3540483</v>
      </c>
      <c r="F62" s="20" t="n">
        <v>3.14810753</v>
      </c>
      <c r="G62" s="18" t="n">
        <v>27.81440797</v>
      </c>
      <c r="H62" s="20" t="n">
        <v>2.91823311</v>
      </c>
      <c r="I62" s="18" t="n">
        <v>0</v>
      </c>
      <c r="J62" s="20" t="n">
        <v>0</v>
      </c>
      <c r="K62" s="18" t="n">
        <v>3.83154373</v>
      </c>
      <c r="L62" s="20" t="n">
        <v>1.35204538</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(2466.0/B67*100)</f>
        <v/>
      </c>
      <c r="D67" s="19" t="n">
        <v>305</v>
      </c>
      <c r="E67" s="18" t="n">
        <v>55.9161997</v>
      </c>
      <c r="F67" s="20" t="n">
        <v>2.94519929</v>
      </c>
      <c r="G67" s="18" t="n">
        <v>14.08054739</v>
      </c>
      <c r="H67" s="20" t="n">
        <v>1.96984584</v>
      </c>
      <c r="I67" s="18" t="n">
        <v>0</v>
      </c>
      <c r="J67" s="20" t="n">
        <v>0</v>
      </c>
      <c r="K67" s="18" t="n">
        <v>29.69437688</v>
      </c>
      <c r="L67" s="20" t="n">
        <v>2.79926092</v>
      </c>
      <c r="M67" s="18" t="n">
        <v>0.30887602</v>
      </c>
      <c r="N67" s="20" t="n">
        <v>0.30040071</v>
      </c>
      <c r="O67" s="18" t="n">
        <v>0</v>
      </c>
      <c r="P67" s="20" t="n">
        <v>0</v>
      </c>
      <c r="Q67" s="18" t="n">
        <v>0</v>
      </c>
      <c r="R67" s="20" t="n">
        <v>0</v>
      </c>
    </row>
    <row r="68" spans="1:18">
      <c r="A68" s="15" t="s">
        <v>628</v>
      </c>
      <c r="B68" s="17" t="n">
        <v>3460</v>
      </c>
      <c r="C68" s="18">
        <f>(3185.0/B68*100)</f>
        <v/>
      </c>
      <c r="D68" s="19" t="n">
        <v>275</v>
      </c>
      <c r="E68" s="18" t="n">
        <v>70.16935359</v>
      </c>
      <c r="F68" s="20" t="n">
        <v>3.00593924</v>
      </c>
      <c r="G68" s="18" t="n">
        <v>14.3720783</v>
      </c>
      <c r="H68" s="20" t="n">
        <v>2.41542561</v>
      </c>
      <c r="I68" s="18" t="n">
        <v>0</v>
      </c>
      <c r="J68" s="20" t="n">
        <v>0</v>
      </c>
      <c r="K68" s="18" t="n">
        <v>14.49829522</v>
      </c>
      <c r="L68" s="20" t="n">
        <v>2.23249105</v>
      </c>
      <c r="M68" s="18" t="n">
        <v>0.96027289</v>
      </c>
      <c r="N68" s="20" t="n">
        <v>0.55389807</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(5402.0/B70*100)</f>
        <v/>
      </c>
      <c r="D70" s="19" t="n">
        <v>632</v>
      </c>
      <c r="E70" s="18" t="n">
        <v>70.89003457</v>
      </c>
      <c r="F70" s="20" t="n">
        <v>1.78738782</v>
      </c>
      <c r="G70" s="18" t="n">
        <v>12.6753619</v>
      </c>
      <c r="H70" s="20" t="n">
        <v>1.45936016</v>
      </c>
      <c r="I70" s="18" t="n">
        <v>0</v>
      </c>
      <c r="J70" s="20" t="n">
        <v>0</v>
      </c>
      <c r="K70" s="18" t="n">
        <v>16.43460353</v>
      </c>
      <c r="L70" s="20" t="n">
        <v>1.46612468</v>
      </c>
      <c r="M70" s="18" t="n">
        <v>0</v>
      </c>
      <c r="N70" s="20" t="n">
        <v>0</v>
      </c>
      <c r="O70" s="18" t="n">
        <v>0</v>
      </c>
      <c r="P70" s="20" t="n">
        <v>0</v>
      </c>
      <c r="Q70" s="18" t="n">
        <v>0</v>
      </c>
      <c r="R70" s="20" t="n">
        <v>0</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(2760.0/B72*100)</f>
        <v/>
      </c>
      <c r="D72" s="19" t="n">
        <v>347</v>
      </c>
      <c r="E72" s="18" t="n">
        <v>61.91930966</v>
      </c>
      <c r="F72" s="20" t="n">
        <v>2.68615763</v>
      </c>
      <c r="G72" s="18" t="n">
        <v>28.30381698</v>
      </c>
      <c r="H72" s="20" t="n">
        <v>2.25221663</v>
      </c>
      <c r="I72" s="18" t="n">
        <v>0</v>
      </c>
      <c r="J72" s="20" t="n">
        <v>0</v>
      </c>
      <c r="K72" s="18" t="n">
        <v>9.77687336</v>
      </c>
      <c r="L72" s="20" t="n">
        <v>1.8323686</v>
      </c>
      <c r="M72" s="18" t="n">
        <v>0</v>
      </c>
      <c r="N72" s="20" t="n">
        <v>0</v>
      </c>
      <c r="O72" s="18" t="n">
        <v>0</v>
      </c>
      <c r="P72" s="20" t="n">
        <v>0</v>
      </c>
      <c r="Q72" s="18" t="n">
        <v>0</v>
      </c>
      <c r="R72" s="20" t="n">
        <v>0</v>
      </c>
    </row>
    <row r="73" spans="1:18">
      <c r="A73" s="15" t="s">
        <v>633</v>
      </c>
      <c r="B73" s="17" t="n">
        <v>2973</v>
      </c>
      <c r="C73" s="18">
        <f>(2666.0/B73*100)</f>
        <v/>
      </c>
      <c r="D73" s="19" t="n">
        <v>307</v>
      </c>
      <c r="E73" s="18" t="n">
        <v>42.36169808</v>
      </c>
      <c r="F73" s="20" t="n">
        <v>2.5182356</v>
      </c>
      <c r="G73" s="18" t="n">
        <v>53.44944051</v>
      </c>
      <c r="H73" s="20" t="n">
        <v>2.89106908</v>
      </c>
      <c r="I73" s="18" t="n">
        <v>0</v>
      </c>
      <c r="J73" s="20" t="n">
        <v>0</v>
      </c>
      <c r="K73" s="18" t="n">
        <v>3.83736297</v>
      </c>
      <c r="L73" s="20" t="n">
        <v>1.18343216</v>
      </c>
      <c r="M73" s="18" t="n">
        <v>0.35149844</v>
      </c>
      <c r="N73" s="20" t="n">
        <v>0.34871429</v>
      </c>
      <c r="O73" s="18" t="n">
        <v>0</v>
      </c>
      <c r="P73" s="20" t="n">
        <v>0</v>
      </c>
      <c r="Q73" s="18" t="n">
        <v>0</v>
      </c>
      <c r="R73" s="20" t="n">
        <v>0</v>
      </c>
    </row>
    <row r="74" spans="1:18">
      <c r="A74" s="15" t="s">
        <v>634</v>
      </c>
      <c r="B74" s="17" t="n">
        <v>3819</v>
      </c>
      <c r="C74" s="18">
        <f>(3411.0/B74*100)</f>
        <v/>
      </c>
      <c r="D74" s="19" t="n">
        <v>408</v>
      </c>
      <c r="E74" s="18" t="n">
        <v>60.96955869</v>
      </c>
      <c r="F74" s="20" t="n">
        <v>2.39207265</v>
      </c>
      <c r="G74" s="18" t="n">
        <v>30.22080061</v>
      </c>
      <c r="H74" s="20" t="n">
        <v>2.21383831</v>
      </c>
      <c r="I74" s="18" t="n">
        <v>0</v>
      </c>
      <c r="J74" s="20" t="n">
        <v>0</v>
      </c>
      <c r="K74" s="18" t="n">
        <v>8.80964069</v>
      </c>
      <c r="L74" s="20" t="n">
        <v>1.42281309</v>
      </c>
      <c r="M74" s="18" t="n">
        <v>0</v>
      </c>
      <c r="N74" s="20" t="n">
        <v>0</v>
      </c>
      <c r="O74" s="18" t="n">
        <v>0</v>
      </c>
      <c r="P74" s="20" t="n">
        <v>0</v>
      </c>
      <c r="Q74" s="18" t="n">
        <v>0</v>
      </c>
      <c r="R74" s="20" t="n">
        <v>0</v>
      </c>
    </row>
    <row r="75" spans="1:18">
      <c r="A75" s="15" t="s">
        <v>635</v>
      </c>
      <c r="B75" s="17" t="n">
        <v>4652</v>
      </c>
      <c r="C75" s="18">
        <f>(4186.0/B75*100)</f>
        <v/>
      </c>
      <c r="D75" s="19" t="n">
        <v>466</v>
      </c>
      <c r="E75" s="18" t="n">
        <v>81.9786076</v>
      </c>
      <c r="F75" s="20" t="n">
        <v>2.27557616</v>
      </c>
      <c r="G75" s="18" t="n">
        <v>14.89590518</v>
      </c>
      <c r="H75" s="20" t="n">
        <v>1.99577262</v>
      </c>
      <c r="I75" s="18" t="n">
        <v>0</v>
      </c>
      <c r="J75" s="20" t="n">
        <v>0</v>
      </c>
      <c r="K75" s="18" t="n">
        <v>3.12548722</v>
      </c>
      <c r="L75" s="20" t="n">
        <v>0.9368154</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(2696.0/B77*100)</f>
        <v/>
      </c>
      <c r="D77" s="19" t="n">
        <v>273</v>
      </c>
      <c r="E77" s="18" t="n">
        <v>59.94780052</v>
      </c>
      <c r="F77" s="20" t="n">
        <v>3.40395311</v>
      </c>
      <c r="G77" s="18" t="n">
        <v>4.89049154</v>
      </c>
      <c r="H77" s="20" t="n">
        <v>1.27290158</v>
      </c>
      <c r="I77" s="18" t="n">
        <v>0</v>
      </c>
      <c r="J77" s="20" t="n">
        <v>0</v>
      </c>
      <c r="K77" s="18" t="n">
        <v>34.79505012</v>
      </c>
      <c r="L77" s="20" t="n">
        <v>3.46178959</v>
      </c>
      <c r="M77" s="18" t="n">
        <v>0.36665782</v>
      </c>
      <c r="N77" s="20" t="n">
        <v>0.37908899</v>
      </c>
      <c r="O77" s="18" t="n">
        <v>0</v>
      </c>
      <c r="P77" s="20" t="n">
        <v>0</v>
      </c>
      <c r="Q77" s="18" t="n">
        <v>0</v>
      </c>
      <c r="R77" s="20" t="n">
        <v>0</v>
      </c>
    </row>
    <row r="78" spans="1:18">
      <c r="A78" s="15" t="s">
        <v>638</v>
      </c>
      <c r="B78" s="17" t="n">
        <v>7115</v>
      </c>
      <c r="C78" s="18">
        <f>(6328.0/B78*100)</f>
        <v/>
      </c>
      <c r="D78" s="19" t="n">
        <v>787</v>
      </c>
      <c r="E78" s="18" t="n">
        <v>74.38269043</v>
      </c>
      <c r="F78" s="20" t="n">
        <v>2.0843043</v>
      </c>
      <c r="G78" s="18" t="n">
        <v>17.11745998</v>
      </c>
      <c r="H78" s="20" t="n">
        <v>1.70755299</v>
      </c>
      <c r="I78" s="18" t="n">
        <v>0</v>
      </c>
      <c r="J78" s="20" t="n">
        <v>0</v>
      </c>
      <c r="K78" s="18" t="n">
        <v>8.40838194</v>
      </c>
      <c r="L78" s="20" t="n">
        <v>1.51087328</v>
      </c>
      <c r="M78" s="18" t="n">
        <v>0.09146765</v>
      </c>
      <c r="N78" s="20" t="n">
        <v>0.09248555999999999</v>
      </c>
      <c r="O78" s="18" t="n">
        <v>0</v>
      </c>
      <c r="P78" s="20" t="n">
        <v>0</v>
      </c>
      <c r="Q78" s="18" t="n">
        <v>0</v>
      </c>
      <c r="R78" s="20" t="n">
        <v>0</v>
      </c>
    </row>
    <row r="79" spans="1:18">
      <c r="A79" s="15" t="s">
        <v>639</v>
      </c>
      <c r="B79" s="17" t="n">
        <v>3154</v>
      </c>
      <c r="C79" s="18">
        <f>(2880.0/B79*100)</f>
        <v/>
      </c>
      <c r="D79" s="19" t="n">
        <v>274</v>
      </c>
      <c r="E79" s="18" t="n">
        <v>58.41521912</v>
      </c>
      <c r="F79" s="20" t="n">
        <v>3.26892184</v>
      </c>
      <c r="G79" s="18" t="n">
        <v>19.05118334</v>
      </c>
      <c r="H79" s="20" t="n">
        <v>2.56514806</v>
      </c>
      <c r="I79" s="18" t="n">
        <v>0</v>
      </c>
      <c r="J79" s="20" t="n">
        <v>0</v>
      </c>
      <c r="K79" s="18" t="n">
        <v>22.53359754</v>
      </c>
      <c r="L79" s="20" t="n">
        <v>2.80148446</v>
      </c>
      <c r="M79" s="18" t="n">
        <v>0</v>
      </c>
      <c r="N79" s="20" t="n">
        <v>0</v>
      </c>
      <c r="O79" s="18" t="n">
        <v>0</v>
      </c>
      <c r="P79" s="20" t="n">
        <v>0</v>
      </c>
      <c r="Q79" s="18" t="n">
        <v>0</v>
      </c>
      <c r="R79" s="20" t="n">
        <v>0</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(14350.0/B82*100)</f>
        <v/>
      </c>
      <c r="D82" s="19" t="n">
        <v>1611</v>
      </c>
      <c r="E82" s="18" t="n">
        <v>54.04396424</v>
      </c>
      <c r="F82" s="20" t="n">
        <v>1.81375428</v>
      </c>
      <c r="G82" s="18" t="n">
        <v>35.04869237</v>
      </c>
      <c r="H82" s="20" t="n">
        <v>1.80787578</v>
      </c>
      <c r="I82" s="18" t="n">
        <v>0</v>
      </c>
      <c r="J82" s="20" t="n">
        <v>0</v>
      </c>
      <c r="K82" s="18" t="n">
        <v>10.90734339</v>
      </c>
      <c r="L82" s="20" t="n">
        <v>1.29284819</v>
      </c>
      <c r="M82" s="18" t="n">
        <v>0</v>
      </c>
      <c r="N82" s="20" t="n">
        <v>0</v>
      </c>
      <c r="O82" s="18" t="n">
        <v>0</v>
      </c>
      <c r="P82" s="20" t="n">
        <v>0</v>
      </c>
      <c r="Q82" s="18" t="n">
        <v>0</v>
      </c>
      <c r="R82" s="20" t="n">
        <v>0</v>
      </c>
    </row>
    <row r="83" spans="1:18">
      <c r="A83" s="15" t="s">
        <v>643</v>
      </c>
      <c r="B83" s="17" t="n">
        <v>808</v>
      </c>
      <c r="C83" s="18">
        <f>(728.0/B83*100)</f>
        <v/>
      </c>
      <c r="D83" s="19" t="n">
        <v>80</v>
      </c>
      <c r="E83" s="18" t="n">
        <v>77.23457646</v>
      </c>
      <c r="F83" s="20" t="n">
        <v>3.74833393</v>
      </c>
      <c r="G83" s="18" t="n">
        <v>21.88376743</v>
      </c>
      <c r="H83" s="20" t="n">
        <v>3.62844283</v>
      </c>
      <c r="I83" s="18" t="n">
        <v>0</v>
      </c>
      <c r="J83" s="20" t="n">
        <v>0</v>
      </c>
      <c r="K83" s="18" t="n">
        <v>0.88165611</v>
      </c>
      <c r="L83" s="20" t="n">
        <v>0.85911142</v>
      </c>
      <c r="M83" s="18" t="n">
        <v>0</v>
      </c>
      <c r="N83" s="20" t="n">
        <v>0</v>
      </c>
      <c r="O83" s="18" t="n">
        <v>0</v>
      </c>
      <c r="P83" s="20" t="n">
        <v>0</v>
      </c>
      <c r="Q83" s="18" t="n">
        <v>0</v>
      </c>
      <c r="R83" s="20" t="n">
        <v>0</v>
      </c>
    </row>
    <row r="84" spans="1:18">
      <c r="A84" s="23" t="s">
        <v>644</v>
      </c>
      <c r="B84" s="24" t="n">
        <v>938</v>
      </c>
      <c r="C84" s="25">
        <f>(842.0/B84*100)</f>
        <v/>
      </c>
      <c r="D84" s="19" t="n">
        <v>96</v>
      </c>
      <c r="E84" s="18" t="n">
        <v>69.89314844</v>
      </c>
      <c r="F84" s="20" t="n">
        <v>5.30364663</v>
      </c>
      <c r="G84" s="18" t="n">
        <v>24.56611711</v>
      </c>
      <c r="H84" s="20" t="n">
        <v>5.28729168</v>
      </c>
      <c r="I84" s="18" t="n">
        <v>0</v>
      </c>
      <c r="J84" s="20" t="n">
        <v>0</v>
      </c>
      <c r="K84" s="18" t="n">
        <v>5.54073445</v>
      </c>
      <c r="L84" s="20" t="n">
        <v>2.66793543</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697</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(6380.0/B7*100)</f>
        <v/>
      </c>
      <c r="D7" s="19" t="n">
        <v>783</v>
      </c>
      <c r="E7" s="18" t="n">
        <v>37.50290407</v>
      </c>
      <c r="F7" s="20" t="n">
        <v>1.98190733</v>
      </c>
      <c r="G7" s="18" t="n">
        <v>26.02213209</v>
      </c>
      <c r="H7" s="20" t="n">
        <v>1.86313557</v>
      </c>
      <c r="I7" s="18" t="n">
        <v>31.4757391</v>
      </c>
      <c r="J7" s="20" t="n">
        <v>1.9674635</v>
      </c>
      <c r="K7" s="18" t="n">
        <v>0</v>
      </c>
      <c r="L7" s="20" t="n">
        <v>0</v>
      </c>
      <c r="M7" s="18" t="n">
        <v>0.03509564</v>
      </c>
      <c r="N7" s="20" t="n">
        <v>0.03409848</v>
      </c>
      <c r="O7" s="18" t="n">
        <v>0</v>
      </c>
      <c r="P7" s="20" t="n">
        <v>0</v>
      </c>
      <c r="Q7" s="18" t="n">
        <v>0</v>
      </c>
      <c r="R7" s="20" t="n">
        <v>0</v>
      </c>
      <c r="S7" s="18" t="n">
        <v>4.9641291</v>
      </c>
      <c r="T7" s="20" t="n">
        <v>0.77260549</v>
      </c>
    </row>
    <row r="8" spans="1:20">
      <c r="A8" s="15" t="s">
        <v>566</v>
      </c>
      <c r="B8" s="17" t="n">
        <v>3443</v>
      </c>
      <c r="C8" s="18">
        <f>(3058.0/B8*100)</f>
        <v/>
      </c>
      <c r="D8" s="19" t="n">
        <v>385</v>
      </c>
      <c r="E8" s="18" t="n">
        <v>40.6671599</v>
      </c>
      <c r="F8" s="20" t="n">
        <v>2.48009462</v>
      </c>
      <c r="G8" s="18" t="n">
        <v>23.59574183</v>
      </c>
      <c r="H8" s="20" t="n">
        <v>2.07143072</v>
      </c>
      <c r="I8" s="18" t="n">
        <v>25.59883418</v>
      </c>
      <c r="J8" s="20" t="n">
        <v>2.59573322</v>
      </c>
      <c r="K8" s="18" t="n">
        <v>0</v>
      </c>
      <c r="L8" s="20" t="n">
        <v>0</v>
      </c>
      <c r="M8" s="18" t="n">
        <v>0</v>
      </c>
      <c r="N8" s="20" t="n">
        <v>0</v>
      </c>
      <c r="O8" s="18" t="n">
        <v>0</v>
      </c>
      <c r="P8" s="20" t="n">
        <v>0</v>
      </c>
      <c r="Q8" s="18" t="n">
        <v>0</v>
      </c>
      <c r="R8" s="20" t="n">
        <v>0</v>
      </c>
      <c r="S8" s="18" t="n">
        <v>10.13826408</v>
      </c>
      <c r="T8" s="20" t="n">
        <v>1.84667713</v>
      </c>
    </row>
    <row r="9" spans="1:20">
      <c r="A9" s="15" t="s">
        <v>567</v>
      </c>
      <c r="B9" s="17" t="n">
        <v>4752</v>
      </c>
      <c r="C9" s="18">
        <f>(4206.0/B9*100)</f>
        <v/>
      </c>
      <c r="D9" s="19" t="n">
        <v>546</v>
      </c>
      <c r="E9" s="18" t="n">
        <v>27.27592429</v>
      </c>
      <c r="F9" s="20" t="n">
        <v>2.11898088</v>
      </c>
      <c r="G9" s="18" t="n">
        <v>24.25577807</v>
      </c>
      <c r="H9" s="20" t="n">
        <v>1.95363333</v>
      </c>
      <c r="I9" s="18" t="n">
        <v>43.19188931</v>
      </c>
      <c r="J9" s="20" t="n">
        <v>2.19059908</v>
      </c>
      <c r="K9" s="18" t="n">
        <v>0</v>
      </c>
      <c r="L9" s="20" t="n">
        <v>0</v>
      </c>
      <c r="M9" s="18" t="n">
        <v>0</v>
      </c>
      <c r="N9" s="20" t="n">
        <v>0</v>
      </c>
      <c r="O9" s="18" t="n">
        <v>0.13077524</v>
      </c>
      <c r="P9" s="20" t="n">
        <v>0.12189857</v>
      </c>
      <c r="Q9" s="18" t="n">
        <v>0</v>
      </c>
      <c r="R9" s="20" t="n">
        <v>0</v>
      </c>
      <c r="S9" s="18" t="n">
        <v>5.14563309</v>
      </c>
      <c r="T9" s="20" t="n">
        <v>0.92770807</v>
      </c>
    </row>
    <row r="10" spans="1:20">
      <c r="A10" s="15" t="s">
        <v>568</v>
      </c>
      <c r="B10" s="17" t="n">
        <v>10022</v>
      </c>
      <c r="C10" s="18">
        <f>(8913.0/B10*100)</f>
        <v/>
      </c>
      <c r="D10" s="19" t="n">
        <v>1109</v>
      </c>
      <c r="E10" s="18" t="n">
        <v>34.05745303</v>
      </c>
      <c r="F10" s="20" t="n">
        <v>2.27505494</v>
      </c>
      <c r="G10" s="18" t="n">
        <v>26.91697844</v>
      </c>
      <c r="H10" s="20" t="n">
        <v>1.98815033</v>
      </c>
      <c r="I10" s="18" t="n">
        <v>36.10490057</v>
      </c>
      <c r="J10" s="20" t="n">
        <v>2.0164668</v>
      </c>
      <c r="K10" s="18" t="n">
        <v>0</v>
      </c>
      <c r="L10" s="20" t="n">
        <v>0</v>
      </c>
      <c r="M10" s="18" t="n">
        <v>0.05179467</v>
      </c>
      <c r="N10" s="20" t="n">
        <v>0.0364621</v>
      </c>
      <c r="O10" s="18" t="n">
        <v>0.00714623</v>
      </c>
      <c r="P10" s="20" t="n">
        <v>0.00728706</v>
      </c>
      <c r="Q10" s="18" t="n">
        <v>0</v>
      </c>
      <c r="R10" s="20" t="n">
        <v>0</v>
      </c>
      <c r="S10" s="18" t="n">
        <v>2.86172705</v>
      </c>
      <c r="T10" s="20" t="n">
        <v>0.72445126</v>
      </c>
    </row>
    <row r="11" spans="1:20">
      <c r="A11" s="15" t="s">
        <v>569</v>
      </c>
      <c r="B11" s="17" t="n">
        <v>3500</v>
      </c>
      <c r="C11" s="18">
        <f>(3089.0/B11*100)</f>
        <v/>
      </c>
      <c r="D11" s="19" t="n">
        <v>411</v>
      </c>
      <c r="E11" s="18" t="n">
        <v>32.70840848</v>
      </c>
      <c r="F11" s="20" t="n">
        <v>2.68011996</v>
      </c>
      <c r="G11" s="18" t="n">
        <v>26.93778447</v>
      </c>
      <c r="H11" s="20" t="n">
        <v>3.12389136</v>
      </c>
      <c r="I11" s="18" t="n">
        <v>26.22608762</v>
      </c>
      <c r="J11" s="20" t="n">
        <v>2.50279717</v>
      </c>
      <c r="K11" s="18" t="n">
        <v>0</v>
      </c>
      <c r="L11" s="20" t="n">
        <v>0</v>
      </c>
      <c r="M11" s="18" t="n">
        <v>0.32809908</v>
      </c>
      <c r="N11" s="20" t="n">
        <v>0.31601245</v>
      </c>
      <c r="O11" s="18" t="n">
        <v>0</v>
      </c>
      <c r="P11" s="20" t="n">
        <v>0</v>
      </c>
      <c r="Q11" s="18" t="n">
        <v>0</v>
      </c>
      <c r="R11" s="20" t="n">
        <v>0</v>
      </c>
      <c r="S11" s="18" t="n">
        <v>13.79962035</v>
      </c>
      <c r="T11" s="20" t="n">
        <v>1.89674</v>
      </c>
    </row>
    <row r="12" spans="1:20">
      <c r="A12" s="15" t="s">
        <v>570</v>
      </c>
      <c r="B12" s="17" t="n">
        <v>3422</v>
      </c>
      <c r="C12" s="18">
        <f>(3042.0/B12*100)</f>
        <v/>
      </c>
      <c r="D12" s="19" t="n">
        <v>380</v>
      </c>
      <c r="E12" s="18" t="n">
        <v>41.75495574</v>
      </c>
      <c r="F12" s="20" t="n">
        <v>2.89196952</v>
      </c>
      <c r="G12" s="18" t="n">
        <v>23.78752362</v>
      </c>
      <c r="H12" s="20" t="n">
        <v>2.53778227</v>
      </c>
      <c r="I12" s="18" t="n">
        <v>24.11348068</v>
      </c>
      <c r="J12" s="20" t="n">
        <v>2.1037853</v>
      </c>
      <c r="K12" s="18" t="n">
        <v>0</v>
      </c>
      <c r="L12" s="20" t="n">
        <v>0</v>
      </c>
      <c r="M12" s="18" t="n">
        <v>0</v>
      </c>
      <c r="N12" s="20" t="n">
        <v>0</v>
      </c>
      <c r="O12" s="18" t="n">
        <v>0</v>
      </c>
      <c r="P12" s="20" t="n">
        <v>0</v>
      </c>
      <c r="Q12" s="18" t="n">
        <v>0</v>
      </c>
      <c r="R12" s="20" t="n">
        <v>0</v>
      </c>
      <c r="S12" s="18" t="n">
        <v>10.34403996</v>
      </c>
      <c r="T12" s="20" t="n">
        <v>2.08968878</v>
      </c>
    </row>
    <row r="13" spans="1:20">
      <c r="A13" s="15" t="s">
        <v>571</v>
      </c>
      <c r="B13" s="17" t="n">
        <v>3602</v>
      </c>
      <c r="C13" s="18">
        <f>(3228.0/B13*100)</f>
        <v/>
      </c>
      <c r="D13" s="19" t="n">
        <v>374</v>
      </c>
      <c r="E13" s="18" t="n">
        <v>26.52932932</v>
      </c>
      <c r="F13" s="20" t="n">
        <v>2.91286543</v>
      </c>
      <c r="G13" s="18" t="n">
        <v>26.87155116</v>
      </c>
      <c r="H13" s="20" t="n">
        <v>2.86425896</v>
      </c>
      <c r="I13" s="18" t="n">
        <v>42.37694337</v>
      </c>
      <c r="J13" s="20" t="n">
        <v>2.9386296</v>
      </c>
      <c r="K13" s="18" t="n">
        <v>0</v>
      </c>
      <c r="L13" s="20" t="n">
        <v>0</v>
      </c>
      <c r="M13" s="18" t="n">
        <v>0.47412576</v>
      </c>
      <c r="N13" s="20" t="n">
        <v>0.38128047</v>
      </c>
      <c r="O13" s="18" t="n">
        <v>0</v>
      </c>
      <c r="P13" s="20" t="n">
        <v>0</v>
      </c>
      <c r="Q13" s="18" t="n">
        <v>0</v>
      </c>
      <c r="R13" s="20" t="n">
        <v>0</v>
      </c>
      <c r="S13" s="18" t="n">
        <v>3.74805039</v>
      </c>
      <c r="T13" s="20" t="n">
        <v>1.06309492</v>
      </c>
    </row>
    <row r="14" spans="1:20">
      <c r="A14" s="15" t="s">
        <v>572</v>
      </c>
      <c r="B14" s="17" t="n">
        <v>2788</v>
      </c>
      <c r="C14" s="18">
        <f>(2482.0/B14*100)</f>
        <v/>
      </c>
      <c r="D14" s="19" t="n">
        <v>306</v>
      </c>
      <c r="E14" s="18" t="n">
        <v>23.88560199</v>
      </c>
      <c r="F14" s="20" t="n">
        <v>2.84379193</v>
      </c>
      <c r="G14" s="18" t="n">
        <v>25.58118254</v>
      </c>
      <c r="H14" s="20" t="n">
        <v>2.50585191</v>
      </c>
      <c r="I14" s="18" t="n">
        <v>47.7987503</v>
      </c>
      <c r="J14" s="20" t="n">
        <v>2.74627927</v>
      </c>
      <c r="K14" s="18" t="n">
        <v>0</v>
      </c>
      <c r="L14" s="20" t="n">
        <v>0</v>
      </c>
      <c r="M14" s="18" t="n">
        <v>0</v>
      </c>
      <c r="N14" s="20" t="n">
        <v>0</v>
      </c>
      <c r="O14" s="18" t="n">
        <v>0</v>
      </c>
      <c r="P14" s="20" t="n">
        <v>0</v>
      </c>
      <c r="Q14" s="18" t="n">
        <v>0</v>
      </c>
      <c r="R14" s="20" t="n">
        <v>0</v>
      </c>
      <c r="S14" s="18" t="n">
        <v>2.73446518</v>
      </c>
      <c r="T14" s="20" t="n">
        <v>0.97801195</v>
      </c>
    </row>
    <row r="15" spans="1:20">
      <c r="A15" s="15" t="s">
        <v>573</v>
      </c>
      <c r="B15" s="17" t="n">
        <v>2863</v>
      </c>
      <c r="C15" s="18">
        <f>(2552.0/B15*100)</f>
        <v/>
      </c>
      <c r="D15" s="19" t="n">
        <v>311</v>
      </c>
      <c r="E15" s="18" t="n">
        <v>11.76831153</v>
      </c>
      <c r="F15" s="20" t="n">
        <v>1.90277407</v>
      </c>
      <c r="G15" s="18" t="n">
        <v>26.81138248</v>
      </c>
      <c r="H15" s="20" t="n">
        <v>2.3908401</v>
      </c>
      <c r="I15" s="18" t="n">
        <v>59.24439066</v>
      </c>
      <c r="J15" s="20" t="n">
        <v>2.7701385</v>
      </c>
      <c r="K15" s="18" t="n">
        <v>0</v>
      </c>
      <c r="L15" s="20" t="n">
        <v>0</v>
      </c>
      <c r="M15" s="18" t="n">
        <v>0</v>
      </c>
      <c r="N15" s="20" t="n">
        <v>0</v>
      </c>
      <c r="O15" s="18" t="n">
        <v>0</v>
      </c>
      <c r="P15" s="20" t="n">
        <v>0</v>
      </c>
      <c r="Q15" s="18" t="n">
        <v>0</v>
      </c>
      <c r="R15" s="20" t="n">
        <v>0</v>
      </c>
      <c r="S15" s="18" t="n">
        <v>2.17591533</v>
      </c>
      <c r="T15" s="20" t="n">
        <v>0.79363147</v>
      </c>
    </row>
    <row r="16" spans="1:20">
      <c r="A16" s="15" t="s">
        <v>574</v>
      </c>
      <c r="B16" s="17" t="n">
        <v>3111</v>
      </c>
      <c r="C16" s="18">
        <f>(2799.0/B16*100)</f>
        <v/>
      </c>
      <c r="D16" s="19" t="n">
        <v>312</v>
      </c>
      <c r="E16" s="18" t="n">
        <v>40.76778133</v>
      </c>
      <c r="F16" s="20" t="n">
        <v>2.86633074</v>
      </c>
      <c r="G16" s="18" t="n">
        <v>24.42654577</v>
      </c>
      <c r="H16" s="20" t="n">
        <v>2.50606027</v>
      </c>
      <c r="I16" s="18" t="n">
        <v>27.79436022</v>
      </c>
      <c r="J16" s="20" t="n">
        <v>2.77373881</v>
      </c>
      <c r="K16" s="18" t="n">
        <v>0</v>
      </c>
      <c r="L16" s="20" t="n">
        <v>0</v>
      </c>
      <c r="M16" s="18" t="n">
        <v>0</v>
      </c>
      <c r="N16" s="20" t="n">
        <v>0</v>
      </c>
      <c r="O16" s="18" t="n">
        <v>0</v>
      </c>
      <c r="P16" s="20" t="n">
        <v>0</v>
      </c>
      <c r="Q16" s="18" t="n">
        <v>0</v>
      </c>
      <c r="R16" s="20" t="n">
        <v>0</v>
      </c>
      <c r="S16" s="18" t="n">
        <v>7.01131269</v>
      </c>
      <c r="T16" s="20" t="n">
        <v>1.50931574</v>
      </c>
    </row>
    <row r="17" spans="1:20">
      <c r="A17" s="15" t="s">
        <v>575</v>
      </c>
      <c r="B17" s="17" t="n">
        <v>3197</v>
      </c>
      <c r="C17" s="18">
        <f>(2837.0/B17*100)</f>
        <v/>
      </c>
      <c r="D17" s="19" t="n">
        <v>360</v>
      </c>
      <c r="E17" s="18" t="n">
        <v>38.4444821</v>
      </c>
      <c r="F17" s="20" t="n">
        <v>2.59607237</v>
      </c>
      <c r="G17" s="18" t="n">
        <v>21.66805427</v>
      </c>
      <c r="H17" s="20" t="n">
        <v>2.19708245</v>
      </c>
      <c r="I17" s="18" t="n">
        <v>33.64630754</v>
      </c>
      <c r="J17" s="20" t="n">
        <v>2.23388104</v>
      </c>
      <c r="K17" s="18" t="n">
        <v>0</v>
      </c>
      <c r="L17" s="20" t="n">
        <v>0</v>
      </c>
      <c r="M17" s="18" t="n">
        <v>0.31092643</v>
      </c>
      <c r="N17" s="20" t="n">
        <v>0.31533026</v>
      </c>
      <c r="O17" s="18" t="n">
        <v>0</v>
      </c>
      <c r="P17" s="20" t="n">
        <v>0</v>
      </c>
      <c r="Q17" s="18" t="n">
        <v>0</v>
      </c>
      <c r="R17" s="20" t="n">
        <v>0</v>
      </c>
      <c r="S17" s="18" t="n">
        <v>5.93022965</v>
      </c>
      <c r="T17" s="20" t="n">
        <v>1.07756245</v>
      </c>
    </row>
    <row r="18" spans="1:20">
      <c r="A18" s="15" t="s">
        <v>576</v>
      </c>
      <c r="B18" s="17" t="n">
        <v>2706</v>
      </c>
      <c r="C18" s="18">
        <f>(2436.0/B18*100)</f>
        <v/>
      </c>
      <c r="D18" s="19" t="n">
        <v>270</v>
      </c>
      <c r="E18" s="18" t="n">
        <v>34.19096587</v>
      </c>
      <c r="F18" s="20" t="n">
        <v>2.92924971</v>
      </c>
      <c r="G18" s="18" t="n">
        <v>32.7368633</v>
      </c>
      <c r="H18" s="20" t="n">
        <v>2.66938726</v>
      </c>
      <c r="I18" s="18" t="n">
        <v>24.28337056</v>
      </c>
      <c r="J18" s="20" t="n">
        <v>2.69964985</v>
      </c>
      <c r="K18" s="18" t="n">
        <v>0</v>
      </c>
      <c r="L18" s="20" t="n">
        <v>0</v>
      </c>
      <c r="M18" s="18" t="n">
        <v>0</v>
      </c>
      <c r="N18" s="20" t="n">
        <v>0</v>
      </c>
      <c r="O18" s="18" t="n">
        <v>0</v>
      </c>
      <c r="P18" s="20" t="n">
        <v>0</v>
      </c>
      <c r="Q18" s="18" t="n">
        <v>0</v>
      </c>
      <c r="R18" s="20" t="n">
        <v>0</v>
      </c>
      <c r="S18" s="18" t="n">
        <v>8.788800269999999</v>
      </c>
      <c r="T18" s="20" t="n">
        <v>1.96490245</v>
      </c>
    </row>
    <row r="19" spans="1:20">
      <c r="A19" s="15" t="s">
        <v>577</v>
      </c>
      <c r="B19" s="17" t="n">
        <v>2850</v>
      </c>
      <c r="C19" s="18">
        <f>(2536.0/B19*100)</f>
        <v/>
      </c>
      <c r="D19" s="19" t="n">
        <v>314</v>
      </c>
      <c r="E19" s="18" t="n">
        <v>40.86620729</v>
      </c>
      <c r="F19" s="20" t="n">
        <v>2.51996953</v>
      </c>
      <c r="G19" s="18" t="n">
        <v>14.00695047</v>
      </c>
      <c r="H19" s="20" t="n">
        <v>1.97225837</v>
      </c>
      <c r="I19" s="18" t="n">
        <v>32.185441</v>
      </c>
      <c r="J19" s="20" t="n">
        <v>2.50919346</v>
      </c>
      <c r="K19" s="18" t="n">
        <v>0</v>
      </c>
      <c r="L19" s="20" t="n">
        <v>0</v>
      </c>
      <c r="M19" s="18" t="n">
        <v>0</v>
      </c>
      <c r="N19" s="20" t="n">
        <v>0</v>
      </c>
      <c r="O19" s="18" t="n">
        <v>0.30501897</v>
      </c>
      <c r="P19" s="20" t="n">
        <v>0.30699434</v>
      </c>
      <c r="Q19" s="18" t="n">
        <v>0</v>
      </c>
      <c r="R19" s="20" t="n">
        <v>0</v>
      </c>
      <c r="S19" s="18" t="n">
        <v>12.63638228</v>
      </c>
      <c r="T19" s="20" t="n">
        <v>1.49000274</v>
      </c>
    </row>
    <row r="20" spans="1:20">
      <c r="A20" s="15" t="s">
        <v>578</v>
      </c>
      <c r="B20" s="17" t="n">
        <v>1741</v>
      </c>
      <c r="C20" s="18">
        <f>(1558.0/B20*100)</f>
        <v/>
      </c>
      <c r="D20" s="19" t="n">
        <v>183</v>
      </c>
      <c r="E20" s="18" t="n">
        <v>47.80467876</v>
      </c>
      <c r="F20" s="20" t="n">
        <v>3.80207285</v>
      </c>
      <c r="G20" s="18" t="n">
        <v>21.56863936</v>
      </c>
      <c r="H20" s="20" t="n">
        <v>3.23487712</v>
      </c>
      <c r="I20" s="18" t="n">
        <v>21.24114865</v>
      </c>
      <c r="J20" s="20" t="n">
        <v>3.3991891</v>
      </c>
      <c r="K20" s="18" t="n">
        <v>0</v>
      </c>
      <c r="L20" s="20" t="n">
        <v>0</v>
      </c>
      <c r="M20" s="18" t="n">
        <v>0.46378246</v>
      </c>
      <c r="N20" s="20" t="n">
        <v>0.46556953</v>
      </c>
      <c r="O20" s="18" t="n">
        <v>0.8391448</v>
      </c>
      <c r="P20" s="20" t="n">
        <v>0.82261342</v>
      </c>
      <c r="Q20" s="18" t="n">
        <v>0</v>
      </c>
      <c r="R20" s="20" t="n">
        <v>0</v>
      </c>
      <c r="S20" s="18" t="n">
        <v>8.08260596</v>
      </c>
      <c r="T20" s="20" t="n">
        <v>2.03159788</v>
      </c>
    </row>
    <row r="21" spans="1:20">
      <c r="A21" s="15" t="s">
        <v>579</v>
      </c>
      <c r="B21" s="17" t="n">
        <v>2833</v>
      </c>
      <c r="C21" s="18">
        <f>(2486.0/B21*100)</f>
        <v/>
      </c>
      <c r="D21" s="19" t="n">
        <v>347</v>
      </c>
      <c r="E21" s="18" t="n">
        <v>36.35269255</v>
      </c>
      <c r="F21" s="20" t="n">
        <v>2.6381261</v>
      </c>
      <c r="G21" s="18" t="n">
        <v>27.51592643</v>
      </c>
      <c r="H21" s="20" t="n">
        <v>2.23945889</v>
      </c>
      <c r="I21" s="18" t="n">
        <v>31.96915157</v>
      </c>
      <c r="J21" s="20" t="n">
        <v>2.39764298</v>
      </c>
      <c r="K21" s="18" t="n">
        <v>0</v>
      </c>
      <c r="L21" s="20" t="n">
        <v>0</v>
      </c>
      <c r="M21" s="18" t="n">
        <v>0</v>
      </c>
      <c r="N21" s="20" t="n">
        <v>0</v>
      </c>
      <c r="O21" s="18" t="n">
        <v>0</v>
      </c>
      <c r="P21" s="20" t="n">
        <v>0</v>
      </c>
      <c r="Q21" s="18" t="n">
        <v>0</v>
      </c>
      <c r="R21" s="20" t="n">
        <v>0</v>
      </c>
      <c r="S21" s="18" t="n">
        <v>4.16222945</v>
      </c>
      <c r="T21" s="20" t="n">
        <v>1.01157259</v>
      </c>
    </row>
    <row r="22" spans="1:20">
      <c r="A22" s="15" t="s">
        <v>580</v>
      </c>
      <c r="B22" s="17" t="n">
        <v>3667</v>
      </c>
      <c r="C22" s="18">
        <f>(3258.0/B22*100)</f>
        <v/>
      </c>
      <c r="D22" s="19" t="n">
        <v>409</v>
      </c>
      <c r="E22" s="18" t="n">
        <v>49.45166832</v>
      </c>
      <c r="F22" s="20" t="n">
        <v>2.56856988</v>
      </c>
      <c r="G22" s="18" t="n">
        <v>20.04106318</v>
      </c>
      <c r="H22" s="20" t="n">
        <v>1.99381568</v>
      </c>
      <c r="I22" s="18" t="n">
        <v>16.71373635</v>
      </c>
      <c r="J22" s="20" t="n">
        <v>2.00315089</v>
      </c>
      <c r="K22" s="18" t="n">
        <v>0</v>
      </c>
      <c r="L22" s="20" t="n">
        <v>0</v>
      </c>
      <c r="M22" s="18" t="n">
        <v>0</v>
      </c>
      <c r="N22" s="20" t="n">
        <v>0</v>
      </c>
      <c r="O22" s="18" t="n">
        <v>0</v>
      </c>
      <c r="P22" s="20" t="n">
        <v>0</v>
      </c>
      <c r="Q22" s="18" t="n">
        <v>0</v>
      </c>
      <c r="R22" s="20" t="n">
        <v>0</v>
      </c>
      <c r="S22" s="18" t="n">
        <v>13.79353215</v>
      </c>
      <c r="T22" s="20" t="n">
        <v>1.85525972</v>
      </c>
    </row>
    <row r="23" spans="1:20">
      <c r="A23" s="15" t="s">
        <v>581</v>
      </c>
      <c r="B23" s="17" t="n">
        <v>5792</v>
      </c>
      <c r="C23" s="18">
        <f>(5148.0/B23*100)</f>
        <v/>
      </c>
      <c r="D23" s="19" t="n">
        <v>644</v>
      </c>
      <c r="E23" s="18" t="n">
        <v>40.76247497</v>
      </c>
      <c r="F23" s="20" t="n">
        <v>2.78507766</v>
      </c>
      <c r="G23" s="18" t="n">
        <v>21.56395284</v>
      </c>
      <c r="H23" s="20" t="n">
        <v>2.65660055</v>
      </c>
      <c r="I23" s="18" t="n">
        <v>25.61311051</v>
      </c>
      <c r="J23" s="20" t="n">
        <v>3.14615947</v>
      </c>
      <c r="K23" s="18" t="n">
        <v>0</v>
      </c>
      <c r="L23" s="20" t="n">
        <v>0</v>
      </c>
      <c r="M23" s="18" t="n">
        <v>0</v>
      </c>
      <c r="N23" s="20" t="n">
        <v>0</v>
      </c>
      <c r="O23" s="18" t="n">
        <v>0</v>
      </c>
      <c r="P23" s="20" t="n">
        <v>0</v>
      </c>
      <c r="Q23" s="18" t="n">
        <v>0</v>
      </c>
      <c r="R23" s="20" t="n">
        <v>0</v>
      </c>
      <c r="S23" s="18" t="n">
        <v>12.06046168</v>
      </c>
      <c r="T23" s="20" t="n">
        <v>2.00688945</v>
      </c>
    </row>
    <row r="24" spans="1:20">
      <c r="A24" s="15" t="s">
        <v>582</v>
      </c>
      <c r="B24" s="17" t="n">
        <v>3309</v>
      </c>
      <c r="C24" s="18">
        <f>(2931.0/B24*100)</f>
        <v/>
      </c>
      <c r="D24" s="19" t="n">
        <v>378</v>
      </c>
      <c r="E24" s="18" t="n">
        <v>19.19800794</v>
      </c>
      <c r="F24" s="20" t="n">
        <v>1.78412348</v>
      </c>
      <c r="G24" s="18" t="n">
        <v>56.64935507</v>
      </c>
      <c r="H24" s="20" t="n">
        <v>2.24930051</v>
      </c>
      <c r="I24" s="18" t="n">
        <v>18.03881312</v>
      </c>
      <c r="J24" s="20" t="n">
        <v>1.98570303</v>
      </c>
      <c r="K24" s="18" t="n">
        <v>0</v>
      </c>
      <c r="L24" s="20" t="n">
        <v>0</v>
      </c>
      <c r="M24" s="18" t="n">
        <v>0</v>
      </c>
      <c r="N24" s="20" t="n">
        <v>0</v>
      </c>
      <c r="O24" s="18" t="n">
        <v>0</v>
      </c>
      <c r="P24" s="20" t="n">
        <v>0</v>
      </c>
      <c r="Q24" s="18" t="n">
        <v>0</v>
      </c>
      <c r="R24" s="20" t="n">
        <v>0</v>
      </c>
      <c r="S24" s="18" t="n">
        <v>6.11382387</v>
      </c>
      <c r="T24" s="20" t="n">
        <v>1.43369271</v>
      </c>
    </row>
    <row r="25" spans="1:20">
      <c r="A25" s="15" t="s">
        <v>583</v>
      </c>
      <c r="B25" s="17" t="n">
        <v>2669</v>
      </c>
      <c r="C25" s="18">
        <f>(2396.0/B25*100)</f>
        <v/>
      </c>
      <c r="D25" s="19" t="n">
        <v>273</v>
      </c>
      <c r="E25" s="18" t="n">
        <v>27.22577503</v>
      </c>
      <c r="F25" s="20" t="n">
        <v>3.11842635</v>
      </c>
      <c r="G25" s="18" t="n">
        <v>41.27444071</v>
      </c>
      <c r="H25" s="20" t="n">
        <v>2.93593568</v>
      </c>
      <c r="I25" s="18" t="n">
        <v>26.45287954</v>
      </c>
      <c r="J25" s="20" t="n">
        <v>2.87515219</v>
      </c>
      <c r="K25" s="18" t="n">
        <v>0</v>
      </c>
      <c r="L25" s="20" t="n">
        <v>0</v>
      </c>
      <c r="M25" s="18" t="n">
        <v>0.33916492</v>
      </c>
      <c r="N25" s="20" t="n">
        <v>0.47668997</v>
      </c>
      <c r="O25" s="18" t="n">
        <v>0</v>
      </c>
      <c r="P25" s="20" t="n">
        <v>0</v>
      </c>
      <c r="Q25" s="18" t="n">
        <v>0</v>
      </c>
      <c r="R25" s="20" t="n">
        <v>0</v>
      </c>
      <c r="S25" s="18" t="n">
        <v>4.7077398</v>
      </c>
      <c r="T25" s="20" t="n">
        <v>1.50989398</v>
      </c>
    </row>
    <row r="26" spans="1:20">
      <c r="A26" s="15" t="s">
        <v>584</v>
      </c>
      <c r="B26" s="17" t="n">
        <v>2419</v>
      </c>
      <c r="C26" s="18">
        <f>(2155.0/B26*100)</f>
        <v/>
      </c>
      <c r="D26" s="19" t="n">
        <v>264</v>
      </c>
      <c r="E26" s="18" t="n">
        <v>32.00515638</v>
      </c>
      <c r="F26" s="20" t="n">
        <v>3.08555648</v>
      </c>
      <c r="G26" s="18" t="n">
        <v>22.91376529</v>
      </c>
      <c r="H26" s="20" t="n">
        <v>2.75563309</v>
      </c>
      <c r="I26" s="18" t="n">
        <v>42.32816205</v>
      </c>
      <c r="J26" s="20" t="n">
        <v>3.48497481</v>
      </c>
      <c r="K26" s="18" t="n">
        <v>0</v>
      </c>
      <c r="L26" s="20" t="n">
        <v>0</v>
      </c>
      <c r="M26" s="18" t="n">
        <v>0</v>
      </c>
      <c r="N26" s="20" t="n">
        <v>0</v>
      </c>
      <c r="O26" s="18" t="n">
        <v>0</v>
      </c>
      <c r="P26" s="20" t="n">
        <v>0</v>
      </c>
      <c r="Q26" s="18" t="n">
        <v>0</v>
      </c>
      <c r="R26" s="20" t="n">
        <v>0</v>
      </c>
      <c r="S26" s="18" t="n">
        <v>2.75291627</v>
      </c>
      <c r="T26" s="20" t="n">
        <v>0.9738585199999999</v>
      </c>
    </row>
    <row r="27" spans="1:20">
      <c r="A27" s="15" t="s">
        <v>585</v>
      </c>
      <c r="B27" s="17" t="n">
        <v>2683</v>
      </c>
      <c r="C27" s="18">
        <f>(2370.0/B27*100)</f>
        <v/>
      </c>
      <c r="D27" s="19" t="n">
        <v>313</v>
      </c>
      <c r="E27" s="18" t="n">
        <v>34.16300498</v>
      </c>
      <c r="F27" s="20" t="n">
        <v>2.89417055</v>
      </c>
      <c r="G27" s="18" t="n">
        <v>27.25110589</v>
      </c>
      <c r="H27" s="20" t="n">
        <v>2.64670924</v>
      </c>
      <c r="I27" s="18" t="n">
        <v>30.83396056</v>
      </c>
      <c r="J27" s="20" t="n">
        <v>2.96871948</v>
      </c>
      <c r="K27" s="18" t="n">
        <v>0</v>
      </c>
      <c r="L27" s="20" t="n">
        <v>0</v>
      </c>
      <c r="M27" s="18" t="n">
        <v>0</v>
      </c>
      <c r="N27" s="20" t="n">
        <v>0</v>
      </c>
      <c r="O27" s="18" t="n">
        <v>0</v>
      </c>
      <c r="P27" s="20" t="n">
        <v>0</v>
      </c>
      <c r="Q27" s="18" t="n">
        <v>0</v>
      </c>
      <c r="R27" s="20" t="n">
        <v>0</v>
      </c>
      <c r="S27" s="18" t="n">
        <v>7.75192857</v>
      </c>
      <c r="T27" s="20" t="n">
        <v>1.61154092</v>
      </c>
    </row>
    <row r="28" spans="1:20">
      <c r="A28" s="15" t="s">
        <v>586</v>
      </c>
      <c r="B28" s="17" t="n">
        <v>3803</v>
      </c>
      <c r="C28" s="18">
        <f>(3411.0/B28*100)</f>
        <v/>
      </c>
      <c r="D28" s="19" t="n">
        <v>392</v>
      </c>
      <c r="E28" s="18" t="n">
        <v>67.03125425</v>
      </c>
      <c r="F28" s="20" t="n">
        <v>2.51566365</v>
      </c>
      <c r="G28" s="18" t="n">
        <v>18.36748496</v>
      </c>
      <c r="H28" s="20" t="n">
        <v>1.89459125</v>
      </c>
      <c r="I28" s="18" t="n">
        <v>8.75187144</v>
      </c>
      <c r="J28" s="20" t="n">
        <v>1.46367674</v>
      </c>
      <c r="K28" s="18" t="n">
        <v>0</v>
      </c>
      <c r="L28" s="20" t="n">
        <v>0</v>
      </c>
      <c r="M28" s="18" t="n">
        <v>0.51371624</v>
      </c>
      <c r="N28" s="20" t="n">
        <v>0.36969281</v>
      </c>
      <c r="O28" s="18" t="n">
        <v>0.23479313</v>
      </c>
      <c r="P28" s="20" t="n">
        <v>0.24432102</v>
      </c>
      <c r="Q28" s="18" t="n">
        <v>0</v>
      </c>
      <c r="R28" s="20" t="n">
        <v>0</v>
      </c>
      <c r="S28" s="18" t="n">
        <v>5.10087998</v>
      </c>
      <c r="T28" s="20" t="n">
        <v>1.31634806</v>
      </c>
    </row>
    <row r="29" spans="1:20">
      <c r="A29" s="15" t="s">
        <v>587</v>
      </c>
      <c r="B29" s="17" t="n">
        <v>2700</v>
      </c>
      <c r="C29" s="18">
        <f>(2395.0/B29*100)</f>
        <v/>
      </c>
      <c r="D29" s="19" t="n">
        <v>305</v>
      </c>
      <c r="E29" s="18" t="n">
        <v>29.17644947</v>
      </c>
      <c r="F29" s="20" t="n">
        <v>2.82724419</v>
      </c>
      <c r="G29" s="18" t="n">
        <v>24.35289967</v>
      </c>
      <c r="H29" s="20" t="n">
        <v>2.59195709</v>
      </c>
      <c r="I29" s="18" t="n">
        <v>41.53516227</v>
      </c>
      <c r="J29" s="20" t="n">
        <v>2.98890979</v>
      </c>
      <c r="K29" s="18" t="n">
        <v>0</v>
      </c>
      <c r="L29" s="20" t="n">
        <v>0</v>
      </c>
      <c r="M29" s="18" t="n">
        <v>0.42764208</v>
      </c>
      <c r="N29" s="20" t="n">
        <v>0.33070974</v>
      </c>
      <c r="O29" s="18" t="n">
        <v>0</v>
      </c>
      <c r="P29" s="20" t="n">
        <v>0</v>
      </c>
      <c r="Q29" s="18" t="n">
        <v>0</v>
      </c>
      <c r="R29" s="20" t="n">
        <v>0</v>
      </c>
      <c r="S29" s="18" t="n">
        <v>4.5078465</v>
      </c>
      <c r="T29" s="20" t="n">
        <v>1.01176251</v>
      </c>
    </row>
    <row r="30" spans="1:20">
      <c r="A30" s="15" t="s">
        <v>588</v>
      </c>
      <c r="B30" s="17" t="n">
        <v>2257</v>
      </c>
      <c r="C30" s="18">
        <f>(2009.0/B30*100)</f>
        <v/>
      </c>
      <c r="D30" s="19" t="n">
        <v>248</v>
      </c>
      <c r="E30" s="18" t="n">
        <v>36.75959617</v>
      </c>
      <c r="F30" s="20" t="n">
        <v>3.08664458</v>
      </c>
      <c r="G30" s="18" t="n">
        <v>23.67048574</v>
      </c>
      <c r="H30" s="20" t="n">
        <v>2.84362087</v>
      </c>
      <c r="I30" s="18" t="n">
        <v>30.48929854</v>
      </c>
      <c r="J30" s="20" t="n">
        <v>2.8289799</v>
      </c>
      <c r="K30" s="18" t="n">
        <v>0</v>
      </c>
      <c r="L30" s="20" t="n">
        <v>0</v>
      </c>
      <c r="M30" s="18" t="n">
        <v>0</v>
      </c>
      <c r="N30" s="20" t="n">
        <v>0</v>
      </c>
      <c r="O30" s="18" t="n">
        <v>0</v>
      </c>
      <c r="P30" s="20" t="n">
        <v>0</v>
      </c>
      <c r="Q30" s="18" t="n">
        <v>0</v>
      </c>
      <c r="R30" s="20" t="n">
        <v>0</v>
      </c>
      <c r="S30" s="18" t="n">
        <v>9.08061955</v>
      </c>
      <c r="T30" s="20" t="n">
        <v>2.02465086</v>
      </c>
    </row>
    <row r="31" spans="1:20">
      <c r="A31" s="15" t="s">
        <v>589</v>
      </c>
      <c r="B31" s="17" t="n">
        <v>2706</v>
      </c>
      <c r="C31" s="18">
        <f>(2413.0/B31*100)</f>
        <v/>
      </c>
      <c r="D31" s="19" t="n">
        <v>293</v>
      </c>
      <c r="E31" s="18" t="n">
        <v>35.28578414</v>
      </c>
      <c r="F31" s="20" t="n">
        <v>2.61371361</v>
      </c>
      <c r="G31" s="18" t="n">
        <v>18.83838375</v>
      </c>
      <c r="H31" s="20" t="n">
        <v>2.40196558</v>
      </c>
      <c r="I31" s="18" t="n">
        <v>38.52840866</v>
      </c>
      <c r="J31" s="20" t="n">
        <v>3.05160662</v>
      </c>
      <c r="K31" s="18" t="n">
        <v>0</v>
      </c>
      <c r="L31" s="20" t="n">
        <v>0</v>
      </c>
      <c r="M31" s="18" t="n">
        <v>0.33478789</v>
      </c>
      <c r="N31" s="20" t="n">
        <v>0.30219483</v>
      </c>
      <c r="O31" s="18" t="n">
        <v>0.347735</v>
      </c>
      <c r="P31" s="20" t="n">
        <v>0.27576732</v>
      </c>
      <c r="Q31" s="18" t="n">
        <v>0</v>
      </c>
      <c r="R31" s="20" t="n">
        <v>0</v>
      </c>
      <c r="S31" s="18" t="n">
        <v>6.66490056</v>
      </c>
      <c r="T31" s="20" t="n">
        <v>1.47762902</v>
      </c>
    </row>
    <row r="32" spans="1:20">
      <c r="A32" s="15" t="s">
        <v>590</v>
      </c>
      <c r="B32" s="17" t="n">
        <v>2209</v>
      </c>
      <c r="C32" s="18">
        <f>(1966.0/B32*100)</f>
        <v/>
      </c>
      <c r="D32" s="19" t="n">
        <v>243</v>
      </c>
      <c r="E32" s="18" t="n">
        <v>26.10459651</v>
      </c>
      <c r="F32" s="20" t="n">
        <v>2.87483615</v>
      </c>
      <c r="G32" s="18" t="n">
        <v>15.76321153</v>
      </c>
      <c r="H32" s="20" t="n">
        <v>2.15603085</v>
      </c>
      <c r="I32" s="18" t="n">
        <v>52.26377478</v>
      </c>
      <c r="J32" s="20" t="n">
        <v>3.09297666</v>
      </c>
      <c r="K32" s="18" t="n">
        <v>0</v>
      </c>
      <c r="L32" s="20" t="n">
        <v>0</v>
      </c>
      <c r="M32" s="18" t="n">
        <v>0</v>
      </c>
      <c r="N32" s="20" t="n">
        <v>0</v>
      </c>
      <c r="O32" s="18" t="n">
        <v>0</v>
      </c>
      <c r="P32" s="20" t="n">
        <v>0</v>
      </c>
      <c r="Q32" s="18" t="n">
        <v>0</v>
      </c>
      <c r="R32" s="20" t="n">
        <v>0</v>
      </c>
      <c r="S32" s="18" t="n">
        <v>5.86841718</v>
      </c>
      <c r="T32" s="20" t="n">
        <v>1.43768561</v>
      </c>
    </row>
    <row r="33" spans="1:20">
      <c r="A33" s="15" t="s">
        <v>591</v>
      </c>
      <c r="B33" s="17" t="n">
        <v>3651</v>
      </c>
      <c r="C33" s="18">
        <f>(3243.0/B33*100)</f>
        <v/>
      </c>
      <c r="D33" s="19" t="n">
        <v>408</v>
      </c>
      <c r="E33" s="18" t="n">
        <v>34.91154837</v>
      </c>
      <c r="F33" s="20" t="n">
        <v>3.21018977</v>
      </c>
      <c r="G33" s="18" t="n">
        <v>28.50759121</v>
      </c>
      <c r="H33" s="20" t="n">
        <v>2.55049254</v>
      </c>
      <c r="I33" s="18" t="n">
        <v>33.18669171</v>
      </c>
      <c r="J33" s="20" t="n">
        <v>2.53294182</v>
      </c>
      <c r="K33" s="18" t="n">
        <v>0</v>
      </c>
      <c r="L33" s="20" t="n">
        <v>0</v>
      </c>
      <c r="M33" s="18" t="n">
        <v>0</v>
      </c>
      <c r="N33" s="20" t="n">
        <v>0</v>
      </c>
      <c r="O33" s="18" t="n">
        <v>0.42701235</v>
      </c>
      <c r="P33" s="20" t="n">
        <v>0.47705011</v>
      </c>
      <c r="Q33" s="18" t="n">
        <v>0</v>
      </c>
      <c r="R33" s="20" t="n">
        <v>0</v>
      </c>
      <c r="S33" s="18" t="n">
        <v>2.96715636</v>
      </c>
      <c r="T33" s="20" t="n">
        <v>0.91392489</v>
      </c>
    </row>
    <row r="34" spans="1:20">
      <c r="A34" s="15" t="s">
        <v>592</v>
      </c>
      <c r="B34" s="17" t="n">
        <v>3035</v>
      </c>
      <c r="C34" s="18">
        <f>(2720.0/B34*100)</f>
        <v/>
      </c>
      <c r="D34" s="19" t="n">
        <v>315</v>
      </c>
      <c r="E34" s="18" t="n">
        <v>39.6671086</v>
      </c>
      <c r="F34" s="20" t="n">
        <v>2.70101763</v>
      </c>
      <c r="G34" s="18" t="n">
        <v>22.84402853</v>
      </c>
      <c r="H34" s="20" t="n">
        <v>2.32798665</v>
      </c>
      <c r="I34" s="18" t="n">
        <v>26.11605421</v>
      </c>
      <c r="J34" s="20" t="n">
        <v>2.32750085</v>
      </c>
      <c r="K34" s="18" t="n">
        <v>0</v>
      </c>
      <c r="L34" s="20" t="n">
        <v>0</v>
      </c>
      <c r="M34" s="18" t="n">
        <v>0.43109598</v>
      </c>
      <c r="N34" s="20" t="n">
        <v>0.24187417</v>
      </c>
      <c r="O34" s="18" t="n">
        <v>0</v>
      </c>
      <c r="P34" s="20" t="n">
        <v>0</v>
      </c>
      <c r="Q34" s="18" t="n">
        <v>0</v>
      </c>
      <c r="R34" s="20" t="n">
        <v>0</v>
      </c>
      <c r="S34" s="18" t="n">
        <v>10.94171268</v>
      </c>
      <c r="T34" s="20" t="n">
        <v>1.51084506</v>
      </c>
    </row>
    <row r="35" spans="1:20">
      <c r="A35" s="15" t="s">
        <v>593</v>
      </c>
      <c r="B35" s="17" t="n">
        <v>2901</v>
      </c>
      <c r="C35" s="18">
        <f>(2576.0/B35*100)</f>
        <v/>
      </c>
      <c r="D35" s="19" t="n">
        <v>325</v>
      </c>
      <c r="E35" s="18" t="n">
        <v>24.12939636</v>
      </c>
      <c r="F35" s="20" t="n">
        <v>3.16836571</v>
      </c>
      <c r="G35" s="18" t="n">
        <v>22.82790423</v>
      </c>
      <c r="H35" s="20" t="n">
        <v>2.86434979</v>
      </c>
      <c r="I35" s="18" t="n">
        <v>48.15742837</v>
      </c>
      <c r="J35" s="20" t="n">
        <v>3.42824472</v>
      </c>
      <c r="K35" s="18" t="n">
        <v>0</v>
      </c>
      <c r="L35" s="20" t="n">
        <v>0</v>
      </c>
      <c r="M35" s="18" t="n">
        <v>0</v>
      </c>
      <c r="N35" s="20" t="n">
        <v>0</v>
      </c>
      <c r="O35" s="18" t="n">
        <v>0</v>
      </c>
      <c r="P35" s="20" t="n">
        <v>0</v>
      </c>
      <c r="Q35" s="18" t="n">
        <v>0</v>
      </c>
      <c r="R35" s="20" t="n">
        <v>0</v>
      </c>
      <c r="S35" s="18" t="n">
        <v>4.88527104</v>
      </c>
      <c r="T35" s="20" t="n">
        <v>1.41058351</v>
      </c>
    </row>
    <row r="36" spans="1:20">
      <c r="A36" s="15" t="s">
        <v>594</v>
      </c>
      <c r="B36" s="17" t="n">
        <v>3404</v>
      </c>
      <c r="C36" s="18">
        <f>(3029.0/B36*100)</f>
        <v/>
      </c>
      <c r="D36" s="19" t="n">
        <v>375</v>
      </c>
      <c r="E36" s="18" t="n">
        <v>31.04144813</v>
      </c>
      <c r="F36" s="20" t="n">
        <v>2.33694646</v>
      </c>
      <c r="G36" s="18" t="n">
        <v>23.52292654</v>
      </c>
      <c r="H36" s="20" t="n">
        <v>2.25027794</v>
      </c>
      <c r="I36" s="18" t="n">
        <v>38.99490654</v>
      </c>
      <c r="J36" s="20" t="n">
        <v>2.41958346</v>
      </c>
      <c r="K36" s="18" t="n">
        <v>0</v>
      </c>
      <c r="L36" s="20" t="n">
        <v>0</v>
      </c>
      <c r="M36" s="18" t="n">
        <v>0</v>
      </c>
      <c r="N36" s="20" t="n">
        <v>0</v>
      </c>
      <c r="O36" s="18" t="n">
        <v>0</v>
      </c>
      <c r="P36" s="20" t="n">
        <v>0</v>
      </c>
      <c r="Q36" s="18" t="n">
        <v>0</v>
      </c>
      <c r="R36" s="20" t="n">
        <v>0</v>
      </c>
      <c r="S36" s="18" t="n">
        <v>6.44071878</v>
      </c>
      <c r="T36" s="20" t="n">
        <v>1.41795534</v>
      </c>
    </row>
    <row r="37" spans="1:20">
      <c r="A37" s="15" t="s">
        <v>595</v>
      </c>
      <c r="B37" s="17" t="n">
        <v>2731</v>
      </c>
      <c r="C37" s="18">
        <f>(2432.0/B37*100)</f>
        <v/>
      </c>
      <c r="D37" s="19" t="n">
        <v>299</v>
      </c>
      <c r="E37" s="18" t="n">
        <v>44.03170231</v>
      </c>
      <c r="F37" s="20" t="n">
        <v>3.21569409</v>
      </c>
      <c r="G37" s="18" t="n">
        <v>20.91089443</v>
      </c>
      <c r="H37" s="20" t="n">
        <v>2.44280421</v>
      </c>
      <c r="I37" s="18" t="n">
        <v>26.46263579</v>
      </c>
      <c r="J37" s="20" t="n">
        <v>2.76365037</v>
      </c>
      <c r="K37" s="18" t="n">
        <v>0</v>
      </c>
      <c r="L37" s="20" t="n">
        <v>0</v>
      </c>
      <c r="M37" s="18" t="n">
        <v>0</v>
      </c>
      <c r="N37" s="20" t="n">
        <v>0</v>
      </c>
      <c r="O37" s="18" t="n">
        <v>0</v>
      </c>
      <c r="P37" s="20" t="n">
        <v>0</v>
      </c>
      <c r="Q37" s="18" t="n">
        <v>0</v>
      </c>
      <c r="R37" s="20" t="n">
        <v>0</v>
      </c>
      <c r="S37" s="18" t="n">
        <v>8.594767470000001</v>
      </c>
      <c r="T37" s="20" t="n">
        <v>1.70527569</v>
      </c>
    </row>
    <row r="38" spans="1:20">
      <c r="A38" s="15" t="s">
        <v>596</v>
      </c>
      <c r="B38" s="17" t="n">
        <v>2807</v>
      </c>
      <c r="C38" s="18">
        <f>(2509.0/B38*100)</f>
        <v/>
      </c>
      <c r="D38" s="19" t="n">
        <v>298</v>
      </c>
      <c r="E38" s="18" t="n">
        <v>30.07053012</v>
      </c>
      <c r="F38" s="20" t="n">
        <v>3.00671733</v>
      </c>
      <c r="G38" s="18" t="n">
        <v>27.19539996</v>
      </c>
      <c r="H38" s="20" t="n">
        <v>3.08226776</v>
      </c>
      <c r="I38" s="18" t="n">
        <v>34.03907389</v>
      </c>
      <c r="J38" s="20" t="n">
        <v>3.12434793</v>
      </c>
      <c r="K38" s="18" t="n">
        <v>0</v>
      </c>
      <c r="L38" s="20" t="n">
        <v>0</v>
      </c>
      <c r="M38" s="18" t="n">
        <v>0.27885979</v>
      </c>
      <c r="N38" s="20" t="n">
        <v>0.28005581</v>
      </c>
      <c r="O38" s="18" t="n">
        <v>4.33010861</v>
      </c>
      <c r="P38" s="20" t="n">
        <v>1.40542492</v>
      </c>
      <c r="Q38" s="18" t="n">
        <v>0</v>
      </c>
      <c r="R38" s="20" t="n">
        <v>0</v>
      </c>
      <c r="S38" s="18" t="n">
        <v>4.08602764</v>
      </c>
      <c r="T38" s="20" t="n">
        <v>1.04136449</v>
      </c>
    </row>
    <row r="39" spans="1:20">
      <c r="A39" s="15" t="s">
        <v>597</v>
      </c>
      <c r="B39" s="17" t="n">
        <v>2938</v>
      </c>
      <c r="C39" s="18">
        <f>(2613.0/B39*100)</f>
        <v/>
      </c>
      <c r="D39" s="19" t="n">
        <v>325</v>
      </c>
      <c r="E39" s="18" t="n">
        <v>55.92996472</v>
      </c>
      <c r="F39" s="20" t="n">
        <v>2.86053683</v>
      </c>
      <c r="G39" s="18" t="n">
        <v>19.89476304</v>
      </c>
      <c r="H39" s="20" t="n">
        <v>2.19960239</v>
      </c>
      <c r="I39" s="18" t="n">
        <v>10.39339249</v>
      </c>
      <c r="J39" s="20" t="n">
        <v>1.88538667</v>
      </c>
      <c r="K39" s="18" t="n">
        <v>0</v>
      </c>
      <c r="L39" s="20" t="n">
        <v>0</v>
      </c>
      <c r="M39" s="18" t="n">
        <v>0</v>
      </c>
      <c r="N39" s="20" t="n">
        <v>0</v>
      </c>
      <c r="O39" s="18" t="n">
        <v>0</v>
      </c>
      <c r="P39" s="20" t="n">
        <v>0</v>
      </c>
      <c r="Q39" s="18" t="n">
        <v>0</v>
      </c>
      <c r="R39" s="20" t="n">
        <v>0</v>
      </c>
      <c r="S39" s="18" t="n">
        <v>13.78187975</v>
      </c>
      <c r="T39" s="20" t="n">
        <v>1.91165061</v>
      </c>
    </row>
    <row r="40" spans="1:20">
      <c r="A40" s="15" t="s">
        <v>598</v>
      </c>
      <c r="B40" s="17" t="n">
        <v>6922</v>
      </c>
      <c r="C40" s="18">
        <f>(6186.0/B40*100)</f>
        <v/>
      </c>
      <c r="D40" s="19" t="n">
        <v>736</v>
      </c>
      <c r="E40" s="18" t="n">
        <v>50.4708827</v>
      </c>
      <c r="F40" s="20" t="n">
        <v>2.91626002</v>
      </c>
      <c r="G40" s="18" t="n">
        <v>17.26336082</v>
      </c>
      <c r="H40" s="20" t="n">
        <v>2.11965971</v>
      </c>
      <c r="I40" s="18" t="n">
        <v>26.57450445</v>
      </c>
      <c r="J40" s="20" t="n">
        <v>2.26736045</v>
      </c>
      <c r="K40" s="18" t="n">
        <v>0</v>
      </c>
      <c r="L40" s="20" t="n">
        <v>0</v>
      </c>
      <c r="M40" s="18" t="n">
        <v>0.02899782</v>
      </c>
      <c r="N40" s="20" t="n">
        <v>0.04031935</v>
      </c>
      <c r="O40" s="18" t="n">
        <v>0</v>
      </c>
      <c r="P40" s="20" t="n">
        <v>0</v>
      </c>
      <c r="Q40" s="18" t="n">
        <v>0</v>
      </c>
      <c r="R40" s="20" t="n">
        <v>0</v>
      </c>
      <c r="S40" s="18" t="n">
        <v>5.6622542</v>
      </c>
      <c r="T40" s="20" t="n">
        <v>1.2013318</v>
      </c>
    </row>
    <row r="41" spans="1:20">
      <c r="A41" s="15" t="s">
        <v>599</v>
      </c>
      <c r="B41" s="17" t="n">
        <v>2854</v>
      </c>
      <c r="C41" s="18">
        <f>(2546.0/B41*100)</f>
        <v/>
      </c>
      <c r="D41" s="19" t="n">
        <v>308</v>
      </c>
      <c r="E41" s="18" t="n">
        <v>45.35837947</v>
      </c>
      <c r="F41" s="20" t="n">
        <v>3.44091349</v>
      </c>
      <c r="G41" s="18" t="n">
        <v>25.41168692</v>
      </c>
      <c r="H41" s="20" t="n">
        <v>2.66508388</v>
      </c>
      <c r="I41" s="18" t="n">
        <v>27.75978245</v>
      </c>
      <c r="J41" s="20" t="n">
        <v>3.01561759</v>
      </c>
      <c r="K41" s="18" t="n">
        <v>0</v>
      </c>
      <c r="L41" s="20" t="n">
        <v>0</v>
      </c>
      <c r="M41" s="18" t="n">
        <v>0</v>
      </c>
      <c r="N41" s="20" t="n">
        <v>0</v>
      </c>
      <c r="O41" s="18" t="n">
        <v>0.25238963</v>
      </c>
      <c r="P41" s="20" t="n">
        <v>0.23780631</v>
      </c>
      <c r="Q41" s="18" t="n">
        <v>0</v>
      </c>
      <c r="R41" s="20" t="n">
        <v>0</v>
      </c>
      <c r="S41" s="18" t="n">
        <v>1.21776153</v>
      </c>
      <c r="T41" s="20" t="n">
        <v>0.58480495</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12073</v>
      </c>
      <c r="C46" s="18">
        <f>(10852.0/B46*100)</f>
        <v/>
      </c>
      <c r="D46" s="19" t="n">
        <v>1221</v>
      </c>
      <c r="E46" s="18" t="n">
        <v>51.85411845</v>
      </c>
      <c r="F46" s="20" t="n">
        <v>1.63947411</v>
      </c>
      <c r="G46" s="18" t="n">
        <v>20.81605693</v>
      </c>
      <c r="H46" s="20" t="n">
        <v>1.30440978</v>
      </c>
      <c r="I46" s="18" t="n">
        <v>4.37951846</v>
      </c>
      <c r="J46" s="20" t="n">
        <v>0.6752314</v>
      </c>
      <c r="K46" s="18" t="n">
        <v>0</v>
      </c>
      <c r="L46" s="20" t="n">
        <v>0</v>
      </c>
      <c r="M46" s="18" t="n">
        <v>0.14277205</v>
      </c>
      <c r="N46" s="20" t="n">
        <v>0.14286948</v>
      </c>
      <c r="O46" s="18" t="n">
        <v>0.26643139</v>
      </c>
      <c r="P46" s="20" t="n">
        <v>0.20418026</v>
      </c>
      <c r="Q46" s="18" t="n">
        <v>0</v>
      </c>
      <c r="R46" s="20" t="n">
        <v>0</v>
      </c>
      <c r="S46" s="18" t="n">
        <v>22.54110272</v>
      </c>
      <c r="T46" s="20" t="n">
        <v>1.49763023</v>
      </c>
    </row>
    <row r="47" spans="1:20">
      <c r="A47" s="15" t="s">
        <v>606</v>
      </c>
      <c r="B47" s="17" t="n">
        <v>2823</v>
      </c>
      <c r="C47" s="18">
        <f>(2514.0/B47*100)</f>
        <v/>
      </c>
      <c r="D47" s="19" t="n">
        <v>309</v>
      </c>
      <c r="E47" s="18" t="n">
        <v>36.32941659</v>
      </c>
      <c r="F47" s="20" t="n">
        <v>3.23100359</v>
      </c>
      <c r="G47" s="18" t="n">
        <v>19.61849106</v>
      </c>
      <c r="H47" s="20" t="n">
        <v>1.9718255</v>
      </c>
      <c r="I47" s="18" t="n">
        <v>29.56899297</v>
      </c>
      <c r="J47" s="20" t="n">
        <v>2.82547319</v>
      </c>
      <c r="K47" s="18" t="n">
        <v>0</v>
      </c>
      <c r="L47" s="20" t="n">
        <v>0</v>
      </c>
      <c r="M47" s="18" t="n">
        <v>0.99979437</v>
      </c>
      <c r="N47" s="20" t="n">
        <v>0.65837751</v>
      </c>
      <c r="O47" s="18" t="n">
        <v>0</v>
      </c>
      <c r="P47" s="20" t="n">
        <v>0</v>
      </c>
      <c r="Q47" s="18" t="n">
        <v>0</v>
      </c>
      <c r="R47" s="20" t="n">
        <v>0</v>
      </c>
      <c r="S47" s="18" t="n">
        <v>13.48330501</v>
      </c>
      <c r="T47" s="20" t="n">
        <v>2.14521309</v>
      </c>
    </row>
    <row r="48" spans="1:20">
      <c r="A48" s="15" t="s">
        <v>607</v>
      </c>
      <c r="B48" s="17" t="n">
        <v>4682</v>
      </c>
      <c r="C48" s="18">
        <f>(4185.0/B48*100)</f>
        <v/>
      </c>
      <c r="D48" s="19" t="n">
        <v>497</v>
      </c>
      <c r="E48" s="18" t="n">
        <v>31.84144457</v>
      </c>
      <c r="F48" s="20" t="n">
        <v>3.54709179</v>
      </c>
      <c r="G48" s="18" t="n">
        <v>11.42558688</v>
      </c>
      <c r="H48" s="20" t="n">
        <v>1.67792685</v>
      </c>
      <c r="I48" s="18" t="n">
        <v>49.73159711</v>
      </c>
      <c r="J48" s="20" t="n">
        <v>4.12241107</v>
      </c>
      <c r="K48" s="18" t="n">
        <v>0</v>
      </c>
      <c r="L48" s="20" t="n">
        <v>0</v>
      </c>
      <c r="M48" s="18" t="n">
        <v>0</v>
      </c>
      <c r="N48" s="20" t="n">
        <v>0</v>
      </c>
      <c r="O48" s="18" t="n">
        <v>0.06189581</v>
      </c>
      <c r="P48" s="20" t="n">
        <v>0.04722487</v>
      </c>
      <c r="Q48" s="18" t="n">
        <v>0</v>
      </c>
      <c r="R48" s="20" t="n">
        <v>0</v>
      </c>
      <c r="S48" s="18" t="n">
        <v>6.93947563</v>
      </c>
      <c r="T48" s="20" t="n">
        <v>1.28938024</v>
      </c>
    </row>
    <row r="49" spans="1:20">
      <c r="A49" s="15" t="s">
        <v>608</v>
      </c>
      <c r="B49" s="17" t="n">
        <v>6158</v>
      </c>
      <c r="C49" s="18">
        <f>(5480.0/B49*100)</f>
        <v/>
      </c>
      <c r="D49" s="19" t="n">
        <v>678</v>
      </c>
      <c r="E49" s="18" t="n">
        <v>61.18615199</v>
      </c>
      <c r="F49" s="20" t="n">
        <v>2.55870747</v>
      </c>
      <c r="G49" s="18" t="n">
        <v>26.10320936</v>
      </c>
      <c r="H49" s="20" t="n">
        <v>2.16210906</v>
      </c>
      <c r="I49" s="18" t="n">
        <v>3.97611404</v>
      </c>
      <c r="J49" s="20" t="n">
        <v>0.80626917</v>
      </c>
      <c r="K49" s="18" t="n">
        <v>0</v>
      </c>
      <c r="L49" s="20" t="n">
        <v>0</v>
      </c>
      <c r="M49" s="18" t="n">
        <v>0.30821179</v>
      </c>
      <c r="N49" s="20" t="n">
        <v>0.23800629</v>
      </c>
      <c r="O49" s="18" t="n">
        <v>0.16124825</v>
      </c>
      <c r="P49" s="20" t="n">
        <v>0.10500969</v>
      </c>
      <c r="Q49" s="18" t="n">
        <v>0</v>
      </c>
      <c r="R49" s="20" t="n">
        <v>0</v>
      </c>
      <c r="S49" s="18" t="n">
        <v>8.265064560000001</v>
      </c>
      <c r="T49" s="20" t="n">
        <v>1.1890793</v>
      </c>
    </row>
    <row r="50" spans="1:20">
      <c r="A50" s="15" t="s">
        <v>609</v>
      </c>
      <c r="B50" s="17" t="n">
        <v>3494</v>
      </c>
      <c r="C50" s="18">
        <f>(3157.0/B50*100)</f>
        <v/>
      </c>
      <c r="D50" s="19" t="n">
        <v>337</v>
      </c>
      <c r="E50" s="18" t="n">
        <v>57.88009183</v>
      </c>
      <c r="F50" s="20" t="n">
        <v>2.91556757</v>
      </c>
      <c r="G50" s="18" t="n">
        <v>29.44208946</v>
      </c>
      <c r="H50" s="20" t="n">
        <v>2.56869333</v>
      </c>
      <c r="I50" s="18" t="n">
        <v>3.9749794</v>
      </c>
      <c r="J50" s="20" t="n">
        <v>1.10701169</v>
      </c>
      <c r="K50" s="18" t="n">
        <v>0</v>
      </c>
      <c r="L50" s="20" t="n">
        <v>0</v>
      </c>
      <c r="M50" s="18" t="n">
        <v>0</v>
      </c>
      <c r="N50" s="20" t="n">
        <v>0</v>
      </c>
      <c r="O50" s="18" t="n">
        <v>0</v>
      </c>
      <c r="P50" s="20" t="n">
        <v>0</v>
      </c>
      <c r="Q50" s="18" t="n">
        <v>0</v>
      </c>
      <c r="R50" s="20" t="n">
        <v>0</v>
      </c>
      <c r="S50" s="18" t="n">
        <v>8.70283931</v>
      </c>
      <c r="T50" s="20" t="n">
        <v>1.55993617</v>
      </c>
    </row>
    <row r="51" spans="1:20">
      <c r="A51" s="15" t="s">
        <v>610</v>
      </c>
      <c r="B51" s="17" t="n">
        <v>3013</v>
      </c>
      <c r="C51" s="18">
        <f>(2700.0/B51*100)</f>
        <v/>
      </c>
      <c r="D51" s="19" t="n">
        <v>313</v>
      </c>
      <c r="E51" s="18" t="n">
        <v>37.62969497</v>
      </c>
      <c r="F51" s="20" t="n">
        <v>2.8997669</v>
      </c>
      <c r="G51" s="18" t="n">
        <v>18.25065236</v>
      </c>
      <c r="H51" s="20" t="n">
        <v>2.32906908</v>
      </c>
      <c r="I51" s="18" t="n">
        <v>30.91461461</v>
      </c>
      <c r="J51" s="20" t="n">
        <v>2.42645616</v>
      </c>
      <c r="K51" s="18" t="n">
        <v>0</v>
      </c>
      <c r="L51" s="20" t="n">
        <v>0</v>
      </c>
      <c r="M51" s="18" t="n">
        <v>0</v>
      </c>
      <c r="N51" s="20" t="n">
        <v>0</v>
      </c>
      <c r="O51" s="18" t="n">
        <v>0</v>
      </c>
      <c r="P51" s="20" t="n">
        <v>0</v>
      </c>
      <c r="Q51" s="18" t="n">
        <v>0</v>
      </c>
      <c r="R51" s="20" t="n">
        <v>0</v>
      </c>
      <c r="S51" s="18" t="n">
        <v>13.20503806</v>
      </c>
      <c r="T51" s="20" t="n">
        <v>1.97706498</v>
      </c>
    </row>
    <row r="52" spans="1:20">
      <c r="A52" s="15" t="s">
        <v>611</v>
      </c>
      <c r="B52" s="17" t="n">
        <v>2760</v>
      </c>
      <c r="C52" s="18">
        <f>(2466.0/B52*100)</f>
        <v/>
      </c>
      <c r="D52" s="19" t="n">
        <v>294</v>
      </c>
      <c r="E52" s="18" t="n">
        <v>47.22296813</v>
      </c>
      <c r="F52" s="20" t="n">
        <v>2.95450032</v>
      </c>
      <c r="G52" s="18" t="n">
        <v>20.97537041</v>
      </c>
      <c r="H52" s="20" t="n">
        <v>2.58377416</v>
      </c>
      <c r="I52" s="18" t="n">
        <v>19.55412458</v>
      </c>
      <c r="J52" s="20" t="n">
        <v>2.19086695</v>
      </c>
      <c r="K52" s="18" t="n">
        <v>0</v>
      </c>
      <c r="L52" s="20" t="n">
        <v>0</v>
      </c>
      <c r="M52" s="18" t="n">
        <v>0.28238889</v>
      </c>
      <c r="N52" s="20" t="n">
        <v>0.28331042</v>
      </c>
      <c r="O52" s="18" t="n">
        <v>0</v>
      </c>
      <c r="P52" s="20" t="n">
        <v>0</v>
      </c>
      <c r="Q52" s="18" t="n">
        <v>0</v>
      </c>
      <c r="R52" s="20" t="n">
        <v>0</v>
      </c>
      <c r="S52" s="18" t="n">
        <v>11.96514799</v>
      </c>
      <c r="T52" s="20" t="n">
        <v>1.88091638</v>
      </c>
    </row>
    <row r="53" spans="1:20">
      <c r="A53" s="15" t="s">
        <v>612</v>
      </c>
      <c r="B53" s="17" t="n">
        <v>2474</v>
      </c>
      <c r="C53" s="18">
        <f>(2185.0/B53*100)</f>
        <v/>
      </c>
      <c r="D53" s="19" t="n">
        <v>289</v>
      </c>
      <c r="E53" s="18" t="n">
        <v>56.59498188</v>
      </c>
      <c r="F53" s="20" t="n">
        <v>3.32993629</v>
      </c>
      <c r="G53" s="18" t="n">
        <v>12.30082581</v>
      </c>
      <c r="H53" s="20" t="n">
        <v>2.04493923</v>
      </c>
      <c r="I53" s="18" t="n">
        <v>2.73759014</v>
      </c>
      <c r="J53" s="20" t="n">
        <v>0.88619887</v>
      </c>
      <c r="K53" s="18" t="n">
        <v>0</v>
      </c>
      <c r="L53" s="20" t="n">
        <v>0</v>
      </c>
      <c r="M53" s="18" t="n">
        <v>4.25817824</v>
      </c>
      <c r="N53" s="20" t="n">
        <v>1.45930569</v>
      </c>
      <c r="O53" s="18" t="n">
        <v>0.38574496</v>
      </c>
      <c r="P53" s="20" t="n">
        <v>0.41890913</v>
      </c>
      <c r="Q53" s="18" t="n">
        <v>0</v>
      </c>
      <c r="R53" s="20" t="n">
        <v>0</v>
      </c>
      <c r="S53" s="18" t="n">
        <v>23.72267897</v>
      </c>
      <c r="T53" s="20" t="n">
        <v>2.81828868</v>
      </c>
    </row>
    <row r="54" spans="1:20">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2675</v>
      </c>
      <c r="C55" s="18">
        <f>(2388.0/B55*100)</f>
        <v/>
      </c>
      <c r="D55" s="19" t="n">
        <v>287</v>
      </c>
      <c r="E55" s="18" t="n">
        <v>32.94730267</v>
      </c>
      <c r="F55" s="20" t="n">
        <v>3.26609831</v>
      </c>
      <c r="G55" s="18" t="n">
        <v>20.1843673</v>
      </c>
      <c r="H55" s="20" t="n">
        <v>2.77148801</v>
      </c>
      <c r="I55" s="18" t="n">
        <v>43.53861363</v>
      </c>
      <c r="J55" s="20" t="n">
        <v>3.14926507</v>
      </c>
      <c r="K55" s="18" t="n">
        <v>0</v>
      </c>
      <c r="L55" s="20" t="n">
        <v>0</v>
      </c>
      <c r="M55" s="18" t="n">
        <v>0</v>
      </c>
      <c r="N55" s="20" t="n">
        <v>0</v>
      </c>
      <c r="O55" s="18" t="n">
        <v>0.32159561</v>
      </c>
      <c r="P55" s="20" t="n">
        <v>0.32139472</v>
      </c>
      <c r="Q55" s="18" t="n">
        <v>0</v>
      </c>
      <c r="R55" s="20" t="n">
        <v>0</v>
      </c>
      <c r="S55" s="18" t="n">
        <v>3.00812079</v>
      </c>
      <c r="T55" s="20" t="n">
        <v>0.94507042</v>
      </c>
    </row>
    <row r="56" spans="1:20">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3201</v>
      </c>
      <c r="C61" s="18">
        <f>(2840.0/B61*100)</f>
        <v/>
      </c>
      <c r="D61" s="19" t="n">
        <v>361</v>
      </c>
      <c r="E61" s="18" t="n">
        <v>33.43244648</v>
      </c>
      <c r="F61" s="20" t="n">
        <v>2.58292092</v>
      </c>
      <c r="G61" s="18" t="n">
        <v>27.54867924</v>
      </c>
      <c r="H61" s="20" t="n">
        <v>2.76580545</v>
      </c>
      <c r="I61" s="18" t="n">
        <v>31.08524843</v>
      </c>
      <c r="J61" s="20" t="n">
        <v>2.75037717</v>
      </c>
      <c r="K61" s="18" t="n">
        <v>0</v>
      </c>
      <c r="L61" s="20" t="n">
        <v>0</v>
      </c>
      <c r="M61" s="18" t="n">
        <v>0</v>
      </c>
      <c r="N61" s="20" t="n">
        <v>0</v>
      </c>
      <c r="O61" s="18" t="n">
        <v>0</v>
      </c>
      <c r="P61" s="20" t="n">
        <v>0</v>
      </c>
      <c r="Q61" s="18" t="n">
        <v>0</v>
      </c>
      <c r="R61" s="20" t="n">
        <v>0</v>
      </c>
      <c r="S61" s="18" t="n">
        <v>7.93362586</v>
      </c>
      <c r="T61" s="20" t="n">
        <v>1.50651133</v>
      </c>
    </row>
    <row r="62" spans="1:20">
      <c r="A62" s="15" t="s">
        <v>622</v>
      </c>
      <c r="B62" s="17" t="n">
        <v>2230</v>
      </c>
      <c r="C62" s="18">
        <f>(2003.0/B62*100)</f>
        <v/>
      </c>
      <c r="D62" s="19" t="n">
        <v>227</v>
      </c>
      <c r="E62" s="18" t="n">
        <v>32.73904754</v>
      </c>
      <c r="F62" s="20" t="n">
        <v>3.28758792</v>
      </c>
      <c r="G62" s="18" t="n">
        <v>34.27886823</v>
      </c>
      <c r="H62" s="20" t="n">
        <v>3.13399362</v>
      </c>
      <c r="I62" s="18" t="n">
        <v>31.23024749</v>
      </c>
      <c r="J62" s="20" t="n">
        <v>3.1596466</v>
      </c>
      <c r="K62" s="18" t="n">
        <v>0</v>
      </c>
      <c r="L62" s="20" t="n">
        <v>0</v>
      </c>
      <c r="M62" s="18" t="n">
        <v>0</v>
      </c>
      <c r="N62" s="20" t="n">
        <v>0</v>
      </c>
      <c r="O62" s="18" t="n">
        <v>0</v>
      </c>
      <c r="P62" s="20" t="n">
        <v>0</v>
      </c>
      <c r="Q62" s="18" t="n">
        <v>0</v>
      </c>
      <c r="R62" s="20" t="n">
        <v>0</v>
      </c>
      <c r="S62" s="18" t="n">
        <v>1.75183674</v>
      </c>
      <c r="T62" s="20" t="n">
        <v>0.85915329</v>
      </c>
    </row>
    <row r="63" spans="1:20">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2771</v>
      </c>
      <c r="C67" s="18">
        <f>(2458.0/B67*100)</f>
        <v/>
      </c>
      <c r="D67" s="19" t="n">
        <v>313</v>
      </c>
      <c r="E67" s="18" t="n">
        <v>47.66714064</v>
      </c>
      <c r="F67" s="20" t="n">
        <v>2.91479695</v>
      </c>
      <c r="G67" s="18" t="n">
        <v>15.88777149</v>
      </c>
      <c r="H67" s="20" t="n">
        <v>2.00691977</v>
      </c>
      <c r="I67" s="18" t="n">
        <v>14.54901293</v>
      </c>
      <c r="J67" s="20" t="n">
        <v>1.85604548</v>
      </c>
      <c r="K67" s="18" t="n">
        <v>0</v>
      </c>
      <c r="L67" s="20" t="n">
        <v>0</v>
      </c>
      <c r="M67" s="18" t="n">
        <v>0.26533872</v>
      </c>
      <c r="N67" s="20" t="n">
        <v>0.26559942</v>
      </c>
      <c r="O67" s="18" t="n">
        <v>0.28334726</v>
      </c>
      <c r="P67" s="20" t="n">
        <v>0.27963074</v>
      </c>
      <c r="Q67" s="18" t="n">
        <v>0</v>
      </c>
      <c r="R67" s="20" t="n">
        <v>0</v>
      </c>
      <c r="S67" s="18" t="n">
        <v>21.34738896</v>
      </c>
      <c r="T67" s="20" t="n">
        <v>2.21983764</v>
      </c>
    </row>
    <row r="68" spans="1:20">
      <c r="A68" s="15" t="s">
        <v>628</v>
      </c>
      <c r="B68" s="17" t="n">
        <v>3460</v>
      </c>
      <c r="C68" s="18">
        <f>(3083.0/B68*100)</f>
        <v/>
      </c>
      <c r="D68" s="19" t="n">
        <v>377</v>
      </c>
      <c r="E68" s="18" t="n">
        <v>58.14863826</v>
      </c>
      <c r="F68" s="20" t="n">
        <v>3.05218265</v>
      </c>
      <c r="G68" s="18" t="n">
        <v>17.86281075</v>
      </c>
      <c r="H68" s="20" t="n">
        <v>2.33863104</v>
      </c>
      <c r="I68" s="18" t="n">
        <v>9.24844802</v>
      </c>
      <c r="J68" s="20" t="n">
        <v>1.53176952</v>
      </c>
      <c r="K68" s="18" t="n">
        <v>0</v>
      </c>
      <c r="L68" s="20" t="n">
        <v>0</v>
      </c>
      <c r="M68" s="18" t="n">
        <v>0</v>
      </c>
      <c r="N68" s="20" t="n">
        <v>0</v>
      </c>
      <c r="O68" s="18" t="n">
        <v>0.47637915</v>
      </c>
      <c r="P68" s="20" t="n">
        <v>0.43565159</v>
      </c>
      <c r="Q68" s="18" t="n">
        <v>0</v>
      </c>
      <c r="R68" s="20" t="n">
        <v>0</v>
      </c>
      <c r="S68" s="18" t="n">
        <v>14.26372382</v>
      </c>
      <c r="T68" s="20" t="n">
        <v>2.12526672</v>
      </c>
    </row>
    <row r="69" spans="1:20">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6034</v>
      </c>
      <c r="C70" s="18">
        <f>(5342.0/B70*100)</f>
        <v/>
      </c>
      <c r="D70" s="19" t="n">
        <v>692</v>
      </c>
      <c r="E70" s="18" t="n">
        <v>51.90894539</v>
      </c>
      <c r="F70" s="20" t="n">
        <v>1.7822978</v>
      </c>
      <c r="G70" s="18" t="n">
        <v>21.6216897</v>
      </c>
      <c r="H70" s="20" t="n">
        <v>1.60192638</v>
      </c>
      <c r="I70" s="18" t="n">
        <v>14.40737671</v>
      </c>
      <c r="J70" s="20" t="n">
        <v>1.10963804</v>
      </c>
      <c r="K70" s="18" t="n">
        <v>0</v>
      </c>
      <c r="L70" s="20" t="n">
        <v>0</v>
      </c>
      <c r="M70" s="18" t="n">
        <v>0.13802712</v>
      </c>
      <c r="N70" s="20" t="n">
        <v>0.13850784</v>
      </c>
      <c r="O70" s="18" t="n">
        <v>0.14052127</v>
      </c>
      <c r="P70" s="20" t="n">
        <v>0.14189439</v>
      </c>
      <c r="Q70" s="18" t="n">
        <v>0</v>
      </c>
      <c r="R70" s="20" t="n">
        <v>0</v>
      </c>
      <c r="S70" s="18" t="n">
        <v>11.78343982</v>
      </c>
      <c r="T70" s="20" t="n">
        <v>1.20973</v>
      </c>
    </row>
    <row r="71" spans="1:20">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3107</v>
      </c>
      <c r="C72" s="18">
        <f>(2791.0/B72*100)</f>
        <v/>
      </c>
      <c r="D72" s="19" t="n">
        <v>316</v>
      </c>
      <c r="E72" s="18" t="n">
        <v>57.34837503</v>
      </c>
      <c r="F72" s="20" t="n">
        <v>2.9899428</v>
      </c>
      <c r="G72" s="18" t="n">
        <v>13.50010946</v>
      </c>
      <c r="H72" s="20" t="n">
        <v>1.85120916</v>
      </c>
      <c r="I72" s="18" t="n">
        <v>24.15778095</v>
      </c>
      <c r="J72" s="20" t="n">
        <v>2.7577355</v>
      </c>
      <c r="K72" s="18" t="n">
        <v>0</v>
      </c>
      <c r="L72" s="20" t="n">
        <v>0</v>
      </c>
      <c r="M72" s="18" t="n">
        <v>0.25186236</v>
      </c>
      <c r="N72" s="20" t="n">
        <v>0.25231927</v>
      </c>
      <c r="O72" s="18" t="n">
        <v>0</v>
      </c>
      <c r="P72" s="20" t="n">
        <v>0</v>
      </c>
      <c r="Q72" s="18" t="n">
        <v>0</v>
      </c>
      <c r="R72" s="20" t="n">
        <v>0</v>
      </c>
      <c r="S72" s="18" t="n">
        <v>4.7418722</v>
      </c>
      <c r="T72" s="20" t="n">
        <v>1.17654065</v>
      </c>
    </row>
    <row r="73" spans="1:20">
      <c r="A73" s="15" t="s">
        <v>633</v>
      </c>
      <c r="B73" s="17" t="n">
        <v>2973</v>
      </c>
      <c r="C73" s="18">
        <f>(2625.0/B73*100)</f>
        <v/>
      </c>
      <c r="D73" s="19" t="n">
        <v>348</v>
      </c>
      <c r="E73" s="18" t="n">
        <v>38.00164452</v>
      </c>
      <c r="F73" s="20" t="n">
        <v>2.38969314</v>
      </c>
      <c r="G73" s="18" t="n">
        <v>28.19238281</v>
      </c>
      <c r="H73" s="20" t="n">
        <v>2.58089465</v>
      </c>
      <c r="I73" s="18" t="n">
        <v>31.06281992</v>
      </c>
      <c r="J73" s="20" t="n">
        <v>2.36784351</v>
      </c>
      <c r="K73" s="18" t="n">
        <v>0</v>
      </c>
      <c r="L73" s="20" t="n">
        <v>0</v>
      </c>
      <c r="M73" s="18" t="n">
        <v>0</v>
      </c>
      <c r="N73" s="20" t="n">
        <v>0</v>
      </c>
      <c r="O73" s="18" t="n">
        <v>0</v>
      </c>
      <c r="P73" s="20" t="n">
        <v>0</v>
      </c>
      <c r="Q73" s="18" t="n">
        <v>0</v>
      </c>
      <c r="R73" s="20" t="n">
        <v>0</v>
      </c>
      <c r="S73" s="18" t="n">
        <v>2.74315275</v>
      </c>
      <c r="T73" s="20" t="n">
        <v>0.95250617</v>
      </c>
    </row>
    <row r="74" spans="1:20">
      <c r="A74" s="15" t="s">
        <v>634</v>
      </c>
      <c r="B74" s="17" t="n">
        <v>3819</v>
      </c>
      <c r="C74" s="18">
        <f>(3416.0/B74*100)</f>
        <v/>
      </c>
      <c r="D74" s="19" t="n">
        <v>403</v>
      </c>
      <c r="E74" s="18" t="n">
        <v>32.26526928</v>
      </c>
      <c r="F74" s="20" t="n">
        <v>2.42152304</v>
      </c>
      <c r="G74" s="18" t="n">
        <v>19.57070911</v>
      </c>
      <c r="H74" s="20" t="n">
        <v>2.07271334</v>
      </c>
      <c r="I74" s="18" t="n">
        <v>40.48820379</v>
      </c>
      <c r="J74" s="20" t="n">
        <v>3.24257602</v>
      </c>
      <c r="K74" s="18" t="n">
        <v>0</v>
      </c>
      <c r="L74" s="20" t="n">
        <v>0</v>
      </c>
      <c r="M74" s="18" t="n">
        <v>0</v>
      </c>
      <c r="N74" s="20" t="n">
        <v>0</v>
      </c>
      <c r="O74" s="18" t="n">
        <v>0</v>
      </c>
      <c r="P74" s="20" t="n">
        <v>0</v>
      </c>
      <c r="Q74" s="18" t="n">
        <v>0</v>
      </c>
      <c r="R74" s="20" t="n">
        <v>0</v>
      </c>
      <c r="S74" s="18" t="n">
        <v>7.67581782</v>
      </c>
      <c r="T74" s="20" t="n">
        <v>1.53776951</v>
      </c>
    </row>
    <row r="75" spans="1:20">
      <c r="A75" s="15" t="s">
        <v>635</v>
      </c>
      <c r="B75" s="17" t="n">
        <v>4652</v>
      </c>
      <c r="C75" s="18">
        <f>(4144.0/B75*100)</f>
        <v/>
      </c>
      <c r="D75" s="19" t="n">
        <v>508</v>
      </c>
      <c r="E75" s="18" t="n">
        <v>64.90169777</v>
      </c>
      <c r="F75" s="20" t="n">
        <v>2.48737169</v>
      </c>
      <c r="G75" s="18" t="n">
        <v>24.73229868</v>
      </c>
      <c r="H75" s="20" t="n">
        <v>2.02333307</v>
      </c>
      <c r="I75" s="18" t="n">
        <v>7.46155712</v>
      </c>
      <c r="J75" s="20" t="n">
        <v>1.84521138</v>
      </c>
      <c r="K75" s="18" t="n">
        <v>0</v>
      </c>
      <c r="L75" s="20" t="n">
        <v>0</v>
      </c>
      <c r="M75" s="18" t="n">
        <v>0</v>
      </c>
      <c r="N75" s="20" t="n">
        <v>0</v>
      </c>
      <c r="O75" s="18" t="n">
        <v>0.27647596</v>
      </c>
      <c r="P75" s="20" t="n">
        <v>0.27614552</v>
      </c>
      <c r="Q75" s="18" t="n">
        <v>0</v>
      </c>
      <c r="R75" s="20" t="n">
        <v>0</v>
      </c>
      <c r="S75" s="18" t="n">
        <v>2.62797047</v>
      </c>
      <c r="T75" s="20" t="n">
        <v>0.62325947</v>
      </c>
    </row>
    <row r="76" spans="1:20">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2969</v>
      </c>
      <c r="C77" s="18">
        <f>(2664.0/B77*100)</f>
        <v/>
      </c>
      <c r="D77" s="19" t="n">
        <v>305</v>
      </c>
      <c r="E77" s="18" t="n">
        <v>48.93711039</v>
      </c>
      <c r="F77" s="20" t="n">
        <v>3.01638392</v>
      </c>
      <c r="G77" s="18" t="n">
        <v>23.02146037</v>
      </c>
      <c r="H77" s="20" t="n">
        <v>2.50217644</v>
      </c>
      <c r="I77" s="18" t="n">
        <v>5.19433058</v>
      </c>
      <c r="J77" s="20" t="n">
        <v>1.40241746</v>
      </c>
      <c r="K77" s="18" t="n">
        <v>0</v>
      </c>
      <c r="L77" s="20" t="n">
        <v>0</v>
      </c>
      <c r="M77" s="18" t="n">
        <v>1.4578369</v>
      </c>
      <c r="N77" s="20" t="n">
        <v>0.63106115</v>
      </c>
      <c r="O77" s="18" t="n">
        <v>1.02907295</v>
      </c>
      <c r="P77" s="20" t="n">
        <v>0.56863469</v>
      </c>
      <c r="Q77" s="18" t="n">
        <v>0</v>
      </c>
      <c r="R77" s="20" t="n">
        <v>0</v>
      </c>
      <c r="S77" s="18" t="n">
        <v>20.36018881</v>
      </c>
      <c r="T77" s="20" t="n">
        <v>2.44622573</v>
      </c>
    </row>
    <row r="78" spans="1:20">
      <c r="A78" s="15" t="s">
        <v>638</v>
      </c>
      <c r="B78" s="17" t="n">
        <v>7115</v>
      </c>
      <c r="C78" s="18">
        <f>(6356.0/B78*100)</f>
        <v/>
      </c>
      <c r="D78" s="19" t="n">
        <v>759</v>
      </c>
      <c r="E78" s="18" t="n">
        <v>55.52031696</v>
      </c>
      <c r="F78" s="20" t="n">
        <v>2.00775939</v>
      </c>
      <c r="G78" s="18" t="n">
        <v>26.00433911</v>
      </c>
      <c r="H78" s="20" t="n">
        <v>1.77369892</v>
      </c>
      <c r="I78" s="18" t="n">
        <v>12.33745963</v>
      </c>
      <c r="J78" s="20" t="n">
        <v>1.36008215</v>
      </c>
      <c r="K78" s="18" t="n">
        <v>0</v>
      </c>
      <c r="L78" s="20" t="n">
        <v>0</v>
      </c>
      <c r="M78" s="18" t="n">
        <v>0.18938439</v>
      </c>
      <c r="N78" s="20" t="n">
        <v>0.18873385</v>
      </c>
      <c r="O78" s="18" t="n">
        <v>0.35576479</v>
      </c>
      <c r="P78" s="20" t="n">
        <v>0.24847018</v>
      </c>
      <c r="Q78" s="18" t="n">
        <v>0</v>
      </c>
      <c r="R78" s="20" t="n">
        <v>0</v>
      </c>
      <c r="S78" s="18" t="n">
        <v>5.59273512</v>
      </c>
      <c r="T78" s="20" t="n">
        <v>1.17894302</v>
      </c>
    </row>
    <row r="79" spans="1:20">
      <c r="A79" s="15" t="s">
        <v>639</v>
      </c>
      <c r="B79" s="17" t="n">
        <v>3154</v>
      </c>
      <c r="C79" s="18">
        <f>(2798.0/B79*100)</f>
        <v/>
      </c>
      <c r="D79" s="19" t="n">
        <v>356</v>
      </c>
      <c r="E79" s="18" t="n">
        <v>33.89050694</v>
      </c>
      <c r="F79" s="20" t="n">
        <v>2.75872852</v>
      </c>
      <c r="G79" s="18" t="n">
        <v>21.81311092</v>
      </c>
      <c r="H79" s="20" t="n">
        <v>2.19663846</v>
      </c>
      <c r="I79" s="18" t="n">
        <v>26.24726965</v>
      </c>
      <c r="J79" s="20" t="n">
        <v>2.66154396</v>
      </c>
      <c r="K79" s="18" t="n">
        <v>0</v>
      </c>
      <c r="L79" s="20" t="n">
        <v>0</v>
      </c>
      <c r="M79" s="18" t="n">
        <v>0.26004562</v>
      </c>
      <c r="N79" s="20" t="n">
        <v>0.25876614</v>
      </c>
      <c r="O79" s="18" t="n">
        <v>0</v>
      </c>
      <c r="P79" s="20" t="n">
        <v>0</v>
      </c>
      <c r="Q79" s="18" t="n">
        <v>0</v>
      </c>
      <c r="R79" s="20" t="n">
        <v>0</v>
      </c>
      <c r="S79" s="18" t="n">
        <v>17.78906687</v>
      </c>
      <c r="T79" s="20" t="n">
        <v>2.07393782</v>
      </c>
    </row>
    <row r="80" spans="1:20">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15961</v>
      </c>
      <c r="C82" s="18">
        <f>(14187.0/B82*100)</f>
        <v/>
      </c>
      <c r="D82" s="19" t="n">
        <v>1774</v>
      </c>
      <c r="E82" s="18" t="n">
        <v>33.60485569</v>
      </c>
      <c r="F82" s="20" t="n">
        <v>1.63291358</v>
      </c>
      <c r="G82" s="18" t="n">
        <v>23.09602983</v>
      </c>
      <c r="H82" s="20" t="n">
        <v>1.40851491</v>
      </c>
      <c r="I82" s="18" t="n">
        <v>37.4910931</v>
      </c>
      <c r="J82" s="20" t="n">
        <v>1.51855949</v>
      </c>
      <c r="K82" s="18" t="n">
        <v>0</v>
      </c>
      <c r="L82" s="20" t="n">
        <v>0</v>
      </c>
      <c r="M82" s="18" t="n">
        <v>0.03340007</v>
      </c>
      <c r="N82" s="20" t="n">
        <v>0.04405375</v>
      </c>
      <c r="O82" s="18" t="n">
        <v>0</v>
      </c>
      <c r="P82" s="20" t="n">
        <v>0</v>
      </c>
      <c r="Q82" s="18" t="n">
        <v>0</v>
      </c>
      <c r="R82" s="20" t="n">
        <v>0</v>
      </c>
      <c r="S82" s="18" t="n">
        <v>5.77462131</v>
      </c>
      <c r="T82" s="20" t="n">
        <v>1.0383576</v>
      </c>
    </row>
    <row r="83" spans="1:20">
      <c r="A83" s="15" t="s">
        <v>643</v>
      </c>
      <c r="B83" s="17" t="n">
        <v>808</v>
      </c>
      <c r="C83" s="18">
        <f>(724.0/B83*100)</f>
        <v/>
      </c>
      <c r="D83" s="19" t="n">
        <v>84</v>
      </c>
      <c r="E83" s="18" t="n">
        <v>42.52893395</v>
      </c>
      <c r="F83" s="20" t="n">
        <v>6.49172834</v>
      </c>
      <c r="G83" s="18" t="n">
        <v>19.57549438</v>
      </c>
      <c r="H83" s="20" t="n">
        <v>3.97989187</v>
      </c>
      <c r="I83" s="18" t="n">
        <v>36.20170024</v>
      </c>
      <c r="J83" s="20" t="n">
        <v>6.55360095</v>
      </c>
      <c r="K83" s="18" t="n">
        <v>0</v>
      </c>
      <c r="L83" s="20" t="n">
        <v>0</v>
      </c>
      <c r="M83" s="18" t="n">
        <v>0</v>
      </c>
      <c r="N83" s="20" t="n">
        <v>0</v>
      </c>
      <c r="O83" s="18" t="n">
        <v>0</v>
      </c>
      <c r="P83" s="20" t="n">
        <v>0</v>
      </c>
      <c r="Q83" s="18" t="n">
        <v>0</v>
      </c>
      <c r="R83" s="20" t="n">
        <v>0</v>
      </c>
      <c r="S83" s="18" t="n">
        <v>1.69387143</v>
      </c>
      <c r="T83" s="20" t="n">
        <v>1.26061671</v>
      </c>
    </row>
    <row r="84" spans="1:20">
      <c r="A84" s="23" t="s">
        <v>644</v>
      </c>
      <c r="B84" s="24" t="n">
        <v>938</v>
      </c>
      <c r="C84" s="25">
        <f>(842.0/B84*100)</f>
        <v/>
      </c>
      <c r="D84" s="19" t="n">
        <v>96</v>
      </c>
      <c r="E84" s="18" t="n">
        <v>46.11161356</v>
      </c>
      <c r="F84" s="20" t="n">
        <v>4.49070152</v>
      </c>
      <c r="G84" s="18" t="n">
        <v>21.96838518</v>
      </c>
      <c r="H84" s="20" t="n">
        <v>4.70400784</v>
      </c>
      <c r="I84" s="18" t="n">
        <v>27.76020611</v>
      </c>
      <c r="J84" s="20" t="n">
        <v>4.11482723</v>
      </c>
      <c r="K84" s="18" t="n">
        <v>0</v>
      </c>
      <c r="L84" s="20" t="n">
        <v>0</v>
      </c>
      <c r="M84" s="18" t="n">
        <v>0</v>
      </c>
      <c r="N84" s="20" t="n">
        <v>0</v>
      </c>
      <c r="O84" s="18" t="n">
        <v>0</v>
      </c>
      <c r="P84" s="20" t="n">
        <v>0</v>
      </c>
      <c r="Q84" s="18" t="n">
        <v>0</v>
      </c>
      <c r="R84" s="20" t="n">
        <v>0</v>
      </c>
      <c r="S84" s="18" t="n">
        <v>4.15979516</v>
      </c>
      <c r="T84" s="20" t="n">
        <v>2.57785231</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(6379.0/B7*100)</f>
        <v/>
      </c>
      <c r="D7" s="19" t="n">
        <v>784</v>
      </c>
      <c r="E7" s="18" t="n">
        <v>27.44573085</v>
      </c>
      <c r="F7" s="20" t="n">
        <v>1.69611404</v>
      </c>
      <c r="G7" s="18" t="n">
        <v>71.0195545</v>
      </c>
      <c r="H7" s="20" t="n">
        <v>1.69827296</v>
      </c>
      <c r="I7" s="18" t="n">
        <v>0</v>
      </c>
      <c r="J7" s="20" t="n">
        <v>0</v>
      </c>
      <c r="K7" s="18" t="n">
        <v>0.03501921</v>
      </c>
      <c r="L7" s="20" t="n">
        <v>0.03402093</v>
      </c>
      <c r="M7" s="18" t="n">
        <v>0</v>
      </c>
      <c r="N7" s="20" t="n">
        <v>0</v>
      </c>
      <c r="O7" s="18" t="n">
        <v>0</v>
      </c>
      <c r="P7" s="20" t="n">
        <v>0</v>
      </c>
      <c r="Q7" s="18" t="n">
        <v>1.49969544</v>
      </c>
      <c r="R7" s="20" t="n">
        <v>0.46740692</v>
      </c>
    </row>
    <row r="8" spans="1:18">
      <c r="A8" s="15" t="s">
        <v>566</v>
      </c>
      <c r="B8" s="17" t="n">
        <v>3443</v>
      </c>
      <c r="C8" s="18">
        <f>(3058.0/B8*100)</f>
        <v/>
      </c>
      <c r="D8" s="19" t="n">
        <v>385</v>
      </c>
      <c r="E8" s="18" t="n">
        <v>37.9537547</v>
      </c>
      <c r="F8" s="20" t="n">
        <v>2.39186593</v>
      </c>
      <c r="G8" s="18" t="n">
        <v>60.53160728</v>
      </c>
      <c r="H8" s="20" t="n">
        <v>2.41177719</v>
      </c>
      <c r="I8" s="18" t="n">
        <v>0</v>
      </c>
      <c r="J8" s="20" t="n">
        <v>0</v>
      </c>
      <c r="K8" s="18" t="n">
        <v>0</v>
      </c>
      <c r="L8" s="20" t="n">
        <v>0</v>
      </c>
      <c r="M8" s="18" t="n">
        <v>0</v>
      </c>
      <c r="N8" s="20" t="n">
        <v>0</v>
      </c>
      <c r="O8" s="18" t="n">
        <v>0</v>
      </c>
      <c r="P8" s="20" t="n">
        <v>0</v>
      </c>
      <c r="Q8" s="18" t="n">
        <v>1.51463802</v>
      </c>
      <c r="R8" s="20" t="n">
        <v>0.7077947</v>
      </c>
    </row>
    <row r="9" spans="1:18">
      <c r="A9" s="15" t="s">
        <v>567</v>
      </c>
      <c r="B9" s="17" t="n">
        <v>4752</v>
      </c>
      <c r="C9" s="18">
        <f>(4205.0/B9*100)</f>
        <v/>
      </c>
      <c r="D9" s="19" t="n">
        <v>547</v>
      </c>
      <c r="E9" s="18" t="n">
        <v>40.36242322</v>
      </c>
      <c r="F9" s="20" t="n">
        <v>2.20884092</v>
      </c>
      <c r="G9" s="18" t="n">
        <v>58.48042083</v>
      </c>
      <c r="H9" s="20" t="n">
        <v>2.23268012</v>
      </c>
      <c r="I9" s="18" t="n">
        <v>0</v>
      </c>
      <c r="J9" s="20" t="n">
        <v>0</v>
      </c>
      <c r="K9" s="18" t="n">
        <v>0</v>
      </c>
      <c r="L9" s="20" t="n">
        <v>0</v>
      </c>
      <c r="M9" s="18" t="n">
        <v>0</v>
      </c>
      <c r="N9" s="20" t="n">
        <v>0</v>
      </c>
      <c r="O9" s="18" t="n">
        <v>0</v>
      </c>
      <c r="P9" s="20" t="n">
        <v>0</v>
      </c>
      <c r="Q9" s="18" t="n">
        <v>1.15715595</v>
      </c>
      <c r="R9" s="20" t="n">
        <v>0.5262181500000001</v>
      </c>
    </row>
    <row r="10" spans="1:18">
      <c r="A10" s="15" t="s">
        <v>568</v>
      </c>
      <c r="B10" s="17" t="n">
        <v>10022</v>
      </c>
      <c r="C10" s="18">
        <f>(8913.0/B10*100)</f>
        <v/>
      </c>
      <c r="D10" s="19" t="n">
        <v>1109</v>
      </c>
      <c r="E10" s="18" t="n">
        <v>28.12113619</v>
      </c>
      <c r="F10" s="20" t="n">
        <v>2.03426648</v>
      </c>
      <c r="G10" s="18" t="n">
        <v>70.79821753</v>
      </c>
      <c r="H10" s="20" t="n">
        <v>1.99863009</v>
      </c>
      <c r="I10" s="18" t="n">
        <v>0</v>
      </c>
      <c r="J10" s="20" t="n">
        <v>0</v>
      </c>
      <c r="K10" s="18" t="n">
        <v>0.05179467</v>
      </c>
      <c r="L10" s="20" t="n">
        <v>0.0364621</v>
      </c>
      <c r="M10" s="18" t="n">
        <v>0</v>
      </c>
      <c r="N10" s="20" t="n">
        <v>0</v>
      </c>
      <c r="O10" s="18" t="n">
        <v>0</v>
      </c>
      <c r="P10" s="20" t="n">
        <v>0</v>
      </c>
      <c r="Q10" s="18" t="n">
        <v>1.02885162</v>
      </c>
      <c r="R10" s="20" t="n">
        <v>0.37161157</v>
      </c>
    </row>
    <row r="11" spans="1:18">
      <c r="A11" s="15" t="s">
        <v>569</v>
      </c>
      <c r="B11" s="17" t="n">
        <v>3500</v>
      </c>
      <c r="C11" s="18">
        <f>(3089.0/B11*100)</f>
        <v/>
      </c>
      <c r="D11" s="19" t="n">
        <v>411</v>
      </c>
      <c r="E11" s="18" t="n">
        <v>42.09675344</v>
      </c>
      <c r="F11" s="20" t="n">
        <v>3.05527184</v>
      </c>
      <c r="G11" s="18" t="n">
        <v>54.15020072</v>
      </c>
      <c r="H11" s="20" t="n">
        <v>3.16889579</v>
      </c>
      <c r="I11" s="18" t="n">
        <v>0</v>
      </c>
      <c r="J11" s="20" t="n">
        <v>0</v>
      </c>
      <c r="K11" s="18" t="n">
        <v>0.32809908</v>
      </c>
      <c r="L11" s="20" t="n">
        <v>0.31601245</v>
      </c>
      <c r="M11" s="18" t="n">
        <v>0</v>
      </c>
      <c r="N11" s="20" t="n">
        <v>0</v>
      </c>
      <c r="O11" s="18" t="n">
        <v>0</v>
      </c>
      <c r="P11" s="20" t="n">
        <v>0</v>
      </c>
      <c r="Q11" s="18" t="n">
        <v>3.42494676</v>
      </c>
      <c r="R11" s="20" t="n">
        <v>0.92085395</v>
      </c>
    </row>
    <row r="12" spans="1:18">
      <c r="A12" s="15" t="s">
        <v>570</v>
      </c>
      <c r="B12" s="17" t="n">
        <v>3422</v>
      </c>
      <c r="C12" s="18">
        <f>(3042.0/B12*100)</f>
        <v/>
      </c>
      <c r="D12" s="19" t="n">
        <v>380</v>
      </c>
      <c r="E12" s="18" t="n">
        <v>41.99296283</v>
      </c>
      <c r="F12" s="20" t="n">
        <v>2.82472617</v>
      </c>
      <c r="G12" s="18" t="n">
        <v>55.44324994</v>
      </c>
      <c r="H12" s="20" t="n">
        <v>2.86197976</v>
      </c>
      <c r="I12" s="18" t="n">
        <v>0</v>
      </c>
      <c r="J12" s="20" t="n">
        <v>0</v>
      </c>
      <c r="K12" s="18" t="n">
        <v>0</v>
      </c>
      <c r="L12" s="20" t="n">
        <v>0</v>
      </c>
      <c r="M12" s="18" t="n">
        <v>0</v>
      </c>
      <c r="N12" s="20" t="n">
        <v>0</v>
      </c>
      <c r="O12" s="18" t="n">
        <v>0</v>
      </c>
      <c r="P12" s="20" t="n">
        <v>0</v>
      </c>
      <c r="Q12" s="18" t="n">
        <v>2.56378724</v>
      </c>
      <c r="R12" s="20" t="n">
        <v>1.02545307</v>
      </c>
    </row>
    <row r="13" spans="1:18">
      <c r="A13" s="15" t="s">
        <v>571</v>
      </c>
      <c r="B13" s="17" t="n">
        <v>3602</v>
      </c>
      <c r="C13" s="18">
        <f>(3227.0/B13*100)</f>
        <v/>
      </c>
      <c r="D13" s="19" t="n">
        <v>375</v>
      </c>
      <c r="E13" s="18" t="n">
        <v>27.2472417</v>
      </c>
      <c r="F13" s="20" t="n">
        <v>2.81224953</v>
      </c>
      <c r="G13" s="18" t="n">
        <v>71.18004714999999</v>
      </c>
      <c r="H13" s="20" t="n">
        <v>3.02026212</v>
      </c>
      <c r="I13" s="18" t="n">
        <v>0</v>
      </c>
      <c r="J13" s="20" t="n">
        <v>0</v>
      </c>
      <c r="K13" s="18" t="n">
        <v>0.47168208</v>
      </c>
      <c r="L13" s="20" t="n">
        <v>0.37921702</v>
      </c>
      <c r="M13" s="18" t="n">
        <v>0</v>
      </c>
      <c r="N13" s="20" t="n">
        <v>0</v>
      </c>
      <c r="O13" s="18" t="n">
        <v>0</v>
      </c>
      <c r="P13" s="20" t="n">
        <v>0</v>
      </c>
      <c r="Q13" s="18" t="n">
        <v>1.10102907</v>
      </c>
      <c r="R13" s="20" t="n">
        <v>0.61665682</v>
      </c>
    </row>
    <row r="14" spans="1:18">
      <c r="A14" s="15" t="s">
        <v>572</v>
      </c>
      <c r="B14" s="17" t="n">
        <v>2788</v>
      </c>
      <c r="C14" s="18">
        <f>(2482.0/B14*100)</f>
        <v/>
      </c>
      <c r="D14" s="19" t="n">
        <v>306</v>
      </c>
      <c r="E14" s="18" t="n">
        <v>36.6307339</v>
      </c>
      <c r="F14" s="20" t="n">
        <v>2.83375882</v>
      </c>
      <c r="G14" s="18" t="n">
        <v>62.64057166</v>
      </c>
      <c r="H14" s="20" t="n">
        <v>2.85720433</v>
      </c>
      <c r="I14" s="18" t="n">
        <v>0</v>
      </c>
      <c r="J14" s="20" t="n">
        <v>0</v>
      </c>
      <c r="K14" s="18" t="n">
        <v>0</v>
      </c>
      <c r="L14" s="20" t="n">
        <v>0</v>
      </c>
      <c r="M14" s="18" t="n">
        <v>0</v>
      </c>
      <c r="N14" s="20" t="n">
        <v>0</v>
      </c>
      <c r="O14" s="18" t="n">
        <v>0</v>
      </c>
      <c r="P14" s="20" t="n">
        <v>0</v>
      </c>
      <c r="Q14" s="18" t="n">
        <v>0.7286944400000001</v>
      </c>
      <c r="R14" s="20" t="n">
        <v>0.5216521200000001</v>
      </c>
    </row>
    <row r="15" spans="1:18">
      <c r="A15" s="15" t="s">
        <v>573</v>
      </c>
      <c r="B15" s="17" t="n">
        <v>2863</v>
      </c>
      <c r="C15" s="18">
        <f>(2552.0/B15*100)</f>
        <v/>
      </c>
      <c r="D15" s="19" t="n">
        <v>311</v>
      </c>
      <c r="E15" s="18" t="n">
        <v>23.70354851</v>
      </c>
      <c r="F15" s="20" t="n">
        <v>2.18284266</v>
      </c>
      <c r="G15" s="18" t="n">
        <v>75.0615688</v>
      </c>
      <c r="H15" s="20" t="n">
        <v>2.07245897</v>
      </c>
      <c r="I15" s="18" t="n">
        <v>0</v>
      </c>
      <c r="J15" s="20" t="n">
        <v>0</v>
      </c>
      <c r="K15" s="18" t="n">
        <v>0</v>
      </c>
      <c r="L15" s="20" t="n">
        <v>0</v>
      </c>
      <c r="M15" s="18" t="n">
        <v>0</v>
      </c>
      <c r="N15" s="20" t="n">
        <v>0</v>
      </c>
      <c r="O15" s="18" t="n">
        <v>0</v>
      </c>
      <c r="P15" s="20" t="n">
        <v>0</v>
      </c>
      <c r="Q15" s="18" t="n">
        <v>1.2348827</v>
      </c>
      <c r="R15" s="20" t="n">
        <v>0.61496068</v>
      </c>
    </row>
    <row r="16" spans="1:18">
      <c r="A16" s="15" t="s">
        <v>574</v>
      </c>
      <c r="B16" s="17" t="n">
        <v>3111</v>
      </c>
      <c r="C16" s="18">
        <f>(2799.0/B16*100)</f>
        <v/>
      </c>
      <c r="D16" s="19" t="n">
        <v>312</v>
      </c>
      <c r="E16" s="18" t="n">
        <v>36.93241031</v>
      </c>
      <c r="F16" s="20" t="n">
        <v>2.79524605</v>
      </c>
      <c r="G16" s="18" t="n">
        <v>60.08738849</v>
      </c>
      <c r="H16" s="20" t="n">
        <v>2.96672784</v>
      </c>
      <c r="I16" s="18" t="n">
        <v>0</v>
      </c>
      <c r="J16" s="20" t="n">
        <v>0</v>
      </c>
      <c r="K16" s="18" t="n">
        <v>0</v>
      </c>
      <c r="L16" s="20" t="n">
        <v>0</v>
      </c>
      <c r="M16" s="18" t="n">
        <v>0</v>
      </c>
      <c r="N16" s="20" t="n">
        <v>0</v>
      </c>
      <c r="O16" s="18" t="n">
        <v>0</v>
      </c>
      <c r="P16" s="20" t="n">
        <v>0</v>
      </c>
      <c r="Q16" s="18" t="n">
        <v>2.98020119</v>
      </c>
      <c r="R16" s="20" t="n">
        <v>0.97631573</v>
      </c>
    </row>
    <row r="17" spans="1:18">
      <c r="A17" s="15" t="s">
        <v>575</v>
      </c>
      <c r="B17" s="17" t="n">
        <v>3197</v>
      </c>
      <c r="C17" s="18">
        <f>(2836.0/B17*100)</f>
        <v/>
      </c>
      <c r="D17" s="19" t="n">
        <v>361</v>
      </c>
      <c r="E17" s="18" t="n">
        <v>36.30683132</v>
      </c>
      <c r="F17" s="20" t="n">
        <v>3.1749199</v>
      </c>
      <c r="G17" s="18" t="n">
        <v>61.09455662</v>
      </c>
      <c r="H17" s="20" t="n">
        <v>3.22009262</v>
      </c>
      <c r="I17" s="18" t="n">
        <v>0</v>
      </c>
      <c r="J17" s="20" t="n">
        <v>0</v>
      </c>
      <c r="K17" s="18" t="n">
        <v>0.3099939</v>
      </c>
      <c r="L17" s="20" t="n">
        <v>0.31437238</v>
      </c>
      <c r="M17" s="18" t="n">
        <v>0</v>
      </c>
      <c r="N17" s="20" t="n">
        <v>0</v>
      </c>
      <c r="O17" s="18" t="n">
        <v>0</v>
      </c>
      <c r="P17" s="20" t="n">
        <v>0</v>
      </c>
      <c r="Q17" s="18" t="n">
        <v>2.28861816</v>
      </c>
      <c r="R17" s="20" t="n">
        <v>0.75751116</v>
      </c>
    </row>
    <row r="18" spans="1:18">
      <c r="A18" s="15" t="s">
        <v>576</v>
      </c>
      <c r="B18" s="17" t="n">
        <v>2706</v>
      </c>
      <c r="C18" s="18">
        <f>(2436.0/B18*100)</f>
        <v/>
      </c>
      <c r="D18" s="19" t="n">
        <v>270</v>
      </c>
      <c r="E18" s="18" t="n">
        <v>49.33075686</v>
      </c>
      <c r="F18" s="20" t="n">
        <v>3.09511507</v>
      </c>
      <c r="G18" s="18" t="n">
        <v>48.73804769</v>
      </c>
      <c r="H18" s="20" t="n">
        <v>3.07468541</v>
      </c>
      <c r="I18" s="18" t="n">
        <v>0</v>
      </c>
      <c r="J18" s="20" t="n">
        <v>0</v>
      </c>
      <c r="K18" s="18" t="n">
        <v>0</v>
      </c>
      <c r="L18" s="20" t="n">
        <v>0</v>
      </c>
      <c r="M18" s="18" t="n">
        <v>0</v>
      </c>
      <c r="N18" s="20" t="n">
        <v>0</v>
      </c>
      <c r="O18" s="18" t="n">
        <v>0</v>
      </c>
      <c r="P18" s="20" t="n">
        <v>0</v>
      </c>
      <c r="Q18" s="18" t="n">
        <v>1.93119545</v>
      </c>
      <c r="R18" s="20" t="n">
        <v>0.87177269</v>
      </c>
    </row>
    <row r="19" spans="1:18">
      <c r="A19" s="15" t="s">
        <v>577</v>
      </c>
      <c r="B19" s="17" t="n">
        <v>2850</v>
      </c>
      <c r="C19" s="18">
        <f>(2536.0/B19*100)</f>
        <v/>
      </c>
      <c r="D19" s="19" t="n">
        <v>314</v>
      </c>
      <c r="E19" s="18" t="n">
        <v>49.95099237</v>
      </c>
      <c r="F19" s="20" t="n">
        <v>3.22950505</v>
      </c>
      <c r="G19" s="18" t="n">
        <v>47.76644845</v>
      </c>
      <c r="H19" s="20" t="n">
        <v>3.30390917</v>
      </c>
      <c r="I19" s="18" t="n">
        <v>0</v>
      </c>
      <c r="J19" s="20" t="n">
        <v>0</v>
      </c>
      <c r="K19" s="18" t="n">
        <v>0</v>
      </c>
      <c r="L19" s="20" t="n">
        <v>0</v>
      </c>
      <c r="M19" s="18" t="n">
        <v>0</v>
      </c>
      <c r="N19" s="20" t="n">
        <v>0</v>
      </c>
      <c r="O19" s="18" t="n">
        <v>0</v>
      </c>
      <c r="P19" s="20" t="n">
        <v>0</v>
      </c>
      <c r="Q19" s="18" t="n">
        <v>2.28255918</v>
      </c>
      <c r="R19" s="20" t="n">
        <v>0.76875158</v>
      </c>
    </row>
    <row r="20" spans="1:18">
      <c r="A20" s="15" t="s">
        <v>578</v>
      </c>
      <c r="B20" s="17" t="n">
        <v>1741</v>
      </c>
      <c r="C20" s="18">
        <f>(1558.0/B20*100)</f>
        <v/>
      </c>
      <c r="D20" s="19" t="n">
        <v>183</v>
      </c>
      <c r="E20" s="18" t="n">
        <v>37.94058232</v>
      </c>
      <c r="F20" s="20" t="n">
        <v>3.44577019</v>
      </c>
      <c r="G20" s="18" t="n">
        <v>58.88185851</v>
      </c>
      <c r="H20" s="20" t="n">
        <v>3.60574411</v>
      </c>
      <c r="I20" s="18" t="n">
        <v>0</v>
      </c>
      <c r="J20" s="20" t="n">
        <v>0</v>
      </c>
      <c r="K20" s="18" t="n">
        <v>0.46378246</v>
      </c>
      <c r="L20" s="20" t="n">
        <v>0.46556953</v>
      </c>
      <c r="M20" s="18" t="n">
        <v>0</v>
      </c>
      <c r="N20" s="20" t="n">
        <v>0</v>
      </c>
      <c r="O20" s="18" t="n">
        <v>0</v>
      </c>
      <c r="P20" s="20" t="n">
        <v>0</v>
      </c>
      <c r="Q20" s="18" t="n">
        <v>2.7137767</v>
      </c>
      <c r="R20" s="20" t="n">
        <v>1.21961477</v>
      </c>
    </row>
    <row r="21" spans="1:18">
      <c r="A21" s="15" t="s">
        <v>579</v>
      </c>
      <c r="B21" s="17" t="n">
        <v>2833</v>
      </c>
      <c r="C21" s="18">
        <f>(2486.0/B21*100)</f>
        <v/>
      </c>
      <c r="D21" s="19" t="n">
        <v>347</v>
      </c>
      <c r="E21" s="18" t="n">
        <v>37.6131763</v>
      </c>
      <c r="F21" s="20" t="n">
        <v>2.90330953</v>
      </c>
      <c r="G21" s="18" t="n">
        <v>61.33965603</v>
      </c>
      <c r="H21" s="20" t="n">
        <v>2.89238107</v>
      </c>
      <c r="I21" s="18" t="n">
        <v>0</v>
      </c>
      <c r="J21" s="20" t="n">
        <v>0</v>
      </c>
      <c r="K21" s="18" t="n">
        <v>0</v>
      </c>
      <c r="L21" s="20" t="n">
        <v>0</v>
      </c>
      <c r="M21" s="18" t="n">
        <v>0</v>
      </c>
      <c r="N21" s="20" t="n">
        <v>0</v>
      </c>
      <c r="O21" s="18" t="n">
        <v>0</v>
      </c>
      <c r="P21" s="20" t="n">
        <v>0</v>
      </c>
      <c r="Q21" s="18" t="n">
        <v>1.04716767</v>
      </c>
      <c r="R21" s="20" t="n">
        <v>0.4557771</v>
      </c>
    </row>
    <row r="22" spans="1:18">
      <c r="A22" s="15" t="s">
        <v>580</v>
      </c>
      <c r="B22" s="17" t="n">
        <v>3667</v>
      </c>
      <c r="C22" s="18">
        <f>(3256.0/B22*100)</f>
        <v/>
      </c>
      <c r="D22" s="19" t="n">
        <v>411</v>
      </c>
      <c r="E22" s="18" t="n">
        <v>45.45541272</v>
      </c>
      <c r="F22" s="20" t="n">
        <v>2.60283879</v>
      </c>
      <c r="G22" s="18" t="n">
        <v>47.69004346</v>
      </c>
      <c r="H22" s="20" t="n">
        <v>2.62284977</v>
      </c>
      <c r="I22" s="18" t="n">
        <v>0</v>
      </c>
      <c r="J22" s="20" t="n">
        <v>0</v>
      </c>
      <c r="K22" s="18" t="n">
        <v>0</v>
      </c>
      <c r="L22" s="20" t="n">
        <v>0</v>
      </c>
      <c r="M22" s="18" t="n">
        <v>0</v>
      </c>
      <c r="N22" s="20" t="n">
        <v>0</v>
      </c>
      <c r="O22" s="18" t="n">
        <v>0</v>
      </c>
      <c r="P22" s="20" t="n">
        <v>0</v>
      </c>
      <c r="Q22" s="18" t="n">
        <v>6.85454381</v>
      </c>
      <c r="R22" s="20" t="n">
        <v>1.18180897</v>
      </c>
    </row>
    <row r="23" spans="1:18">
      <c r="A23" s="15" t="s">
        <v>581</v>
      </c>
      <c r="B23" s="17" t="n">
        <v>5792</v>
      </c>
      <c r="C23" s="18">
        <f>(5149.0/B23*100)</f>
        <v/>
      </c>
      <c r="D23" s="19" t="n">
        <v>643</v>
      </c>
      <c r="E23" s="18" t="n">
        <v>40.92863573</v>
      </c>
      <c r="F23" s="20" t="n">
        <v>2.78942081</v>
      </c>
      <c r="G23" s="18" t="n">
        <v>56.09284222</v>
      </c>
      <c r="H23" s="20" t="n">
        <v>3.02878005</v>
      </c>
      <c r="I23" s="18" t="n">
        <v>0</v>
      </c>
      <c r="J23" s="20" t="n">
        <v>0</v>
      </c>
      <c r="K23" s="18" t="n">
        <v>0</v>
      </c>
      <c r="L23" s="20" t="n">
        <v>0</v>
      </c>
      <c r="M23" s="18" t="n">
        <v>0</v>
      </c>
      <c r="N23" s="20" t="n">
        <v>0</v>
      </c>
      <c r="O23" s="18" t="n">
        <v>0</v>
      </c>
      <c r="P23" s="20" t="n">
        <v>0</v>
      </c>
      <c r="Q23" s="18" t="n">
        <v>2.97852205</v>
      </c>
      <c r="R23" s="20" t="n">
        <v>1.00682538</v>
      </c>
    </row>
    <row r="24" spans="1:18">
      <c r="A24" s="15" t="s">
        <v>582</v>
      </c>
      <c r="B24" s="17" t="n">
        <v>3309</v>
      </c>
      <c r="C24" s="18">
        <f>(2931.0/B24*100)</f>
        <v/>
      </c>
      <c r="D24" s="19" t="n">
        <v>378</v>
      </c>
      <c r="E24" s="18" t="n">
        <v>28.24357174</v>
      </c>
      <c r="F24" s="20" t="n">
        <v>2.5055068</v>
      </c>
      <c r="G24" s="18" t="n">
        <v>70.79322338</v>
      </c>
      <c r="H24" s="20" t="n">
        <v>2.55164354</v>
      </c>
      <c r="I24" s="18" t="n">
        <v>0</v>
      </c>
      <c r="J24" s="20" t="n">
        <v>0</v>
      </c>
      <c r="K24" s="18" t="n">
        <v>0</v>
      </c>
      <c r="L24" s="20" t="n">
        <v>0</v>
      </c>
      <c r="M24" s="18" t="n">
        <v>0</v>
      </c>
      <c r="N24" s="20" t="n">
        <v>0</v>
      </c>
      <c r="O24" s="18" t="n">
        <v>0</v>
      </c>
      <c r="P24" s="20" t="n">
        <v>0</v>
      </c>
      <c r="Q24" s="18" t="n">
        <v>0.96320488</v>
      </c>
      <c r="R24" s="20" t="n">
        <v>0.53973023</v>
      </c>
    </row>
    <row r="25" spans="1:18">
      <c r="A25" s="15" t="s">
        <v>583</v>
      </c>
      <c r="B25" s="17" t="n">
        <v>2669</v>
      </c>
      <c r="C25" s="18">
        <f>(2396.0/B25*100)</f>
        <v/>
      </c>
      <c r="D25" s="19" t="n">
        <v>273</v>
      </c>
      <c r="E25" s="18" t="n">
        <v>28.44335644</v>
      </c>
      <c r="F25" s="20" t="n">
        <v>2.61772442</v>
      </c>
      <c r="G25" s="18" t="n">
        <v>69.48378556</v>
      </c>
      <c r="H25" s="20" t="n">
        <v>2.58074663</v>
      </c>
      <c r="I25" s="18" t="n">
        <v>0</v>
      </c>
      <c r="J25" s="20" t="n">
        <v>0</v>
      </c>
      <c r="K25" s="18" t="n">
        <v>0.33916492</v>
      </c>
      <c r="L25" s="20" t="n">
        <v>0.47668997</v>
      </c>
      <c r="M25" s="18" t="n">
        <v>0</v>
      </c>
      <c r="N25" s="20" t="n">
        <v>0</v>
      </c>
      <c r="O25" s="18" t="n">
        <v>0</v>
      </c>
      <c r="P25" s="20" t="n">
        <v>0</v>
      </c>
      <c r="Q25" s="18" t="n">
        <v>1.73369309</v>
      </c>
      <c r="R25" s="20" t="n">
        <v>0.77656508</v>
      </c>
    </row>
    <row r="26" spans="1:18">
      <c r="A26" s="15" t="s">
        <v>584</v>
      </c>
      <c r="B26" s="17" t="n">
        <v>2419</v>
      </c>
      <c r="C26" s="18">
        <f>(2155.0/B26*100)</f>
        <v/>
      </c>
      <c r="D26" s="19" t="n">
        <v>264</v>
      </c>
      <c r="E26" s="18" t="n">
        <v>42.07171817</v>
      </c>
      <c r="F26" s="20" t="n">
        <v>3.17760931</v>
      </c>
      <c r="G26" s="18" t="n">
        <v>56.80041517</v>
      </c>
      <c r="H26" s="20" t="n">
        <v>3.16374788</v>
      </c>
      <c r="I26" s="18" t="n">
        <v>0</v>
      </c>
      <c r="J26" s="20" t="n">
        <v>0</v>
      </c>
      <c r="K26" s="18" t="n">
        <v>0</v>
      </c>
      <c r="L26" s="20" t="n">
        <v>0</v>
      </c>
      <c r="M26" s="18" t="n">
        <v>0</v>
      </c>
      <c r="N26" s="20" t="n">
        <v>0</v>
      </c>
      <c r="O26" s="18" t="n">
        <v>0</v>
      </c>
      <c r="P26" s="20" t="n">
        <v>0</v>
      </c>
      <c r="Q26" s="18" t="n">
        <v>1.12786666</v>
      </c>
      <c r="R26" s="20" t="n">
        <v>0.65280398</v>
      </c>
    </row>
    <row r="27" spans="1:18">
      <c r="A27" s="15" t="s">
        <v>585</v>
      </c>
      <c r="B27" s="17" t="n">
        <v>2683</v>
      </c>
      <c r="C27" s="18">
        <f>(2369.0/B27*100)</f>
        <v/>
      </c>
      <c r="D27" s="19" t="n">
        <v>314</v>
      </c>
      <c r="E27" s="18" t="n">
        <v>40.50177789</v>
      </c>
      <c r="F27" s="20" t="n">
        <v>2.72421508</v>
      </c>
      <c r="G27" s="18" t="n">
        <v>56.22976946</v>
      </c>
      <c r="H27" s="20" t="n">
        <v>2.66358307</v>
      </c>
      <c r="I27" s="18" t="n">
        <v>0</v>
      </c>
      <c r="J27" s="20" t="n">
        <v>0</v>
      </c>
      <c r="K27" s="18" t="n">
        <v>0</v>
      </c>
      <c r="L27" s="20" t="n">
        <v>0</v>
      </c>
      <c r="M27" s="18" t="n">
        <v>0</v>
      </c>
      <c r="N27" s="20" t="n">
        <v>0</v>
      </c>
      <c r="O27" s="18" t="n">
        <v>0</v>
      </c>
      <c r="P27" s="20" t="n">
        <v>0</v>
      </c>
      <c r="Q27" s="18" t="n">
        <v>3.26845265</v>
      </c>
      <c r="R27" s="20" t="n">
        <v>1.03274511</v>
      </c>
    </row>
    <row r="28" spans="1:18">
      <c r="A28" s="15" t="s">
        <v>586</v>
      </c>
      <c r="B28" s="17" t="n">
        <v>3803</v>
      </c>
      <c r="C28" s="18">
        <f>(3406.0/B28*100)</f>
        <v/>
      </c>
      <c r="D28" s="19" t="n">
        <v>397</v>
      </c>
      <c r="E28" s="18" t="n">
        <v>51.04915698</v>
      </c>
      <c r="F28" s="20" t="n">
        <v>3.10557538</v>
      </c>
      <c r="G28" s="18" t="n">
        <v>46.82603988</v>
      </c>
      <c r="H28" s="20" t="n">
        <v>3.06269416</v>
      </c>
      <c r="I28" s="18" t="n">
        <v>0</v>
      </c>
      <c r="J28" s="20" t="n">
        <v>0</v>
      </c>
      <c r="K28" s="18" t="n">
        <v>0.5068624</v>
      </c>
      <c r="L28" s="20" t="n">
        <v>0.36545571</v>
      </c>
      <c r="M28" s="18" t="n">
        <v>0</v>
      </c>
      <c r="N28" s="20" t="n">
        <v>0</v>
      </c>
      <c r="O28" s="18" t="n">
        <v>0</v>
      </c>
      <c r="P28" s="20" t="n">
        <v>0</v>
      </c>
      <c r="Q28" s="18" t="n">
        <v>1.61794074</v>
      </c>
      <c r="R28" s="20" t="n">
        <v>0.66489612</v>
      </c>
    </row>
    <row r="29" spans="1:18">
      <c r="A29" s="15" t="s">
        <v>587</v>
      </c>
      <c r="B29" s="17" t="n">
        <v>2700</v>
      </c>
      <c r="C29" s="18">
        <f>(2395.0/B29*100)</f>
        <v/>
      </c>
      <c r="D29" s="19" t="n">
        <v>305</v>
      </c>
      <c r="E29" s="18" t="n">
        <v>36.09314012</v>
      </c>
      <c r="F29" s="20" t="n">
        <v>2.99825775</v>
      </c>
      <c r="G29" s="18" t="n">
        <v>61.06185336</v>
      </c>
      <c r="H29" s="20" t="n">
        <v>3.06719279</v>
      </c>
      <c r="I29" s="18" t="n">
        <v>0</v>
      </c>
      <c r="J29" s="20" t="n">
        <v>0</v>
      </c>
      <c r="K29" s="18" t="n">
        <v>0.42764208</v>
      </c>
      <c r="L29" s="20" t="n">
        <v>0.33070974</v>
      </c>
      <c r="M29" s="18" t="n">
        <v>0</v>
      </c>
      <c r="N29" s="20" t="n">
        <v>0</v>
      </c>
      <c r="O29" s="18" t="n">
        <v>0</v>
      </c>
      <c r="P29" s="20" t="n">
        <v>0</v>
      </c>
      <c r="Q29" s="18" t="n">
        <v>2.41736443</v>
      </c>
      <c r="R29" s="20" t="n">
        <v>0.47944712</v>
      </c>
    </row>
    <row r="30" spans="1:18">
      <c r="A30" s="15" t="s">
        <v>588</v>
      </c>
      <c r="B30" s="17" t="n">
        <v>2257</v>
      </c>
      <c r="C30" s="18">
        <f>(2009.0/B30*100)</f>
        <v/>
      </c>
      <c r="D30" s="19" t="n">
        <v>248</v>
      </c>
      <c r="E30" s="18" t="n">
        <v>25.91276586</v>
      </c>
      <c r="F30" s="20" t="n">
        <v>2.99332066</v>
      </c>
      <c r="G30" s="18" t="n">
        <v>72.3178707</v>
      </c>
      <c r="H30" s="20" t="n">
        <v>3.01597496</v>
      </c>
      <c r="I30" s="18" t="n">
        <v>0</v>
      </c>
      <c r="J30" s="20" t="n">
        <v>0</v>
      </c>
      <c r="K30" s="18" t="n">
        <v>0</v>
      </c>
      <c r="L30" s="20" t="n">
        <v>0</v>
      </c>
      <c r="M30" s="18" t="n">
        <v>0</v>
      </c>
      <c r="N30" s="20" t="n">
        <v>0</v>
      </c>
      <c r="O30" s="18" t="n">
        <v>0</v>
      </c>
      <c r="P30" s="20" t="n">
        <v>0</v>
      </c>
      <c r="Q30" s="18" t="n">
        <v>1.76936344</v>
      </c>
      <c r="R30" s="20" t="n">
        <v>0.82179282</v>
      </c>
    </row>
    <row r="31" spans="1:18">
      <c r="A31" s="15" t="s">
        <v>589</v>
      </c>
      <c r="B31" s="17" t="n">
        <v>2706</v>
      </c>
      <c r="C31" s="18">
        <f>(2413.0/B31*100)</f>
        <v/>
      </c>
      <c r="D31" s="19" t="n">
        <v>293</v>
      </c>
      <c r="E31" s="18" t="n">
        <v>31.17464125</v>
      </c>
      <c r="F31" s="20" t="n">
        <v>2.57497367</v>
      </c>
      <c r="G31" s="18" t="n">
        <v>65.74066795</v>
      </c>
      <c r="H31" s="20" t="n">
        <v>2.69678936</v>
      </c>
      <c r="I31" s="18" t="n">
        <v>0</v>
      </c>
      <c r="J31" s="20" t="n">
        <v>0</v>
      </c>
      <c r="K31" s="18" t="n">
        <v>0.33478789</v>
      </c>
      <c r="L31" s="20" t="n">
        <v>0.30219483</v>
      </c>
      <c r="M31" s="18" t="n">
        <v>0</v>
      </c>
      <c r="N31" s="20" t="n">
        <v>0</v>
      </c>
      <c r="O31" s="18" t="n">
        <v>0</v>
      </c>
      <c r="P31" s="20" t="n">
        <v>0</v>
      </c>
      <c r="Q31" s="18" t="n">
        <v>2.74990292</v>
      </c>
      <c r="R31" s="20" t="n">
        <v>1.12193122</v>
      </c>
    </row>
    <row r="32" spans="1:18">
      <c r="A32" s="15" t="s">
        <v>590</v>
      </c>
      <c r="B32" s="17" t="n">
        <v>2209</v>
      </c>
      <c r="C32" s="18">
        <f>(1966.0/B32*100)</f>
        <v/>
      </c>
      <c r="D32" s="19" t="n">
        <v>243</v>
      </c>
      <c r="E32" s="18" t="n">
        <v>31.55270098</v>
      </c>
      <c r="F32" s="20" t="n">
        <v>2.90509028</v>
      </c>
      <c r="G32" s="18" t="n">
        <v>67.28183473999999</v>
      </c>
      <c r="H32" s="20" t="n">
        <v>2.84265818</v>
      </c>
      <c r="I32" s="18" t="n">
        <v>0</v>
      </c>
      <c r="J32" s="20" t="n">
        <v>0</v>
      </c>
      <c r="K32" s="18" t="n">
        <v>0</v>
      </c>
      <c r="L32" s="20" t="n">
        <v>0</v>
      </c>
      <c r="M32" s="18" t="n">
        <v>0</v>
      </c>
      <c r="N32" s="20" t="n">
        <v>0</v>
      </c>
      <c r="O32" s="18" t="n">
        <v>0</v>
      </c>
      <c r="P32" s="20" t="n">
        <v>0</v>
      </c>
      <c r="Q32" s="18" t="n">
        <v>1.16546428</v>
      </c>
      <c r="R32" s="20" t="n">
        <v>0.37863844</v>
      </c>
    </row>
    <row r="33" spans="1:18">
      <c r="A33" s="15" t="s">
        <v>591</v>
      </c>
      <c r="B33" s="17" t="n">
        <v>3651</v>
      </c>
      <c r="C33" s="18">
        <f>(3242.0/B33*100)</f>
        <v/>
      </c>
      <c r="D33" s="19" t="n">
        <v>409</v>
      </c>
      <c r="E33" s="18" t="n">
        <v>34.37669188</v>
      </c>
      <c r="F33" s="20" t="n">
        <v>2.27729472</v>
      </c>
      <c r="G33" s="18" t="n">
        <v>64.63573235</v>
      </c>
      <c r="H33" s="20" t="n">
        <v>2.28047548</v>
      </c>
      <c r="I33" s="18" t="n">
        <v>0</v>
      </c>
      <c r="J33" s="20" t="n">
        <v>0</v>
      </c>
      <c r="K33" s="18" t="n">
        <v>0</v>
      </c>
      <c r="L33" s="20" t="n">
        <v>0</v>
      </c>
      <c r="M33" s="18" t="n">
        <v>0</v>
      </c>
      <c r="N33" s="20" t="n">
        <v>0</v>
      </c>
      <c r="O33" s="18" t="n">
        <v>0</v>
      </c>
      <c r="P33" s="20" t="n">
        <v>0</v>
      </c>
      <c r="Q33" s="18" t="n">
        <v>0.98757576</v>
      </c>
      <c r="R33" s="20" t="n">
        <v>0.54215309</v>
      </c>
    </row>
    <row r="34" spans="1:18">
      <c r="A34" s="15" t="s">
        <v>592</v>
      </c>
      <c r="B34" s="17" t="n">
        <v>3035</v>
      </c>
      <c r="C34" s="18">
        <f>(2719.0/B34*100)</f>
        <v/>
      </c>
      <c r="D34" s="19" t="n">
        <v>316</v>
      </c>
      <c r="E34" s="18" t="n">
        <v>41.11917427</v>
      </c>
      <c r="F34" s="20" t="n">
        <v>3.26162325</v>
      </c>
      <c r="G34" s="18" t="n">
        <v>55.37810945</v>
      </c>
      <c r="H34" s="20" t="n">
        <v>3.39263849</v>
      </c>
      <c r="I34" s="18" t="n">
        <v>0</v>
      </c>
      <c r="J34" s="20" t="n">
        <v>0</v>
      </c>
      <c r="K34" s="18" t="n">
        <v>0.42858527</v>
      </c>
      <c r="L34" s="20" t="n">
        <v>0.2404728</v>
      </c>
      <c r="M34" s="18" t="n">
        <v>0</v>
      </c>
      <c r="N34" s="20" t="n">
        <v>0</v>
      </c>
      <c r="O34" s="18" t="n">
        <v>0</v>
      </c>
      <c r="P34" s="20" t="n">
        <v>0</v>
      </c>
      <c r="Q34" s="18" t="n">
        <v>3.07413101</v>
      </c>
      <c r="R34" s="20" t="n">
        <v>0.91099419</v>
      </c>
    </row>
    <row r="35" spans="1:18">
      <c r="A35" s="15" t="s">
        <v>593</v>
      </c>
      <c r="B35" s="17" t="n">
        <v>2901</v>
      </c>
      <c r="C35" s="18">
        <f>(2576.0/B35*100)</f>
        <v/>
      </c>
      <c r="D35" s="19" t="n">
        <v>325</v>
      </c>
      <c r="E35" s="18" t="n">
        <v>32.38205287</v>
      </c>
      <c r="F35" s="20" t="n">
        <v>2.62253426</v>
      </c>
      <c r="G35" s="18" t="n">
        <v>66.78120486</v>
      </c>
      <c r="H35" s="20" t="n">
        <v>2.70738056</v>
      </c>
      <c r="I35" s="18" t="n">
        <v>0</v>
      </c>
      <c r="J35" s="20" t="n">
        <v>0</v>
      </c>
      <c r="K35" s="18" t="n">
        <v>0</v>
      </c>
      <c r="L35" s="20" t="n">
        <v>0</v>
      </c>
      <c r="M35" s="18" t="n">
        <v>0</v>
      </c>
      <c r="N35" s="20" t="n">
        <v>0</v>
      </c>
      <c r="O35" s="18" t="n">
        <v>0</v>
      </c>
      <c r="P35" s="20" t="n">
        <v>0</v>
      </c>
      <c r="Q35" s="18" t="n">
        <v>0.83674227</v>
      </c>
      <c r="R35" s="20" t="n">
        <v>0.42195717</v>
      </c>
    </row>
    <row r="36" spans="1:18">
      <c r="A36" s="15" t="s">
        <v>594</v>
      </c>
      <c r="B36" s="17" t="n">
        <v>3404</v>
      </c>
      <c r="C36" s="18">
        <f>(3029.0/B36*100)</f>
        <v/>
      </c>
      <c r="D36" s="19" t="n">
        <v>375</v>
      </c>
      <c r="E36" s="18" t="n">
        <v>37.72808901</v>
      </c>
      <c r="F36" s="20" t="n">
        <v>2.54576707</v>
      </c>
      <c r="G36" s="18" t="n">
        <v>60.07666247</v>
      </c>
      <c r="H36" s="20" t="n">
        <v>2.44890585</v>
      </c>
      <c r="I36" s="18" t="n">
        <v>0</v>
      </c>
      <c r="J36" s="20" t="n">
        <v>0</v>
      </c>
      <c r="K36" s="18" t="n">
        <v>0</v>
      </c>
      <c r="L36" s="20" t="n">
        <v>0</v>
      </c>
      <c r="M36" s="18" t="n">
        <v>0</v>
      </c>
      <c r="N36" s="20" t="n">
        <v>0</v>
      </c>
      <c r="O36" s="18" t="n">
        <v>0</v>
      </c>
      <c r="P36" s="20" t="n">
        <v>0</v>
      </c>
      <c r="Q36" s="18" t="n">
        <v>2.19524851</v>
      </c>
      <c r="R36" s="20" t="n">
        <v>0.87689829</v>
      </c>
    </row>
    <row r="37" spans="1:18">
      <c r="A37" s="15" t="s">
        <v>595</v>
      </c>
      <c r="B37" s="17" t="n">
        <v>2731</v>
      </c>
      <c r="C37" s="18">
        <f>(2432.0/B37*100)</f>
        <v/>
      </c>
      <c r="D37" s="19" t="n">
        <v>299</v>
      </c>
      <c r="E37" s="18" t="n">
        <v>27.4762213</v>
      </c>
      <c r="F37" s="20" t="n">
        <v>2.64646112</v>
      </c>
      <c r="G37" s="18" t="n">
        <v>69.04023101</v>
      </c>
      <c r="H37" s="20" t="n">
        <v>3.01976843</v>
      </c>
      <c r="I37" s="18" t="n">
        <v>0</v>
      </c>
      <c r="J37" s="20" t="n">
        <v>0</v>
      </c>
      <c r="K37" s="18" t="n">
        <v>0</v>
      </c>
      <c r="L37" s="20" t="n">
        <v>0</v>
      </c>
      <c r="M37" s="18" t="n">
        <v>0</v>
      </c>
      <c r="N37" s="20" t="n">
        <v>0</v>
      </c>
      <c r="O37" s="18" t="n">
        <v>0</v>
      </c>
      <c r="P37" s="20" t="n">
        <v>0</v>
      </c>
      <c r="Q37" s="18" t="n">
        <v>3.48354769</v>
      </c>
      <c r="R37" s="20" t="n">
        <v>1.28047324</v>
      </c>
    </row>
    <row r="38" spans="1:18">
      <c r="A38" s="15" t="s">
        <v>596</v>
      </c>
      <c r="B38" s="17" t="n">
        <v>2807</v>
      </c>
      <c r="C38" s="18">
        <f>(2509.0/B38*100)</f>
        <v/>
      </c>
      <c r="D38" s="19" t="n">
        <v>298</v>
      </c>
      <c r="E38" s="18" t="n">
        <v>34.69038408</v>
      </c>
      <c r="F38" s="20" t="n">
        <v>2.5860096</v>
      </c>
      <c r="G38" s="18" t="n">
        <v>64.38937845</v>
      </c>
      <c r="H38" s="20" t="n">
        <v>2.63418757</v>
      </c>
      <c r="I38" s="18" t="n">
        <v>0</v>
      </c>
      <c r="J38" s="20" t="n">
        <v>0</v>
      </c>
      <c r="K38" s="18" t="n">
        <v>0.27885979</v>
      </c>
      <c r="L38" s="20" t="n">
        <v>0.28005581</v>
      </c>
      <c r="M38" s="18" t="n">
        <v>0</v>
      </c>
      <c r="N38" s="20" t="n">
        <v>0</v>
      </c>
      <c r="O38" s="18" t="n">
        <v>0</v>
      </c>
      <c r="P38" s="20" t="n">
        <v>0</v>
      </c>
      <c r="Q38" s="18" t="n">
        <v>0.64137768</v>
      </c>
      <c r="R38" s="20" t="n">
        <v>0.45563532</v>
      </c>
    </row>
    <row r="39" spans="1:18">
      <c r="A39" s="15" t="s">
        <v>597</v>
      </c>
      <c r="B39" s="17" t="n">
        <v>2938</v>
      </c>
      <c r="C39" s="18">
        <f>(2614.0/B39*100)</f>
        <v/>
      </c>
      <c r="D39" s="19" t="n">
        <v>324</v>
      </c>
      <c r="E39" s="18" t="n">
        <v>56.32068066</v>
      </c>
      <c r="F39" s="20" t="n">
        <v>3.23163747</v>
      </c>
      <c r="G39" s="18" t="n">
        <v>41.74766843</v>
      </c>
      <c r="H39" s="20" t="n">
        <v>3.40266963</v>
      </c>
      <c r="I39" s="18" t="n">
        <v>0</v>
      </c>
      <c r="J39" s="20" t="n">
        <v>0</v>
      </c>
      <c r="K39" s="18" t="n">
        <v>0</v>
      </c>
      <c r="L39" s="20" t="n">
        <v>0</v>
      </c>
      <c r="M39" s="18" t="n">
        <v>0</v>
      </c>
      <c r="N39" s="20" t="n">
        <v>0</v>
      </c>
      <c r="O39" s="18" t="n">
        <v>0</v>
      </c>
      <c r="P39" s="20" t="n">
        <v>0</v>
      </c>
      <c r="Q39" s="18" t="n">
        <v>1.93165091</v>
      </c>
      <c r="R39" s="20" t="n">
        <v>0.5971917799999999</v>
      </c>
    </row>
    <row r="40" spans="1:18">
      <c r="A40" s="15" t="s">
        <v>598</v>
      </c>
      <c r="B40" s="17" t="n">
        <v>6922</v>
      </c>
      <c r="C40" s="18">
        <f>(6186.0/B40*100)</f>
        <v/>
      </c>
      <c r="D40" s="19" t="n">
        <v>736</v>
      </c>
      <c r="E40" s="18" t="n">
        <v>30.78814294</v>
      </c>
      <c r="F40" s="20" t="n">
        <v>2.59931506</v>
      </c>
      <c r="G40" s="18" t="n">
        <v>67.24520197</v>
      </c>
      <c r="H40" s="20" t="n">
        <v>2.55732054</v>
      </c>
      <c r="I40" s="18" t="n">
        <v>0</v>
      </c>
      <c r="J40" s="20" t="n">
        <v>0</v>
      </c>
      <c r="K40" s="18" t="n">
        <v>0.02899782</v>
      </c>
      <c r="L40" s="20" t="n">
        <v>0.04031935</v>
      </c>
      <c r="M40" s="18" t="n">
        <v>0</v>
      </c>
      <c r="N40" s="20" t="n">
        <v>0</v>
      </c>
      <c r="O40" s="18" t="n">
        <v>0</v>
      </c>
      <c r="P40" s="20" t="n">
        <v>0</v>
      </c>
      <c r="Q40" s="18" t="n">
        <v>1.93765726</v>
      </c>
      <c r="R40" s="20" t="n">
        <v>0.81586329</v>
      </c>
    </row>
    <row r="41" spans="1:18">
      <c r="A41" s="15" t="s">
        <v>599</v>
      </c>
      <c r="B41" s="17" t="n">
        <v>2854</v>
      </c>
      <c r="C41" s="18">
        <f>(2548.0/B41*100)</f>
        <v/>
      </c>
      <c r="D41" s="19" t="n">
        <v>306</v>
      </c>
      <c r="E41" s="18" t="n">
        <v>40.26753964</v>
      </c>
      <c r="F41" s="20" t="n">
        <v>2.92016238</v>
      </c>
      <c r="G41" s="18" t="n">
        <v>59.07401182</v>
      </c>
      <c r="H41" s="20" t="n">
        <v>3.00724743</v>
      </c>
      <c r="I41" s="18" t="n">
        <v>0</v>
      </c>
      <c r="J41" s="20" t="n">
        <v>0</v>
      </c>
      <c r="K41" s="18" t="n">
        <v>0</v>
      </c>
      <c r="L41" s="20" t="n">
        <v>0</v>
      </c>
      <c r="M41" s="18" t="n">
        <v>0</v>
      </c>
      <c r="N41" s="20" t="n">
        <v>0</v>
      </c>
      <c r="O41" s="18" t="n">
        <v>0</v>
      </c>
      <c r="P41" s="20" t="n">
        <v>0</v>
      </c>
      <c r="Q41" s="18" t="n">
        <v>0.65844855</v>
      </c>
      <c r="R41" s="20" t="n">
        <v>0.48946072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(10842.0/B46*100)</f>
        <v/>
      </c>
      <c r="D46" s="19" t="n">
        <v>1231</v>
      </c>
      <c r="E46" s="18" t="n">
        <v>54.8722258</v>
      </c>
      <c r="F46" s="20" t="n">
        <v>1.894385</v>
      </c>
      <c r="G46" s="18" t="n">
        <v>40.55892324</v>
      </c>
      <c r="H46" s="20" t="n">
        <v>1.78844233</v>
      </c>
      <c r="I46" s="18" t="n">
        <v>0</v>
      </c>
      <c r="J46" s="20" t="n">
        <v>0</v>
      </c>
      <c r="K46" s="18" t="n">
        <v>0.17130657</v>
      </c>
      <c r="L46" s="20" t="n">
        <v>0.14552641</v>
      </c>
      <c r="M46" s="18" t="n">
        <v>0</v>
      </c>
      <c r="N46" s="20" t="n">
        <v>0</v>
      </c>
      <c r="O46" s="18" t="n">
        <v>0</v>
      </c>
      <c r="P46" s="20" t="n">
        <v>0</v>
      </c>
      <c r="Q46" s="18" t="n">
        <v>4.39754439</v>
      </c>
      <c r="R46" s="20" t="n">
        <v>0.7801326</v>
      </c>
    </row>
    <row r="47" spans="1:18">
      <c r="A47" s="15" t="s">
        <v>606</v>
      </c>
      <c r="B47" s="17" t="n">
        <v>2823</v>
      </c>
      <c r="C47" s="18">
        <f>(2514.0/B47*100)</f>
        <v/>
      </c>
      <c r="D47" s="19" t="n">
        <v>309</v>
      </c>
      <c r="E47" s="18" t="n">
        <v>47.67461491</v>
      </c>
      <c r="F47" s="20" t="n">
        <v>2.74352119</v>
      </c>
      <c r="G47" s="18" t="n">
        <v>50.05613912</v>
      </c>
      <c r="H47" s="20" t="n">
        <v>2.77657283</v>
      </c>
      <c r="I47" s="18" t="n">
        <v>0</v>
      </c>
      <c r="J47" s="20" t="n">
        <v>0</v>
      </c>
      <c r="K47" s="18" t="n">
        <v>0.99979437</v>
      </c>
      <c r="L47" s="20" t="n">
        <v>0.65837751</v>
      </c>
      <c r="M47" s="18" t="n">
        <v>0</v>
      </c>
      <c r="N47" s="20" t="n">
        <v>0</v>
      </c>
      <c r="O47" s="18" t="n">
        <v>0</v>
      </c>
      <c r="P47" s="20" t="n">
        <v>0</v>
      </c>
      <c r="Q47" s="18" t="n">
        <v>1.26945161</v>
      </c>
      <c r="R47" s="20" t="n">
        <v>0.63093389</v>
      </c>
    </row>
    <row r="48" spans="1:18">
      <c r="A48" s="15" t="s">
        <v>607</v>
      </c>
      <c r="B48" s="17" t="n">
        <v>4682</v>
      </c>
      <c r="C48" s="18">
        <f>(4186.0/B48*100)</f>
        <v/>
      </c>
      <c r="D48" s="19" t="n">
        <v>496</v>
      </c>
      <c r="E48" s="18" t="n">
        <v>31.38835404</v>
      </c>
      <c r="F48" s="20" t="n">
        <v>2.57782942</v>
      </c>
      <c r="G48" s="18" t="n">
        <v>65.24639190000001</v>
      </c>
      <c r="H48" s="20" t="n">
        <v>2.80595247</v>
      </c>
      <c r="I48" s="18" t="n">
        <v>0</v>
      </c>
      <c r="J48" s="20" t="n">
        <v>0</v>
      </c>
      <c r="K48" s="18" t="n">
        <v>0</v>
      </c>
      <c r="L48" s="20" t="n">
        <v>0</v>
      </c>
      <c r="M48" s="18" t="n">
        <v>0</v>
      </c>
      <c r="N48" s="20" t="n">
        <v>0</v>
      </c>
      <c r="O48" s="18" t="n">
        <v>0</v>
      </c>
      <c r="P48" s="20" t="n">
        <v>0</v>
      </c>
      <c r="Q48" s="18" t="n">
        <v>3.36525406</v>
      </c>
      <c r="R48" s="20" t="n">
        <v>1.11663004</v>
      </c>
    </row>
    <row r="49" spans="1:18">
      <c r="A49" s="15" t="s">
        <v>608</v>
      </c>
      <c r="B49" s="17" t="n">
        <v>6158</v>
      </c>
      <c r="C49" s="18">
        <f>(5479.0/B49*100)</f>
        <v/>
      </c>
      <c r="D49" s="19" t="n">
        <v>679</v>
      </c>
      <c r="E49" s="18" t="n">
        <v>47.95506255</v>
      </c>
      <c r="F49" s="20" t="n">
        <v>2.40271379</v>
      </c>
      <c r="G49" s="18" t="n">
        <v>49.17348876</v>
      </c>
      <c r="H49" s="20" t="n">
        <v>2.34787207</v>
      </c>
      <c r="I49" s="18" t="n">
        <v>0</v>
      </c>
      <c r="J49" s="20" t="n">
        <v>0</v>
      </c>
      <c r="K49" s="18" t="n">
        <v>0.30777126</v>
      </c>
      <c r="L49" s="20" t="n">
        <v>0.23766287</v>
      </c>
      <c r="M49" s="18" t="n">
        <v>0</v>
      </c>
      <c r="N49" s="20" t="n">
        <v>0</v>
      </c>
      <c r="O49" s="18" t="n">
        <v>0</v>
      </c>
      <c r="P49" s="20" t="n">
        <v>0</v>
      </c>
      <c r="Q49" s="18" t="n">
        <v>2.56367743</v>
      </c>
      <c r="R49" s="20" t="n">
        <v>0.68059466</v>
      </c>
    </row>
    <row r="50" spans="1:18">
      <c r="A50" s="15" t="s">
        <v>609</v>
      </c>
      <c r="B50" s="17" t="n">
        <v>3494</v>
      </c>
      <c r="C50" s="18">
        <f>(3158.0/B50*100)</f>
        <v/>
      </c>
      <c r="D50" s="19" t="n">
        <v>336</v>
      </c>
      <c r="E50" s="18" t="n">
        <v>51.84537268</v>
      </c>
      <c r="F50" s="20" t="n">
        <v>2.39594781</v>
      </c>
      <c r="G50" s="18" t="n">
        <v>45.32772369</v>
      </c>
      <c r="H50" s="20" t="n">
        <v>2.63944173</v>
      </c>
      <c r="I50" s="18" t="n">
        <v>0</v>
      </c>
      <c r="J50" s="20" t="n">
        <v>0</v>
      </c>
      <c r="K50" s="18" t="n">
        <v>0</v>
      </c>
      <c r="L50" s="20" t="n">
        <v>0</v>
      </c>
      <c r="M50" s="18" t="n">
        <v>0</v>
      </c>
      <c r="N50" s="20" t="n">
        <v>0</v>
      </c>
      <c r="O50" s="18" t="n">
        <v>0</v>
      </c>
      <c r="P50" s="20" t="n">
        <v>0</v>
      </c>
      <c r="Q50" s="18" t="n">
        <v>2.82690363</v>
      </c>
      <c r="R50" s="20" t="n">
        <v>1.10996065</v>
      </c>
    </row>
    <row r="51" spans="1:18">
      <c r="A51" s="15" t="s">
        <v>610</v>
      </c>
      <c r="B51" s="17" t="n">
        <v>3013</v>
      </c>
      <c r="C51" s="18">
        <f>(2699.0/B51*100)</f>
        <v/>
      </c>
      <c r="D51" s="19" t="n">
        <v>314</v>
      </c>
      <c r="E51" s="18" t="n">
        <v>42.15205472</v>
      </c>
      <c r="F51" s="20" t="n">
        <v>2.88898524</v>
      </c>
      <c r="G51" s="18" t="n">
        <v>56.20002207</v>
      </c>
      <c r="H51" s="20" t="n">
        <v>2.98667097</v>
      </c>
      <c r="I51" s="18" t="n">
        <v>0</v>
      </c>
      <c r="J51" s="20" t="n">
        <v>0</v>
      </c>
      <c r="K51" s="18" t="n">
        <v>0</v>
      </c>
      <c r="L51" s="20" t="n">
        <v>0</v>
      </c>
      <c r="M51" s="18" t="n">
        <v>0</v>
      </c>
      <c r="N51" s="20" t="n">
        <v>0</v>
      </c>
      <c r="O51" s="18" t="n">
        <v>0</v>
      </c>
      <c r="P51" s="20" t="n">
        <v>0</v>
      </c>
      <c r="Q51" s="18" t="n">
        <v>1.6479232</v>
      </c>
      <c r="R51" s="20" t="n">
        <v>0.84189304</v>
      </c>
    </row>
    <row r="52" spans="1:18">
      <c r="A52" s="15" t="s">
        <v>611</v>
      </c>
      <c r="B52" s="17" t="n">
        <v>2760</v>
      </c>
      <c r="C52" s="18">
        <f>(2466.0/B52*100)</f>
        <v/>
      </c>
      <c r="D52" s="19" t="n">
        <v>294</v>
      </c>
      <c r="E52" s="18" t="n">
        <v>49.63474589</v>
      </c>
      <c r="F52" s="20" t="n">
        <v>3.20703096</v>
      </c>
      <c r="G52" s="18" t="n">
        <v>48.6106066</v>
      </c>
      <c r="H52" s="20" t="n">
        <v>3.27945064</v>
      </c>
      <c r="I52" s="18" t="n">
        <v>0</v>
      </c>
      <c r="J52" s="20" t="n">
        <v>0</v>
      </c>
      <c r="K52" s="18" t="n">
        <v>0.28238889</v>
      </c>
      <c r="L52" s="20" t="n">
        <v>0.28331042</v>
      </c>
      <c r="M52" s="18" t="n">
        <v>0</v>
      </c>
      <c r="N52" s="20" t="n">
        <v>0</v>
      </c>
      <c r="O52" s="18" t="n">
        <v>0</v>
      </c>
      <c r="P52" s="20" t="n">
        <v>0</v>
      </c>
      <c r="Q52" s="18" t="n">
        <v>1.47225862</v>
      </c>
      <c r="R52" s="20" t="n">
        <v>0.79912332</v>
      </c>
    </row>
    <row r="53" spans="1:18">
      <c r="A53" s="15" t="s">
        <v>612</v>
      </c>
      <c r="B53" s="17" t="n">
        <v>2474</v>
      </c>
      <c r="C53" s="18">
        <f>(2184.0/B53*100)</f>
        <v/>
      </c>
      <c r="D53" s="19" t="n">
        <v>290</v>
      </c>
      <c r="E53" s="18" t="n">
        <v>45.98164507</v>
      </c>
      <c r="F53" s="20" t="n">
        <v>3.07483947</v>
      </c>
      <c r="G53" s="18" t="n">
        <v>40.42006417</v>
      </c>
      <c r="H53" s="20" t="n">
        <v>3.30315694</v>
      </c>
      <c r="I53" s="18" t="n">
        <v>0</v>
      </c>
      <c r="J53" s="20" t="n">
        <v>0</v>
      </c>
      <c r="K53" s="18" t="n">
        <v>5.58985192</v>
      </c>
      <c r="L53" s="20" t="n">
        <v>1.7513164</v>
      </c>
      <c r="M53" s="18" t="n">
        <v>0</v>
      </c>
      <c r="N53" s="20" t="n">
        <v>0</v>
      </c>
      <c r="O53" s="18" t="n">
        <v>0</v>
      </c>
      <c r="P53" s="20" t="n">
        <v>0</v>
      </c>
      <c r="Q53" s="18" t="n">
        <v>8.00843884</v>
      </c>
      <c r="R53" s="20" t="n">
        <v>2.02055623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(2388.0/B55*100)</f>
        <v/>
      </c>
      <c r="D55" s="19" t="n">
        <v>287</v>
      </c>
      <c r="E55" s="18" t="n">
        <v>40.79576138</v>
      </c>
      <c r="F55" s="20" t="n">
        <v>2.70641645</v>
      </c>
      <c r="G55" s="18" t="n">
        <v>58.86453127</v>
      </c>
      <c r="H55" s="20" t="n">
        <v>2.73827309</v>
      </c>
      <c r="I55" s="18" t="n">
        <v>0</v>
      </c>
      <c r="J55" s="20" t="n">
        <v>0</v>
      </c>
      <c r="K55" s="18" t="n">
        <v>0</v>
      </c>
      <c r="L55" s="20" t="n">
        <v>0</v>
      </c>
      <c r="M55" s="18" t="n">
        <v>0</v>
      </c>
      <c r="N55" s="20" t="n">
        <v>0</v>
      </c>
      <c r="O55" s="18" t="n">
        <v>0</v>
      </c>
      <c r="P55" s="20" t="n">
        <v>0</v>
      </c>
      <c r="Q55" s="18" t="n">
        <v>0.33970735</v>
      </c>
      <c r="R55" s="20" t="n">
        <v>0.33698395</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(2841.0/B61*100)</f>
        <v/>
      </c>
      <c r="D61" s="19" t="n">
        <v>360</v>
      </c>
      <c r="E61" s="18" t="n">
        <v>49.70773479</v>
      </c>
      <c r="F61" s="20" t="n">
        <v>2.43830435</v>
      </c>
      <c r="G61" s="18" t="n">
        <v>49.55245001</v>
      </c>
      <c r="H61" s="20" t="n">
        <v>2.4019691</v>
      </c>
      <c r="I61" s="18" t="n">
        <v>0</v>
      </c>
      <c r="J61" s="20" t="n">
        <v>0</v>
      </c>
      <c r="K61" s="18" t="n">
        <v>0</v>
      </c>
      <c r="L61" s="20" t="n">
        <v>0</v>
      </c>
      <c r="M61" s="18" t="n">
        <v>0</v>
      </c>
      <c r="N61" s="20" t="n">
        <v>0</v>
      </c>
      <c r="O61" s="18" t="n">
        <v>0</v>
      </c>
      <c r="P61" s="20" t="n">
        <v>0</v>
      </c>
      <c r="Q61" s="18" t="n">
        <v>0.7398152</v>
      </c>
      <c r="R61" s="20" t="n">
        <v>0.42448917</v>
      </c>
    </row>
    <row r="62" spans="1:18">
      <c r="A62" s="15" t="s">
        <v>622</v>
      </c>
      <c r="B62" s="17" t="n">
        <v>2230</v>
      </c>
      <c r="C62" s="18">
        <f>(2003.0/B62*100)</f>
        <v/>
      </c>
      <c r="D62" s="19" t="n">
        <v>227</v>
      </c>
      <c r="E62" s="18" t="n">
        <v>37.08002452</v>
      </c>
      <c r="F62" s="20" t="n">
        <v>3.08682049</v>
      </c>
      <c r="G62" s="18" t="n">
        <v>62.91997548</v>
      </c>
      <c r="H62" s="20" t="n">
        <v>3.08682049</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(2458.0/B67*100)</f>
        <v/>
      </c>
      <c r="D67" s="19" t="n">
        <v>313</v>
      </c>
      <c r="E67" s="18" t="n">
        <v>59.4631878</v>
      </c>
      <c r="F67" s="20" t="n">
        <v>3.14765097</v>
      </c>
      <c r="G67" s="18" t="n">
        <v>32.51652814</v>
      </c>
      <c r="H67" s="20" t="n">
        <v>2.98519275</v>
      </c>
      <c r="I67" s="18" t="n">
        <v>0</v>
      </c>
      <c r="J67" s="20" t="n">
        <v>0</v>
      </c>
      <c r="K67" s="18" t="n">
        <v>0.26593529</v>
      </c>
      <c r="L67" s="20" t="n">
        <v>0.26619068</v>
      </c>
      <c r="M67" s="18" t="n">
        <v>0</v>
      </c>
      <c r="N67" s="20" t="n">
        <v>0</v>
      </c>
      <c r="O67" s="18" t="n">
        <v>0</v>
      </c>
      <c r="P67" s="20" t="n">
        <v>0</v>
      </c>
      <c r="Q67" s="18" t="n">
        <v>7.75434876</v>
      </c>
      <c r="R67" s="20" t="n">
        <v>1.58948591</v>
      </c>
    </row>
    <row r="68" spans="1:18">
      <c r="A68" s="15" t="s">
        <v>628</v>
      </c>
      <c r="B68" s="17" t="n">
        <v>3460</v>
      </c>
      <c r="C68" s="18">
        <f>(3082.0/B68*100)</f>
        <v/>
      </c>
      <c r="D68" s="19" t="n">
        <v>378</v>
      </c>
      <c r="E68" s="18" t="n">
        <v>48.52425279</v>
      </c>
      <c r="F68" s="20" t="n">
        <v>3.09115948</v>
      </c>
      <c r="G68" s="18" t="n">
        <v>49.2113974</v>
      </c>
      <c r="H68" s="20" t="n">
        <v>3.09581854</v>
      </c>
      <c r="I68" s="18" t="n">
        <v>0</v>
      </c>
      <c r="J68" s="20" t="n">
        <v>0</v>
      </c>
      <c r="K68" s="18" t="n">
        <v>0</v>
      </c>
      <c r="L68" s="20" t="n">
        <v>0</v>
      </c>
      <c r="M68" s="18" t="n">
        <v>0</v>
      </c>
      <c r="N68" s="20" t="n">
        <v>0</v>
      </c>
      <c r="O68" s="18" t="n">
        <v>0</v>
      </c>
      <c r="P68" s="20" t="n">
        <v>0</v>
      </c>
      <c r="Q68" s="18" t="n">
        <v>2.26434981</v>
      </c>
      <c r="R68" s="20" t="n">
        <v>0.76619501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(5342.0/B70*100)</f>
        <v/>
      </c>
      <c r="D70" s="19" t="n">
        <v>692</v>
      </c>
      <c r="E70" s="18" t="n">
        <v>56.86982353</v>
      </c>
      <c r="F70" s="20" t="n">
        <v>2.11415234</v>
      </c>
      <c r="G70" s="18" t="n">
        <v>38.89976819</v>
      </c>
      <c r="H70" s="20" t="n">
        <v>1.98257552</v>
      </c>
      <c r="I70" s="18" t="n">
        <v>0</v>
      </c>
      <c r="J70" s="20" t="n">
        <v>0</v>
      </c>
      <c r="K70" s="18" t="n">
        <v>0.13802712</v>
      </c>
      <c r="L70" s="20" t="n">
        <v>0.13850784</v>
      </c>
      <c r="M70" s="18" t="n">
        <v>0</v>
      </c>
      <c r="N70" s="20" t="n">
        <v>0</v>
      </c>
      <c r="O70" s="18" t="n">
        <v>0</v>
      </c>
      <c r="P70" s="20" t="n">
        <v>0</v>
      </c>
      <c r="Q70" s="18" t="n">
        <v>4.09238116</v>
      </c>
      <c r="R70" s="20" t="n">
        <v>0.76766419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(2790.0/B72*100)</f>
        <v/>
      </c>
      <c r="D72" s="19" t="n">
        <v>317</v>
      </c>
      <c r="E72" s="18" t="n">
        <v>52.68374113</v>
      </c>
      <c r="F72" s="20" t="n">
        <v>2.68235184</v>
      </c>
      <c r="G72" s="18" t="n">
        <v>45.15067377</v>
      </c>
      <c r="H72" s="20" t="n">
        <v>2.77916093</v>
      </c>
      <c r="I72" s="18" t="n">
        <v>0</v>
      </c>
      <c r="J72" s="20" t="n">
        <v>0</v>
      </c>
      <c r="K72" s="18" t="n">
        <v>0.25082233</v>
      </c>
      <c r="L72" s="20" t="n">
        <v>0.2512793</v>
      </c>
      <c r="M72" s="18" t="n">
        <v>0</v>
      </c>
      <c r="N72" s="20" t="n">
        <v>0</v>
      </c>
      <c r="O72" s="18" t="n">
        <v>0</v>
      </c>
      <c r="P72" s="20" t="n">
        <v>0</v>
      </c>
      <c r="Q72" s="18" t="n">
        <v>1.91476278</v>
      </c>
      <c r="R72" s="20" t="n">
        <v>0.61319057</v>
      </c>
    </row>
    <row r="73" spans="1:18">
      <c r="A73" s="15" t="s">
        <v>633</v>
      </c>
      <c r="B73" s="17" t="n">
        <v>2973</v>
      </c>
      <c r="C73" s="18">
        <f>(2625.0/B73*100)</f>
        <v/>
      </c>
      <c r="D73" s="19" t="n">
        <v>348</v>
      </c>
      <c r="E73" s="18" t="n">
        <v>32.04032648</v>
      </c>
      <c r="F73" s="20" t="n">
        <v>2.40568133</v>
      </c>
      <c r="G73" s="18" t="n">
        <v>66.27693951000001</v>
      </c>
      <c r="H73" s="20" t="n">
        <v>2.4631969</v>
      </c>
      <c r="I73" s="18" t="n">
        <v>0</v>
      </c>
      <c r="J73" s="20" t="n">
        <v>0</v>
      </c>
      <c r="K73" s="18" t="n">
        <v>0.46019326</v>
      </c>
      <c r="L73" s="20" t="n">
        <v>0.43957505</v>
      </c>
      <c r="M73" s="18" t="n">
        <v>0</v>
      </c>
      <c r="N73" s="20" t="n">
        <v>0</v>
      </c>
      <c r="O73" s="18" t="n">
        <v>0</v>
      </c>
      <c r="P73" s="20" t="n">
        <v>0</v>
      </c>
      <c r="Q73" s="18" t="n">
        <v>1.22254075</v>
      </c>
      <c r="R73" s="20" t="n">
        <v>0.57972543</v>
      </c>
    </row>
    <row r="74" spans="1:18">
      <c r="A74" s="15" t="s">
        <v>634</v>
      </c>
      <c r="B74" s="17" t="n">
        <v>3819</v>
      </c>
      <c r="C74" s="18">
        <f>(3416.0/B74*100)</f>
        <v/>
      </c>
      <c r="D74" s="19" t="n">
        <v>403</v>
      </c>
      <c r="E74" s="18" t="n">
        <v>33.32652777</v>
      </c>
      <c r="F74" s="20" t="n">
        <v>2.31261281</v>
      </c>
      <c r="G74" s="18" t="n">
        <v>65.92353871</v>
      </c>
      <c r="H74" s="20" t="n">
        <v>2.2841784</v>
      </c>
      <c r="I74" s="18" t="n">
        <v>0</v>
      </c>
      <c r="J74" s="20" t="n">
        <v>0</v>
      </c>
      <c r="K74" s="18" t="n">
        <v>0</v>
      </c>
      <c r="L74" s="20" t="n">
        <v>0</v>
      </c>
      <c r="M74" s="18" t="n">
        <v>0</v>
      </c>
      <c r="N74" s="20" t="n">
        <v>0</v>
      </c>
      <c r="O74" s="18" t="n">
        <v>0</v>
      </c>
      <c r="P74" s="20" t="n">
        <v>0</v>
      </c>
      <c r="Q74" s="18" t="n">
        <v>0.74993353</v>
      </c>
      <c r="R74" s="20" t="n">
        <v>0.44563567</v>
      </c>
    </row>
    <row r="75" spans="1:18">
      <c r="A75" s="15" t="s">
        <v>635</v>
      </c>
      <c r="B75" s="17" t="n">
        <v>4652</v>
      </c>
      <c r="C75" s="18">
        <f>(4143.0/B75*100)</f>
        <v/>
      </c>
      <c r="D75" s="19" t="n">
        <v>509</v>
      </c>
      <c r="E75" s="18" t="n">
        <v>48.03518974</v>
      </c>
      <c r="F75" s="20" t="n">
        <v>2.24734695</v>
      </c>
      <c r="G75" s="18" t="n">
        <v>51.20753757</v>
      </c>
      <c r="H75" s="20" t="n">
        <v>2.22232856</v>
      </c>
      <c r="I75" s="18" t="n">
        <v>0</v>
      </c>
      <c r="J75" s="20" t="n">
        <v>0</v>
      </c>
      <c r="K75" s="18" t="n">
        <v>0</v>
      </c>
      <c r="L75" s="20" t="n">
        <v>0</v>
      </c>
      <c r="M75" s="18" t="n">
        <v>0</v>
      </c>
      <c r="N75" s="20" t="n">
        <v>0</v>
      </c>
      <c r="O75" s="18" t="n">
        <v>0</v>
      </c>
      <c r="P75" s="20" t="n">
        <v>0</v>
      </c>
      <c r="Q75" s="18" t="n">
        <v>0.75727269</v>
      </c>
      <c r="R75" s="20" t="n">
        <v>0.47566135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(2665.0/B77*100)</f>
        <v/>
      </c>
      <c r="D77" s="19" t="n">
        <v>304</v>
      </c>
      <c r="E77" s="18" t="n">
        <v>58.81441365</v>
      </c>
      <c r="F77" s="20" t="n">
        <v>2.80216992</v>
      </c>
      <c r="G77" s="18" t="n">
        <v>33.52414348</v>
      </c>
      <c r="H77" s="20" t="n">
        <v>2.78704976</v>
      </c>
      <c r="I77" s="18" t="n">
        <v>0</v>
      </c>
      <c r="J77" s="20" t="n">
        <v>0</v>
      </c>
      <c r="K77" s="18" t="n">
        <v>1.4613162</v>
      </c>
      <c r="L77" s="20" t="n">
        <v>0.63251986</v>
      </c>
      <c r="M77" s="18" t="n">
        <v>0</v>
      </c>
      <c r="N77" s="20" t="n">
        <v>0</v>
      </c>
      <c r="O77" s="18" t="n">
        <v>0</v>
      </c>
      <c r="P77" s="20" t="n">
        <v>0</v>
      </c>
      <c r="Q77" s="18" t="n">
        <v>6.20012668</v>
      </c>
      <c r="R77" s="20" t="n">
        <v>1.38618515</v>
      </c>
    </row>
    <row r="78" spans="1:18">
      <c r="A78" s="15" t="s">
        <v>638</v>
      </c>
      <c r="B78" s="17" t="n">
        <v>7115</v>
      </c>
      <c r="C78" s="18">
        <f>(6356.0/B78*100)</f>
        <v/>
      </c>
      <c r="D78" s="19" t="n">
        <v>759</v>
      </c>
      <c r="E78" s="18" t="n">
        <v>52.59414414</v>
      </c>
      <c r="F78" s="20" t="n">
        <v>2.43679258</v>
      </c>
      <c r="G78" s="18" t="n">
        <v>44.72400584</v>
      </c>
      <c r="H78" s="20" t="n">
        <v>2.35897818</v>
      </c>
      <c r="I78" s="18" t="n">
        <v>0</v>
      </c>
      <c r="J78" s="20" t="n">
        <v>0</v>
      </c>
      <c r="K78" s="18" t="n">
        <v>0.18938439</v>
      </c>
      <c r="L78" s="20" t="n">
        <v>0.18873385</v>
      </c>
      <c r="M78" s="18" t="n">
        <v>0</v>
      </c>
      <c r="N78" s="20" t="n">
        <v>0</v>
      </c>
      <c r="O78" s="18" t="n">
        <v>0</v>
      </c>
      <c r="P78" s="20" t="n">
        <v>0</v>
      </c>
      <c r="Q78" s="18" t="n">
        <v>2.49246563</v>
      </c>
      <c r="R78" s="20" t="n">
        <v>0.75185007</v>
      </c>
    </row>
    <row r="79" spans="1:18">
      <c r="A79" s="15" t="s">
        <v>639</v>
      </c>
      <c r="B79" s="17" t="n">
        <v>3154</v>
      </c>
      <c r="C79" s="18">
        <f>(2796.0/B79*100)</f>
        <v/>
      </c>
      <c r="D79" s="19" t="n">
        <v>358</v>
      </c>
      <c r="E79" s="18" t="n">
        <v>39.31876574</v>
      </c>
      <c r="F79" s="20" t="n">
        <v>2.71162509</v>
      </c>
      <c r="G79" s="18" t="n">
        <v>54.60574704</v>
      </c>
      <c r="H79" s="20" t="n">
        <v>2.54245806</v>
      </c>
      <c r="I79" s="18" t="n">
        <v>0</v>
      </c>
      <c r="J79" s="20" t="n">
        <v>0</v>
      </c>
      <c r="K79" s="18" t="n">
        <v>0.25855004</v>
      </c>
      <c r="L79" s="20" t="n">
        <v>0.25729947</v>
      </c>
      <c r="M79" s="18" t="n">
        <v>0</v>
      </c>
      <c r="N79" s="20" t="n">
        <v>0</v>
      </c>
      <c r="O79" s="18" t="n">
        <v>0</v>
      </c>
      <c r="P79" s="20" t="n">
        <v>0</v>
      </c>
      <c r="Q79" s="18" t="n">
        <v>5.81693718</v>
      </c>
      <c r="R79" s="20" t="n">
        <v>1.28458235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(14186.0/B82*100)</f>
        <v/>
      </c>
      <c r="D82" s="19" t="n">
        <v>1775</v>
      </c>
      <c r="E82" s="18" t="n">
        <v>37.85543311</v>
      </c>
      <c r="F82" s="20" t="n">
        <v>1.57093276</v>
      </c>
      <c r="G82" s="18" t="n">
        <v>60.23883343</v>
      </c>
      <c r="H82" s="20" t="n">
        <v>1.60488632</v>
      </c>
      <c r="I82" s="18" t="n">
        <v>0</v>
      </c>
      <c r="J82" s="20" t="n">
        <v>0</v>
      </c>
      <c r="K82" s="18" t="n">
        <v>0.03339558</v>
      </c>
      <c r="L82" s="20" t="n">
        <v>0.04404794</v>
      </c>
      <c r="M82" s="18" t="n">
        <v>0</v>
      </c>
      <c r="N82" s="20" t="n">
        <v>0</v>
      </c>
      <c r="O82" s="18" t="n">
        <v>0</v>
      </c>
      <c r="P82" s="20" t="n">
        <v>0</v>
      </c>
      <c r="Q82" s="18" t="n">
        <v>1.87233788</v>
      </c>
      <c r="R82" s="20" t="n">
        <v>0.48167282</v>
      </c>
    </row>
    <row r="83" spans="1:18">
      <c r="A83" s="15" t="s">
        <v>643</v>
      </c>
      <c r="B83" s="17" t="n">
        <v>808</v>
      </c>
      <c r="C83" s="18">
        <f>(724.0/B83*100)</f>
        <v/>
      </c>
      <c r="D83" s="19" t="n">
        <v>84</v>
      </c>
      <c r="E83" s="18" t="n">
        <v>23.27213472</v>
      </c>
      <c r="F83" s="20" t="n">
        <v>5.69074945</v>
      </c>
      <c r="G83" s="18" t="n">
        <v>76.72786528</v>
      </c>
      <c r="H83" s="20" t="n">
        <v>5.69074945</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(842.0/B84*100)</f>
        <v/>
      </c>
      <c r="D84" s="19" t="n">
        <v>96</v>
      </c>
      <c r="E84" s="18" t="n">
        <v>36.80640347</v>
      </c>
      <c r="F84" s="20" t="n">
        <v>4.97168013</v>
      </c>
      <c r="G84" s="18" t="n">
        <v>63.19359653</v>
      </c>
      <c r="H84" s="20" t="n">
        <v>4.97168013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(6380.0/B7*100)</f>
        <v/>
      </c>
      <c r="D7" s="19" t="n">
        <v>783</v>
      </c>
      <c r="E7" s="18" t="n">
        <v>59.02994883</v>
      </c>
      <c r="F7" s="20" t="n">
        <v>2.24219416</v>
      </c>
      <c r="G7" s="18" t="n">
        <v>39.61623649</v>
      </c>
      <c r="H7" s="20" t="n">
        <v>2.18028069</v>
      </c>
      <c r="I7" s="18" t="n">
        <v>0</v>
      </c>
      <c r="J7" s="20" t="n">
        <v>0</v>
      </c>
      <c r="K7" s="18" t="n">
        <v>0.03509564</v>
      </c>
      <c r="L7" s="20" t="n">
        <v>0.03409848</v>
      </c>
      <c r="M7" s="18" t="n">
        <v>0</v>
      </c>
      <c r="N7" s="20" t="n">
        <v>0</v>
      </c>
      <c r="O7" s="18" t="n">
        <v>0</v>
      </c>
      <c r="P7" s="20" t="n">
        <v>0</v>
      </c>
      <c r="Q7" s="18" t="n">
        <v>1.31871905</v>
      </c>
      <c r="R7" s="20" t="n">
        <v>0.46685987</v>
      </c>
    </row>
    <row r="8" spans="1:18">
      <c r="A8" s="15" t="s">
        <v>566</v>
      </c>
      <c r="B8" s="17" t="n">
        <v>3443</v>
      </c>
      <c r="C8" s="18">
        <f>(3058.0/B8*100)</f>
        <v/>
      </c>
      <c r="D8" s="19" t="n">
        <v>385</v>
      </c>
      <c r="E8" s="18" t="n">
        <v>64.87289158999999</v>
      </c>
      <c r="F8" s="20" t="n">
        <v>3.04693113</v>
      </c>
      <c r="G8" s="18" t="n">
        <v>32.73179254</v>
      </c>
      <c r="H8" s="20" t="n">
        <v>2.96209168</v>
      </c>
      <c r="I8" s="18" t="n">
        <v>0</v>
      </c>
      <c r="J8" s="20" t="n">
        <v>0</v>
      </c>
      <c r="K8" s="18" t="n">
        <v>0</v>
      </c>
      <c r="L8" s="20" t="n">
        <v>0</v>
      </c>
      <c r="M8" s="18" t="n">
        <v>0</v>
      </c>
      <c r="N8" s="20" t="n">
        <v>0</v>
      </c>
      <c r="O8" s="18" t="n">
        <v>0</v>
      </c>
      <c r="P8" s="20" t="n">
        <v>0</v>
      </c>
      <c r="Q8" s="18" t="n">
        <v>2.39531587</v>
      </c>
      <c r="R8" s="20" t="n">
        <v>0.84737601</v>
      </c>
    </row>
    <row r="9" spans="1:18">
      <c r="A9" s="15" t="s">
        <v>567</v>
      </c>
      <c r="B9" s="17" t="n">
        <v>4752</v>
      </c>
      <c r="C9" s="18">
        <f>(4206.0/B9*100)</f>
        <v/>
      </c>
      <c r="D9" s="19" t="n">
        <v>546</v>
      </c>
      <c r="E9" s="18" t="n">
        <v>57.38475757</v>
      </c>
      <c r="F9" s="20" t="n">
        <v>2.17135995</v>
      </c>
      <c r="G9" s="18" t="n">
        <v>40.53502832</v>
      </c>
      <c r="H9" s="20" t="n">
        <v>2.16055928</v>
      </c>
      <c r="I9" s="18" t="n">
        <v>0</v>
      </c>
      <c r="J9" s="20" t="n">
        <v>0</v>
      </c>
      <c r="K9" s="18" t="n">
        <v>0</v>
      </c>
      <c r="L9" s="20" t="n">
        <v>0</v>
      </c>
      <c r="M9" s="18" t="n">
        <v>0</v>
      </c>
      <c r="N9" s="20" t="n">
        <v>0</v>
      </c>
      <c r="O9" s="18" t="n">
        <v>0</v>
      </c>
      <c r="P9" s="20" t="n">
        <v>0</v>
      </c>
      <c r="Q9" s="18" t="n">
        <v>2.08021411</v>
      </c>
      <c r="R9" s="20" t="n">
        <v>0.70281935</v>
      </c>
    </row>
    <row r="10" spans="1:18">
      <c r="A10" s="15" t="s">
        <v>568</v>
      </c>
      <c r="B10" s="17" t="n">
        <v>10022</v>
      </c>
      <c r="C10" s="18">
        <f>(8913.0/B10*100)</f>
        <v/>
      </c>
      <c r="D10" s="19" t="n">
        <v>1109</v>
      </c>
      <c r="E10" s="18" t="n">
        <v>59.87826868</v>
      </c>
      <c r="F10" s="20" t="n">
        <v>1.59426922</v>
      </c>
      <c r="G10" s="18" t="n">
        <v>38.98119634</v>
      </c>
      <c r="H10" s="20" t="n">
        <v>1.61207301</v>
      </c>
      <c r="I10" s="18" t="n">
        <v>0</v>
      </c>
      <c r="J10" s="20" t="n">
        <v>0</v>
      </c>
      <c r="K10" s="18" t="n">
        <v>0.05179467</v>
      </c>
      <c r="L10" s="20" t="n">
        <v>0.0364621</v>
      </c>
      <c r="M10" s="18" t="n">
        <v>0</v>
      </c>
      <c r="N10" s="20" t="n">
        <v>0</v>
      </c>
      <c r="O10" s="18" t="n">
        <v>0</v>
      </c>
      <c r="P10" s="20" t="n">
        <v>0</v>
      </c>
      <c r="Q10" s="18" t="n">
        <v>1.08874032</v>
      </c>
      <c r="R10" s="20" t="n">
        <v>0.41311185</v>
      </c>
    </row>
    <row r="11" spans="1:18">
      <c r="A11" s="15" t="s">
        <v>569</v>
      </c>
      <c r="B11" s="17" t="n">
        <v>3500</v>
      </c>
      <c r="C11" s="18">
        <f>(3089.0/B11*100)</f>
        <v/>
      </c>
      <c r="D11" s="19" t="n">
        <v>411</v>
      </c>
      <c r="E11" s="18" t="n">
        <v>83.8455259</v>
      </c>
      <c r="F11" s="20" t="n">
        <v>2.50917208</v>
      </c>
      <c r="G11" s="18" t="n">
        <v>12.50342104</v>
      </c>
      <c r="H11" s="20" t="n">
        <v>1.67054473</v>
      </c>
      <c r="I11" s="18" t="n">
        <v>0</v>
      </c>
      <c r="J11" s="20" t="n">
        <v>0</v>
      </c>
      <c r="K11" s="18" t="n">
        <v>0.32809908</v>
      </c>
      <c r="L11" s="20" t="n">
        <v>0.31601245</v>
      </c>
      <c r="M11" s="18" t="n">
        <v>0</v>
      </c>
      <c r="N11" s="20" t="n">
        <v>0</v>
      </c>
      <c r="O11" s="18" t="n">
        <v>0</v>
      </c>
      <c r="P11" s="20" t="n">
        <v>0</v>
      </c>
      <c r="Q11" s="18" t="n">
        <v>3.32295399</v>
      </c>
      <c r="R11" s="20" t="n">
        <v>2.02786436</v>
      </c>
    </row>
    <row r="12" spans="1:18">
      <c r="A12" s="15" t="s">
        <v>570</v>
      </c>
      <c r="B12" s="17" t="n">
        <v>3422</v>
      </c>
      <c r="C12" s="18">
        <f>(3042.0/B12*100)</f>
        <v/>
      </c>
      <c r="D12" s="19" t="n">
        <v>380</v>
      </c>
      <c r="E12" s="18" t="n">
        <v>57.35688631</v>
      </c>
      <c r="F12" s="20" t="n">
        <v>2.75497664</v>
      </c>
      <c r="G12" s="18" t="n">
        <v>39.48591068</v>
      </c>
      <c r="H12" s="20" t="n">
        <v>2.62952349</v>
      </c>
      <c r="I12" s="18" t="n">
        <v>0</v>
      </c>
      <c r="J12" s="20" t="n">
        <v>0</v>
      </c>
      <c r="K12" s="18" t="n">
        <v>0</v>
      </c>
      <c r="L12" s="20" t="n">
        <v>0</v>
      </c>
      <c r="M12" s="18" t="n">
        <v>0</v>
      </c>
      <c r="N12" s="20" t="n">
        <v>0</v>
      </c>
      <c r="O12" s="18" t="n">
        <v>0</v>
      </c>
      <c r="P12" s="20" t="n">
        <v>0</v>
      </c>
      <c r="Q12" s="18" t="n">
        <v>3.15720302</v>
      </c>
      <c r="R12" s="20" t="n">
        <v>1.1997946</v>
      </c>
    </row>
    <row r="13" spans="1:18">
      <c r="A13" s="15" t="s">
        <v>571</v>
      </c>
      <c r="B13" s="17" t="n">
        <v>3602</v>
      </c>
      <c r="C13" s="18">
        <f>(3228.0/B13*100)</f>
        <v/>
      </c>
      <c r="D13" s="19" t="n">
        <v>374</v>
      </c>
      <c r="E13" s="18" t="n">
        <v>61.36531088</v>
      </c>
      <c r="F13" s="20" t="n">
        <v>3.247434</v>
      </c>
      <c r="G13" s="18" t="n">
        <v>37.19625538</v>
      </c>
      <c r="H13" s="20" t="n">
        <v>3.26348086</v>
      </c>
      <c r="I13" s="18" t="n">
        <v>0</v>
      </c>
      <c r="J13" s="20" t="n">
        <v>0</v>
      </c>
      <c r="K13" s="18" t="n">
        <v>0.47412576</v>
      </c>
      <c r="L13" s="20" t="n">
        <v>0.38128047</v>
      </c>
      <c r="M13" s="18" t="n">
        <v>0</v>
      </c>
      <c r="N13" s="20" t="n">
        <v>0</v>
      </c>
      <c r="O13" s="18" t="n">
        <v>0</v>
      </c>
      <c r="P13" s="20" t="n">
        <v>0</v>
      </c>
      <c r="Q13" s="18" t="n">
        <v>0.96430798</v>
      </c>
      <c r="R13" s="20" t="n">
        <v>0.60595633</v>
      </c>
    </row>
    <row r="14" spans="1:18">
      <c r="A14" s="15" t="s">
        <v>572</v>
      </c>
      <c r="B14" s="17" t="n">
        <v>2788</v>
      </c>
      <c r="C14" s="18">
        <f>(2482.0/B14*100)</f>
        <v/>
      </c>
      <c r="D14" s="19" t="n">
        <v>306</v>
      </c>
      <c r="E14" s="18" t="n">
        <v>46.62745078</v>
      </c>
      <c r="F14" s="20" t="n">
        <v>3.29148656</v>
      </c>
      <c r="G14" s="18" t="n">
        <v>52.64385478</v>
      </c>
      <c r="H14" s="20" t="n">
        <v>3.2901438</v>
      </c>
      <c r="I14" s="18" t="n">
        <v>0</v>
      </c>
      <c r="J14" s="20" t="n">
        <v>0</v>
      </c>
      <c r="K14" s="18" t="n">
        <v>0</v>
      </c>
      <c r="L14" s="20" t="n">
        <v>0</v>
      </c>
      <c r="M14" s="18" t="n">
        <v>0</v>
      </c>
      <c r="N14" s="20" t="n">
        <v>0</v>
      </c>
      <c r="O14" s="18" t="n">
        <v>0</v>
      </c>
      <c r="P14" s="20" t="n">
        <v>0</v>
      </c>
      <c r="Q14" s="18" t="n">
        <v>0.7286944400000001</v>
      </c>
      <c r="R14" s="20" t="n">
        <v>0.5216521200000001</v>
      </c>
    </row>
    <row r="15" spans="1:18">
      <c r="A15" s="15" t="s">
        <v>573</v>
      </c>
      <c r="B15" s="17" t="n">
        <v>2863</v>
      </c>
      <c r="C15" s="18">
        <f>(2552.0/B15*100)</f>
        <v/>
      </c>
      <c r="D15" s="19" t="n">
        <v>311</v>
      </c>
      <c r="E15" s="18" t="n">
        <v>55.40904599</v>
      </c>
      <c r="F15" s="20" t="n">
        <v>2.8721031</v>
      </c>
      <c r="G15" s="18" t="n">
        <v>43.65104891</v>
      </c>
      <c r="H15" s="20" t="n">
        <v>2.87664028</v>
      </c>
      <c r="I15" s="18" t="n">
        <v>0</v>
      </c>
      <c r="J15" s="20" t="n">
        <v>0</v>
      </c>
      <c r="K15" s="18" t="n">
        <v>0</v>
      </c>
      <c r="L15" s="20" t="n">
        <v>0</v>
      </c>
      <c r="M15" s="18" t="n">
        <v>0</v>
      </c>
      <c r="N15" s="20" t="n">
        <v>0</v>
      </c>
      <c r="O15" s="18" t="n">
        <v>0</v>
      </c>
      <c r="P15" s="20" t="n">
        <v>0</v>
      </c>
      <c r="Q15" s="18" t="n">
        <v>0.93990509</v>
      </c>
      <c r="R15" s="20" t="n">
        <v>0.53128408</v>
      </c>
    </row>
    <row r="16" spans="1:18">
      <c r="A16" s="15" t="s">
        <v>574</v>
      </c>
      <c r="B16" s="17" t="n">
        <v>3111</v>
      </c>
      <c r="C16" s="18">
        <f>(2799.0/B16*100)</f>
        <v/>
      </c>
      <c r="D16" s="19" t="n">
        <v>312</v>
      </c>
      <c r="E16" s="18" t="n">
        <v>78.6568891</v>
      </c>
      <c r="F16" s="20" t="n">
        <v>2.33230844</v>
      </c>
      <c r="G16" s="18" t="n">
        <v>18.6409733</v>
      </c>
      <c r="H16" s="20" t="n">
        <v>2.18773299</v>
      </c>
      <c r="I16" s="18" t="n">
        <v>0</v>
      </c>
      <c r="J16" s="20" t="n">
        <v>0</v>
      </c>
      <c r="K16" s="18" t="n">
        <v>0</v>
      </c>
      <c r="L16" s="20" t="n">
        <v>0</v>
      </c>
      <c r="M16" s="18" t="n">
        <v>0</v>
      </c>
      <c r="N16" s="20" t="n">
        <v>0</v>
      </c>
      <c r="O16" s="18" t="n">
        <v>0</v>
      </c>
      <c r="P16" s="20" t="n">
        <v>0</v>
      </c>
      <c r="Q16" s="18" t="n">
        <v>2.7021376</v>
      </c>
      <c r="R16" s="20" t="n">
        <v>0.9074708500000001</v>
      </c>
    </row>
    <row r="17" spans="1:18">
      <c r="A17" s="15" t="s">
        <v>575</v>
      </c>
      <c r="B17" s="17" t="n">
        <v>3197</v>
      </c>
      <c r="C17" s="18">
        <f>(2837.0/B17*100)</f>
        <v/>
      </c>
      <c r="D17" s="19" t="n">
        <v>360</v>
      </c>
      <c r="E17" s="18" t="n">
        <v>58.91875419</v>
      </c>
      <c r="F17" s="20" t="n">
        <v>2.28041443</v>
      </c>
      <c r="G17" s="18" t="n">
        <v>39.22385364</v>
      </c>
      <c r="H17" s="20" t="n">
        <v>2.22987544</v>
      </c>
      <c r="I17" s="18" t="n">
        <v>0</v>
      </c>
      <c r="J17" s="20" t="n">
        <v>0</v>
      </c>
      <c r="K17" s="18" t="n">
        <v>0.31092643</v>
      </c>
      <c r="L17" s="20" t="n">
        <v>0.31533026</v>
      </c>
      <c r="M17" s="18" t="n">
        <v>0</v>
      </c>
      <c r="N17" s="20" t="n">
        <v>0</v>
      </c>
      <c r="O17" s="18" t="n">
        <v>0</v>
      </c>
      <c r="P17" s="20" t="n">
        <v>0</v>
      </c>
      <c r="Q17" s="18" t="n">
        <v>1.54646573</v>
      </c>
      <c r="R17" s="20" t="n">
        <v>0.6720039</v>
      </c>
    </row>
    <row r="18" spans="1:18">
      <c r="A18" s="15" t="s">
        <v>576</v>
      </c>
      <c r="B18" s="17" t="n">
        <v>2706</v>
      </c>
      <c r="C18" s="18">
        <f>(2436.0/B18*100)</f>
        <v/>
      </c>
      <c r="D18" s="19" t="n">
        <v>270</v>
      </c>
      <c r="E18" s="18" t="n">
        <v>71.42349025</v>
      </c>
      <c r="F18" s="20" t="n">
        <v>2.9958452</v>
      </c>
      <c r="G18" s="18" t="n">
        <v>26.63969942</v>
      </c>
      <c r="H18" s="20" t="n">
        <v>2.86993089</v>
      </c>
      <c r="I18" s="18" t="n">
        <v>0</v>
      </c>
      <c r="J18" s="20" t="n">
        <v>0</v>
      </c>
      <c r="K18" s="18" t="n">
        <v>0</v>
      </c>
      <c r="L18" s="20" t="n">
        <v>0</v>
      </c>
      <c r="M18" s="18" t="n">
        <v>0</v>
      </c>
      <c r="N18" s="20" t="n">
        <v>0</v>
      </c>
      <c r="O18" s="18" t="n">
        <v>0</v>
      </c>
      <c r="P18" s="20" t="n">
        <v>0</v>
      </c>
      <c r="Q18" s="18" t="n">
        <v>1.93681033</v>
      </c>
      <c r="R18" s="20" t="n">
        <v>0.8805088599999999</v>
      </c>
    </row>
    <row r="19" spans="1:18">
      <c r="A19" s="15" t="s">
        <v>577</v>
      </c>
      <c r="B19" s="17" t="n">
        <v>2850</v>
      </c>
      <c r="C19" s="18">
        <f>(2536.0/B19*100)</f>
        <v/>
      </c>
      <c r="D19" s="19" t="n">
        <v>314</v>
      </c>
      <c r="E19" s="18" t="n">
        <v>54.71777372</v>
      </c>
      <c r="F19" s="20" t="n">
        <v>2.65680957</v>
      </c>
      <c r="G19" s="18" t="n">
        <v>44.10229178</v>
      </c>
      <c r="H19" s="20" t="n">
        <v>2.63985368</v>
      </c>
      <c r="I19" s="18" t="n">
        <v>0</v>
      </c>
      <c r="J19" s="20" t="n">
        <v>0</v>
      </c>
      <c r="K19" s="18" t="n">
        <v>0</v>
      </c>
      <c r="L19" s="20" t="n">
        <v>0</v>
      </c>
      <c r="M19" s="18" t="n">
        <v>0</v>
      </c>
      <c r="N19" s="20" t="n">
        <v>0</v>
      </c>
      <c r="O19" s="18" t="n">
        <v>0</v>
      </c>
      <c r="P19" s="20" t="n">
        <v>0</v>
      </c>
      <c r="Q19" s="18" t="n">
        <v>1.1799345</v>
      </c>
      <c r="R19" s="20" t="n">
        <v>0.60221615</v>
      </c>
    </row>
    <row r="20" spans="1:18">
      <c r="A20" s="15" t="s">
        <v>578</v>
      </c>
      <c r="B20" s="17" t="n">
        <v>1741</v>
      </c>
      <c r="C20" s="18">
        <f>(1558.0/B20*100)</f>
        <v/>
      </c>
      <c r="D20" s="19" t="n">
        <v>183</v>
      </c>
      <c r="E20" s="18" t="n">
        <v>0</v>
      </c>
      <c r="F20" s="20" t="n">
        <v>0</v>
      </c>
      <c r="G20" s="18" t="n">
        <v>0</v>
      </c>
      <c r="H20" s="20" t="n">
        <v>0</v>
      </c>
      <c r="I20" s="18" t="n">
        <v>0</v>
      </c>
      <c r="J20" s="20" t="n">
        <v>0</v>
      </c>
      <c r="K20" s="18" t="n">
        <v>0</v>
      </c>
      <c r="L20" s="20" t="n">
        <v>0</v>
      </c>
      <c r="M20" s="18" t="n">
        <v>100</v>
      </c>
      <c r="N20" s="20" t="n">
        <v>0</v>
      </c>
      <c r="O20" s="18" t="n">
        <v>0</v>
      </c>
      <c r="P20" s="20" t="n">
        <v>0</v>
      </c>
      <c r="Q20" s="18" t="n">
        <v>0</v>
      </c>
      <c r="R20" s="20" t="n">
        <v>0</v>
      </c>
    </row>
    <row r="21" spans="1:18">
      <c r="A21" s="15" t="s">
        <v>579</v>
      </c>
      <c r="B21" s="17" t="n">
        <v>2833</v>
      </c>
      <c r="C21" s="18">
        <f>(2487.0/B21*100)</f>
        <v/>
      </c>
      <c r="D21" s="19" t="n">
        <v>346</v>
      </c>
      <c r="E21" s="18" t="n">
        <v>56.37990325</v>
      </c>
      <c r="F21" s="20" t="n">
        <v>2.81662676</v>
      </c>
      <c r="G21" s="18" t="n">
        <v>42.00379017</v>
      </c>
      <c r="H21" s="20" t="n">
        <v>2.7509792</v>
      </c>
      <c r="I21" s="18" t="n">
        <v>0</v>
      </c>
      <c r="J21" s="20" t="n">
        <v>0</v>
      </c>
      <c r="K21" s="18" t="n">
        <v>0</v>
      </c>
      <c r="L21" s="20" t="n">
        <v>0</v>
      </c>
      <c r="M21" s="18" t="n">
        <v>0</v>
      </c>
      <c r="N21" s="20" t="n">
        <v>0</v>
      </c>
      <c r="O21" s="18" t="n">
        <v>0</v>
      </c>
      <c r="P21" s="20" t="n">
        <v>0</v>
      </c>
      <c r="Q21" s="18" t="n">
        <v>1.61630658</v>
      </c>
      <c r="R21" s="20" t="n">
        <v>0.65079499</v>
      </c>
    </row>
    <row r="22" spans="1:18">
      <c r="A22" s="15" t="s">
        <v>580</v>
      </c>
      <c r="B22" s="17" t="n">
        <v>3667</v>
      </c>
      <c r="C22" s="18">
        <f>(3257.0/B22*100)</f>
        <v/>
      </c>
      <c r="D22" s="19" t="n">
        <v>410</v>
      </c>
      <c r="E22" s="18" t="n">
        <v>20.3150125</v>
      </c>
      <c r="F22" s="20" t="n">
        <v>2.05068928</v>
      </c>
      <c r="G22" s="18" t="n">
        <v>4.12160341</v>
      </c>
      <c r="H22" s="20" t="n">
        <v>1.03790265</v>
      </c>
      <c r="I22" s="18" t="n">
        <v>0</v>
      </c>
      <c r="J22" s="20" t="n">
        <v>0</v>
      </c>
      <c r="K22" s="18" t="n">
        <v>0</v>
      </c>
      <c r="L22" s="20" t="n">
        <v>0</v>
      </c>
      <c r="M22" s="18" t="n">
        <v>73.77802878999999</v>
      </c>
      <c r="N22" s="20" t="n">
        <v>1.94799845</v>
      </c>
      <c r="O22" s="18" t="n">
        <v>0</v>
      </c>
      <c r="P22" s="20" t="n">
        <v>0</v>
      </c>
      <c r="Q22" s="18" t="n">
        <v>1.7853553</v>
      </c>
      <c r="R22" s="20" t="n">
        <v>0.54081788</v>
      </c>
    </row>
    <row r="23" spans="1:18">
      <c r="A23" s="15" t="s">
        <v>581</v>
      </c>
      <c r="B23" s="17" t="n">
        <v>5792</v>
      </c>
      <c r="C23" s="18">
        <f>(5148.0/B23*100)</f>
        <v/>
      </c>
      <c r="D23" s="19" t="n">
        <v>644</v>
      </c>
      <c r="E23" s="18" t="n">
        <v>71.87429607999999</v>
      </c>
      <c r="F23" s="20" t="n">
        <v>2.59761791</v>
      </c>
      <c r="G23" s="18" t="n">
        <v>26.36744792</v>
      </c>
      <c r="H23" s="20" t="n">
        <v>2.60256993</v>
      </c>
      <c r="I23" s="18" t="n">
        <v>0</v>
      </c>
      <c r="J23" s="20" t="n">
        <v>0</v>
      </c>
      <c r="K23" s="18" t="n">
        <v>0</v>
      </c>
      <c r="L23" s="20" t="n">
        <v>0</v>
      </c>
      <c r="M23" s="18" t="n">
        <v>0</v>
      </c>
      <c r="N23" s="20" t="n">
        <v>0</v>
      </c>
      <c r="O23" s="18" t="n">
        <v>0</v>
      </c>
      <c r="P23" s="20" t="n">
        <v>0</v>
      </c>
      <c r="Q23" s="18" t="n">
        <v>1.75825599</v>
      </c>
      <c r="R23" s="20" t="n">
        <v>0.77430935</v>
      </c>
    </row>
    <row r="24" spans="1:18">
      <c r="A24" s="15" t="s">
        <v>582</v>
      </c>
      <c r="B24" s="17" t="n">
        <v>3309</v>
      </c>
      <c r="C24" s="18">
        <f>(2931.0/B24*100)</f>
        <v/>
      </c>
      <c r="D24" s="19" t="n">
        <v>378</v>
      </c>
      <c r="E24" s="18" t="n">
        <v>0</v>
      </c>
      <c r="F24" s="20" t="n">
        <v>0</v>
      </c>
      <c r="G24" s="18" t="n">
        <v>0</v>
      </c>
      <c r="H24" s="20" t="n">
        <v>0</v>
      </c>
      <c r="I24" s="18" t="n">
        <v>0</v>
      </c>
      <c r="J24" s="20" t="n">
        <v>0</v>
      </c>
      <c r="K24" s="18" t="n">
        <v>0</v>
      </c>
      <c r="L24" s="20" t="n">
        <v>0</v>
      </c>
      <c r="M24" s="18" t="n">
        <v>100</v>
      </c>
      <c r="N24" s="20" t="n">
        <v>0</v>
      </c>
      <c r="O24" s="18" t="n">
        <v>0</v>
      </c>
      <c r="P24" s="20" t="n">
        <v>0</v>
      </c>
      <c r="Q24" s="18" t="n">
        <v>0</v>
      </c>
      <c r="R24" s="20" t="n">
        <v>0</v>
      </c>
    </row>
    <row r="25" spans="1:18">
      <c r="A25" s="15" t="s">
        <v>583</v>
      </c>
      <c r="B25" s="17" t="n">
        <v>2669</v>
      </c>
      <c r="C25" s="18">
        <f>(2396.0/B25*100)</f>
        <v/>
      </c>
      <c r="D25" s="19" t="n">
        <v>273</v>
      </c>
      <c r="E25" s="18" t="n">
        <v>59.95465414</v>
      </c>
      <c r="F25" s="20" t="n">
        <v>2.77889368</v>
      </c>
      <c r="G25" s="18" t="n">
        <v>39.15826626</v>
      </c>
      <c r="H25" s="20" t="n">
        <v>2.7324046</v>
      </c>
      <c r="I25" s="18" t="n">
        <v>0</v>
      </c>
      <c r="J25" s="20" t="n">
        <v>0</v>
      </c>
      <c r="K25" s="18" t="n">
        <v>0.33916492</v>
      </c>
      <c r="L25" s="20" t="n">
        <v>0.47668997</v>
      </c>
      <c r="M25" s="18" t="n">
        <v>0</v>
      </c>
      <c r="N25" s="20" t="n">
        <v>0</v>
      </c>
      <c r="O25" s="18" t="n">
        <v>0</v>
      </c>
      <c r="P25" s="20" t="n">
        <v>0</v>
      </c>
      <c r="Q25" s="18" t="n">
        <v>0.54791469</v>
      </c>
      <c r="R25" s="20" t="n">
        <v>0.39076514</v>
      </c>
    </row>
    <row r="26" spans="1:18">
      <c r="A26" s="15" t="s">
        <v>584</v>
      </c>
      <c r="B26" s="17" t="n">
        <v>2419</v>
      </c>
      <c r="C26" s="18">
        <f>(2155.0/B26*100)</f>
        <v/>
      </c>
      <c r="D26" s="19" t="n">
        <v>264</v>
      </c>
      <c r="E26" s="18" t="n">
        <v>57.49032907</v>
      </c>
      <c r="F26" s="20" t="n">
        <v>3.26557054</v>
      </c>
      <c r="G26" s="18" t="n">
        <v>41.75838848</v>
      </c>
      <c r="H26" s="20" t="n">
        <v>3.23863904</v>
      </c>
      <c r="I26" s="18" t="n">
        <v>0</v>
      </c>
      <c r="J26" s="20" t="n">
        <v>0</v>
      </c>
      <c r="K26" s="18" t="n">
        <v>0</v>
      </c>
      <c r="L26" s="20" t="n">
        <v>0</v>
      </c>
      <c r="M26" s="18" t="n">
        <v>0</v>
      </c>
      <c r="N26" s="20" t="n">
        <v>0</v>
      </c>
      <c r="O26" s="18" t="n">
        <v>0</v>
      </c>
      <c r="P26" s="20" t="n">
        <v>0</v>
      </c>
      <c r="Q26" s="18" t="n">
        <v>0.75128244</v>
      </c>
      <c r="R26" s="20" t="n">
        <v>0.7587787</v>
      </c>
    </row>
    <row r="27" spans="1:18">
      <c r="A27" s="15" t="s">
        <v>585</v>
      </c>
      <c r="B27" s="17" t="n">
        <v>2683</v>
      </c>
      <c r="C27" s="18">
        <f>(2370.0/B27*100)</f>
        <v/>
      </c>
      <c r="D27" s="19" t="n">
        <v>313</v>
      </c>
      <c r="E27" s="18" t="n">
        <v>66.83157065</v>
      </c>
      <c r="F27" s="20" t="n">
        <v>2.64179159</v>
      </c>
      <c r="G27" s="18" t="n">
        <v>30.25711291</v>
      </c>
      <c r="H27" s="20" t="n">
        <v>2.53436335</v>
      </c>
      <c r="I27" s="18" t="n">
        <v>0</v>
      </c>
      <c r="J27" s="20" t="n">
        <v>0</v>
      </c>
      <c r="K27" s="18" t="n">
        <v>0</v>
      </c>
      <c r="L27" s="20" t="n">
        <v>0</v>
      </c>
      <c r="M27" s="18" t="n">
        <v>0</v>
      </c>
      <c r="N27" s="20" t="n">
        <v>0</v>
      </c>
      <c r="O27" s="18" t="n">
        <v>0</v>
      </c>
      <c r="P27" s="20" t="n">
        <v>0</v>
      </c>
      <c r="Q27" s="18" t="n">
        <v>2.91131644</v>
      </c>
      <c r="R27" s="20" t="n">
        <v>0.9735024</v>
      </c>
    </row>
    <row r="28" spans="1:18">
      <c r="A28" s="15" t="s">
        <v>586</v>
      </c>
      <c r="B28" s="17" t="n">
        <v>3803</v>
      </c>
      <c r="C28" s="18">
        <f>(3411.0/B28*100)</f>
        <v/>
      </c>
      <c r="D28" s="19" t="n">
        <v>392</v>
      </c>
      <c r="E28" s="18" t="n">
        <v>77.49140224</v>
      </c>
      <c r="F28" s="20" t="n">
        <v>2.77489173</v>
      </c>
      <c r="G28" s="18" t="n">
        <v>21.48860112</v>
      </c>
      <c r="H28" s="20" t="n">
        <v>2.76134943</v>
      </c>
      <c r="I28" s="18" t="n">
        <v>0</v>
      </c>
      <c r="J28" s="20" t="n">
        <v>0</v>
      </c>
      <c r="K28" s="18" t="n">
        <v>0.51371624</v>
      </c>
      <c r="L28" s="20" t="n">
        <v>0.36969281</v>
      </c>
      <c r="M28" s="18" t="n">
        <v>0</v>
      </c>
      <c r="N28" s="20" t="n">
        <v>0</v>
      </c>
      <c r="O28" s="18" t="n">
        <v>0</v>
      </c>
      <c r="P28" s="20" t="n">
        <v>0</v>
      </c>
      <c r="Q28" s="18" t="n">
        <v>0.5062804</v>
      </c>
      <c r="R28" s="20" t="n">
        <v>0.30048994</v>
      </c>
    </row>
    <row r="29" spans="1:18">
      <c r="A29" s="15" t="s">
        <v>587</v>
      </c>
      <c r="B29" s="17" t="n">
        <v>2700</v>
      </c>
      <c r="C29" s="18">
        <f>(2395.0/B29*100)</f>
        <v/>
      </c>
      <c r="D29" s="19" t="n">
        <v>305</v>
      </c>
      <c r="E29" s="18" t="n">
        <v>56.42712393</v>
      </c>
      <c r="F29" s="20" t="n">
        <v>2.9382005</v>
      </c>
      <c r="G29" s="18" t="n">
        <v>40.34770307</v>
      </c>
      <c r="H29" s="20" t="n">
        <v>3.03449094</v>
      </c>
      <c r="I29" s="18" t="n">
        <v>0</v>
      </c>
      <c r="J29" s="20" t="n">
        <v>0</v>
      </c>
      <c r="K29" s="18" t="n">
        <v>0.42764208</v>
      </c>
      <c r="L29" s="20" t="n">
        <v>0.33070974</v>
      </c>
      <c r="M29" s="18" t="n">
        <v>0</v>
      </c>
      <c r="N29" s="20" t="n">
        <v>0</v>
      </c>
      <c r="O29" s="18" t="n">
        <v>0</v>
      </c>
      <c r="P29" s="20" t="n">
        <v>0</v>
      </c>
      <c r="Q29" s="18" t="n">
        <v>2.79753092</v>
      </c>
      <c r="R29" s="20" t="n">
        <v>0.6228648</v>
      </c>
    </row>
    <row r="30" spans="1:18">
      <c r="A30" s="15" t="s">
        <v>588</v>
      </c>
      <c r="B30" s="17" t="n">
        <v>2257</v>
      </c>
      <c r="C30" s="18">
        <f>(2009.0/B30*100)</f>
        <v/>
      </c>
      <c r="D30" s="19" t="n">
        <v>248</v>
      </c>
      <c r="E30" s="18" t="n">
        <v>73.45005746</v>
      </c>
      <c r="F30" s="20" t="n">
        <v>2.8389787</v>
      </c>
      <c r="G30" s="18" t="n">
        <v>24.58119516</v>
      </c>
      <c r="H30" s="20" t="n">
        <v>2.72440143</v>
      </c>
      <c r="I30" s="18" t="n">
        <v>0</v>
      </c>
      <c r="J30" s="20" t="n">
        <v>0</v>
      </c>
      <c r="K30" s="18" t="n">
        <v>0</v>
      </c>
      <c r="L30" s="20" t="n">
        <v>0</v>
      </c>
      <c r="M30" s="18" t="n">
        <v>0</v>
      </c>
      <c r="N30" s="20" t="n">
        <v>0</v>
      </c>
      <c r="O30" s="18" t="n">
        <v>0</v>
      </c>
      <c r="P30" s="20" t="n">
        <v>0</v>
      </c>
      <c r="Q30" s="18" t="n">
        <v>1.96874738</v>
      </c>
      <c r="R30" s="20" t="n">
        <v>0.86863797</v>
      </c>
    </row>
    <row r="31" spans="1:18">
      <c r="A31" s="15" t="s">
        <v>589</v>
      </c>
      <c r="B31" s="17" t="n">
        <v>2706</v>
      </c>
      <c r="C31" s="18">
        <f>(2413.0/B31*100)</f>
        <v/>
      </c>
      <c r="D31" s="19" t="n">
        <v>293</v>
      </c>
      <c r="E31" s="18" t="n">
        <v>63.43215423</v>
      </c>
      <c r="F31" s="20" t="n">
        <v>2.87264936</v>
      </c>
      <c r="G31" s="18" t="n">
        <v>34.86106756</v>
      </c>
      <c r="H31" s="20" t="n">
        <v>2.86435658</v>
      </c>
      <c r="I31" s="18" t="n">
        <v>0</v>
      </c>
      <c r="J31" s="20" t="n">
        <v>0</v>
      </c>
      <c r="K31" s="18" t="n">
        <v>0.33478789</v>
      </c>
      <c r="L31" s="20" t="n">
        <v>0.30219483</v>
      </c>
      <c r="M31" s="18" t="n">
        <v>0</v>
      </c>
      <c r="N31" s="20" t="n">
        <v>0</v>
      </c>
      <c r="O31" s="18" t="n">
        <v>0</v>
      </c>
      <c r="P31" s="20" t="n">
        <v>0</v>
      </c>
      <c r="Q31" s="18" t="n">
        <v>1.37199032</v>
      </c>
      <c r="R31" s="20" t="n">
        <v>0.7057845</v>
      </c>
    </row>
    <row r="32" spans="1:18">
      <c r="A32" s="15" t="s">
        <v>590</v>
      </c>
      <c r="B32" s="17" t="n">
        <v>2209</v>
      </c>
      <c r="C32" s="18">
        <f>(1966.0/B32*100)</f>
        <v/>
      </c>
      <c r="D32" s="19" t="n">
        <v>243</v>
      </c>
      <c r="E32" s="18" t="n">
        <v>59.91475866</v>
      </c>
      <c r="F32" s="20" t="n">
        <v>3.53549245</v>
      </c>
      <c r="G32" s="18" t="n">
        <v>39.22353157</v>
      </c>
      <c r="H32" s="20" t="n">
        <v>3.50824967</v>
      </c>
      <c r="I32" s="18" t="n">
        <v>0</v>
      </c>
      <c r="J32" s="20" t="n">
        <v>0</v>
      </c>
      <c r="K32" s="18" t="n">
        <v>0</v>
      </c>
      <c r="L32" s="20" t="n">
        <v>0</v>
      </c>
      <c r="M32" s="18" t="n">
        <v>0</v>
      </c>
      <c r="N32" s="20" t="n">
        <v>0</v>
      </c>
      <c r="O32" s="18" t="n">
        <v>0</v>
      </c>
      <c r="P32" s="20" t="n">
        <v>0</v>
      </c>
      <c r="Q32" s="18" t="n">
        <v>0.86170977</v>
      </c>
      <c r="R32" s="20" t="n">
        <v>0.6096540499999999</v>
      </c>
    </row>
    <row r="33" spans="1:18">
      <c r="A33" s="15" t="s">
        <v>591</v>
      </c>
      <c r="B33" s="17" t="n">
        <v>3651</v>
      </c>
      <c r="C33" s="18">
        <f>(3243.0/B33*100)</f>
        <v/>
      </c>
      <c r="D33" s="19" t="n">
        <v>408</v>
      </c>
      <c r="E33" s="18" t="n">
        <v>80.40896569</v>
      </c>
      <c r="F33" s="20" t="n">
        <v>2.27812291</v>
      </c>
      <c r="G33" s="18" t="n">
        <v>17.86730646</v>
      </c>
      <c r="H33" s="20" t="n">
        <v>2.19506491</v>
      </c>
      <c r="I33" s="18" t="n">
        <v>0</v>
      </c>
      <c r="J33" s="20" t="n">
        <v>0</v>
      </c>
      <c r="K33" s="18" t="n">
        <v>0</v>
      </c>
      <c r="L33" s="20" t="n">
        <v>0</v>
      </c>
      <c r="M33" s="18" t="n">
        <v>0</v>
      </c>
      <c r="N33" s="20" t="n">
        <v>0</v>
      </c>
      <c r="O33" s="18" t="n">
        <v>0</v>
      </c>
      <c r="P33" s="20" t="n">
        <v>0</v>
      </c>
      <c r="Q33" s="18" t="n">
        <v>1.72372785</v>
      </c>
      <c r="R33" s="20" t="n">
        <v>0.72917489</v>
      </c>
    </row>
    <row r="34" spans="1:18">
      <c r="A34" s="15" t="s">
        <v>592</v>
      </c>
      <c r="B34" s="17" t="n">
        <v>3035</v>
      </c>
      <c r="C34" s="18">
        <f>(2720.0/B34*100)</f>
        <v/>
      </c>
      <c r="D34" s="19" t="n">
        <v>315</v>
      </c>
      <c r="E34" s="18" t="n">
        <v>47.57078233</v>
      </c>
      <c r="F34" s="20" t="n">
        <v>3.38723016</v>
      </c>
      <c r="G34" s="18" t="n">
        <v>49.31798694</v>
      </c>
      <c r="H34" s="20" t="n">
        <v>3.22440591</v>
      </c>
      <c r="I34" s="18" t="n">
        <v>0</v>
      </c>
      <c r="J34" s="20" t="n">
        <v>0</v>
      </c>
      <c r="K34" s="18" t="n">
        <v>0.43109598</v>
      </c>
      <c r="L34" s="20" t="n">
        <v>0.24187417</v>
      </c>
      <c r="M34" s="18" t="n">
        <v>0</v>
      </c>
      <c r="N34" s="20" t="n">
        <v>0</v>
      </c>
      <c r="O34" s="18" t="n">
        <v>0</v>
      </c>
      <c r="P34" s="20" t="n">
        <v>0</v>
      </c>
      <c r="Q34" s="18" t="n">
        <v>2.68013475</v>
      </c>
      <c r="R34" s="20" t="n">
        <v>0.98188224</v>
      </c>
    </row>
    <row r="35" spans="1:18">
      <c r="A35" s="15" t="s">
        <v>593</v>
      </c>
      <c r="B35" s="17" t="n">
        <v>2901</v>
      </c>
      <c r="C35" s="18">
        <f>(2576.0/B35*100)</f>
        <v/>
      </c>
      <c r="D35" s="19" t="n">
        <v>325</v>
      </c>
      <c r="E35" s="18" t="n">
        <v>45.62015423</v>
      </c>
      <c r="F35" s="20" t="n">
        <v>3.16761222</v>
      </c>
      <c r="G35" s="18" t="n">
        <v>54.11522912</v>
      </c>
      <c r="H35" s="20" t="n">
        <v>3.17144488</v>
      </c>
      <c r="I35" s="18" t="n">
        <v>0</v>
      </c>
      <c r="J35" s="20" t="n">
        <v>0</v>
      </c>
      <c r="K35" s="18" t="n">
        <v>0</v>
      </c>
      <c r="L35" s="20" t="n">
        <v>0</v>
      </c>
      <c r="M35" s="18" t="n">
        <v>0</v>
      </c>
      <c r="N35" s="20" t="n">
        <v>0</v>
      </c>
      <c r="O35" s="18" t="n">
        <v>0</v>
      </c>
      <c r="P35" s="20" t="n">
        <v>0</v>
      </c>
      <c r="Q35" s="18" t="n">
        <v>0.26461666</v>
      </c>
      <c r="R35" s="20" t="n">
        <v>0.1877812</v>
      </c>
    </row>
    <row r="36" spans="1:18">
      <c r="A36" s="15" t="s">
        <v>594</v>
      </c>
      <c r="B36" s="17" t="n">
        <v>3404</v>
      </c>
      <c r="C36" s="18">
        <f>(3029.0/B36*100)</f>
        <v/>
      </c>
      <c r="D36" s="19" t="n">
        <v>375</v>
      </c>
      <c r="E36" s="18" t="n">
        <v>68.46477025999999</v>
      </c>
      <c r="F36" s="20" t="n">
        <v>2.69863828</v>
      </c>
      <c r="G36" s="18" t="n">
        <v>28.75624007</v>
      </c>
      <c r="H36" s="20" t="n">
        <v>2.4629208</v>
      </c>
      <c r="I36" s="18" t="n">
        <v>0</v>
      </c>
      <c r="J36" s="20" t="n">
        <v>0</v>
      </c>
      <c r="K36" s="18" t="n">
        <v>0</v>
      </c>
      <c r="L36" s="20" t="n">
        <v>0</v>
      </c>
      <c r="M36" s="18" t="n">
        <v>0</v>
      </c>
      <c r="N36" s="20" t="n">
        <v>0</v>
      </c>
      <c r="O36" s="18" t="n">
        <v>0</v>
      </c>
      <c r="P36" s="20" t="n">
        <v>0</v>
      </c>
      <c r="Q36" s="18" t="n">
        <v>2.77898967</v>
      </c>
      <c r="R36" s="20" t="n">
        <v>0.94042415</v>
      </c>
    </row>
    <row r="37" spans="1:18">
      <c r="A37" s="15" t="s">
        <v>595</v>
      </c>
      <c r="B37" s="17" t="n">
        <v>2731</v>
      </c>
      <c r="C37" s="18">
        <f>(2432.0/B37*100)</f>
        <v/>
      </c>
      <c r="D37" s="19" t="n">
        <v>299</v>
      </c>
      <c r="E37" s="18" t="n">
        <v>62.31152509</v>
      </c>
      <c r="F37" s="20" t="n">
        <v>2.88125148</v>
      </c>
      <c r="G37" s="18" t="n">
        <v>34.19455783</v>
      </c>
      <c r="H37" s="20" t="n">
        <v>2.95280465</v>
      </c>
      <c r="I37" s="18" t="n">
        <v>0</v>
      </c>
      <c r="J37" s="20" t="n">
        <v>0</v>
      </c>
      <c r="K37" s="18" t="n">
        <v>0</v>
      </c>
      <c r="L37" s="20" t="n">
        <v>0</v>
      </c>
      <c r="M37" s="18" t="n">
        <v>0</v>
      </c>
      <c r="N37" s="20" t="n">
        <v>0</v>
      </c>
      <c r="O37" s="18" t="n">
        <v>0</v>
      </c>
      <c r="P37" s="20" t="n">
        <v>0</v>
      </c>
      <c r="Q37" s="18" t="n">
        <v>3.49391708</v>
      </c>
      <c r="R37" s="20" t="n">
        <v>1.28217725</v>
      </c>
    </row>
    <row r="38" spans="1:18">
      <c r="A38" s="15" t="s">
        <v>596</v>
      </c>
      <c r="B38" s="17" t="n">
        <v>2807</v>
      </c>
      <c r="C38" s="18">
        <f>(2509.0/B38*100)</f>
        <v/>
      </c>
      <c r="D38" s="19" t="n">
        <v>298</v>
      </c>
      <c r="E38" s="18" t="n">
        <v>71.0343797</v>
      </c>
      <c r="F38" s="20" t="n">
        <v>2.5181323</v>
      </c>
      <c r="G38" s="18" t="n">
        <v>26.86919573</v>
      </c>
      <c r="H38" s="20" t="n">
        <v>2.74205304</v>
      </c>
      <c r="I38" s="18" t="n">
        <v>0</v>
      </c>
      <c r="J38" s="20" t="n">
        <v>0</v>
      </c>
      <c r="K38" s="18" t="n">
        <v>0.27885979</v>
      </c>
      <c r="L38" s="20" t="n">
        <v>0.28005581</v>
      </c>
      <c r="M38" s="18" t="n">
        <v>0</v>
      </c>
      <c r="N38" s="20" t="n">
        <v>0</v>
      </c>
      <c r="O38" s="18" t="n">
        <v>0</v>
      </c>
      <c r="P38" s="20" t="n">
        <v>0</v>
      </c>
      <c r="Q38" s="18" t="n">
        <v>1.81756478</v>
      </c>
      <c r="R38" s="20" t="n">
        <v>0.81627175</v>
      </c>
    </row>
    <row r="39" spans="1:18">
      <c r="A39" s="15" t="s">
        <v>597</v>
      </c>
      <c r="B39" s="17" t="n">
        <v>2938</v>
      </c>
      <c r="C39" s="18">
        <f>(2614.0/B39*100)</f>
        <v/>
      </c>
      <c r="D39" s="19" t="n">
        <v>324</v>
      </c>
      <c r="E39" s="18" t="n">
        <v>68.88087941000001</v>
      </c>
      <c r="F39" s="20" t="n">
        <v>2.72933056</v>
      </c>
      <c r="G39" s="18" t="n">
        <v>29.02931114</v>
      </c>
      <c r="H39" s="20" t="n">
        <v>2.56106128</v>
      </c>
      <c r="I39" s="18" t="n">
        <v>0</v>
      </c>
      <c r="J39" s="20" t="n">
        <v>0</v>
      </c>
      <c r="K39" s="18" t="n">
        <v>0</v>
      </c>
      <c r="L39" s="20" t="n">
        <v>0</v>
      </c>
      <c r="M39" s="18" t="n">
        <v>0</v>
      </c>
      <c r="N39" s="20" t="n">
        <v>0</v>
      </c>
      <c r="O39" s="18" t="n">
        <v>0</v>
      </c>
      <c r="P39" s="20" t="n">
        <v>0</v>
      </c>
      <c r="Q39" s="18" t="n">
        <v>2.08980946</v>
      </c>
      <c r="R39" s="20" t="n">
        <v>0.70462191</v>
      </c>
    </row>
    <row r="40" spans="1:18">
      <c r="A40" s="15" t="s">
        <v>598</v>
      </c>
      <c r="B40" s="17" t="n">
        <v>6922</v>
      </c>
      <c r="C40" s="18">
        <f>(6186.0/B40*100)</f>
        <v/>
      </c>
      <c r="D40" s="19" t="n">
        <v>736</v>
      </c>
      <c r="E40" s="18" t="n">
        <v>66.92936459000001</v>
      </c>
      <c r="F40" s="20" t="n">
        <v>2.72038533</v>
      </c>
      <c r="G40" s="18" t="n">
        <v>30.35404391</v>
      </c>
      <c r="H40" s="20" t="n">
        <v>2.77946882</v>
      </c>
      <c r="I40" s="18" t="n">
        <v>0</v>
      </c>
      <c r="J40" s="20" t="n">
        <v>0</v>
      </c>
      <c r="K40" s="18" t="n">
        <v>0.02899782</v>
      </c>
      <c r="L40" s="20" t="n">
        <v>0.04031935</v>
      </c>
      <c r="M40" s="18" t="n">
        <v>0</v>
      </c>
      <c r="N40" s="20" t="n">
        <v>0</v>
      </c>
      <c r="O40" s="18" t="n">
        <v>0</v>
      </c>
      <c r="P40" s="20" t="n">
        <v>0</v>
      </c>
      <c r="Q40" s="18" t="n">
        <v>2.68759368</v>
      </c>
      <c r="R40" s="20" t="n">
        <v>0.91059101</v>
      </c>
    </row>
    <row r="41" spans="1:18">
      <c r="A41" s="15" t="s">
        <v>599</v>
      </c>
      <c r="B41" s="17" t="n">
        <v>2854</v>
      </c>
      <c r="C41" s="18">
        <f>(2548.0/B41*100)</f>
        <v/>
      </c>
      <c r="D41" s="19" t="n">
        <v>306</v>
      </c>
      <c r="E41" s="18" t="n">
        <v>68.37979423</v>
      </c>
      <c r="F41" s="20" t="n">
        <v>2.94948006</v>
      </c>
      <c r="G41" s="18" t="n">
        <v>31.62020577</v>
      </c>
      <c r="H41" s="20" t="n">
        <v>2.94948006</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(10851.0/B46*100)</f>
        <v/>
      </c>
      <c r="D46" s="19" t="n">
        <v>1222</v>
      </c>
      <c r="E46" s="18" t="n">
        <v>0</v>
      </c>
      <c r="F46" s="20" t="n">
        <v>0</v>
      </c>
      <c r="G46" s="18" t="n">
        <v>0</v>
      </c>
      <c r="H46" s="20" t="n">
        <v>0</v>
      </c>
      <c r="I46" s="18" t="n">
        <v>0</v>
      </c>
      <c r="J46" s="20" t="n">
        <v>0</v>
      </c>
      <c r="K46" s="18" t="n">
        <v>0</v>
      </c>
      <c r="L46" s="20" t="n">
        <v>0</v>
      </c>
      <c r="M46" s="18" t="n">
        <v>100</v>
      </c>
      <c r="N46" s="20" t="n">
        <v>0</v>
      </c>
      <c r="O46" s="18" t="n">
        <v>0</v>
      </c>
      <c r="P46" s="20" t="n">
        <v>0</v>
      </c>
      <c r="Q46" s="18" t="n">
        <v>0</v>
      </c>
      <c r="R46" s="20" t="n">
        <v>0</v>
      </c>
    </row>
    <row r="47" spans="1:18">
      <c r="A47" s="15" t="s">
        <v>606</v>
      </c>
      <c r="B47" s="17" t="n">
        <v>2823</v>
      </c>
      <c r="C47" s="18">
        <f>(2514.0/B47*100)</f>
        <v/>
      </c>
      <c r="D47" s="19" t="n">
        <v>309</v>
      </c>
      <c r="E47" s="18" t="n">
        <v>59.46147064</v>
      </c>
      <c r="F47" s="20" t="n">
        <v>3.4205493</v>
      </c>
      <c r="G47" s="18" t="n">
        <v>37.63898263</v>
      </c>
      <c r="H47" s="20" t="n">
        <v>3.34352072</v>
      </c>
      <c r="I47" s="18" t="n">
        <v>0</v>
      </c>
      <c r="J47" s="20" t="n">
        <v>0</v>
      </c>
      <c r="K47" s="18" t="n">
        <v>0.99979437</v>
      </c>
      <c r="L47" s="20" t="n">
        <v>0.65837751</v>
      </c>
      <c r="M47" s="18" t="n">
        <v>0</v>
      </c>
      <c r="N47" s="20" t="n">
        <v>0</v>
      </c>
      <c r="O47" s="18" t="n">
        <v>0</v>
      </c>
      <c r="P47" s="20" t="n">
        <v>0</v>
      </c>
      <c r="Q47" s="18" t="n">
        <v>1.89975236</v>
      </c>
      <c r="R47" s="20" t="n">
        <v>0.86089712</v>
      </c>
    </row>
    <row r="48" spans="1:18">
      <c r="A48" s="15" t="s">
        <v>607</v>
      </c>
      <c r="B48" s="17" t="n">
        <v>4682</v>
      </c>
      <c r="C48" s="18">
        <f>(4186.0/B48*100)</f>
        <v/>
      </c>
      <c r="D48" s="19" t="n">
        <v>496</v>
      </c>
      <c r="E48" s="18" t="n">
        <v>42.93996017</v>
      </c>
      <c r="F48" s="20" t="n">
        <v>2.73253927</v>
      </c>
      <c r="G48" s="18" t="n">
        <v>54.70976252</v>
      </c>
      <c r="H48" s="20" t="n">
        <v>2.93932895</v>
      </c>
      <c r="I48" s="18" t="n">
        <v>0</v>
      </c>
      <c r="J48" s="20" t="n">
        <v>0</v>
      </c>
      <c r="K48" s="18" t="n">
        <v>0</v>
      </c>
      <c r="L48" s="20" t="n">
        <v>0</v>
      </c>
      <c r="M48" s="18" t="n">
        <v>0</v>
      </c>
      <c r="N48" s="20" t="n">
        <v>0</v>
      </c>
      <c r="O48" s="18" t="n">
        <v>0</v>
      </c>
      <c r="P48" s="20" t="n">
        <v>0</v>
      </c>
      <c r="Q48" s="18" t="n">
        <v>2.35027731</v>
      </c>
      <c r="R48" s="20" t="n">
        <v>0.8727407</v>
      </c>
    </row>
    <row r="49" spans="1:18">
      <c r="A49" s="15" t="s">
        <v>608</v>
      </c>
      <c r="B49" s="17" t="n">
        <v>6158</v>
      </c>
      <c r="C49" s="18">
        <f>(5480.0/B49*100)</f>
        <v/>
      </c>
      <c r="D49" s="19" t="n">
        <v>678</v>
      </c>
      <c r="E49" s="18" t="n">
        <v>0</v>
      </c>
      <c r="F49" s="20" t="n">
        <v>0</v>
      </c>
      <c r="G49" s="18" t="n">
        <v>0</v>
      </c>
      <c r="H49" s="20" t="n">
        <v>0</v>
      </c>
      <c r="I49" s="18" t="n">
        <v>0</v>
      </c>
      <c r="J49" s="20" t="n">
        <v>0</v>
      </c>
      <c r="K49" s="18" t="n">
        <v>0</v>
      </c>
      <c r="L49" s="20" t="n">
        <v>0</v>
      </c>
      <c r="M49" s="18" t="n">
        <v>100</v>
      </c>
      <c r="N49" s="20" t="n">
        <v>0</v>
      </c>
      <c r="O49" s="18" t="n">
        <v>0</v>
      </c>
      <c r="P49" s="20" t="n">
        <v>0</v>
      </c>
      <c r="Q49" s="18" t="n">
        <v>0</v>
      </c>
      <c r="R49" s="20" t="n">
        <v>0</v>
      </c>
    </row>
    <row r="50" spans="1:18">
      <c r="A50" s="15" t="s">
        <v>609</v>
      </c>
      <c r="B50" s="17" t="n">
        <v>3494</v>
      </c>
      <c r="C50" s="18">
        <f>(3157.0/B50*100)</f>
        <v/>
      </c>
      <c r="D50" s="19" t="n">
        <v>337</v>
      </c>
      <c r="E50" s="18" t="n">
        <v>0</v>
      </c>
      <c r="F50" s="20" t="n">
        <v>0</v>
      </c>
      <c r="G50" s="18" t="n">
        <v>0</v>
      </c>
      <c r="H50" s="20" t="n">
        <v>0</v>
      </c>
      <c r="I50" s="18" t="n">
        <v>0</v>
      </c>
      <c r="J50" s="20" t="n">
        <v>0</v>
      </c>
      <c r="K50" s="18" t="n">
        <v>0</v>
      </c>
      <c r="L50" s="20" t="n">
        <v>0</v>
      </c>
      <c r="M50" s="18" t="n">
        <v>100</v>
      </c>
      <c r="N50" s="20" t="n">
        <v>0</v>
      </c>
      <c r="O50" s="18" t="n">
        <v>0</v>
      </c>
      <c r="P50" s="20" t="n">
        <v>0</v>
      </c>
      <c r="Q50" s="18" t="n">
        <v>0</v>
      </c>
      <c r="R50" s="20" t="n">
        <v>0</v>
      </c>
    </row>
    <row r="51" spans="1:18">
      <c r="A51" s="15" t="s">
        <v>610</v>
      </c>
      <c r="B51" s="17" t="n">
        <v>3013</v>
      </c>
      <c r="C51" s="18">
        <f>(2699.0/B51*100)</f>
        <v/>
      </c>
      <c r="D51" s="19" t="n">
        <v>314</v>
      </c>
      <c r="E51" s="18" t="n">
        <v>51.68297431</v>
      </c>
      <c r="F51" s="20" t="n">
        <v>2.32553422</v>
      </c>
      <c r="G51" s="18" t="n">
        <v>47.6370472</v>
      </c>
      <c r="H51" s="20" t="n">
        <v>2.24549555</v>
      </c>
      <c r="I51" s="18" t="n">
        <v>0</v>
      </c>
      <c r="J51" s="20" t="n">
        <v>0</v>
      </c>
      <c r="K51" s="18" t="n">
        <v>0</v>
      </c>
      <c r="L51" s="20" t="n">
        <v>0</v>
      </c>
      <c r="M51" s="18" t="n">
        <v>0</v>
      </c>
      <c r="N51" s="20" t="n">
        <v>0</v>
      </c>
      <c r="O51" s="18" t="n">
        <v>0</v>
      </c>
      <c r="P51" s="20" t="n">
        <v>0</v>
      </c>
      <c r="Q51" s="18" t="n">
        <v>0.67997849</v>
      </c>
      <c r="R51" s="20" t="n">
        <v>0.473395</v>
      </c>
    </row>
    <row r="52" spans="1:18">
      <c r="A52" s="15" t="s">
        <v>611</v>
      </c>
      <c r="B52" s="17" t="n">
        <v>2760</v>
      </c>
      <c r="C52" s="18">
        <f>(2466.0/B52*100)</f>
        <v/>
      </c>
      <c r="D52" s="19" t="n">
        <v>294</v>
      </c>
      <c r="E52" s="18" t="n">
        <v>9.489733129999999</v>
      </c>
      <c r="F52" s="20" t="n">
        <v>1.98976282</v>
      </c>
      <c r="G52" s="18" t="n">
        <v>5.55946713</v>
      </c>
      <c r="H52" s="20" t="n">
        <v>1.48074021</v>
      </c>
      <c r="I52" s="18" t="n">
        <v>0</v>
      </c>
      <c r="J52" s="20" t="n">
        <v>0</v>
      </c>
      <c r="K52" s="18" t="n">
        <v>0</v>
      </c>
      <c r="L52" s="20" t="n">
        <v>0</v>
      </c>
      <c r="M52" s="18" t="n">
        <v>84.66400763999999</v>
      </c>
      <c r="N52" s="20" t="n">
        <v>2.34795534</v>
      </c>
      <c r="O52" s="18" t="n">
        <v>0</v>
      </c>
      <c r="P52" s="20" t="n">
        <v>0</v>
      </c>
      <c r="Q52" s="18" t="n">
        <v>0.2867921</v>
      </c>
      <c r="R52" s="20" t="n">
        <v>0.29030658</v>
      </c>
    </row>
    <row r="53" spans="1:18">
      <c r="A53" s="15" t="s">
        <v>612</v>
      </c>
      <c r="B53" s="17" t="n">
        <v>2474</v>
      </c>
      <c r="C53" s="18">
        <f>(2184.0/B53*100)</f>
        <v/>
      </c>
      <c r="D53" s="19" t="n">
        <v>290</v>
      </c>
      <c r="E53" s="18" t="n">
        <v>66.50346399999999</v>
      </c>
      <c r="F53" s="20" t="n">
        <v>3.11638065</v>
      </c>
      <c r="G53" s="18" t="n">
        <v>21.22944892</v>
      </c>
      <c r="H53" s="20" t="n">
        <v>2.59190033</v>
      </c>
      <c r="I53" s="18" t="n">
        <v>0</v>
      </c>
      <c r="J53" s="20" t="n">
        <v>0</v>
      </c>
      <c r="K53" s="18" t="n">
        <v>6.26059749</v>
      </c>
      <c r="L53" s="20" t="n">
        <v>1.90214524</v>
      </c>
      <c r="M53" s="18" t="n">
        <v>0</v>
      </c>
      <c r="N53" s="20" t="n">
        <v>0</v>
      </c>
      <c r="O53" s="18" t="n">
        <v>0</v>
      </c>
      <c r="P53" s="20" t="n">
        <v>0</v>
      </c>
      <c r="Q53" s="18" t="n">
        <v>6.00648959</v>
      </c>
      <c r="R53" s="20" t="n">
        <v>1.57851507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(2388.0/B55*100)</f>
        <v/>
      </c>
      <c r="D55" s="19" t="n">
        <v>287</v>
      </c>
      <c r="E55" s="18" t="n">
        <v>63.08678195</v>
      </c>
      <c r="F55" s="20" t="n">
        <v>3.35954511</v>
      </c>
      <c r="G55" s="18" t="n">
        <v>36.5870591</v>
      </c>
      <c r="H55" s="20" t="n">
        <v>3.34900015</v>
      </c>
      <c r="I55" s="18" t="n">
        <v>0</v>
      </c>
      <c r="J55" s="20" t="n">
        <v>0</v>
      </c>
      <c r="K55" s="18" t="n">
        <v>0</v>
      </c>
      <c r="L55" s="20" t="n">
        <v>0</v>
      </c>
      <c r="M55" s="18" t="n">
        <v>0</v>
      </c>
      <c r="N55" s="20" t="n">
        <v>0</v>
      </c>
      <c r="O55" s="18" t="n">
        <v>0</v>
      </c>
      <c r="P55" s="20" t="n">
        <v>0</v>
      </c>
      <c r="Q55" s="18" t="n">
        <v>0.32615895</v>
      </c>
      <c r="R55" s="20" t="n">
        <v>0.32402627</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(2840.0/B61*100)</f>
        <v/>
      </c>
      <c r="D61" s="19" t="n">
        <v>361</v>
      </c>
      <c r="E61" s="18" t="n">
        <v>57.29016936</v>
      </c>
      <c r="F61" s="20" t="n">
        <v>2.70931811</v>
      </c>
      <c r="G61" s="18" t="n">
        <v>42.43149064</v>
      </c>
      <c r="H61" s="20" t="n">
        <v>2.70752302</v>
      </c>
      <c r="I61" s="18" t="n">
        <v>0</v>
      </c>
      <c r="J61" s="20" t="n">
        <v>0</v>
      </c>
      <c r="K61" s="18" t="n">
        <v>0</v>
      </c>
      <c r="L61" s="20" t="n">
        <v>0</v>
      </c>
      <c r="M61" s="18" t="n">
        <v>0</v>
      </c>
      <c r="N61" s="20" t="n">
        <v>0</v>
      </c>
      <c r="O61" s="18" t="n">
        <v>0</v>
      </c>
      <c r="P61" s="20" t="n">
        <v>0</v>
      </c>
      <c r="Q61" s="18" t="n">
        <v>0.27834</v>
      </c>
      <c r="R61" s="20" t="n">
        <v>0.26965474</v>
      </c>
    </row>
    <row r="62" spans="1:18">
      <c r="A62" s="15" t="s">
        <v>622</v>
      </c>
      <c r="B62" s="17" t="n">
        <v>2230</v>
      </c>
      <c r="C62" s="18">
        <f>(2003.0/B62*100)</f>
        <v/>
      </c>
      <c r="D62" s="19" t="n">
        <v>227</v>
      </c>
      <c r="E62" s="18" t="n">
        <v>59.5128107</v>
      </c>
      <c r="F62" s="20" t="n">
        <v>3.64204731</v>
      </c>
      <c r="G62" s="18" t="n">
        <v>40.4871893</v>
      </c>
      <c r="H62" s="20" t="n">
        <v>3.64204731</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(2459.0/B67*100)</f>
        <v/>
      </c>
      <c r="D67" s="19" t="n">
        <v>312</v>
      </c>
      <c r="E67" s="18" t="n">
        <v>51.41756297</v>
      </c>
      <c r="F67" s="20" t="n">
        <v>2.94744832</v>
      </c>
      <c r="G67" s="18" t="n">
        <v>39.92888588</v>
      </c>
      <c r="H67" s="20" t="n">
        <v>2.82735702</v>
      </c>
      <c r="I67" s="18" t="n">
        <v>0</v>
      </c>
      <c r="J67" s="20" t="n">
        <v>0</v>
      </c>
      <c r="K67" s="18" t="n">
        <v>0.26678667</v>
      </c>
      <c r="L67" s="20" t="n">
        <v>0.26703323</v>
      </c>
      <c r="M67" s="18" t="n">
        <v>0</v>
      </c>
      <c r="N67" s="20" t="n">
        <v>0</v>
      </c>
      <c r="O67" s="18" t="n">
        <v>0</v>
      </c>
      <c r="P67" s="20" t="n">
        <v>0</v>
      </c>
      <c r="Q67" s="18" t="n">
        <v>8.38676448</v>
      </c>
      <c r="R67" s="20" t="n">
        <v>1.60534503</v>
      </c>
    </row>
    <row r="68" spans="1:18">
      <c r="A68" s="15" t="s">
        <v>628</v>
      </c>
      <c r="B68" s="17" t="n">
        <v>3460</v>
      </c>
      <c r="C68" s="18">
        <f>(3084.0/B68*100)</f>
        <v/>
      </c>
      <c r="D68" s="19" t="n">
        <v>376</v>
      </c>
      <c r="E68" s="18" t="n">
        <v>80.96776537</v>
      </c>
      <c r="F68" s="20" t="n">
        <v>2.07109576</v>
      </c>
      <c r="G68" s="18" t="n">
        <v>16.49623515</v>
      </c>
      <c r="H68" s="20" t="n">
        <v>1.87889425</v>
      </c>
      <c r="I68" s="18" t="n">
        <v>0</v>
      </c>
      <c r="J68" s="20" t="n">
        <v>0</v>
      </c>
      <c r="K68" s="18" t="n">
        <v>0</v>
      </c>
      <c r="L68" s="20" t="n">
        <v>0</v>
      </c>
      <c r="M68" s="18" t="n">
        <v>0</v>
      </c>
      <c r="N68" s="20" t="n">
        <v>0</v>
      </c>
      <c r="O68" s="18" t="n">
        <v>0</v>
      </c>
      <c r="P68" s="20" t="n">
        <v>0</v>
      </c>
      <c r="Q68" s="18" t="n">
        <v>2.53599948</v>
      </c>
      <c r="R68" s="20" t="n">
        <v>0.80993294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(5342.0/B70*100)</f>
        <v/>
      </c>
      <c r="D70" s="19" t="n">
        <v>692</v>
      </c>
      <c r="E70" s="18" t="n">
        <v>65.01369809000001</v>
      </c>
      <c r="F70" s="20" t="n">
        <v>1.80858153</v>
      </c>
      <c r="G70" s="18" t="n">
        <v>31.62358178</v>
      </c>
      <c r="H70" s="20" t="n">
        <v>1.7968425</v>
      </c>
      <c r="I70" s="18" t="n">
        <v>0</v>
      </c>
      <c r="J70" s="20" t="n">
        <v>0</v>
      </c>
      <c r="K70" s="18" t="n">
        <v>0.13802712</v>
      </c>
      <c r="L70" s="20" t="n">
        <v>0.13850784</v>
      </c>
      <c r="M70" s="18" t="n">
        <v>0</v>
      </c>
      <c r="N70" s="20" t="n">
        <v>0</v>
      </c>
      <c r="O70" s="18" t="n">
        <v>0</v>
      </c>
      <c r="P70" s="20" t="n">
        <v>0</v>
      </c>
      <c r="Q70" s="18" t="n">
        <v>3.22469302</v>
      </c>
      <c r="R70" s="20" t="n">
        <v>0.67287334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(2791.0/B72*100)</f>
        <v/>
      </c>
      <c r="D72" s="19" t="n">
        <v>316</v>
      </c>
      <c r="E72" s="18" t="n">
        <v>53.44745179</v>
      </c>
      <c r="F72" s="20" t="n">
        <v>3.1440479</v>
      </c>
      <c r="G72" s="18" t="n">
        <v>45.13801423</v>
      </c>
      <c r="H72" s="20" t="n">
        <v>3.32669987</v>
      </c>
      <c r="I72" s="18" t="n">
        <v>0</v>
      </c>
      <c r="J72" s="20" t="n">
        <v>0</v>
      </c>
      <c r="K72" s="18" t="n">
        <v>0.25186236</v>
      </c>
      <c r="L72" s="20" t="n">
        <v>0.25231927</v>
      </c>
      <c r="M72" s="18" t="n">
        <v>0</v>
      </c>
      <c r="N72" s="20" t="n">
        <v>0</v>
      </c>
      <c r="O72" s="18" t="n">
        <v>0</v>
      </c>
      <c r="P72" s="20" t="n">
        <v>0</v>
      </c>
      <c r="Q72" s="18" t="n">
        <v>1.16267162</v>
      </c>
      <c r="R72" s="20" t="n">
        <v>0.49536237</v>
      </c>
    </row>
    <row r="73" spans="1:18">
      <c r="A73" s="15" t="s">
        <v>633</v>
      </c>
      <c r="B73" s="17" t="n">
        <v>2973</v>
      </c>
      <c r="C73" s="18">
        <f>(2625.0/B73*100)</f>
        <v/>
      </c>
      <c r="D73" s="19" t="n">
        <v>348</v>
      </c>
      <c r="E73" s="18" t="n">
        <v>56.53442146</v>
      </c>
      <c r="F73" s="20" t="n">
        <v>3.42430133</v>
      </c>
      <c r="G73" s="18" t="n">
        <v>42.34662988</v>
      </c>
      <c r="H73" s="20" t="n">
        <v>3.38053312</v>
      </c>
      <c r="I73" s="18" t="n">
        <v>0</v>
      </c>
      <c r="J73" s="20" t="n">
        <v>0</v>
      </c>
      <c r="K73" s="18" t="n">
        <v>0.46019326</v>
      </c>
      <c r="L73" s="20" t="n">
        <v>0.43957505</v>
      </c>
      <c r="M73" s="18" t="n">
        <v>0</v>
      </c>
      <c r="N73" s="20" t="n">
        <v>0</v>
      </c>
      <c r="O73" s="18" t="n">
        <v>0</v>
      </c>
      <c r="P73" s="20" t="n">
        <v>0</v>
      </c>
      <c r="Q73" s="18" t="n">
        <v>0.6587554</v>
      </c>
      <c r="R73" s="20" t="n">
        <v>0.44163046</v>
      </c>
    </row>
    <row r="74" spans="1:18">
      <c r="A74" s="15" t="s">
        <v>634</v>
      </c>
      <c r="B74" s="17" t="n">
        <v>3819</v>
      </c>
      <c r="C74" s="18">
        <f>(3416.0/B74*100)</f>
        <v/>
      </c>
      <c r="D74" s="19" t="n">
        <v>403</v>
      </c>
      <c r="E74" s="18" t="n">
        <v>60.3482694</v>
      </c>
      <c r="F74" s="20" t="n">
        <v>2.29248364</v>
      </c>
      <c r="G74" s="18" t="n">
        <v>38.67205015</v>
      </c>
      <c r="H74" s="20" t="n">
        <v>2.50819016</v>
      </c>
      <c r="I74" s="18" t="n">
        <v>0</v>
      </c>
      <c r="J74" s="20" t="n">
        <v>0</v>
      </c>
      <c r="K74" s="18" t="n">
        <v>0</v>
      </c>
      <c r="L74" s="20" t="n">
        <v>0</v>
      </c>
      <c r="M74" s="18" t="n">
        <v>0</v>
      </c>
      <c r="N74" s="20" t="n">
        <v>0</v>
      </c>
      <c r="O74" s="18" t="n">
        <v>0</v>
      </c>
      <c r="P74" s="20" t="n">
        <v>0</v>
      </c>
      <c r="Q74" s="18" t="n">
        <v>0.97968045</v>
      </c>
      <c r="R74" s="20" t="n">
        <v>0.5141262599999999</v>
      </c>
    </row>
    <row r="75" spans="1:18">
      <c r="A75" s="15" t="s">
        <v>635</v>
      </c>
      <c r="B75" s="17" t="n">
        <v>4652</v>
      </c>
      <c r="C75" s="18">
        <f>(4144.0/B75*100)</f>
        <v/>
      </c>
      <c r="D75" s="19" t="n">
        <v>508</v>
      </c>
      <c r="E75" s="18" t="n">
        <v>68.37272055</v>
      </c>
      <c r="F75" s="20" t="n">
        <v>2.17595684</v>
      </c>
      <c r="G75" s="18" t="n">
        <v>31.20643087</v>
      </c>
      <c r="H75" s="20" t="n">
        <v>2.15248092</v>
      </c>
      <c r="I75" s="18" t="n">
        <v>0</v>
      </c>
      <c r="J75" s="20" t="n">
        <v>0</v>
      </c>
      <c r="K75" s="18" t="n">
        <v>0</v>
      </c>
      <c r="L75" s="20" t="n">
        <v>0</v>
      </c>
      <c r="M75" s="18" t="n">
        <v>0</v>
      </c>
      <c r="N75" s="20" t="n">
        <v>0</v>
      </c>
      <c r="O75" s="18" t="n">
        <v>0</v>
      </c>
      <c r="P75" s="20" t="n">
        <v>0</v>
      </c>
      <c r="Q75" s="18" t="n">
        <v>0.42084858</v>
      </c>
      <c r="R75" s="20" t="n">
        <v>0.34693728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(2665.0/B77*100)</f>
        <v/>
      </c>
      <c r="D77" s="19" t="n">
        <v>304</v>
      </c>
      <c r="E77" s="18" t="n">
        <v>73.40986479999999</v>
      </c>
      <c r="F77" s="20" t="n">
        <v>2.76716616</v>
      </c>
      <c r="G77" s="18" t="n">
        <v>21.04939876</v>
      </c>
      <c r="H77" s="20" t="n">
        <v>2.61031481</v>
      </c>
      <c r="I77" s="18" t="n">
        <v>0</v>
      </c>
      <c r="J77" s="20" t="n">
        <v>0</v>
      </c>
      <c r="K77" s="18" t="n">
        <v>1.4613162</v>
      </c>
      <c r="L77" s="20" t="n">
        <v>0.63251986</v>
      </c>
      <c r="M77" s="18" t="n">
        <v>0</v>
      </c>
      <c r="N77" s="20" t="n">
        <v>0</v>
      </c>
      <c r="O77" s="18" t="n">
        <v>0</v>
      </c>
      <c r="P77" s="20" t="n">
        <v>0</v>
      </c>
      <c r="Q77" s="18" t="n">
        <v>4.07942025</v>
      </c>
      <c r="R77" s="20" t="n">
        <v>1.01604626</v>
      </c>
    </row>
    <row r="78" spans="1:18">
      <c r="A78" s="15" t="s">
        <v>638</v>
      </c>
      <c r="B78" s="17" t="n">
        <v>7115</v>
      </c>
      <c r="C78" s="18">
        <f>(6356.0/B78*100)</f>
        <v/>
      </c>
      <c r="D78" s="19" t="n">
        <v>759</v>
      </c>
      <c r="E78" s="18" t="n">
        <v>56.97593819</v>
      </c>
      <c r="F78" s="20" t="n">
        <v>1.6293893</v>
      </c>
      <c r="G78" s="18" t="n">
        <v>40.13872812</v>
      </c>
      <c r="H78" s="20" t="n">
        <v>1.5585949</v>
      </c>
      <c r="I78" s="18" t="n">
        <v>0</v>
      </c>
      <c r="J78" s="20" t="n">
        <v>0</v>
      </c>
      <c r="K78" s="18" t="n">
        <v>0.18938439</v>
      </c>
      <c r="L78" s="20" t="n">
        <v>0.18873385</v>
      </c>
      <c r="M78" s="18" t="n">
        <v>0</v>
      </c>
      <c r="N78" s="20" t="n">
        <v>0</v>
      </c>
      <c r="O78" s="18" t="n">
        <v>0</v>
      </c>
      <c r="P78" s="20" t="n">
        <v>0</v>
      </c>
      <c r="Q78" s="18" t="n">
        <v>2.6959493</v>
      </c>
      <c r="R78" s="20" t="n">
        <v>0.73515168</v>
      </c>
    </row>
    <row r="79" spans="1:18">
      <c r="A79" s="15" t="s">
        <v>639</v>
      </c>
      <c r="B79" s="17" t="n">
        <v>3154</v>
      </c>
      <c r="C79" s="18">
        <f>(2797.0/B79*100)</f>
        <v/>
      </c>
      <c r="D79" s="19" t="n">
        <v>357</v>
      </c>
      <c r="E79" s="18" t="n">
        <v>0</v>
      </c>
      <c r="F79" s="20" t="n">
        <v>0</v>
      </c>
      <c r="G79" s="18" t="n">
        <v>0</v>
      </c>
      <c r="H79" s="20" t="n">
        <v>0</v>
      </c>
      <c r="I79" s="18" t="n">
        <v>0</v>
      </c>
      <c r="J79" s="20" t="n">
        <v>0</v>
      </c>
      <c r="K79" s="18" t="n">
        <v>0</v>
      </c>
      <c r="L79" s="20" t="n">
        <v>0</v>
      </c>
      <c r="M79" s="18" t="n">
        <v>100</v>
      </c>
      <c r="N79" s="20" t="n">
        <v>0</v>
      </c>
      <c r="O79" s="18" t="n">
        <v>0</v>
      </c>
      <c r="P79" s="20" t="n">
        <v>0</v>
      </c>
      <c r="Q79" s="18" t="n">
        <v>0</v>
      </c>
      <c r="R79" s="20" t="n">
        <v>0</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(14187.0/B82*100)</f>
        <v/>
      </c>
      <c r="D82" s="19" t="n">
        <v>1774</v>
      </c>
      <c r="E82" s="18" t="n">
        <v>74.25699052</v>
      </c>
      <c r="F82" s="20" t="n">
        <v>1.72598283</v>
      </c>
      <c r="G82" s="18" t="n">
        <v>23.91034983</v>
      </c>
      <c r="H82" s="20" t="n">
        <v>1.6092933</v>
      </c>
      <c r="I82" s="18" t="n">
        <v>0</v>
      </c>
      <c r="J82" s="20" t="n">
        <v>0</v>
      </c>
      <c r="K82" s="18" t="n">
        <v>0.03340007</v>
      </c>
      <c r="L82" s="20" t="n">
        <v>0.04405375</v>
      </c>
      <c r="M82" s="18" t="n">
        <v>0</v>
      </c>
      <c r="N82" s="20" t="n">
        <v>0</v>
      </c>
      <c r="O82" s="18" t="n">
        <v>0</v>
      </c>
      <c r="P82" s="20" t="n">
        <v>0</v>
      </c>
      <c r="Q82" s="18" t="n">
        <v>1.79925959</v>
      </c>
      <c r="R82" s="20" t="n">
        <v>0.47214168</v>
      </c>
    </row>
    <row r="83" spans="1:18">
      <c r="A83" s="15" t="s">
        <v>643</v>
      </c>
      <c r="B83" s="17" t="n">
        <v>808</v>
      </c>
      <c r="C83" s="18">
        <f>(724.0/B83*100)</f>
        <v/>
      </c>
      <c r="D83" s="19" t="n">
        <v>84</v>
      </c>
      <c r="E83" s="18" t="n">
        <v>59.53933568</v>
      </c>
      <c r="F83" s="20" t="n">
        <v>5.78606079</v>
      </c>
      <c r="G83" s="18" t="n">
        <v>39.18375782</v>
      </c>
      <c r="H83" s="20" t="n">
        <v>6.10662868</v>
      </c>
      <c r="I83" s="18" t="n">
        <v>0</v>
      </c>
      <c r="J83" s="20" t="n">
        <v>0</v>
      </c>
      <c r="K83" s="18" t="n">
        <v>0</v>
      </c>
      <c r="L83" s="20" t="n">
        <v>0</v>
      </c>
      <c r="M83" s="18" t="n">
        <v>0</v>
      </c>
      <c r="N83" s="20" t="n">
        <v>0</v>
      </c>
      <c r="O83" s="18" t="n">
        <v>0</v>
      </c>
      <c r="P83" s="20" t="n">
        <v>0</v>
      </c>
      <c r="Q83" s="18" t="n">
        <v>1.2769065</v>
      </c>
      <c r="R83" s="20" t="n">
        <v>1.16773592</v>
      </c>
    </row>
    <row r="84" spans="1:18">
      <c r="A84" s="23" t="s">
        <v>644</v>
      </c>
      <c r="B84" s="24" t="n">
        <v>938</v>
      </c>
      <c r="C84" s="25">
        <f>(842.0/B84*100)</f>
        <v/>
      </c>
      <c r="D84" s="19" t="n">
        <v>96</v>
      </c>
      <c r="E84" s="18" t="n">
        <v>64.26034145</v>
      </c>
      <c r="F84" s="20" t="n">
        <v>5.2356355</v>
      </c>
      <c r="G84" s="18" t="n">
        <v>35.73965855</v>
      </c>
      <c r="H84" s="20" t="n">
        <v>5.2356355</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X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549</v>
      </c>
    </row>
    <row r="2" spans="1:24">
      <c r="A2" s="5" t="s">
        <v>700</v>
      </c>
    </row>
    <row customHeight="1" ht="30" r="4" spans="1:24">
      <c r="A4" s="6" t="n"/>
      <c r="B4" s="7" t="s">
        <v>551</v>
      </c>
      <c r="C4" s="7" t="s">
        <v>552</v>
      </c>
      <c r="D4" s="8" t="s">
        <v>551</v>
      </c>
      <c r="E4" s="9" t="s">
        <v>655</v>
      </c>
      <c r="F4" s="10" t="n"/>
      <c r="G4" s="9" t="s">
        <v>656</v>
      </c>
      <c r="H4" s="10" t="n"/>
      <c r="I4" s="9" t="s">
        <v>701</v>
      </c>
      <c r="J4" s="10" t="n"/>
      <c r="K4" s="9" t="s">
        <v>657</v>
      </c>
      <c r="L4" s="10" t="n"/>
      <c r="M4" s="9" t="s">
        <v>658</v>
      </c>
      <c r="N4" s="10" t="n"/>
      <c r="O4" s="9" t="s">
        <v>555</v>
      </c>
      <c r="P4" s="10" t="n"/>
      <c r="Q4" s="9" t="s">
        <v>556</v>
      </c>
      <c r="R4" s="10" t="n"/>
      <c r="S4" s="9" t="s">
        <v>557</v>
      </c>
      <c r="T4" s="10" t="n"/>
      <c r="U4" s="9" t="s">
        <v>558</v>
      </c>
      <c r="V4" s="10" t="n"/>
      <c r="W4" s="9" t="s">
        <v>559</v>
      </c>
      <c r="X4" s="10" t="n"/>
    </row>
    <row r="5" spans="1:24">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c r="W5" s="12" t="s">
        <v>561</v>
      </c>
      <c r="X5" s="11" t="s">
        <v>563</v>
      </c>
    </row>
    <row r="6" spans="1:24">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565</v>
      </c>
      <c r="B7" s="17" t="n">
        <v>7163</v>
      </c>
      <c r="C7" s="18">
        <f>(6385.0/B7*100)</f>
        <v/>
      </c>
      <c r="D7" s="19" t="n">
        <v>778</v>
      </c>
      <c r="E7" s="18" t="n">
        <v>15.08306115</v>
      </c>
      <c r="F7" s="20" t="n">
        <v>1.6081503</v>
      </c>
      <c r="G7" s="18" t="n">
        <v>14.87441421</v>
      </c>
      <c r="H7" s="20" t="n">
        <v>1.7076064</v>
      </c>
      <c r="I7" s="18" t="n">
        <v>11.32588904</v>
      </c>
      <c r="J7" s="20" t="n">
        <v>1.37595057</v>
      </c>
      <c r="K7" s="18" t="n">
        <v>33.82702287</v>
      </c>
      <c r="L7" s="20" t="n">
        <v>2.29276862</v>
      </c>
      <c r="M7" s="18" t="n">
        <v>18.91170193</v>
      </c>
      <c r="N7" s="20" t="n">
        <v>1.79073715</v>
      </c>
      <c r="O7" s="18" t="n">
        <v>0</v>
      </c>
      <c r="P7" s="20" t="n">
        <v>0</v>
      </c>
      <c r="Q7" s="18" t="n">
        <v>0.03529232</v>
      </c>
      <c r="R7" s="20" t="n">
        <v>0.03428817</v>
      </c>
      <c r="S7" s="18" t="n">
        <v>0</v>
      </c>
      <c r="T7" s="20" t="n">
        <v>0</v>
      </c>
      <c r="U7" s="18" t="n">
        <v>0</v>
      </c>
      <c r="V7" s="20" t="n">
        <v>0</v>
      </c>
      <c r="W7" s="18" t="n">
        <v>5.94261849</v>
      </c>
      <c r="X7" s="20" t="n">
        <v>0.9314578100000001</v>
      </c>
    </row>
    <row r="8" spans="1:24">
      <c r="A8" s="15" t="s">
        <v>566</v>
      </c>
      <c r="B8" s="17" t="n">
        <v>3443</v>
      </c>
      <c r="C8" s="18">
        <f>(3058.0/B8*100)</f>
        <v/>
      </c>
      <c r="D8" s="19" t="n">
        <v>385</v>
      </c>
      <c r="E8" s="18" t="n">
        <v>12.11776508</v>
      </c>
      <c r="F8" s="20" t="n">
        <v>1.72396617</v>
      </c>
      <c r="G8" s="18" t="n">
        <v>6.64580627</v>
      </c>
      <c r="H8" s="20" t="n">
        <v>1.0907735</v>
      </c>
      <c r="I8" s="18" t="n">
        <v>14.84613925</v>
      </c>
      <c r="J8" s="20" t="n">
        <v>2.05311419</v>
      </c>
      <c r="K8" s="18" t="n">
        <v>38.51070404</v>
      </c>
      <c r="L8" s="20" t="n">
        <v>2.81226501</v>
      </c>
      <c r="M8" s="18" t="n">
        <v>15.1849938</v>
      </c>
      <c r="N8" s="20" t="n">
        <v>2.02629936</v>
      </c>
      <c r="O8" s="18" t="n">
        <v>0</v>
      </c>
      <c r="P8" s="20" t="n">
        <v>0</v>
      </c>
      <c r="Q8" s="18" t="n">
        <v>0</v>
      </c>
      <c r="R8" s="20" t="n">
        <v>0</v>
      </c>
      <c r="S8" s="18" t="n">
        <v>0</v>
      </c>
      <c r="T8" s="20" t="n">
        <v>0</v>
      </c>
      <c r="U8" s="18" t="n">
        <v>0</v>
      </c>
      <c r="V8" s="20" t="n">
        <v>0</v>
      </c>
      <c r="W8" s="18" t="n">
        <v>12.69459155</v>
      </c>
      <c r="X8" s="20" t="n">
        <v>2.14194118</v>
      </c>
    </row>
    <row r="9" spans="1:24">
      <c r="A9" s="15" t="s">
        <v>567</v>
      </c>
      <c r="B9" s="17" t="n">
        <v>4752</v>
      </c>
      <c r="C9" s="18">
        <f>(4208.0/B9*100)</f>
        <v/>
      </c>
      <c r="D9" s="19" t="n">
        <v>544</v>
      </c>
      <c r="E9" s="18" t="n">
        <v>12.77588736</v>
      </c>
      <c r="F9" s="20" t="n">
        <v>1.39500622</v>
      </c>
      <c r="G9" s="18" t="n">
        <v>9.758589260000001</v>
      </c>
      <c r="H9" s="20" t="n">
        <v>1.33282935</v>
      </c>
      <c r="I9" s="18" t="n">
        <v>15.91430147</v>
      </c>
      <c r="J9" s="20" t="n">
        <v>1.71753963</v>
      </c>
      <c r="K9" s="18" t="n">
        <v>35.35433052</v>
      </c>
      <c r="L9" s="20" t="n">
        <v>2.27673579</v>
      </c>
      <c r="M9" s="18" t="n">
        <v>16.28351623</v>
      </c>
      <c r="N9" s="20" t="n">
        <v>1.52902517</v>
      </c>
      <c r="O9" s="18" t="n">
        <v>0</v>
      </c>
      <c r="P9" s="20" t="n">
        <v>0</v>
      </c>
      <c r="Q9" s="18" t="n">
        <v>0</v>
      </c>
      <c r="R9" s="20" t="n">
        <v>0</v>
      </c>
      <c r="S9" s="18" t="n">
        <v>0.13125071</v>
      </c>
      <c r="T9" s="20" t="n">
        <v>0.12234199</v>
      </c>
      <c r="U9" s="18" t="n">
        <v>0</v>
      </c>
      <c r="V9" s="20" t="n">
        <v>0</v>
      </c>
      <c r="W9" s="18" t="n">
        <v>9.78212445</v>
      </c>
      <c r="X9" s="20" t="n">
        <v>1.2605558</v>
      </c>
    </row>
    <row r="10" spans="1:24">
      <c r="A10" s="15" t="s">
        <v>568</v>
      </c>
      <c r="B10" s="17" t="n">
        <v>10022</v>
      </c>
      <c r="C10" s="18">
        <f>(8916.0/B10*100)</f>
        <v/>
      </c>
      <c r="D10" s="19" t="n">
        <v>1106</v>
      </c>
      <c r="E10" s="18" t="n">
        <v>13.45952756</v>
      </c>
      <c r="F10" s="20" t="n">
        <v>1.55405232</v>
      </c>
      <c r="G10" s="18" t="n">
        <v>15.59533297</v>
      </c>
      <c r="H10" s="20" t="n">
        <v>1.63327445</v>
      </c>
      <c r="I10" s="18" t="n">
        <v>10.56497967</v>
      </c>
      <c r="J10" s="20" t="n">
        <v>1.22007066</v>
      </c>
      <c r="K10" s="18" t="n">
        <v>36.63819609</v>
      </c>
      <c r="L10" s="20" t="n">
        <v>1.7861405</v>
      </c>
      <c r="M10" s="18" t="n">
        <v>20.02500206</v>
      </c>
      <c r="N10" s="20" t="n">
        <v>1.72637563</v>
      </c>
      <c r="O10" s="18" t="n">
        <v>0</v>
      </c>
      <c r="P10" s="20" t="n">
        <v>0</v>
      </c>
      <c r="Q10" s="18" t="n">
        <v>0.13523457</v>
      </c>
      <c r="R10" s="20" t="n">
        <v>0.09079105</v>
      </c>
      <c r="S10" s="18" t="n">
        <v>0.00716537</v>
      </c>
      <c r="T10" s="20" t="n">
        <v>0.00730666</v>
      </c>
      <c r="U10" s="18" t="n">
        <v>0</v>
      </c>
      <c r="V10" s="20" t="n">
        <v>0</v>
      </c>
      <c r="W10" s="18" t="n">
        <v>3.57456171</v>
      </c>
      <c r="X10" s="20" t="n">
        <v>0.72102217</v>
      </c>
    </row>
    <row r="11" spans="1:24">
      <c r="A11" s="15" t="s">
        <v>569</v>
      </c>
      <c r="B11" s="17" t="n">
        <v>3500</v>
      </c>
      <c r="C11" s="18">
        <f>(3092.0/B11*100)</f>
        <v/>
      </c>
      <c r="D11" s="19" t="n">
        <v>408</v>
      </c>
      <c r="E11" s="18" t="n">
        <v>11.33721551</v>
      </c>
      <c r="F11" s="20" t="n">
        <v>1.93759628</v>
      </c>
      <c r="G11" s="18" t="n">
        <v>19.04334952</v>
      </c>
      <c r="H11" s="20" t="n">
        <v>2.01892937</v>
      </c>
      <c r="I11" s="18" t="n">
        <v>26.3520844</v>
      </c>
      <c r="J11" s="20" t="n">
        <v>2.45672259</v>
      </c>
      <c r="K11" s="18" t="n">
        <v>27.53176184</v>
      </c>
      <c r="L11" s="20" t="n">
        <v>2.3171372</v>
      </c>
      <c r="M11" s="18" t="n">
        <v>7.67380946</v>
      </c>
      <c r="N11" s="20" t="n">
        <v>1.53725501</v>
      </c>
      <c r="O11" s="18" t="n">
        <v>0</v>
      </c>
      <c r="P11" s="20" t="n">
        <v>0</v>
      </c>
      <c r="Q11" s="18" t="n">
        <v>0.32937073</v>
      </c>
      <c r="R11" s="20" t="n">
        <v>0.31721664</v>
      </c>
      <c r="S11" s="18" t="n">
        <v>0</v>
      </c>
      <c r="T11" s="20" t="n">
        <v>0</v>
      </c>
      <c r="U11" s="18" t="n">
        <v>0</v>
      </c>
      <c r="V11" s="20" t="n">
        <v>0</v>
      </c>
      <c r="W11" s="18" t="n">
        <v>7.73240854</v>
      </c>
      <c r="X11" s="20" t="n">
        <v>1.440999</v>
      </c>
    </row>
    <row r="12" spans="1:24">
      <c r="A12" s="15" t="s">
        <v>570</v>
      </c>
      <c r="B12" s="17" t="n">
        <v>3422</v>
      </c>
      <c r="C12" s="18">
        <f>(3042.0/B12*100)</f>
        <v/>
      </c>
      <c r="D12" s="19" t="n">
        <v>380</v>
      </c>
      <c r="E12" s="18" t="n">
        <v>11.50101813</v>
      </c>
      <c r="F12" s="20" t="n">
        <v>1.89194299</v>
      </c>
      <c r="G12" s="18" t="n">
        <v>13.48130856</v>
      </c>
      <c r="H12" s="20" t="n">
        <v>1.73641888</v>
      </c>
      <c r="I12" s="18" t="n">
        <v>11.21326044</v>
      </c>
      <c r="J12" s="20" t="n">
        <v>1.82592578</v>
      </c>
      <c r="K12" s="18" t="n">
        <v>38.80030937</v>
      </c>
      <c r="L12" s="20" t="n">
        <v>2.55537124</v>
      </c>
      <c r="M12" s="18" t="n">
        <v>8.01267876</v>
      </c>
      <c r="N12" s="20" t="n">
        <v>1.54796531</v>
      </c>
      <c r="O12" s="18" t="n">
        <v>0</v>
      </c>
      <c r="P12" s="20" t="n">
        <v>0</v>
      </c>
      <c r="Q12" s="18" t="n">
        <v>0</v>
      </c>
      <c r="R12" s="20" t="n">
        <v>0</v>
      </c>
      <c r="S12" s="18" t="n">
        <v>0</v>
      </c>
      <c r="T12" s="20" t="n">
        <v>0</v>
      </c>
      <c r="U12" s="18" t="n">
        <v>0</v>
      </c>
      <c r="V12" s="20" t="n">
        <v>0</v>
      </c>
      <c r="W12" s="18" t="n">
        <v>16.99142474</v>
      </c>
      <c r="X12" s="20" t="n">
        <v>2.3792602</v>
      </c>
    </row>
    <row r="13" spans="1:24">
      <c r="A13" s="15" t="s">
        <v>571</v>
      </c>
      <c r="B13" s="17" t="n">
        <v>3602</v>
      </c>
      <c r="C13" s="18">
        <f>(3229.0/B13*100)</f>
        <v/>
      </c>
      <c r="D13" s="19" t="n">
        <v>373</v>
      </c>
      <c r="E13" s="18" t="n">
        <v>10.68460968</v>
      </c>
      <c r="F13" s="20" t="n">
        <v>1.92090672</v>
      </c>
      <c r="G13" s="18" t="n">
        <v>12.13599787</v>
      </c>
      <c r="H13" s="20" t="n">
        <v>1.93909792</v>
      </c>
      <c r="I13" s="18" t="n">
        <v>15.73617002</v>
      </c>
      <c r="J13" s="20" t="n">
        <v>2.20005408</v>
      </c>
      <c r="K13" s="18" t="n">
        <v>37.1040737</v>
      </c>
      <c r="L13" s="20" t="n">
        <v>3.12311388</v>
      </c>
      <c r="M13" s="18" t="n">
        <v>15.08644308</v>
      </c>
      <c r="N13" s="20" t="n">
        <v>2.00567577</v>
      </c>
      <c r="O13" s="18" t="n">
        <v>0</v>
      </c>
      <c r="P13" s="20" t="n">
        <v>0</v>
      </c>
      <c r="Q13" s="18" t="n">
        <v>0.47585453</v>
      </c>
      <c r="R13" s="20" t="n">
        <v>0.3826169</v>
      </c>
      <c r="S13" s="18" t="n">
        <v>0</v>
      </c>
      <c r="T13" s="20" t="n">
        <v>0</v>
      </c>
      <c r="U13" s="18" t="n">
        <v>0</v>
      </c>
      <c r="V13" s="20" t="n">
        <v>0</v>
      </c>
      <c r="W13" s="18" t="n">
        <v>8.776851130000001</v>
      </c>
      <c r="X13" s="20" t="n">
        <v>1.38182675</v>
      </c>
    </row>
    <row r="14" spans="1:24">
      <c r="A14" s="15" t="s">
        <v>572</v>
      </c>
      <c r="B14" s="17" t="n">
        <v>2788</v>
      </c>
      <c r="C14" s="18">
        <f>(2482.0/B14*100)</f>
        <v/>
      </c>
      <c r="D14" s="19" t="n">
        <v>306</v>
      </c>
      <c r="E14" s="18" t="n">
        <v>15.19362432</v>
      </c>
      <c r="F14" s="20" t="n">
        <v>1.8652909</v>
      </c>
      <c r="G14" s="18" t="n">
        <v>8.80189434</v>
      </c>
      <c r="H14" s="20" t="n">
        <v>1.58176181</v>
      </c>
      <c r="I14" s="18" t="n">
        <v>9.824449080000001</v>
      </c>
      <c r="J14" s="20" t="n">
        <v>2.0458803</v>
      </c>
      <c r="K14" s="18" t="n">
        <v>51.33163972</v>
      </c>
      <c r="L14" s="20" t="n">
        <v>3.04007723</v>
      </c>
      <c r="M14" s="18" t="n">
        <v>11.15296046</v>
      </c>
      <c r="N14" s="20" t="n">
        <v>1.65441275</v>
      </c>
      <c r="O14" s="18" t="n">
        <v>0</v>
      </c>
      <c r="P14" s="20" t="n">
        <v>0</v>
      </c>
      <c r="Q14" s="18" t="n">
        <v>0</v>
      </c>
      <c r="R14" s="20" t="n">
        <v>0</v>
      </c>
      <c r="S14" s="18" t="n">
        <v>0</v>
      </c>
      <c r="T14" s="20" t="n">
        <v>0</v>
      </c>
      <c r="U14" s="18" t="n">
        <v>0</v>
      </c>
      <c r="V14" s="20" t="n">
        <v>0</v>
      </c>
      <c r="W14" s="18" t="n">
        <v>3.69543209</v>
      </c>
      <c r="X14" s="20" t="n">
        <v>1.54821559</v>
      </c>
    </row>
    <row r="15" spans="1:24">
      <c r="A15" s="15" t="s">
        <v>573</v>
      </c>
      <c r="B15" s="17" t="n">
        <v>2863</v>
      </c>
      <c r="C15" s="18">
        <f>(2552.0/B15*100)</f>
        <v/>
      </c>
      <c r="D15" s="19" t="n">
        <v>311</v>
      </c>
      <c r="E15" s="18" t="n">
        <v>11.28985826</v>
      </c>
      <c r="F15" s="20" t="n">
        <v>1.75287557</v>
      </c>
      <c r="G15" s="18" t="n">
        <v>6.42007356</v>
      </c>
      <c r="H15" s="20" t="n">
        <v>1.40536074</v>
      </c>
      <c r="I15" s="18" t="n">
        <v>8.304696959999999</v>
      </c>
      <c r="J15" s="20" t="n">
        <v>1.57832813</v>
      </c>
      <c r="K15" s="18" t="n">
        <v>61.48859405</v>
      </c>
      <c r="L15" s="20" t="n">
        <v>2.42109803</v>
      </c>
      <c r="M15" s="18" t="n">
        <v>8.654145789999999</v>
      </c>
      <c r="N15" s="20" t="n">
        <v>1.34575685</v>
      </c>
      <c r="O15" s="18" t="n">
        <v>0</v>
      </c>
      <c r="P15" s="20" t="n">
        <v>0</v>
      </c>
      <c r="Q15" s="18" t="n">
        <v>0</v>
      </c>
      <c r="R15" s="20" t="n">
        <v>0</v>
      </c>
      <c r="S15" s="18" t="n">
        <v>0</v>
      </c>
      <c r="T15" s="20" t="n">
        <v>0</v>
      </c>
      <c r="U15" s="18" t="n">
        <v>0</v>
      </c>
      <c r="V15" s="20" t="n">
        <v>0</v>
      </c>
      <c r="W15" s="18" t="n">
        <v>3.84263138</v>
      </c>
      <c r="X15" s="20" t="n">
        <v>1.14543226</v>
      </c>
    </row>
    <row r="16" spans="1:24">
      <c r="A16" s="15" t="s">
        <v>574</v>
      </c>
      <c r="B16" s="17" t="n">
        <v>3111</v>
      </c>
      <c r="C16" s="18">
        <f>(2801.0/B16*100)</f>
        <v/>
      </c>
      <c r="D16" s="19" t="n">
        <v>310</v>
      </c>
      <c r="E16" s="18" t="n">
        <v>5.59294249</v>
      </c>
      <c r="F16" s="20" t="n">
        <v>1.46466372</v>
      </c>
      <c r="G16" s="18" t="n">
        <v>14.07418356</v>
      </c>
      <c r="H16" s="20" t="n">
        <v>1.95252766</v>
      </c>
      <c r="I16" s="18" t="n">
        <v>16.18472018</v>
      </c>
      <c r="J16" s="20" t="n">
        <v>1.79725771</v>
      </c>
      <c r="K16" s="18" t="n">
        <v>35.02674443</v>
      </c>
      <c r="L16" s="20" t="n">
        <v>2.5563598</v>
      </c>
      <c r="M16" s="18" t="n">
        <v>16.93109974</v>
      </c>
      <c r="N16" s="20" t="n">
        <v>1.91906149</v>
      </c>
      <c r="O16" s="18" t="n">
        <v>0</v>
      </c>
      <c r="P16" s="20" t="n">
        <v>0</v>
      </c>
      <c r="Q16" s="18" t="n">
        <v>0</v>
      </c>
      <c r="R16" s="20" t="n">
        <v>0</v>
      </c>
      <c r="S16" s="18" t="n">
        <v>0</v>
      </c>
      <c r="T16" s="20" t="n">
        <v>0</v>
      </c>
      <c r="U16" s="18" t="n">
        <v>0</v>
      </c>
      <c r="V16" s="20" t="n">
        <v>0</v>
      </c>
      <c r="W16" s="18" t="n">
        <v>12.1903096</v>
      </c>
      <c r="X16" s="20" t="n">
        <v>1.97485371</v>
      </c>
    </row>
    <row r="17" spans="1:24">
      <c r="A17" s="15" t="s">
        <v>575</v>
      </c>
      <c r="B17" s="17" t="n">
        <v>3197</v>
      </c>
      <c r="C17" s="18">
        <f>(2838.0/B17*100)</f>
        <v/>
      </c>
      <c r="D17" s="19" t="n">
        <v>359</v>
      </c>
      <c r="E17" s="18" t="n">
        <v>12.13267194</v>
      </c>
      <c r="F17" s="20" t="n">
        <v>1.61779491</v>
      </c>
      <c r="G17" s="18" t="n">
        <v>6.36932249</v>
      </c>
      <c r="H17" s="20" t="n">
        <v>1.22663743</v>
      </c>
      <c r="I17" s="18" t="n">
        <v>13.23362466</v>
      </c>
      <c r="J17" s="20" t="n">
        <v>1.9659595</v>
      </c>
      <c r="K17" s="18" t="n">
        <v>43.43941002</v>
      </c>
      <c r="L17" s="20" t="n">
        <v>2.97806529</v>
      </c>
      <c r="M17" s="18" t="n">
        <v>12.13861354</v>
      </c>
      <c r="N17" s="20" t="n">
        <v>1.80262825</v>
      </c>
      <c r="O17" s="18" t="n">
        <v>0</v>
      </c>
      <c r="P17" s="20" t="n">
        <v>0</v>
      </c>
      <c r="Q17" s="18" t="n">
        <v>0.31183713</v>
      </c>
      <c r="R17" s="20" t="n">
        <v>0.31626</v>
      </c>
      <c r="S17" s="18" t="n">
        <v>0</v>
      </c>
      <c r="T17" s="20" t="n">
        <v>0</v>
      </c>
      <c r="U17" s="18" t="n">
        <v>0</v>
      </c>
      <c r="V17" s="20" t="n">
        <v>0</v>
      </c>
      <c r="W17" s="18" t="n">
        <v>12.37452022</v>
      </c>
      <c r="X17" s="20" t="n">
        <v>1.72551799</v>
      </c>
    </row>
    <row r="18" spans="1:24">
      <c r="A18" s="15" t="s">
        <v>576</v>
      </c>
      <c r="B18" s="17" t="n">
        <v>2706</v>
      </c>
      <c r="C18" s="18">
        <f>(2437.0/B18*100)</f>
        <v/>
      </c>
      <c r="D18" s="19" t="n">
        <v>269</v>
      </c>
      <c r="E18" s="18" t="n">
        <v>15.03143756</v>
      </c>
      <c r="F18" s="20" t="n">
        <v>2.48995076</v>
      </c>
      <c r="G18" s="18" t="n">
        <v>8.9581637</v>
      </c>
      <c r="H18" s="20" t="n">
        <v>1.77588061</v>
      </c>
      <c r="I18" s="18" t="n">
        <v>29.14109799</v>
      </c>
      <c r="J18" s="20" t="n">
        <v>2.70765396</v>
      </c>
      <c r="K18" s="18" t="n">
        <v>21.39526102</v>
      </c>
      <c r="L18" s="20" t="n">
        <v>2.60018668</v>
      </c>
      <c r="M18" s="18" t="n">
        <v>16.09808907</v>
      </c>
      <c r="N18" s="20" t="n">
        <v>2.32367258</v>
      </c>
      <c r="O18" s="18" t="n">
        <v>0</v>
      </c>
      <c r="P18" s="20" t="n">
        <v>0</v>
      </c>
      <c r="Q18" s="18" t="n">
        <v>0</v>
      </c>
      <c r="R18" s="20" t="n">
        <v>0</v>
      </c>
      <c r="S18" s="18" t="n">
        <v>0</v>
      </c>
      <c r="T18" s="20" t="n">
        <v>0</v>
      </c>
      <c r="U18" s="18" t="n">
        <v>0</v>
      </c>
      <c r="V18" s="20" t="n">
        <v>0</v>
      </c>
      <c r="W18" s="18" t="n">
        <v>9.37595065</v>
      </c>
      <c r="X18" s="20" t="n">
        <v>2.01777896</v>
      </c>
    </row>
    <row r="19" spans="1:24">
      <c r="A19" s="15" t="s">
        <v>577</v>
      </c>
      <c r="B19" s="17" t="n">
        <v>2850</v>
      </c>
      <c r="C19" s="18">
        <f>(2536.0/B19*100)</f>
        <v/>
      </c>
      <c r="D19" s="19" t="n">
        <v>314</v>
      </c>
      <c r="E19" s="18" t="n">
        <v>20.34586978</v>
      </c>
      <c r="F19" s="20" t="n">
        <v>2.64893536</v>
      </c>
      <c r="G19" s="18" t="n">
        <v>1.84659385</v>
      </c>
      <c r="H19" s="20" t="n">
        <v>0.7477564799999999</v>
      </c>
      <c r="I19" s="18" t="n">
        <v>15.72822027</v>
      </c>
      <c r="J19" s="20" t="n">
        <v>2.31843185</v>
      </c>
      <c r="K19" s="18" t="n">
        <v>7.91460975</v>
      </c>
      <c r="L19" s="20" t="n">
        <v>1.49913886</v>
      </c>
      <c r="M19" s="18" t="n">
        <v>32.64020865</v>
      </c>
      <c r="N19" s="20" t="n">
        <v>2.71305735</v>
      </c>
      <c r="O19" s="18" t="n">
        <v>0</v>
      </c>
      <c r="P19" s="20" t="n">
        <v>0</v>
      </c>
      <c r="Q19" s="18" t="n">
        <v>0</v>
      </c>
      <c r="R19" s="20" t="n">
        <v>0</v>
      </c>
      <c r="S19" s="18" t="n">
        <v>0.30501897</v>
      </c>
      <c r="T19" s="20" t="n">
        <v>0.30699434</v>
      </c>
      <c r="U19" s="18" t="n">
        <v>0</v>
      </c>
      <c r="V19" s="20" t="n">
        <v>0</v>
      </c>
      <c r="W19" s="18" t="n">
        <v>21.21947873</v>
      </c>
      <c r="X19" s="20" t="n">
        <v>2.62528864</v>
      </c>
    </row>
    <row r="20" spans="1:24">
      <c r="A20" s="15" t="s">
        <v>578</v>
      </c>
      <c r="B20" s="17" t="n">
        <v>1741</v>
      </c>
      <c r="C20" s="18">
        <f>(1558.0/B20*100)</f>
        <v/>
      </c>
      <c r="D20" s="19" t="n">
        <v>183</v>
      </c>
      <c r="E20" s="18" t="n">
        <v>32.28069246</v>
      </c>
      <c r="F20" s="20" t="n">
        <v>3.24107601</v>
      </c>
      <c r="G20" s="18" t="n">
        <v>8.42508612</v>
      </c>
      <c r="H20" s="20" t="n">
        <v>2.08741069</v>
      </c>
      <c r="I20" s="18" t="n">
        <v>13.15371471</v>
      </c>
      <c r="J20" s="20" t="n">
        <v>2.1658438</v>
      </c>
      <c r="K20" s="18" t="n">
        <v>23.46016222</v>
      </c>
      <c r="L20" s="20" t="n">
        <v>3.08518683</v>
      </c>
      <c r="M20" s="18" t="n">
        <v>13.10180818</v>
      </c>
      <c r="N20" s="20" t="n">
        <v>2.39739688</v>
      </c>
      <c r="O20" s="18" t="n">
        <v>0</v>
      </c>
      <c r="P20" s="20" t="n">
        <v>0</v>
      </c>
      <c r="Q20" s="18" t="n">
        <v>0.46378246</v>
      </c>
      <c r="R20" s="20" t="n">
        <v>0.46556953</v>
      </c>
      <c r="S20" s="18" t="n">
        <v>0.8391448</v>
      </c>
      <c r="T20" s="20" t="n">
        <v>0.82261342</v>
      </c>
      <c r="U20" s="18" t="n">
        <v>0</v>
      </c>
      <c r="V20" s="20" t="n">
        <v>0</v>
      </c>
      <c r="W20" s="18" t="n">
        <v>8.275609040000001</v>
      </c>
      <c r="X20" s="20" t="n">
        <v>1.99588197</v>
      </c>
    </row>
    <row r="21" spans="1:24">
      <c r="A21" s="15" t="s">
        <v>579</v>
      </c>
      <c r="B21" s="17" t="n">
        <v>2833</v>
      </c>
      <c r="C21" s="18">
        <f>(2486.0/B21*100)</f>
        <v/>
      </c>
      <c r="D21" s="19" t="n">
        <v>347</v>
      </c>
      <c r="E21" s="18" t="n">
        <v>23.56021523</v>
      </c>
      <c r="F21" s="20" t="n">
        <v>2.36107005</v>
      </c>
      <c r="G21" s="18" t="n">
        <v>24.56608681</v>
      </c>
      <c r="H21" s="20" t="n">
        <v>2.26566947</v>
      </c>
      <c r="I21" s="18" t="n">
        <v>12.60589899</v>
      </c>
      <c r="J21" s="20" t="n">
        <v>1.58036114</v>
      </c>
      <c r="K21" s="18" t="n">
        <v>18.60291096</v>
      </c>
      <c r="L21" s="20" t="n">
        <v>2.04854117</v>
      </c>
      <c r="M21" s="18" t="n">
        <v>17.31721716</v>
      </c>
      <c r="N21" s="20" t="n">
        <v>1.88183503</v>
      </c>
      <c r="O21" s="18" t="n">
        <v>0</v>
      </c>
      <c r="P21" s="20" t="n">
        <v>0</v>
      </c>
      <c r="Q21" s="18" t="n">
        <v>0</v>
      </c>
      <c r="R21" s="20" t="n">
        <v>0</v>
      </c>
      <c r="S21" s="18" t="n">
        <v>0</v>
      </c>
      <c r="T21" s="20" t="n">
        <v>0</v>
      </c>
      <c r="U21" s="18" t="n">
        <v>0</v>
      </c>
      <c r="V21" s="20" t="n">
        <v>0</v>
      </c>
      <c r="W21" s="18" t="n">
        <v>3.34767084</v>
      </c>
      <c r="X21" s="20" t="n">
        <v>1.20139849</v>
      </c>
    </row>
    <row r="22" spans="1:24">
      <c r="A22" s="15" t="s">
        <v>580</v>
      </c>
      <c r="B22" s="17" t="n">
        <v>3667</v>
      </c>
      <c r="C22" s="18">
        <f>(3320.0/B22*100)</f>
        <v/>
      </c>
      <c r="D22" s="19" t="n">
        <v>347</v>
      </c>
      <c r="E22" s="18" t="n">
        <v>4.8917493</v>
      </c>
      <c r="F22" s="20" t="n">
        <v>1.04304119</v>
      </c>
      <c r="G22" s="18" t="n">
        <v>4.36303777</v>
      </c>
      <c r="H22" s="20" t="n">
        <v>0.88952529</v>
      </c>
      <c r="I22" s="18" t="n">
        <v>12.58024357</v>
      </c>
      <c r="J22" s="20" t="n">
        <v>1.77700719</v>
      </c>
      <c r="K22" s="18" t="n">
        <v>51.53989645</v>
      </c>
      <c r="L22" s="20" t="n">
        <v>3.03922513</v>
      </c>
      <c r="M22" s="18" t="n">
        <v>20.29653237</v>
      </c>
      <c r="N22" s="20" t="n">
        <v>2.24588023</v>
      </c>
      <c r="O22" s="18" t="n">
        <v>0</v>
      </c>
      <c r="P22" s="20" t="n">
        <v>0</v>
      </c>
      <c r="Q22" s="18" t="n">
        <v>0</v>
      </c>
      <c r="R22" s="20" t="n">
        <v>0</v>
      </c>
      <c r="S22" s="18" t="n">
        <v>0</v>
      </c>
      <c r="T22" s="20" t="n">
        <v>0</v>
      </c>
      <c r="U22" s="18" t="n">
        <v>0</v>
      </c>
      <c r="V22" s="20" t="n">
        <v>0</v>
      </c>
      <c r="W22" s="18" t="n">
        <v>6.32854054</v>
      </c>
      <c r="X22" s="20" t="n">
        <v>1.67584451</v>
      </c>
    </row>
    <row r="23" spans="1:24">
      <c r="A23" s="15" t="s">
        <v>581</v>
      </c>
      <c r="B23" s="17" t="n">
        <v>5792</v>
      </c>
      <c r="C23" s="18">
        <f>(5150.0/B23*100)</f>
        <v/>
      </c>
      <c r="D23" s="19" t="n">
        <v>642</v>
      </c>
      <c r="E23" s="18" t="n">
        <v>6.10807521</v>
      </c>
      <c r="F23" s="20" t="n">
        <v>1.36963306</v>
      </c>
      <c r="G23" s="18" t="n">
        <v>8.38806374</v>
      </c>
      <c r="H23" s="20" t="n">
        <v>1.70292694</v>
      </c>
      <c r="I23" s="18" t="n">
        <v>16.10962486</v>
      </c>
      <c r="J23" s="20" t="n">
        <v>1.9855512</v>
      </c>
      <c r="K23" s="18" t="n">
        <v>44.06888576</v>
      </c>
      <c r="L23" s="20" t="n">
        <v>3.05440594</v>
      </c>
      <c r="M23" s="18" t="n">
        <v>15.79498953</v>
      </c>
      <c r="N23" s="20" t="n">
        <v>1.98876211</v>
      </c>
      <c r="O23" s="18" t="n">
        <v>0</v>
      </c>
      <c r="P23" s="20" t="n">
        <v>0</v>
      </c>
      <c r="Q23" s="18" t="n">
        <v>0.42426035</v>
      </c>
      <c r="R23" s="20" t="n">
        <v>0.47218736</v>
      </c>
      <c r="S23" s="18" t="n">
        <v>0</v>
      </c>
      <c r="T23" s="20" t="n">
        <v>0</v>
      </c>
      <c r="U23" s="18" t="n">
        <v>0</v>
      </c>
      <c r="V23" s="20" t="n">
        <v>0</v>
      </c>
      <c r="W23" s="18" t="n">
        <v>9.106100550000001</v>
      </c>
      <c r="X23" s="20" t="n">
        <v>1.79050804</v>
      </c>
    </row>
    <row r="24" spans="1:24">
      <c r="A24" s="15" t="s">
        <v>582</v>
      </c>
      <c r="B24" s="17" t="n">
        <v>3309</v>
      </c>
      <c r="C24" s="18">
        <f>(2932.0/B24*100)</f>
        <v/>
      </c>
      <c r="D24" s="19" t="n">
        <v>377</v>
      </c>
      <c r="E24" s="18" t="n">
        <v>8.065126899999999</v>
      </c>
      <c r="F24" s="20" t="n">
        <v>1.49726968</v>
      </c>
      <c r="G24" s="18" t="n">
        <v>4.77863221</v>
      </c>
      <c r="H24" s="20" t="n">
        <v>0.97596264</v>
      </c>
      <c r="I24" s="18" t="n">
        <v>9.942325779999999</v>
      </c>
      <c r="J24" s="20" t="n">
        <v>1.64455348</v>
      </c>
      <c r="K24" s="18" t="n">
        <v>51.83980279</v>
      </c>
      <c r="L24" s="20" t="n">
        <v>2.99843426</v>
      </c>
      <c r="M24" s="18" t="n">
        <v>12.89267381</v>
      </c>
      <c r="N24" s="20" t="n">
        <v>1.87166603</v>
      </c>
      <c r="O24" s="18" t="n">
        <v>0</v>
      </c>
      <c r="P24" s="20" t="n">
        <v>0</v>
      </c>
      <c r="Q24" s="18" t="n">
        <v>0</v>
      </c>
      <c r="R24" s="20" t="n">
        <v>0</v>
      </c>
      <c r="S24" s="18" t="n">
        <v>0</v>
      </c>
      <c r="T24" s="20" t="n">
        <v>0</v>
      </c>
      <c r="U24" s="18" t="n">
        <v>0</v>
      </c>
      <c r="V24" s="20" t="n">
        <v>0</v>
      </c>
      <c r="W24" s="18" t="n">
        <v>12.48143851</v>
      </c>
      <c r="X24" s="20" t="n">
        <v>1.70343027</v>
      </c>
    </row>
    <row r="25" spans="1:24">
      <c r="A25" s="15" t="s">
        <v>583</v>
      </c>
      <c r="B25" s="17" t="n">
        <v>2669</v>
      </c>
      <c r="C25" s="18">
        <f>(2396.0/B25*100)</f>
        <v/>
      </c>
      <c r="D25" s="19" t="n">
        <v>273</v>
      </c>
      <c r="E25" s="18" t="n">
        <v>12.52756362</v>
      </c>
      <c r="F25" s="20" t="n">
        <v>2.01404636</v>
      </c>
      <c r="G25" s="18" t="n">
        <v>8.098603750000001</v>
      </c>
      <c r="H25" s="20" t="n">
        <v>1.80358721</v>
      </c>
      <c r="I25" s="18" t="n">
        <v>3.89779551</v>
      </c>
      <c r="J25" s="20" t="n">
        <v>1.17503064</v>
      </c>
      <c r="K25" s="18" t="n">
        <v>69.36212399999999</v>
      </c>
      <c r="L25" s="20" t="n">
        <v>2.7075224</v>
      </c>
      <c r="M25" s="18" t="n">
        <v>3.33881102</v>
      </c>
      <c r="N25" s="20" t="n">
        <v>1.2750028</v>
      </c>
      <c r="O25" s="18" t="n">
        <v>0</v>
      </c>
      <c r="P25" s="20" t="n">
        <v>0</v>
      </c>
      <c r="Q25" s="18" t="n">
        <v>0.33916492</v>
      </c>
      <c r="R25" s="20" t="n">
        <v>0.47668997</v>
      </c>
      <c r="S25" s="18" t="n">
        <v>0</v>
      </c>
      <c r="T25" s="20" t="n">
        <v>0</v>
      </c>
      <c r="U25" s="18" t="n">
        <v>0</v>
      </c>
      <c r="V25" s="20" t="n">
        <v>0</v>
      </c>
      <c r="W25" s="18" t="n">
        <v>2.43593718</v>
      </c>
      <c r="X25" s="20" t="n">
        <v>0.87740048</v>
      </c>
    </row>
    <row r="26" spans="1:24">
      <c r="A26" s="15" t="s">
        <v>584</v>
      </c>
      <c r="B26" s="17" t="n">
        <v>2419</v>
      </c>
      <c r="C26" s="18">
        <f>(2155.0/B26*100)</f>
        <v/>
      </c>
      <c r="D26" s="19" t="n">
        <v>264</v>
      </c>
      <c r="E26" s="18" t="n">
        <v>9.370515660000001</v>
      </c>
      <c r="F26" s="20" t="n">
        <v>1.66179498</v>
      </c>
      <c r="G26" s="18" t="n">
        <v>6.3512391</v>
      </c>
      <c r="H26" s="20" t="n">
        <v>1.71331324</v>
      </c>
      <c r="I26" s="18" t="n">
        <v>21.66666167</v>
      </c>
      <c r="J26" s="20" t="n">
        <v>2.78866905</v>
      </c>
      <c r="K26" s="18" t="n">
        <v>32.12001179</v>
      </c>
      <c r="L26" s="20" t="n">
        <v>2.89781617</v>
      </c>
      <c r="M26" s="18" t="n">
        <v>21.3088874</v>
      </c>
      <c r="N26" s="20" t="n">
        <v>2.47336306</v>
      </c>
      <c r="O26" s="18" t="n">
        <v>0</v>
      </c>
      <c r="P26" s="20" t="n">
        <v>0</v>
      </c>
      <c r="Q26" s="18" t="n">
        <v>0</v>
      </c>
      <c r="R26" s="20" t="n">
        <v>0</v>
      </c>
      <c r="S26" s="18" t="n">
        <v>0</v>
      </c>
      <c r="T26" s="20" t="n">
        <v>0</v>
      </c>
      <c r="U26" s="18" t="n">
        <v>0</v>
      </c>
      <c r="V26" s="20" t="n">
        <v>0</v>
      </c>
      <c r="W26" s="18" t="n">
        <v>9.18268438</v>
      </c>
      <c r="X26" s="20" t="n">
        <v>1.94404677</v>
      </c>
    </row>
    <row r="27" spans="1:24">
      <c r="A27" s="15" t="s">
        <v>585</v>
      </c>
      <c r="B27" s="17" t="n">
        <v>2683</v>
      </c>
      <c r="C27" s="18">
        <f>(2370.0/B27*100)</f>
        <v/>
      </c>
      <c r="D27" s="19" t="n">
        <v>313</v>
      </c>
      <c r="E27" s="18" t="n">
        <v>13.84920013</v>
      </c>
      <c r="F27" s="20" t="n">
        <v>2.18778837</v>
      </c>
      <c r="G27" s="18" t="n">
        <v>9.355627910000001</v>
      </c>
      <c r="H27" s="20" t="n">
        <v>1.45667063</v>
      </c>
      <c r="I27" s="18" t="n">
        <v>21.43288967</v>
      </c>
      <c r="J27" s="20" t="n">
        <v>2.47113249</v>
      </c>
      <c r="K27" s="18" t="n">
        <v>27.00819579</v>
      </c>
      <c r="L27" s="20" t="n">
        <v>2.42959545</v>
      </c>
      <c r="M27" s="18" t="n">
        <v>12.66508647</v>
      </c>
      <c r="N27" s="20" t="n">
        <v>1.9086578</v>
      </c>
      <c r="O27" s="18" t="n">
        <v>0</v>
      </c>
      <c r="P27" s="20" t="n">
        <v>0</v>
      </c>
      <c r="Q27" s="18" t="n">
        <v>0</v>
      </c>
      <c r="R27" s="20" t="n">
        <v>0</v>
      </c>
      <c r="S27" s="18" t="n">
        <v>0</v>
      </c>
      <c r="T27" s="20" t="n">
        <v>0</v>
      </c>
      <c r="U27" s="18" t="n">
        <v>0</v>
      </c>
      <c r="V27" s="20" t="n">
        <v>0</v>
      </c>
      <c r="W27" s="18" t="n">
        <v>15.68900003</v>
      </c>
      <c r="X27" s="20" t="n">
        <v>2.010637</v>
      </c>
    </row>
    <row r="28" spans="1:24">
      <c r="A28" s="15" t="s">
        <v>586</v>
      </c>
      <c r="B28" s="17" t="n">
        <v>3803</v>
      </c>
      <c r="C28" s="18">
        <f>(3418.0/B28*100)</f>
        <v/>
      </c>
      <c r="D28" s="19" t="n">
        <v>385</v>
      </c>
      <c r="E28" s="18" t="n">
        <v>21.31484269</v>
      </c>
      <c r="F28" s="20" t="n">
        <v>2.41163962</v>
      </c>
      <c r="G28" s="18" t="n">
        <v>17.09199102</v>
      </c>
      <c r="H28" s="20" t="n">
        <v>1.80953258</v>
      </c>
      <c r="I28" s="18" t="n">
        <v>45.44105614</v>
      </c>
      <c r="J28" s="20" t="n">
        <v>2.39744692</v>
      </c>
      <c r="K28" s="18" t="n">
        <v>8.408559439999999</v>
      </c>
      <c r="L28" s="20" t="n">
        <v>1.85654794</v>
      </c>
      <c r="M28" s="18" t="n">
        <v>5.7824608</v>
      </c>
      <c r="N28" s="20" t="n">
        <v>1.37155463</v>
      </c>
      <c r="O28" s="18" t="n">
        <v>0</v>
      </c>
      <c r="P28" s="20" t="n">
        <v>0</v>
      </c>
      <c r="Q28" s="18" t="n">
        <v>0.52720114</v>
      </c>
      <c r="R28" s="20" t="n">
        <v>0.37913793</v>
      </c>
      <c r="S28" s="18" t="n">
        <v>0.24095638</v>
      </c>
      <c r="T28" s="20" t="n">
        <v>0.25076169</v>
      </c>
      <c r="U28" s="18" t="n">
        <v>0</v>
      </c>
      <c r="V28" s="20" t="n">
        <v>0</v>
      </c>
      <c r="W28" s="18" t="n">
        <v>1.19293241</v>
      </c>
      <c r="X28" s="20" t="n">
        <v>0.61859604</v>
      </c>
    </row>
    <row r="29" spans="1:24">
      <c r="A29" s="15" t="s">
        <v>587</v>
      </c>
      <c r="B29" s="17" t="n">
        <v>2700</v>
      </c>
      <c r="C29" s="18">
        <f>(2395.0/B29*100)</f>
        <v/>
      </c>
      <c r="D29" s="19" t="n">
        <v>305</v>
      </c>
      <c r="E29" s="18" t="n">
        <v>13.62499416</v>
      </c>
      <c r="F29" s="20" t="n">
        <v>2.02405145</v>
      </c>
      <c r="G29" s="18" t="n">
        <v>7.16096599</v>
      </c>
      <c r="H29" s="20" t="n">
        <v>1.53118399</v>
      </c>
      <c r="I29" s="18" t="n">
        <v>19.82696101</v>
      </c>
      <c r="J29" s="20" t="n">
        <v>2.49164342</v>
      </c>
      <c r="K29" s="18" t="n">
        <v>29.92878717</v>
      </c>
      <c r="L29" s="20" t="n">
        <v>3.01538879</v>
      </c>
      <c r="M29" s="18" t="n">
        <v>24.46878168</v>
      </c>
      <c r="N29" s="20" t="n">
        <v>2.23620995</v>
      </c>
      <c r="O29" s="18" t="n">
        <v>0</v>
      </c>
      <c r="P29" s="20" t="n">
        <v>0</v>
      </c>
      <c r="Q29" s="18" t="n">
        <v>0.42764208</v>
      </c>
      <c r="R29" s="20" t="n">
        <v>0.33070974</v>
      </c>
      <c r="S29" s="18" t="n">
        <v>0</v>
      </c>
      <c r="T29" s="20" t="n">
        <v>0</v>
      </c>
      <c r="U29" s="18" t="n">
        <v>0</v>
      </c>
      <c r="V29" s="20" t="n">
        <v>0</v>
      </c>
      <c r="W29" s="18" t="n">
        <v>4.5618679</v>
      </c>
      <c r="X29" s="20" t="n">
        <v>1.28181868</v>
      </c>
    </row>
    <row r="30" spans="1:24">
      <c r="A30" s="15" t="s">
        <v>588</v>
      </c>
      <c r="B30" s="17" t="n">
        <v>2257</v>
      </c>
      <c r="C30" s="18">
        <f>(2010.0/B30*100)</f>
        <v/>
      </c>
      <c r="D30" s="19" t="n">
        <v>247</v>
      </c>
      <c r="E30" s="18" t="n">
        <v>10.77369454</v>
      </c>
      <c r="F30" s="20" t="n">
        <v>2.02700392</v>
      </c>
      <c r="G30" s="18" t="n">
        <v>7.51631867</v>
      </c>
      <c r="H30" s="20" t="n">
        <v>1.61518698</v>
      </c>
      <c r="I30" s="18" t="n">
        <v>12.80045757</v>
      </c>
      <c r="J30" s="20" t="n">
        <v>2.04617101</v>
      </c>
      <c r="K30" s="18" t="n">
        <v>36.92028046</v>
      </c>
      <c r="L30" s="20" t="n">
        <v>3.56702169</v>
      </c>
      <c r="M30" s="18" t="n">
        <v>24.17602945</v>
      </c>
      <c r="N30" s="20" t="n">
        <v>2.73561029</v>
      </c>
      <c r="O30" s="18" t="n">
        <v>0</v>
      </c>
      <c r="P30" s="20" t="n">
        <v>0</v>
      </c>
      <c r="Q30" s="18" t="n">
        <v>0</v>
      </c>
      <c r="R30" s="20" t="n">
        <v>0</v>
      </c>
      <c r="S30" s="18" t="n">
        <v>0</v>
      </c>
      <c r="T30" s="20" t="n">
        <v>0</v>
      </c>
      <c r="U30" s="18" t="n">
        <v>0</v>
      </c>
      <c r="V30" s="20" t="n">
        <v>0</v>
      </c>
      <c r="W30" s="18" t="n">
        <v>7.81321932</v>
      </c>
      <c r="X30" s="20" t="n">
        <v>1.63425798</v>
      </c>
    </row>
    <row r="31" spans="1:24">
      <c r="A31" s="15" t="s">
        <v>589</v>
      </c>
      <c r="B31" s="17" t="n">
        <v>2706</v>
      </c>
      <c r="C31" s="18">
        <f>(2413.0/B31*100)</f>
        <v/>
      </c>
      <c r="D31" s="19" t="n">
        <v>293</v>
      </c>
      <c r="E31" s="18" t="n">
        <v>17.24736326</v>
      </c>
      <c r="F31" s="20" t="n">
        <v>2.2875944</v>
      </c>
      <c r="G31" s="18" t="n">
        <v>7.91617919</v>
      </c>
      <c r="H31" s="20" t="n">
        <v>1.8108506</v>
      </c>
      <c r="I31" s="18" t="n">
        <v>11.50446078</v>
      </c>
      <c r="J31" s="20" t="n">
        <v>1.55038951</v>
      </c>
      <c r="K31" s="18" t="n">
        <v>29.7259372</v>
      </c>
      <c r="L31" s="20" t="n">
        <v>2.45064021</v>
      </c>
      <c r="M31" s="18" t="n">
        <v>20.23057533</v>
      </c>
      <c r="N31" s="20" t="n">
        <v>2.12322111</v>
      </c>
      <c r="O31" s="18" t="n">
        <v>0</v>
      </c>
      <c r="P31" s="20" t="n">
        <v>0</v>
      </c>
      <c r="Q31" s="18" t="n">
        <v>0.33478789</v>
      </c>
      <c r="R31" s="20" t="n">
        <v>0.30219483</v>
      </c>
      <c r="S31" s="18" t="n">
        <v>0</v>
      </c>
      <c r="T31" s="20" t="n">
        <v>0</v>
      </c>
      <c r="U31" s="18" t="n">
        <v>0</v>
      </c>
      <c r="V31" s="20" t="n">
        <v>0</v>
      </c>
      <c r="W31" s="18" t="n">
        <v>13.04069635</v>
      </c>
      <c r="X31" s="20" t="n">
        <v>2.11367646</v>
      </c>
    </row>
    <row r="32" spans="1:24">
      <c r="A32" s="15" t="s">
        <v>590</v>
      </c>
      <c r="B32" s="17" t="n">
        <v>2209</v>
      </c>
      <c r="C32" s="18">
        <f>(1966.0/B32*100)</f>
        <v/>
      </c>
      <c r="D32" s="19" t="n">
        <v>243</v>
      </c>
      <c r="E32" s="18" t="n">
        <v>4.20766402</v>
      </c>
      <c r="F32" s="20" t="n">
        <v>1.28467607</v>
      </c>
      <c r="G32" s="18" t="n">
        <v>9.51129214</v>
      </c>
      <c r="H32" s="20" t="n">
        <v>1.95710967</v>
      </c>
      <c r="I32" s="18" t="n">
        <v>11.9597141</v>
      </c>
      <c r="J32" s="20" t="n">
        <v>2.04999145</v>
      </c>
      <c r="K32" s="18" t="n">
        <v>58.41629593</v>
      </c>
      <c r="L32" s="20" t="n">
        <v>2.8867668</v>
      </c>
      <c r="M32" s="18" t="n">
        <v>9.20386686</v>
      </c>
      <c r="N32" s="20" t="n">
        <v>1.88133668</v>
      </c>
      <c r="O32" s="18" t="n">
        <v>0</v>
      </c>
      <c r="P32" s="20" t="n">
        <v>0</v>
      </c>
      <c r="Q32" s="18" t="n">
        <v>0</v>
      </c>
      <c r="R32" s="20" t="n">
        <v>0</v>
      </c>
      <c r="S32" s="18" t="n">
        <v>0</v>
      </c>
      <c r="T32" s="20" t="n">
        <v>0</v>
      </c>
      <c r="U32" s="18" t="n">
        <v>0</v>
      </c>
      <c r="V32" s="20" t="n">
        <v>0</v>
      </c>
      <c r="W32" s="18" t="n">
        <v>6.70116695</v>
      </c>
      <c r="X32" s="20" t="n">
        <v>1.76150501</v>
      </c>
    </row>
    <row r="33" spans="1:24">
      <c r="A33" s="15" t="s">
        <v>591</v>
      </c>
      <c r="B33" s="17" t="n">
        <v>3651</v>
      </c>
      <c r="C33" s="18">
        <f>(3245.0/B33*100)</f>
        <v/>
      </c>
      <c r="D33" s="19" t="n">
        <v>406</v>
      </c>
      <c r="E33" s="18" t="n">
        <v>14.52527569</v>
      </c>
      <c r="F33" s="20" t="n">
        <v>1.93648234</v>
      </c>
      <c r="G33" s="18" t="n">
        <v>10.94061359</v>
      </c>
      <c r="H33" s="20" t="n">
        <v>1.81030891</v>
      </c>
      <c r="I33" s="18" t="n">
        <v>20.54268124</v>
      </c>
      <c r="J33" s="20" t="n">
        <v>2.46190989</v>
      </c>
      <c r="K33" s="18" t="n">
        <v>28.64100087</v>
      </c>
      <c r="L33" s="20" t="n">
        <v>3.00658832</v>
      </c>
      <c r="M33" s="18" t="n">
        <v>15.07772241</v>
      </c>
      <c r="N33" s="20" t="n">
        <v>2.12406792</v>
      </c>
      <c r="O33" s="18" t="n">
        <v>0</v>
      </c>
      <c r="P33" s="20" t="n">
        <v>0</v>
      </c>
      <c r="Q33" s="18" t="n">
        <v>0</v>
      </c>
      <c r="R33" s="20" t="n">
        <v>0</v>
      </c>
      <c r="S33" s="18" t="n">
        <v>0.42882604</v>
      </c>
      <c r="T33" s="20" t="n">
        <v>0.4790649</v>
      </c>
      <c r="U33" s="18" t="n">
        <v>0</v>
      </c>
      <c r="V33" s="20" t="n">
        <v>0</v>
      </c>
      <c r="W33" s="18" t="n">
        <v>9.843880159999999</v>
      </c>
      <c r="X33" s="20" t="n">
        <v>1.53950408</v>
      </c>
    </row>
    <row r="34" spans="1:24">
      <c r="A34" s="15" t="s">
        <v>592</v>
      </c>
      <c r="B34" s="17" t="n">
        <v>3035</v>
      </c>
      <c r="C34" s="18">
        <f>(2723.0/B34*100)</f>
        <v/>
      </c>
      <c r="D34" s="19" t="n">
        <v>312</v>
      </c>
      <c r="E34" s="18" t="n">
        <v>11.15244746</v>
      </c>
      <c r="F34" s="20" t="n">
        <v>2.34915128</v>
      </c>
      <c r="G34" s="18" t="n">
        <v>6.2276926</v>
      </c>
      <c r="H34" s="20" t="n">
        <v>1.32653892</v>
      </c>
      <c r="I34" s="18" t="n">
        <v>21.86088086</v>
      </c>
      <c r="J34" s="20" t="n">
        <v>2.79082915</v>
      </c>
      <c r="K34" s="18" t="n">
        <v>29.78850671</v>
      </c>
      <c r="L34" s="20" t="n">
        <v>3.09312131</v>
      </c>
      <c r="M34" s="18" t="n">
        <v>16.47207009</v>
      </c>
      <c r="N34" s="20" t="n">
        <v>2.37844946</v>
      </c>
      <c r="O34" s="18" t="n">
        <v>0</v>
      </c>
      <c r="P34" s="20" t="n">
        <v>0</v>
      </c>
      <c r="Q34" s="18" t="n">
        <v>0.43699661</v>
      </c>
      <c r="R34" s="20" t="n">
        <v>0.24521887</v>
      </c>
      <c r="S34" s="18" t="n">
        <v>0</v>
      </c>
      <c r="T34" s="20" t="n">
        <v>0</v>
      </c>
      <c r="U34" s="18" t="n">
        <v>0</v>
      </c>
      <c r="V34" s="20" t="n">
        <v>0</v>
      </c>
      <c r="W34" s="18" t="n">
        <v>14.06140567</v>
      </c>
      <c r="X34" s="20" t="n">
        <v>2.0487603</v>
      </c>
    </row>
    <row r="35" spans="1:24">
      <c r="A35" s="15" t="s">
        <v>593</v>
      </c>
      <c r="B35" s="17" t="n">
        <v>2901</v>
      </c>
      <c r="C35" s="18">
        <f>(2576.0/B35*100)</f>
        <v/>
      </c>
      <c r="D35" s="19" t="n">
        <v>325</v>
      </c>
      <c r="E35" s="18" t="n">
        <v>9.725825029999999</v>
      </c>
      <c r="F35" s="20" t="n">
        <v>1.61969404</v>
      </c>
      <c r="G35" s="18" t="n">
        <v>11.46204839</v>
      </c>
      <c r="H35" s="20" t="n">
        <v>2.57070484</v>
      </c>
      <c r="I35" s="18" t="n">
        <v>10.34842179</v>
      </c>
      <c r="J35" s="20" t="n">
        <v>1.84695406</v>
      </c>
      <c r="K35" s="18" t="n">
        <v>46.03968487</v>
      </c>
      <c r="L35" s="20" t="n">
        <v>3.04550554</v>
      </c>
      <c r="M35" s="18" t="n">
        <v>13.81845131</v>
      </c>
      <c r="N35" s="20" t="n">
        <v>2.38703911</v>
      </c>
      <c r="O35" s="18" t="n">
        <v>0</v>
      </c>
      <c r="P35" s="20" t="n">
        <v>0</v>
      </c>
      <c r="Q35" s="18" t="n">
        <v>0</v>
      </c>
      <c r="R35" s="20" t="n">
        <v>0</v>
      </c>
      <c r="S35" s="18" t="n">
        <v>0</v>
      </c>
      <c r="T35" s="20" t="n">
        <v>0</v>
      </c>
      <c r="U35" s="18" t="n">
        <v>0</v>
      </c>
      <c r="V35" s="20" t="n">
        <v>0</v>
      </c>
      <c r="W35" s="18" t="n">
        <v>8.60556862</v>
      </c>
      <c r="X35" s="20" t="n">
        <v>1.87639694</v>
      </c>
    </row>
    <row r="36" spans="1:24">
      <c r="A36" s="15" t="s">
        <v>594</v>
      </c>
      <c r="B36" s="17" t="n">
        <v>3404</v>
      </c>
      <c r="C36" s="18">
        <f>(3033.0/B36*100)</f>
        <v/>
      </c>
      <c r="D36" s="19" t="n">
        <v>371</v>
      </c>
      <c r="E36" s="18" t="n">
        <v>12.40271328</v>
      </c>
      <c r="F36" s="20" t="n">
        <v>1.92877047</v>
      </c>
      <c r="G36" s="18" t="n">
        <v>16.25991297</v>
      </c>
      <c r="H36" s="20" t="n">
        <v>1.92557549</v>
      </c>
      <c r="I36" s="18" t="n">
        <v>21.91843276</v>
      </c>
      <c r="J36" s="20" t="n">
        <v>2.27807591</v>
      </c>
      <c r="K36" s="18" t="n">
        <v>27.37577851</v>
      </c>
      <c r="L36" s="20" t="n">
        <v>2.30367695</v>
      </c>
      <c r="M36" s="18" t="n">
        <v>12.80007471</v>
      </c>
      <c r="N36" s="20" t="n">
        <v>1.93061847</v>
      </c>
      <c r="O36" s="18" t="n">
        <v>0</v>
      </c>
      <c r="P36" s="20" t="n">
        <v>0</v>
      </c>
      <c r="Q36" s="18" t="n">
        <v>0</v>
      </c>
      <c r="R36" s="20" t="n">
        <v>0</v>
      </c>
      <c r="S36" s="18" t="n">
        <v>0</v>
      </c>
      <c r="T36" s="20" t="n">
        <v>0</v>
      </c>
      <c r="U36" s="18" t="n">
        <v>0</v>
      </c>
      <c r="V36" s="20" t="n">
        <v>0</v>
      </c>
      <c r="W36" s="18" t="n">
        <v>9.243087770000001</v>
      </c>
      <c r="X36" s="20" t="n">
        <v>1.70363469</v>
      </c>
    </row>
    <row r="37" spans="1:24">
      <c r="A37" s="15" t="s">
        <v>595</v>
      </c>
      <c r="B37" s="17" t="n">
        <v>2731</v>
      </c>
      <c r="C37" s="18">
        <f>(2433.0/B37*100)</f>
        <v/>
      </c>
      <c r="D37" s="19" t="n">
        <v>298</v>
      </c>
      <c r="E37" s="18" t="n">
        <v>12.04568813</v>
      </c>
      <c r="F37" s="20" t="n">
        <v>1.85209184</v>
      </c>
      <c r="G37" s="18" t="n">
        <v>8.88061111</v>
      </c>
      <c r="H37" s="20" t="n">
        <v>1.66074725</v>
      </c>
      <c r="I37" s="18" t="n">
        <v>12.57620821</v>
      </c>
      <c r="J37" s="20" t="n">
        <v>1.91634888</v>
      </c>
      <c r="K37" s="18" t="n">
        <v>36.77762145</v>
      </c>
      <c r="L37" s="20" t="n">
        <v>2.72562737</v>
      </c>
      <c r="M37" s="18" t="n">
        <v>15.99964047</v>
      </c>
      <c r="N37" s="20" t="n">
        <v>2.28004415</v>
      </c>
      <c r="O37" s="18" t="n">
        <v>0</v>
      </c>
      <c r="P37" s="20" t="n">
        <v>0</v>
      </c>
      <c r="Q37" s="18" t="n">
        <v>0</v>
      </c>
      <c r="R37" s="20" t="n">
        <v>0</v>
      </c>
      <c r="S37" s="18" t="n">
        <v>0</v>
      </c>
      <c r="T37" s="20" t="n">
        <v>0</v>
      </c>
      <c r="U37" s="18" t="n">
        <v>0</v>
      </c>
      <c r="V37" s="20" t="n">
        <v>0</v>
      </c>
      <c r="W37" s="18" t="n">
        <v>13.72023063</v>
      </c>
      <c r="X37" s="20" t="n">
        <v>2.09485055</v>
      </c>
    </row>
    <row r="38" spans="1:24">
      <c r="A38" s="15" t="s">
        <v>596</v>
      </c>
      <c r="B38" s="17" t="n">
        <v>2807</v>
      </c>
      <c r="C38" s="18">
        <f>(2509.0/B38*100)</f>
        <v/>
      </c>
      <c r="D38" s="19" t="n">
        <v>298</v>
      </c>
      <c r="E38" s="18" t="n">
        <v>12.07142482</v>
      </c>
      <c r="F38" s="20" t="n">
        <v>2.16327704</v>
      </c>
      <c r="G38" s="18" t="n">
        <v>5.48604178</v>
      </c>
      <c r="H38" s="20" t="n">
        <v>1.8833678</v>
      </c>
      <c r="I38" s="18" t="n">
        <v>12.23078138</v>
      </c>
      <c r="J38" s="20" t="n">
        <v>2.02870735</v>
      </c>
      <c r="K38" s="18" t="n">
        <v>40.21474768</v>
      </c>
      <c r="L38" s="20" t="n">
        <v>3.14824133</v>
      </c>
      <c r="M38" s="18" t="n">
        <v>14.81642752</v>
      </c>
      <c r="N38" s="20" t="n">
        <v>2.06745553</v>
      </c>
      <c r="O38" s="18" t="n">
        <v>0</v>
      </c>
      <c r="P38" s="20" t="n">
        <v>0</v>
      </c>
      <c r="Q38" s="18" t="n">
        <v>0.27885979</v>
      </c>
      <c r="R38" s="20" t="n">
        <v>0.28005581</v>
      </c>
      <c r="S38" s="18" t="n">
        <v>4.33010861</v>
      </c>
      <c r="T38" s="20" t="n">
        <v>1.40542492</v>
      </c>
      <c r="U38" s="18" t="n">
        <v>0</v>
      </c>
      <c r="V38" s="20" t="n">
        <v>0</v>
      </c>
      <c r="W38" s="18" t="n">
        <v>10.57160843</v>
      </c>
      <c r="X38" s="20" t="n">
        <v>1.97714717</v>
      </c>
    </row>
    <row r="39" spans="1:24">
      <c r="A39" s="15" t="s">
        <v>597</v>
      </c>
      <c r="B39" s="17" t="n">
        <v>2938</v>
      </c>
      <c r="C39" s="18">
        <f>(2613.0/B39*100)</f>
        <v/>
      </c>
      <c r="D39" s="19" t="n">
        <v>325</v>
      </c>
      <c r="E39" s="18" t="n">
        <v>16.63371176</v>
      </c>
      <c r="F39" s="20" t="n">
        <v>2.11155393</v>
      </c>
      <c r="G39" s="18" t="n">
        <v>11.1456516</v>
      </c>
      <c r="H39" s="20" t="n">
        <v>1.62350146</v>
      </c>
      <c r="I39" s="18" t="n">
        <v>41.04186138</v>
      </c>
      <c r="J39" s="20" t="n">
        <v>2.79123336</v>
      </c>
      <c r="K39" s="18" t="n">
        <v>6.96177201</v>
      </c>
      <c r="L39" s="20" t="n">
        <v>1.97053436</v>
      </c>
      <c r="M39" s="18" t="n">
        <v>13.79828146</v>
      </c>
      <c r="N39" s="20" t="n">
        <v>2.00813048</v>
      </c>
      <c r="O39" s="18" t="n">
        <v>0</v>
      </c>
      <c r="P39" s="20" t="n">
        <v>0</v>
      </c>
      <c r="Q39" s="18" t="n">
        <v>0</v>
      </c>
      <c r="R39" s="20" t="n">
        <v>0</v>
      </c>
      <c r="S39" s="18" t="n">
        <v>0</v>
      </c>
      <c r="T39" s="20" t="n">
        <v>0</v>
      </c>
      <c r="U39" s="18" t="n">
        <v>0</v>
      </c>
      <c r="V39" s="20" t="n">
        <v>0</v>
      </c>
      <c r="W39" s="18" t="n">
        <v>10.41872179</v>
      </c>
      <c r="X39" s="20" t="n">
        <v>1.50461911</v>
      </c>
    </row>
    <row r="40" spans="1:24">
      <c r="A40" s="15" t="s">
        <v>598</v>
      </c>
      <c r="B40" s="17" t="n">
        <v>6922</v>
      </c>
      <c r="C40" s="18">
        <f>(6187.0/B40*100)</f>
        <v/>
      </c>
      <c r="D40" s="19" t="n">
        <v>735</v>
      </c>
      <c r="E40" s="18" t="n">
        <v>7.02339697</v>
      </c>
      <c r="F40" s="20" t="n">
        <v>1.40473424</v>
      </c>
      <c r="G40" s="18" t="n">
        <v>14.79465195</v>
      </c>
      <c r="H40" s="20" t="n">
        <v>1.89747277</v>
      </c>
      <c r="I40" s="18" t="n">
        <v>18.49751915</v>
      </c>
      <c r="J40" s="20" t="n">
        <v>2.14278405</v>
      </c>
      <c r="K40" s="18" t="n">
        <v>33.55785343</v>
      </c>
      <c r="L40" s="20" t="n">
        <v>2.43751839</v>
      </c>
      <c r="M40" s="18" t="n">
        <v>19.76652323</v>
      </c>
      <c r="N40" s="20" t="n">
        <v>2.11091533</v>
      </c>
      <c r="O40" s="18" t="n">
        <v>0</v>
      </c>
      <c r="P40" s="20" t="n">
        <v>0</v>
      </c>
      <c r="Q40" s="18" t="n">
        <v>0.02902472</v>
      </c>
      <c r="R40" s="20" t="n">
        <v>0.04035762</v>
      </c>
      <c r="S40" s="18" t="n">
        <v>0</v>
      </c>
      <c r="T40" s="20" t="n">
        <v>0</v>
      </c>
      <c r="U40" s="18" t="n">
        <v>0</v>
      </c>
      <c r="V40" s="20" t="n">
        <v>0</v>
      </c>
      <c r="W40" s="18" t="n">
        <v>6.33103056</v>
      </c>
      <c r="X40" s="20" t="n">
        <v>1.23465177</v>
      </c>
    </row>
    <row r="41" spans="1:24">
      <c r="A41" s="15" t="s">
        <v>599</v>
      </c>
      <c r="B41" s="17" t="n">
        <v>2854</v>
      </c>
      <c r="C41" s="18">
        <f>(2546.0/B41*100)</f>
        <v/>
      </c>
      <c r="D41" s="19" t="n">
        <v>308</v>
      </c>
      <c r="E41" s="18" t="n">
        <v>17.82861858</v>
      </c>
      <c r="F41" s="20" t="n">
        <v>2.29659635</v>
      </c>
      <c r="G41" s="18" t="n">
        <v>12.84597431</v>
      </c>
      <c r="H41" s="20" t="n">
        <v>1.96612762</v>
      </c>
      <c r="I41" s="18" t="n">
        <v>19.88957443</v>
      </c>
      <c r="J41" s="20" t="n">
        <v>2.2784016</v>
      </c>
      <c r="K41" s="18" t="n">
        <v>30.75993862</v>
      </c>
      <c r="L41" s="20" t="n">
        <v>2.46265823</v>
      </c>
      <c r="M41" s="18" t="n">
        <v>17.47204962</v>
      </c>
      <c r="N41" s="20" t="n">
        <v>2.57108269</v>
      </c>
      <c r="O41" s="18" t="n">
        <v>0</v>
      </c>
      <c r="P41" s="20" t="n">
        <v>0</v>
      </c>
      <c r="Q41" s="18" t="n">
        <v>0</v>
      </c>
      <c r="R41" s="20" t="n">
        <v>0</v>
      </c>
      <c r="S41" s="18" t="n">
        <v>0</v>
      </c>
      <c r="T41" s="20" t="n">
        <v>0</v>
      </c>
      <c r="U41" s="18" t="n">
        <v>0</v>
      </c>
      <c r="V41" s="20" t="n">
        <v>0</v>
      </c>
      <c r="W41" s="18" t="n">
        <v>1.20384443</v>
      </c>
      <c r="X41" s="20" t="n">
        <v>0.60444232</v>
      </c>
    </row>
    <row r="42" spans="1:24">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c r="U44" s="18" t="s">
        <v>603</v>
      </c>
      <c r="V44" s="20" t="s">
        <v>603</v>
      </c>
      <c r="W44" s="18" t="s">
        <v>603</v>
      </c>
      <c r="X44" s="20" t="s">
        <v>603</v>
      </c>
    </row>
    <row r="45" spans="1:24">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c r="U45" s="18" t="s">
        <v>603</v>
      </c>
      <c r="V45" s="20" t="s">
        <v>603</v>
      </c>
      <c r="W45" s="18" t="s">
        <v>603</v>
      </c>
      <c r="X45" s="20" t="s">
        <v>603</v>
      </c>
    </row>
    <row r="46" spans="1:24">
      <c r="A46" s="15" t="s">
        <v>605</v>
      </c>
      <c r="B46" s="17" t="n">
        <v>12073</v>
      </c>
      <c r="C46" s="18">
        <f>(10907.0/B46*100)</f>
        <v/>
      </c>
      <c r="D46" s="19" t="n">
        <v>1166</v>
      </c>
      <c r="E46" s="18" t="n">
        <v>11.82473821</v>
      </c>
      <c r="F46" s="20" t="n">
        <v>1.17500923</v>
      </c>
      <c r="G46" s="18" t="n">
        <v>25.38156163</v>
      </c>
      <c r="H46" s="20" t="n">
        <v>1.64932879</v>
      </c>
      <c r="I46" s="18" t="n">
        <v>28.66458327</v>
      </c>
      <c r="J46" s="20" t="n">
        <v>1.62103553</v>
      </c>
      <c r="K46" s="18" t="n">
        <v>14.06623551</v>
      </c>
      <c r="L46" s="20" t="n">
        <v>1.49745214</v>
      </c>
      <c r="M46" s="18" t="n">
        <v>6.66409125</v>
      </c>
      <c r="N46" s="20" t="n">
        <v>0.96826004</v>
      </c>
      <c r="O46" s="18" t="n">
        <v>0</v>
      </c>
      <c r="P46" s="20" t="n">
        <v>0</v>
      </c>
      <c r="Q46" s="18" t="n">
        <v>0.17879461</v>
      </c>
      <c r="R46" s="20" t="n">
        <v>0.15176909</v>
      </c>
      <c r="S46" s="18" t="n">
        <v>0.27652095</v>
      </c>
      <c r="T46" s="20" t="n">
        <v>0.21186061</v>
      </c>
      <c r="U46" s="18" t="n">
        <v>0</v>
      </c>
      <c r="V46" s="20" t="n">
        <v>0</v>
      </c>
      <c r="W46" s="18" t="n">
        <v>12.94347456</v>
      </c>
      <c r="X46" s="20" t="n">
        <v>1.27995196</v>
      </c>
    </row>
    <row r="47" spans="1:24">
      <c r="A47" s="15" t="s">
        <v>606</v>
      </c>
      <c r="B47" s="17" t="n">
        <v>2823</v>
      </c>
      <c r="C47" s="18">
        <f>(2517.0/B47*100)</f>
        <v/>
      </c>
      <c r="D47" s="19" t="n">
        <v>306</v>
      </c>
      <c r="E47" s="18" t="n">
        <v>3.48027473</v>
      </c>
      <c r="F47" s="20" t="n">
        <v>1.09607052</v>
      </c>
      <c r="G47" s="18" t="n">
        <v>7.6666652</v>
      </c>
      <c r="H47" s="20" t="n">
        <v>1.63788143</v>
      </c>
      <c r="I47" s="18" t="n">
        <v>18.45927913</v>
      </c>
      <c r="J47" s="20" t="n">
        <v>2.01163613</v>
      </c>
      <c r="K47" s="18" t="n">
        <v>32.119563</v>
      </c>
      <c r="L47" s="20" t="n">
        <v>2.86666251</v>
      </c>
      <c r="M47" s="18" t="n">
        <v>17.0636852</v>
      </c>
      <c r="N47" s="20" t="n">
        <v>2.06157365</v>
      </c>
      <c r="O47" s="18" t="n">
        <v>0</v>
      </c>
      <c r="P47" s="20" t="n">
        <v>0</v>
      </c>
      <c r="Q47" s="18" t="n">
        <v>1.01263941</v>
      </c>
      <c r="R47" s="20" t="n">
        <v>0.6668414499999999</v>
      </c>
      <c r="S47" s="18" t="n">
        <v>0</v>
      </c>
      <c r="T47" s="20" t="n">
        <v>0</v>
      </c>
      <c r="U47" s="18" t="n">
        <v>0</v>
      </c>
      <c r="V47" s="20" t="n">
        <v>0</v>
      </c>
      <c r="W47" s="18" t="n">
        <v>20.19789333</v>
      </c>
      <c r="X47" s="20" t="n">
        <v>2.27470316</v>
      </c>
    </row>
    <row r="48" spans="1:24">
      <c r="A48" s="15" t="s">
        <v>607</v>
      </c>
      <c r="B48" s="17" t="n">
        <v>4682</v>
      </c>
      <c r="C48" s="18">
        <f>(4187.0/B48*100)</f>
        <v/>
      </c>
      <c r="D48" s="19" t="n">
        <v>495</v>
      </c>
      <c r="E48" s="18" t="n">
        <v>5.81274401</v>
      </c>
      <c r="F48" s="20" t="n">
        <v>1.27567654</v>
      </c>
      <c r="G48" s="18" t="n">
        <v>15.79032287</v>
      </c>
      <c r="H48" s="20" t="n">
        <v>2.08289076</v>
      </c>
      <c r="I48" s="18" t="n">
        <v>6.63805368</v>
      </c>
      <c r="J48" s="20" t="n">
        <v>1.26628727</v>
      </c>
      <c r="K48" s="18" t="n">
        <v>35.3392523</v>
      </c>
      <c r="L48" s="20" t="n">
        <v>2.96928551</v>
      </c>
      <c r="M48" s="18" t="n">
        <v>28.87418294</v>
      </c>
      <c r="N48" s="20" t="n">
        <v>2.04530331</v>
      </c>
      <c r="O48" s="18" t="n">
        <v>0</v>
      </c>
      <c r="P48" s="20" t="n">
        <v>0</v>
      </c>
      <c r="Q48" s="18" t="n">
        <v>0.31028493</v>
      </c>
      <c r="R48" s="20" t="n">
        <v>0.31436517</v>
      </c>
      <c r="S48" s="18" t="n">
        <v>0.06215171</v>
      </c>
      <c r="T48" s="20" t="n">
        <v>0.04741952</v>
      </c>
      <c r="U48" s="18" t="n">
        <v>0</v>
      </c>
      <c r="V48" s="20" t="n">
        <v>0</v>
      </c>
      <c r="W48" s="18" t="n">
        <v>7.17300757</v>
      </c>
      <c r="X48" s="20" t="n">
        <v>1.55556167</v>
      </c>
    </row>
    <row r="49" spans="1:24">
      <c r="A49" s="15" t="s">
        <v>608</v>
      </c>
      <c r="B49" s="17" t="n">
        <v>6158</v>
      </c>
      <c r="C49" s="18">
        <f>(5487.0/B49*100)</f>
        <v/>
      </c>
      <c r="D49" s="19" t="n">
        <v>671</v>
      </c>
      <c r="E49" s="18" t="n">
        <v>33.81855759</v>
      </c>
      <c r="F49" s="20" t="n">
        <v>2.28973978</v>
      </c>
      <c r="G49" s="18" t="n">
        <v>9.69404976</v>
      </c>
      <c r="H49" s="20" t="n">
        <v>1.24369704</v>
      </c>
      <c r="I49" s="18" t="n">
        <v>29.04425927</v>
      </c>
      <c r="J49" s="20" t="n">
        <v>2.43951044</v>
      </c>
      <c r="K49" s="18" t="n">
        <v>12.71183814</v>
      </c>
      <c r="L49" s="20" t="n">
        <v>1.53162864</v>
      </c>
      <c r="M49" s="18" t="n">
        <v>9.99098678</v>
      </c>
      <c r="N49" s="20" t="n">
        <v>1.22146152</v>
      </c>
      <c r="O49" s="18" t="n">
        <v>0</v>
      </c>
      <c r="P49" s="20" t="n">
        <v>0</v>
      </c>
      <c r="Q49" s="18" t="n">
        <v>0.31234895</v>
      </c>
      <c r="R49" s="20" t="n">
        <v>0.24120689</v>
      </c>
      <c r="S49" s="18" t="n">
        <v>0.16341271</v>
      </c>
      <c r="T49" s="20" t="n">
        <v>0.10642206</v>
      </c>
      <c r="U49" s="18" t="n">
        <v>0</v>
      </c>
      <c r="V49" s="20" t="n">
        <v>0</v>
      </c>
      <c r="W49" s="18" t="n">
        <v>4.26454679</v>
      </c>
      <c r="X49" s="20" t="n">
        <v>0.9870046099999999</v>
      </c>
    </row>
    <row r="50" spans="1:24">
      <c r="A50" s="15" t="s">
        <v>609</v>
      </c>
      <c r="B50" s="17" t="n">
        <v>3494</v>
      </c>
      <c r="C50" s="18">
        <f>(3158.0/B50*100)</f>
        <v/>
      </c>
      <c r="D50" s="19" t="n">
        <v>336</v>
      </c>
      <c r="E50" s="18" t="n">
        <v>35.83691093</v>
      </c>
      <c r="F50" s="20" t="n">
        <v>2.61844839</v>
      </c>
      <c r="G50" s="18" t="n">
        <v>10.138757</v>
      </c>
      <c r="H50" s="20" t="n">
        <v>1.59089418</v>
      </c>
      <c r="I50" s="18" t="n">
        <v>29.28840612</v>
      </c>
      <c r="J50" s="20" t="n">
        <v>2.67622811</v>
      </c>
      <c r="K50" s="18" t="n">
        <v>13.55174807</v>
      </c>
      <c r="L50" s="20" t="n">
        <v>2.20517292</v>
      </c>
      <c r="M50" s="18" t="n">
        <v>5.50053071</v>
      </c>
      <c r="N50" s="20" t="n">
        <v>1.25548882</v>
      </c>
      <c r="O50" s="18" t="n">
        <v>0</v>
      </c>
      <c r="P50" s="20" t="n">
        <v>0</v>
      </c>
      <c r="Q50" s="18" t="n">
        <v>0</v>
      </c>
      <c r="R50" s="20" t="n">
        <v>0</v>
      </c>
      <c r="S50" s="18" t="n">
        <v>0</v>
      </c>
      <c r="T50" s="20" t="n">
        <v>0</v>
      </c>
      <c r="U50" s="18" t="n">
        <v>0</v>
      </c>
      <c r="V50" s="20" t="n">
        <v>0</v>
      </c>
      <c r="W50" s="18" t="n">
        <v>5.68364716</v>
      </c>
      <c r="X50" s="20" t="n">
        <v>1.34643766</v>
      </c>
    </row>
    <row r="51" spans="1:24">
      <c r="A51" s="15" t="s">
        <v>610</v>
      </c>
      <c r="B51" s="17" t="n">
        <v>3013</v>
      </c>
      <c r="C51" s="18">
        <f>(2700.0/B51*100)</f>
        <v/>
      </c>
      <c r="D51" s="19" t="n">
        <v>313</v>
      </c>
      <c r="E51" s="18" t="n">
        <v>11.49355285</v>
      </c>
      <c r="F51" s="20" t="n">
        <v>1.80087933</v>
      </c>
      <c r="G51" s="18" t="n">
        <v>13.5372783</v>
      </c>
      <c r="H51" s="20" t="n">
        <v>2.01251251</v>
      </c>
      <c r="I51" s="18" t="n">
        <v>11.52223192</v>
      </c>
      <c r="J51" s="20" t="n">
        <v>1.9669083</v>
      </c>
      <c r="K51" s="18" t="n">
        <v>32.26578028</v>
      </c>
      <c r="L51" s="20" t="n">
        <v>3.21899609</v>
      </c>
      <c r="M51" s="18" t="n">
        <v>16.11306194</v>
      </c>
      <c r="N51" s="20" t="n">
        <v>2.02999176</v>
      </c>
      <c r="O51" s="18" t="n">
        <v>0</v>
      </c>
      <c r="P51" s="20" t="n">
        <v>0</v>
      </c>
      <c r="Q51" s="18" t="n">
        <v>0</v>
      </c>
      <c r="R51" s="20" t="n">
        <v>0</v>
      </c>
      <c r="S51" s="18" t="n">
        <v>0</v>
      </c>
      <c r="T51" s="20" t="n">
        <v>0</v>
      </c>
      <c r="U51" s="18" t="n">
        <v>0</v>
      </c>
      <c r="V51" s="20" t="n">
        <v>0</v>
      </c>
      <c r="W51" s="18" t="n">
        <v>15.06809472</v>
      </c>
      <c r="X51" s="20" t="n">
        <v>2.06287646</v>
      </c>
    </row>
    <row r="52" spans="1:24">
      <c r="A52" s="15" t="s">
        <v>611</v>
      </c>
      <c r="B52" s="17" t="n">
        <v>2760</v>
      </c>
      <c r="C52" s="18">
        <f>(2467.0/B52*100)</f>
        <v/>
      </c>
      <c r="D52" s="19" t="n">
        <v>293</v>
      </c>
      <c r="E52" s="18" t="n">
        <v>8.88394716</v>
      </c>
      <c r="F52" s="20" t="n">
        <v>1.63061597</v>
      </c>
      <c r="G52" s="18" t="n">
        <v>8.964582350000001</v>
      </c>
      <c r="H52" s="20" t="n">
        <v>1.92844366</v>
      </c>
      <c r="I52" s="18" t="n">
        <v>17.47710064</v>
      </c>
      <c r="J52" s="20" t="n">
        <v>2.26055282</v>
      </c>
      <c r="K52" s="18" t="n">
        <v>25.80669401</v>
      </c>
      <c r="L52" s="20" t="n">
        <v>2.88417695</v>
      </c>
      <c r="M52" s="18" t="n">
        <v>21.76838894</v>
      </c>
      <c r="N52" s="20" t="n">
        <v>2.45474732</v>
      </c>
      <c r="O52" s="18" t="n">
        <v>0</v>
      </c>
      <c r="P52" s="20" t="n">
        <v>0</v>
      </c>
      <c r="Q52" s="18" t="n">
        <v>0.28338245</v>
      </c>
      <c r="R52" s="20" t="n">
        <v>0.2844005</v>
      </c>
      <c r="S52" s="18" t="n">
        <v>0</v>
      </c>
      <c r="T52" s="20" t="n">
        <v>0</v>
      </c>
      <c r="U52" s="18" t="n">
        <v>0</v>
      </c>
      <c r="V52" s="20" t="n">
        <v>0</v>
      </c>
      <c r="W52" s="18" t="n">
        <v>16.81590445</v>
      </c>
      <c r="X52" s="20" t="n">
        <v>2.06032799</v>
      </c>
    </row>
    <row r="53" spans="1:24">
      <c r="A53" s="15" t="s">
        <v>612</v>
      </c>
      <c r="B53" s="17" t="n">
        <v>2474</v>
      </c>
      <c r="C53" s="18">
        <f>(2186.0/B53*100)</f>
        <v/>
      </c>
      <c r="D53" s="19" t="n">
        <v>288</v>
      </c>
      <c r="E53" s="18" t="n">
        <v>27.86630305</v>
      </c>
      <c r="F53" s="20" t="n">
        <v>2.72510533</v>
      </c>
      <c r="G53" s="18" t="n">
        <v>16.67761935</v>
      </c>
      <c r="H53" s="20" t="n">
        <v>2.32336296</v>
      </c>
      <c r="I53" s="18" t="n">
        <v>30.05295651</v>
      </c>
      <c r="J53" s="20" t="n">
        <v>2.65933808</v>
      </c>
      <c r="K53" s="18" t="n">
        <v>5.22530545</v>
      </c>
      <c r="L53" s="20" t="n">
        <v>1.52278834</v>
      </c>
      <c r="M53" s="18" t="n">
        <v>2.13911353</v>
      </c>
      <c r="N53" s="20" t="n">
        <v>0.97009999</v>
      </c>
      <c r="O53" s="18" t="n">
        <v>0</v>
      </c>
      <c r="P53" s="20" t="n">
        <v>0</v>
      </c>
      <c r="Q53" s="18" t="n">
        <v>7.21577642</v>
      </c>
      <c r="R53" s="20" t="n">
        <v>1.99214745</v>
      </c>
      <c r="S53" s="18" t="n">
        <v>0.38755419</v>
      </c>
      <c r="T53" s="20" t="n">
        <v>0.42095752</v>
      </c>
      <c r="U53" s="18" t="n">
        <v>0</v>
      </c>
      <c r="V53" s="20" t="n">
        <v>0</v>
      </c>
      <c r="W53" s="18" t="n">
        <v>10.4353715</v>
      </c>
      <c r="X53" s="20" t="n">
        <v>1.92571631</v>
      </c>
    </row>
    <row r="54" spans="1:24">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c r="U54" s="18" t="s">
        <v>603</v>
      </c>
      <c r="V54" s="20" t="s">
        <v>603</v>
      </c>
      <c r="W54" s="18" t="s">
        <v>603</v>
      </c>
      <c r="X54" s="20" t="s">
        <v>603</v>
      </c>
    </row>
    <row r="55" spans="1:24">
      <c r="A55" s="15" t="s">
        <v>614</v>
      </c>
      <c r="B55" s="17" t="n">
        <v>2675</v>
      </c>
      <c r="C55" s="18">
        <f>(2390.0/B55*100)</f>
        <v/>
      </c>
      <c r="D55" s="19" t="n">
        <v>285</v>
      </c>
      <c r="E55" s="18" t="n">
        <v>9.5377902</v>
      </c>
      <c r="F55" s="20" t="n">
        <v>2.026181</v>
      </c>
      <c r="G55" s="18" t="n">
        <v>6.72728543</v>
      </c>
      <c r="H55" s="20" t="n">
        <v>2.12584931</v>
      </c>
      <c r="I55" s="18" t="n">
        <v>5.97712997</v>
      </c>
      <c r="J55" s="20" t="n">
        <v>1.25198431</v>
      </c>
      <c r="K55" s="18" t="n">
        <v>56.78894918</v>
      </c>
      <c r="L55" s="20" t="n">
        <v>2.88248289</v>
      </c>
      <c r="M55" s="18" t="n">
        <v>17.44011136</v>
      </c>
      <c r="N55" s="20" t="n">
        <v>2.20345109</v>
      </c>
      <c r="O55" s="18" t="n">
        <v>0</v>
      </c>
      <c r="P55" s="20" t="n">
        <v>0</v>
      </c>
      <c r="Q55" s="18" t="n">
        <v>0</v>
      </c>
      <c r="R55" s="20" t="n">
        <v>0</v>
      </c>
      <c r="S55" s="18" t="n">
        <v>0.32358457</v>
      </c>
      <c r="T55" s="20" t="n">
        <v>0.32334322</v>
      </c>
      <c r="U55" s="18" t="n">
        <v>0</v>
      </c>
      <c r="V55" s="20" t="n">
        <v>0</v>
      </c>
      <c r="W55" s="18" t="n">
        <v>3.20514929</v>
      </c>
      <c r="X55" s="20" t="n">
        <v>0.98016125</v>
      </c>
    </row>
    <row r="56" spans="1:24">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c r="U56" s="18" t="s">
        <v>603</v>
      </c>
      <c r="V56" s="20" t="s">
        <v>603</v>
      </c>
      <c r="W56" s="18" t="s">
        <v>603</v>
      </c>
      <c r="X56" s="20" t="s">
        <v>603</v>
      </c>
    </row>
    <row r="57" spans="1:24">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c r="U57" s="18" t="s">
        <v>603</v>
      </c>
      <c r="V57" s="20" t="s">
        <v>603</v>
      </c>
      <c r="W57" s="18" t="s">
        <v>603</v>
      </c>
      <c r="X57" s="20" t="s">
        <v>603</v>
      </c>
    </row>
    <row r="58" spans="1:24">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c r="W58" s="21" t="s">
        <v>618</v>
      </c>
      <c r="X58" s="22" t="s">
        <v>618</v>
      </c>
    </row>
    <row r="59" spans="1:24">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c r="U59" s="18" t="s">
        <v>603</v>
      </c>
      <c r="V59" s="20" t="s">
        <v>603</v>
      </c>
      <c r="W59" s="18" t="s">
        <v>603</v>
      </c>
      <c r="X59" s="20" t="s">
        <v>603</v>
      </c>
    </row>
    <row r="60" spans="1:24">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c r="U60" s="18" t="s">
        <v>603</v>
      </c>
      <c r="V60" s="20" t="s">
        <v>603</v>
      </c>
      <c r="W60" s="18" t="s">
        <v>603</v>
      </c>
      <c r="X60" s="20" t="s">
        <v>603</v>
      </c>
    </row>
    <row r="61" spans="1:24">
      <c r="A61" s="15" t="s">
        <v>621</v>
      </c>
      <c r="B61" s="17" t="n">
        <v>3201</v>
      </c>
      <c r="C61" s="18">
        <f>(2840.0/B61*100)</f>
        <v/>
      </c>
      <c r="D61" s="19" t="n">
        <v>361</v>
      </c>
      <c r="E61" s="18" t="n">
        <v>6.26205784</v>
      </c>
      <c r="F61" s="20" t="n">
        <v>1.27417785</v>
      </c>
      <c r="G61" s="18" t="n">
        <v>24.37137988</v>
      </c>
      <c r="H61" s="20" t="n">
        <v>2.69516296</v>
      </c>
      <c r="I61" s="18" t="n">
        <v>15.70469599</v>
      </c>
      <c r="J61" s="20" t="n">
        <v>1.95570413</v>
      </c>
      <c r="K61" s="18" t="n">
        <v>37.95640476</v>
      </c>
      <c r="L61" s="20" t="n">
        <v>2.95248875</v>
      </c>
      <c r="M61" s="18" t="n">
        <v>7.98333267</v>
      </c>
      <c r="N61" s="20" t="n">
        <v>1.4349699</v>
      </c>
      <c r="O61" s="18" t="n">
        <v>0</v>
      </c>
      <c r="P61" s="20" t="n">
        <v>0</v>
      </c>
      <c r="Q61" s="18" t="n">
        <v>0</v>
      </c>
      <c r="R61" s="20" t="n">
        <v>0</v>
      </c>
      <c r="S61" s="18" t="n">
        <v>0</v>
      </c>
      <c r="T61" s="20" t="n">
        <v>0</v>
      </c>
      <c r="U61" s="18" t="n">
        <v>0</v>
      </c>
      <c r="V61" s="20" t="n">
        <v>0</v>
      </c>
      <c r="W61" s="18" t="n">
        <v>7.72212886</v>
      </c>
      <c r="X61" s="20" t="n">
        <v>1.33146248</v>
      </c>
    </row>
    <row r="62" spans="1:24">
      <c r="A62" s="15" t="s">
        <v>622</v>
      </c>
      <c r="B62" s="17" t="n">
        <v>2230</v>
      </c>
      <c r="C62" s="18">
        <f>(2003.0/B62*100)</f>
        <v/>
      </c>
      <c r="D62" s="19" t="n">
        <v>227</v>
      </c>
      <c r="E62" s="18" t="n">
        <v>15.04257533</v>
      </c>
      <c r="F62" s="20" t="n">
        <v>2.30026194</v>
      </c>
      <c r="G62" s="18" t="n">
        <v>25.12113732</v>
      </c>
      <c r="H62" s="20" t="n">
        <v>2.87966026</v>
      </c>
      <c r="I62" s="18" t="n">
        <v>11.06690886</v>
      </c>
      <c r="J62" s="20" t="n">
        <v>2.03196947</v>
      </c>
      <c r="K62" s="18" t="n">
        <v>20.62267898</v>
      </c>
      <c r="L62" s="20" t="n">
        <v>2.88678704</v>
      </c>
      <c r="M62" s="18" t="n">
        <v>28.14669951</v>
      </c>
      <c r="N62" s="20" t="n">
        <v>3.00037185</v>
      </c>
      <c r="O62" s="18" t="n">
        <v>0</v>
      </c>
      <c r="P62" s="20" t="n">
        <v>0</v>
      </c>
      <c r="Q62" s="18" t="n">
        <v>0</v>
      </c>
      <c r="R62" s="20" t="n">
        <v>0</v>
      </c>
      <c r="S62" s="18" t="n">
        <v>0</v>
      </c>
      <c r="T62" s="20" t="n">
        <v>0</v>
      </c>
      <c r="U62" s="18" t="n">
        <v>0</v>
      </c>
      <c r="V62" s="20" t="n">
        <v>0</v>
      </c>
      <c r="W62" s="18" t="n">
        <v>0</v>
      </c>
      <c r="X62" s="20" t="n">
        <v>0</v>
      </c>
    </row>
    <row r="63" spans="1:24">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c r="U63" s="18" t="s">
        <v>603</v>
      </c>
      <c r="V63" s="20" t="s">
        <v>603</v>
      </c>
      <c r="W63" s="18" t="s">
        <v>603</v>
      </c>
      <c r="X63" s="20" t="s">
        <v>603</v>
      </c>
    </row>
    <row r="64" spans="1:24">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c r="W64" s="21" t="s">
        <v>618</v>
      </c>
      <c r="X64" s="22" t="s">
        <v>618</v>
      </c>
    </row>
    <row r="65" spans="1:24">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c r="U65" s="18" t="s">
        <v>603</v>
      </c>
      <c r="V65" s="20" t="s">
        <v>603</v>
      </c>
      <c r="W65" s="18" t="s">
        <v>603</v>
      </c>
      <c r="X65" s="20" t="s">
        <v>603</v>
      </c>
    </row>
    <row r="66" spans="1:24">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c r="U66" s="18" t="s">
        <v>603</v>
      </c>
      <c r="V66" s="20" t="s">
        <v>603</v>
      </c>
      <c r="W66" s="18" t="s">
        <v>603</v>
      </c>
      <c r="X66" s="20" t="s">
        <v>603</v>
      </c>
    </row>
    <row r="67" spans="1:24">
      <c r="A67" s="15" t="s">
        <v>627</v>
      </c>
      <c r="B67" s="17" t="n">
        <v>2771</v>
      </c>
      <c r="C67" s="18">
        <f>(2459.0/B67*100)</f>
        <v/>
      </c>
      <c r="D67" s="19" t="n">
        <v>312</v>
      </c>
      <c r="E67" s="18" t="n">
        <v>8.67407772</v>
      </c>
      <c r="F67" s="20" t="n">
        <v>1.68641618</v>
      </c>
      <c r="G67" s="18" t="n">
        <v>6.41694509</v>
      </c>
      <c r="H67" s="20" t="n">
        <v>1.52753434</v>
      </c>
      <c r="I67" s="18" t="n">
        <v>10.68597469</v>
      </c>
      <c r="J67" s="20" t="n">
        <v>1.81703467</v>
      </c>
      <c r="K67" s="18" t="n">
        <v>14.0010712</v>
      </c>
      <c r="L67" s="20" t="n">
        <v>2.24068722</v>
      </c>
      <c r="M67" s="18" t="n">
        <v>34.91092473</v>
      </c>
      <c r="N67" s="20" t="n">
        <v>2.9592609</v>
      </c>
      <c r="O67" s="18" t="n">
        <v>0</v>
      </c>
      <c r="P67" s="20" t="n">
        <v>0</v>
      </c>
      <c r="Q67" s="18" t="n">
        <v>0.26678667</v>
      </c>
      <c r="R67" s="20" t="n">
        <v>0.26703323</v>
      </c>
      <c r="S67" s="18" t="n">
        <v>0.28489348</v>
      </c>
      <c r="T67" s="20" t="n">
        <v>0.28109081</v>
      </c>
      <c r="U67" s="18" t="n">
        <v>0</v>
      </c>
      <c r="V67" s="20" t="n">
        <v>0</v>
      </c>
      <c r="W67" s="18" t="n">
        <v>24.75932641</v>
      </c>
      <c r="X67" s="20" t="n">
        <v>2.47359734</v>
      </c>
    </row>
    <row r="68" spans="1:24">
      <c r="A68" s="15" t="s">
        <v>628</v>
      </c>
      <c r="B68" s="17" t="n">
        <v>3460</v>
      </c>
      <c r="C68" s="18">
        <f>(3091.0/B68*100)</f>
        <v/>
      </c>
      <c r="D68" s="19" t="n">
        <v>369</v>
      </c>
      <c r="E68" s="18" t="n">
        <v>22.75479503</v>
      </c>
      <c r="F68" s="20" t="n">
        <v>1.99035751</v>
      </c>
      <c r="G68" s="18" t="n">
        <v>13.16081176</v>
      </c>
      <c r="H68" s="20" t="n">
        <v>1.60913568</v>
      </c>
      <c r="I68" s="18" t="n">
        <v>39.37691144</v>
      </c>
      <c r="J68" s="20" t="n">
        <v>2.68785894</v>
      </c>
      <c r="K68" s="18" t="n">
        <v>17.07097524</v>
      </c>
      <c r="L68" s="20" t="n">
        <v>2.34701561</v>
      </c>
      <c r="M68" s="18" t="n">
        <v>2.99270544</v>
      </c>
      <c r="N68" s="20" t="n">
        <v>0.95824227</v>
      </c>
      <c r="O68" s="18" t="n">
        <v>0</v>
      </c>
      <c r="P68" s="20" t="n">
        <v>0</v>
      </c>
      <c r="Q68" s="18" t="n">
        <v>0</v>
      </c>
      <c r="R68" s="20" t="n">
        <v>0</v>
      </c>
      <c r="S68" s="18" t="n">
        <v>0.48682571</v>
      </c>
      <c r="T68" s="20" t="n">
        <v>0.44473369</v>
      </c>
      <c r="U68" s="18" t="n">
        <v>0</v>
      </c>
      <c r="V68" s="20" t="n">
        <v>0</v>
      </c>
      <c r="W68" s="18" t="n">
        <v>4.15697539</v>
      </c>
      <c r="X68" s="20" t="n">
        <v>1.0927601</v>
      </c>
    </row>
    <row r="69" spans="1:24">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c r="U69" s="18" t="s">
        <v>603</v>
      </c>
      <c r="V69" s="20" t="s">
        <v>603</v>
      </c>
      <c r="W69" s="18" t="s">
        <v>603</v>
      </c>
      <c r="X69" s="20" t="s">
        <v>603</v>
      </c>
    </row>
    <row r="70" spans="1:24">
      <c r="A70" s="15" t="s">
        <v>630</v>
      </c>
      <c r="B70" s="17" t="n">
        <v>6034</v>
      </c>
      <c r="C70" s="18">
        <f>(5342.0/B70*100)</f>
        <v/>
      </c>
      <c r="D70" s="19" t="n">
        <v>692</v>
      </c>
      <c r="E70" s="18" t="n">
        <v>10.58950664</v>
      </c>
      <c r="F70" s="20" t="n">
        <v>1.22536087</v>
      </c>
      <c r="G70" s="18" t="n">
        <v>7.22074644</v>
      </c>
      <c r="H70" s="20" t="n">
        <v>0.93717642</v>
      </c>
      <c r="I70" s="18" t="n">
        <v>31.37373337</v>
      </c>
      <c r="J70" s="20" t="n">
        <v>1.65468468</v>
      </c>
      <c r="K70" s="18" t="n">
        <v>20.31614366</v>
      </c>
      <c r="L70" s="20" t="n">
        <v>1.44978578</v>
      </c>
      <c r="M70" s="18" t="n">
        <v>23.77760149</v>
      </c>
      <c r="N70" s="20" t="n">
        <v>1.75375332</v>
      </c>
      <c r="O70" s="18" t="n">
        <v>0</v>
      </c>
      <c r="P70" s="20" t="n">
        <v>0</v>
      </c>
      <c r="Q70" s="18" t="n">
        <v>0.27605423</v>
      </c>
      <c r="R70" s="20" t="n">
        <v>0.19523476</v>
      </c>
      <c r="S70" s="18" t="n">
        <v>0.14052127</v>
      </c>
      <c r="T70" s="20" t="n">
        <v>0.14189439</v>
      </c>
      <c r="U70" s="18" t="n">
        <v>0</v>
      </c>
      <c r="V70" s="20" t="n">
        <v>0</v>
      </c>
      <c r="W70" s="18" t="n">
        <v>6.30569291</v>
      </c>
      <c r="X70" s="20" t="n">
        <v>0.82582323</v>
      </c>
    </row>
    <row r="71" spans="1:24">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c r="U71" s="18" t="s">
        <v>603</v>
      </c>
      <c r="V71" s="20" t="s">
        <v>603</v>
      </c>
      <c r="W71" s="18" t="s">
        <v>603</v>
      </c>
      <c r="X71" s="20" t="s">
        <v>603</v>
      </c>
    </row>
    <row r="72" spans="1:24">
      <c r="A72" s="15" t="s">
        <v>632</v>
      </c>
      <c r="B72" s="17" t="n">
        <v>3107</v>
      </c>
      <c r="C72" s="18">
        <f>(2794.0/B72*100)</f>
        <v/>
      </c>
      <c r="D72" s="19" t="n">
        <v>313</v>
      </c>
      <c r="E72" s="18" t="n">
        <v>8.680555910000001</v>
      </c>
      <c r="F72" s="20" t="n">
        <v>1.7467736</v>
      </c>
      <c r="G72" s="18" t="n">
        <v>10.91874474</v>
      </c>
      <c r="H72" s="20" t="n">
        <v>1.96391949</v>
      </c>
      <c r="I72" s="18" t="n">
        <v>15.81759375</v>
      </c>
      <c r="J72" s="20" t="n">
        <v>2.23034871</v>
      </c>
      <c r="K72" s="18" t="n">
        <v>40.09756185</v>
      </c>
      <c r="L72" s="20" t="n">
        <v>2.54260465</v>
      </c>
      <c r="M72" s="18" t="n">
        <v>16.92097059</v>
      </c>
      <c r="N72" s="20" t="n">
        <v>2.15086</v>
      </c>
      <c r="O72" s="18" t="n">
        <v>0</v>
      </c>
      <c r="P72" s="20" t="n">
        <v>0</v>
      </c>
      <c r="Q72" s="18" t="n">
        <v>0.25432761</v>
      </c>
      <c r="R72" s="20" t="n">
        <v>0.25474424</v>
      </c>
      <c r="S72" s="18" t="n">
        <v>0</v>
      </c>
      <c r="T72" s="20" t="n">
        <v>0</v>
      </c>
      <c r="U72" s="18" t="n">
        <v>0</v>
      </c>
      <c r="V72" s="20" t="n">
        <v>0</v>
      </c>
      <c r="W72" s="18" t="n">
        <v>7.31024554</v>
      </c>
      <c r="X72" s="20" t="n">
        <v>1.64684323</v>
      </c>
    </row>
    <row r="73" spans="1:24">
      <c r="A73" s="15" t="s">
        <v>633</v>
      </c>
      <c r="B73" s="17" t="n">
        <v>2973</v>
      </c>
      <c r="C73" s="18">
        <f>(2625.0/B73*100)</f>
        <v/>
      </c>
      <c r="D73" s="19" t="n">
        <v>348</v>
      </c>
      <c r="E73" s="18" t="n">
        <v>9.792907420000001</v>
      </c>
      <c r="F73" s="20" t="n">
        <v>1.57014698</v>
      </c>
      <c r="G73" s="18" t="n">
        <v>10.01652133</v>
      </c>
      <c r="H73" s="20" t="n">
        <v>1.72656225</v>
      </c>
      <c r="I73" s="18" t="n">
        <v>15.578688</v>
      </c>
      <c r="J73" s="20" t="n">
        <v>2.01647134</v>
      </c>
      <c r="K73" s="18" t="n">
        <v>39.86275854</v>
      </c>
      <c r="L73" s="20" t="n">
        <v>2.64180905</v>
      </c>
      <c r="M73" s="18" t="n">
        <v>23.19200093</v>
      </c>
      <c r="N73" s="20" t="n">
        <v>2.46643376</v>
      </c>
      <c r="O73" s="18" t="n">
        <v>0</v>
      </c>
      <c r="P73" s="20" t="n">
        <v>0</v>
      </c>
      <c r="Q73" s="18" t="n">
        <v>0.46019326</v>
      </c>
      <c r="R73" s="20" t="n">
        <v>0.43957505</v>
      </c>
      <c r="S73" s="18" t="n">
        <v>0</v>
      </c>
      <c r="T73" s="20" t="n">
        <v>0</v>
      </c>
      <c r="U73" s="18" t="n">
        <v>0</v>
      </c>
      <c r="V73" s="20" t="n">
        <v>0</v>
      </c>
      <c r="W73" s="18" t="n">
        <v>1.09693052</v>
      </c>
      <c r="X73" s="20" t="n">
        <v>0.55695345</v>
      </c>
    </row>
    <row r="74" spans="1:24">
      <c r="A74" s="15" t="s">
        <v>634</v>
      </c>
      <c r="B74" s="17" t="n">
        <v>3819</v>
      </c>
      <c r="C74" s="18">
        <f>(3416.0/B74*100)</f>
        <v/>
      </c>
      <c r="D74" s="19" t="n">
        <v>403</v>
      </c>
      <c r="E74" s="18" t="n">
        <v>16.43681624</v>
      </c>
      <c r="F74" s="20" t="n">
        <v>1.75038692</v>
      </c>
      <c r="G74" s="18" t="n">
        <v>5.61642383</v>
      </c>
      <c r="H74" s="20" t="n">
        <v>1.04250685</v>
      </c>
      <c r="I74" s="18" t="n">
        <v>12.42649381</v>
      </c>
      <c r="J74" s="20" t="n">
        <v>1.58875219</v>
      </c>
      <c r="K74" s="18" t="n">
        <v>28.81271199</v>
      </c>
      <c r="L74" s="20" t="n">
        <v>2.14030442</v>
      </c>
      <c r="M74" s="18" t="n">
        <v>28.38317675</v>
      </c>
      <c r="N74" s="20" t="n">
        <v>2.21591964</v>
      </c>
      <c r="O74" s="18" t="n">
        <v>0</v>
      </c>
      <c r="P74" s="20" t="n">
        <v>0</v>
      </c>
      <c r="Q74" s="18" t="n">
        <v>0</v>
      </c>
      <c r="R74" s="20" t="n">
        <v>0</v>
      </c>
      <c r="S74" s="18" t="n">
        <v>0</v>
      </c>
      <c r="T74" s="20" t="n">
        <v>0</v>
      </c>
      <c r="U74" s="18" t="n">
        <v>0</v>
      </c>
      <c r="V74" s="20" t="n">
        <v>0</v>
      </c>
      <c r="W74" s="18" t="n">
        <v>8.32437738</v>
      </c>
      <c r="X74" s="20" t="n">
        <v>1.49943533</v>
      </c>
    </row>
    <row r="75" spans="1:24">
      <c r="A75" s="15" t="s">
        <v>635</v>
      </c>
      <c r="B75" s="17" t="n">
        <v>4652</v>
      </c>
      <c r="C75" s="18">
        <f>(4147.0/B75*100)</f>
        <v/>
      </c>
      <c r="D75" s="19" t="n">
        <v>505</v>
      </c>
      <c r="E75" s="18" t="n">
        <v>26.08841904</v>
      </c>
      <c r="F75" s="20" t="n">
        <v>2.87535654</v>
      </c>
      <c r="G75" s="18" t="n">
        <v>7.31734917</v>
      </c>
      <c r="H75" s="20" t="n">
        <v>1.36321335</v>
      </c>
      <c r="I75" s="18" t="n">
        <v>36.58833493</v>
      </c>
      <c r="J75" s="20" t="n">
        <v>2.49205409</v>
      </c>
      <c r="K75" s="18" t="n">
        <v>18.08346044</v>
      </c>
      <c r="L75" s="20" t="n">
        <v>2.05547057</v>
      </c>
      <c r="M75" s="18" t="n">
        <v>10.5302436</v>
      </c>
      <c r="N75" s="20" t="n">
        <v>1.61738664</v>
      </c>
      <c r="O75" s="18" t="n">
        <v>0</v>
      </c>
      <c r="P75" s="20" t="n">
        <v>0</v>
      </c>
      <c r="Q75" s="18" t="n">
        <v>0</v>
      </c>
      <c r="R75" s="20" t="n">
        <v>0</v>
      </c>
      <c r="S75" s="18" t="n">
        <v>0.2781007</v>
      </c>
      <c r="T75" s="20" t="n">
        <v>0.27776673</v>
      </c>
      <c r="U75" s="18" t="n">
        <v>0</v>
      </c>
      <c r="V75" s="20" t="n">
        <v>0</v>
      </c>
      <c r="W75" s="18" t="n">
        <v>1.11409211</v>
      </c>
      <c r="X75" s="20" t="n">
        <v>0.49158309</v>
      </c>
    </row>
    <row r="76" spans="1:24">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c r="U76" s="18" t="s">
        <v>603</v>
      </c>
      <c r="V76" s="20" t="s">
        <v>603</v>
      </c>
      <c r="W76" s="18" t="s">
        <v>603</v>
      </c>
      <c r="X76" s="20" t="s">
        <v>603</v>
      </c>
    </row>
    <row r="77" spans="1:24">
      <c r="A77" s="15" t="s">
        <v>637</v>
      </c>
      <c r="B77" s="17" t="n">
        <v>2969</v>
      </c>
      <c r="C77" s="18">
        <f>(2668.0/B77*100)</f>
        <v/>
      </c>
      <c r="D77" s="19" t="n">
        <v>301</v>
      </c>
      <c r="E77" s="18" t="n">
        <v>11.17409387</v>
      </c>
      <c r="F77" s="20" t="n">
        <v>1.6172037</v>
      </c>
      <c r="G77" s="18" t="n">
        <v>3.84143713</v>
      </c>
      <c r="H77" s="20" t="n">
        <v>1.09636694</v>
      </c>
      <c r="I77" s="18" t="n">
        <v>37.32516959</v>
      </c>
      <c r="J77" s="20" t="n">
        <v>3.02258672</v>
      </c>
      <c r="K77" s="18" t="n">
        <v>8.69885414</v>
      </c>
      <c r="L77" s="20" t="n">
        <v>1.92536992</v>
      </c>
      <c r="M77" s="18" t="n">
        <v>10.4397583</v>
      </c>
      <c r="N77" s="20" t="n">
        <v>1.74749482</v>
      </c>
      <c r="O77" s="18" t="n">
        <v>0</v>
      </c>
      <c r="P77" s="20" t="n">
        <v>0</v>
      </c>
      <c r="Q77" s="18" t="n">
        <v>1.851778</v>
      </c>
      <c r="R77" s="20" t="n">
        <v>0.78258005</v>
      </c>
      <c r="S77" s="18" t="n">
        <v>1.04315987</v>
      </c>
      <c r="T77" s="20" t="n">
        <v>0.57665433</v>
      </c>
      <c r="U77" s="18" t="n">
        <v>0</v>
      </c>
      <c r="V77" s="20" t="n">
        <v>0</v>
      </c>
      <c r="W77" s="18" t="n">
        <v>25.6257491</v>
      </c>
      <c r="X77" s="20" t="n">
        <v>2.56591467</v>
      </c>
    </row>
    <row r="78" spans="1:24">
      <c r="A78" s="15" t="s">
        <v>638</v>
      </c>
      <c r="B78" s="17" t="n">
        <v>7115</v>
      </c>
      <c r="C78" s="18">
        <f>(6356.0/B78*100)</f>
        <v/>
      </c>
      <c r="D78" s="19" t="n">
        <v>759</v>
      </c>
      <c r="E78" s="18" t="n">
        <v>23.46509222</v>
      </c>
      <c r="F78" s="20" t="n">
        <v>2.00960451</v>
      </c>
      <c r="G78" s="18" t="n">
        <v>7.93874819</v>
      </c>
      <c r="H78" s="20" t="n">
        <v>1.31527631</v>
      </c>
      <c r="I78" s="18" t="n">
        <v>24.27172221</v>
      </c>
      <c r="J78" s="20" t="n">
        <v>2.14350042</v>
      </c>
      <c r="K78" s="18" t="n">
        <v>17.86525938</v>
      </c>
      <c r="L78" s="20" t="n">
        <v>1.74550056</v>
      </c>
      <c r="M78" s="18" t="n">
        <v>21.40458339</v>
      </c>
      <c r="N78" s="20" t="n">
        <v>2.16668548</v>
      </c>
      <c r="O78" s="18" t="n">
        <v>0</v>
      </c>
      <c r="P78" s="20" t="n">
        <v>0</v>
      </c>
      <c r="Q78" s="18" t="n">
        <v>0.52914477</v>
      </c>
      <c r="R78" s="20" t="n">
        <v>0.2955435</v>
      </c>
      <c r="S78" s="18" t="n">
        <v>0.35576479</v>
      </c>
      <c r="T78" s="20" t="n">
        <v>0.24847018</v>
      </c>
      <c r="U78" s="18" t="n">
        <v>0</v>
      </c>
      <c r="V78" s="20" t="n">
        <v>0</v>
      </c>
      <c r="W78" s="18" t="n">
        <v>4.16968506</v>
      </c>
      <c r="X78" s="20" t="n">
        <v>1.00450077</v>
      </c>
    </row>
    <row r="79" spans="1:24">
      <c r="A79" s="15" t="s">
        <v>639</v>
      </c>
      <c r="B79" s="17" t="n">
        <v>3154</v>
      </c>
      <c r="C79" s="18">
        <f>(2798.0/B79*100)</f>
        <v/>
      </c>
      <c r="D79" s="19" t="n">
        <v>356</v>
      </c>
      <c r="E79" s="18" t="n">
        <v>21.00392289</v>
      </c>
      <c r="F79" s="20" t="n">
        <v>2.09457815</v>
      </c>
      <c r="G79" s="18" t="n">
        <v>14.91774887</v>
      </c>
      <c r="H79" s="20" t="n">
        <v>1.8489292</v>
      </c>
      <c r="I79" s="18" t="n">
        <v>20.3408411</v>
      </c>
      <c r="J79" s="20" t="n">
        <v>2.28089785</v>
      </c>
      <c r="K79" s="18" t="n">
        <v>18.39557052</v>
      </c>
      <c r="L79" s="20" t="n">
        <v>2.0593231</v>
      </c>
      <c r="M79" s="18" t="n">
        <v>6.29418214</v>
      </c>
      <c r="N79" s="20" t="n">
        <v>1.27679304</v>
      </c>
      <c r="O79" s="18" t="n">
        <v>0</v>
      </c>
      <c r="P79" s="20" t="n">
        <v>0</v>
      </c>
      <c r="Q79" s="18" t="n">
        <v>0.26024087</v>
      </c>
      <c r="R79" s="20" t="n">
        <v>0.25894887</v>
      </c>
      <c r="S79" s="18" t="n">
        <v>0</v>
      </c>
      <c r="T79" s="20" t="n">
        <v>0</v>
      </c>
      <c r="U79" s="18" t="n">
        <v>0</v>
      </c>
      <c r="V79" s="20" t="n">
        <v>0</v>
      </c>
      <c r="W79" s="18" t="n">
        <v>18.7874936</v>
      </c>
      <c r="X79" s="20" t="n">
        <v>2.19190274</v>
      </c>
    </row>
    <row r="80" spans="1:24">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c r="U80" s="18" t="s">
        <v>603</v>
      </c>
      <c r="V80" s="20" t="s">
        <v>603</v>
      </c>
      <c r="W80" s="18" t="s">
        <v>603</v>
      </c>
      <c r="X80" s="20" t="s">
        <v>603</v>
      </c>
    </row>
    <row r="81" spans="1:24">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c r="U81" s="18" t="s">
        <v>603</v>
      </c>
      <c r="V81" s="20" t="s">
        <v>603</v>
      </c>
      <c r="W81" s="18" t="s">
        <v>603</v>
      </c>
      <c r="X81" s="20" t="s">
        <v>603</v>
      </c>
    </row>
    <row r="82" spans="1:24">
      <c r="A82" s="15" t="s">
        <v>642</v>
      </c>
      <c r="B82" s="17" t="n">
        <v>15961</v>
      </c>
      <c r="C82" s="18">
        <f>(14196.0/B82*100)</f>
        <v/>
      </c>
      <c r="D82" s="19" t="n">
        <v>1765</v>
      </c>
      <c r="E82" s="18" t="n">
        <v>11.24109367</v>
      </c>
      <c r="F82" s="20" t="n">
        <v>1.13170776</v>
      </c>
      <c r="G82" s="18" t="n">
        <v>16.04961954</v>
      </c>
      <c r="H82" s="20" t="n">
        <v>1.19772624</v>
      </c>
      <c r="I82" s="18" t="n">
        <v>22.09673083</v>
      </c>
      <c r="J82" s="20" t="n">
        <v>1.41142033</v>
      </c>
      <c r="K82" s="18" t="n">
        <v>29.71518367</v>
      </c>
      <c r="L82" s="20" t="n">
        <v>1.54043296</v>
      </c>
      <c r="M82" s="18" t="n">
        <v>11.42262546</v>
      </c>
      <c r="N82" s="20" t="n">
        <v>1.13455291</v>
      </c>
      <c r="O82" s="18" t="n">
        <v>0</v>
      </c>
      <c r="P82" s="20" t="n">
        <v>0</v>
      </c>
      <c r="Q82" s="18" t="n">
        <v>0.03361747</v>
      </c>
      <c r="R82" s="20" t="n">
        <v>0.04434116</v>
      </c>
      <c r="S82" s="18" t="n">
        <v>0</v>
      </c>
      <c r="T82" s="20" t="n">
        <v>0</v>
      </c>
      <c r="U82" s="18" t="n">
        <v>0</v>
      </c>
      <c r="V82" s="20" t="n">
        <v>0</v>
      </c>
      <c r="W82" s="18" t="n">
        <v>9.44112936</v>
      </c>
      <c r="X82" s="20" t="n">
        <v>1.12214688</v>
      </c>
    </row>
    <row r="83" spans="1:24">
      <c r="A83" s="15" t="s">
        <v>643</v>
      </c>
      <c r="B83" s="17" t="n">
        <v>808</v>
      </c>
      <c r="C83" s="18">
        <f>(724.0/B83*100)</f>
        <v/>
      </c>
      <c r="D83" s="19" t="n">
        <v>84</v>
      </c>
      <c r="E83" s="18" t="n">
        <v>8.243024739999999</v>
      </c>
      <c r="F83" s="20" t="n">
        <v>3.42540983</v>
      </c>
      <c r="G83" s="18" t="n">
        <v>14.24106558</v>
      </c>
      <c r="H83" s="20" t="n">
        <v>4.30465707</v>
      </c>
      <c r="I83" s="18" t="n">
        <v>10.42834291</v>
      </c>
      <c r="J83" s="20" t="n">
        <v>2.85675453</v>
      </c>
      <c r="K83" s="18" t="n">
        <v>46.37965047</v>
      </c>
      <c r="L83" s="20" t="n">
        <v>6.25258358</v>
      </c>
      <c r="M83" s="18" t="n">
        <v>18.47620089</v>
      </c>
      <c r="N83" s="20" t="n">
        <v>3.76027559</v>
      </c>
      <c r="O83" s="18" t="n">
        <v>0</v>
      </c>
      <c r="P83" s="20" t="n">
        <v>0</v>
      </c>
      <c r="Q83" s="18" t="n">
        <v>0</v>
      </c>
      <c r="R83" s="20" t="n">
        <v>0</v>
      </c>
      <c r="S83" s="18" t="n">
        <v>0</v>
      </c>
      <c r="T83" s="20" t="n">
        <v>0</v>
      </c>
      <c r="U83" s="18" t="n">
        <v>0</v>
      </c>
      <c r="V83" s="20" t="n">
        <v>0</v>
      </c>
      <c r="W83" s="18" t="n">
        <v>2.23171541</v>
      </c>
      <c r="X83" s="20" t="n">
        <v>1.49946556</v>
      </c>
    </row>
    <row r="84" spans="1:24">
      <c r="A84" s="23" t="s">
        <v>644</v>
      </c>
      <c r="B84" s="24" t="n">
        <v>938</v>
      </c>
      <c r="C84" s="25">
        <f>(843.0/B84*100)</f>
        <v/>
      </c>
      <c r="D84" s="19" t="n">
        <v>95</v>
      </c>
      <c r="E84" s="18" t="n">
        <v>16.28890219</v>
      </c>
      <c r="F84" s="20" t="n">
        <v>3.83998664</v>
      </c>
      <c r="G84" s="18" t="n">
        <v>8.65172641</v>
      </c>
      <c r="H84" s="20" t="n">
        <v>2.62902285</v>
      </c>
      <c r="I84" s="18" t="n">
        <v>23.48635083</v>
      </c>
      <c r="J84" s="20" t="n">
        <v>4.6918217</v>
      </c>
      <c r="K84" s="18" t="n">
        <v>35.45563395</v>
      </c>
      <c r="L84" s="20" t="n">
        <v>5.22004264</v>
      </c>
      <c r="M84" s="18" t="n">
        <v>16.11738662</v>
      </c>
      <c r="N84" s="20" t="n">
        <v>4.25910138</v>
      </c>
      <c r="O84" s="18" t="n">
        <v>0</v>
      </c>
      <c r="P84" s="20" t="n">
        <v>0</v>
      </c>
      <c r="Q84" s="18" t="n">
        <v>0</v>
      </c>
      <c r="R84" s="20" t="n">
        <v>0</v>
      </c>
      <c r="S84" s="18" t="n">
        <v>0</v>
      </c>
      <c r="T84" s="20" t="n">
        <v>0</v>
      </c>
      <c r="U84" s="18" t="n">
        <v>0</v>
      </c>
      <c r="V84" s="20" t="n">
        <v>0</v>
      </c>
      <c r="W84" s="18" t="n">
        <v>0</v>
      </c>
      <c r="X84" s="20" t="n">
        <v>0</v>
      </c>
    </row>
    <row r="86" spans="1:24">
      <c r="A86" s="3" t="s">
        <v>645</v>
      </c>
    </row>
    <row r="87" spans="1:24">
      <c r="A87" s="26" t="s">
        <v>646</v>
      </c>
    </row>
    <row r="88" spans="1:24">
      <c r="A88" s="26" t="s">
        <v>647</v>
      </c>
    </row>
    <row customHeight="1" ht="30" r="89" spans="1:24">
      <c r="A89" s="26" t="s">
        <v>648</v>
      </c>
    </row>
    <row customHeight="1" ht="30" r="90" spans="1:24">
      <c r="A90" s="26" t="s">
        <v>649</v>
      </c>
    </row>
    <row customHeight="1" ht="30" r="91" spans="1:24">
      <c r="A91" s="26" t="s">
        <v>650</v>
      </c>
    </row>
    <row customHeight="1" ht="30" r="92" spans="1:24">
      <c r="A92" s="26" t="s">
        <v>651</v>
      </c>
    </row>
    <row customHeight="1" ht="30" r="93" spans="1:24">
      <c r="A93" s="26" t="s">
        <v>652</v>
      </c>
    </row>
    <row customHeight="1" ht="30" r="94" spans="1:24">
      <c r="A94" s="26" t="s">
        <v>653</v>
      </c>
    </row>
  </sheetData>
  <mergeCells count="20">
    <mergeCell ref="E4:F4"/>
    <mergeCell ref="G4:H4"/>
    <mergeCell ref="I4:J4"/>
    <mergeCell ref="K4:L4"/>
    <mergeCell ref="M4:N4"/>
    <mergeCell ref="O4:P4"/>
    <mergeCell ref="Q4:R4"/>
    <mergeCell ref="S4:T4"/>
    <mergeCell ref="U4:V4"/>
    <mergeCell ref="W4:X4"/>
    <mergeCell ref="A1:X1"/>
    <mergeCell ref="A2:X2"/>
    <mergeCell ref="A87:X87"/>
    <mergeCell ref="A88:X88"/>
    <mergeCell ref="A89:X89"/>
    <mergeCell ref="A90:X90"/>
    <mergeCell ref="A91:X91"/>
    <mergeCell ref="A92:X92"/>
    <mergeCell ref="A93:X93"/>
    <mergeCell ref="A94:X94"/>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Z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549</v>
      </c>
    </row>
    <row r="2" spans="1:26">
      <c r="A2" s="5" t="s">
        <v>702</v>
      </c>
    </row>
    <row customHeight="1" ht="30" r="4" spans="1:26">
      <c r="A4" s="6" t="n"/>
      <c r="B4" s="7" t="s">
        <v>551</v>
      </c>
      <c r="C4" s="7" t="s">
        <v>552</v>
      </c>
      <c r="D4" s="8" t="s">
        <v>551</v>
      </c>
      <c r="E4" s="9" t="s">
        <v>655</v>
      </c>
      <c r="F4" s="10" t="n"/>
      <c r="G4" s="9" t="s">
        <v>656</v>
      </c>
      <c r="H4" s="10" t="n"/>
      <c r="I4" s="9" t="s">
        <v>701</v>
      </c>
      <c r="J4" s="10" t="n"/>
      <c r="K4" s="9" t="s">
        <v>703</v>
      </c>
      <c r="L4" s="10" t="n"/>
      <c r="M4" s="9" t="s">
        <v>657</v>
      </c>
      <c r="N4" s="10" t="n"/>
      <c r="O4" s="9" t="s">
        <v>658</v>
      </c>
      <c r="P4" s="10" t="n"/>
      <c r="Q4" s="9" t="s">
        <v>555</v>
      </c>
      <c r="R4" s="10" t="n"/>
      <c r="S4" s="9" t="s">
        <v>556</v>
      </c>
      <c r="T4" s="10" t="n"/>
      <c r="U4" s="9" t="s">
        <v>557</v>
      </c>
      <c r="V4" s="10" t="n"/>
      <c r="W4" s="9" t="s">
        <v>558</v>
      </c>
      <c r="X4" s="10" t="n"/>
      <c r="Y4" s="9" t="s">
        <v>559</v>
      </c>
      <c r="Z4" s="10" t="n"/>
    </row>
    <row r="5" spans="1:26">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c r="W5" s="12" t="s">
        <v>561</v>
      </c>
      <c r="X5" s="11" t="s">
        <v>563</v>
      </c>
      <c r="Y5" s="12" t="s">
        <v>561</v>
      </c>
      <c r="Z5" s="11" t="s">
        <v>563</v>
      </c>
    </row>
    <row r="6" spans="1:26">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565</v>
      </c>
      <c r="B7" s="17" t="n">
        <v>7163</v>
      </c>
      <c r="C7" s="18">
        <f>(6385.0/B7*100)</f>
        <v/>
      </c>
      <c r="D7" s="19" t="n">
        <v>778</v>
      </c>
      <c r="E7" s="18" t="n">
        <v>37.83995115</v>
      </c>
      <c r="F7" s="20" t="n">
        <v>2.43303198</v>
      </c>
      <c r="G7" s="18" t="n">
        <v>10.43402785</v>
      </c>
      <c r="H7" s="20" t="n">
        <v>1.60282367</v>
      </c>
      <c r="I7" s="18" t="n">
        <v>0.42359247</v>
      </c>
      <c r="J7" s="20" t="n">
        <v>0.27428614</v>
      </c>
      <c r="K7" s="18" t="n">
        <v>15.93728296</v>
      </c>
      <c r="L7" s="20" t="n">
        <v>1.35516066</v>
      </c>
      <c r="M7" s="18" t="n">
        <v>22.92464776</v>
      </c>
      <c r="N7" s="20" t="n">
        <v>1.6411963</v>
      </c>
      <c r="O7" s="18" t="n">
        <v>7.5806387</v>
      </c>
      <c r="P7" s="20" t="n">
        <v>1.19877415</v>
      </c>
      <c r="Q7" s="18" t="n">
        <v>0</v>
      </c>
      <c r="R7" s="20" t="n">
        <v>0</v>
      </c>
      <c r="S7" s="18" t="n">
        <v>0.03529232</v>
      </c>
      <c r="T7" s="20" t="n">
        <v>0.03428817</v>
      </c>
      <c r="U7" s="18" t="n">
        <v>0</v>
      </c>
      <c r="V7" s="20" t="n">
        <v>0</v>
      </c>
      <c r="W7" s="18" t="n">
        <v>0</v>
      </c>
      <c r="X7" s="20" t="n">
        <v>0</v>
      </c>
      <c r="Y7" s="18" t="n">
        <v>4.82456679</v>
      </c>
      <c r="Z7" s="20" t="n">
        <v>0.81351581</v>
      </c>
    </row>
    <row r="8" spans="1:26">
      <c r="A8" s="15" t="s">
        <v>566</v>
      </c>
      <c r="B8" s="17" t="n">
        <v>3443</v>
      </c>
      <c r="C8" s="18">
        <f>(3058.0/B8*100)</f>
        <v/>
      </c>
      <c r="D8" s="19" t="n">
        <v>385</v>
      </c>
      <c r="E8" s="18" t="n">
        <v>12.1917588</v>
      </c>
      <c r="F8" s="20" t="n">
        <v>1.87265105</v>
      </c>
      <c r="G8" s="18" t="n">
        <v>0.56524276</v>
      </c>
      <c r="H8" s="20" t="n">
        <v>0.27622972</v>
      </c>
      <c r="I8" s="18" t="n">
        <v>1.28849734</v>
      </c>
      <c r="J8" s="20" t="n">
        <v>0.60571727</v>
      </c>
      <c r="K8" s="18" t="n">
        <v>46.08482898</v>
      </c>
      <c r="L8" s="20" t="n">
        <v>2.68789223</v>
      </c>
      <c r="M8" s="18" t="n">
        <v>18.7161856</v>
      </c>
      <c r="N8" s="20" t="n">
        <v>2.20044813</v>
      </c>
      <c r="O8" s="18" t="n">
        <v>2.57614478</v>
      </c>
      <c r="P8" s="20" t="n">
        <v>1.12122861</v>
      </c>
      <c r="Q8" s="18" t="n">
        <v>0</v>
      </c>
      <c r="R8" s="20" t="n">
        <v>0</v>
      </c>
      <c r="S8" s="18" t="n">
        <v>0</v>
      </c>
      <c r="T8" s="20" t="n">
        <v>0</v>
      </c>
      <c r="U8" s="18" t="n">
        <v>0</v>
      </c>
      <c r="V8" s="20" t="n">
        <v>0</v>
      </c>
      <c r="W8" s="18" t="n">
        <v>0</v>
      </c>
      <c r="X8" s="20" t="n">
        <v>0</v>
      </c>
      <c r="Y8" s="18" t="n">
        <v>18.57734174</v>
      </c>
      <c r="Z8" s="20" t="n">
        <v>2.56392021</v>
      </c>
    </row>
    <row r="9" spans="1:26">
      <c r="A9" s="15" t="s">
        <v>567</v>
      </c>
      <c r="B9" s="17" t="n">
        <v>4752</v>
      </c>
      <c r="C9" s="18">
        <f>(4208.0/B9*100)</f>
        <v/>
      </c>
      <c r="D9" s="19" t="n">
        <v>544</v>
      </c>
      <c r="E9" s="18" t="n">
        <v>23.44311335</v>
      </c>
      <c r="F9" s="20" t="n">
        <v>2.1159233</v>
      </c>
      <c r="G9" s="18" t="n">
        <v>10.01582427</v>
      </c>
      <c r="H9" s="20" t="n">
        <v>1.27284397</v>
      </c>
      <c r="I9" s="18" t="n">
        <v>0.46155674</v>
      </c>
      <c r="J9" s="20" t="n">
        <v>0.33422039</v>
      </c>
      <c r="K9" s="18" t="n">
        <v>24.14714258</v>
      </c>
      <c r="L9" s="20" t="n">
        <v>1.78894407</v>
      </c>
      <c r="M9" s="18" t="n">
        <v>21.21473685</v>
      </c>
      <c r="N9" s="20" t="n">
        <v>1.81932813</v>
      </c>
      <c r="O9" s="18" t="n">
        <v>15.31485293</v>
      </c>
      <c r="P9" s="20" t="n">
        <v>1.3084655</v>
      </c>
      <c r="Q9" s="18" t="n">
        <v>0</v>
      </c>
      <c r="R9" s="20" t="n">
        <v>0</v>
      </c>
      <c r="S9" s="18" t="n">
        <v>0</v>
      </c>
      <c r="T9" s="20" t="n">
        <v>0</v>
      </c>
      <c r="U9" s="18" t="n">
        <v>0.13125071</v>
      </c>
      <c r="V9" s="20" t="n">
        <v>0.12234199</v>
      </c>
      <c r="W9" s="18" t="n">
        <v>0</v>
      </c>
      <c r="X9" s="20" t="n">
        <v>0</v>
      </c>
      <c r="Y9" s="18" t="n">
        <v>5.27152256</v>
      </c>
      <c r="Z9" s="20" t="n">
        <v>0.92101735</v>
      </c>
    </row>
    <row r="10" spans="1:26">
      <c r="A10" s="15" t="s">
        <v>568</v>
      </c>
      <c r="B10" s="17" t="n">
        <v>10022</v>
      </c>
      <c r="C10" s="18">
        <f>(8916.0/B10*100)</f>
        <v/>
      </c>
      <c r="D10" s="19" t="n">
        <v>1106</v>
      </c>
      <c r="E10" s="18" t="n">
        <v>33.53749494</v>
      </c>
      <c r="F10" s="20" t="n">
        <v>1.79408003</v>
      </c>
      <c r="G10" s="18" t="n">
        <v>10.74402707</v>
      </c>
      <c r="H10" s="20" t="n">
        <v>1.09103905</v>
      </c>
      <c r="I10" s="18" t="n">
        <v>0.23716212</v>
      </c>
      <c r="J10" s="20" t="n">
        <v>0.13034954</v>
      </c>
      <c r="K10" s="18" t="n">
        <v>17.78361788</v>
      </c>
      <c r="L10" s="20" t="n">
        <v>1.6475361</v>
      </c>
      <c r="M10" s="18" t="n">
        <v>25.98095594</v>
      </c>
      <c r="N10" s="20" t="n">
        <v>1.62981845</v>
      </c>
      <c r="O10" s="18" t="n">
        <v>8.16308239</v>
      </c>
      <c r="P10" s="20" t="n">
        <v>1.16456368</v>
      </c>
      <c r="Q10" s="18" t="n">
        <v>0</v>
      </c>
      <c r="R10" s="20" t="n">
        <v>0</v>
      </c>
      <c r="S10" s="18" t="n">
        <v>0.13523457</v>
      </c>
      <c r="T10" s="20" t="n">
        <v>0.09079105</v>
      </c>
      <c r="U10" s="18" t="n">
        <v>0.00716537</v>
      </c>
      <c r="V10" s="20" t="n">
        <v>0.00730666</v>
      </c>
      <c r="W10" s="18" t="n">
        <v>0</v>
      </c>
      <c r="X10" s="20" t="n">
        <v>0</v>
      </c>
      <c r="Y10" s="18" t="n">
        <v>3.41125971</v>
      </c>
      <c r="Z10" s="20" t="n">
        <v>0.62584517</v>
      </c>
    </row>
    <row r="11" spans="1:26">
      <c r="A11" s="15" t="s">
        <v>569</v>
      </c>
      <c r="B11" s="17" t="n">
        <v>3500</v>
      </c>
      <c r="C11" s="18">
        <f>(3092.0/B11*100)</f>
        <v/>
      </c>
      <c r="D11" s="19" t="n">
        <v>408</v>
      </c>
      <c r="E11" s="18" t="n">
        <v>28.04647836</v>
      </c>
      <c r="F11" s="20" t="n">
        <v>2.30307191</v>
      </c>
      <c r="G11" s="18" t="n">
        <v>14.3040828</v>
      </c>
      <c r="H11" s="20" t="n">
        <v>2.07943066</v>
      </c>
      <c r="I11" s="18" t="n">
        <v>0</v>
      </c>
      <c r="J11" s="20" t="n">
        <v>0</v>
      </c>
      <c r="K11" s="18" t="n">
        <v>24.51806498</v>
      </c>
      <c r="L11" s="20" t="n">
        <v>2.59664345</v>
      </c>
      <c r="M11" s="18" t="n">
        <v>20.9456257</v>
      </c>
      <c r="N11" s="20" t="n">
        <v>2.15952514</v>
      </c>
      <c r="O11" s="18" t="n">
        <v>3.86666929</v>
      </c>
      <c r="P11" s="20" t="n">
        <v>1.31471743</v>
      </c>
      <c r="Q11" s="18" t="n">
        <v>0</v>
      </c>
      <c r="R11" s="20" t="n">
        <v>0</v>
      </c>
      <c r="S11" s="18" t="n">
        <v>0.32937073</v>
      </c>
      <c r="T11" s="20" t="n">
        <v>0.31721664</v>
      </c>
      <c r="U11" s="18" t="n">
        <v>0</v>
      </c>
      <c r="V11" s="20" t="n">
        <v>0</v>
      </c>
      <c r="W11" s="18" t="n">
        <v>0</v>
      </c>
      <c r="X11" s="20" t="n">
        <v>0</v>
      </c>
      <c r="Y11" s="18" t="n">
        <v>7.98970813</v>
      </c>
      <c r="Z11" s="20" t="n">
        <v>1.50179548</v>
      </c>
    </row>
    <row r="12" spans="1:26">
      <c r="A12" s="15" t="s">
        <v>570</v>
      </c>
      <c r="B12" s="17" t="n">
        <v>3422</v>
      </c>
      <c r="C12" s="18">
        <f>(3042.0/B12*100)</f>
        <v/>
      </c>
      <c r="D12" s="19" t="n">
        <v>380</v>
      </c>
      <c r="E12" s="18" t="n">
        <v>19.74490775</v>
      </c>
      <c r="F12" s="20" t="n">
        <v>2.43454392</v>
      </c>
      <c r="G12" s="18" t="n">
        <v>16.94467828</v>
      </c>
      <c r="H12" s="20" t="n">
        <v>2.25019813</v>
      </c>
      <c r="I12" s="18" t="n">
        <v>0.13949449</v>
      </c>
      <c r="J12" s="20" t="n">
        <v>0.13429564</v>
      </c>
      <c r="K12" s="18" t="n">
        <v>15.99444339</v>
      </c>
      <c r="L12" s="20" t="n">
        <v>2.28244221</v>
      </c>
      <c r="M12" s="18" t="n">
        <v>17.36435709</v>
      </c>
      <c r="N12" s="20" t="n">
        <v>2.05326471</v>
      </c>
      <c r="O12" s="18" t="n">
        <v>15.12342876</v>
      </c>
      <c r="P12" s="20" t="n">
        <v>2.30547811</v>
      </c>
      <c r="Q12" s="18" t="n">
        <v>0</v>
      </c>
      <c r="R12" s="20" t="n">
        <v>0</v>
      </c>
      <c r="S12" s="18" t="n">
        <v>0</v>
      </c>
      <c r="T12" s="20" t="n">
        <v>0</v>
      </c>
      <c r="U12" s="18" t="n">
        <v>0</v>
      </c>
      <c r="V12" s="20" t="n">
        <v>0</v>
      </c>
      <c r="W12" s="18" t="n">
        <v>0</v>
      </c>
      <c r="X12" s="20" t="n">
        <v>0</v>
      </c>
      <c r="Y12" s="18" t="n">
        <v>14.68869024</v>
      </c>
      <c r="Z12" s="20" t="n">
        <v>2.23854146</v>
      </c>
    </row>
    <row r="13" spans="1:26">
      <c r="A13" s="15" t="s">
        <v>571</v>
      </c>
      <c r="B13" s="17" t="n">
        <v>3602</v>
      </c>
      <c r="C13" s="18">
        <f>(3229.0/B13*100)</f>
        <v/>
      </c>
      <c r="D13" s="19" t="n">
        <v>373</v>
      </c>
      <c r="E13" s="18" t="n">
        <v>31.51301532</v>
      </c>
      <c r="F13" s="20" t="n">
        <v>2.99522656</v>
      </c>
      <c r="G13" s="18" t="n">
        <v>8.58490551</v>
      </c>
      <c r="H13" s="20" t="n">
        <v>1.59351915</v>
      </c>
      <c r="I13" s="18" t="n">
        <v>0.29990473</v>
      </c>
      <c r="J13" s="20" t="n">
        <v>0.22991027</v>
      </c>
      <c r="K13" s="18" t="n">
        <v>25.94408748</v>
      </c>
      <c r="L13" s="20" t="n">
        <v>2.79798798</v>
      </c>
      <c r="M13" s="18" t="n">
        <v>18.88948977</v>
      </c>
      <c r="N13" s="20" t="n">
        <v>2.0762468</v>
      </c>
      <c r="O13" s="18" t="n">
        <v>6.6009353</v>
      </c>
      <c r="P13" s="20" t="n">
        <v>1.59621504</v>
      </c>
      <c r="Q13" s="18" t="n">
        <v>0</v>
      </c>
      <c r="R13" s="20" t="n">
        <v>0</v>
      </c>
      <c r="S13" s="18" t="n">
        <v>0.47585453</v>
      </c>
      <c r="T13" s="20" t="n">
        <v>0.3826169</v>
      </c>
      <c r="U13" s="18" t="n">
        <v>0</v>
      </c>
      <c r="V13" s="20" t="n">
        <v>0</v>
      </c>
      <c r="W13" s="18" t="n">
        <v>0</v>
      </c>
      <c r="X13" s="20" t="n">
        <v>0</v>
      </c>
      <c r="Y13" s="18" t="n">
        <v>7.69180737</v>
      </c>
      <c r="Z13" s="20" t="n">
        <v>1.41978111</v>
      </c>
    </row>
    <row r="14" spans="1:26">
      <c r="A14" s="15" t="s">
        <v>572</v>
      </c>
      <c r="B14" s="17" t="n">
        <v>2788</v>
      </c>
      <c r="C14" s="18">
        <f>(2482.0/B14*100)</f>
        <v/>
      </c>
      <c r="D14" s="19" t="n">
        <v>306</v>
      </c>
      <c r="E14" s="18" t="n">
        <v>32.44758369</v>
      </c>
      <c r="F14" s="20" t="n">
        <v>2.54818368</v>
      </c>
      <c r="G14" s="18" t="n">
        <v>10.7698123</v>
      </c>
      <c r="H14" s="20" t="n">
        <v>1.78666431</v>
      </c>
      <c r="I14" s="18" t="n">
        <v>0</v>
      </c>
      <c r="J14" s="20" t="n">
        <v>0</v>
      </c>
      <c r="K14" s="18" t="n">
        <v>10.46722872</v>
      </c>
      <c r="L14" s="20" t="n">
        <v>2.06272639</v>
      </c>
      <c r="M14" s="18" t="n">
        <v>23.88051856</v>
      </c>
      <c r="N14" s="20" t="n">
        <v>2.822203</v>
      </c>
      <c r="O14" s="18" t="n">
        <v>18.18734286</v>
      </c>
      <c r="P14" s="20" t="n">
        <v>2.24555439</v>
      </c>
      <c r="Q14" s="18" t="n">
        <v>0</v>
      </c>
      <c r="R14" s="20" t="n">
        <v>0</v>
      </c>
      <c r="S14" s="18" t="n">
        <v>0</v>
      </c>
      <c r="T14" s="20" t="n">
        <v>0</v>
      </c>
      <c r="U14" s="18" t="n">
        <v>0.27535179</v>
      </c>
      <c r="V14" s="20" t="n">
        <v>0.27707939</v>
      </c>
      <c r="W14" s="18" t="n">
        <v>0</v>
      </c>
      <c r="X14" s="20" t="n">
        <v>0</v>
      </c>
      <c r="Y14" s="18" t="n">
        <v>3.97216208</v>
      </c>
      <c r="Z14" s="20" t="n">
        <v>1.25041338</v>
      </c>
    </row>
    <row r="15" spans="1:26">
      <c r="A15" s="15" t="s">
        <v>573</v>
      </c>
      <c r="B15" s="17" t="n">
        <v>2863</v>
      </c>
      <c r="C15" s="18">
        <f>(2552.0/B15*100)</f>
        <v/>
      </c>
      <c r="D15" s="19" t="n">
        <v>311</v>
      </c>
      <c r="E15" s="18" t="n">
        <v>19.38556117</v>
      </c>
      <c r="F15" s="20" t="n">
        <v>2.50022778</v>
      </c>
      <c r="G15" s="18" t="n">
        <v>24.38596988</v>
      </c>
      <c r="H15" s="20" t="n">
        <v>2.68087178</v>
      </c>
      <c r="I15" s="18" t="n">
        <v>0</v>
      </c>
      <c r="J15" s="20" t="n">
        <v>0</v>
      </c>
      <c r="K15" s="18" t="n">
        <v>13.2243668</v>
      </c>
      <c r="L15" s="20" t="n">
        <v>1.85217232</v>
      </c>
      <c r="M15" s="18" t="n">
        <v>26.53281529</v>
      </c>
      <c r="N15" s="20" t="n">
        <v>2.67094564</v>
      </c>
      <c r="O15" s="18" t="n">
        <v>11.94749979</v>
      </c>
      <c r="P15" s="20" t="n">
        <v>1.96843639</v>
      </c>
      <c r="Q15" s="18" t="n">
        <v>0</v>
      </c>
      <c r="R15" s="20" t="n">
        <v>0</v>
      </c>
      <c r="S15" s="18" t="n">
        <v>0</v>
      </c>
      <c r="T15" s="20" t="n">
        <v>0</v>
      </c>
      <c r="U15" s="18" t="n">
        <v>0</v>
      </c>
      <c r="V15" s="20" t="n">
        <v>0</v>
      </c>
      <c r="W15" s="18" t="n">
        <v>0</v>
      </c>
      <c r="X15" s="20" t="n">
        <v>0</v>
      </c>
      <c r="Y15" s="18" t="n">
        <v>4.52378707</v>
      </c>
      <c r="Z15" s="20" t="n">
        <v>1.09671515</v>
      </c>
    </row>
    <row r="16" spans="1:26">
      <c r="A16" s="15" t="s">
        <v>574</v>
      </c>
      <c r="B16" s="17" t="n">
        <v>3111</v>
      </c>
      <c r="C16" s="18">
        <f>(2801.0/B16*100)</f>
        <v/>
      </c>
      <c r="D16" s="19" t="n">
        <v>310</v>
      </c>
      <c r="E16" s="18" t="n">
        <v>21.21372085</v>
      </c>
      <c r="F16" s="20" t="n">
        <v>2.5176033</v>
      </c>
      <c r="G16" s="18" t="n">
        <v>6.42563505</v>
      </c>
      <c r="H16" s="20" t="n">
        <v>1.45763889</v>
      </c>
      <c r="I16" s="18" t="n">
        <v>0</v>
      </c>
      <c r="J16" s="20" t="n">
        <v>0</v>
      </c>
      <c r="K16" s="18" t="n">
        <v>23.67895194</v>
      </c>
      <c r="L16" s="20" t="n">
        <v>2.13328795</v>
      </c>
      <c r="M16" s="18" t="n">
        <v>30.95605447</v>
      </c>
      <c r="N16" s="20" t="n">
        <v>2.24997633</v>
      </c>
      <c r="O16" s="18" t="n">
        <v>5.68323917</v>
      </c>
      <c r="P16" s="20" t="n">
        <v>1.2407473</v>
      </c>
      <c r="Q16" s="18" t="n">
        <v>0</v>
      </c>
      <c r="R16" s="20" t="n">
        <v>0</v>
      </c>
      <c r="S16" s="18" t="n">
        <v>0</v>
      </c>
      <c r="T16" s="20" t="n">
        <v>0</v>
      </c>
      <c r="U16" s="18" t="n">
        <v>0</v>
      </c>
      <c r="V16" s="20" t="n">
        <v>0</v>
      </c>
      <c r="W16" s="18" t="n">
        <v>0</v>
      </c>
      <c r="X16" s="20" t="n">
        <v>0</v>
      </c>
      <c r="Y16" s="18" t="n">
        <v>12.04239853</v>
      </c>
      <c r="Z16" s="20" t="n">
        <v>1.78780947</v>
      </c>
    </row>
    <row r="17" spans="1:26">
      <c r="A17" s="15" t="s">
        <v>575</v>
      </c>
      <c r="B17" s="17" t="n">
        <v>3197</v>
      </c>
      <c r="C17" s="18">
        <f>(2838.0/B17*100)</f>
        <v/>
      </c>
      <c r="D17" s="19" t="n">
        <v>359</v>
      </c>
      <c r="E17" s="18" t="n">
        <v>29.74474754</v>
      </c>
      <c r="F17" s="20" t="n">
        <v>2.60103678</v>
      </c>
      <c r="G17" s="18" t="n">
        <v>13.62466827</v>
      </c>
      <c r="H17" s="20" t="n">
        <v>2.04214892</v>
      </c>
      <c r="I17" s="18" t="n">
        <v>0</v>
      </c>
      <c r="J17" s="20" t="n">
        <v>0</v>
      </c>
      <c r="K17" s="18" t="n">
        <v>11.62657528</v>
      </c>
      <c r="L17" s="20" t="n">
        <v>1.82551871</v>
      </c>
      <c r="M17" s="18" t="n">
        <v>16.90706951</v>
      </c>
      <c r="N17" s="20" t="n">
        <v>1.95717946</v>
      </c>
      <c r="O17" s="18" t="n">
        <v>15.51077895</v>
      </c>
      <c r="P17" s="20" t="n">
        <v>2.07038657</v>
      </c>
      <c r="Q17" s="18" t="n">
        <v>0</v>
      </c>
      <c r="R17" s="20" t="n">
        <v>0</v>
      </c>
      <c r="S17" s="18" t="n">
        <v>0.31183713</v>
      </c>
      <c r="T17" s="20" t="n">
        <v>0.31626</v>
      </c>
      <c r="U17" s="18" t="n">
        <v>0</v>
      </c>
      <c r="V17" s="20" t="n">
        <v>0</v>
      </c>
      <c r="W17" s="18" t="n">
        <v>0</v>
      </c>
      <c r="X17" s="20" t="n">
        <v>0</v>
      </c>
      <c r="Y17" s="18" t="n">
        <v>12.27432333</v>
      </c>
      <c r="Z17" s="20" t="n">
        <v>1.97256826</v>
      </c>
    </row>
    <row r="18" spans="1:26">
      <c r="A18" s="15" t="s">
        <v>576</v>
      </c>
      <c r="B18" s="17" t="n">
        <v>2706</v>
      </c>
      <c r="C18" s="18">
        <f>(2436.0/B18*100)</f>
        <v/>
      </c>
      <c r="D18" s="19" t="n">
        <v>270</v>
      </c>
      <c r="E18" s="18" t="n">
        <v>28.26315416</v>
      </c>
      <c r="F18" s="20" t="n">
        <v>2.53680116</v>
      </c>
      <c r="G18" s="18" t="n">
        <v>9.33944412</v>
      </c>
      <c r="H18" s="20" t="n">
        <v>1.96050755</v>
      </c>
      <c r="I18" s="18" t="n">
        <v>1.07561002</v>
      </c>
      <c r="J18" s="20" t="n">
        <v>0.65959199</v>
      </c>
      <c r="K18" s="18" t="n">
        <v>23.5806957</v>
      </c>
      <c r="L18" s="20" t="n">
        <v>2.79610255</v>
      </c>
      <c r="M18" s="18" t="n">
        <v>14.04204171</v>
      </c>
      <c r="N18" s="20" t="n">
        <v>1.87201532</v>
      </c>
      <c r="O18" s="18" t="n">
        <v>12.29893978</v>
      </c>
      <c r="P18" s="20" t="n">
        <v>1.9153836</v>
      </c>
      <c r="Q18" s="18" t="n">
        <v>0</v>
      </c>
      <c r="R18" s="20" t="n">
        <v>0</v>
      </c>
      <c r="S18" s="18" t="n">
        <v>0</v>
      </c>
      <c r="T18" s="20" t="n">
        <v>0</v>
      </c>
      <c r="U18" s="18" t="n">
        <v>0</v>
      </c>
      <c r="V18" s="20" t="n">
        <v>0</v>
      </c>
      <c r="W18" s="18" t="n">
        <v>0</v>
      </c>
      <c r="X18" s="20" t="n">
        <v>0</v>
      </c>
      <c r="Y18" s="18" t="n">
        <v>11.40011451</v>
      </c>
      <c r="Z18" s="20" t="n">
        <v>2.04178141</v>
      </c>
    </row>
    <row r="19" spans="1:26">
      <c r="A19" s="15" t="s">
        <v>577</v>
      </c>
      <c r="B19" s="17" t="n">
        <v>2850</v>
      </c>
      <c r="C19" s="18">
        <f>(2536.0/B19*100)</f>
        <v/>
      </c>
      <c r="D19" s="19" t="n">
        <v>314</v>
      </c>
      <c r="E19" s="18" t="n">
        <v>29.30000313</v>
      </c>
      <c r="F19" s="20" t="n">
        <v>2.8454941</v>
      </c>
      <c r="G19" s="18" t="n">
        <v>5.32240468</v>
      </c>
      <c r="H19" s="20" t="n">
        <v>1.33964911</v>
      </c>
      <c r="I19" s="18" t="n">
        <v>0.33986733</v>
      </c>
      <c r="J19" s="20" t="n">
        <v>0.34216353</v>
      </c>
      <c r="K19" s="18" t="n">
        <v>29.59876372</v>
      </c>
      <c r="L19" s="20" t="n">
        <v>2.82054282</v>
      </c>
      <c r="M19" s="18" t="n">
        <v>10.62996278</v>
      </c>
      <c r="N19" s="20" t="n">
        <v>1.67710981</v>
      </c>
      <c r="O19" s="18" t="n">
        <v>1.60207936</v>
      </c>
      <c r="P19" s="20" t="n">
        <v>0.67342617</v>
      </c>
      <c r="Q19" s="18" t="n">
        <v>0</v>
      </c>
      <c r="R19" s="20" t="n">
        <v>0</v>
      </c>
      <c r="S19" s="18" t="n">
        <v>0</v>
      </c>
      <c r="T19" s="20" t="n">
        <v>0</v>
      </c>
      <c r="U19" s="18" t="n">
        <v>0.30501897</v>
      </c>
      <c r="V19" s="20" t="n">
        <v>0.30699434</v>
      </c>
      <c r="W19" s="18" t="n">
        <v>0</v>
      </c>
      <c r="X19" s="20" t="n">
        <v>0</v>
      </c>
      <c r="Y19" s="18" t="n">
        <v>22.90190004</v>
      </c>
      <c r="Z19" s="20" t="n">
        <v>2.54431352</v>
      </c>
    </row>
    <row r="20" spans="1:26">
      <c r="A20" s="15" t="s">
        <v>578</v>
      </c>
      <c r="B20" s="17" t="n">
        <v>1741</v>
      </c>
      <c r="C20" s="18">
        <f>(1558.0/B20*100)</f>
        <v/>
      </c>
      <c r="D20" s="19" t="n">
        <v>183</v>
      </c>
      <c r="E20" s="18" t="n">
        <v>20.89999955</v>
      </c>
      <c r="F20" s="20" t="n">
        <v>2.80443107</v>
      </c>
      <c r="G20" s="18" t="n">
        <v>12.96089252</v>
      </c>
      <c r="H20" s="20" t="n">
        <v>2.66029995</v>
      </c>
      <c r="I20" s="18" t="n">
        <v>0.5321300799999999</v>
      </c>
      <c r="J20" s="20" t="n">
        <v>0.5340192</v>
      </c>
      <c r="K20" s="18" t="n">
        <v>26.36380682</v>
      </c>
      <c r="L20" s="20" t="n">
        <v>3.06939558</v>
      </c>
      <c r="M20" s="18" t="n">
        <v>17.9803359</v>
      </c>
      <c r="N20" s="20" t="n">
        <v>2.77209922</v>
      </c>
      <c r="O20" s="18" t="n">
        <v>11.38829894</v>
      </c>
      <c r="P20" s="20" t="n">
        <v>2.59230474</v>
      </c>
      <c r="Q20" s="18" t="n">
        <v>0</v>
      </c>
      <c r="R20" s="20" t="n">
        <v>0</v>
      </c>
      <c r="S20" s="18" t="n">
        <v>0.46378246</v>
      </c>
      <c r="T20" s="20" t="n">
        <v>0.46556953</v>
      </c>
      <c r="U20" s="18" t="n">
        <v>0.8391448</v>
      </c>
      <c r="V20" s="20" t="n">
        <v>0.82261342</v>
      </c>
      <c r="W20" s="18" t="n">
        <v>0</v>
      </c>
      <c r="X20" s="20" t="n">
        <v>0</v>
      </c>
      <c r="Y20" s="18" t="n">
        <v>8.571608919999999</v>
      </c>
      <c r="Z20" s="20" t="n">
        <v>2.07512112</v>
      </c>
    </row>
    <row r="21" spans="1:26">
      <c r="A21" s="15" t="s">
        <v>579</v>
      </c>
      <c r="B21" s="17" t="n">
        <v>2833</v>
      </c>
      <c r="C21" s="18">
        <f>(2486.0/B21*100)</f>
        <v/>
      </c>
      <c r="D21" s="19" t="n">
        <v>347</v>
      </c>
      <c r="E21" s="18" t="n">
        <v>44.94963263</v>
      </c>
      <c r="F21" s="20" t="n">
        <v>2.81587295</v>
      </c>
      <c r="G21" s="18" t="n">
        <v>8.67931622</v>
      </c>
      <c r="H21" s="20" t="n">
        <v>1.7466732</v>
      </c>
      <c r="I21" s="18" t="n">
        <v>0.95309603</v>
      </c>
      <c r="J21" s="20" t="n">
        <v>0.5338090599999999</v>
      </c>
      <c r="K21" s="18" t="n">
        <v>22.86218549</v>
      </c>
      <c r="L21" s="20" t="n">
        <v>2.1790257</v>
      </c>
      <c r="M21" s="18" t="n">
        <v>14.01820122</v>
      </c>
      <c r="N21" s="20" t="n">
        <v>1.62459122</v>
      </c>
      <c r="O21" s="18" t="n">
        <v>5.34910323</v>
      </c>
      <c r="P21" s="20" t="n">
        <v>1.14376476</v>
      </c>
      <c r="Q21" s="18" t="n">
        <v>0</v>
      </c>
      <c r="R21" s="20" t="n">
        <v>0</v>
      </c>
      <c r="S21" s="18" t="n">
        <v>0</v>
      </c>
      <c r="T21" s="20" t="n">
        <v>0</v>
      </c>
      <c r="U21" s="18" t="n">
        <v>0</v>
      </c>
      <c r="V21" s="20" t="n">
        <v>0</v>
      </c>
      <c r="W21" s="18" t="n">
        <v>0</v>
      </c>
      <c r="X21" s="20" t="n">
        <v>0</v>
      </c>
      <c r="Y21" s="18" t="n">
        <v>3.18846518</v>
      </c>
      <c r="Z21" s="20" t="n">
        <v>0.8952666</v>
      </c>
    </row>
    <row r="22" spans="1:26">
      <c r="A22" s="15" t="s">
        <v>580</v>
      </c>
      <c r="B22" s="17" t="n">
        <v>3667</v>
      </c>
      <c r="C22" s="18">
        <f>(3320.0/B22*100)</f>
        <v/>
      </c>
      <c r="D22" s="19" t="n">
        <v>347</v>
      </c>
      <c r="E22" s="18" t="n">
        <v>36.97000283</v>
      </c>
      <c r="F22" s="20" t="n">
        <v>2.94822812</v>
      </c>
      <c r="G22" s="18" t="n">
        <v>15.32759915</v>
      </c>
      <c r="H22" s="20" t="n">
        <v>1.84153631</v>
      </c>
      <c r="I22" s="18" t="n">
        <v>0</v>
      </c>
      <c r="J22" s="20" t="n">
        <v>0</v>
      </c>
      <c r="K22" s="18" t="n">
        <v>18.45018296</v>
      </c>
      <c r="L22" s="20" t="n">
        <v>1.92837249</v>
      </c>
      <c r="M22" s="18" t="n">
        <v>14.54617133</v>
      </c>
      <c r="N22" s="20" t="n">
        <v>1.99487566</v>
      </c>
      <c r="O22" s="18" t="n">
        <v>9.580194329999999</v>
      </c>
      <c r="P22" s="20" t="n">
        <v>1.46763792</v>
      </c>
      <c r="Q22" s="18" t="n">
        <v>0</v>
      </c>
      <c r="R22" s="20" t="n">
        <v>0</v>
      </c>
      <c r="S22" s="18" t="n">
        <v>0</v>
      </c>
      <c r="T22" s="20" t="n">
        <v>0</v>
      </c>
      <c r="U22" s="18" t="n">
        <v>0</v>
      </c>
      <c r="V22" s="20" t="n">
        <v>0</v>
      </c>
      <c r="W22" s="18" t="n">
        <v>0</v>
      </c>
      <c r="X22" s="20" t="n">
        <v>0</v>
      </c>
      <c r="Y22" s="18" t="n">
        <v>5.12584941</v>
      </c>
      <c r="Z22" s="20" t="n">
        <v>1.27981248</v>
      </c>
    </row>
    <row r="23" spans="1:26">
      <c r="A23" s="15" t="s">
        <v>581</v>
      </c>
      <c r="B23" s="17" t="n">
        <v>5792</v>
      </c>
      <c r="C23" s="18">
        <f>(5150.0/B23*100)</f>
        <v/>
      </c>
      <c r="D23" s="19" t="n">
        <v>642</v>
      </c>
      <c r="E23" s="18" t="n">
        <v>24.65638765</v>
      </c>
      <c r="F23" s="20" t="n">
        <v>2.52067166</v>
      </c>
      <c r="G23" s="18" t="n">
        <v>8.81135169</v>
      </c>
      <c r="H23" s="20" t="n">
        <v>1.71717429</v>
      </c>
      <c r="I23" s="18" t="n">
        <v>0</v>
      </c>
      <c r="J23" s="20" t="n">
        <v>0</v>
      </c>
      <c r="K23" s="18" t="n">
        <v>21.12595857</v>
      </c>
      <c r="L23" s="20" t="n">
        <v>2.62648972</v>
      </c>
      <c r="M23" s="18" t="n">
        <v>25.91981423</v>
      </c>
      <c r="N23" s="20" t="n">
        <v>2.59454469</v>
      </c>
      <c r="O23" s="18" t="n">
        <v>7.57688005</v>
      </c>
      <c r="P23" s="20" t="n">
        <v>1.93793292</v>
      </c>
      <c r="Q23" s="18" t="n">
        <v>0</v>
      </c>
      <c r="R23" s="20" t="n">
        <v>0</v>
      </c>
      <c r="S23" s="18" t="n">
        <v>0.42426035</v>
      </c>
      <c r="T23" s="20" t="n">
        <v>0.47218736</v>
      </c>
      <c r="U23" s="18" t="n">
        <v>0</v>
      </c>
      <c r="V23" s="20" t="n">
        <v>0</v>
      </c>
      <c r="W23" s="18" t="n">
        <v>0</v>
      </c>
      <c r="X23" s="20" t="n">
        <v>0</v>
      </c>
      <c r="Y23" s="18" t="n">
        <v>11.48534746</v>
      </c>
      <c r="Z23" s="20" t="n">
        <v>1.9049836</v>
      </c>
    </row>
    <row r="24" spans="1:26">
      <c r="A24" s="15" t="s">
        <v>582</v>
      </c>
      <c r="B24" s="17" t="n">
        <v>3309</v>
      </c>
      <c r="C24" s="18">
        <f>(2932.0/B24*100)</f>
        <v/>
      </c>
      <c r="D24" s="19" t="n">
        <v>377</v>
      </c>
      <c r="E24" s="18" t="n">
        <v>20.44895078</v>
      </c>
      <c r="F24" s="20" t="n">
        <v>2.15991553</v>
      </c>
      <c r="G24" s="18" t="n">
        <v>16.85106548</v>
      </c>
      <c r="H24" s="20" t="n">
        <v>2.0247808</v>
      </c>
      <c r="I24" s="18" t="n">
        <v>0</v>
      </c>
      <c r="J24" s="20" t="n">
        <v>0</v>
      </c>
      <c r="K24" s="18" t="n">
        <v>12.66316252</v>
      </c>
      <c r="L24" s="20" t="n">
        <v>1.82031447</v>
      </c>
      <c r="M24" s="18" t="n">
        <v>26.44236409</v>
      </c>
      <c r="N24" s="20" t="n">
        <v>2.34829106</v>
      </c>
      <c r="O24" s="18" t="n">
        <v>13.54667261</v>
      </c>
      <c r="P24" s="20" t="n">
        <v>1.56870054</v>
      </c>
      <c r="Q24" s="18" t="n">
        <v>0</v>
      </c>
      <c r="R24" s="20" t="n">
        <v>0</v>
      </c>
      <c r="S24" s="18" t="n">
        <v>0</v>
      </c>
      <c r="T24" s="20" t="n">
        <v>0</v>
      </c>
      <c r="U24" s="18" t="n">
        <v>0</v>
      </c>
      <c r="V24" s="20" t="n">
        <v>0</v>
      </c>
      <c r="W24" s="18" t="n">
        <v>0</v>
      </c>
      <c r="X24" s="20" t="n">
        <v>0</v>
      </c>
      <c r="Y24" s="18" t="n">
        <v>10.04778453</v>
      </c>
      <c r="Z24" s="20" t="n">
        <v>1.38962413</v>
      </c>
    </row>
    <row r="25" spans="1:26">
      <c r="A25" s="15" t="s">
        <v>583</v>
      </c>
      <c r="B25" s="17" t="n">
        <v>2669</v>
      </c>
      <c r="C25" s="18">
        <f>(2396.0/B25*100)</f>
        <v/>
      </c>
      <c r="D25" s="19" t="n">
        <v>273</v>
      </c>
      <c r="E25" s="18" t="n">
        <v>9.730126719999999</v>
      </c>
      <c r="F25" s="20" t="n">
        <v>2.01924753</v>
      </c>
      <c r="G25" s="18" t="n">
        <v>0.77145009</v>
      </c>
      <c r="H25" s="20" t="n">
        <v>0.55226259</v>
      </c>
      <c r="I25" s="18" t="n">
        <v>0</v>
      </c>
      <c r="J25" s="20" t="n">
        <v>0</v>
      </c>
      <c r="K25" s="18" t="n">
        <v>34.82502287</v>
      </c>
      <c r="L25" s="20" t="n">
        <v>2.67250077</v>
      </c>
      <c r="M25" s="18" t="n">
        <v>26.18206408</v>
      </c>
      <c r="N25" s="20" t="n">
        <v>2.70707122</v>
      </c>
      <c r="O25" s="18" t="n">
        <v>22.4779359</v>
      </c>
      <c r="P25" s="20" t="n">
        <v>2.88379581</v>
      </c>
      <c r="Q25" s="18" t="n">
        <v>0</v>
      </c>
      <c r="R25" s="20" t="n">
        <v>0</v>
      </c>
      <c r="S25" s="18" t="n">
        <v>0.33916492</v>
      </c>
      <c r="T25" s="20" t="n">
        <v>0.47668997</v>
      </c>
      <c r="U25" s="18" t="n">
        <v>0</v>
      </c>
      <c r="V25" s="20" t="n">
        <v>0</v>
      </c>
      <c r="W25" s="18" t="n">
        <v>0</v>
      </c>
      <c r="X25" s="20" t="n">
        <v>0</v>
      </c>
      <c r="Y25" s="18" t="n">
        <v>5.67423543</v>
      </c>
      <c r="Z25" s="20" t="n">
        <v>1.50534219</v>
      </c>
    </row>
    <row r="26" spans="1:26">
      <c r="A26" s="15" t="s">
        <v>584</v>
      </c>
      <c r="B26" s="17" t="n">
        <v>2419</v>
      </c>
      <c r="C26" s="18">
        <f>(2155.0/B26*100)</f>
        <v/>
      </c>
      <c r="D26" s="19" t="n">
        <v>264</v>
      </c>
      <c r="E26" s="18" t="n">
        <v>22.68151137</v>
      </c>
      <c r="F26" s="20" t="n">
        <v>2.79801351</v>
      </c>
      <c r="G26" s="18" t="n">
        <v>12.80776832</v>
      </c>
      <c r="H26" s="20" t="n">
        <v>2.0984563</v>
      </c>
      <c r="I26" s="18" t="n">
        <v>0</v>
      </c>
      <c r="J26" s="20" t="n">
        <v>0</v>
      </c>
      <c r="K26" s="18" t="n">
        <v>23.63577644</v>
      </c>
      <c r="L26" s="20" t="n">
        <v>2.62820109</v>
      </c>
      <c r="M26" s="18" t="n">
        <v>23.77534116</v>
      </c>
      <c r="N26" s="20" t="n">
        <v>2.44624858</v>
      </c>
      <c r="O26" s="18" t="n">
        <v>10.44117955</v>
      </c>
      <c r="P26" s="20" t="n">
        <v>1.83101866</v>
      </c>
      <c r="Q26" s="18" t="n">
        <v>0</v>
      </c>
      <c r="R26" s="20" t="n">
        <v>0</v>
      </c>
      <c r="S26" s="18" t="n">
        <v>0</v>
      </c>
      <c r="T26" s="20" t="n">
        <v>0</v>
      </c>
      <c r="U26" s="18" t="n">
        <v>0</v>
      </c>
      <c r="V26" s="20" t="n">
        <v>0</v>
      </c>
      <c r="W26" s="18" t="n">
        <v>0</v>
      </c>
      <c r="X26" s="20" t="n">
        <v>0</v>
      </c>
      <c r="Y26" s="18" t="n">
        <v>6.65842316</v>
      </c>
      <c r="Z26" s="20" t="n">
        <v>1.48926295</v>
      </c>
    </row>
    <row r="27" spans="1:26">
      <c r="A27" s="15" t="s">
        <v>585</v>
      </c>
      <c r="B27" s="17" t="n">
        <v>2683</v>
      </c>
      <c r="C27" s="18">
        <f>(2370.0/B27*100)</f>
        <v/>
      </c>
      <c r="D27" s="19" t="n">
        <v>313</v>
      </c>
      <c r="E27" s="18" t="n">
        <v>23.33813055</v>
      </c>
      <c r="F27" s="20" t="n">
        <v>2.24377024</v>
      </c>
      <c r="G27" s="18" t="n">
        <v>0</v>
      </c>
      <c r="H27" s="20" t="n">
        <v>0</v>
      </c>
      <c r="I27" s="18" t="n">
        <v>0.94134197</v>
      </c>
      <c r="J27" s="20" t="n">
        <v>0.53863491</v>
      </c>
      <c r="K27" s="18" t="n">
        <v>39.28698454</v>
      </c>
      <c r="L27" s="20" t="n">
        <v>2.64757708</v>
      </c>
      <c r="M27" s="18" t="n">
        <v>14.05006584</v>
      </c>
      <c r="N27" s="20" t="n">
        <v>1.91707355</v>
      </c>
      <c r="O27" s="18" t="n">
        <v>10.89345567</v>
      </c>
      <c r="P27" s="20" t="n">
        <v>1.67831667</v>
      </c>
      <c r="Q27" s="18" t="n">
        <v>0</v>
      </c>
      <c r="R27" s="20" t="n">
        <v>0</v>
      </c>
      <c r="S27" s="18" t="n">
        <v>0</v>
      </c>
      <c r="T27" s="20" t="n">
        <v>0</v>
      </c>
      <c r="U27" s="18" t="n">
        <v>0</v>
      </c>
      <c r="V27" s="20" t="n">
        <v>0</v>
      </c>
      <c r="W27" s="18" t="n">
        <v>0</v>
      </c>
      <c r="X27" s="20" t="n">
        <v>0</v>
      </c>
      <c r="Y27" s="18" t="n">
        <v>11.49002143</v>
      </c>
      <c r="Z27" s="20" t="n">
        <v>1.86573832</v>
      </c>
    </row>
    <row r="28" spans="1:26">
      <c r="A28" s="15" t="s">
        <v>586</v>
      </c>
      <c r="B28" s="17" t="n">
        <v>3803</v>
      </c>
      <c r="C28" s="18">
        <f>(3418.0/B28*100)</f>
        <v/>
      </c>
      <c r="D28" s="19" t="n">
        <v>385</v>
      </c>
      <c r="E28" s="18" t="n">
        <v>25.05956489</v>
      </c>
      <c r="F28" s="20" t="n">
        <v>2.57295437</v>
      </c>
      <c r="G28" s="18" t="n">
        <v>9.204339920000001</v>
      </c>
      <c r="H28" s="20" t="n">
        <v>1.77027555</v>
      </c>
      <c r="I28" s="18" t="n">
        <v>0.80241104</v>
      </c>
      <c r="J28" s="20" t="n">
        <v>0.48134892</v>
      </c>
      <c r="K28" s="18" t="n">
        <v>45.03729909</v>
      </c>
      <c r="L28" s="20" t="n">
        <v>3.09145445</v>
      </c>
      <c r="M28" s="18" t="n">
        <v>9.88947505</v>
      </c>
      <c r="N28" s="20" t="n">
        <v>1.76444122</v>
      </c>
      <c r="O28" s="18" t="n">
        <v>7.40840655</v>
      </c>
      <c r="P28" s="20" t="n">
        <v>1.61348044</v>
      </c>
      <c r="Q28" s="18" t="n">
        <v>0</v>
      </c>
      <c r="R28" s="20" t="n">
        <v>0</v>
      </c>
      <c r="S28" s="18" t="n">
        <v>0.52720114</v>
      </c>
      <c r="T28" s="20" t="n">
        <v>0.37913793</v>
      </c>
      <c r="U28" s="18" t="n">
        <v>0.24095638</v>
      </c>
      <c r="V28" s="20" t="n">
        <v>0.25076169</v>
      </c>
      <c r="W28" s="18" t="n">
        <v>0</v>
      </c>
      <c r="X28" s="20" t="n">
        <v>0</v>
      </c>
      <c r="Y28" s="18" t="n">
        <v>1.83034594</v>
      </c>
      <c r="Z28" s="20" t="n">
        <v>0.90771387</v>
      </c>
    </row>
    <row r="29" spans="1:26">
      <c r="A29" s="15" t="s">
        <v>587</v>
      </c>
      <c r="B29" s="17" t="n">
        <v>2700</v>
      </c>
      <c r="C29" s="18">
        <f>(2395.0/B29*100)</f>
        <v/>
      </c>
      <c r="D29" s="19" t="n">
        <v>305</v>
      </c>
      <c r="E29" s="18" t="n">
        <v>12.76181456</v>
      </c>
      <c r="F29" s="20" t="n">
        <v>2.00568678</v>
      </c>
      <c r="G29" s="18" t="n">
        <v>12.78233843</v>
      </c>
      <c r="H29" s="20" t="n">
        <v>1.79671102</v>
      </c>
      <c r="I29" s="18" t="n">
        <v>0</v>
      </c>
      <c r="J29" s="20" t="n">
        <v>0</v>
      </c>
      <c r="K29" s="18" t="n">
        <v>35.99234</v>
      </c>
      <c r="L29" s="20" t="n">
        <v>3.00090821</v>
      </c>
      <c r="M29" s="18" t="n">
        <v>16.1419642</v>
      </c>
      <c r="N29" s="20" t="n">
        <v>1.60441113</v>
      </c>
      <c r="O29" s="18" t="n">
        <v>16.70532927</v>
      </c>
      <c r="P29" s="20" t="n">
        <v>1.778337</v>
      </c>
      <c r="Q29" s="18" t="n">
        <v>0</v>
      </c>
      <c r="R29" s="20" t="n">
        <v>0</v>
      </c>
      <c r="S29" s="18" t="n">
        <v>0.42764208</v>
      </c>
      <c r="T29" s="20" t="n">
        <v>0.33070974</v>
      </c>
      <c r="U29" s="18" t="n">
        <v>0</v>
      </c>
      <c r="V29" s="20" t="n">
        <v>0</v>
      </c>
      <c r="W29" s="18" t="n">
        <v>0</v>
      </c>
      <c r="X29" s="20" t="n">
        <v>0</v>
      </c>
      <c r="Y29" s="18" t="n">
        <v>5.18857145</v>
      </c>
      <c r="Z29" s="20" t="n">
        <v>1.30910826</v>
      </c>
    </row>
    <row r="30" spans="1:26">
      <c r="A30" s="15" t="s">
        <v>588</v>
      </c>
      <c r="B30" s="17" t="n">
        <v>2257</v>
      </c>
      <c r="C30" s="18">
        <f>(2010.0/B30*100)</f>
        <v/>
      </c>
      <c r="D30" s="19" t="n">
        <v>247</v>
      </c>
      <c r="E30" s="18" t="n">
        <v>36.12561021</v>
      </c>
      <c r="F30" s="20" t="n">
        <v>3.48604628</v>
      </c>
      <c r="G30" s="18" t="n">
        <v>10.1537704</v>
      </c>
      <c r="H30" s="20" t="n">
        <v>2.0188665</v>
      </c>
      <c r="I30" s="18" t="n">
        <v>0.43950753</v>
      </c>
      <c r="J30" s="20" t="n">
        <v>0.44953095</v>
      </c>
      <c r="K30" s="18" t="n">
        <v>19.22201338</v>
      </c>
      <c r="L30" s="20" t="n">
        <v>2.42783414</v>
      </c>
      <c r="M30" s="18" t="n">
        <v>23.4775006</v>
      </c>
      <c r="N30" s="20" t="n">
        <v>2.66132534</v>
      </c>
      <c r="O30" s="18" t="n">
        <v>5.04095837</v>
      </c>
      <c r="P30" s="20" t="n">
        <v>1.30191427</v>
      </c>
      <c r="Q30" s="18" t="n">
        <v>0</v>
      </c>
      <c r="R30" s="20" t="n">
        <v>0</v>
      </c>
      <c r="S30" s="18" t="n">
        <v>0</v>
      </c>
      <c r="T30" s="20" t="n">
        <v>0</v>
      </c>
      <c r="U30" s="18" t="n">
        <v>0</v>
      </c>
      <c r="V30" s="20" t="n">
        <v>0</v>
      </c>
      <c r="W30" s="18" t="n">
        <v>0</v>
      </c>
      <c r="X30" s="20" t="n">
        <v>0</v>
      </c>
      <c r="Y30" s="18" t="n">
        <v>5.54063951</v>
      </c>
      <c r="Z30" s="20" t="n">
        <v>1.53011378</v>
      </c>
    </row>
    <row r="31" spans="1:26">
      <c r="A31" s="15" t="s">
        <v>589</v>
      </c>
      <c r="B31" s="17" t="n">
        <v>2706</v>
      </c>
      <c r="C31" s="18">
        <f>(2413.0/B31*100)</f>
        <v/>
      </c>
      <c r="D31" s="19" t="n">
        <v>293</v>
      </c>
      <c r="E31" s="18" t="n">
        <v>36.88605513</v>
      </c>
      <c r="F31" s="20" t="n">
        <v>3.03902296</v>
      </c>
      <c r="G31" s="18" t="n">
        <v>18.0551542</v>
      </c>
      <c r="H31" s="20" t="n">
        <v>2.26396939</v>
      </c>
      <c r="I31" s="18" t="n">
        <v>0</v>
      </c>
      <c r="J31" s="20" t="n">
        <v>0</v>
      </c>
      <c r="K31" s="18" t="n">
        <v>9.481613769999999</v>
      </c>
      <c r="L31" s="20" t="n">
        <v>1.56661243</v>
      </c>
      <c r="M31" s="18" t="n">
        <v>15.37556291</v>
      </c>
      <c r="N31" s="20" t="n">
        <v>2.24774741</v>
      </c>
      <c r="O31" s="18" t="n">
        <v>12.72981371</v>
      </c>
      <c r="P31" s="20" t="n">
        <v>1.77147421</v>
      </c>
      <c r="Q31" s="18" t="n">
        <v>0</v>
      </c>
      <c r="R31" s="20" t="n">
        <v>0</v>
      </c>
      <c r="S31" s="18" t="n">
        <v>0.33478789</v>
      </c>
      <c r="T31" s="20" t="n">
        <v>0.30219483</v>
      </c>
      <c r="U31" s="18" t="n">
        <v>0</v>
      </c>
      <c r="V31" s="20" t="n">
        <v>0</v>
      </c>
      <c r="W31" s="18" t="n">
        <v>0</v>
      </c>
      <c r="X31" s="20" t="n">
        <v>0</v>
      </c>
      <c r="Y31" s="18" t="n">
        <v>7.13701238</v>
      </c>
      <c r="Z31" s="20" t="n">
        <v>1.63924746</v>
      </c>
    </row>
    <row r="32" spans="1:26">
      <c r="A32" s="15" t="s">
        <v>590</v>
      </c>
      <c r="B32" s="17" t="n">
        <v>2209</v>
      </c>
      <c r="C32" s="18">
        <f>(1966.0/B32*100)</f>
        <v/>
      </c>
      <c r="D32" s="19" t="n">
        <v>243</v>
      </c>
      <c r="E32" s="18" t="n">
        <v>23.59957955</v>
      </c>
      <c r="F32" s="20" t="n">
        <v>2.93492798</v>
      </c>
      <c r="G32" s="18" t="n">
        <v>9.420893400000001</v>
      </c>
      <c r="H32" s="20" t="n">
        <v>1.86721684</v>
      </c>
      <c r="I32" s="18" t="n">
        <v>0.89414508</v>
      </c>
      <c r="J32" s="20" t="n">
        <v>0.63187668</v>
      </c>
      <c r="K32" s="18" t="n">
        <v>20.63338601</v>
      </c>
      <c r="L32" s="20" t="n">
        <v>2.19555624</v>
      </c>
      <c r="M32" s="18" t="n">
        <v>16.46961648</v>
      </c>
      <c r="N32" s="20" t="n">
        <v>2.41257996</v>
      </c>
      <c r="O32" s="18" t="n">
        <v>19.15365591</v>
      </c>
      <c r="P32" s="20" t="n">
        <v>2.64796787</v>
      </c>
      <c r="Q32" s="18" t="n">
        <v>0</v>
      </c>
      <c r="R32" s="20" t="n">
        <v>0</v>
      </c>
      <c r="S32" s="18" t="n">
        <v>0</v>
      </c>
      <c r="T32" s="20" t="n">
        <v>0</v>
      </c>
      <c r="U32" s="18" t="n">
        <v>0</v>
      </c>
      <c r="V32" s="20" t="n">
        <v>0</v>
      </c>
      <c r="W32" s="18" t="n">
        <v>0</v>
      </c>
      <c r="X32" s="20" t="n">
        <v>0</v>
      </c>
      <c r="Y32" s="18" t="n">
        <v>9.828723569999999</v>
      </c>
      <c r="Z32" s="20" t="n">
        <v>1.97530928</v>
      </c>
    </row>
    <row r="33" spans="1:26">
      <c r="A33" s="15" t="s">
        <v>591</v>
      </c>
      <c r="B33" s="17" t="n">
        <v>3651</v>
      </c>
      <c r="C33" s="18">
        <f>(3245.0/B33*100)</f>
        <v/>
      </c>
      <c r="D33" s="19" t="n">
        <v>406</v>
      </c>
      <c r="E33" s="18" t="n">
        <v>26.06616055</v>
      </c>
      <c r="F33" s="20" t="n">
        <v>2.73490701</v>
      </c>
      <c r="G33" s="18" t="n">
        <v>16.14704127</v>
      </c>
      <c r="H33" s="20" t="n">
        <v>2.17751795</v>
      </c>
      <c r="I33" s="18" t="n">
        <v>0</v>
      </c>
      <c r="J33" s="20" t="n">
        <v>0</v>
      </c>
      <c r="K33" s="18" t="n">
        <v>16.6506569</v>
      </c>
      <c r="L33" s="20" t="n">
        <v>2.15095181</v>
      </c>
      <c r="M33" s="18" t="n">
        <v>29.20826608</v>
      </c>
      <c r="N33" s="20" t="n">
        <v>2.88463303</v>
      </c>
      <c r="O33" s="18" t="n">
        <v>4.34645679</v>
      </c>
      <c r="P33" s="20" t="n">
        <v>1.03555937</v>
      </c>
      <c r="Q33" s="18" t="n">
        <v>0</v>
      </c>
      <c r="R33" s="20" t="n">
        <v>0</v>
      </c>
      <c r="S33" s="18" t="n">
        <v>0</v>
      </c>
      <c r="T33" s="20" t="n">
        <v>0</v>
      </c>
      <c r="U33" s="18" t="n">
        <v>0.42882604</v>
      </c>
      <c r="V33" s="20" t="n">
        <v>0.4790649</v>
      </c>
      <c r="W33" s="18" t="n">
        <v>0</v>
      </c>
      <c r="X33" s="20" t="n">
        <v>0</v>
      </c>
      <c r="Y33" s="18" t="n">
        <v>7.15259237</v>
      </c>
      <c r="Z33" s="20" t="n">
        <v>1.51280715</v>
      </c>
    </row>
    <row r="34" spans="1:26">
      <c r="A34" s="15" t="s">
        <v>592</v>
      </c>
      <c r="B34" s="17" t="n">
        <v>3035</v>
      </c>
      <c r="C34" s="18">
        <f>(2723.0/B34*100)</f>
        <v/>
      </c>
      <c r="D34" s="19" t="n">
        <v>312</v>
      </c>
      <c r="E34" s="18" t="n">
        <v>12.16832608</v>
      </c>
      <c r="F34" s="20" t="n">
        <v>2.21798603</v>
      </c>
      <c r="G34" s="18" t="n">
        <v>25.39876254</v>
      </c>
      <c r="H34" s="20" t="n">
        <v>3.00673825</v>
      </c>
      <c r="I34" s="18" t="n">
        <v>0.72577615</v>
      </c>
      <c r="J34" s="20" t="n">
        <v>0.36297637</v>
      </c>
      <c r="K34" s="18" t="n">
        <v>24.40873153</v>
      </c>
      <c r="L34" s="20" t="n">
        <v>2.85429205</v>
      </c>
      <c r="M34" s="18" t="n">
        <v>13.7825761</v>
      </c>
      <c r="N34" s="20" t="n">
        <v>1.96150908</v>
      </c>
      <c r="O34" s="18" t="n">
        <v>11.20678445</v>
      </c>
      <c r="P34" s="20" t="n">
        <v>1.85269663</v>
      </c>
      <c r="Q34" s="18" t="n">
        <v>0</v>
      </c>
      <c r="R34" s="20" t="n">
        <v>0</v>
      </c>
      <c r="S34" s="18" t="n">
        <v>0.43699661</v>
      </c>
      <c r="T34" s="20" t="n">
        <v>0.24521887</v>
      </c>
      <c r="U34" s="18" t="n">
        <v>0</v>
      </c>
      <c r="V34" s="20" t="n">
        <v>0</v>
      </c>
      <c r="W34" s="18" t="n">
        <v>0</v>
      </c>
      <c r="X34" s="20" t="n">
        <v>0</v>
      </c>
      <c r="Y34" s="18" t="n">
        <v>11.87204654</v>
      </c>
      <c r="Z34" s="20" t="n">
        <v>2.00675235</v>
      </c>
    </row>
    <row r="35" spans="1:26">
      <c r="A35" s="15" t="s">
        <v>593</v>
      </c>
      <c r="B35" s="17" t="n">
        <v>2901</v>
      </c>
      <c r="C35" s="18">
        <f>(2576.0/B35*100)</f>
        <v/>
      </c>
      <c r="D35" s="19" t="n">
        <v>325</v>
      </c>
      <c r="E35" s="18" t="n">
        <v>19.44367172</v>
      </c>
      <c r="F35" s="20" t="n">
        <v>3.10768185</v>
      </c>
      <c r="G35" s="18" t="n">
        <v>15.77435648</v>
      </c>
      <c r="H35" s="20" t="n">
        <v>2.14951488</v>
      </c>
      <c r="I35" s="18" t="n">
        <v>0.1538961</v>
      </c>
      <c r="J35" s="20" t="n">
        <v>0.15509639</v>
      </c>
      <c r="K35" s="18" t="n">
        <v>21.67996289</v>
      </c>
      <c r="L35" s="20" t="n">
        <v>2.37432911</v>
      </c>
      <c r="M35" s="18" t="n">
        <v>23.62682445</v>
      </c>
      <c r="N35" s="20" t="n">
        <v>3.00802213</v>
      </c>
      <c r="O35" s="18" t="n">
        <v>10.08487944</v>
      </c>
      <c r="P35" s="20" t="n">
        <v>2.27236587</v>
      </c>
      <c r="Q35" s="18" t="n">
        <v>0</v>
      </c>
      <c r="R35" s="20" t="n">
        <v>0</v>
      </c>
      <c r="S35" s="18" t="n">
        <v>0</v>
      </c>
      <c r="T35" s="20" t="n">
        <v>0</v>
      </c>
      <c r="U35" s="18" t="n">
        <v>0</v>
      </c>
      <c r="V35" s="20" t="n">
        <v>0</v>
      </c>
      <c r="W35" s="18" t="n">
        <v>0</v>
      </c>
      <c r="X35" s="20" t="n">
        <v>0</v>
      </c>
      <c r="Y35" s="18" t="n">
        <v>9.23640891</v>
      </c>
      <c r="Z35" s="20" t="n">
        <v>1.73113105</v>
      </c>
    </row>
    <row r="36" spans="1:26">
      <c r="A36" s="15" t="s">
        <v>594</v>
      </c>
      <c r="B36" s="17" t="n">
        <v>3404</v>
      </c>
      <c r="C36" s="18">
        <f>(3033.0/B36*100)</f>
        <v/>
      </c>
      <c r="D36" s="19" t="n">
        <v>371</v>
      </c>
      <c r="E36" s="18" t="n">
        <v>22.38814528</v>
      </c>
      <c r="F36" s="20" t="n">
        <v>2.14993245</v>
      </c>
      <c r="G36" s="18" t="n">
        <v>10.9054692</v>
      </c>
      <c r="H36" s="20" t="n">
        <v>1.57364747</v>
      </c>
      <c r="I36" s="18" t="n">
        <v>0.64151292</v>
      </c>
      <c r="J36" s="20" t="n">
        <v>0.46149316</v>
      </c>
      <c r="K36" s="18" t="n">
        <v>23.19273279</v>
      </c>
      <c r="L36" s="20" t="n">
        <v>2.23015743</v>
      </c>
      <c r="M36" s="18" t="n">
        <v>33.27599557</v>
      </c>
      <c r="N36" s="20" t="n">
        <v>2.31744447</v>
      </c>
      <c r="O36" s="18" t="n">
        <v>3.12202305</v>
      </c>
      <c r="P36" s="20" t="n">
        <v>0.78492638</v>
      </c>
      <c r="Q36" s="18" t="n">
        <v>0</v>
      </c>
      <c r="R36" s="20" t="n">
        <v>0</v>
      </c>
      <c r="S36" s="18" t="n">
        <v>0</v>
      </c>
      <c r="T36" s="20" t="n">
        <v>0</v>
      </c>
      <c r="U36" s="18" t="n">
        <v>0</v>
      </c>
      <c r="V36" s="20" t="n">
        <v>0</v>
      </c>
      <c r="W36" s="18" t="n">
        <v>0</v>
      </c>
      <c r="X36" s="20" t="n">
        <v>0</v>
      </c>
      <c r="Y36" s="18" t="n">
        <v>6.47412119</v>
      </c>
      <c r="Z36" s="20" t="n">
        <v>1.51092804</v>
      </c>
    </row>
    <row r="37" spans="1:26">
      <c r="A37" s="15" t="s">
        <v>595</v>
      </c>
      <c r="B37" s="17" t="n">
        <v>2731</v>
      </c>
      <c r="C37" s="18">
        <f>(2433.0/B37*100)</f>
        <v/>
      </c>
      <c r="D37" s="19" t="n">
        <v>298</v>
      </c>
      <c r="E37" s="18" t="n">
        <v>21.76715396</v>
      </c>
      <c r="F37" s="20" t="n">
        <v>2.49791371</v>
      </c>
      <c r="G37" s="18" t="n">
        <v>6.01611836</v>
      </c>
      <c r="H37" s="20" t="n">
        <v>1.35831487</v>
      </c>
      <c r="I37" s="18" t="n">
        <v>0</v>
      </c>
      <c r="J37" s="20" t="n">
        <v>0</v>
      </c>
      <c r="K37" s="18" t="n">
        <v>25.05684977</v>
      </c>
      <c r="L37" s="20" t="n">
        <v>2.59424981</v>
      </c>
      <c r="M37" s="18" t="n">
        <v>20.26350875</v>
      </c>
      <c r="N37" s="20" t="n">
        <v>2.43182796</v>
      </c>
      <c r="O37" s="18" t="n">
        <v>14.12745075</v>
      </c>
      <c r="P37" s="20" t="n">
        <v>2.14832009</v>
      </c>
      <c r="Q37" s="18" t="n">
        <v>0</v>
      </c>
      <c r="R37" s="20" t="n">
        <v>0</v>
      </c>
      <c r="S37" s="18" t="n">
        <v>0</v>
      </c>
      <c r="T37" s="20" t="n">
        <v>0</v>
      </c>
      <c r="U37" s="18" t="n">
        <v>0</v>
      </c>
      <c r="V37" s="20" t="n">
        <v>0</v>
      </c>
      <c r="W37" s="18" t="n">
        <v>0</v>
      </c>
      <c r="X37" s="20" t="n">
        <v>0</v>
      </c>
      <c r="Y37" s="18" t="n">
        <v>12.76891841</v>
      </c>
      <c r="Z37" s="20" t="n">
        <v>1.933428</v>
      </c>
    </row>
    <row r="38" spans="1:26">
      <c r="A38" s="15" t="s">
        <v>596</v>
      </c>
      <c r="B38" s="17" t="n">
        <v>2807</v>
      </c>
      <c r="C38" s="18">
        <f>(2509.0/B38*100)</f>
        <v/>
      </c>
      <c r="D38" s="19" t="n">
        <v>298</v>
      </c>
      <c r="E38" s="18" t="n">
        <v>21.1619655</v>
      </c>
      <c r="F38" s="20" t="n">
        <v>2.87399728</v>
      </c>
      <c r="G38" s="18" t="n">
        <v>17.12184927</v>
      </c>
      <c r="H38" s="20" t="n">
        <v>2.48329873</v>
      </c>
      <c r="I38" s="18" t="n">
        <v>0.66274298</v>
      </c>
      <c r="J38" s="20" t="n">
        <v>0.46561511</v>
      </c>
      <c r="K38" s="18" t="n">
        <v>14.66544478</v>
      </c>
      <c r="L38" s="20" t="n">
        <v>2.14001783</v>
      </c>
      <c r="M38" s="18" t="n">
        <v>20.86095284</v>
      </c>
      <c r="N38" s="20" t="n">
        <v>2.69145804</v>
      </c>
      <c r="O38" s="18" t="n">
        <v>9.570039810000001</v>
      </c>
      <c r="P38" s="20" t="n">
        <v>1.64654393</v>
      </c>
      <c r="Q38" s="18" t="n">
        <v>0</v>
      </c>
      <c r="R38" s="20" t="n">
        <v>0</v>
      </c>
      <c r="S38" s="18" t="n">
        <v>0.27885979</v>
      </c>
      <c r="T38" s="20" t="n">
        <v>0.28005581</v>
      </c>
      <c r="U38" s="18" t="n">
        <v>4.33010861</v>
      </c>
      <c r="V38" s="20" t="n">
        <v>1.40542492</v>
      </c>
      <c r="W38" s="18" t="n">
        <v>0</v>
      </c>
      <c r="X38" s="20" t="n">
        <v>0</v>
      </c>
      <c r="Y38" s="18" t="n">
        <v>11.34803643</v>
      </c>
      <c r="Z38" s="20" t="n">
        <v>2.09610329</v>
      </c>
    </row>
    <row r="39" spans="1:26">
      <c r="A39" s="15" t="s">
        <v>597</v>
      </c>
      <c r="B39" s="17" t="n">
        <v>2938</v>
      </c>
      <c r="C39" s="18">
        <f>(2613.0/B39*100)</f>
        <v/>
      </c>
      <c r="D39" s="19" t="n">
        <v>325</v>
      </c>
      <c r="E39" s="18" t="n">
        <v>27.31370001</v>
      </c>
      <c r="F39" s="20" t="n">
        <v>2.44019262</v>
      </c>
      <c r="G39" s="18" t="n">
        <v>9.10926304</v>
      </c>
      <c r="H39" s="20" t="n">
        <v>1.86405417</v>
      </c>
      <c r="I39" s="18" t="n">
        <v>1.17937287</v>
      </c>
      <c r="J39" s="20" t="n">
        <v>0.70901036</v>
      </c>
      <c r="K39" s="18" t="n">
        <v>33.89550144</v>
      </c>
      <c r="L39" s="20" t="n">
        <v>2.58837886</v>
      </c>
      <c r="M39" s="18" t="n">
        <v>10.52833172</v>
      </c>
      <c r="N39" s="20" t="n">
        <v>1.65731688</v>
      </c>
      <c r="O39" s="18" t="n">
        <v>6.50497396</v>
      </c>
      <c r="P39" s="20" t="n">
        <v>1.28515828</v>
      </c>
      <c r="Q39" s="18" t="n">
        <v>0</v>
      </c>
      <c r="R39" s="20" t="n">
        <v>0</v>
      </c>
      <c r="S39" s="18" t="n">
        <v>0</v>
      </c>
      <c r="T39" s="20" t="n">
        <v>0</v>
      </c>
      <c r="U39" s="18" t="n">
        <v>0</v>
      </c>
      <c r="V39" s="20" t="n">
        <v>0</v>
      </c>
      <c r="W39" s="18" t="n">
        <v>0</v>
      </c>
      <c r="X39" s="20" t="n">
        <v>0</v>
      </c>
      <c r="Y39" s="18" t="n">
        <v>11.46885695</v>
      </c>
      <c r="Z39" s="20" t="n">
        <v>1.58451167</v>
      </c>
    </row>
    <row r="40" spans="1:26">
      <c r="A40" s="15" t="s">
        <v>598</v>
      </c>
      <c r="B40" s="17" t="n">
        <v>6922</v>
      </c>
      <c r="C40" s="18">
        <f>(6187.0/B40*100)</f>
        <v/>
      </c>
      <c r="D40" s="19" t="n">
        <v>735</v>
      </c>
      <c r="E40" s="18" t="n">
        <v>39.98378145</v>
      </c>
      <c r="F40" s="20" t="n">
        <v>2.74477749</v>
      </c>
      <c r="G40" s="18" t="n">
        <v>10.2146697</v>
      </c>
      <c r="H40" s="20" t="n">
        <v>1.955794</v>
      </c>
      <c r="I40" s="18" t="n">
        <v>1.06918265</v>
      </c>
      <c r="J40" s="20" t="n">
        <v>0.6001241899999999</v>
      </c>
      <c r="K40" s="18" t="n">
        <v>19.48138189</v>
      </c>
      <c r="L40" s="20" t="n">
        <v>2.52643383</v>
      </c>
      <c r="M40" s="18" t="n">
        <v>22.09373317</v>
      </c>
      <c r="N40" s="20" t="n">
        <v>2.82287981</v>
      </c>
      <c r="O40" s="18" t="n">
        <v>2.70208663</v>
      </c>
      <c r="P40" s="20" t="n">
        <v>1.0991598</v>
      </c>
      <c r="Q40" s="18" t="n">
        <v>0</v>
      </c>
      <c r="R40" s="20" t="n">
        <v>0</v>
      </c>
      <c r="S40" s="18" t="n">
        <v>0.02902472</v>
      </c>
      <c r="T40" s="20" t="n">
        <v>0.04035762</v>
      </c>
      <c r="U40" s="18" t="n">
        <v>0</v>
      </c>
      <c r="V40" s="20" t="n">
        <v>0</v>
      </c>
      <c r="W40" s="18" t="n">
        <v>0</v>
      </c>
      <c r="X40" s="20" t="n">
        <v>0</v>
      </c>
      <c r="Y40" s="18" t="n">
        <v>4.4261398</v>
      </c>
      <c r="Z40" s="20" t="n">
        <v>0.93830141</v>
      </c>
    </row>
    <row r="41" spans="1:26">
      <c r="A41" s="15" t="s">
        <v>599</v>
      </c>
      <c r="B41" s="17" t="n">
        <v>2854</v>
      </c>
      <c r="C41" s="18">
        <f>(2546.0/B41*100)</f>
        <v/>
      </c>
      <c r="D41" s="19" t="n">
        <v>308</v>
      </c>
      <c r="E41" s="18" t="n">
        <v>35.59058349</v>
      </c>
      <c r="F41" s="20" t="n">
        <v>2.31329901</v>
      </c>
      <c r="G41" s="18" t="n">
        <v>11.22157657</v>
      </c>
      <c r="H41" s="20" t="n">
        <v>1.88550874</v>
      </c>
      <c r="I41" s="18" t="n">
        <v>0.08272554999999999</v>
      </c>
      <c r="J41" s="20" t="n">
        <v>0.08842808000000001</v>
      </c>
      <c r="K41" s="18" t="n">
        <v>24.85435513</v>
      </c>
      <c r="L41" s="20" t="n">
        <v>2.34931997</v>
      </c>
      <c r="M41" s="18" t="n">
        <v>21.19842958</v>
      </c>
      <c r="N41" s="20" t="n">
        <v>2.33335995</v>
      </c>
      <c r="O41" s="18" t="n">
        <v>6.47748578</v>
      </c>
      <c r="P41" s="20" t="n">
        <v>1.6984616</v>
      </c>
      <c r="Q41" s="18" t="n">
        <v>0</v>
      </c>
      <c r="R41" s="20" t="n">
        <v>0</v>
      </c>
      <c r="S41" s="18" t="n">
        <v>0</v>
      </c>
      <c r="T41" s="20" t="n">
        <v>0</v>
      </c>
      <c r="U41" s="18" t="n">
        <v>0</v>
      </c>
      <c r="V41" s="20" t="n">
        <v>0</v>
      </c>
      <c r="W41" s="18" t="n">
        <v>0</v>
      </c>
      <c r="X41" s="20" t="n">
        <v>0</v>
      </c>
      <c r="Y41" s="18" t="n">
        <v>0.57484391</v>
      </c>
      <c r="Z41" s="20" t="n">
        <v>0.39568447</v>
      </c>
    </row>
    <row r="42" spans="1:26">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c r="U44" s="18" t="s">
        <v>603</v>
      </c>
      <c r="V44" s="20" t="s">
        <v>603</v>
      </c>
      <c r="W44" s="18" t="s">
        <v>603</v>
      </c>
      <c r="X44" s="20" t="s">
        <v>603</v>
      </c>
      <c r="Y44" s="18" t="s">
        <v>603</v>
      </c>
      <c r="Z44" s="20" t="s">
        <v>603</v>
      </c>
    </row>
    <row r="45" spans="1:26">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c r="U45" s="18" t="s">
        <v>603</v>
      </c>
      <c r="V45" s="20" t="s">
        <v>603</v>
      </c>
      <c r="W45" s="18" t="s">
        <v>603</v>
      </c>
      <c r="X45" s="20" t="s">
        <v>603</v>
      </c>
      <c r="Y45" s="18" t="s">
        <v>603</v>
      </c>
      <c r="Z45" s="20" t="s">
        <v>603</v>
      </c>
    </row>
    <row r="46" spans="1:26">
      <c r="A46" s="15" t="s">
        <v>605</v>
      </c>
      <c r="B46" s="17" t="n">
        <v>12073</v>
      </c>
      <c r="C46" s="18">
        <f>(10907.0/B46*100)</f>
        <v/>
      </c>
      <c r="D46" s="19" t="n">
        <v>1166</v>
      </c>
      <c r="E46" s="18" t="n">
        <v>7.17889596</v>
      </c>
      <c r="F46" s="20" t="n">
        <v>0.9722524</v>
      </c>
      <c r="G46" s="18" t="n">
        <v>26.21791184</v>
      </c>
      <c r="H46" s="20" t="n">
        <v>1.65657298</v>
      </c>
      <c r="I46" s="18" t="n">
        <v>0</v>
      </c>
      <c r="J46" s="20" t="n">
        <v>0</v>
      </c>
      <c r="K46" s="18" t="n">
        <v>36.1372275</v>
      </c>
      <c r="L46" s="20" t="n">
        <v>1.75400781</v>
      </c>
      <c r="M46" s="18" t="n">
        <v>15.60844804</v>
      </c>
      <c r="N46" s="20" t="n">
        <v>1.36335509</v>
      </c>
      <c r="O46" s="18" t="n">
        <v>2.95668977</v>
      </c>
      <c r="P46" s="20" t="n">
        <v>0.5487712</v>
      </c>
      <c r="Q46" s="18" t="n">
        <v>0</v>
      </c>
      <c r="R46" s="20" t="n">
        <v>0</v>
      </c>
      <c r="S46" s="18" t="n">
        <v>0.17879461</v>
      </c>
      <c r="T46" s="20" t="n">
        <v>0.15176909</v>
      </c>
      <c r="U46" s="18" t="n">
        <v>0.27652095</v>
      </c>
      <c r="V46" s="20" t="n">
        <v>0.21186061</v>
      </c>
      <c r="W46" s="18" t="n">
        <v>0</v>
      </c>
      <c r="X46" s="20" t="n">
        <v>0</v>
      </c>
      <c r="Y46" s="18" t="n">
        <v>11.44551131</v>
      </c>
      <c r="Z46" s="20" t="n">
        <v>1.19156966</v>
      </c>
    </row>
    <row r="47" spans="1:26">
      <c r="A47" s="15" t="s">
        <v>606</v>
      </c>
      <c r="B47" s="17" t="n">
        <v>2823</v>
      </c>
      <c r="C47" s="18">
        <f>(2517.0/B47*100)</f>
        <v/>
      </c>
      <c r="D47" s="19" t="n">
        <v>306</v>
      </c>
      <c r="E47" s="18" t="n">
        <v>27.32484037</v>
      </c>
      <c r="F47" s="20" t="n">
        <v>2.55185511</v>
      </c>
      <c r="G47" s="18" t="n">
        <v>3.86393883</v>
      </c>
      <c r="H47" s="20" t="n">
        <v>1.18631222</v>
      </c>
      <c r="I47" s="18" t="n">
        <v>0.28044693</v>
      </c>
      <c r="J47" s="20" t="n">
        <v>0.2831562</v>
      </c>
      <c r="K47" s="18" t="n">
        <v>21.60314884</v>
      </c>
      <c r="L47" s="20" t="n">
        <v>2.2831655</v>
      </c>
      <c r="M47" s="18" t="n">
        <v>21.8381962</v>
      </c>
      <c r="N47" s="20" t="n">
        <v>2.44408161</v>
      </c>
      <c r="O47" s="18" t="n">
        <v>7.02618722</v>
      </c>
      <c r="P47" s="20" t="n">
        <v>1.7124399</v>
      </c>
      <c r="Q47" s="18" t="n">
        <v>0</v>
      </c>
      <c r="R47" s="20" t="n">
        <v>0</v>
      </c>
      <c r="S47" s="18" t="n">
        <v>1.01263941</v>
      </c>
      <c r="T47" s="20" t="n">
        <v>0.6668414499999999</v>
      </c>
      <c r="U47" s="18" t="n">
        <v>0</v>
      </c>
      <c r="V47" s="20" t="n">
        <v>0</v>
      </c>
      <c r="W47" s="18" t="n">
        <v>0</v>
      </c>
      <c r="X47" s="20" t="n">
        <v>0</v>
      </c>
      <c r="Y47" s="18" t="n">
        <v>17.0506022</v>
      </c>
      <c r="Z47" s="20" t="n">
        <v>2.37788941</v>
      </c>
    </row>
    <row r="48" spans="1:26">
      <c r="A48" s="15" t="s">
        <v>607</v>
      </c>
      <c r="B48" s="17" t="n">
        <v>4682</v>
      </c>
      <c r="C48" s="18">
        <f>(4186.0/B48*100)</f>
        <v/>
      </c>
      <c r="D48" s="19" t="n">
        <v>496</v>
      </c>
      <c r="E48" s="18" t="n">
        <v>18.46830169</v>
      </c>
      <c r="F48" s="20" t="n">
        <v>2.078774</v>
      </c>
      <c r="G48" s="18" t="n">
        <v>1.78729203</v>
      </c>
      <c r="H48" s="20" t="n">
        <v>0.57010673</v>
      </c>
      <c r="I48" s="18" t="n">
        <v>0.30536317</v>
      </c>
      <c r="J48" s="20" t="n">
        <v>0.21470401</v>
      </c>
      <c r="K48" s="18" t="n">
        <v>16.24197753</v>
      </c>
      <c r="L48" s="20" t="n">
        <v>2.21493444</v>
      </c>
      <c r="M48" s="18" t="n">
        <v>17.56257947</v>
      </c>
      <c r="N48" s="20" t="n">
        <v>2.53734736</v>
      </c>
      <c r="O48" s="18" t="n">
        <v>37.19546929</v>
      </c>
      <c r="P48" s="20" t="n">
        <v>2.70656233</v>
      </c>
      <c r="Q48" s="18" t="n">
        <v>0</v>
      </c>
      <c r="R48" s="20" t="n">
        <v>0</v>
      </c>
      <c r="S48" s="18" t="n">
        <v>0.30942083</v>
      </c>
      <c r="T48" s="20" t="n">
        <v>0.31348072</v>
      </c>
      <c r="U48" s="18" t="n">
        <v>0.06197862</v>
      </c>
      <c r="V48" s="20" t="n">
        <v>0.04728931</v>
      </c>
      <c r="W48" s="18" t="n">
        <v>0</v>
      </c>
      <c r="X48" s="20" t="n">
        <v>0</v>
      </c>
      <c r="Y48" s="18" t="n">
        <v>8.067617370000001</v>
      </c>
      <c r="Z48" s="20" t="n">
        <v>1.58574104</v>
      </c>
    </row>
    <row r="49" spans="1:26">
      <c r="A49" s="15" t="s">
        <v>608</v>
      </c>
      <c r="B49" s="17" t="n">
        <v>6158</v>
      </c>
      <c r="C49" s="18">
        <f>(5487.0/B49*100)</f>
        <v/>
      </c>
      <c r="D49" s="19" t="n">
        <v>671</v>
      </c>
      <c r="E49" s="18" t="n">
        <v>43.05839929</v>
      </c>
      <c r="F49" s="20" t="n">
        <v>2.60634013</v>
      </c>
      <c r="G49" s="18" t="n">
        <v>4.89646812</v>
      </c>
      <c r="H49" s="20" t="n">
        <v>1.0728474</v>
      </c>
      <c r="I49" s="18" t="n">
        <v>1.08721068</v>
      </c>
      <c r="J49" s="20" t="n">
        <v>0.46788511</v>
      </c>
      <c r="K49" s="18" t="n">
        <v>38.06647735</v>
      </c>
      <c r="L49" s="20" t="n">
        <v>2.51490505</v>
      </c>
      <c r="M49" s="18" t="n">
        <v>7.32438196</v>
      </c>
      <c r="N49" s="20" t="n">
        <v>1.11703106</v>
      </c>
      <c r="O49" s="18" t="n">
        <v>2.53097942</v>
      </c>
      <c r="P49" s="20" t="n">
        <v>0.60540702</v>
      </c>
      <c r="Q49" s="18" t="n">
        <v>0</v>
      </c>
      <c r="R49" s="20" t="n">
        <v>0</v>
      </c>
      <c r="S49" s="18" t="n">
        <v>0.31234895</v>
      </c>
      <c r="T49" s="20" t="n">
        <v>0.24120689</v>
      </c>
      <c r="U49" s="18" t="n">
        <v>0.16341271</v>
      </c>
      <c r="V49" s="20" t="n">
        <v>0.10642206</v>
      </c>
      <c r="W49" s="18" t="n">
        <v>0</v>
      </c>
      <c r="X49" s="20" t="n">
        <v>0</v>
      </c>
      <c r="Y49" s="18" t="n">
        <v>2.56032151</v>
      </c>
      <c r="Z49" s="20" t="n">
        <v>0.68397261</v>
      </c>
    </row>
    <row r="50" spans="1:26">
      <c r="A50" s="15" t="s">
        <v>609</v>
      </c>
      <c r="B50" s="17" t="n">
        <v>3494</v>
      </c>
      <c r="C50" s="18">
        <f>(3158.0/B50*100)</f>
        <v/>
      </c>
      <c r="D50" s="19" t="n">
        <v>336</v>
      </c>
      <c r="E50" s="18" t="n">
        <v>16.33348844</v>
      </c>
      <c r="F50" s="20" t="n">
        <v>2.11116682</v>
      </c>
      <c r="G50" s="18" t="n">
        <v>5.90786371</v>
      </c>
      <c r="H50" s="20" t="n">
        <v>1.29425507</v>
      </c>
      <c r="I50" s="18" t="n">
        <v>0.31639244</v>
      </c>
      <c r="J50" s="20" t="n">
        <v>0.26059684</v>
      </c>
      <c r="K50" s="18" t="n">
        <v>49.42223896</v>
      </c>
      <c r="L50" s="20" t="n">
        <v>2.75018373</v>
      </c>
      <c r="M50" s="18" t="n">
        <v>17.88720624</v>
      </c>
      <c r="N50" s="20" t="n">
        <v>2.42014661</v>
      </c>
      <c r="O50" s="18" t="n">
        <v>4.5650684</v>
      </c>
      <c r="P50" s="20" t="n">
        <v>1.35747351</v>
      </c>
      <c r="Q50" s="18" t="n">
        <v>0</v>
      </c>
      <c r="R50" s="20" t="n">
        <v>0</v>
      </c>
      <c r="S50" s="18" t="n">
        <v>0</v>
      </c>
      <c r="T50" s="20" t="n">
        <v>0</v>
      </c>
      <c r="U50" s="18" t="n">
        <v>0</v>
      </c>
      <c r="V50" s="20" t="n">
        <v>0</v>
      </c>
      <c r="W50" s="18" t="n">
        <v>0</v>
      </c>
      <c r="X50" s="20" t="n">
        <v>0</v>
      </c>
      <c r="Y50" s="18" t="n">
        <v>5.5677418</v>
      </c>
      <c r="Z50" s="20" t="n">
        <v>1.21799039</v>
      </c>
    </row>
    <row r="51" spans="1:26">
      <c r="A51" s="15" t="s">
        <v>610</v>
      </c>
      <c r="B51" s="17" t="n">
        <v>3013</v>
      </c>
      <c r="C51" s="18">
        <f>(2700.0/B51*100)</f>
        <v/>
      </c>
      <c r="D51" s="19" t="n">
        <v>313</v>
      </c>
      <c r="E51" s="18" t="n">
        <v>21.18585131</v>
      </c>
      <c r="F51" s="20" t="n">
        <v>2.33668878</v>
      </c>
      <c r="G51" s="18" t="n">
        <v>9.753942629999999</v>
      </c>
      <c r="H51" s="20" t="n">
        <v>1.57842614</v>
      </c>
      <c r="I51" s="18" t="n">
        <v>0.21424576</v>
      </c>
      <c r="J51" s="20" t="n">
        <v>0.21397389</v>
      </c>
      <c r="K51" s="18" t="n">
        <v>27.4838813</v>
      </c>
      <c r="L51" s="20" t="n">
        <v>2.6718088</v>
      </c>
      <c r="M51" s="18" t="n">
        <v>16.0110814</v>
      </c>
      <c r="N51" s="20" t="n">
        <v>2.09937808</v>
      </c>
      <c r="O51" s="18" t="n">
        <v>6.93378041</v>
      </c>
      <c r="P51" s="20" t="n">
        <v>1.70743759</v>
      </c>
      <c r="Q51" s="18" t="n">
        <v>0</v>
      </c>
      <c r="R51" s="20" t="n">
        <v>0</v>
      </c>
      <c r="S51" s="18" t="n">
        <v>0</v>
      </c>
      <c r="T51" s="20" t="n">
        <v>0</v>
      </c>
      <c r="U51" s="18" t="n">
        <v>0</v>
      </c>
      <c r="V51" s="20" t="n">
        <v>0</v>
      </c>
      <c r="W51" s="18" t="n">
        <v>0</v>
      </c>
      <c r="X51" s="20" t="n">
        <v>0</v>
      </c>
      <c r="Y51" s="18" t="n">
        <v>18.41721721</v>
      </c>
      <c r="Z51" s="20" t="n">
        <v>2.39836173</v>
      </c>
    </row>
    <row r="52" spans="1:26">
      <c r="A52" s="15" t="s">
        <v>611</v>
      </c>
      <c r="B52" s="17" t="n">
        <v>2760</v>
      </c>
      <c r="C52" s="18">
        <f>(2467.0/B52*100)</f>
        <v/>
      </c>
      <c r="D52" s="19" t="n">
        <v>293</v>
      </c>
      <c r="E52" s="18" t="n">
        <v>22.91879186</v>
      </c>
      <c r="F52" s="20" t="n">
        <v>2.81074832</v>
      </c>
      <c r="G52" s="18" t="n">
        <v>14.94582964</v>
      </c>
      <c r="H52" s="20" t="n">
        <v>1.98561026</v>
      </c>
      <c r="I52" s="18" t="n">
        <v>0.58692113</v>
      </c>
      <c r="J52" s="20" t="n">
        <v>0.58636609</v>
      </c>
      <c r="K52" s="18" t="n">
        <v>18.97809608</v>
      </c>
      <c r="L52" s="20" t="n">
        <v>2.38242031</v>
      </c>
      <c r="M52" s="18" t="n">
        <v>13.65746996</v>
      </c>
      <c r="N52" s="20" t="n">
        <v>2.1831336</v>
      </c>
      <c r="O52" s="18" t="n">
        <v>14.05218565</v>
      </c>
      <c r="P52" s="20" t="n">
        <v>2.1286163</v>
      </c>
      <c r="Q52" s="18" t="n">
        <v>0</v>
      </c>
      <c r="R52" s="20" t="n">
        <v>0</v>
      </c>
      <c r="S52" s="18" t="n">
        <v>0.28338245</v>
      </c>
      <c r="T52" s="20" t="n">
        <v>0.2844005</v>
      </c>
      <c r="U52" s="18" t="n">
        <v>0</v>
      </c>
      <c r="V52" s="20" t="n">
        <v>0</v>
      </c>
      <c r="W52" s="18" t="n">
        <v>0</v>
      </c>
      <c r="X52" s="20" t="n">
        <v>0</v>
      </c>
      <c r="Y52" s="18" t="n">
        <v>14.57732322</v>
      </c>
      <c r="Z52" s="20" t="n">
        <v>1.77436556</v>
      </c>
    </row>
    <row r="53" spans="1:26">
      <c r="A53" s="15" t="s">
        <v>612</v>
      </c>
      <c r="B53" s="17" t="n">
        <v>2474</v>
      </c>
      <c r="C53" s="18">
        <f>(2185.0/B53*100)</f>
        <v/>
      </c>
      <c r="D53" s="19" t="n">
        <v>289</v>
      </c>
      <c r="E53" s="18" t="n">
        <v>15.36641025</v>
      </c>
      <c r="F53" s="20" t="n">
        <v>2.39561753</v>
      </c>
      <c r="G53" s="18" t="n">
        <v>4.47440423</v>
      </c>
      <c r="H53" s="20" t="n">
        <v>1.11313323</v>
      </c>
      <c r="I53" s="18" t="n">
        <v>0.62330036</v>
      </c>
      <c r="J53" s="20" t="n">
        <v>0.39499829</v>
      </c>
      <c r="K53" s="18" t="n">
        <v>47.83052057</v>
      </c>
      <c r="L53" s="20" t="n">
        <v>3.38988291</v>
      </c>
      <c r="M53" s="18" t="n">
        <v>7.6946009</v>
      </c>
      <c r="N53" s="20" t="n">
        <v>2.04126763</v>
      </c>
      <c r="O53" s="18" t="n">
        <v>1.83650635</v>
      </c>
      <c r="P53" s="20" t="n">
        <v>0.8916828999999999</v>
      </c>
      <c r="Q53" s="18" t="n">
        <v>0</v>
      </c>
      <c r="R53" s="20" t="n">
        <v>0</v>
      </c>
      <c r="S53" s="18" t="n">
        <v>8.53330985</v>
      </c>
      <c r="T53" s="20" t="n">
        <v>2.07934458</v>
      </c>
      <c r="U53" s="18" t="n">
        <v>0.38594377</v>
      </c>
      <c r="V53" s="20" t="n">
        <v>0.41922493</v>
      </c>
      <c r="W53" s="18" t="n">
        <v>0</v>
      </c>
      <c r="X53" s="20" t="n">
        <v>0</v>
      </c>
      <c r="Y53" s="18" t="n">
        <v>13.25500372</v>
      </c>
      <c r="Z53" s="20" t="n">
        <v>2.3680114</v>
      </c>
    </row>
    <row r="54" spans="1:26">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c r="U54" s="18" t="s">
        <v>603</v>
      </c>
      <c r="V54" s="20" t="s">
        <v>603</v>
      </c>
      <c r="W54" s="18" t="s">
        <v>603</v>
      </c>
      <c r="X54" s="20" t="s">
        <v>603</v>
      </c>
      <c r="Y54" s="18" t="s">
        <v>603</v>
      </c>
      <c r="Z54" s="20" t="s">
        <v>603</v>
      </c>
    </row>
    <row r="55" spans="1:26">
      <c r="A55" s="15" t="s">
        <v>614</v>
      </c>
      <c r="B55" s="17" t="n">
        <v>2675</v>
      </c>
      <c r="C55" s="18">
        <f>(2390.0/B55*100)</f>
        <v/>
      </c>
      <c r="D55" s="19" t="n">
        <v>285</v>
      </c>
      <c r="E55" s="18" t="n">
        <v>14.3927585</v>
      </c>
      <c r="F55" s="20" t="n">
        <v>2.35892591</v>
      </c>
      <c r="G55" s="18" t="n">
        <v>11.13756703</v>
      </c>
      <c r="H55" s="20" t="n">
        <v>2.08562819</v>
      </c>
      <c r="I55" s="18" t="n">
        <v>0.79769061</v>
      </c>
      <c r="J55" s="20" t="n">
        <v>0.54168374</v>
      </c>
      <c r="K55" s="18" t="n">
        <v>9.518804169999999</v>
      </c>
      <c r="L55" s="20" t="n">
        <v>1.61110294</v>
      </c>
      <c r="M55" s="18" t="n">
        <v>27.52837322</v>
      </c>
      <c r="N55" s="20" t="n">
        <v>2.874176</v>
      </c>
      <c r="O55" s="18" t="n">
        <v>34.1785022</v>
      </c>
      <c r="P55" s="20" t="n">
        <v>3.02861425</v>
      </c>
      <c r="Q55" s="18" t="n">
        <v>0</v>
      </c>
      <c r="R55" s="20" t="n">
        <v>0</v>
      </c>
      <c r="S55" s="18" t="n">
        <v>0</v>
      </c>
      <c r="T55" s="20" t="n">
        <v>0</v>
      </c>
      <c r="U55" s="18" t="n">
        <v>0.32358457</v>
      </c>
      <c r="V55" s="20" t="n">
        <v>0.32334322</v>
      </c>
      <c r="W55" s="18" t="n">
        <v>0</v>
      </c>
      <c r="X55" s="20" t="n">
        <v>0</v>
      </c>
      <c r="Y55" s="18" t="n">
        <v>2.1227197</v>
      </c>
      <c r="Z55" s="20" t="n">
        <v>0.77778979</v>
      </c>
    </row>
    <row r="56" spans="1:26">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c r="U56" s="18" t="s">
        <v>603</v>
      </c>
      <c r="V56" s="20" t="s">
        <v>603</v>
      </c>
      <c r="W56" s="18" t="s">
        <v>603</v>
      </c>
      <c r="X56" s="20" t="s">
        <v>603</v>
      </c>
      <c r="Y56" s="18" t="s">
        <v>603</v>
      </c>
      <c r="Z56" s="20" t="s">
        <v>603</v>
      </c>
    </row>
    <row r="57" spans="1:26">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c r="U57" s="18" t="s">
        <v>603</v>
      </c>
      <c r="V57" s="20" t="s">
        <v>603</v>
      </c>
      <c r="W57" s="18" t="s">
        <v>603</v>
      </c>
      <c r="X57" s="20" t="s">
        <v>603</v>
      </c>
      <c r="Y57" s="18" t="s">
        <v>603</v>
      </c>
      <c r="Z57" s="20" t="s">
        <v>603</v>
      </c>
    </row>
    <row r="58" spans="1:26">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c r="W58" s="21" t="s">
        <v>618</v>
      </c>
      <c r="X58" s="22" t="s">
        <v>618</v>
      </c>
      <c r="Y58" s="21" t="s">
        <v>618</v>
      </c>
      <c r="Z58" s="22" t="s">
        <v>618</v>
      </c>
    </row>
    <row r="59" spans="1:26">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c r="U59" s="18" t="s">
        <v>603</v>
      </c>
      <c r="V59" s="20" t="s">
        <v>603</v>
      </c>
      <c r="W59" s="18" t="s">
        <v>603</v>
      </c>
      <c r="X59" s="20" t="s">
        <v>603</v>
      </c>
      <c r="Y59" s="18" t="s">
        <v>603</v>
      </c>
      <c r="Z59" s="20" t="s">
        <v>603</v>
      </c>
    </row>
    <row r="60" spans="1:26">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c r="U60" s="18" t="s">
        <v>603</v>
      </c>
      <c r="V60" s="20" t="s">
        <v>603</v>
      </c>
      <c r="W60" s="18" t="s">
        <v>603</v>
      </c>
      <c r="X60" s="20" t="s">
        <v>603</v>
      </c>
      <c r="Y60" s="18" t="s">
        <v>603</v>
      </c>
      <c r="Z60" s="20" t="s">
        <v>603</v>
      </c>
    </row>
    <row r="61" spans="1:26">
      <c r="A61" s="15" t="s">
        <v>621</v>
      </c>
      <c r="B61" s="17" t="n">
        <v>3201</v>
      </c>
      <c r="C61" s="18">
        <f>(2841.0/B61*100)</f>
        <v/>
      </c>
      <c r="D61" s="19" t="n">
        <v>360</v>
      </c>
      <c r="E61" s="18" t="n">
        <v>19.12190077</v>
      </c>
      <c r="F61" s="20" t="n">
        <v>2.12240819</v>
      </c>
      <c r="G61" s="18" t="n">
        <v>6.68365637</v>
      </c>
      <c r="H61" s="20" t="n">
        <v>1.57532001</v>
      </c>
      <c r="I61" s="18" t="n">
        <v>0</v>
      </c>
      <c r="J61" s="20" t="n">
        <v>0</v>
      </c>
      <c r="K61" s="18" t="n">
        <v>39.25862062</v>
      </c>
      <c r="L61" s="20" t="n">
        <v>2.89606827</v>
      </c>
      <c r="M61" s="18" t="n">
        <v>20.86886939</v>
      </c>
      <c r="N61" s="20" t="n">
        <v>2.44885238</v>
      </c>
      <c r="O61" s="18" t="n">
        <v>10.44352603</v>
      </c>
      <c r="P61" s="20" t="n">
        <v>1.57369822</v>
      </c>
      <c r="Q61" s="18" t="n">
        <v>0</v>
      </c>
      <c r="R61" s="20" t="n">
        <v>0</v>
      </c>
      <c r="S61" s="18" t="n">
        <v>0</v>
      </c>
      <c r="T61" s="20" t="n">
        <v>0</v>
      </c>
      <c r="U61" s="18" t="n">
        <v>0</v>
      </c>
      <c r="V61" s="20" t="n">
        <v>0</v>
      </c>
      <c r="W61" s="18" t="n">
        <v>0</v>
      </c>
      <c r="X61" s="20" t="n">
        <v>0</v>
      </c>
      <c r="Y61" s="18" t="n">
        <v>3.62342682</v>
      </c>
      <c r="Z61" s="20" t="n">
        <v>1.0326125</v>
      </c>
    </row>
    <row r="62" spans="1:26">
      <c r="A62" s="15" t="s">
        <v>622</v>
      </c>
      <c r="B62" s="17" t="n">
        <v>2230</v>
      </c>
      <c r="C62" s="18">
        <f>(2003.0/B62*100)</f>
        <v/>
      </c>
      <c r="D62" s="19" t="n">
        <v>227</v>
      </c>
      <c r="E62" s="18" t="n">
        <v>15.11753204</v>
      </c>
      <c r="F62" s="20" t="n">
        <v>2.72449166</v>
      </c>
      <c r="G62" s="18" t="n">
        <v>14.5009731</v>
      </c>
      <c r="H62" s="20" t="n">
        <v>2.24923467</v>
      </c>
      <c r="I62" s="18" t="n">
        <v>0.46621631</v>
      </c>
      <c r="J62" s="20" t="n">
        <v>0.4668861</v>
      </c>
      <c r="K62" s="18" t="n">
        <v>30.39008411</v>
      </c>
      <c r="L62" s="20" t="n">
        <v>2.74711253</v>
      </c>
      <c r="M62" s="18" t="n">
        <v>14.01935377</v>
      </c>
      <c r="N62" s="20" t="n">
        <v>2.25460227</v>
      </c>
      <c r="O62" s="18" t="n">
        <v>23.30762279</v>
      </c>
      <c r="P62" s="20" t="n">
        <v>2.90320414</v>
      </c>
      <c r="Q62" s="18" t="n">
        <v>0</v>
      </c>
      <c r="R62" s="20" t="n">
        <v>0</v>
      </c>
      <c r="S62" s="18" t="n">
        <v>0</v>
      </c>
      <c r="T62" s="20" t="n">
        <v>0</v>
      </c>
      <c r="U62" s="18" t="n">
        <v>0</v>
      </c>
      <c r="V62" s="20" t="n">
        <v>0</v>
      </c>
      <c r="W62" s="18" t="n">
        <v>0</v>
      </c>
      <c r="X62" s="20" t="n">
        <v>0</v>
      </c>
      <c r="Y62" s="18" t="n">
        <v>2.19821787</v>
      </c>
      <c r="Z62" s="20" t="n">
        <v>0.95199912</v>
      </c>
    </row>
    <row r="63" spans="1:26">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c r="U63" s="18" t="s">
        <v>603</v>
      </c>
      <c r="V63" s="20" t="s">
        <v>603</v>
      </c>
      <c r="W63" s="18" t="s">
        <v>603</v>
      </c>
      <c r="X63" s="20" t="s">
        <v>603</v>
      </c>
      <c r="Y63" s="18" t="s">
        <v>603</v>
      </c>
      <c r="Z63" s="20" t="s">
        <v>603</v>
      </c>
    </row>
    <row r="64" spans="1:26">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c r="W64" s="21" t="s">
        <v>618</v>
      </c>
      <c r="X64" s="22" t="s">
        <v>618</v>
      </c>
      <c r="Y64" s="21" t="s">
        <v>618</v>
      </c>
      <c r="Z64" s="22" t="s">
        <v>618</v>
      </c>
    </row>
    <row r="65" spans="1:26">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c r="U65" s="18" t="s">
        <v>603</v>
      </c>
      <c r="V65" s="20" t="s">
        <v>603</v>
      </c>
      <c r="W65" s="18" t="s">
        <v>603</v>
      </c>
      <c r="X65" s="20" t="s">
        <v>603</v>
      </c>
      <c r="Y65" s="18" t="s">
        <v>603</v>
      </c>
      <c r="Z65" s="20" t="s">
        <v>603</v>
      </c>
    </row>
    <row r="66" spans="1:26">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c r="U66" s="18" t="s">
        <v>603</v>
      </c>
      <c r="V66" s="20" t="s">
        <v>603</v>
      </c>
      <c r="W66" s="18" t="s">
        <v>603</v>
      </c>
      <c r="X66" s="20" t="s">
        <v>603</v>
      </c>
      <c r="Y66" s="18" t="s">
        <v>603</v>
      </c>
      <c r="Z66" s="20" t="s">
        <v>603</v>
      </c>
    </row>
    <row r="67" spans="1:26">
      <c r="A67" s="15" t="s">
        <v>627</v>
      </c>
      <c r="B67" s="17" t="n">
        <v>2771</v>
      </c>
      <c r="C67" s="18">
        <f>(2459.0/B67*100)</f>
        <v/>
      </c>
      <c r="D67" s="19" t="n">
        <v>312</v>
      </c>
      <c r="E67" s="18" t="n">
        <v>17.40450878</v>
      </c>
      <c r="F67" s="20" t="n">
        <v>2.03112603</v>
      </c>
      <c r="G67" s="18" t="n">
        <v>5.76198382</v>
      </c>
      <c r="H67" s="20" t="n">
        <v>1.10264138</v>
      </c>
      <c r="I67" s="18" t="n">
        <v>0</v>
      </c>
      <c r="J67" s="20" t="n">
        <v>0</v>
      </c>
      <c r="K67" s="18" t="n">
        <v>25.54671259</v>
      </c>
      <c r="L67" s="20" t="n">
        <v>2.51899887</v>
      </c>
      <c r="M67" s="18" t="n">
        <v>9.07093089</v>
      </c>
      <c r="N67" s="20" t="n">
        <v>1.78074281</v>
      </c>
      <c r="O67" s="18" t="n">
        <v>17.32310683</v>
      </c>
      <c r="P67" s="20" t="n">
        <v>2.14629649</v>
      </c>
      <c r="Q67" s="18" t="n">
        <v>0</v>
      </c>
      <c r="R67" s="20" t="n">
        <v>0</v>
      </c>
      <c r="S67" s="18" t="n">
        <v>0.26678667</v>
      </c>
      <c r="T67" s="20" t="n">
        <v>0.26703323</v>
      </c>
      <c r="U67" s="18" t="n">
        <v>0.28489348</v>
      </c>
      <c r="V67" s="20" t="n">
        <v>0.28109081</v>
      </c>
      <c r="W67" s="18" t="n">
        <v>0</v>
      </c>
      <c r="X67" s="20" t="n">
        <v>0</v>
      </c>
      <c r="Y67" s="18" t="n">
        <v>24.34107694</v>
      </c>
      <c r="Z67" s="20" t="n">
        <v>2.50916591</v>
      </c>
    </row>
    <row r="68" spans="1:26">
      <c r="A68" s="15" t="s">
        <v>628</v>
      </c>
      <c r="B68" s="17" t="n">
        <v>3460</v>
      </c>
      <c r="C68" s="18">
        <f>(3091.0/B68*100)</f>
        <v/>
      </c>
      <c r="D68" s="19" t="n">
        <v>369</v>
      </c>
      <c r="E68" s="18" t="n">
        <v>35.6199261</v>
      </c>
      <c r="F68" s="20" t="n">
        <v>2.39583948</v>
      </c>
      <c r="G68" s="18" t="n">
        <v>5.60501079</v>
      </c>
      <c r="H68" s="20" t="n">
        <v>1.26767823</v>
      </c>
      <c r="I68" s="18" t="n">
        <v>0.32757105</v>
      </c>
      <c r="J68" s="20" t="n">
        <v>0.32900486</v>
      </c>
      <c r="K68" s="18" t="n">
        <v>35.59735814</v>
      </c>
      <c r="L68" s="20" t="n">
        <v>2.5789333</v>
      </c>
      <c r="M68" s="18" t="n">
        <v>12.06813428</v>
      </c>
      <c r="N68" s="20" t="n">
        <v>1.91000334</v>
      </c>
      <c r="O68" s="18" t="n">
        <v>6.10225336</v>
      </c>
      <c r="P68" s="20" t="n">
        <v>1.10160508</v>
      </c>
      <c r="Q68" s="18" t="n">
        <v>0</v>
      </c>
      <c r="R68" s="20" t="n">
        <v>0</v>
      </c>
      <c r="S68" s="18" t="n">
        <v>0</v>
      </c>
      <c r="T68" s="20" t="n">
        <v>0</v>
      </c>
      <c r="U68" s="18" t="n">
        <v>0.48682571</v>
      </c>
      <c r="V68" s="20" t="n">
        <v>0.44473369</v>
      </c>
      <c r="W68" s="18" t="n">
        <v>0</v>
      </c>
      <c r="X68" s="20" t="n">
        <v>0</v>
      </c>
      <c r="Y68" s="18" t="n">
        <v>4.19292057</v>
      </c>
      <c r="Z68" s="20" t="n">
        <v>1.13686578</v>
      </c>
    </row>
    <row r="69" spans="1:26">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c r="U69" s="18" t="s">
        <v>603</v>
      </c>
      <c r="V69" s="20" t="s">
        <v>603</v>
      </c>
      <c r="W69" s="18" t="s">
        <v>603</v>
      </c>
      <c r="X69" s="20" t="s">
        <v>603</v>
      </c>
      <c r="Y69" s="18" t="s">
        <v>603</v>
      </c>
      <c r="Z69" s="20" t="s">
        <v>603</v>
      </c>
    </row>
    <row r="70" spans="1:26">
      <c r="A70" s="15" t="s">
        <v>630</v>
      </c>
      <c r="B70" s="17" t="n">
        <v>6034</v>
      </c>
      <c r="C70" s="18">
        <f>(5342.0/B70*100)</f>
        <v/>
      </c>
      <c r="D70" s="19" t="n">
        <v>692</v>
      </c>
      <c r="E70" s="18" t="n">
        <v>23.25123922</v>
      </c>
      <c r="F70" s="20" t="n">
        <v>1.66769636</v>
      </c>
      <c r="G70" s="18" t="n">
        <v>11.70289409</v>
      </c>
      <c r="H70" s="20" t="n">
        <v>1.17024714</v>
      </c>
      <c r="I70" s="18" t="n">
        <v>0.44744112</v>
      </c>
      <c r="J70" s="20" t="n">
        <v>0.25789785</v>
      </c>
      <c r="K70" s="18" t="n">
        <v>36.04220107</v>
      </c>
      <c r="L70" s="20" t="n">
        <v>1.7071599</v>
      </c>
      <c r="M70" s="18" t="n">
        <v>10.91002079</v>
      </c>
      <c r="N70" s="20" t="n">
        <v>1.25411923</v>
      </c>
      <c r="O70" s="18" t="n">
        <v>8.91690232</v>
      </c>
      <c r="P70" s="20" t="n">
        <v>1.08026555</v>
      </c>
      <c r="Q70" s="18" t="n">
        <v>0</v>
      </c>
      <c r="R70" s="20" t="n">
        <v>0</v>
      </c>
      <c r="S70" s="18" t="n">
        <v>0.48309491</v>
      </c>
      <c r="T70" s="20" t="n">
        <v>0.2872284</v>
      </c>
      <c r="U70" s="18" t="n">
        <v>0.14052127</v>
      </c>
      <c r="V70" s="20" t="n">
        <v>0.14189439</v>
      </c>
      <c r="W70" s="18" t="n">
        <v>0</v>
      </c>
      <c r="X70" s="20" t="n">
        <v>0</v>
      </c>
      <c r="Y70" s="18" t="n">
        <v>8.105685210000001</v>
      </c>
      <c r="Z70" s="20" t="n">
        <v>0.94291074</v>
      </c>
    </row>
    <row r="71" spans="1:26">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c r="U71" s="18" t="s">
        <v>603</v>
      </c>
      <c r="V71" s="20" t="s">
        <v>603</v>
      </c>
      <c r="W71" s="18" t="s">
        <v>603</v>
      </c>
      <c r="X71" s="20" t="s">
        <v>603</v>
      </c>
      <c r="Y71" s="18" t="s">
        <v>603</v>
      </c>
      <c r="Z71" s="20" t="s">
        <v>603</v>
      </c>
    </row>
    <row r="72" spans="1:26">
      <c r="A72" s="15" t="s">
        <v>632</v>
      </c>
      <c r="B72" s="17" t="n">
        <v>3107</v>
      </c>
      <c r="C72" s="18">
        <f>(2794.0/B72*100)</f>
        <v/>
      </c>
      <c r="D72" s="19" t="n">
        <v>313</v>
      </c>
      <c r="E72" s="18" t="n">
        <v>34.08753194</v>
      </c>
      <c r="F72" s="20" t="n">
        <v>2.73293275</v>
      </c>
      <c r="G72" s="18" t="n">
        <v>7.28604238</v>
      </c>
      <c r="H72" s="20" t="n">
        <v>1.94260955</v>
      </c>
      <c r="I72" s="18" t="n">
        <v>0</v>
      </c>
      <c r="J72" s="20" t="n">
        <v>0</v>
      </c>
      <c r="K72" s="18" t="n">
        <v>9.543813780000001</v>
      </c>
      <c r="L72" s="20" t="n">
        <v>1.66337271</v>
      </c>
      <c r="M72" s="18" t="n">
        <v>22.83791547</v>
      </c>
      <c r="N72" s="20" t="n">
        <v>2.60147088</v>
      </c>
      <c r="O72" s="18" t="n">
        <v>17.05533633</v>
      </c>
      <c r="P72" s="20" t="n">
        <v>2.48748804</v>
      </c>
      <c r="Q72" s="18" t="n">
        <v>0</v>
      </c>
      <c r="R72" s="20" t="n">
        <v>0</v>
      </c>
      <c r="S72" s="18" t="n">
        <v>0.25432761</v>
      </c>
      <c r="T72" s="20" t="n">
        <v>0.25474424</v>
      </c>
      <c r="U72" s="18" t="n">
        <v>0</v>
      </c>
      <c r="V72" s="20" t="n">
        <v>0</v>
      </c>
      <c r="W72" s="18" t="n">
        <v>0</v>
      </c>
      <c r="X72" s="20" t="n">
        <v>0</v>
      </c>
      <c r="Y72" s="18" t="n">
        <v>8.935032469999999</v>
      </c>
      <c r="Z72" s="20" t="n">
        <v>2.57574672</v>
      </c>
    </row>
    <row r="73" spans="1:26">
      <c r="A73" s="15" t="s">
        <v>633</v>
      </c>
      <c r="B73" s="17" t="n">
        <v>2973</v>
      </c>
      <c r="C73" s="18">
        <f>(2625.0/B73*100)</f>
        <v/>
      </c>
      <c r="D73" s="19" t="n">
        <v>348</v>
      </c>
      <c r="E73" s="18" t="n">
        <v>27.75636595</v>
      </c>
      <c r="F73" s="20" t="n">
        <v>2.43722776</v>
      </c>
      <c r="G73" s="18" t="n">
        <v>16.46980975</v>
      </c>
      <c r="H73" s="20" t="n">
        <v>2.10074211</v>
      </c>
      <c r="I73" s="18" t="n">
        <v>1.39391979</v>
      </c>
      <c r="J73" s="20" t="n">
        <v>0.65995476</v>
      </c>
      <c r="K73" s="18" t="n">
        <v>18.31416307</v>
      </c>
      <c r="L73" s="20" t="n">
        <v>2.1098454</v>
      </c>
      <c r="M73" s="18" t="n">
        <v>27.88557315</v>
      </c>
      <c r="N73" s="20" t="n">
        <v>2.4176336</v>
      </c>
      <c r="O73" s="18" t="n">
        <v>6.14666793</v>
      </c>
      <c r="P73" s="20" t="n">
        <v>1.25054136</v>
      </c>
      <c r="Q73" s="18" t="n">
        <v>0</v>
      </c>
      <c r="R73" s="20" t="n">
        <v>0</v>
      </c>
      <c r="S73" s="18" t="n">
        <v>0.46019326</v>
      </c>
      <c r="T73" s="20" t="n">
        <v>0.43957505</v>
      </c>
      <c r="U73" s="18" t="n">
        <v>0</v>
      </c>
      <c r="V73" s="20" t="n">
        <v>0</v>
      </c>
      <c r="W73" s="18" t="n">
        <v>0</v>
      </c>
      <c r="X73" s="20" t="n">
        <v>0</v>
      </c>
      <c r="Y73" s="18" t="n">
        <v>1.57330709</v>
      </c>
      <c r="Z73" s="20" t="n">
        <v>0.71071244</v>
      </c>
    </row>
    <row r="74" spans="1:26">
      <c r="A74" s="15" t="s">
        <v>634</v>
      </c>
      <c r="B74" s="17" t="n">
        <v>3819</v>
      </c>
      <c r="C74" s="18">
        <f>(3416.0/B74*100)</f>
        <v/>
      </c>
      <c r="D74" s="19" t="n">
        <v>403</v>
      </c>
      <c r="E74" s="18" t="n">
        <v>32.88392039</v>
      </c>
      <c r="F74" s="20" t="n">
        <v>2.51039873</v>
      </c>
      <c r="G74" s="18" t="n">
        <v>13.99769637</v>
      </c>
      <c r="H74" s="20" t="n">
        <v>1.6202649</v>
      </c>
      <c r="I74" s="18" t="n">
        <v>1.33201201</v>
      </c>
      <c r="J74" s="20" t="n">
        <v>0.4641015</v>
      </c>
      <c r="K74" s="18" t="n">
        <v>16.833841</v>
      </c>
      <c r="L74" s="20" t="n">
        <v>1.87202178</v>
      </c>
      <c r="M74" s="18" t="n">
        <v>21.62805719</v>
      </c>
      <c r="N74" s="20" t="n">
        <v>2.05152906</v>
      </c>
      <c r="O74" s="18" t="n">
        <v>5.82104906</v>
      </c>
      <c r="P74" s="20" t="n">
        <v>1.35179481</v>
      </c>
      <c r="Q74" s="18" t="n">
        <v>0</v>
      </c>
      <c r="R74" s="20" t="n">
        <v>0</v>
      </c>
      <c r="S74" s="18" t="n">
        <v>0</v>
      </c>
      <c r="T74" s="20" t="n">
        <v>0</v>
      </c>
      <c r="U74" s="18" t="n">
        <v>0</v>
      </c>
      <c r="V74" s="20" t="n">
        <v>0</v>
      </c>
      <c r="W74" s="18" t="n">
        <v>0</v>
      </c>
      <c r="X74" s="20" t="n">
        <v>0</v>
      </c>
      <c r="Y74" s="18" t="n">
        <v>7.50342398</v>
      </c>
      <c r="Z74" s="20" t="n">
        <v>1.4606786</v>
      </c>
    </row>
    <row r="75" spans="1:26">
      <c r="A75" s="15" t="s">
        <v>635</v>
      </c>
      <c r="B75" s="17" t="n">
        <v>4652</v>
      </c>
      <c r="C75" s="18">
        <f>(4146.0/B75*100)</f>
        <v/>
      </c>
      <c r="D75" s="19" t="n">
        <v>506</v>
      </c>
      <c r="E75" s="18" t="n">
        <v>15.99229319</v>
      </c>
      <c r="F75" s="20" t="n">
        <v>2.00245429</v>
      </c>
      <c r="G75" s="18" t="n">
        <v>11.18960415</v>
      </c>
      <c r="H75" s="20" t="n">
        <v>1.65484699</v>
      </c>
      <c r="I75" s="18" t="n">
        <v>0.5204487800000001</v>
      </c>
      <c r="J75" s="20" t="n">
        <v>0.3649072</v>
      </c>
      <c r="K75" s="18" t="n">
        <v>60.86771771</v>
      </c>
      <c r="L75" s="20" t="n">
        <v>2.58034656</v>
      </c>
      <c r="M75" s="18" t="n">
        <v>5.66810881</v>
      </c>
      <c r="N75" s="20" t="n">
        <v>1.22126756</v>
      </c>
      <c r="O75" s="18" t="n">
        <v>4.38099899</v>
      </c>
      <c r="P75" s="20" t="n">
        <v>0.95337198</v>
      </c>
      <c r="Q75" s="18" t="n">
        <v>0</v>
      </c>
      <c r="R75" s="20" t="n">
        <v>0</v>
      </c>
      <c r="S75" s="18" t="n">
        <v>0</v>
      </c>
      <c r="T75" s="20" t="n">
        <v>0</v>
      </c>
      <c r="U75" s="18" t="n">
        <v>0.27807306</v>
      </c>
      <c r="V75" s="20" t="n">
        <v>0.2777389</v>
      </c>
      <c r="W75" s="18" t="n">
        <v>0</v>
      </c>
      <c r="X75" s="20" t="n">
        <v>0</v>
      </c>
      <c r="Y75" s="18" t="n">
        <v>1.10275532</v>
      </c>
      <c r="Z75" s="20" t="n">
        <v>0.49368708</v>
      </c>
    </row>
    <row r="76" spans="1:26">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c r="U76" s="18" t="s">
        <v>603</v>
      </c>
      <c r="V76" s="20" t="s">
        <v>603</v>
      </c>
      <c r="W76" s="18" t="s">
        <v>603</v>
      </c>
      <c r="X76" s="20" t="s">
        <v>603</v>
      </c>
      <c r="Y76" s="18" t="s">
        <v>603</v>
      </c>
      <c r="Z76" s="20" t="s">
        <v>603</v>
      </c>
    </row>
    <row r="77" spans="1:26">
      <c r="A77" s="15" t="s">
        <v>637</v>
      </c>
      <c r="B77" s="17" t="n">
        <v>2969</v>
      </c>
      <c r="C77" s="18">
        <f>(2667.0/B77*100)</f>
        <v/>
      </c>
      <c r="D77" s="19" t="n">
        <v>302</v>
      </c>
      <c r="E77" s="18" t="n">
        <v>6.74740344</v>
      </c>
      <c r="F77" s="20" t="n">
        <v>1.34244081</v>
      </c>
      <c r="G77" s="18" t="n">
        <v>6.27916414</v>
      </c>
      <c r="H77" s="20" t="n">
        <v>1.35299334</v>
      </c>
      <c r="I77" s="18" t="n">
        <v>0</v>
      </c>
      <c r="J77" s="20" t="n">
        <v>0</v>
      </c>
      <c r="K77" s="18" t="n">
        <v>55.91183669</v>
      </c>
      <c r="L77" s="20" t="n">
        <v>2.77737831</v>
      </c>
      <c r="M77" s="18" t="n">
        <v>1.91363642</v>
      </c>
      <c r="N77" s="20" t="n">
        <v>0.78617002</v>
      </c>
      <c r="O77" s="18" t="n">
        <v>3.87211675</v>
      </c>
      <c r="P77" s="20" t="n">
        <v>1.1260078</v>
      </c>
      <c r="Q77" s="18" t="n">
        <v>0</v>
      </c>
      <c r="R77" s="20" t="n">
        <v>0</v>
      </c>
      <c r="S77" s="18" t="n">
        <v>1.84592102</v>
      </c>
      <c r="T77" s="20" t="n">
        <v>0.77988937</v>
      </c>
      <c r="U77" s="18" t="n">
        <v>1.03986046</v>
      </c>
      <c r="V77" s="20" t="n">
        <v>0.57485687</v>
      </c>
      <c r="W77" s="18" t="n">
        <v>0</v>
      </c>
      <c r="X77" s="20" t="n">
        <v>0</v>
      </c>
      <c r="Y77" s="18" t="n">
        <v>22.39006108</v>
      </c>
      <c r="Z77" s="20" t="n">
        <v>2.43859287</v>
      </c>
    </row>
    <row r="78" spans="1:26">
      <c r="A78" s="15" t="s">
        <v>638</v>
      </c>
      <c r="B78" s="17" t="n">
        <v>7115</v>
      </c>
      <c r="C78" s="18">
        <f>(6356.0/B78*100)</f>
        <v/>
      </c>
      <c r="D78" s="19" t="n">
        <v>759</v>
      </c>
      <c r="E78" s="18" t="n">
        <v>35.10970114</v>
      </c>
      <c r="F78" s="20" t="n">
        <v>2.00470472</v>
      </c>
      <c r="G78" s="18" t="n">
        <v>5.63117878</v>
      </c>
      <c r="H78" s="20" t="n">
        <v>0.9223534</v>
      </c>
      <c r="I78" s="18" t="n">
        <v>0.84501667</v>
      </c>
      <c r="J78" s="20" t="n">
        <v>0.43822489</v>
      </c>
      <c r="K78" s="18" t="n">
        <v>34.8957092</v>
      </c>
      <c r="L78" s="20" t="n">
        <v>2.44163074</v>
      </c>
      <c r="M78" s="18" t="n">
        <v>11.9240895</v>
      </c>
      <c r="N78" s="20" t="n">
        <v>1.57190555</v>
      </c>
      <c r="O78" s="18" t="n">
        <v>7.81942331</v>
      </c>
      <c r="P78" s="20" t="n">
        <v>1.14269384</v>
      </c>
      <c r="Q78" s="18" t="n">
        <v>0</v>
      </c>
      <c r="R78" s="20" t="n">
        <v>0</v>
      </c>
      <c r="S78" s="18" t="n">
        <v>0.52914477</v>
      </c>
      <c r="T78" s="20" t="n">
        <v>0.2955435</v>
      </c>
      <c r="U78" s="18" t="n">
        <v>0.35576479</v>
      </c>
      <c r="V78" s="20" t="n">
        <v>0.24847018</v>
      </c>
      <c r="W78" s="18" t="n">
        <v>0</v>
      </c>
      <c r="X78" s="20" t="n">
        <v>0</v>
      </c>
      <c r="Y78" s="18" t="n">
        <v>2.88997184</v>
      </c>
      <c r="Z78" s="20" t="n">
        <v>0.73597179</v>
      </c>
    </row>
    <row r="79" spans="1:26">
      <c r="A79" s="15" t="s">
        <v>639</v>
      </c>
      <c r="B79" s="17" t="n">
        <v>3154</v>
      </c>
      <c r="C79" s="18">
        <f>(2798.0/B79*100)</f>
        <v/>
      </c>
      <c r="D79" s="19" t="n">
        <v>356</v>
      </c>
      <c r="E79" s="18" t="n">
        <v>31.62418599</v>
      </c>
      <c r="F79" s="20" t="n">
        <v>2.59142809</v>
      </c>
      <c r="G79" s="18" t="n">
        <v>10.27188156</v>
      </c>
      <c r="H79" s="20" t="n">
        <v>1.56743627</v>
      </c>
      <c r="I79" s="18" t="n">
        <v>0.31155925</v>
      </c>
      <c r="J79" s="20" t="n">
        <v>0.31993046</v>
      </c>
      <c r="K79" s="18" t="n">
        <v>19.78940327</v>
      </c>
      <c r="L79" s="20" t="n">
        <v>2.43997143</v>
      </c>
      <c r="M79" s="18" t="n">
        <v>17.98531037</v>
      </c>
      <c r="N79" s="20" t="n">
        <v>2.30089017</v>
      </c>
      <c r="O79" s="18" t="n">
        <v>3.81957838</v>
      </c>
      <c r="P79" s="20" t="n">
        <v>1.10820848</v>
      </c>
      <c r="Q79" s="18" t="n">
        <v>0</v>
      </c>
      <c r="R79" s="20" t="n">
        <v>0</v>
      </c>
      <c r="S79" s="18" t="n">
        <v>0.26024087</v>
      </c>
      <c r="T79" s="20" t="n">
        <v>0.25894887</v>
      </c>
      <c r="U79" s="18" t="n">
        <v>0</v>
      </c>
      <c r="V79" s="20" t="n">
        <v>0</v>
      </c>
      <c r="W79" s="18" t="n">
        <v>0</v>
      </c>
      <c r="X79" s="20" t="n">
        <v>0</v>
      </c>
      <c r="Y79" s="18" t="n">
        <v>15.9378403</v>
      </c>
      <c r="Z79" s="20" t="n">
        <v>1.95206434</v>
      </c>
    </row>
    <row r="80" spans="1:26">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c r="U80" s="18" t="s">
        <v>603</v>
      </c>
      <c r="V80" s="20" t="s">
        <v>603</v>
      </c>
      <c r="W80" s="18" t="s">
        <v>603</v>
      </c>
      <c r="X80" s="20" t="s">
        <v>603</v>
      </c>
      <c r="Y80" s="18" t="s">
        <v>603</v>
      </c>
      <c r="Z80" s="20" t="s">
        <v>603</v>
      </c>
    </row>
    <row r="81" spans="1:26">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c r="U81" s="18" t="s">
        <v>603</v>
      </c>
      <c r="V81" s="20" t="s">
        <v>603</v>
      </c>
      <c r="W81" s="18" t="s">
        <v>603</v>
      </c>
      <c r="X81" s="20" t="s">
        <v>603</v>
      </c>
      <c r="Y81" s="18" t="s">
        <v>603</v>
      </c>
      <c r="Z81" s="20" t="s">
        <v>603</v>
      </c>
    </row>
    <row r="82" spans="1:26">
      <c r="A82" s="15" t="s">
        <v>642</v>
      </c>
      <c r="B82" s="17" t="n">
        <v>15961</v>
      </c>
      <c r="C82" s="18">
        <f>(14196.0/B82*100)</f>
        <v/>
      </c>
      <c r="D82" s="19" t="n">
        <v>1765</v>
      </c>
      <c r="E82" s="18" t="n">
        <v>23.78475166</v>
      </c>
      <c r="F82" s="20" t="n">
        <v>1.40602396</v>
      </c>
      <c r="G82" s="18" t="n">
        <v>10.22588477</v>
      </c>
      <c r="H82" s="20" t="n">
        <v>1.03812995</v>
      </c>
      <c r="I82" s="18" t="n">
        <v>0.55627305</v>
      </c>
      <c r="J82" s="20" t="n">
        <v>0.27557019</v>
      </c>
      <c r="K82" s="18" t="n">
        <v>24.8934488</v>
      </c>
      <c r="L82" s="20" t="n">
        <v>1.56846492</v>
      </c>
      <c r="M82" s="18" t="n">
        <v>30.84431418</v>
      </c>
      <c r="N82" s="20" t="n">
        <v>1.42525628</v>
      </c>
      <c r="O82" s="18" t="n">
        <v>3.50818308</v>
      </c>
      <c r="P82" s="20" t="n">
        <v>0.57730781</v>
      </c>
      <c r="Q82" s="18" t="n">
        <v>0</v>
      </c>
      <c r="R82" s="20" t="n">
        <v>0</v>
      </c>
      <c r="S82" s="18" t="n">
        <v>0.03362449</v>
      </c>
      <c r="T82" s="20" t="n">
        <v>0.04435055</v>
      </c>
      <c r="U82" s="18" t="n">
        <v>0</v>
      </c>
      <c r="V82" s="20" t="n">
        <v>0</v>
      </c>
      <c r="W82" s="18" t="n">
        <v>0</v>
      </c>
      <c r="X82" s="20" t="n">
        <v>0</v>
      </c>
      <c r="Y82" s="18" t="n">
        <v>6.15351997</v>
      </c>
      <c r="Z82" s="20" t="n">
        <v>0.84381826</v>
      </c>
    </row>
    <row r="83" spans="1:26">
      <c r="A83" s="15" t="s">
        <v>643</v>
      </c>
      <c r="B83" s="17" t="n">
        <v>808</v>
      </c>
      <c r="C83" s="18">
        <f>(724.0/B83*100)</f>
        <v/>
      </c>
      <c r="D83" s="19" t="n">
        <v>84</v>
      </c>
      <c r="E83" s="18" t="n">
        <v>32.89888478</v>
      </c>
      <c r="F83" s="20" t="n">
        <v>4.98004828</v>
      </c>
      <c r="G83" s="18" t="n">
        <v>7.95168283</v>
      </c>
      <c r="H83" s="20" t="n">
        <v>3.61421972</v>
      </c>
      <c r="I83" s="18" t="n">
        <v>1.17071138</v>
      </c>
      <c r="J83" s="20" t="n">
        <v>1.11903327</v>
      </c>
      <c r="K83" s="18" t="n">
        <v>27.23979184</v>
      </c>
      <c r="L83" s="20" t="n">
        <v>5.32452166</v>
      </c>
      <c r="M83" s="18" t="n">
        <v>25.20866361</v>
      </c>
      <c r="N83" s="20" t="n">
        <v>5.23220207</v>
      </c>
      <c r="O83" s="18" t="n">
        <v>4.25335905</v>
      </c>
      <c r="P83" s="20" t="n">
        <v>1.98096239</v>
      </c>
      <c r="Q83" s="18" t="n">
        <v>0</v>
      </c>
      <c r="R83" s="20" t="n">
        <v>0</v>
      </c>
      <c r="S83" s="18" t="n">
        <v>0</v>
      </c>
      <c r="T83" s="20" t="n">
        <v>0</v>
      </c>
      <c r="U83" s="18" t="n">
        <v>0</v>
      </c>
      <c r="V83" s="20" t="n">
        <v>0</v>
      </c>
      <c r="W83" s="18" t="n">
        <v>0</v>
      </c>
      <c r="X83" s="20" t="n">
        <v>0</v>
      </c>
      <c r="Y83" s="18" t="n">
        <v>1.2769065</v>
      </c>
      <c r="Z83" s="20" t="n">
        <v>1.16773592</v>
      </c>
    </row>
    <row r="84" spans="1:26">
      <c r="A84" s="23" t="s">
        <v>644</v>
      </c>
      <c r="B84" s="24" t="n">
        <v>938</v>
      </c>
      <c r="C84" s="25">
        <f>(843.0/B84*100)</f>
        <v/>
      </c>
      <c r="D84" s="19" t="n">
        <v>95</v>
      </c>
      <c r="E84" s="18" t="n">
        <v>41.75495431</v>
      </c>
      <c r="F84" s="20" t="n">
        <v>5.434752</v>
      </c>
      <c r="G84" s="18" t="n">
        <v>7.79870815</v>
      </c>
      <c r="H84" s="20" t="n">
        <v>2.61581284</v>
      </c>
      <c r="I84" s="18" t="n">
        <v>1.04048746</v>
      </c>
      <c r="J84" s="20" t="n">
        <v>1.0785778</v>
      </c>
      <c r="K84" s="18" t="n">
        <v>26.09371267</v>
      </c>
      <c r="L84" s="20" t="n">
        <v>4.58988541</v>
      </c>
      <c r="M84" s="18" t="n">
        <v>14.93501276</v>
      </c>
      <c r="N84" s="20" t="n">
        <v>2.8230062</v>
      </c>
      <c r="O84" s="18" t="n">
        <v>8.37712464</v>
      </c>
      <c r="P84" s="20" t="n">
        <v>2.45707212</v>
      </c>
      <c r="Q84" s="18" t="n">
        <v>0</v>
      </c>
      <c r="R84" s="20" t="n">
        <v>0</v>
      </c>
      <c r="S84" s="18" t="n">
        <v>0</v>
      </c>
      <c r="T84" s="20" t="n">
        <v>0</v>
      </c>
      <c r="U84" s="18" t="n">
        <v>0</v>
      </c>
      <c r="V84" s="20" t="n">
        <v>0</v>
      </c>
      <c r="W84" s="18" t="n">
        <v>0</v>
      </c>
      <c r="X84" s="20" t="n">
        <v>0</v>
      </c>
      <c r="Y84" s="18" t="n">
        <v>0</v>
      </c>
      <c r="Z84" s="20" t="n">
        <v>0</v>
      </c>
    </row>
    <row r="86" spans="1:26">
      <c r="A86" s="3" t="s">
        <v>645</v>
      </c>
    </row>
    <row r="87" spans="1:26">
      <c r="A87" s="26" t="s">
        <v>646</v>
      </c>
    </row>
    <row r="88" spans="1:26">
      <c r="A88" s="26" t="s">
        <v>647</v>
      </c>
    </row>
    <row customHeight="1" ht="30" r="89" spans="1:26">
      <c r="A89" s="26" t="s">
        <v>648</v>
      </c>
    </row>
    <row customHeight="1" ht="30" r="90" spans="1:26">
      <c r="A90" s="26" t="s">
        <v>649</v>
      </c>
    </row>
    <row customHeight="1" ht="30" r="91" spans="1:26">
      <c r="A91" s="26" t="s">
        <v>650</v>
      </c>
    </row>
    <row customHeight="1" ht="30" r="92" spans="1:26">
      <c r="A92" s="26" t="s">
        <v>651</v>
      </c>
    </row>
    <row customHeight="1" ht="30" r="93" spans="1:26">
      <c r="A93" s="26" t="s">
        <v>652</v>
      </c>
    </row>
    <row customHeight="1" ht="30" r="94" spans="1:26">
      <c r="A94" s="26" t="s">
        <v>653</v>
      </c>
    </row>
  </sheetData>
  <mergeCells count="21">
    <mergeCell ref="E4:F4"/>
    <mergeCell ref="G4:H4"/>
    <mergeCell ref="I4:J4"/>
    <mergeCell ref="K4:L4"/>
    <mergeCell ref="M4:N4"/>
    <mergeCell ref="O4:P4"/>
    <mergeCell ref="Q4:R4"/>
    <mergeCell ref="S4:T4"/>
    <mergeCell ref="U4:V4"/>
    <mergeCell ref="W4:X4"/>
    <mergeCell ref="Y4:Z4"/>
    <mergeCell ref="A1:Z1"/>
    <mergeCell ref="A2:Z2"/>
    <mergeCell ref="A87:Z87"/>
    <mergeCell ref="A88:Z88"/>
    <mergeCell ref="A89:Z89"/>
    <mergeCell ref="A90:Z90"/>
    <mergeCell ref="A91:Z91"/>
    <mergeCell ref="A92:Z92"/>
    <mergeCell ref="A93:Z93"/>
    <mergeCell ref="A94:Z94"/>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(6388.0/B7*100)</f>
        <v/>
      </c>
      <c r="D7" s="19" t="n">
        <v>775</v>
      </c>
      <c r="E7" s="18" t="n">
        <v>51.07302288</v>
      </c>
      <c r="F7" s="20" t="n">
        <v>2.08530905</v>
      </c>
      <c r="G7" s="18" t="n">
        <v>47.82537777</v>
      </c>
      <c r="H7" s="20" t="n">
        <v>2.12901369</v>
      </c>
      <c r="I7" s="18" t="n">
        <v>0</v>
      </c>
      <c r="J7" s="20" t="n">
        <v>0</v>
      </c>
      <c r="K7" s="18" t="n">
        <v>0.03543326</v>
      </c>
      <c r="L7" s="20" t="n">
        <v>0.03442162</v>
      </c>
      <c r="M7" s="18" t="n">
        <v>0</v>
      </c>
      <c r="N7" s="20" t="n">
        <v>0</v>
      </c>
      <c r="O7" s="18" t="n">
        <v>0</v>
      </c>
      <c r="P7" s="20" t="n">
        <v>0</v>
      </c>
      <c r="Q7" s="18" t="n">
        <v>1.06616609</v>
      </c>
      <c r="R7" s="20" t="n">
        <v>0.46593811</v>
      </c>
    </row>
    <row r="8" spans="1:18">
      <c r="A8" s="15" t="s">
        <v>566</v>
      </c>
      <c r="B8" s="17" t="n">
        <v>3443</v>
      </c>
      <c r="C8" s="18">
        <f>(3051.0/B8*100)</f>
        <v/>
      </c>
      <c r="D8" s="19" t="n">
        <v>392</v>
      </c>
      <c r="E8" s="18" t="n">
        <v>44.99008029</v>
      </c>
      <c r="F8" s="20" t="n">
        <v>2.98585319</v>
      </c>
      <c r="G8" s="18" t="n">
        <v>54.40296842</v>
      </c>
      <c r="H8" s="20" t="n">
        <v>3.03661011</v>
      </c>
      <c r="I8" s="18" t="n">
        <v>0</v>
      </c>
      <c r="J8" s="20" t="n">
        <v>0</v>
      </c>
      <c r="K8" s="18" t="n">
        <v>0</v>
      </c>
      <c r="L8" s="20" t="n">
        <v>0</v>
      </c>
      <c r="M8" s="18" t="n">
        <v>0</v>
      </c>
      <c r="N8" s="20" t="n">
        <v>0</v>
      </c>
      <c r="O8" s="18" t="n">
        <v>0</v>
      </c>
      <c r="P8" s="20" t="n">
        <v>0</v>
      </c>
      <c r="Q8" s="18" t="n">
        <v>0.60695129</v>
      </c>
      <c r="R8" s="20" t="n">
        <v>0.43776328</v>
      </c>
    </row>
    <row r="9" spans="1:18">
      <c r="A9" s="15" t="s">
        <v>567</v>
      </c>
      <c r="B9" s="17" t="n">
        <v>4752</v>
      </c>
      <c r="C9" s="18">
        <f>(4126.0/B9*100)</f>
        <v/>
      </c>
      <c r="D9" s="19" t="n">
        <v>626</v>
      </c>
      <c r="E9" s="18" t="n">
        <v>48.80303279</v>
      </c>
      <c r="F9" s="20" t="n">
        <v>2.11426329</v>
      </c>
      <c r="G9" s="18" t="n">
        <v>50.22690573</v>
      </c>
      <c r="H9" s="20" t="n">
        <v>2.27930503</v>
      </c>
      <c r="I9" s="18" t="n">
        <v>0</v>
      </c>
      <c r="J9" s="20" t="n">
        <v>0</v>
      </c>
      <c r="K9" s="18" t="n">
        <v>0</v>
      </c>
      <c r="L9" s="20" t="n">
        <v>0</v>
      </c>
      <c r="M9" s="18" t="n">
        <v>0</v>
      </c>
      <c r="N9" s="20" t="n">
        <v>0</v>
      </c>
      <c r="O9" s="18" t="n">
        <v>0</v>
      </c>
      <c r="P9" s="20" t="n">
        <v>0</v>
      </c>
      <c r="Q9" s="18" t="n">
        <v>0.97006148</v>
      </c>
      <c r="R9" s="20" t="n">
        <v>0.429319</v>
      </c>
    </row>
    <row r="10" spans="1:18">
      <c r="A10" s="15" t="s">
        <v>568</v>
      </c>
      <c r="B10" s="17" t="n">
        <v>10022</v>
      </c>
      <c r="C10" s="18">
        <f>(8916.0/B10*100)</f>
        <v/>
      </c>
      <c r="D10" s="19" t="n">
        <v>1106</v>
      </c>
      <c r="E10" s="18" t="n">
        <v>46.24061806</v>
      </c>
      <c r="F10" s="20" t="n">
        <v>2.22461101</v>
      </c>
      <c r="G10" s="18" t="n">
        <v>53.00942795</v>
      </c>
      <c r="H10" s="20" t="n">
        <v>2.24709163</v>
      </c>
      <c r="I10" s="18" t="n">
        <v>0</v>
      </c>
      <c r="J10" s="20" t="n">
        <v>0</v>
      </c>
      <c r="K10" s="18" t="n">
        <v>0.17493065</v>
      </c>
      <c r="L10" s="20" t="n">
        <v>0.10000018</v>
      </c>
      <c r="M10" s="18" t="n">
        <v>0</v>
      </c>
      <c r="N10" s="20" t="n">
        <v>0</v>
      </c>
      <c r="O10" s="18" t="n">
        <v>0</v>
      </c>
      <c r="P10" s="20" t="n">
        <v>0</v>
      </c>
      <c r="Q10" s="18" t="n">
        <v>0.57502335</v>
      </c>
      <c r="R10" s="20" t="n">
        <v>0.30408921</v>
      </c>
    </row>
    <row r="11" spans="1:18">
      <c r="A11" s="15" t="s">
        <v>569</v>
      </c>
      <c r="B11" s="17" t="n">
        <v>3500</v>
      </c>
      <c r="C11" s="18">
        <f>(3094.0/B11*100)</f>
        <v/>
      </c>
      <c r="D11" s="19" t="n">
        <v>406</v>
      </c>
      <c r="E11" s="18" t="n">
        <v>58.81753729</v>
      </c>
      <c r="F11" s="20" t="n">
        <v>3.02902135</v>
      </c>
      <c r="G11" s="18" t="n">
        <v>40.33414435</v>
      </c>
      <c r="H11" s="20" t="n">
        <v>2.79318568</v>
      </c>
      <c r="I11" s="18" t="n">
        <v>0</v>
      </c>
      <c r="J11" s="20" t="n">
        <v>0</v>
      </c>
      <c r="K11" s="18" t="n">
        <v>0.33151867</v>
      </c>
      <c r="L11" s="20" t="n">
        <v>0.31922521</v>
      </c>
      <c r="M11" s="18" t="n">
        <v>0</v>
      </c>
      <c r="N11" s="20" t="n">
        <v>0</v>
      </c>
      <c r="O11" s="18" t="n">
        <v>0</v>
      </c>
      <c r="P11" s="20" t="n">
        <v>0</v>
      </c>
      <c r="Q11" s="18" t="n">
        <v>0.51679969</v>
      </c>
      <c r="R11" s="20" t="n">
        <v>0.51035908</v>
      </c>
    </row>
    <row r="12" spans="1:18">
      <c r="A12" s="15" t="s">
        <v>570</v>
      </c>
      <c r="B12" s="17" t="n">
        <v>3422</v>
      </c>
      <c r="C12" s="18">
        <f>(3006.0/B12*100)</f>
        <v/>
      </c>
      <c r="D12" s="19" t="n">
        <v>416</v>
      </c>
      <c r="E12" s="18" t="n">
        <v>42.23716307</v>
      </c>
      <c r="F12" s="20" t="n">
        <v>2.9992389</v>
      </c>
      <c r="G12" s="18" t="n">
        <v>57.1955807</v>
      </c>
      <c r="H12" s="20" t="n">
        <v>3.0136604</v>
      </c>
      <c r="I12" s="18" t="n">
        <v>0</v>
      </c>
      <c r="J12" s="20" t="n">
        <v>0</v>
      </c>
      <c r="K12" s="18" t="n">
        <v>0</v>
      </c>
      <c r="L12" s="20" t="n">
        <v>0</v>
      </c>
      <c r="M12" s="18" t="n">
        <v>0</v>
      </c>
      <c r="N12" s="20" t="n">
        <v>0</v>
      </c>
      <c r="O12" s="18" t="n">
        <v>0</v>
      </c>
      <c r="P12" s="20" t="n">
        <v>0</v>
      </c>
      <c r="Q12" s="18" t="n">
        <v>0.56725623</v>
      </c>
      <c r="R12" s="20" t="n">
        <v>0.47435243</v>
      </c>
    </row>
    <row r="13" spans="1:18">
      <c r="A13" s="15" t="s">
        <v>571</v>
      </c>
      <c r="B13" s="17" t="n">
        <v>3602</v>
      </c>
      <c r="C13" s="18">
        <f>(3082.0/B13*100)</f>
        <v/>
      </c>
      <c r="D13" s="19" t="n">
        <v>520</v>
      </c>
      <c r="E13" s="18" t="n">
        <v>53.09326397</v>
      </c>
      <c r="F13" s="20" t="n">
        <v>2.14111256</v>
      </c>
      <c r="G13" s="18" t="n">
        <v>45.37372825</v>
      </c>
      <c r="H13" s="20" t="n">
        <v>2.32423004</v>
      </c>
      <c r="I13" s="18" t="n">
        <v>0</v>
      </c>
      <c r="J13" s="20" t="n">
        <v>0</v>
      </c>
      <c r="K13" s="18" t="n">
        <v>1.1105645</v>
      </c>
      <c r="L13" s="20" t="n">
        <v>0.47517934</v>
      </c>
      <c r="M13" s="18" t="n">
        <v>0</v>
      </c>
      <c r="N13" s="20" t="n">
        <v>0</v>
      </c>
      <c r="O13" s="18" t="n">
        <v>0</v>
      </c>
      <c r="P13" s="20" t="n">
        <v>0</v>
      </c>
      <c r="Q13" s="18" t="n">
        <v>0.42244328</v>
      </c>
      <c r="R13" s="20" t="n">
        <v>0.3534627</v>
      </c>
    </row>
    <row r="14" spans="1:18">
      <c r="A14" s="15" t="s">
        <v>572</v>
      </c>
      <c r="B14" s="17" t="n">
        <v>2788</v>
      </c>
      <c r="C14" s="18">
        <f>(2483.0/B14*100)</f>
        <v/>
      </c>
      <c r="D14" s="19" t="n">
        <v>305</v>
      </c>
      <c r="E14" s="18" t="n">
        <v>32.44116954</v>
      </c>
      <c r="F14" s="20" t="n">
        <v>2.88181006</v>
      </c>
      <c r="G14" s="18" t="n">
        <v>66.37728367</v>
      </c>
      <c r="H14" s="20" t="n">
        <v>3.00339072</v>
      </c>
      <c r="I14" s="18" t="n">
        <v>0</v>
      </c>
      <c r="J14" s="20" t="n">
        <v>0</v>
      </c>
      <c r="K14" s="18" t="n">
        <v>0</v>
      </c>
      <c r="L14" s="20" t="n">
        <v>0</v>
      </c>
      <c r="M14" s="18" t="n">
        <v>0</v>
      </c>
      <c r="N14" s="20" t="n">
        <v>0</v>
      </c>
      <c r="O14" s="18" t="n">
        <v>0</v>
      </c>
      <c r="P14" s="20" t="n">
        <v>0</v>
      </c>
      <c r="Q14" s="18" t="n">
        <v>1.1815468</v>
      </c>
      <c r="R14" s="20" t="n">
        <v>0.67581065</v>
      </c>
    </row>
    <row r="15" spans="1:18">
      <c r="A15" s="15" t="s">
        <v>573</v>
      </c>
      <c r="B15" s="17" t="n">
        <v>2863</v>
      </c>
      <c r="C15" s="18">
        <f>(2541.0/B15*100)</f>
        <v/>
      </c>
      <c r="D15" s="19" t="n">
        <v>322</v>
      </c>
      <c r="E15" s="18" t="n">
        <v>52.26655232</v>
      </c>
      <c r="F15" s="20" t="n">
        <v>2.79526144</v>
      </c>
      <c r="G15" s="18" t="n">
        <v>47.73344768</v>
      </c>
      <c r="H15" s="20" t="n">
        <v>2.79526144</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(2802.0/B16*100)</f>
        <v/>
      </c>
      <c r="D16" s="19" t="n">
        <v>309</v>
      </c>
      <c r="E16" s="18" t="n">
        <v>49.8754074</v>
      </c>
      <c r="F16" s="20" t="n">
        <v>2.85894317</v>
      </c>
      <c r="G16" s="18" t="n">
        <v>49.22906202</v>
      </c>
      <c r="H16" s="20" t="n">
        <v>2.86166367</v>
      </c>
      <c r="I16" s="18" t="n">
        <v>0</v>
      </c>
      <c r="J16" s="20" t="n">
        <v>0</v>
      </c>
      <c r="K16" s="18" t="n">
        <v>0</v>
      </c>
      <c r="L16" s="20" t="n">
        <v>0</v>
      </c>
      <c r="M16" s="18" t="n">
        <v>0</v>
      </c>
      <c r="N16" s="20" t="n">
        <v>0</v>
      </c>
      <c r="O16" s="18" t="n">
        <v>0</v>
      </c>
      <c r="P16" s="20" t="n">
        <v>0</v>
      </c>
      <c r="Q16" s="18" t="n">
        <v>0.89553057</v>
      </c>
      <c r="R16" s="20" t="n">
        <v>0.54610021</v>
      </c>
    </row>
    <row r="17" spans="1:18">
      <c r="A17" s="15" t="s">
        <v>575</v>
      </c>
      <c r="B17" s="17" t="n">
        <v>3197</v>
      </c>
      <c r="C17" s="18">
        <f>(2788.0/B17*100)</f>
        <v/>
      </c>
      <c r="D17" s="19" t="n">
        <v>409</v>
      </c>
      <c r="E17" s="18" t="n">
        <v>45.67709145</v>
      </c>
      <c r="F17" s="20" t="n">
        <v>2.19569581</v>
      </c>
      <c r="G17" s="18" t="n">
        <v>52.56210791</v>
      </c>
      <c r="H17" s="20" t="n">
        <v>2.17716929</v>
      </c>
      <c r="I17" s="18" t="n">
        <v>0</v>
      </c>
      <c r="J17" s="20" t="n">
        <v>0</v>
      </c>
      <c r="K17" s="18" t="n">
        <v>0.27299984</v>
      </c>
      <c r="L17" s="20" t="n">
        <v>0.27658532</v>
      </c>
      <c r="M17" s="18" t="n">
        <v>0</v>
      </c>
      <c r="N17" s="20" t="n">
        <v>0</v>
      </c>
      <c r="O17" s="18" t="n">
        <v>0</v>
      </c>
      <c r="P17" s="20" t="n">
        <v>0</v>
      </c>
      <c r="Q17" s="18" t="n">
        <v>1.48780081</v>
      </c>
      <c r="R17" s="20" t="n">
        <v>1.24565879</v>
      </c>
    </row>
    <row r="18" spans="1:18">
      <c r="A18" s="15" t="s">
        <v>576</v>
      </c>
      <c r="B18" s="17" t="n">
        <v>2706</v>
      </c>
      <c r="C18" s="18">
        <f>(2437.0/B18*100)</f>
        <v/>
      </c>
      <c r="D18" s="19" t="n">
        <v>269</v>
      </c>
      <c r="E18" s="18" t="n">
        <v>50.52599339</v>
      </c>
      <c r="F18" s="20" t="n">
        <v>3.93672765</v>
      </c>
      <c r="G18" s="18" t="n">
        <v>49.47400661</v>
      </c>
      <c r="H18" s="20" t="n">
        <v>3.93672765</v>
      </c>
      <c r="I18" s="18" t="n">
        <v>0</v>
      </c>
      <c r="J18" s="20" t="n">
        <v>0</v>
      </c>
      <c r="K18" s="18" t="n">
        <v>0</v>
      </c>
      <c r="L18" s="20" t="n">
        <v>0</v>
      </c>
      <c r="M18" s="18" t="n">
        <v>0</v>
      </c>
      <c r="N18" s="20" t="n">
        <v>0</v>
      </c>
      <c r="O18" s="18" t="n">
        <v>0</v>
      </c>
      <c r="P18" s="20" t="n">
        <v>0</v>
      </c>
      <c r="Q18" s="18" t="n">
        <v>0</v>
      </c>
      <c r="R18" s="20" t="n">
        <v>0</v>
      </c>
    </row>
    <row r="19" spans="1:18">
      <c r="A19" s="15" t="s">
        <v>577</v>
      </c>
      <c r="B19" s="17" t="n">
        <v>2850</v>
      </c>
      <c r="C19" s="18">
        <f>(2536.0/B19*100)</f>
        <v/>
      </c>
      <c r="D19" s="19" t="n">
        <v>314</v>
      </c>
      <c r="E19" s="18" t="n">
        <v>36.80415835</v>
      </c>
      <c r="F19" s="20" t="n">
        <v>2.92836018</v>
      </c>
      <c r="G19" s="18" t="n">
        <v>62.60583111</v>
      </c>
      <c r="H19" s="20" t="n">
        <v>2.98072191</v>
      </c>
      <c r="I19" s="18" t="n">
        <v>0</v>
      </c>
      <c r="J19" s="20" t="n">
        <v>0</v>
      </c>
      <c r="K19" s="18" t="n">
        <v>0</v>
      </c>
      <c r="L19" s="20" t="n">
        <v>0</v>
      </c>
      <c r="M19" s="18" t="n">
        <v>0</v>
      </c>
      <c r="N19" s="20" t="n">
        <v>0</v>
      </c>
      <c r="O19" s="18" t="n">
        <v>0</v>
      </c>
      <c r="P19" s="20" t="n">
        <v>0</v>
      </c>
      <c r="Q19" s="18" t="n">
        <v>0.59001054</v>
      </c>
      <c r="R19" s="20" t="n">
        <v>0.42803416</v>
      </c>
    </row>
    <row r="20" spans="1:18">
      <c r="A20" s="15" t="s">
        <v>578</v>
      </c>
      <c r="B20" s="17" t="n">
        <v>1741</v>
      </c>
      <c r="C20" s="18">
        <f>(1558.0/B20*100)</f>
        <v/>
      </c>
      <c r="D20" s="19" t="n">
        <v>183</v>
      </c>
      <c r="E20" s="18" t="n">
        <v>53.60268304</v>
      </c>
      <c r="F20" s="20" t="n">
        <v>3.36227621</v>
      </c>
      <c r="G20" s="18" t="n">
        <v>44.88295128</v>
      </c>
      <c r="H20" s="20" t="n">
        <v>3.25764064</v>
      </c>
      <c r="I20" s="18" t="n">
        <v>0</v>
      </c>
      <c r="J20" s="20" t="n">
        <v>0</v>
      </c>
      <c r="K20" s="18" t="n">
        <v>0.94355614</v>
      </c>
      <c r="L20" s="20" t="n">
        <v>0.66537434</v>
      </c>
      <c r="M20" s="18" t="n">
        <v>0</v>
      </c>
      <c r="N20" s="20" t="n">
        <v>0</v>
      </c>
      <c r="O20" s="18" t="n">
        <v>0</v>
      </c>
      <c r="P20" s="20" t="n">
        <v>0</v>
      </c>
      <c r="Q20" s="18" t="n">
        <v>0.5708095399999999</v>
      </c>
      <c r="R20" s="20" t="n">
        <v>0.58106153</v>
      </c>
    </row>
    <row r="21" spans="1:18">
      <c r="A21" s="15" t="s">
        <v>579</v>
      </c>
      <c r="B21" s="17" t="n">
        <v>2833</v>
      </c>
      <c r="C21" s="18">
        <f>(2486.0/B21*100)</f>
        <v/>
      </c>
      <c r="D21" s="19" t="n">
        <v>347</v>
      </c>
      <c r="E21" s="18" t="n">
        <v>58.35621609</v>
      </c>
      <c r="F21" s="20" t="n">
        <v>2.82365561</v>
      </c>
      <c r="G21" s="18" t="n">
        <v>41.09341677</v>
      </c>
      <c r="H21" s="20" t="n">
        <v>2.86490692</v>
      </c>
      <c r="I21" s="18" t="n">
        <v>0</v>
      </c>
      <c r="J21" s="20" t="n">
        <v>0</v>
      </c>
      <c r="K21" s="18" t="n">
        <v>0</v>
      </c>
      <c r="L21" s="20" t="n">
        <v>0</v>
      </c>
      <c r="M21" s="18" t="n">
        <v>0</v>
      </c>
      <c r="N21" s="20" t="n">
        <v>0</v>
      </c>
      <c r="O21" s="18" t="n">
        <v>0</v>
      </c>
      <c r="P21" s="20" t="n">
        <v>0</v>
      </c>
      <c r="Q21" s="18" t="n">
        <v>0.55036714</v>
      </c>
      <c r="R21" s="20" t="n">
        <v>0.37411321</v>
      </c>
    </row>
    <row r="22" spans="1:18">
      <c r="A22" s="15" t="s">
        <v>580</v>
      </c>
      <c r="B22" s="17" t="n">
        <v>3667</v>
      </c>
      <c r="C22" s="18">
        <f>(3261.0/B22*100)</f>
        <v/>
      </c>
      <c r="D22" s="19" t="n">
        <v>406</v>
      </c>
      <c r="E22" s="18" t="n">
        <v>42.66237877</v>
      </c>
      <c r="F22" s="20" t="n">
        <v>2.55969948</v>
      </c>
      <c r="G22" s="18" t="n">
        <v>55.6424569</v>
      </c>
      <c r="H22" s="20" t="n">
        <v>2.54432346</v>
      </c>
      <c r="I22" s="18" t="n">
        <v>0</v>
      </c>
      <c r="J22" s="20" t="n">
        <v>0</v>
      </c>
      <c r="K22" s="18" t="n">
        <v>0</v>
      </c>
      <c r="L22" s="20" t="n">
        <v>0</v>
      </c>
      <c r="M22" s="18" t="n">
        <v>0</v>
      </c>
      <c r="N22" s="20" t="n">
        <v>0</v>
      </c>
      <c r="O22" s="18" t="n">
        <v>0</v>
      </c>
      <c r="P22" s="20" t="n">
        <v>0</v>
      </c>
      <c r="Q22" s="18" t="n">
        <v>1.69516433</v>
      </c>
      <c r="R22" s="20" t="n">
        <v>0.73405687</v>
      </c>
    </row>
    <row r="23" spans="1:18">
      <c r="A23" s="15" t="s">
        <v>581</v>
      </c>
      <c r="B23" s="17" t="n">
        <v>5792</v>
      </c>
      <c r="C23" s="18">
        <f>(5151.0/B23*100)</f>
        <v/>
      </c>
      <c r="D23" s="19" t="n">
        <v>641</v>
      </c>
      <c r="E23" s="18" t="n">
        <v>33.9308287</v>
      </c>
      <c r="F23" s="20" t="n">
        <v>3.23710227</v>
      </c>
      <c r="G23" s="18" t="n">
        <v>65.08725079</v>
      </c>
      <c r="H23" s="20" t="n">
        <v>3.3295843</v>
      </c>
      <c r="I23" s="18" t="n">
        <v>0</v>
      </c>
      <c r="J23" s="20" t="n">
        <v>0</v>
      </c>
      <c r="K23" s="18" t="n">
        <v>0.42427447</v>
      </c>
      <c r="L23" s="20" t="n">
        <v>0.47220296</v>
      </c>
      <c r="M23" s="18" t="n">
        <v>0</v>
      </c>
      <c r="N23" s="20" t="n">
        <v>0</v>
      </c>
      <c r="O23" s="18" t="n">
        <v>0</v>
      </c>
      <c r="P23" s="20" t="n">
        <v>0</v>
      </c>
      <c r="Q23" s="18" t="n">
        <v>0.55764604</v>
      </c>
      <c r="R23" s="20" t="n">
        <v>0.38193369</v>
      </c>
    </row>
    <row r="24" spans="1:18">
      <c r="A24" s="15" t="s">
        <v>582</v>
      </c>
      <c r="B24" s="17" t="n">
        <v>3309</v>
      </c>
      <c r="C24" s="18">
        <f>(2931.0/B24*100)</f>
        <v/>
      </c>
      <c r="D24" s="19" t="n">
        <v>378</v>
      </c>
      <c r="E24" s="18" t="n">
        <v>36.0082182</v>
      </c>
      <c r="F24" s="20" t="n">
        <v>2.41264074</v>
      </c>
      <c r="G24" s="18" t="n">
        <v>63.69032351</v>
      </c>
      <c r="H24" s="20" t="n">
        <v>2.45535155</v>
      </c>
      <c r="I24" s="18" t="n">
        <v>0</v>
      </c>
      <c r="J24" s="20" t="n">
        <v>0</v>
      </c>
      <c r="K24" s="18" t="n">
        <v>0</v>
      </c>
      <c r="L24" s="20" t="n">
        <v>0</v>
      </c>
      <c r="M24" s="18" t="n">
        <v>0</v>
      </c>
      <c r="N24" s="20" t="n">
        <v>0</v>
      </c>
      <c r="O24" s="18" t="n">
        <v>0</v>
      </c>
      <c r="P24" s="20" t="n">
        <v>0</v>
      </c>
      <c r="Q24" s="18" t="n">
        <v>0.30145829</v>
      </c>
      <c r="R24" s="20" t="n">
        <v>0.30704919</v>
      </c>
    </row>
    <row r="25" spans="1:18">
      <c r="A25" s="15" t="s">
        <v>583</v>
      </c>
      <c r="B25" s="17" t="n">
        <v>2669</v>
      </c>
      <c r="C25" s="18">
        <f>(2396.0/B25*100)</f>
        <v/>
      </c>
      <c r="D25" s="19" t="n">
        <v>273</v>
      </c>
      <c r="E25" s="18" t="n">
        <v>29.87183287</v>
      </c>
      <c r="F25" s="20" t="n">
        <v>2.38148994</v>
      </c>
      <c r="G25" s="18" t="n">
        <v>69.13312553999999</v>
      </c>
      <c r="H25" s="20" t="n">
        <v>2.37060945</v>
      </c>
      <c r="I25" s="18" t="n">
        <v>0</v>
      </c>
      <c r="J25" s="20" t="n">
        <v>0</v>
      </c>
      <c r="K25" s="18" t="n">
        <v>0.33916492</v>
      </c>
      <c r="L25" s="20" t="n">
        <v>0.47668997</v>
      </c>
      <c r="M25" s="18" t="n">
        <v>0</v>
      </c>
      <c r="N25" s="20" t="n">
        <v>0</v>
      </c>
      <c r="O25" s="18" t="n">
        <v>0</v>
      </c>
      <c r="P25" s="20" t="n">
        <v>0</v>
      </c>
      <c r="Q25" s="18" t="n">
        <v>0.6558766700000001</v>
      </c>
      <c r="R25" s="20" t="n">
        <v>0.46047781</v>
      </c>
    </row>
    <row r="26" spans="1:18">
      <c r="A26" s="15" t="s">
        <v>584</v>
      </c>
      <c r="B26" s="17" t="n">
        <v>2419</v>
      </c>
      <c r="C26" s="18">
        <f>(2155.0/B26*100)</f>
        <v/>
      </c>
      <c r="D26" s="19" t="n">
        <v>264</v>
      </c>
      <c r="E26" s="18" t="n">
        <v>47.83986471</v>
      </c>
      <c r="F26" s="20" t="n">
        <v>2.94504869</v>
      </c>
      <c r="G26" s="18" t="n">
        <v>52.16013529</v>
      </c>
      <c r="H26" s="20" t="n">
        <v>2.94504869</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(2370.0/B27*100)</f>
        <v/>
      </c>
      <c r="D27" s="19" t="n">
        <v>313</v>
      </c>
      <c r="E27" s="18" t="n">
        <v>55.89019608</v>
      </c>
      <c r="F27" s="20" t="n">
        <v>2.73860904</v>
      </c>
      <c r="G27" s="18" t="n">
        <v>42.83113501</v>
      </c>
      <c r="H27" s="20" t="n">
        <v>2.64641344</v>
      </c>
      <c r="I27" s="18" t="n">
        <v>0</v>
      </c>
      <c r="J27" s="20" t="n">
        <v>0</v>
      </c>
      <c r="K27" s="18" t="n">
        <v>0</v>
      </c>
      <c r="L27" s="20" t="n">
        <v>0</v>
      </c>
      <c r="M27" s="18" t="n">
        <v>0</v>
      </c>
      <c r="N27" s="20" t="n">
        <v>0</v>
      </c>
      <c r="O27" s="18" t="n">
        <v>0</v>
      </c>
      <c r="P27" s="20" t="n">
        <v>0</v>
      </c>
      <c r="Q27" s="18" t="n">
        <v>1.27866891</v>
      </c>
      <c r="R27" s="20" t="n">
        <v>0.63870352</v>
      </c>
    </row>
    <row r="28" spans="1:18">
      <c r="A28" s="15" t="s">
        <v>586</v>
      </c>
      <c r="B28" s="17" t="n">
        <v>3803</v>
      </c>
      <c r="C28" s="18">
        <f>(3418.0/B28*100)</f>
        <v/>
      </c>
      <c r="D28" s="19" t="n">
        <v>385</v>
      </c>
      <c r="E28" s="18" t="n">
        <v>67.22372265</v>
      </c>
      <c r="F28" s="20" t="n">
        <v>2.78519611</v>
      </c>
      <c r="G28" s="18" t="n">
        <v>31.58708586</v>
      </c>
      <c r="H28" s="20" t="n">
        <v>2.73615534</v>
      </c>
      <c r="I28" s="18" t="n">
        <v>0</v>
      </c>
      <c r="J28" s="20" t="n">
        <v>0</v>
      </c>
      <c r="K28" s="18" t="n">
        <v>0.67220587</v>
      </c>
      <c r="L28" s="20" t="n">
        <v>0.40684918</v>
      </c>
      <c r="M28" s="18" t="n">
        <v>0</v>
      </c>
      <c r="N28" s="20" t="n">
        <v>0</v>
      </c>
      <c r="O28" s="18" t="n">
        <v>0</v>
      </c>
      <c r="P28" s="20" t="n">
        <v>0</v>
      </c>
      <c r="Q28" s="18" t="n">
        <v>0.51698561</v>
      </c>
      <c r="R28" s="20" t="n">
        <v>0.36839954</v>
      </c>
    </row>
    <row r="29" spans="1:18">
      <c r="A29" s="15" t="s">
        <v>587</v>
      </c>
      <c r="B29" s="17" t="n">
        <v>2700</v>
      </c>
      <c r="C29" s="18">
        <f>(2340.0/B29*100)</f>
        <v/>
      </c>
      <c r="D29" s="19" t="n">
        <v>360</v>
      </c>
      <c r="E29" s="18" t="n">
        <v>41.14061727</v>
      </c>
      <c r="F29" s="20" t="n">
        <v>2.51635483</v>
      </c>
      <c r="G29" s="18" t="n">
        <v>58.27306541</v>
      </c>
      <c r="H29" s="20" t="n">
        <v>2.4317061</v>
      </c>
      <c r="I29" s="18" t="n">
        <v>0</v>
      </c>
      <c r="J29" s="20" t="n">
        <v>0</v>
      </c>
      <c r="K29" s="18" t="n">
        <v>0.35934781</v>
      </c>
      <c r="L29" s="20" t="n">
        <v>0.27771303</v>
      </c>
      <c r="M29" s="18" t="n">
        <v>0</v>
      </c>
      <c r="N29" s="20" t="n">
        <v>0</v>
      </c>
      <c r="O29" s="18" t="n">
        <v>0</v>
      </c>
      <c r="P29" s="20" t="n">
        <v>0</v>
      </c>
      <c r="Q29" s="18" t="n">
        <v>0.22696952</v>
      </c>
      <c r="R29" s="20" t="n">
        <v>0.22632514</v>
      </c>
    </row>
    <row r="30" spans="1:18">
      <c r="A30" s="15" t="s">
        <v>588</v>
      </c>
      <c r="B30" s="17" t="n">
        <v>2257</v>
      </c>
      <c r="C30" s="18">
        <f>(2010.0/B30*100)</f>
        <v/>
      </c>
      <c r="D30" s="19" t="n">
        <v>247</v>
      </c>
      <c r="E30" s="18" t="n">
        <v>51.01024853</v>
      </c>
      <c r="F30" s="20" t="n">
        <v>3.42451986</v>
      </c>
      <c r="G30" s="18" t="n">
        <v>47.47365885</v>
      </c>
      <c r="H30" s="20" t="n">
        <v>3.44338502</v>
      </c>
      <c r="I30" s="18" t="n">
        <v>0</v>
      </c>
      <c r="J30" s="20" t="n">
        <v>0</v>
      </c>
      <c r="K30" s="18" t="n">
        <v>0</v>
      </c>
      <c r="L30" s="20" t="n">
        <v>0</v>
      </c>
      <c r="M30" s="18" t="n">
        <v>0</v>
      </c>
      <c r="N30" s="20" t="n">
        <v>0</v>
      </c>
      <c r="O30" s="18" t="n">
        <v>0</v>
      </c>
      <c r="P30" s="20" t="n">
        <v>0</v>
      </c>
      <c r="Q30" s="18" t="n">
        <v>1.51609262</v>
      </c>
      <c r="R30" s="20" t="n">
        <v>0.81543403</v>
      </c>
    </row>
    <row r="31" spans="1:18">
      <c r="A31" s="15" t="s">
        <v>589</v>
      </c>
      <c r="B31" s="17" t="n">
        <v>2706</v>
      </c>
      <c r="C31" s="18">
        <f>(2413.0/B31*100)</f>
        <v/>
      </c>
      <c r="D31" s="19" t="n">
        <v>293</v>
      </c>
      <c r="E31" s="18" t="n">
        <v>55.14215696</v>
      </c>
      <c r="F31" s="20" t="n">
        <v>2.80075764</v>
      </c>
      <c r="G31" s="18" t="n">
        <v>44.21192843</v>
      </c>
      <c r="H31" s="20" t="n">
        <v>2.83897141</v>
      </c>
      <c r="I31" s="18" t="n">
        <v>0</v>
      </c>
      <c r="J31" s="20" t="n">
        <v>0</v>
      </c>
      <c r="K31" s="18" t="n">
        <v>0.33478789</v>
      </c>
      <c r="L31" s="20" t="n">
        <v>0.30219483</v>
      </c>
      <c r="M31" s="18" t="n">
        <v>0</v>
      </c>
      <c r="N31" s="20" t="n">
        <v>0</v>
      </c>
      <c r="O31" s="18" t="n">
        <v>0</v>
      </c>
      <c r="P31" s="20" t="n">
        <v>0</v>
      </c>
      <c r="Q31" s="18" t="n">
        <v>0.31112672</v>
      </c>
      <c r="R31" s="20" t="n">
        <v>0.3089572</v>
      </c>
    </row>
    <row r="32" spans="1:18">
      <c r="A32" s="15" t="s">
        <v>590</v>
      </c>
      <c r="B32" s="17" t="n">
        <v>2209</v>
      </c>
      <c r="C32" s="18">
        <f>(1966.0/B32*100)</f>
        <v/>
      </c>
      <c r="D32" s="19" t="n">
        <v>243</v>
      </c>
      <c r="E32" s="18" t="n">
        <v>27.79683474</v>
      </c>
      <c r="F32" s="20" t="n">
        <v>2.78993293</v>
      </c>
      <c r="G32" s="18" t="n">
        <v>72.20316526000001</v>
      </c>
      <c r="H32" s="20" t="n">
        <v>2.78993293</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(3247.0/B33*100)</f>
        <v/>
      </c>
      <c r="D33" s="19" t="n">
        <v>404</v>
      </c>
      <c r="E33" s="18" t="n">
        <v>47.74634306</v>
      </c>
      <c r="F33" s="20" t="n">
        <v>2.86260253</v>
      </c>
      <c r="G33" s="18" t="n">
        <v>52.25365694</v>
      </c>
      <c r="H33" s="20" t="n">
        <v>2.86260253</v>
      </c>
      <c r="I33" s="18" t="n">
        <v>0</v>
      </c>
      <c r="J33" s="20" t="n">
        <v>0</v>
      </c>
      <c r="K33" s="18" t="n">
        <v>0</v>
      </c>
      <c r="L33" s="20" t="n">
        <v>0</v>
      </c>
      <c r="M33" s="18" t="n">
        <v>0</v>
      </c>
      <c r="N33" s="20" t="n">
        <v>0</v>
      </c>
      <c r="O33" s="18" t="n">
        <v>0</v>
      </c>
      <c r="P33" s="20" t="n">
        <v>0</v>
      </c>
      <c r="Q33" s="18" t="n">
        <v>0</v>
      </c>
      <c r="R33" s="20" t="n">
        <v>0</v>
      </c>
    </row>
    <row r="34" spans="1:18">
      <c r="A34" s="15" t="s">
        <v>592</v>
      </c>
      <c r="B34" s="17" t="n">
        <v>3035</v>
      </c>
      <c r="C34" s="18">
        <f>(2659.0/B34*100)</f>
        <v/>
      </c>
      <c r="D34" s="19" t="n">
        <v>376</v>
      </c>
      <c r="E34" s="18" t="n">
        <v>42.01203434</v>
      </c>
      <c r="F34" s="20" t="n">
        <v>4.04086038</v>
      </c>
      <c r="G34" s="18" t="n">
        <v>56.15940386</v>
      </c>
      <c r="H34" s="20" t="n">
        <v>4.00084662</v>
      </c>
      <c r="I34" s="18" t="n">
        <v>0</v>
      </c>
      <c r="J34" s="20" t="n">
        <v>0</v>
      </c>
      <c r="K34" s="18" t="n">
        <v>0.3531772</v>
      </c>
      <c r="L34" s="20" t="n">
        <v>0.19908057</v>
      </c>
      <c r="M34" s="18" t="n">
        <v>0</v>
      </c>
      <c r="N34" s="20" t="n">
        <v>0</v>
      </c>
      <c r="O34" s="18" t="n">
        <v>0</v>
      </c>
      <c r="P34" s="20" t="n">
        <v>0</v>
      </c>
      <c r="Q34" s="18" t="n">
        <v>1.4753846</v>
      </c>
      <c r="R34" s="20" t="n">
        <v>0.56000591</v>
      </c>
    </row>
    <row r="35" spans="1:18">
      <c r="A35" s="15" t="s">
        <v>593</v>
      </c>
      <c r="B35" s="17" t="n">
        <v>2901</v>
      </c>
      <c r="C35" s="18">
        <f>(2541.0/B35*100)</f>
        <v/>
      </c>
      <c r="D35" s="19" t="n">
        <v>360</v>
      </c>
      <c r="E35" s="18" t="n">
        <v>36.45611872</v>
      </c>
      <c r="F35" s="20" t="n">
        <v>2.98322472</v>
      </c>
      <c r="G35" s="18" t="n">
        <v>63.54388128</v>
      </c>
      <c r="H35" s="20" t="n">
        <v>2.98322472</v>
      </c>
      <c r="I35" s="18" t="n">
        <v>0</v>
      </c>
      <c r="J35" s="20" t="n">
        <v>0</v>
      </c>
      <c r="K35" s="18" t="n">
        <v>0</v>
      </c>
      <c r="L35" s="20" t="n">
        <v>0</v>
      </c>
      <c r="M35" s="18" t="n">
        <v>0</v>
      </c>
      <c r="N35" s="20" t="n">
        <v>0</v>
      </c>
      <c r="O35" s="18" t="n">
        <v>0</v>
      </c>
      <c r="P35" s="20" t="n">
        <v>0</v>
      </c>
      <c r="Q35" s="18" t="n">
        <v>0</v>
      </c>
      <c r="R35" s="20" t="n">
        <v>0</v>
      </c>
    </row>
    <row r="36" spans="1:18">
      <c r="A36" s="15" t="s">
        <v>594</v>
      </c>
      <c r="B36" s="17" t="n">
        <v>3404</v>
      </c>
      <c r="C36" s="18">
        <f>(3034.0/B36*100)</f>
        <v/>
      </c>
      <c r="D36" s="19" t="n">
        <v>370</v>
      </c>
      <c r="E36" s="18" t="n">
        <v>40.1174739</v>
      </c>
      <c r="F36" s="20" t="n">
        <v>2.61803915</v>
      </c>
      <c r="G36" s="18" t="n">
        <v>59.36553947</v>
      </c>
      <c r="H36" s="20" t="n">
        <v>2.56714327</v>
      </c>
      <c r="I36" s="18" t="n">
        <v>0</v>
      </c>
      <c r="J36" s="20" t="n">
        <v>0</v>
      </c>
      <c r="K36" s="18" t="n">
        <v>0</v>
      </c>
      <c r="L36" s="20" t="n">
        <v>0</v>
      </c>
      <c r="M36" s="18" t="n">
        <v>0</v>
      </c>
      <c r="N36" s="20" t="n">
        <v>0</v>
      </c>
      <c r="O36" s="18" t="n">
        <v>0</v>
      </c>
      <c r="P36" s="20" t="n">
        <v>0</v>
      </c>
      <c r="Q36" s="18" t="n">
        <v>0.51698663</v>
      </c>
      <c r="R36" s="20" t="n">
        <v>0.45970893</v>
      </c>
    </row>
    <row r="37" spans="1:18">
      <c r="A37" s="15" t="s">
        <v>595</v>
      </c>
      <c r="B37" s="17" t="n">
        <v>2731</v>
      </c>
      <c r="C37" s="18">
        <f>(2433.0/B37*100)</f>
        <v/>
      </c>
      <c r="D37" s="19" t="n">
        <v>298</v>
      </c>
      <c r="E37" s="18" t="n">
        <v>35.9715019</v>
      </c>
      <c r="F37" s="20" t="n">
        <v>3.23953538</v>
      </c>
      <c r="G37" s="18" t="n">
        <v>63.70021747</v>
      </c>
      <c r="H37" s="20" t="n">
        <v>3.31734206</v>
      </c>
      <c r="I37" s="18" t="n">
        <v>0</v>
      </c>
      <c r="J37" s="20" t="n">
        <v>0</v>
      </c>
      <c r="K37" s="18" t="n">
        <v>0</v>
      </c>
      <c r="L37" s="20" t="n">
        <v>0</v>
      </c>
      <c r="M37" s="18" t="n">
        <v>0</v>
      </c>
      <c r="N37" s="20" t="n">
        <v>0</v>
      </c>
      <c r="O37" s="18" t="n">
        <v>0</v>
      </c>
      <c r="P37" s="20" t="n">
        <v>0</v>
      </c>
      <c r="Q37" s="18" t="n">
        <v>0.32828062</v>
      </c>
      <c r="R37" s="20" t="n">
        <v>0.32888804</v>
      </c>
    </row>
    <row r="38" spans="1:18">
      <c r="A38" s="15" t="s">
        <v>596</v>
      </c>
      <c r="B38" s="17" t="n">
        <v>2807</v>
      </c>
      <c r="C38" s="18">
        <f>(2511.0/B38*100)</f>
        <v/>
      </c>
      <c r="D38" s="19" t="n">
        <v>296</v>
      </c>
      <c r="E38" s="18" t="n">
        <v>43.78680728</v>
      </c>
      <c r="F38" s="20" t="n">
        <v>3.07591066</v>
      </c>
      <c r="G38" s="18" t="n">
        <v>55.60904138</v>
      </c>
      <c r="H38" s="20" t="n">
        <v>3.04090723</v>
      </c>
      <c r="I38" s="18" t="n">
        <v>0</v>
      </c>
      <c r="J38" s="20" t="n">
        <v>0</v>
      </c>
      <c r="K38" s="18" t="n">
        <v>0.28100059</v>
      </c>
      <c r="L38" s="20" t="n">
        <v>0.28214444</v>
      </c>
      <c r="M38" s="18" t="n">
        <v>0</v>
      </c>
      <c r="N38" s="20" t="n">
        <v>0</v>
      </c>
      <c r="O38" s="18" t="n">
        <v>0</v>
      </c>
      <c r="P38" s="20" t="n">
        <v>0</v>
      </c>
      <c r="Q38" s="18" t="n">
        <v>0.32315076</v>
      </c>
      <c r="R38" s="20" t="n">
        <v>0.32526807</v>
      </c>
    </row>
    <row r="39" spans="1:18">
      <c r="A39" s="15" t="s">
        <v>597</v>
      </c>
      <c r="B39" s="17" t="n">
        <v>2938</v>
      </c>
      <c r="C39" s="18">
        <f>(2614.0/B39*100)</f>
        <v/>
      </c>
      <c r="D39" s="19" t="n">
        <v>324</v>
      </c>
      <c r="E39" s="18" t="n">
        <v>41.98939586</v>
      </c>
      <c r="F39" s="20" t="n">
        <v>3.82416478</v>
      </c>
      <c r="G39" s="18" t="n">
        <v>57.59679221</v>
      </c>
      <c r="H39" s="20" t="n">
        <v>3.78512043</v>
      </c>
      <c r="I39" s="18" t="n">
        <v>0</v>
      </c>
      <c r="J39" s="20" t="n">
        <v>0</v>
      </c>
      <c r="K39" s="18" t="n">
        <v>0</v>
      </c>
      <c r="L39" s="20" t="n">
        <v>0</v>
      </c>
      <c r="M39" s="18" t="n">
        <v>0</v>
      </c>
      <c r="N39" s="20" t="n">
        <v>0</v>
      </c>
      <c r="O39" s="18" t="n">
        <v>0</v>
      </c>
      <c r="P39" s="20" t="n">
        <v>0</v>
      </c>
      <c r="Q39" s="18" t="n">
        <v>0.41381193</v>
      </c>
      <c r="R39" s="20" t="n">
        <v>0.41286245</v>
      </c>
    </row>
    <row r="40" spans="1:18">
      <c r="A40" s="15" t="s">
        <v>598</v>
      </c>
      <c r="B40" s="17" t="n">
        <v>6922</v>
      </c>
      <c r="C40" s="18">
        <f>(6187.0/B40*100)</f>
        <v/>
      </c>
      <c r="D40" s="19" t="n">
        <v>735</v>
      </c>
      <c r="E40" s="18" t="n">
        <v>58.59197611</v>
      </c>
      <c r="F40" s="20" t="n">
        <v>2.42481601</v>
      </c>
      <c r="G40" s="18" t="n">
        <v>41.26564279</v>
      </c>
      <c r="H40" s="20" t="n">
        <v>2.42534626</v>
      </c>
      <c r="I40" s="18" t="n">
        <v>0</v>
      </c>
      <c r="J40" s="20" t="n">
        <v>0</v>
      </c>
      <c r="K40" s="18" t="n">
        <v>0.1423811</v>
      </c>
      <c r="L40" s="20" t="n">
        <v>0.11740202</v>
      </c>
      <c r="M40" s="18" t="n">
        <v>0</v>
      </c>
      <c r="N40" s="20" t="n">
        <v>0</v>
      </c>
      <c r="O40" s="18" t="n">
        <v>0</v>
      </c>
      <c r="P40" s="20" t="n">
        <v>0</v>
      </c>
      <c r="Q40" s="18" t="n">
        <v>0</v>
      </c>
      <c r="R40" s="20" t="n">
        <v>0</v>
      </c>
    </row>
    <row r="41" spans="1:18">
      <c r="A41" s="15" t="s">
        <v>599</v>
      </c>
      <c r="B41" s="17" t="n">
        <v>2854</v>
      </c>
      <c r="C41" s="18">
        <f>(2536.0/B41*100)</f>
        <v/>
      </c>
      <c r="D41" s="19" t="n">
        <v>318</v>
      </c>
      <c r="E41" s="18" t="n">
        <v>57.95620657</v>
      </c>
      <c r="F41" s="20" t="n">
        <v>2.62568044</v>
      </c>
      <c r="G41" s="18" t="n">
        <v>41.05962493</v>
      </c>
      <c r="H41" s="20" t="n">
        <v>2.52593062</v>
      </c>
      <c r="I41" s="18" t="n">
        <v>0</v>
      </c>
      <c r="J41" s="20" t="n">
        <v>0</v>
      </c>
      <c r="K41" s="18" t="n">
        <v>0</v>
      </c>
      <c r="L41" s="20" t="n">
        <v>0</v>
      </c>
      <c r="M41" s="18" t="n">
        <v>0</v>
      </c>
      <c r="N41" s="20" t="n">
        <v>0</v>
      </c>
      <c r="O41" s="18" t="n">
        <v>0</v>
      </c>
      <c r="P41" s="20" t="n">
        <v>0</v>
      </c>
      <c r="Q41" s="18" t="n">
        <v>0.9841685</v>
      </c>
      <c r="R41" s="20" t="n">
        <v>1.03342794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(10926.0/B46*100)</f>
        <v/>
      </c>
      <c r="D46" s="19" t="n">
        <v>1147</v>
      </c>
      <c r="E46" s="18" t="n">
        <v>59.09231849</v>
      </c>
      <c r="F46" s="20" t="n">
        <v>1.7836238</v>
      </c>
      <c r="G46" s="18" t="n">
        <v>38.68480085</v>
      </c>
      <c r="H46" s="20" t="n">
        <v>1.8100563</v>
      </c>
      <c r="I46" s="18" t="n">
        <v>0</v>
      </c>
      <c r="J46" s="20" t="n">
        <v>0</v>
      </c>
      <c r="K46" s="18" t="n">
        <v>0.38481807</v>
      </c>
      <c r="L46" s="20" t="n">
        <v>0.21172533</v>
      </c>
      <c r="M46" s="18" t="n">
        <v>0</v>
      </c>
      <c r="N46" s="20" t="n">
        <v>0</v>
      </c>
      <c r="O46" s="18" t="n">
        <v>0</v>
      </c>
      <c r="P46" s="20" t="n">
        <v>0</v>
      </c>
      <c r="Q46" s="18" t="n">
        <v>1.83806259</v>
      </c>
      <c r="R46" s="20" t="n">
        <v>0.56939826</v>
      </c>
    </row>
    <row r="47" spans="1:18">
      <c r="A47" s="15" t="s">
        <v>606</v>
      </c>
      <c r="B47" s="17" t="n">
        <v>2823</v>
      </c>
      <c r="C47" s="18">
        <f>(2517.0/B47*100)</f>
        <v/>
      </c>
      <c r="D47" s="19" t="n">
        <v>306</v>
      </c>
      <c r="E47" s="18" t="n">
        <v>43.20691285</v>
      </c>
      <c r="F47" s="20" t="n">
        <v>3.07550492</v>
      </c>
      <c r="G47" s="18" t="n">
        <v>55.4765861</v>
      </c>
      <c r="H47" s="20" t="n">
        <v>3.08007091</v>
      </c>
      <c r="I47" s="18" t="n">
        <v>0</v>
      </c>
      <c r="J47" s="20" t="n">
        <v>0</v>
      </c>
      <c r="K47" s="18" t="n">
        <v>1.01263941</v>
      </c>
      <c r="L47" s="20" t="n">
        <v>0.6668414499999999</v>
      </c>
      <c r="M47" s="18" t="n">
        <v>0</v>
      </c>
      <c r="N47" s="20" t="n">
        <v>0</v>
      </c>
      <c r="O47" s="18" t="n">
        <v>0</v>
      </c>
      <c r="P47" s="20" t="n">
        <v>0</v>
      </c>
      <c r="Q47" s="18" t="n">
        <v>0.30386164</v>
      </c>
      <c r="R47" s="20" t="n">
        <v>0.30093961</v>
      </c>
    </row>
    <row r="48" spans="1:18">
      <c r="A48" s="15" t="s">
        <v>607</v>
      </c>
      <c r="B48" s="17" t="n">
        <v>4682</v>
      </c>
      <c r="C48" s="18">
        <f>(4187.0/B48*100)</f>
        <v/>
      </c>
      <c r="D48" s="19" t="n">
        <v>495</v>
      </c>
      <c r="E48" s="18" t="n">
        <v>38.64421854</v>
      </c>
      <c r="F48" s="20" t="n">
        <v>3.6103609</v>
      </c>
      <c r="G48" s="18" t="n">
        <v>59.40598818</v>
      </c>
      <c r="H48" s="20" t="n">
        <v>3.54340856</v>
      </c>
      <c r="I48" s="18" t="n">
        <v>0</v>
      </c>
      <c r="J48" s="20" t="n">
        <v>0</v>
      </c>
      <c r="K48" s="18" t="n">
        <v>0.3103753</v>
      </c>
      <c r="L48" s="20" t="n">
        <v>0.31446777</v>
      </c>
      <c r="M48" s="18" t="n">
        <v>0</v>
      </c>
      <c r="N48" s="20" t="n">
        <v>0</v>
      </c>
      <c r="O48" s="18" t="n">
        <v>0</v>
      </c>
      <c r="P48" s="20" t="n">
        <v>0</v>
      </c>
      <c r="Q48" s="18" t="n">
        <v>1.63941798</v>
      </c>
      <c r="R48" s="20" t="n">
        <v>0.81033435</v>
      </c>
    </row>
    <row r="49" spans="1:18">
      <c r="A49" s="15" t="s">
        <v>608</v>
      </c>
      <c r="B49" s="17" t="n">
        <v>6158</v>
      </c>
      <c r="C49" s="18">
        <f>(5490.0/B49*100)</f>
        <v/>
      </c>
      <c r="D49" s="19" t="n">
        <v>668</v>
      </c>
      <c r="E49" s="18" t="n">
        <v>67.76480241</v>
      </c>
      <c r="F49" s="20" t="n">
        <v>2.2340737</v>
      </c>
      <c r="G49" s="18" t="n">
        <v>31.19574023</v>
      </c>
      <c r="H49" s="20" t="n">
        <v>2.18073457</v>
      </c>
      <c r="I49" s="18" t="n">
        <v>0</v>
      </c>
      <c r="J49" s="20" t="n">
        <v>0</v>
      </c>
      <c r="K49" s="18" t="n">
        <v>0.4587506</v>
      </c>
      <c r="L49" s="20" t="n">
        <v>0.28336585</v>
      </c>
      <c r="M49" s="18" t="n">
        <v>0</v>
      </c>
      <c r="N49" s="20" t="n">
        <v>0</v>
      </c>
      <c r="O49" s="18" t="n">
        <v>0</v>
      </c>
      <c r="P49" s="20" t="n">
        <v>0</v>
      </c>
      <c r="Q49" s="18" t="n">
        <v>0.58070675</v>
      </c>
      <c r="R49" s="20" t="n">
        <v>0.35556318</v>
      </c>
    </row>
    <row r="50" spans="1:18">
      <c r="A50" s="15" t="s">
        <v>609</v>
      </c>
      <c r="B50" s="17" t="n">
        <v>3494</v>
      </c>
      <c r="C50" s="18">
        <f>(2825.0/B50*100)</f>
        <v/>
      </c>
      <c r="D50" s="19" t="n">
        <v>669</v>
      </c>
      <c r="E50" s="18" t="n">
        <v>68.54940861</v>
      </c>
      <c r="F50" s="20" t="n">
        <v>2.12027753</v>
      </c>
      <c r="G50" s="18" t="n">
        <v>30.30858474</v>
      </c>
      <c r="H50" s="20" t="n">
        <v>2.03649233</v>
      </c>
      <c r="I50" s="18" t="n">
        <v>0</v>
      </c>
      <c r="J50" s="20" t="n">
        <v>0</v>
      </c>
      <c r="K50" s="18" t="n">
        <v>0</v>
      </c>
      <c r="L50" s="20" t="n">
        <v>0</v>
      </c>
      <c r="M50" s="18" t="n">
        <v>0</v>
      </c>
      <c r="N50" s="20" t="n">
        <v>0</v>
      </c>
      <c r="O50" s="18" t="n">
        <v>0</v>
      </c>
      <c r="P50" s="20" t="n">
        <v>0</v>
      </c>
      <c r="Q50" s="18" t="n">
        <v>1.14200665</v>
      </c>
      <c r="R50" s="20" t="n">
        <v>0.48186453</v>
      </c>
    </row>
    <row r="51" spans="1:18">
      <c r="A51" s="15" t="s">
        <v>610</v>
      </c>
      <c r="B51" s="17" t="n">
        <v>3013</v>
      </c>
      <c r="C51" s="18">
        <f>(2700.0/B51*100)</f>
        <v/>
      </c>
      <c r="D51" s="19" t="n">
        <v>313</v>
      </c>
      <c r="E51" s="18" t="n">
        <v>49.82201128</v>
      </c>
      <c r="F51" s="20" t="n">
        <v>2.94541329</v>
      </c>
      <c r="G51" s="18" t="n">
        <v>49.58736615</v>
      </c>
      <c r="H51" s="20" t="n">
        <v>2.92888596</v>
      </c>
      <c r="I51" s="18" t="n">
        <v>0</v>
      </c>
      <c r="J51" s="20" t="n">
        <v>0</v>
      </c>
      <c r="K51" s="18" t="n">
        <v>0</v>
      </c>
      <c r="L51" s="20" t="n">
        <v>0</v>
      </c>
      <c r="M51" s="18" t="n">
        <v>0</v>
      </c>
      <c r="N51" s="20" t="n">
        <v>0</v>
      </c>
      <c r="O51" s="18" t="n">
        <v>0</v>
      </c>
      <c r="P51" s="20" t="n">
        <v>0</v>
      </c>
      <c r="Q51" s="18" t="n">
        <v>0.59062257</v>
      </c>
      <c r="R51" s="20" t="n">
        <v>0.41374672</v>
      </c>
    </row>
    <row r="52" spans="1:18">
      <c r="A52" s="15" t="s">
        <v>611</v>
      </c>
      <c r="B52" s="17" t="n">
        <v>2760</v>
      </c>
      <c r="C52" s="18">
        <f>(2467.0/B52*100)</f>
        <v/>
      </c>
      <c r="D52" s="19" t="n">
        <v>293</v>
      </c>
      <c r="E52" s="18" t="n">
        <v>48.8234043</v>
      </c>
      <c r="F52" s="20" t="n">
        <v>3.16908076</v>
      </c>
      <c r="G52" s="18" t="n">
        <v>50.6603718</v>
      </c>
      <c r="H52" s="20" t="n">
        <v>3.22657938</v>
      </c>
      <c r="I52" s="18" t="n">
        <v>0</v>
      </c>
      <c r="J52" s="20" t="n">
        <v>0</v>
      </c>
      <c r="K52" s="18" t="n">
        <v>0.28338245</v>
      </c>
      <c r="L52" s="20" t="n">
        <v>0.2844005</v>
      </c>
      <c r="M52" s="18" t="n">
        <v>0</v>
      </c>
      <c r="N52" s="20" t="n">
        <v>0</v>
      </c>
      <c r="O52" s="18" t="n">
        <v>0</v>
      </c>
      <c r="P52" s="20" t="n">
        <v>0</v>
      </c>
      <c r="Q52" s="18" t="n">
        <v>0.23284145</v>
      </c>
      <c r="R52" s="20" t="n">
        <v>0.22815374</v>
      </c>
    </row>
    <row r="53" spans="1:18">
      <c r="A53" s="15" t="s">
        <v>612</v>
      </c>
      <c r="B53" s="17" t="n">
        <v>2474</v>
      </c>
      <c r="C53" s="18">
        <f>(2186.0/B53*100)</f>
        <v/>
      </c>
      <c r="D53" s="19" t="n">
        <v>288</v>
      </c>
      <c r="E53" s="18" t="n">
        <v>74.06035602</v>
      </c>
      <c r="F53" s="20" t="n">
        <v>2.71138964</v>
      </c>
      <c r="G53" s="18" t="n">
        <v>16.27031798</v>
      </c>
      <c r="H53" s="20" t="n">
        <v>2.20256791</v>
      </c>
      <c r="I53" s="18" t="n">
        <v>0</v>
      </c>
      <c r="J53" s="20" t="n">
        <v>0</v>
      </c>
      <c r="K53" s="18" t="n">
        <v>9.295786619999999</v>
      </c>
      <c r="L53" s="20" t="n">
        <v>2.21188056</v>
      </c>
      <c r="M53" s="18" t="n">
        <v>0</v>
      </c>
      <c r="N53" s="20" t="n">
        <v>0</v>
      </c>
      <c r="O53" s="18" t="n">
        <v>0</v>
      </c>
      <c r="P53" s="20" t="n">
        <v>0</v>
      </c>
      <c r="Q53" s="18" t="n">
        <v>0.37353939</v>
      </c>
      <c r="R53" s="20" t="n">
        <v>0.36593685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(2390.0/B55*100)</f>
        <v/>
      </c>
      <c r="D55" s="19" t="n">
        <v>285</v>
      </c>
      <c r="E55" s="18" t="n">
        <v>30.1783437</v>
      </c>
      <c r="F55" s="20" t="n">
        <v>2.69620591</v>
      </c>
      <c r="G55" s="18" t="n">
        <v>69.54048023999999</v>
      </c>
      <c r="H55" s="20" t="n">
        <v>2.70930339</v>
      </c>
      <c r="I55" s="18" t="n">
        <v>0</v>
      </c>
      <c r="J55" s="20" t="n">
        <v>0</v>
      </c>
      <c r="K55" s="18" t="n">
        <v>0</v>
      </c>
      <c r="L55" s="20" t="n">
        <v>0</v>
      </c>
      <c r="M55" s="18" t="n">
        <v>0</v>
      </c>
      <c r="N55" s="20" t="n">
        <v>0</v>
      </c>
      <c r="O55" s="18" t="n">
        <v>0</v>
      </c>
      <c r="P55" s="20" t="n">
        <v>0</v>
      </c>
      <c r="Q55" s="18" t="n">
        <v>0.28117606</v>
      </c>
      <c r="R55" s="20" t="n">
        <v>0.28498579</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(2841.0/B61*100)</f>
        <v/>
      </c>
      <c r="D61" s="19" t="n">
        <v>360</v>
      </c>
      <c r="E61" s="18" t="n">
        <v>50.96062773</v>
      </c>
      <c r="F61" s="20" t="n">
        <v>3.04792011</v>
      </c>
      <c r="G61" s="18" t="n">
        <v>49.03937227</v>
      </c>
      <c r="H61" s="20" t="n">
        <v>3.04792011</v>
      </c>
      <c r="I61" s="18" t="n">
        <v>0</v>
      </c>
      <c r="J61" s="20" t="n">
        <v>0</v>
      </c>
      <c r="K61" s="18" t="n">
        <v>0</v>
      </c>
      <c r="L61" s="20" t="n">
        <v>0</v>
      </c>
      <c r="M61" s="18" t="n">
        <v>0</v>
      </c>
      <c r="N61" s="20" t="n">
        <v>0</v>
      </c>
      <c r="O61" s="18" t="n">
        <v>0</v>
      </c>
      <c r="P61" s="20" t="n">
        <v>0</v>
      </c>
      <c r="Q61" s="18" t="n">
        <v>0</v>
      </c>
      <c r="R61" s="20" t="n">
        <v>0</v>
      </c>
    </row>
    <row r="62" spans="1:18">
      <c r="A62" s="15" t="s">
        <v>622</v>
      </c>
      <c r="B62" s="17" t="n">
        <v>2230</v>
      </c>
      <c r="C62" s="18">
        <f>(2003.0/B62*100)</f>
        <v/>
      </c>
      <c r="D62" s="19" t="n">
        <v>227</v>
      </c>
      <c r="E62" s="18" t="n">
        <v>46.77207877</v>
      </c>
      <c r="F62" s="20" t="n">
        <v>3.07374663</v>
      </c>
      <c r="G62" s="18" t="n">
        <v>53.22792123</v>
      </c>
      <c r="H62" s="20" t="n">
        <v>3.07374663</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(2463.0/B67*100)</f>
        <v/>
      </c>
      <c r="D67" s="19" t="n">
        <v>308</v>
      </c>
      <c r="E67" s="18" t="n">
        <v>49.94031976</v>
      </c>
      <c r="F67" s="20" t="n">
        <v>2.68650274</v>
      </c>
      <c r="G67" s="18" t="n">
        <v>46.99717023</v>
      </c>
      <c r="H67" s="20" t="n">
        <v>2.74222897</v>
      </c>
      <c r="I67" s="18" t="n">
        <v>0</v>
      </c>
      <c r="J67" s="20" t="n">
        <v>0</v>
      </c>
      <c r="K67" s="18" t="n">
        <v>0.2706648</v>
      </c>
      <c r="L67" s="20" t="n">
        <v>0.27097416</v>
      </c>
      <c r="M67" s="18" t="n">
        <v>0</v>
      </c>
      <c r="N67" s="20" t="n">
        <v>0</v>
      </c>
      <c r="O67" s="18" t="n">
        <v>0</v>
      </c>
      <c r="P67" s="20" t="n">
        <v>0</v>
      </c>
      <c r="Q67" s="18" t="n">
        <v>2.79184521</v>
      </c>
      <c r="R67" s="20" t="n">
        <v>0.95851218</v>
      </c>
    </row>
    <row r="68" spans="1:18">
      <c r="A68" s="15" t="s">
        <v>628</v>
      </c>
      <c r="B68" s="17" t="n">
        <v>3460</v>
      </c>
      <c r="C68" s="18">
        <f>(3098.0/B68*100)</f>
        <v/>
      </c>
      <c r="D68" s="19" t="n">
        <v>362</v>
      </c>
      <c r="E68" s="18" t="n">
        <v>72.40413818</v>
      </c>
      <c r="F68" s="20" t="n">
        <v>2.7364259</v>
      </c>
      <c r="G68" s="18" t="n">
        <v>27.59586182</v>
      </c>
      <c r="H68" s="20" t="n">
        <v>2.7364259</v>
      </c>
      <c r="I68" s="18" t="n">
        <v>0</v>
      </c>
      <c r="J68" s="20" t="n">
        <v>0</v>
      </c>
      <c r="K68" s="18" t="n">
        <v>0</v>
      </c>
      <c r="L68" s="20" t="n">
        <v>0</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(5342.0/B70*100)</f>
        <v/>
      </c>
      <c r="D70" s="19" t="n">
        <v>692</v>
      </c>
      <c r="E70" s="18" t="n">
        <v>69.01883230999999</v>
      </c>
      <c r="F70" s="20" t="n">
        <v>1.8080022</v>
      </c>
      <c r="G70" s="18" t="n">
        <v>29.4947164</v>
      </c>
      <c r="H70" s="20" t="n">
        <v>1.78320414</v>
      </c>
      <c r="I70" s="18" t="n">
        <v>0</v>
      </c>
      <c r="J70" s="20" t="n">
        <v>0</v>
      </c>
      <c r="K70" s="18" t="n">
        <v>0.77563372</v>
      </c>
      <c r="L70" s="20" t="n">
        <v>0.3513087</v>
      </c>
      <c r="M70" s="18" t="n">
        <v>0</v>
      </c>
      <c r="N70" s="20" t="n">
        <v>0</v>
      </c>
      <c r="O70" s="18" t="n">
        <v>0</v>
      </c>
      <c r="P70" s="20" t="n">
        <v>0</v>
      </c>
      <c r="Q70" s="18" t="n">
        <v>0.71081757</v>
      </c>
      <c r="R70" s="20" t="n">
        <v>0.31975015</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(2795.0/B72*100)</f>
        <v/>
      </c>
      <c r="D72" s="19" t="n">
        <v>312</v>
      </c>
      <c r="E72" s="18" t="n">
        <v>36.3167563</v>
      </c>
      <c r="F72" s="20" t="n">
        <v>3.07703575</v>
      </c>
      <c r="G72" s="18" t="n">
        <v>63.19166648</v>
      </c>
      <c r="H72" s="20" t="n">
        <v>3.09199778</v>
      </c>
      <c r="I72" s="18" t="n">
        <v>0</v>
      </c>
      <c r="J72" s="20" t="n">
        <v>0</v>
      </c>
      <c r="K72" s="18" t="n">
        <v>0.49157723</v>
      </c>
      <c r="L72" s="20" t="n">
        <v>0.49235834</v>
      </c>
      <c r="M72" s="18" t="n">
        <v>0</v>
      </c>
      <c r="N72" s="20" t="n">
        <v>0</v>
      </c>
      <c r="O72" s="18" t="n">
        <v>0</v>
      </c>
      <c r="P72" s="20" t="n">
        <v>0</v>
      </c>
      <c r="Q72" s="18" t="n">
        <v>0</v>
      </c>
      <c r="R72" s="20" t="n">
        <v>0</v>
      </c>
    </row>
    <row r="73" spans="1:18">
      <c r="A73" s="15" t="s">
        <v>633</v>
      </c>
      <c r="B73" s="17" t="n">
        <v>2973</v>
      </c>
      <c r="C73" s="18">
        <f>(2625.0/B73*100)</f>
        <v/>
      </c>
      <c r="D73" s="19" t="n">
        <v>348</v>
      </c>
      <c r="E73" s="18" t="n">
        <v>26.20487835</v>
      </c>
      <c r="F73" s="20" t="n">
        <v>2.1427074</v>
      </c>
      <c r="G73" s="18" t="n">
        <v>73.33492839</v>
      </c>
      <c r="H73" s="20" t="n">
        <v>2.192984</v>
      </c>
      <c r="I73" s="18" t="n">
        <v>0</v>
      </c>
      <c r="J73" s="20" t="n">
        <v>0</v>
      </c>
      <c r="K73" s="18" t="n">
        <v>0.46019326</v>
      </c>
      <c r="L73" s="20" t="n">
        <v>0.43957505</v>
      </c>
      <c r="M73" s="18" t="n">
        <v>0</v>
      </c>
      <c r="N73" s="20" t="n">
        <v>0</v>
      </c>
      <c r="O73" s="18" t="n">
        <v>0</v>
      </c>
      <c r="P73" s="20" t="n">
        <v>0</v>
      </c>
      <c r="Q73" s="18" t="n">
        <v>0</v>
      </c>
      <c r="R73" s="20" t="n">
        <v>0</v>
      </c>
    </row>
    <row r="74" spans="1:18">
      <c r="A74" s="15" t="s">
        <v>634</v>
      </c>
      <c r="B74" s="17" t="n">
        <v>3819</v>
      </c>
      <c r="C74" s="18">
        <f>(3416.0/B74*100)</f>
        <v/>
      </c>
      <c r="D74" s="19" t="n">
        <v>403</v>
      </c>
      <c r="E74" s="18" t="n">
        <v>27.5373229</v>
      </c>
      <c r="F74" s="20" t="n">
        <v>2.09432794</v>
      </c>
      <c r="G74" s="18" t="n">
        <v>72.14130625</v>
      </c>
      <c r="H74" s="20" t="n">
        <v>2.06713447</v>
      </c>
      <c r="I74" s="18" t="n">
        <v>0</v>
      </c>
      <c r="J74" s="20" t="n">
        <v>0</v>
      </c>
      <c r="K74" s="18" t="n">
        <v>0</v>
      </c>
      <c r="L74" s="20" t="n">
        <v>0</v>
      </c>
      <c r="M74" s="18" t="n">
        <v>0</v>
      </c>
      <c r="N74" s="20" t="n">
        <v>0</v>
      </c>
      <c r="O74" s="18" t="n">
        <v>0</v>
      </c>
      <c r="P74" s="20" t="n">
        <v>0</v>
      </c>
      <c r="Q74" s="18" t="n">
        <v>0.32137085</v>
      </c>
      <c r="R74" s="20" t="n">
        <v>0.32459472</v>
      </c>
    </row>
    <row r="75" spans="1:18">
      <c r="A75" s="15" t="s">
        <v>635</v>
      </c>
      <c r="B75" s="17" t="n">
        <v>4652</v>
      </c>
      <c r="C75" s="18">
        <f>(4147.0/B75*100)</f>
        <v/>
      </c>
      <c r="D75" s="19" t="n">
        <v>505</v>
      </c>
      <c r="E75" s="18" t="n">
        <v>73.23478602</v>
      </c>
      <c r="F75" s="20" t="n">
        <v>2.29041424</v>
      </c>
      <c r="G75" s="18" t="n">
        <v>26.73894284</v>
      </c>
      <c r="H75" s="20" t="n">
        <v>2.29499252</v>
      </c>
      <c r="I75" s="18" t="n">
        <v>0</v>
      </c>
      <c r="J75" s="20" t="n">
        <v>0</v>
      </c>
      <c r="K75" s="18" t="n">
        <v>0</v>
      </c>
      <c r="L75" s="20" t="n">
        <v>0</v>
      </c>
      <c r="M75" s="18" t="n">
        <v>0</v>
      </c>
      <c r="N75" s="20" t="n">
        <v>0</v>
      </c>
      <c r="O75" s="18" t="n">
        <v>0</v>
      </c>
      <c r="P75" s="20" t="n">
        <v>0</v>
      </c>
      <c r="Q75" s="18" t="n">
        <v>0.02627114</v>
      </c>
      <c r="R75" s="20" t="n">
        <v>0.02616726</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(2668.0/B77*100)</f>
        <v/>
      </c>
      <c r="D77" s="19" t="n">
        <v>301</v>
      </c>
      <c r="E77" s="18" t="n">
        <v>75.01959595</v>
      </c>
      <c r="F77" s="20" t="n">
        <v>2.24700618</v>
      </c>
      <c r="G77" s="18" t="n">
        <v>20.71434978</v>
      </c>
      <c r="H77" s="20" t="n">
        <v>1.89696668</v>
      </c>
      <c r="I77" s="18" t="n">
        <v>0</v>
      </c>
      <c r="J77" s="20" t="n">
        <v>0</v>
      </c>
      <c r="K77" s="18" t="n">
        <v>2.09154266</v>
      </c>
      <c r="L77" s="20" t="n">
        <v>0.8190277</v>
      </c>
      <c r="M77" s="18" t="n">
        <v>0</v>
      </c>
      <c r="N77" s="20" t="n">
        <v>0</v>
      </c>
      <c r="O77" s="18" t="n">
        <v>0</v>
      </c>
      <c r="P77" s="20" t="n">
        <v>0</v>
      </c>
      <c r="Q77" s="18" t="n">
        <v>2.17451161</v>
      </c>
      <c r="R77" s="20" t="n">
        <v>0.78148593</v>
      </c>
    </row>
    <row r="78" spans="1:18">
      <c r="A78" s="15" t="s">
        <v>638</v>
      </c>
      <c r="B78" s="17" t="n">
        <v>7115</v>
      </c>
      <c r="C78" s="18">
        <f>(6357.0/B78*100)</f>
        <v/>
      </c>
      <c r="D78" s="19" t="n">
        <v>758</v>
      </c>
      <c r="E78" s="18" t="n">
        <v>63.01003191</v>
      </c>
      <c r="F78" s="20" t="n">
        <v>2.48375084</v>
      </c>
      <c r="G78" s="18" t="n">
        <v>35.88007764</v>
      </c>
      <c r="H78" s="20" t="n">
        <v>2.58991398</v>
      </c>
      <c r="I78" s="18" t="n">
        <v>0</v>
      </c>
      <c r="J78" s="20" t="n">
        <v>0</v>
      </c>
      <c r="K78" s="18" t="n">
        <v>0.84040916</v>
      </c>
      <c r="L78" s="20" t="n">
        <v>0.42946467</v>
      </c>
      <c r="M78" s="18" t="n">
        <v>0</v>
      </c>
      <c r="N78" s="20" t="n">
        <v>0</v>
      </c>
      <c r="O78" s="18" t="n">
        <v>0</v>
      </c>
      <c r="P78" s="20" t="n">
        <v>0</v>
      </c>
      <c r="Q78" s="18" t="n">
        <v>0.26948129</v>
      </c>
      <c r="R78" s="20" t="n">
        <v>0.19673811</v>
      </c>
    </row>
    <row r="79" spans="1:18">
      <c r="A79" s="15" t="s">
        <v>639</v>
      </c>
      <c r="B79" s="17" t="n">
        <v>3154</v>
      </c>
      <c r="C79" s="18">
        <f>(2801.0/B79*100)</f>
        <v/>
      </c>
      <c r="D79" s="19" t="n">
        <v>353</v>
      </c>
      <c r="E79" s="18" t="n">
        <v>58.15613463</v>
      </c>
      <c r="F79" s="20" t="n">
        <v>2.53126819</v>
      </c>
      <c r="G79" s="18" t="n">
        <v>40.10704157</v>
      </c>
      <c r="H79" s="20" t="n">
        <v>2.81162097</v>
      </c>
      <c r="I79" s="18" t="n">
        <v>0</v>
      </c>
      <c r="J79" s="20" t="n">
        <v>0</v>
      </c>
      <c r="K79" s="18" t="n">
        <v>0.26256166</v>
      </c>
      <c r="L79" s="20" t="n">
        <v>0.26124264</v>
      </c>
      <c r="M79" s="18" t="n">
        <v>0</v>
      </c>
      <c r="N79" s="20" t="n">
        <v>0</v>
      </c>
      <c r="O79" s="18" t="n">
        <v>0</v>
      </c>
      <c r="P79" s="20" t="n">
        <v>0</v>
      </c>
      <c r="Q79" s="18" t="n">
        <v>1.47426214</v>
      </c>
      <c r="R79" s="20" t="n">
        <v>0.81645413</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(14195.0/B82*100)</f>
        <v/>
      </c>
      <c r="D82" s="19" t="n">
        <v>1766</v>
      </c>
      <c r="E82" s="18" t="n">
        <v>41.51815372</v>
      </c>
      <c r="F82" s="20" t="n">
        <v>1.64828235</v>
      </c>
      <c r="G82" s="18" t="n">
        <v>58.01825575</v>
      </c>
      <c r="H82" s="20" t="n">
        <v>1.61011102</v>
      </c>
      <c r="I82" s="18" t="n">
        <v>0</v>
      </c>
      <c r="J82" s="20" t="n">
        <v>0</v>
      </c>
      <c r="K82" s="18" t="n">
        <v>0.03358231</v>
      </c>
      <c r="L82" s="20" t="n">
        <v>0.04429393</v>
      </c>
      <c r="M82" s="18" t="n">
        <v>0</v>
      </c>
      <c r="N82" s="20" t="n">
        <v>0</v>
      </c>
      <c r="O82" s="18" t="n">
        <v>0</v>
      </c>
      <c r="P82" s="20" t="n">
        <v>0</v>
      </c>
      <c r="Q82" s="18" t="n">
        <v>0.43000822</v>
      </c>
      <c r="R82" s="20" t="n">
        <v>0.23943095</v>
      </c>
    </row>
    <row r="83" spans="1:18">
      <c r="A83" s="15" t="s">
        <v>643</v>
      </c>
      <c r="B83" s="17" t="n">
        <v>808</v>
      </c>
      <c r="C83" s="18">
        <f>(712.0/B83*100)</f>
        <v/>
      </c>
      <c r="D83" s="19" t="n">
        <v>96</v>
      </c>
      <c r="E83" s="18" t="n">
        <v>54.33209515</v>
      </c>
      <c r="F83" s="20" t="n">
        <v>7.4622755</v>
      </c>
      <c r="G83" s="18" t="n">
        <v>45.66790485</v>
      </c>
      <c r="H83" s="20" t="n">
        <v>7.4622755</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(824.0/B84*100)</f>
        <v/>
      </c>
      <c r="D84" s="19" t="n">
        <v>114</v>
      </c>
      <c r="E84" s="18" t="n">
        <v>57.9990866</v>
      </c>
      <c r="F84" s="20" t="n">
        <v>5.15141984</v>
      </c>
      <c r="G84" s="18" t="n">
        <v>42.0009134</v>
      </c>
      <c r="H84" s="20" t="n">
        <v>5.15141984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(6388.0/B7*100)</f>
        <v/>
      </c>
      <c r="D7" s="19" t="n">
        <v>775</v>
      </c>
      <c r="E7" s="18" t="n">
        <v>18.26496199</v>
      </c>
      <c r="F7" s="20" t="n">
        <v>1.82081503</v>
      </c>
      <c r="G7" s="18" t="n">
        <v>80.46050314999999</v>
      </c>
      <c r="H7" s="20" t="n">
        <v>1.83532875</v>
      </c>
      <c r="I7" s="18" t="n">
        <v>0</v>
      </c>
      <c r="J7" s="20" t="n">
        <v>0</v>
      </c>
      <c r="K7" s="18" t="n">
        <v>0.06663566999999999</v>
      </c>
      <c r="L7" s="20" t="n">
        <v>0.0473584</v>
      </c>
      <c r="M7" s="18" t="n">
        <v>0</v>
      </c>
      <c r="N7" s="20" t="n">
        <v>0</v>
      </c>
      <c r="O7" s="18" t="n">
        <v>0</v>
      </c>
      <c r="P7" s="20" t="n">
        <v>0</v>
      </c>
      <c r="Q7" s="18" t="n">
        <v>1.20789919</v>
      </c>
      <c r="R7" s="20" t="n">
        <v>0.52029123</v>
      </c>
    </row>
    <row r="8" spans="1:18">
      <c r="A8" s="15" t="s">
        <v>566</v>
      </c>
      <c r="B8" s="17" t="n">
        <v>3443</v>
      </c>
      <c r="C8" s="18">
        <f>(3051.0/B8*100)</f>
        <v/>
      </c>
      <c r="D8" s="19" t="n">
        <v>392</v>
      </c>
      <c r="E8" s="18" t="n">
        <v>26.05737066</v>
      </c>
      <c r="F8" s="20" t="n">
        <v>3.13262755</v>
      </c>
      <c r="G8" s="18" t="n">
        <v>73.44864152</v>
      </c>
      <c r="H8" s="20" t="n">
        <v>3.14429182</v>
      </c>
      <c r="I8" s="18" t="n">
        <v>0</v>
      </c>
      <c r="J8" s="20" t="n">
        <v>0</v>
      </c>
      <c r="K8" s="18" t="n">
        <v>0</v>
      </c>
      <c r="L8" s="20" t="n">
        <v>0</v>
      </c>
      <c r="M8" s="18" t="n">
        <v>0</v>
      </c>
      <c r="N8" s="20" t="n">
        <v>0</v>
      </c>
      <c r="O8" s="18" t="n">
        <v>0</v>
      </c>
      <c r="P8" s="20" t="n">
        <v>0</v>
      </c>
      <c r="Q8" s="18" t="n">
        <v>0.49398782</v>
      </c>
      <c r="R8" s="20" t="n">
        <v>0.32243842</v>
      </c>
    </row>
    <row r="9" spans="1:18">
      <c r="A9" s="15" t="s">
        <v>567</v>
      </c>
      <c r="B9" s="17" t="n">
        <v>4752</v>
      </c>
      <c r="C9" s="18">
        <f>(4128.0/B9*100)</f>
        <v/>
      </c>
      <c r="D9" s="19" t="n">
        <v>624</v>
      </c>
      <c r="E9" s="18" t="n">
        <v>30.43349528</v>
      </c>
      <c r="F9" s="20" t="n">
        <v>2.05491129</v>
      </c>
      <c r="G9" s="18" t="n">
        <v>68.52869398999999</v>
      </c>
      <c r="H9" s="20" t="n">
        <v>2.28581379</v>
      </c>
      <c r="I9" s="18" t="n">
        <v>0</v>
      </c>
      <c r="J9" s="20" t="n">
        <v>0</v>
      </c>
      <c r="K9" s="18" t="n">
        <v>0</v>
      </c>
      <c r="L9" s="20" t="n">
        <v>0</v>
      </c>
      <c r="M9" s="18" t="n">
        <v>0</v>
      </c>
      <c r="N9" s="20" t="n">
        <v>0</v>
      </c>
      <c r="O9" s="18" t="n">
        <v>0</v>
      </c>
      <c r="P9" s="20" t="n">
        <v>0</v>
      </c>
      <c r="Q9" s="18" t="n">
        <v>1.03781074</v>
      </c>
      <c r="R9" s="20" t="n">
        <v>0.46173661</v>
      </c>
    </row>
    <row r="10" spans="1:18">
      <c r="A10" s="15" t="s">
        <v>568</v>
      </c>
      <c r="B10" s="17" t="n">
        <v>10022</v>
      </c>
      <c r="C10" s="18">
        <f>(8916.0/B10*100)</f>
        <v/>
      </c>
      <c r="D10" s="19" t="n">
        <v>1106</v>
      </c>
      <c r="E10" s="18" t="n">
        <v>21.58491666</v>
      </c>
      <c r="F10" s="20" t="n">
        <v>1.85726946</v>
      </c>
      <c r="G10" s="18" t="n">
        <v>77.57699546000001</v>
      </c>
      <c r="H10" s="20" t="n">
        <v>1.98631896</v>
      </c>
      <c r="I10" s="18" t="n">
        <v>0</v>
      </c>
      <c r="J10" s="20" t="n">
        <v>0</v>
      </c>
      <c r="K10" s="18" t="n">
        <v>0.17493065</v>
      </c>
      <c r="L10" s="20" t="n">
        <v>0.10000018</v>
      </c>
      <c r="M10" s="18" t="n">
        <v>0</v>
      </c>
      <c r="N10" s="20" t="n">
        <v>0</v>
      </c>
      <c r="O10" s="18" t="n">
        <v>0</v>
      </c>
      <c r="P10" s="20" t="n">
        <v>0</v>
      </c>
      <c r="Q10" s="18" t="n">
        <v>0.66315723</v>
      </c>
      <c r="R10" s="20" t="n">
        <v>0.37490727</v>
      </c>
    </row>
    <row r="11" spans="1:18">
      <c r="A11" s="15" t="s">
        <v>569</v>
      </c>
      <c r="B11" s="17" t="n">
        <v>3500</v>
      </c>
      <c r="C11" s="18">
        <f>(3095.0/B11*100)</f>
        <v/>
      </c>
      <c r="D11" s="19" t="n">
        <v>405</v>
      </c>
      <c r="E11" s="18" t="n">
        <v>37.29601495</v>
      </c>
      <c r="F11" s="20" t="n">
        <v>3.23395676</v>
      </c>
      <c r="G11" s="18" t="n">
        <v>59.9907106</v>
      </c>
      <c r="H11" s="20" t="n">
        <v>2.99434771</v>
      </c>
      <c r="I11" s="18" t="n">
        <v>0</v>
      </c>
      <c r="J11" s="20" t="n">
        <v>0</v>
      </c>
      <c r="K11" s="18" t="n">
        <v>0.85013615</v>
      </c>
      <c r="L11" s="20" t="n">
        <v>0.49421156</v>
      </c>
      <c r="M11" s="18" t="n">
        <v>0</v>
      </c>
      <c r="N11" s="20" t="n">
        <v>0</v>
      </c>
      <c r="O11" s="18" t="n">
        <v>0</v>
      </c>
      <c r="P11" s="20" t="n">
        <v>0</v>
      </c>
      <c r="Q11" s="18" t="n">
        <v>1.8631383</v>
      </c>
      <c r="R11" s="20" t="n">
        <v>0.6684984</v>
      </c>
    </row>
    <row r="12" spans="1:18">
      <c r="A12" s="15" t="s">
        <v>570</v>
      </c>
      <c r="B12" s="17" t="n">
        <v>3422</v>
      </c>
      <c r="C12" s="18">
        <f>(3004.0/B12*100)</f>
        <v/>
      </c>
      <c r="D12" s="19" t="n">
        <v>418</v>
      </c>
      <c r="E12" s="18" t="n">
        <v>33.27206846</v>
      </c>
      <c r="F12" s="20" t="n">
        <v>3.74718202</v>
      </c>
      <c r="G12" s="18" t="n">
        <v>65.21069633</v>
      </c>
      <c r="H12" s="20" t="n">
        <v>3.81297092</v>
      </c>
      <c r="I12" s="18" t="n">
        <v>0</v>
      </c>
      <c r="J12" s="20" t="n">
        <v>0</v>
      </c>
      <c r="K12" s="18" t="n">
        <v>0.34748926</v>
      </c>
      <c r="L12" s="20" t="n">
        <v>0.34732345</v>
      </c>
      <c r="M12" s="18" t="n">
        <v>0</v>
      </c>
      <c r="N12" s="20" t="n">
        <v>0</v>
      </c>
      <c r="O12" s="18" t="n">
        <v>0</v>
      </c>
      <c r="P12" s="20" t="n">
        <v>0</v>
      </c>
      <c r="Q12" s="18" t="n">
        <v>1.16974595</v>
      </c>
      <c r="R12" s="20" t="n">
        <v>0.68008767</v>
      </c>
    </row>
    <row r="13" spans="1:18">
      <c r="A13" s="15" t="s">
        <v>571</v>
      </c>
      <c r="B13" s="17" t="n">
        <v>3602</v>
      </c>
      <c r="C13" s="18">
        <f>(3083.0/B13*100)</f>
        <v/>
      </c>
      <c r="D13" s="19" t="n">
        <v>519</v>
      </c>
      <c r="E13" s="18" t="n">
        <v>27.62297492</v>
      </c>
      <c r="F13" s="20" t="n">
        <v>1.97172532</v>
      </c>
      <c r="G13" s="18" t="n">
        <v>71.15552396</v>
      </c>
      <c r="H13" s="20" t="n">
        <v>1.9440248</v>
      </c>
      <c r="I13" s="18" t="n">
        <v>0</v>
      </c>
      <c r="J13" s="20" t="n">
        <v>0</v>
      </c>
      <c r="K13" s="18" t="n">
        <v>1.11378563</v>
      </c>
      <c r="L13" s="20" t="n">
        <v>0.47665874</v>
      </c>
      <c r="M13" s="18" t="n">
        <v>0</v>
      </c>
      <c r="N13" s="20" t="n">
        <v>0</v>
      </c>
      <c r="O13" s="18" t="n">
        <v>0</v>
      </c>
      <c r="P13" s="20" t="n">
        <v>0</v>
      </c>
      <c r="Q13" s="18" t="n">
        <v>0.10771549</v>
      </c>
      <c r="R13" s="20" t="n">
        <v>0.06376429</v>
      </c>
    </row>
    <row r="14" spans="1:18">
      <c r="A14" s="15" t="s">
        <v>572</v>
      </c>
      <c r="B14" s="17" t="n">
        <v>2788</v>
      </c>
      <c r="C14" s="18">
        <f>(2483.0/B14*100)</f>
        <v/>
      </c>
      <c r="D14" s="19" t="n">
        <v>305</v>
      </c>
      <c r="E14" s="18" t="n">
        <v>12.99795856</v>
      </c>
      <c r="F14" s="20" t="n">
        <v>2.17634428</v>
      </c>
      <c r="G14" s="18" t="n">
        <v>86.31765994</v>
      </c>
      <c r="H14" s="20" t="n">
        <v>2.24874605</v>
      </c>
      <c r="I14" s="18" t="n">
        <v>0</v>
      </c>
      <c r="J14" s="20" t="n">
        <v>0</v>
      </c>
      <c r="K14" s="18" t="n">
        <v>0</v>
      </c>
      <c r="L14" s="20" t="n">
        <v>0</v>
      </c>
      <c r="M14" s="18" t="n">
        <v>0</v>
      </c>
      <c r="N14" s="20" t="n">
        <v>0</v>
      </c>
      <c r="O14" s="18" t="n">
        <v>0</v>
      </c>
      <c r="P14" s="20" t="n">
        <v>0</v>
      </c>
      <c r="Q14" s="18" t="n">
        <v>0.6843815</v>
      </c>
      <c r="R14" s="20" t="n">
        <v>0.4962667</v>
      </c>
    </row>
    <row r="15" spans="1:18">
      <c r="A15" s="15" t="s">
        <v>573</v>
      </c>
      <c r="B15" s="17" t="n">
        <v>2863</v>
      </c>
      <c r="C15" s="18">
        <f>(2541.0/B15*100)</f>
        <v/>
      </c>
      <c r="D15" s="19" t="n">
        <v>322</v>
      </c>
      <c r="E15" s="18" t="n">
        <v>20.83397337</v>
      </c>
      <c r="F15" s="20" t="n">
        <v>2.56397593</v>
      </c>
      <c r="G15" s="18" t="n">
        <v>78.51817058</v>
      </c>
      <c r="H15" s="20" t="n">
        <v>2.87290259</v>
      </c>
      <c r="I15" s="18" t="n">
        <v>0</v>
      </c>
      <c r="J15" s="20" t="n">
        <v>0</v>
      </c>
      <c r="K15" s="18" t="n">
        <v>0</v>
      </c>
      <c r="L15" s="20" t="n">
        <v>0</v>
      </c>
      <c r="M15" s="18" t="n">
        <v>0</v>
      </c>
      <c r="N15" s="20" t="n">
        <v>0</v>
      </c>
      <c r="O15" s="18" t="n">
        <v>0</v>
      </c>
      <c r="P15" s="20" t="n">
        <v>0</v>
      </c>
      <c r="Q15" s="18" t="n">
        <v>0.64785605</v>
      </c>
      <c r="R15" s="20" t="n">
        <v>0.67981435</v>
      </c>
    </row>
    <row r="16" spans="1:18">
      <c r="A16" s="15" t="s">
        <v>574</v>
      </c>
      <c r="B16" s="17" t="n">
        <v>3111</v>
      </c>
      <c r="C16" s="18">
        <f>(2802.0/B16*100)</f>
        <v/>
      </c>
      <c r="D16" s="19" t="n">
        <v>309</v>
      </c>
      <c r="E16" s="18" t="n">
        <v>28.21750839</v>
      </c>
      <c r="F16" s="20" t="n">
        <v>2.6330442</v>
      </c>
      <c r="G16" s="18" t="n">
        <v>70.81217838000001</v>
      </c>
      <c r="H16" s="20" t="n">
        <v>2.59096719</v>
      </c>
      <c r="I16" s="18" t="n">
        <v>0</v>
      </c>
      <c r="J16" s="20" t="n">
        <v>0</v>
      </c>
      <c r="K16" s="18" t="n">
        <v>0</v>
      </c>
      <c r="L16" s="20" t="n">
        <v>0</v>
      </c>
      <c r="M16" s="18" t="n">
        <v>0</v>
      </c>
      <c r="N16" s="20" t="n">
        <v>0</v>
      </c>
      <c r="O16" s="18" t="n">
        <v>0</v>
      </c>
      <c r="P16" s="20" t="n">
        <v>0</v>
      </c>
      <c r="Q16" s="18" t="n">
        <v>0.97031322</v>
      </c>
      <c r="R16" s="20" t="n">
        <v>0.5903727</v>
      </c>
    </row>
    <row r="17" spans="1:18">
      <c r="A17" s="15" t="s">
        <v>575</v>
      </c>
      <c r="B17" s="17" t="n">
        <v>3197</v>
      </c>
      <c r="C17" s="18">
        <f>(2788.0/B17*100)</f>
        <v/>
      </c>
      <c r="D17" s="19" t="n">
        <v>409</v>
      </c>
      <c r="E17" s="18" t="n">
        <v>26.04882936</v>
      </c>
      <c r="F17" s="20" t="n">
        <v>2.41492021</v>
      </c>
      <c r="G17" s="18" t="n">
        <v>72.28597839</v>
      </c>
      <c r="H17" s="20" t="n">
        <v>2.58307564</v>
      </c>
      <c r="I17" s="18" t="n">
        <v>0</v>
      </c>
      <c r="J17" s="20" t="n">
        <v>0</v>
      </c>
      <c r="K17" s="18" t="n">
        <v>0.50971755</v>
      </c>
      <c r="L17" s="20" t="n">
        <v>0.36894233</v>
      </c>
      <c r="M17" s="18" t="n">
        <v>0</v>
      </c>
      <c r="N17" s="20" t="n">
        <v>0</v>
      </c>
      <c r="O17" s="18" t="n">
        <v>0</v>
      </c>
      <c r="P17" s="20" t="n">
        <v>0</v>
      </c>
      <c r="Q17" s="18" t="n">
        <v>1.1554747</v>
      </c>
      <c r="R17" s="20" t="n">
        <v>0.78430225</v>
      </c>
    </row>
    <row r="18" spans="1:18">
      <c r="A18" s="15" t="s">
        <v>576</v>
      </c>
      <c r="B18" s="17" t="n">
        <v>2706</v>
      </c>
      <c r="C18" s="18">
        <f>(2437.0/B18*100)</f>
        <v/>
      </c>
      <c r="D18" s="19" t="n">
        <v>269</v>
      </c>
      <c r="E18" s="18" t="n">
        <v>39.56981083</v>
      </c>
      <c r="F18" s="20" t="n">
        <v>3.60086609</v>
      </c>
      <c r="G18" s="18" t="n">
        <v>60.22955741</v>
      </c>
      <c r="H18" s="20" t="n">
        <v>3.57853662</v>
      </c>
      <c r="I18" s="18" t="n">
        <v>0</v>
      </c>
      <c r="J18" s="20" t="n">
        <v>0</v>
      </c>
      <c r="K18" s="18" t="n">
        <v>0</v>
      </c>
      <c r="L18" s="20" t="n">
        <v>0</v>
      </c>
      <c r="M18" s="18" t="n">
        <v>0</v>
      </c>
      <c r="N18" s="20" t="n">
        <v>0</v>
      </c>
      <c r="O18" s="18" t="n">
        <v>0</v>
      </c>
      <c r="P18" s="20" t="n">
        <v>0</v>
      </c>
      <c r="Q18" s="18" t="n">
        <v>0.20063176</v>
      </c>
      <c r="R18" s="20" t="n">
        <v>0.20089283</v>
      </c>
    </row>
    <row r="19" spans="1:18">
      <c r="A19" s="15" t="s">
        <v>577</v>
      </c>
      <c r="B19" s="17" t="n">
        <v>2850</v>
      </c>
      <c r="C19" s="18">
        <f>(2536.0/B19*100)</f>
        <v/>
      </c>
      <c r="D19" s="19" t="n">
        <v>314</v>
      </c>
      <c r="E19" s="18" t="n">
        <v>28.6476274</v>
      </c>
      <c r="F19" s="20" t="n">
        <v>3.00481478</v>
      </c>
      <c r="G19" s="18" t="n">
        <v>70.35323267</v>
      </c>
      <c r="H19" s="20" t="n">
        <v>2.85425367</v>
      </c>
      <c r="I19" s="18" t="n">
        <v>0</v>
      </c>
      <c r="J19" s="20" t="n">
        <v>0</v>
      </c>
      <c r="K19" s="18" t="n">
        <v>0</v>
      </c>
      <c r="L19" s="20" t="n">
        <v>0</v>
      </c>
      <c r="M19" s="18" t="n">
        <v>0</v>
      </c>
      <c r="N19" s="20" t="n">
        <v>0</v>
      </c>
      <c r="O19" s="18" t="n">
        <v>0</v>
      </c>
      <c r="P19" s="20" t="n">
        <v>0</v>
      </c>
      <c r="Q19" s="18" t="n">
        <v>0.9991399399999999</v>
      </c>
      <c r="R19" s="20" t="n">
        <v>0.5457284100000001</v>
      </c>
    </row>
    <row r="20" spans="1:18">
      <c r="A20" s="15" t="s">
        <v>578</v>
      </c>
      <c r="B20" s="17" t="n">
        <v>1741</v>
      </c>
      <c r="C20" s="18">
        <f>(1558.0/B20*100)</f>
        <v/>
      </c>
      <c r="D20" s="19" t="n">
        <v>183</v>
      </c>
      <c r="E20" s="18" t="n">
        <v>28.75500891</v>
      </c>
      <c r="F20" s="20" t="n">
        <v>2.74855964</v>
      </c>
      <c r="G20" s="18" t="n">
        <v>69.24243407</v>
      </c>
      <c r="H20" s="20" t="n">
        <v>2.77275429</v>
      </c>
      <c r="I20" s="18" t="n">
        <v>0</v>
      </c>
      <c r="J20" s="20" t="n">
        <v>0</v>
      </c>
      <c r="K20" s="18" t="n">
        <v>0.94355614</v>
      </c>
      <c r="L20" s="20" t="n">
        <v>0.66537434</v>
      </c>
      <c r="M20" s="18" t="n">
        <v>0</v>
      </c>
      <c r="N20" s="20" t="n">
        <v>0</v>
      </c>
      <c r="O20" s="18" t="n">
        <v>0</v>
      </c>
      <c r="P20" s="20" t="n">
        <v>0</v>
      </c>
      <c r="Q20" s="18" t="n">
        <v>1.05900087</v>
      </c>
      <c r="R20" s="20" t="n">
        <v>0.74549695</v>
      </c>
    </row>
    <row r="21" spans="1:18">
      <c r="A21" s="15" t="s">
        <v>579</v>
      </c>
      <c r="B21" s="17" t="n">
        <v>2833</v>
      </c>
      <c r="C21" s="18">
        <f>(2486.0/B21*100)</f>
        <v/>
      </c>
      <c r="D21" s="19" t="n">
        <v>347</v>
      </c>
      <c r="E21" s="18" t="n">
        <v>28.82544156</v>
      </c>
      <c r="F21" s="20" t="n">
        <v>2.83022551</v>
      </c>
      <c r="G21" s="18" t="n">
        <v>70.6415698</v>
      </c>
      <c r="H21" s="20" t="n">
        <v>2.80719095</v>
      </c>
      <c r="I21" s="18" t="n">
        <v>0</v>
      </c>
      <c r="J21" s="20" t="n">
        <v>0</v>
      </c>
      <c r="K21" s="18" t="n">
        <v>0</v>
      </c>
      <c r="L21" s="20" t="n">
        <v>0</v>
      </c>
      <c r="M21" s="18" t="n">
        <v>0</v>
      </c>
      <c r="N21" s="20" t="n">
        <v>0</v>
      </c>
      <c r="O21" s="18" t="n">
        <v>0</v>
      </c>
      <c r="P21" s="20" t="n">
        <v>0</v>
      </c>
      <c r="Q21" s="18" t="n">
        <v>0.53298865</v>
      </c>
      <c r="R21" s="20" t="n">
        <v>0.38125411</v>
      </c>
    </row>
    <row r="22" spans="1:18">
      <c r="A22" s="15" t="s">
        <v>580</v>
      </c>
      <c r="B22" s="17" t="n">
        <v>3667</v>
      </c>
      <c r="C22" s="18">
        <f>(3262.0/B22*100)</f>
        <v/>
      </c>
      <c r="D22" s="19" t="n">
        <v>405</v>
      </c>
      <c r="E22" s="18" t="n">
        <v>29.07370278</v>
      </c>
      <c r="F22" s="20" t="n">
        <v>2.5256955</v>
      </c>
      <c r="G22" s="18" t="n">
        <v>69.02216952000001</v>
      </c>
      <c r="H22" s="20" t="n">
        <v>2.64890965</v>
      </c>
      <c r="I22" s="18" t="n">
        <v>0</v>
      </c>
      <c r="J22" s="20" t="n">
        <v>0</v>
      </c>
      <c r="K22" s="18" t="n">
        <v>0.23529466</v>
      </c>
      <c r="L22" s="20" t="n">
        <v>0.26248897</v>
      </c>
      <c r="M22" s="18" t="n">
        <v>0</v>
      </c>
      <c r="N22" s="20" t="n">
        <v>0</v>
      </c>
      <c r="O22" s="18" t="n">
        <v>0</v>
      </c>
      <c r="P22" s="20" t="n">
        <v>0</v>
      </c>
      <c r="Q22" s="18" t="n">
        <v>1.66883304</v>
      </c>
      <c r="R22" s="20" t="n">
        <v>0.53090738</v>
      </c>
    </row>
    <row r="23" spans="1:18">
      <c r="A23" s="15" t="s">
        <v>581</v>
      </c>
      <c r="B23" s="17" t="n">
        <v>5792</v>
      </c>
      <c r="C23" s="18">
        <f>(5151.0/B23*100)</f>
        <v/>
      </c>
      <c r="D23" s="19" t="n">
        <v>641</v>
      </c>
      <c r="E23" s="18" t="n">
        <v>31.22466644</v>
      </c>
      <c r="F23" s="20" t="n">
        <v>2.20073463</v>
      </c>
      <c r="G23" s="18" t="n">
        <v>66.50458537999999</v>
      </c>
      <c r="H23" s="20" t="n">
        <v>2.2943473</v>
      </c>
      <c r="I23" s="18" t="n">
        <v>0</v>
      </c>
      <c r="J23" s="20" t="n">
        <v>0</v>
      </c>
      <c r="K23" s="18" t="n">
        <v>0.72554763</v>
      </c>
      <c r="L23" s="20" t="n">
        <v>0.5583511</v>
      </c>
      <c r="M23" s="18" t="n">
        <v>0</v>
      </c>
      <c r="N23" s="20" t="n">
        <v>0</v>
      </c>
      <c r="O23" s="18" t="n">
        <v>0</v>
      </c>
      <c r="P23" s="20" t="n">
        <v>0</v>
      </c>
      <c r="Q23" s="18" t="n">
        <v>1.54520055</v>
      </c>
      <c r="R23" s="20" t="n">
        <v>0.69000078</v>
      </c>
    </row>
    <row r="24" spans="1:18">
      <c r="A24" s="15" t="s">
        <v>582</v>
      </c>
      <c r="B24" s="17" t="n">
        <v>3309</v>
      </c>
      <c r="C24" s="18">
        <f>(2931.0/B24*100)</f>
        <v/>
      </c>
      <c r="D24" s="19" t="n">
        <v>378</v>
      </c>
      <c r="E24" s="18" t="n">
        <v>17.21194411</v>
      </c>
      <c r="F24" s="20" t="n">
        <v>1.95343812</v>
      </c>
      <c r="G24" s="18" t="n">
        <v>82.25630427999999</v>
      </c>
      <c r="H24" s="20" t="n">
        <v>1.97387225</v>
      </c>
      <c r="I24" s="18" t="n">
        <v>0</v>
      </c>
      <c r="J24" s="20" t="n">
        <v>0</v>
      </c>
      <c r="K24" s="18" t="n">
        <v>0</v>
      </c>
      <c r="L24" s="20" t="n">
        <v>0</v>
      </c>
      <c r="M24" s="18" t="n">
        <v>0</v>
      </c>
      <c r="N24" s="20" t="n">
        <v>0</v>
      </c>
      <c r="O24" s="18" t="n">
        <v>0</v>
      </c>
      <c r="P24" s="20" t="n">
        <v>0</v>
      </c>
      <c r="Q24" s="18" t="n">
        <v>0.53175161</v>
      </c>
      <c r="R24" s="20" t="n">
        <v>0.38051363</v>
      </c>
    </row>
    <row r="25" spans="1:18">
      <c r="A25" s="15" t="s">
        <v>583</v>
      </c>
      <c r="B25" s="17" t="n">
        <v>2669</v>
      </c>
      <c r="C25" s="18">
        <f>(2396.0/B25*100)</f>
        <v/>
      </c>
      <c r="D25" s="19" t="n">
        <v>273</v>
      </c>
      <c r="E25" s="18" t="n">
        <v>15.61386293</v>
      </c>
      <c r="F25" s="20" t="n">
        <v>2.20118392</v>
      </c>
      <c r="G25" s="18" t="n">
        <v>83.76175424</v>
      </c>
      <c r="H25" s="20" t="n">
        <v>2.08015121</v>
      </c>
      <c r="I25" s="18" t="n">
        <v>0</v>
      </c>
      <c r="J25" s="20" t="n">
        <v>0</v>
      </c>
      <c r="K25" s="18" t="n">
        <v>0.33916492</v>
      </c>
      <c r="L25" s="20" t="n">
        <v>0.47668997</v>
      </c>
      <c r="M25" s="18" t="n">
        <v>0</v>
      </c>
      <c r="N25" s="20" t="n">
        <v>0</v>
      </c>
      <c r="O25" s="18" t="n">
        <v>0</v>
      </c>
      <c r="P25" s="20" t="n">
        <v>0</v>
      </c>
      <c r="Q25" s="18" t="n">
        <v>0.28521791</v>
      </c>
      <c r="R25" s="20" t="n">
        <v>0.28654748</v>
      </c>
    </row>
    <row r="26" spans="1:18">
      <c r="A26" s="15" t="s">
        <v>584</v>
      </c>
      <c r="B26" s="17" t="n">
        <v>2419</v>
      </c>
      <c r="C26" s="18">
        <f>(2155.0/B26*100)</f>
        <v/>
      </c>
      <c r="D26" s="19" t="n">
        <v>264</v>
      </c>
      <c r="E26" s="18" t="n">
        <v>27.70786273</v>
      </c>
      <c r="F26" s="20" t="n">
        <v>2.83469614</v>
      </c>
      <c r="G26" s="18" t="n">
        <v>72.29213727</v>
      </c>
      <c r="H26" s="20" t="n">
        <v>2.83469614</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(2370.0/B27*100)</f>
        <v/>
      </c>
      <c r="D27" s="19" t="n">
        <v>313</v>
      </c>
      <c r="E27" s="18" t="n">
        <v>30.97582267</v>
      </c>
      <c r="F27" s="20" t="n">
        <v>2.57847305</v>
      </c>
      <c r="G27" s="18" t="n">
        <v>67.7481781</v>
      </c>
      <c r="H27" s="20" t="n">
        <v>2.59160479</v>
      </c>
      <c r="I27" s="18" t="n">
        <v>0</v>
      </c>
      <c r="J27" s="20" t="n">
        <v>0</v>
      </c>
      <c r="K27" s="18" t="n">
        <v>0</v>
      </c>
      <c r="L27" s="20" t="n">
        <v>0</v>
      </c>
      <c r="M27" s="18" t="n">
        <v>0</v>
      </c>
      <c r="N27" s="20" t="n">
        <v>0</v>
      </c>
      <c r="O27" s="18" t="n">
        <v>0</v>
      </c>
      <c r="P27" s="20" t="n">
        <v>0</v>
      </c>
      <c r="Q27" s="18" t="n">
        <v>1.27599924</v>
      </c>
      <c r="R27" s="20" t="n">
        <v>0.6314019</v>
      </c>
    </row>
    <row r="28" spans="1:18">
      <c r="A28" s="15" t="s">
        <v>586</v>
      </c>
      <c r="B28" s="17" t="n">
        <v>3803</v>
      </c>
      <c r="C28" s="18">
        <f>(3419.0/B28*100)</f>
        <v/>
      </c>
      <c r="D28" s="19" t="n">
        <v>384</v>
      </c>
      <c r="E28" s="18" t="n">
        <v>46.80165051</v>
      </c>
      <c r="F28" s="20" t="n">
        <v>2.7470813</v>
      </c>
      <c r="G28" s="18" t="n">
        <v>51.67953471</v>
      </c>
      <c r="H28" s="20" t="n">
        <v>2.79054458</v>
      </c>
      <c r="I28" s="18" t="n">
        <v>0</v>
      </c>
      <c r="J28" s="20" t="n">
        <v>0</v>
      </c>
      <c r="K28" s="18" t="n">
        <v>0.67441943</v>
      </c>
      <c r="L28" s="20" t="n">
        <v>0.40812747</v>
      </c>
      <c r="M28" s="18" t="n">
        <v>0</v>
      </c>
      <c r="N28" s="20" t="n">
        <v>0</v>
      </c>
      <c r="O28" s="18" t="n">
        <v>0</v>
      </c>
      <c r="P28" s="20" t="n">
        <v>0</v>
      </c>
      <c r="Q28" s="18" t="n">
        <v>0.84439534</v>
      </c>
      <c r="R28" s="20" t="n">
        <v>0.50611881</v>
      </c>
    </row>
    <row r="29" spans="1:18">
      <c r="A29" s="15" t="s">
        <v>587</v>
      </c>
      <c r="B29" s="17" t="n">
        <v>2700</v>
      </c>
      <c r="C29" s="18">
        <f>(2340.0/B29*100)</f>
        <v/>
      </c>
      <c r="D29" s="19" t="n">
        <v>360</v>
      </c>
      <c r="E29" s="18" t="n">
        <v>31.56311113</v>
      </c>
      <c r="F29" s="20" t="n">
        <v>2.21906651</v>
      </c>
      <c r="G29" s="18" t="n">
        <v>67.69914283999999</v>
      </c>
      <c r="H29" s="20" t="n">
        <v>2.25076555</v>
      </c>
      <c r="I29" s="18" t="n">
        <v>0</v>
      </c>
      <c r="J29" s="20" t="n">
        <v>0</v>
      </c>
      <c r="K29" s="18" t="n">
        <v>0.35934781</v>
      </c>
      <c r="L29" s="20" t="n">
        <v>0.27771303</v>
      </c>
      <c r="M29" s="18" t="n">
        <v>0</v>
      </c>
      <c r="N29" s="20" t="n">
        <v>0</v>
      </c>
      <c r="O29" s="18" t="n">
        <v>0</v>
      </c>
      <c r="P29" s="20" t="n">
        <v>0</v>
      </c>
      <c r="Q29" s="18" t="n">
        <v>0.37839822</v>
      </c>
      <c r="R29" s="20" t="n">
        <v>0.33278437</v>
      </c>
    </row>
    <row r="30" spans="1:18">
      <c r="A30" s="15" t="s">
        <v>588</v>
      </c>
      <c r="B30" s="17" t="n">
        <v>2257</v>
      </c>
      <c r="C30" s="18">
        <f>(2011.0/B30*100)</f>
        <v/>
      </c>
      <c r="D30" s="19" t="n">
        <v>246</v>
      </c>
      <c r="E30" s="18" t="n">
        <v>22.69610337</v>
      </c>
      <c r="F30" s="20" t="n">
        <v>2.53916119</v>
      </c>
      <c r="G30" s="18" t="n">
        <v>75.93146503</v>
      </c>
      <c r="H30" s="20" t="n">
        <v>2.41295419</v>
      </c>
      <c r="I30" s="18" t="n">
        <v>0</v>
      </c>
      <c r="J30" s="20" t="n">
        <v>0</v>
      </c>
      <c r="K30" s="18" t="n">
        <v>0</v>
      </c>
      <c r="L30" s="20" t="n">
        <v>0</v>
      </c>
      <c r="M30" s="18" t="n">
        <v>0</v>
      </c>
      <c r="N30" s="20" t="n">
        <v>0</v>
      </c>
      <c r="O30" s="18" t="n">
        <v>0</v>
      </c>
      <c r="P30" s="20" t="n">
        <v>0</v>
      </c>
      <c r="Q30" s="18" t="n">
        <v>1.37243161</v>
      </c>
      <c r="R30" s="20" t="n">
        <v>0.84152191</v>
      </c>
    </row>
    <row r="31" spans="1:18">
      <c r="A31" s="15" t="s">
        <v>589</v>
      </c>
      <c r="B31" s="17" t="n">
        <v>2706</v>
      </c>
      <c r="C31" s="18">
        <f>(2413.0/B31*100)</f>
        <v/>
      </c>
      <c r="D31" s="19" t="n">
        <v>293</v>
      </c>
      <c r="E31" s="18" t="n">
        <v>30.48907308</v>
      </c>
      <c r="F31" s="20" t="n">
        <v>2.70457867</v>
      </c>
      <c r="G31" s="18" t="n">
        <v>67.48487532999999</v>
      </c>
      <c r="H31" s="20" t="n">
        <v>2.78284611</v>
      </c>
      <c r="I31" s="18" t="n">
        <v>0</v>
      </c>
      <c r="J31" s="20" t="n">
        <v>0</v>
      </c>
      <c r="K31" s="18" t="n">
        <v>0.64263744</v>
      </c>
      <c r="L31" s="20" t="n">
        <v>0.42742932</v>
      </c>
      <c r="M31" s="18" t="n">
        <v>0</v>
      </c>
      <c r="N31" s="20" t="n">
        <v>0</v>
      </c>
      <c r="O31" s="18" t="n">
        <v>0</v>
      </c>
      <c r="P31" s="20" t="n">
        <v>0</v>
      </c>
      <c r="Q31" s="18" t="n">
        <v>1.38341415</v>
      </c>
      <c r="R31" s="20" t="n">
        <v>0.71827765</v>
      </c>
    </row>
    <row r="32" spans="1:18">
      <c r="A32" s="15" t="s">
        <v>590</v>
      </c>
      <c r="B32" s="17" t="n">
        <v>2209</v>
      </c>
      <c r="C32" s="18">
        <f>(1966.0/B32*100)</f>
        <v/>
      </c>
      <c r="D32" s="19" t="n">
        <v>243</v>
      </c>
      <c r="E32" s="18" t="n">
        <v>20.92549376</v>
      </c>
      <c r="F32" s="20" t="n">
        <v>2.78294583</v>
      </c>
      <c r="G32" s="18" t="n">
        <v>79.07450624000001</v>
      </c>
      <c r="H32" s="20" t="n">
        <v>2.78294583</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(3248.0/B33*100)</f>
        <v/>
      </c>
      <c r="D33" s="19" t="n">
        <v>403</v>
      </c>
      <c r="E33" s="18" t="n">
        <v>30.2195551</v>
      </c>
      <c r="F33" s="20" t="n">
        <v>2.95310865</v>
      </c>
      <c r="G33" s="18" t="n">
        <v>69.42625196</v>
      </c>
      <c r="H33" s="20" t="n">
        <v>2.94425999</v>
      </c>
      <c r="I33" s="18" t="n">
        <v>0</v>
      </c>
      <c r="J33" s="20" t="n">
        <v>0</v>
      </c>
      <c r="K33" s="18" t="n">
        <v>0</v>
      </c>
      <c r="L33" s="20" t="n">
        <v>0</v>
      </c>
      <c r="M33" s="18" t="n">
        <v>0</v>
      </c>
      <c r="N33" s="20" t="n">
        <v>0</v>
      </c>
      <c r="O33" s="18" t="n">
        <v>0</v>
      </c>
      <c r="P33" s="20" t="n">
        <v>0</v>
      </c>
      <c r="Q33" s="18" t="n">
        <v>0.35419294</v>
      </c>
      <c r="R33" s="20" t="n">
        <v>0.41900211</v>
      </c>
    </row>
    <row r="34" spans="1:18">
      <c r="A34" s="15" t="s">
        <v>592</v>
      </c>
      <c r="B34" s="17" t="n">
        <v>3035</v>
      </c>
      <c r="C34" s="18">
        <f>(2659.0/B34*100)</f>
        <v/>
      </c>
      <c r="D34" s="19" t="n">
        <v>376</v>
      </c>
      <c r="E34" s="18" t="n">
        <v>39.76788924</v>
      </c>
      <c r="F34" s="20" t="n">
        <v>3.67642244</v>
      </c>
      <c r="G34" s="18" t="n">
        <v>58.22526289</v>
      </c>
      <c r="H34" s="20" t="n">
        <v>3.67291007</v>
      </c>
      <c r="I34" s="18" t="n">
        <v>0</v>
      </c>
      <c r="J34" s="20" t="n">
        <v>0</v>
      </c>
      <c r="K34" s="18" t="n">
        <v>0.3531772</v>
      </c>
      <c r="L34" s="20" t="n">
        <v>0.19908057</v>
      </c>
      <c r="M34" s="18" t="n">
        <v>0</v>
      </c>
      <c r="N34" s="20" t="n">
        <v>0</v>
      </c>
      <c r="O34" s="18" t="n">
        <v>0</v>
      </c>
      <c r="P34" s="20" t="n">
        <v>0</v>
      </c>
      <c r="Q34" s="18" t="n">
        <v>1.65367067</v>
      </c>
      <c r="R34" s="20" t="n">
        <v>0.64268882</v>
      </c>
    </row>
    <row r="35" spans="1:18">
      <c r="A35" s="15" t="s">
        <v>593</v>
      </c>
      <c r="B35" s="17" t="n">
        <v>2901</v>
      </c>
      <c r="C35" s="18">
        <f>(2541.0/B35*100)</f>
        <v/>
      </c>
      <c r="D35" s="19" t="n">
        <v>360</v>
      </c>
      <c r="E35" s="18" t="n">
        <v>20.39994991</v>
      </c>
      <c r="F35" s="20" t="n">
        <v>2.65084794</v>
      </c>
      <c r="G35" s="18" t="n">
        <v>79.31165777</v>
      </c>
      <c r="H35" s="20" t="n">
        <v>2.61428834</v>
      </c>
      <c r="I35" s="18" t="n">
        <v>0</v>
      </c>
      <c r="J35" s="20" t="n">
        <v>0</v>
      </c>
      <c r="K35" s="18" t="n">
        <v>0</v>
      </c>
      <c r="L35" s="20" t="n">
        <v>0</v>
      </c>
      <c r="M35" s="18" t="n">
        <v>0</v>
      </c>
      <c r="N35" s="20" t="n">
        <v>0</v>
      </c>
      <c r="O35" s="18" t="n">
        <v>0</v>
      </c>
      <c r="P35" s="20" t="n">
        <v>0</v>
      </c>
      <c r="Q35" s="18" t="n">
        <v>0.28839232</v>
      </c>
      <c r="R35" s="20" t="n">
        <v>0.20433345</v>
      </c>
    </row>
    <row r="36" spans="1:18">
      <c r="A36" s="15" t="s">
        <v>594</v>
      </c>
      <c r="B36" s="17" t="n">
        <v>3404</v>
      </c>
      <c r="C36" s="18">
        <f>(3034.0/B36*100)</f>
        <v/>
      </c>
      <c r="D36" s="19" t="n">
        <v>370</v>
      </c>
      <c r="E36" s="18" t="n">
        <v>30.86663219</v>
      </c>
      <c r="F36" s="20" t="n">
        <v>2.42893358</v>
      </c>
      <c r="G36" s="18" t="n">
        <v>68.28227390000001</v>
      </c>
      <c r="H36" s="20" t="n">
        <v>2.49376445</v>
      </c>
      <c r="I36" s="18" t="n">
        <v>0</v>
      </c>
      <c r="J36" s="20" t="n">
        <v>0</v>
      </c>
      <c r="K36" s="18" t="n">
        <v>0</v>
      </c>
      <c r="L36" s="20" t="n">
        <v>0</v>
      </c>
      <c r="M36" s="18" t="n">
        <v>0</v>
      </c>
      <c r="N36" s="20" t="n">
        <v>0</v>
      </c>
      <c r="O36" s="18" t="n">
        <v>0</v>
      </c>
      <c r="P36" s="20" t="n">
        <v>0</v>
      </c>
      <c r="Q36" s="18" t="n">
        <v>0.85109391</v>
      </c>
      <c r="R36" s="20" t="n">
        <v>0.62221351</v>
      </c>
    </row>
    <row r="37" spans="1:18">
      <c r="A37" s="15" t="s">
        <v>595</v>
      </c>
      <c r="B37" s="17" t="n">
        <v>2731</v>
      </c>
      <c r="C37" s="18">
        <f>(2434.0/B37*100)</f>
        <v/>
      </c>
      <c r="D37" s="19" t="n">
        <v>297</v>
      </c>
      <c r="E37" s="18" t="n">
        <v>27.6247977</v>
      </c>
      <c r="F37" s="20" t="n">
        <v>2.95778391</v>
      </c>
      <c r="G37" s="18" t="n">
        <v>71.4799206</v>
      </c>
      <c r="H37" s="20" t="n">
        <v>3.15610011</v>
      </c>
      <c r="I37" s="18" t="n">
        <v>0</v>
      </c>
      <c r="J37" s="20" t="n">
        <v>0</v>
      </c>
      <c r="K37" s="18" t="n">
        <v>0</v>
      </c>
      <c r="L37" s="20" t="n">
        <v>0</v>
      </c>
      <c r="M37" s="18" t="n">
        <v>0</v>
      </c>
      <c r="N37" s="20" t="n">
        <v>0</v>
      </c>
      <c r="O37" s="18" t="n">
        <v>0</v>
      </c>
      <c r="P37" s="20" t="n">
        <v>0</v>
      </c>
      <c r="Q37" s="18" t="n">
        <v>0.8952817</v>
      </c>
      <c r="R37" s="20" t="n">
        <v>0.89464752</v>
      </c>
    </row>
    <row r="38" spans="1:18">
      <c r="A38" s="15" t="s">
        <v>596</v>
      </c>
      <c r="B38" s="17" t="n">
        <v>2807</v>
      </c>
      <c r="C38" s="18">
        <f>(2511.0/B38*100)</f>
        <v/>
      </c>
      <c r="D38" s="19" t="n">
        <v>296</v>
      </c>
      <c r="E38" s="18" t="n">
        <v>19.64500539</v>
      </c>
      <c r="F38" s="20" t="n">
        <v>2.7188751</v>
      </c>
      <c r="G38" s="18" t="n">
        <v>79.65664613</v>
      </c>
      <c r="H38" s="20" t="n">
        <v>2.69230141</v>
      </c>
      <c r="I38" s="18" t="n">
        <v>0</v>
      </c>
      <c r="J38" s="20" t="n">
        <v>0</v>
      </c>
      <c r="K38" s="18" t="n">
        <v>0.28100059</v>
      </c>
      <c r="L38" s="20" t="n">
        <v>0.28214444</v>
      </c>
      <c r="M38" s="18" t="n">
        <v>0</v>
      </c>
      <c r="N38" s="20" t="n">
        <v>0</v>
      </c>
      <c r="O38" s="18" t="n">
        <v>0</v>
      </c>
      <c r="P38" s="20" t="n">
        <v>0</v>
      </c>
      <c r="Q38" s="18" t="n">
        <v>0.4173479</v>
      </c>
      <c r="R38" s="20" t="n">
        <v>0.34158416</v>
      </c>
    </row>
    <row r="39" spans="1:18">
      <c r="A39" s="15" t="s">
        <v>597</v>
      </c>
      <c r="B39" s="17" t="n">
        <v>2938</v>
      </c>
      <c r="C39" s="18">
        <f>(2614.0/B39*100)</f>
        <v/>
      </c>
      <c r="D39" s="19" t="n">
        <v>324</v>
      </c>
      <c r="E39" s="18" t="n">
        <v>49.37930618</v>
      </c>
      <c r="F39" s="20" t="n">
        <v>3.36328058</v>
      </c>
      <c r="G39" s="18" t="n">
        <v>49.3171605</v>
      </c>
      <c r="H39" s="20" t="n">
        <v>3.33500453</v>
      </c>
      <c r="I39" s="18" t="n">
        <v>0</v>
      </c>
      <c r="J39" s="20" t="n">
        <v>0</v>
      </c>
      <c r="K39" s="18" t="n">
        <v>0</v>
      </c>
      <c r="L39" s="20" t="n">
        <v>0</v>
      </c>
      <c r="M39" s="18" t="n">
        <v>0</v>
      </c>
      <c r="N39" s="20" t="n">
        <v>0</v>
      </c>
      <c r="O39" s="18" t="n">
        <v>0</v>
      </c>
      <c r="P39" s="20" t="n">
        <v>0</v>
      </c>
      <c r="Q39" s="18" t="n">
        <v>1.30353332</v>
      </c>
      <c r="R39" s="20" t="n">
        <v>0.6366171</v>
      </c>
    </row>
    <row r="40" spans="1:18">
      <c r="A40" s="15" t="s">
        <v>598</v>
      </c>
      <c r="B40" s="17" t="n">
        <v>6922</v>
      </c>
      <c r="C40" s="18">
        <f>(6187.0/B40*100)</f>
        <v/>
      </c>
      <c r="D40" s="19" t="n">
        <v>735</v>
      </c>
      <c r="E40" s="18" t="n">
        <v>24.13484642</v>
      </c>
      <c r="F40" s="20" t="n">
        <v>2.46324412</v>
      </c>
      <c r="G40" s="18" t="n">
        <v>75.31045764</v>
      </c>
      <c r="H40" s="20" t="n">
        <v>2.4560685</v>
      </c>
      <c r="I40" s="18" t="n">
        <v>0</v>
      </c>
      <c r="J40" s="20" t="n">
        <v>0</v>
      </c>
      <c r="K40" s="18" t="n">
        <v>0.1423811</v>
      </c>
      <c r="L40" s="20" t="n">
        <v>0.11740202</v>
      </c>
      <c r="M40" s="18" t="n">
        <v>0</v>
      </c>
      <c r="N40" s="20" t="n">
        <v>0</v>
      </c>
      <c r="O40" s="18" t="n">
        <v>0</v>
      </c>
      <c r="P40" s="20" t="n">
        <v>0</v>
      </c>
      <c r="Q40" s="18" t="n">
        <v>0.41231484</v>
      </c>
      <c r="R40" s="20" t="n">
        <v>0.2983211</v>
      </c>
    </row>
    <row r="41" spans="1:18">
      <c r="A41" s="15" t="s">
        <v>599</v>
      </c>
      <c r="B41" s="17" t="n">
        <v>2854</v>
      </c>
      <c r="C41" s="18">
        <f>(2536.0/B41*100)</f>
        <v/>
      </c>
      <c r="D41" s="19" t="n">
        <v>318</v>
      </c>
      <c r="E41" s="18" t="n">
        <v>27.45729839</v>
      </c>
      <c r="F41" s="20" t="n">
        <v>2.50933328</v>
      </c>
      <c r="G41" s="18" t="n">
        <v>71.55853310000001</v>
      </c>
      <c r="H41" s="20" t="n">
        <v>2.61093149</v>
      </c>
      <c r="I41" s="18" t="n">
        <v>0</v>
      </c>
      <c r="J41" s="20" t="n">
        <v>0</v>
      </c>
      <c r="K41" s="18" t="n">
        <v>0</v>
      </c>
      <c r="L41" s="20" t="n">
        <v>0</v>
      </c>
      <c r="M41" s="18" t="n">
        <v>0</v>
      </c>
      <c r="N41" s="20" t="n">
        <v>0</v>
      </c>
      <c r="O41" s="18" t="n">
        <v>0</v>
      </c>
      <c r="P41" s="20" t="n">
        <v>0</v>
      </c>
      <c r="Q41" s="18" t="n">
        <v>0.9841685</v>
      </c>
      <c r="R41" s="20" t="n">
        <v>1.03342794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(10940.0/B46*100)</f>
        <v/>
      </c>
      <c r="D46" s="19" t="n">
        <v>1133</v>
      </c>
      <c r="E46" s="18" t="n">
        <v>50.54610367</v>
      </c>
      <c r="F46" s="20" t="n">
        <v>2.04389363</v>
      </c>
      <c r="G46" s="18" t="n">
        <v>48.06360916</v>
      </c>
      <c r="H46" s="20" t="n">
        <v>2.08882281</v>
      </c>
      <c r="I46" s="18" t="n">
        <v>0</v>
      </c>
      <c r="J46" s="20" t="n">
        <v>0</v>
      </c>
      <c r="K46" s="18" t="n">
        <v>0.54377574</v>
      </c>
      <c r="L46" s="20" t="n">
        <v>0.25670267</v>
      </c>
      <c r="M46" s="18" t="n">
        <v>0</v>
      </c>
      <c r="N46" s="20" t="n">
        <v>0</v>
      </c>
      <c r="O46" s="18" t="n">
        <v>0</v>
      </c>
      <c r="P46" s="20" t="n">
        <v>0</v>
      </c>
      <c r="Q46" s="18" t="n">
        <v>0.84651143</v>
      </c>
      <c r="R46" s="20" t="n">
        <v>0.2754719</v>
      </c>
    </row>
    <row r="47" spans="1:18">
      <c r="A47" s="15" t="s">
        <v>606</v>
      </c>
      <c r="B47" s="17" t="n">
        <v>2823</v>
      </c>
      <c r="C47" s="18">
        <f>(2518.0/B47*100)</f>
        <v/>
      </c>
      <c r="D47" s="19" t="n">
        <v>305</v>
      </c>
      <c r="E47" s="18" t="n">
        <v>30.62579705</v>
      </c>
      <c r="F47" s="20" t="n">
        <v>2.48746843</v>
      </c>
      <c r="G47" s="18" t="n">
        <v>67.72579725</v>
      </c>
      <c r="H47" s="20" t="n">
        <v>2.67432243</v>
      </c>
      <c r="I47" s="18" t="n">
        <v>0</v>
      </c>
      <c r="J47" s="20" t="n">
        <v>0</v>
      </c>
      <c r="K47" s="18" t="n">
        <v>1.34360999</v>
      </c>
      <c r="L47" s="20" t="n">
        <v>0.74289375</v>
      </c>
      <c r="M47" s="18" t="n">
        <v>0</v>
      </c>
      <c r="N47" s="20" t="n">
        <v>0</v>
      </c>
      <c r="O47" s="18" t="n">
        <v>0</v>
      </c>
      <c r="P47" s="20" t="n">
        <v>0</v>
      </c>
      <c r="Q47" s="18" t="n">
        <v>0.30479571</v>
      </c>
      <c r="R47" s="20" t="n">
        <v>0.3018627</v>
      </c>
    </row>
    <row r="48" spans="1:18">
      <c r="A48" s="15" t="s">
        <v>607</v>
      </c>
      <c r="B48" s="17" t="n">
        <v>4682</v>
      </c>
      <c r="C48" s="18">
        <f>(4187.0/B48*100)</f>
        <v/>
      </c>
      <c r="D48" s="19" t="n">
        <v>495</v>
      </c>
      <c r="E48" s="18" t="n">
        <v>17.56322838</v>
      </c>
      <c r="F48" s="20" t="n">
        <v>1.93585745</v>
      </c>
      <c r="G48" s="18" t="n">
        <v>81.36819833</v>
      </c>
      <c r="H48" s="20" t="n">
        <v>2.12005738</v>
      </c>
      <c r="I48" s="18" t="n">
        <v>0</v>
      </c>
      <c r="J48" s="20" t="n">
        <v>0</v>
      </c>
      <c r="K48" s="18" t="n">
        <v>0.3103753</v>
      </c>
      <c r="L48" s="20" t="n">
        <v>0.31446777</v>
      </c>
      <c r="M48" s="18" t="n">
        <v>0</v>
      </c>
      <c r="N48" s="20" t="n">
        <v>0</v>
      </c>
      <c r="O48" s="18" t="n">
        <v>0</v>
      </c>
      <c r="P48" s="20" t="n">
        <v>0</v>
      </c>
      <c r="Q48" s="18" t="n">
        <v>0.75819799</v>
      </c>
      <c r="R48" s="20" t="n">
        <v>0.60749172</v>
      </c>
    </row>
    <row r="49" spans="1:18">
      <c r="A49" s="15" t="s">
        <v>608</v>
      </c>
      <c r="B49" s="17" t="n">
        <v>6158</v>
      </c>
      <c r="C49" s="18">
        <f>(5492.0/B49*100)</f>
        <v/>
      </c>
      <c r="D49" s="19" t="n">
        <v>666</v>
      </c>
      <c r="E49" s="18" t="n">
        <v>49.98663086</v>
      </c>
      <c r="F49" s="20" t="n">
        <v>2.75340606</v>
      </c>
      <c r="G49" s="18" t="n">
        <v>49.02234201</v>
      </c>
      <c r="H49" s="20" t="n">
        <v>2.74746202</v>
      </c>
      <c r="I49" s="18" t="n">
        <v>0</v>
      </c>
      <c r="J49" s="20" t="n">
        <v>0</v>
      </c>
      <c r="K49" s="18" t="n">
        <v>0.45897318</v>
      </c>
      <c r="L49" s="20" t="n">
        <v>0.28351142</v>
      </c>
      <c r="M49" s="18" t="n">
        <v>0</v>
      </c>
      <c r="N49" s="20" t="n">
        <v>0</v>
      </c>
      <c r="O49" s="18" t="n">
        <v>0</v>
      </c>
      <c r="P49" s="20" t="n">
        <v>0</v>
      </c>
      <c r="Q49" s="18" t="n">
        <v>0.53205395</v>
      </c>
      <c r="R49" s="20" t="n">
        <v>0.36516869</v>
      </c>
    </row>
    <row r="50" spans="1:18">
      <c r="A50" s="15" t="s">
        <v>609</v>
      </c>
      <c r="B50" s="17" t="n">
        <v>3494</v>
      </c>
      <c r="C50" s="18">
        <f>(2826.0/B50*100)</f>
        <v/>
      </c>
      <c r="D50" s="19" t="n">
        <v>668</v>
      </c>
      <c r="E50" s="18" t="n">
        <v>53.49900226</v>
      </c>
      <c r="F50" s="20" t="n">
        <v>2.07675283</v>
      </c>
      <c r="G50" s="18" t="n">
        <v>45.72615839</v>
      </c>
      <c r="H50" s="20" t="n">
        <v>2.11588144</v>
      </c>
      <c r="I50" s="18" t="n">
        <v>0</v>
      </c>
      <c r="J50" s="20" t="n">
        <v>0</v>
      </c>
      <c r="K50" s="18" t="n">
        <v>0</v>
      </c>
      <c r="L50" s="20" t="n">
        <v>0</v>
      </c>
      <c r="M50" s="18" t="n">
        <v>0</v>
      </c>
      <c r="N50" s="20" t="n">
        <v>0</v>
      </c>
      <c r="O50" s="18" t="n">
        <v>0</v>
      </c>
      <c r="P50" s="20" t="n">
        <v>0</v>
      </c>
      <c r="Q50" s="18" t="n">
        <v>0.77483935</v>
      </c>
      <c r="R50" s="20" t="n">
        <v>0.32880407</v>
      </c>
    </row>
    <row r="51" spans="1:18">
      <c r="A51" s="15" t="s">
        <v>610</v>
      </c>
      <c r="B51" s="17" t="n">
        <v>3013</v>
      </c>
      <c r="C51" s="18">
        <f>(2700.0/B51*100)</f>
        <v/>
      </c>
      <c r="D51" s="19" t="n">
        <v>313</v>
      </c>
      <c r="E51" s="18" t="n">
        <v>27.26661151</v>
      </c>
      <c r="F51" s="20" t="n">
        <v>2.79714904</v>
      </c>
      <c r="G51" s="18" t="n">
        <v>71.37916551000001</v>
      </c>
      <c r="H51" s="20" t="n">
        <v>2.8337095</v>
      </c>
      <c r="I51" s="18" t="n">
        <v>0</v>
      </c>
      <c r="J51" s="20" t="n">
        <v>0</v>
      </c>
      <c r="K51" s="18" t="n">
        <v>0</v>
      </c>
      <c r="L51" s="20" t="n">
        <v>0</v>
      </c>
      <c r="M51" s="18" t="n">
        <v>0</v>
      </c>
      <c r="N51" s="20" t="n">
        <v>0</v>
      </c>
      <c r="O51" s="18" t="n">
        <v>0</v>
      </c>
      <c r="P51" s="20" t="n">
        <v>0</v>
      </c>
      <c r="Q51" s="18" t="n">
        <v>1.35422298</v>
      </c>
      <c r="R51" s="20" t="n">
        <v>0.70866934</v>
      </c>
    </row>
    <row r="52" spans="1:18">
      <c r="A52" s="15" t="s">
        <v>611</v>
      </c>
      <c r="B52" s="17" t="n">
        <v>2760</v>
      </c>
      <c r="C52" s="18">
        <f>(2467.0/B52*100)</f>
        <v/>
      </c>
      <c r="D52" s="19" t="n">
        <v>293</v>
      </c>
      <c r="E52" s="18" t="n">
        <v>41.29306486</v>
      </c>
      <c r="F52" s="20" t="n">
        <v>3.30429242</v>
      </c>
      <c r="G52" s="18" t="n">
        <v>56.18621216</v>
      </c>
      <c r="H52" s="20" t="n">
        <v>3.17733412</v>
      </c>
      <c r="I52" s="18" t="n">
        <v>0</v>
      </c>
      <c r="J52" s="20" t="n">
        <v>0</v>
      </c>
      <c r="K52" s="18" t="n">
        <v>0.28338245</v>
      </c>
      <c r="L52" s="20" t="n">
        <v>0.2844005</v>
      </c>
      <c r="M52" s="18" t="n">
        <v>0</v>
      </c>
      <c r="N52" s="20" t="n">
        <v>0</v>
      </c>
      <c r="O52" s="18" t="n">
        <v>0</v>
      </c>
      <c r="P52" s="20" t="n">
        <v>0</v>
      </c>
      <c r="Q52" s="18" t="n">
        <v>2.23734053</v>
      </c>
      <c r="R52" s="20" t="n">
        <v>1.05242274</v>
      </c>
    </row>
    <row r="53" spans="1:18">
      <c r="A53" s="15" t="s">
        <v>612</v>
      </c>
      <c r="B53" s="17" t="n">
        <v>2474</v>
      </c>
      <c r="C53" s="18">
        <f>(2185.0/B53*100)</f>
        <v/>
      </c>
      <c r="D53" s="19" t="n">
        <v>289</v>
      </c>
      <c r="E53" s="18" t="n">
        <v>71.02997551</v>
      </c>
      <c r="F53" s="20" t="n">
        <v>3.0308222</v>
      </c>
      <c r="G53" s="18" t="n">
        <v>18.03035735</v>
      </c>
      <c r="H53" s="20" t="n">
        <v>2.34995885</v>
      </c>
      <c r="I53" s="18" t="n">
        <v>0</v>
      </c>
      <c r="J53" s="20" t="n">
        <v>0</v>
      </c>
      <c r="K53" s="18" t="n">
        <v>9.79482303</v>
      </c>
      <c r="L53" s="20" t="n">
        <v>2.23283896</v>
      </c>
      <c r="M53" s="18" t="n">
        <v>0</v>
      </c>
      <c r="N53" s="20" t="n">
        <v>0</v>
      </c>
      <c r="O53" s="18" t="n">
        <v>0</v>
      </c>
      <c r="P53" s="20" t="n">
        <v>0</v>
      </c>
      <c r="Q53" s="18" t="n">
        <v>1.14484411</v>
      </c>
      <c r="R53" s="20" t="n">
        <v>0.59857437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(2390.0/B55*100)</f>
        <v/>
      </c>
      <c r="D55" s="19" t="n">
        <v>285</v>
      </c>
      <c r="E55" s="18" t="n">
        <v>12.40657633</v>
      </c>
      <c r="F55" s="20" t="n">
        <v>2.36329345</v>
      </c>
      <c r="G55" s="18" t="n">
        <v>87.59342367000001</v>
      </c>
      <c r="H55" s="20" t="n">
        <v>2.36329345</v>
      </c>
      <c r="I55" s="18" t="n">
        <v>0</v>
      </c>
      <c r="J55" s="20" t="n">
        <v>0</v>
      </c>
      <c r="K55" s="18" t="n">
        <v>0</v>
      </c>
      <c r="L55" s="20" t="n">
        <v>0</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(2841.0/B61*100)</f>
        <v/>
      </c>
      <c r="D61" s="19" t="n">
        <v>360</v>
      </c>
      <c r="E61" s="18" t="n">
        <v>31.94314927</v>
      </c>
      <c r="F61" s="20" t="n">
        <v>2.66066074</v>
      </c>
      <c r="G61" s="18" t="n">
        <v>68.05685072999999</v>
      </c>
      <c r="H61" s="20" t="n">
        <v>2.66066074</v>
      </c>
      <c r="I61" s="18" t="n">
        <v>0</v>
      </c>
      <c r="J61" s="20" t="n">
        <v>0</v>
      </c>
      <c r="K61" s="18" t="n">
        <v>0</v>
      </c>
      <c r="L61" s="20" t="n">
        <v>0</v>
      </c>
      <c r="M61" s="18" t="n">
        <v>0</v>
      </c>
      <c r="N61" s="20" t="n">
        <v>0</v>
      </c>
      <c r="O61" s="18" t="n">
        <v>0</v>
      </c>
      <c r="P61" s="20" t="n">
        <v>0</v>
      </c>
      <c r="Q61" s="18" t="n">
        <v>0</v>
      </c>
      <c r="R61" s="20" t="n">
        <v>0</v>
      </c>
    </row>
    <row r="62" spans="1:18">
      <c r="A62" s="15" t="s">
        <v>622</v>
      </c>
      <c r="B62" s="17" t="n">
        <v>2230</v>
      </c>
      <c r="C62" s="18">
        <f>(2004.0/B62*100)</f>
        <v/>
      </c>
      <c r="D62" s="19" t="n">
        <v>226</v>
      </c>
      <c r="E62" s="18" t="n">
        <v>12.41631065</v>
      </c>
      <c r="F62" s="20" t="n">
        <v>2.18884897</v>
      </c>
      <c r="G62" s="18" t="n">
        <v>87.58368935</v>
      </c>
      <c r="H62" s="20" t="n">
        <v>2.18884897</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(2464.0/B67*100)</f>
        <v/>
      </c>
      <c r="D67" s="19" t="n">
        <v>307</v>
      </c>
      <c r="E67" s="18" t="n">
        <v>44.94511702</v>
      </c>
      <c r="F67" s="20" t="n">
        <v>2.6021078</v>
      </c>
      <c r="G67" s="18" t="n">
        <v>51.19547106</v>
      </c>
      <c r="H67" s="20" t="n">
        <v>2.70294426</v>
      </c>
      <c r="I67" s="18" t="n">
        <v>0</v>
      </c>
      <c r="J67" s="20" t="n">
        <v>0</v>
      </c>
      <c r="K67" s="18" t="n">
        <v>0.27142315</v>
      </c>
      <c r="L67" s="20" t="n">
        <v>0.27171567</v>
      </c>
      <c r="M67" s="18" t="n">
        <v>0</v>
      </c>
      <c r="N67" s="20" t="n">
        <v>0</v>
      </c>
      <c r="O67" s="18" t="n">
        <v>0</v>
      </c>
      <c r="P67" s="20" t="n">
        <v>0</v>
      </c>
      <c r="Q67" s="18" t="n">
        <v>3.58798878</v>
      </c>
      <c r="R67" s="20" t="n">
        <v>1.1632317</v>
      </c>
    </row>
    <row r="68" spans="1:18">
      <c r="A68" s="15" t="s">
        <v>628</v>
      </c>
      <c r="B68" s="17" t="n">
        <v>3460</v>
      </c>
      <c r="C68" s="18">
        <f>(3100.0/B68*100)</f>
        <v/>
      </c>
      <c r="D68" s="19" t="n">
        <v>360</v>
      </c>
      <c r="E68" s="18" t="n">
        <v>53.55489284</v>
      </c>
      <c r="F68" s="20" t="n">
        <v>2.39801686</v>
      </c>
      <c r="G68" s="18" t="n">
        <v>45.50471592</v>
      </c>
      <c r="H68" s="20" t="n">
        <v>2.43665606</v>
      </c>
      <c r="I68" s="18" t="n">
        <v>0</v>
      </c>
      <c r="J68" s="20" t="n">
        <v>0</v>
      </c>
      <c r="K68" s="18" t="n">
        <v>0</v>
      </c>
      <c r="L68" s="20" t="n">
        <v>0</v>
      </c>
      <c r="M68" s="18" t="n">
        <v>0</v>
      </c>
      <c r="N68" s="20" t="n">
        <v>0</v>
      </c>
      <c r="O68" s="18" t="n">
        <v>0</v>
      </c>
      <c r="P68" s="20" t="n">
        <v>0</v>
      </c>
      <c r="Q68" s="18" t="n">
        <v>0.94039124</v>
      </c>
      <c r="R68" s="20" t="n">
        <v>0.48540203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(5342.0/B70*100)</f>
        <v/>
      </c>
      <c r="D70" s="19" t="n">
        <v>692</v>
      </c>
      <c r="E70" s="18" t="n">
        <v>50.22781652</v>
      </c>
      <c r="F70" s="20" t="n">
        <v>1.81922795</v>
      </c>
      <c r="G70" s="18" t="n">
        <v>47.84092325</v>
      </c>
      <c r="H70" s="20" t="n">
        <v>1.77705639</v>
      </c>
      <c r="I70" s="18" t="n">
        <v>0</v>
      </c>
      <c r="J70" s="20" t="n">
        <v>0</v>
      </c>
      <c r="K70" s="18" t="n">
        <v>0.94030697</v>
      </c>
      <c r="L70" s="20" t="n">
        <v>0.28834313</v>
      </c>
      <c r="M70" s="18" t="n">
        <v>0</v>
      </c>
      <c r="N70" s="20" t="n">
        <v>0</v>
      </c>
      <c r="O70" s="18" t="n">
        <v>0</v>
      </c>
      <c r="P70" s="20" t="n">
        <v>0</v>
      </c>
      <c r="Q70" s="18" t="n">
        <v>0.9909532599999999</v>
      </c>
      <c r="R70" s="20" t="n">
        <v>0.40460584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(2795.0/B72*100)</f>
        <v/>
      </c>
      <c r="D72" s="19" t="n">
        <v>312</v>
      </c>
      <c r="E72" s="18" t="n">
        <v>19.0882519</v>
      </c>
      <c r="F72" s="20" t="n">
        <v>2.49434742</v>
      </c>
      <c r="G72" s="18" t="n">
        <v>79.05105327</v>
      </c>
      <c r="H72" s="20" t="n">
        <v>2.14240076</v>
      </c>
      <c r="I72" s="18" t="n">
        <v>0</v>
      </c>
      <c r="J72" s="20" t="n">
        <v>0</v>
      </c>
      <c r="K72" s="18" t="n">
        <v>0.49157723</v>
      </c>
      <c r="L72" s="20" t="n">
        <v>0.49235834</v>
      </c>
      <c r="M72" s="18" t="n">
        <v>0</v>
      </c>
      <c r="N72" s="20" t="n">
        <v>0</v>
      </c>
      <c r="O72" s="18" t="n">
        <v>0</v>
      </c>
      <c r="P72" s="20" t="n">
        <v>0</v>
      </c>
      <c r="Q72" s="18" t="n">
        <v>1.3691176</v>
      </c>
      <c r="R72" s="20" t="n">
        <v>0.75851966</v>
      </c>
    </row>
    <row r="73" spans="1:18">
      <c r="A73" s="15" t="s">
        <v>633</v>
      </c>
      <c r="B73" s="17" t="n">
        <v>2973</v>
      </c>
      <c r="C73" s="18">
        <f>(2625.0/B73*100)</f>
        <v/>
      </c>
      <c r="D73" s="19" t="n">
        <v>348</v>
      </c>
      <c r="E73" s="18" t="n">
        <v>14.41696964</v>
      </c>
      <c r="F73" s="20" t="n">
        <v>2.11204501</v>
      </c>
      <c r="G73" s="18" t="n">
        <v>84.32536991000001</v>
      </c>
      <c r="H73" s="20" t="n">
        <v>1.94079945</v>
      </c>
      <c r="I73" s="18" t="n">
        <v>0</v>
      </c>
      <c r="J73" s="20" t="n">
        <v>0</v>
      </c>
      <c r="K73" s="18" t="n">
        <v>0.46019326</v>
      </c>
      <c r="L73" s="20" t="n">
        <v>0.43957505</v>
      </c>
      <c r="M73" s="18" t="n">
        <v>0</v>
      </c>
      <c r="N73" s="20" t="n">
        <v>0</v>
      </c>
      <c r="O73" s="18" t="n">
        <v>0</v>
      </c>
      <c r="P73" s="20" t="n">
        <v>0</v>
      </c>
      <c r="Q73" s="18" t="n">
        <v>0.79746719</v>
      </c>
      <c r="R73" s="20" t="n">
        <v>0.48139365</v>
      </c>
    </row>
    <row r="74" spans="1:18">
      <c r="A74" s="15" t="s">
        <v>634</v>
      </c>
      <c r="B74" s="17" t="n">
        <v>3819</v>
      </c>
      <c r="C74" s="18">
        <f>(3416.0/B74*100)</f>
        <v/>
      </c>
      <c r="D74" s="19" t="n">
        <v>403</v>
      </c>
      <c r="E74" s="18" t="n">
        <v>12.58637713</v>
      </c>
      <c r="F74" s="20" t="n">
        <v>1.7809074</v>
      </c>
      <c r="G74" s="18" t="n">
        <v>87.09584163</v>
      </c>
      <c r="H74" s="20" t="n">
        <v>1.65766529</v>
      </c>
      <c r="I74" s="18" t="n">
        <v>0</v>
      </c>
      <c r="J74" s="20" t="n">
        <v>0</v>
      </c>
      <c r="K74" s="18" t="n">
        <v>0</v>
      </c>
      <c r="L74" s="20" t="n">
        <v>0</v>
      </c>
      <c r="M74" s="18" t="n">
        <v>0</v>
      </c>
      <c r="N74" s="20" t="n">
        <v>0</v>
      </c>
      <c r="O74" s="18" t="n">
        <v>0</v>
      </c>
      <c r="P74" s="20" t="n">
        <v>0</v>
      </c>
      <c r="Q74" s="18" t="n">
        <v>0.31778124</v>
      </c>
      <c r="R74" s="20" t="n">
        <v>0.32122793</v>
      </c>
    </row>
    <row r="75" spans="1:18">
      <c r="A75" s="15" t="s">
        <v>635</v>
      </c>
      <c r="B75" s="17" t="n">
        <v>4652</v>
      </c>
      <c r="C75" s="18">
        <f>(4149.0/B75*100)</f>
        <v/>
      </c>
      <c r="D75" s="19" t="n">
        <v>503</v>
      </c>
      <c r="E75" s="18" t="n">
        <v>34.18965041</v>
      </c>
      <c r="F75" s="20" t="n">
        <v>2.48769001</v>
      </c>
      <c r="G75" s="18" t="n">
        <v>64.71373250000001</v>
      </c>
      <c r="H75" s="20" t="n">
        <v>2.48069942</v>
      </c>
      <c r="I75" s="18" t="n">
        <v>0</v>
      </c>
      <c r="J75" s="20" t="n">
        <v>0</v>
      </c>
      <c r="K75" s="18" t="n">
        <v>0</v>
      </c>
      <c r="L75" s="20" t="n">
        <v>0</v>
      </c>
      <c r="M75" s="18" t="n">
        <v>0</v>
      </c>
      <c r="N75" s="20" t="n">
        <v>0</v>
      </c>
      <c r="O75" s="18" t="n">
        <v>0</v>
      </c>
      <c r="P75" s="20" t="n">
        <v>0</v>
      </c>
      <c r="Q75" s="18" t="n">
        <v>1.09661709</v>
      </c>
      <c r="R75" s="20" t="n">
        <v>0.28500084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(2668.0/B77*100)</f>
        <v/>
      </c>
      <c r="D77" s="19" t="n">
        <v>301</v>
      </c>
      <c r="E77" s="18" t="n">
        <v>58.26542071</v>
      </c>
      <c r="F77" s="20" t="n">
        <v>2.95264062</v>
      </c>
      <c r="G77" s="18" t="n">
        <v>37.75358931</v>
      </c>
      <c r="H77" s="20" t="n">
        <v>2.82479541</v>
      </c>
      <c r="I77" s="18" t="n">
        <v>0</v>
      </c>
      <c r="J77" s="20" t="n">
        <v>0</v>
      </c>
      <c r="K77" s="18" t="n">
        <v>2.09154266</v>
      </c>
      <c r="L77" s="20" t="n">
        <v>0.8190277</v>
      </c>
      <c r="M77" s="18" t="n">
        <v>0</v>
      </c>
      <c r="N77" s="20" t="n">
        <v>0</v>
      </c>
      <c r="O77" s="18" t="n">
        <v>0</v>
      </c>
      <c r="P77" s="20" t="n">
        <v>0</v>
      </c>
      <c r="Q77" s="18" t="n">
        <v>1.88944732</v>
      </c>
      <c r="R77" s="20" t="n">
        <v>0.7135739</v>
      </c>
    </row>
    <row r="78" spans="1:18">
      <c r="A78" s="15" t="s">
        <v>638</v>
      </c>
      <c r="B78" s="17" t="n">
        <v>7115</v>
      </c>
      <c r="C78" s="18">
        <f>(6357.0/B78*100)</f>
        <v/>
      </c>
      <c r="D78" s="19" t="n">
        <v>758</v>
      </c>
      <c r="E78" s="18" t="n">
        <v>43.91213431</v>
      </c>
      <c r="F78" s="20" t="n">
        <v>2.41462348</v>
      </c>
      <c r="G78" s="18" t="n">
        <v>54.67661932</v>
      </c>
      <c r="H78" s="20" t="n">
        <v>2.3659594</v>
      </c>
      <c r="I78" s="18" t="n">
        <v>0</v>
      </c>
      <c r="J78" s="20" t="n">
        <v>0</v>
      </c>
      <c r="K78" s="18" t="n">
        <v>0.84040916</v>
      </c>
      <c r="L78" s="20" t="n">
        <v>0.42946467</v>
      </c>
      <c r="M78" s="18" t="n">
        <v>0</v>
      </c>
      <c r="N78" s="20" t="n">
        <v>0</v>
      </c>
      <c r="O78" s="18" t="n">
        <v>0</v>
      </c>
      <c r="P78" s="20" t="n">
        <v>0</v>
      </c>
      <c r="Q78" s="18" t="n">
        <v>0.5708372</v>
      </c>
      <c r="R78" s="20" t="n">
        <v>0.29361607</v>
      </c>
    </row>
    <row r="79" spans="1:18">
      <c r="A79" s="15" t="s">
        <v>639</v>
      </c>
      <c r="B79" s="17" t="n">
        <v>3154</v>
      </c>
      <c r="C79" s="18">
        <f>(2802.0/B79*100)</f>
        <v/>
      </c>
      <c r="D79" s="19" t="n">
        <v>352</v>
      </c>
      <c r="E79" s="18" t="n">
        <v>42.42582297</v>
      </c>
      <c r="F79" s="20" t="n">
        <v>2.35024328</v>
      </c>
      <c r="G79" s="18" t="n">
        <v>55.34095832</v>
      </c>
      <c r="H79" s="20" t="n">
        <v>2.51641974</v>
      </c>
      <c r="I79" s="18" t="n">
        <v>0</v>
      </c>
      <c r="J79" s="20" t="n">
        <v>0</v>
      </c>
      <c r="K79" s="18" t="n">
        <v>0.26323457</v>
      </c>
      <c r="L79" s="20" t="n">
        <v>0.26190957</v>
      </c>
      <c r="M79" s="18" t="n">
        <v>0</v>
      </c>
      <c r="N79" s="20" t="n">
        <v>0</v>
      </c>
      <c r="O79" s="18" t="n">
        <v>0</v>
      </c>
      <c r="P79" s="20" t="n">
        <v>0</v>
      </c>
      <c r="Q79" s="18" t="n">
        <v>1.96998413</v>
      </c>
      <c r="R79" s="20" t="n">
        <v>0.8545782200000001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(14198.0/B82*100)</f>
        <v/>
      </c>
      <c r="D82" s="19" t="n">
        <v>1763</v>
      </c>
      <c r="E82" s="18" t="n">
        <v>33.2980962</v>
      </c>
      <c r="F82" s="20" t="n">
        <v>1.595603</v>
      </c>
      <c r="G82" s="18" t="n">
        <v>65.78478204</v>
      </c>
      <c r="H82" s="20" t="n">
        <v>1.62260889</v>
      </c>
      <c r="I82" s="18" t="n">
        <v>0</v>
      </c>
      <c r="J82" s="20" t="n">
        <v>0</v>
      </c>
      <c r="K82" s="18" t="n">
        <v>0.0336294</v>
      </c>
      <c r="L82" s="20" t="n">
        <v>0.04435645</v>
      </c>
      <c r="M82" s="18" t="n">
        <v>0</v>
      </c>
      <c r="N82" s="20" t="n">
        <v>0</v>
      </c>
      <c r="O82" s="18" t="n">
        <v>0</v>
      </c>
      <c r="P82" s="20" t="n">
        <v>0</v>
      </c>
      <c r="Q82" s="18" t="n">
        <v>0.88349236</v>
      </c>
      <c r="R82" s="20" t="n">
        <v>0.37142497</v>
      </c>
    </row>
    <row r="83" spans="1:18">
      <c r="A83" s="15" t="s">
        <v>643</v>
      </c>
      <c r="B83" s="17" t="n">
        <v>808</v>
      </c>
      <c r="C83" s="18">
        <f>(712.0/B83*100)</f>
        <v/>
      </c>
      <c r="D83" s="19" t="n">
        <v>96</v>
      </c>
      <c r="E83" s="18" t="n">
        <v>28.96576208</v>
      </c>
      <c r="F83" s="20" t="n">
        <v>5.96404815</v>
      </c>
      <c r="G83" s="18" t="n">
        <v>71.03423792</v>
      </c>
      <c r="H83" s="20" t="n">
        <v>5.96404815</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(824.0/B84*100)</f>
        <v/>
      </c>
      <c r="D84" s="19" t="n">
        <v>114</v>
      </c>
      <c r="E84" s="18" t="n">
        <v>26.6809557</v>
      </c>
      <c r="F84" s="20" t="n">
        <v>4.31284344</v>
      </c>
      <c r="G84" s="18" t="n">
        <v>73.3190443</v>
      </c>
      <c r="H84" s="20" t="n">
        <v>4.31284344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(6389.0/B7*100)</f>
        <v/>
      </c>
      <c r="D7" s="19" t="n">
        <v>774</v>
      </c>
      <c r="E7" s="18" t="n">
        <v>50.31066049</v>
      </c>
      <c r="F7" s="20" t="n">
        <v>2.22234362</v>
      </c>
      <c r="G7" s="18" t="n">
        <v>40.1826769</v>
      </c>
      <c r="H7" s="20" t="n">
        <v>2.24073428</v>
      </c>
      <c r="I7" s="18" t="n">
        <v>0</v>
      </c>
      <c r="J7" s="20" t="n">
        <v>0</v>
      </c>
      <c r="K7" s="18" t="n">
        <v>0.06677652000000001</v>
      </c>
      <c r="L7" s="20" t="n">
        <v>0.04746316</v>
      </c>
      <c r="M7" s="18" t="n">
        <v>0</v>
      </c>
      <c r="N7" s="20" t="n">
        <v>0</v>
      </c>
      <c r="O7" s="18" t="n">
        <v>0</v>
      </c>
      <c r="P7" s="20" t="n">
        <v>0</v>
      </c>
      <c r="Q7" s="18" t="n">
        <v>9.43988609</v>
      </c>
      <c r="R7" s="20" t="n">
        <v>1.02012053</v>
      </c>
    </row>
    <row r="8" spans="1:18">
      <c r="A8" s="15" t="s">
        <v>566</v>
      </c>
      <c r="B8" s="17" t="n">
        <v>3443</v>
      </c>
      <c r="C8" s="18">
        <f>(3051.0/B8*100)</f>
        <v/>
      </c>
      <c r="D8" s="19" t="n">
        <v>392</v>
      </c>
      <c r="E8" s="18" t="n">
        <v>33.01181148</v>
      </c>
      <c r="F8" s="20" t="n">
        <v>2.46282733</v>
      </c>
      <c r="G8" s="18" t="n">
        <v>49.90120017</v>
      </c>
      <c r="H8" s="20" t="n">
        <v>2.99892189</v>
      </c>
      <c r="I8" s="18" t="n">
        <v>0</v>
      </c>
      <c r="J8" s="20" t="n">
        <v>0</v>
      </c>
      <c r="K8" s="18" t="n">
        <v>0</v>
      </c>
      <c r="L8" s="20" t="n">
        <v>0</v>
      </c>
      <c r="M8" s="18" t="n">
        <v>0</v>
      </c>
      <c r="N8" s="20" t="n">
        <v>0</v>
      </c>
      <c r="O8" s="18" t="n">
        <v>0</v>
      </c>
      <c r="P8" s="20" t="n">
        <v>0</v>
      </c>
      <c r="Q8" s="18" t="n">
        <v>17.08698835</v>
      </c>
      <c r="R8" s="20" t="n">
        <v>2.36402971</v>
      </c>
    </row>
    <row r="9" spans="1:18">
      <c r="A9" s="15" t="s">
        <v>567</v>
      </c>
      <c r="B9" s="17" t="n">
        <v>4752</v>
      </c>
      <c r="C9" s="18">
        <f>(4128.0/B9*100)</f>
        <v/>
      </c>
      <c r="D9" s="19" t="n">
        <v>624</v>
      </c>
      <c r="E9" s="18" t="n">
        <v>43.92404106</v>
      </c>
      <c r="F9" s="20" t="n">
        <v>2.12026423</v>
      </c>
      <c r="G9" s="18" t="n">
        <v>40.17169501</v>
      </c>
      <c r="H9" s="20" t="n">
        <v>2.20350877</v>
      </c>
      <c r="I9" s="18" t="n">
        <v>0</v>
      </c>
      <c r="J9" s="20" t="n">
        <v>0</v>
      </c>
      <c r="K9" s="18" t="n">
        <v>0</v>
      </c>
      <c r="L9" s="20" t="n">
        <v>0</v>
      </c>
      <c r="M9" s="18" t="n">
        <v>0.11528311</v>
      </c>
      <c r="N9" s="20" t="n">
        <v>0.10762986</v>
      </c>
      <c r="O9" s="18" t="n">
        <v>0</v>
      </c>
      <c r="P9" s="20" t="n">
        <v>0</v>
      </c>
      <c r="Q9" s="18" t="n">
        <v>15.78898083</v>
      </c>
      <c r="R9" s="20" t="n">
        <v>1.62566794</v>
      </c>
    </row>
    <row r="10" spans="1:18">
      <c r="A10" s="15" t="s">
        <v>568</v>
      </c>
      <c r="B10" s="17" t="n">
        <v>10022</v>
      </c>
      <c r="C10" s="18">
        <f>(8916.0/B10*100)</f>
        <v/>
      </c>
      <c r="D10" s="19" t="n">
        <v>1106</v>
      </c>
      <c r="E10" s="18" t="n">
        <v>53.78035052</v>
      </c>
      <c r="F10" s="20" t="n">
        <v>2.45129362</v>
      </c>
      <c r="G10" s="18" t="n">
        <v>40.17332176</v>
      </c>
      <c r="H10" s="20" t="n">
        <v>2.39481933</v>
      </c>
      <c r="I10" s="18" t="n">
        <v>0</v>
      </c>
      <c r="J10" s="20" t="n">
        <v>0</v>
      </c>
      <c r="K10" s="18" t="n">
        <v>0.17493065</v>
      </c>
      <c r="L10" s="20" t="n">
        <v>0.10000018</v>
      </c>
      <c r="M10" s="18" t="n">
        <v>0.00716537</v>
      </c>
      <c r="N10" s="20" t="n">
        <v>0.00730666</v>
      </c>
      <c r="O10" s="18" t="n">
        <v>0</v>
      </c>
      <c r="P10" s="20" t="n">
        <v>0</v>
      </c>
      <c r="Q10" s="18" t="n">
        <v>5.86423169</v>
      </c>
      <c r="R10" s="20" t="n">
        <v>1.03824216</v>
      </c>
    </row>
    <row r="11" spans="1:18">
      <c r="A11" s="15" t="s">
        <v>569</v>
      </c>
      <c r="B11" s="17" t="n">
        <v>3500</v>
      </c>
      <c r="C11" s="18">
        <f>(3099.0/B11*100)</f>
        <v/>
      </c>
      <c r="D11" s="19" t="n">
        <v>401</v>
      </c>
      <c r="E11" s="18" t="n">
        <v>59.28818511</v>
      </c>
      <c r="F11" s="20" t="n">
        <v>3.12539099</v>
      </c>
      <c r="G11" s="18" t="n">
        <v>22.72155231</v>
      </c>
      <c r="H11" s="20" t="n">
        <v>2.64169678</v>
      </c>
      <c r="I11" s="18" t="n">
        <v>0</v>
      </c>
      <c r="J11" s="20" t="n">
        <v>0</v>
      </c>
      <c r="K11" s="18" t="n">
        <v>1.29877947</v>
      </c>
      <c r="L11" s="20" t="n">
        <v>0.61069501</v>
      </c>
      <c r="M11" s="18" t="n">
        <v>0</v>
      </c>
      <c r="N11" s="20" t="n">
        <v>0</v>
      </c>
      <c r="O11" s="18" t="n">
        <v>0</v>
      </c>
      <c r="P11" s="20" t="n">
        <v>0</v>
      </c>
      <c r="Q11" s="18" t="n">
        <v>16.69148311</v>
      </c>
      <c r="R11" s="20" t="n">
        <v>2.1641649</v>
      </c>
    </row>
    <row r="12" spans="1:18">
      <c r="A12" s="15" t="s">
        <v>570</v>
      </c>
      <c r="B12" s="17" t="n">
        <v>3422</v>
      </c>
      <c r="C12" s="18">
        <f>(3005.0/B12*100)</f>
        <v/>
      </c>
      <c r="D12" s="19" t="n">
        <v>417</v>
      </c>
      <c r="E12" s="18" t="n">
        <v>35.22706823</v>
      </c>
      <c r="F12" s="20" t="n">
        <v>4.02058912</v>
      </c>
      <c r="G12" s="18" t="n">
        <v>43.98049448</v>
      </c>
      <c r="H12" s="20" t="n">
        <v>3.62862879</v>
      </c>
      <c r="I12" s="18" t="n">
        <v>0</v>
      </c>
      <c r="J12" s="20" t="n">
        <v>0</v>
      </c>
      <c r="K12" s="18" t="n">
        <v>0.34825399</v>
      </c>
      <c r="L12" s="20" t="n">
        <v>0.34809561</v>
      </c>
      <c r="M12" s="18" t="n">
        <v>0</v>
      </c>
      <c r="N12" s="20" t="n">
        <v>0</v>
      </c>
      <c r="O12" s="18" t="n">
        <v>0</v>
      </c>
      <c r="P12" s="20" t="n">
        <v>0</v>
      </c>
      <c r="Q12" s="18" t="n">
        <v>20.4441833</v>
      </c>
      <c r="R12" s="20" t="n">
        <v>2.32805016</v>
      </c>
    </row>
    <row r="13" spans="1:18">
      <c r="A13" s="15" t="s">
        <v>571</v>
      </c>
      <c r="B13" s="17" t="n">
        <v>3602</v>
      </c>
      <c r="C13" s="18">
        <f>(3083.0/B13*100)</f>
        <v/>
      </c>
      <c r="D13" s="19" t="n">
        <v>519</v>
      </c>
      <c r="E13" s="18" t="n">
        <v>47.75957077</v>
      </c>
      <c r="F13" s="20" t="n">
        <v>2.80809048</v>
      </c>
      <c r="G13" s="18" t="n">
        <v>33.33047974</v>
      </c>
      <c r="H13" s="20" t="n">
        <v>2.70663593</v>
      </c>
      <c r="I13" s="18" t="n">
        <v>0</v>
      </c>
      <c r="J13" s="20" t="n">
        <v>0</v>
      </c>
      <c r="K13" s="18" t="n">
        <v>1.17408573</v>
      </c>
      <c r="L13" s="20" t="n">
        <v>0.48084257</v>
      </c>
      <c r="M13" s="18" t="n">
        <v>0</v>
      </c>
      <c r="N13" s="20" t="n">
        <v>0</v>
      </c>
      <c r="O13" s="18" t="n">
        <v>0</v>
      </c>
      <c r="P13" s="20" t="n">
        <v>0</v>
      </c>
      <c r="Q13" s="18" t="n">
        <v>17.73586377</v>
      </c>
      <c r="R13" s="20" t="n">
        <v>1.96516656</v>
      </c>
    </row>
    <row r="14" spans="1:18">
      <c r="A14" s="15" t="s">
        <v>572</v>
      </c>
      <c r="B14" s="17" t="n">
        <v>2788</v>
      </c>
      <c r="C14" s="18">
        <f>(2483.0/B14*100)</f>
        <v/>
      </c>
      <c r="D14" s="19" t="n">
        <v>305</v>
      </c>
      <c r="E14" s="18" t="n">
        <v>27.60425298</v>
      </c>
      <c r="F14" s="20" t="n">
        <v>2.56275436</v>
      </c>
      <c r="G14" s="18" t="n">
        <v>63.5246483</v>
      </c>
      <c r="H14" s="20" t="n">
        <v>3.00898377</v>
      </c>
      <c r="I14" s="18" t="n">
        <v>0</v>
      </c>
      <c r="J14" s="20" t="n">
        <v>0</v>
      </c>
      <c r="K14" s="18" t="n">
        <v>0.83842385</v>
      </c>
      <c r="L14" s="20" t="n">
        <v>0.81655904</v>
      </c>
      <c r="M14" s="18" t="n">
        <v>0</v>
      </c>
      <c r="N14" s="20" t="n">
        <v>0</v>
      </c>
      <c r="O14" s="18" t="n">
        <v>0</v>
      </c>
      <c r="P14" s="20" t="n">
        <v>0</v>
      </c>
      <c r="Q14" s="18" t="n">
        <v>8.032674869999999</v>
      </c>
      <c r="R14" s="20" t="n">
        <v>1.71869389</v>
      </c>
    </row>
    <row r="15" spans="1:18">
      <c r="A15" s="15" t="s">
        <v>573</v>
      </c>
      <c r="B15" s="17" t="n">
        <v>2863</v>
      </c>
      <c r="C15" s="18">
        <f>(2541.0/B15*100)</f>
        <v/>
      </c>
      <c r="D15" s="19" t="n">
        <v>322</v>
      </c>
      <c r="E15" s="18" t="n">
        <v>34.15292592</v>
      </c>
      <c r="F15" s="20" t="n">
        <v>3.02073198</v>
      </c>
      <c r="G15" s="18" t="n">
        <v>59.80900641</v>
      </c>
      <c r="H15" s="20" t="n">
        <v>3.35312253</v>
      </c>
      <c r="I15" s="18" t="n">
        <v>0</v>
      </c>
      <c r="J15" s="20" t="n">
        <v>0</v>
      </c>
      <c r="K15" s="18" t="n">
        <v>0</v>
      </c>
      <c r="L15" s="20" t="n">
        <v>0</v>
      </c>
      <c r="M15" s="18" t="n">
        <v>0</v>
      </c>
      <c r="N15" s="20" t="n">
        <v>0</v>
      </c>
      <c r="O15" s="18" t="n">
        <v>0</v>
      </c>
      <c r="P15" s="20" t="n">
        <v>0</v>
      </c>
      <c r="Q15" s="18" t="n">
        <v>6.03806767</v>
      </c>
      <c r="R15" s="20" t="n">
        <v>1.75044403</v>
      </c>
    </row>
    <row r="16" spans="1:18">
      <c r="A16" s="15" t="s">
        <v>574</v>
      </c>
      <c r="B16" s="17" t="n">
        <v>3111</v>
      </c>
      <c r="C16" s="18">
        <f>(2801.0/B16*100)</f>
        <v/>
      </c>
      <c r="D16" s="19" t="n">
        <v>310</v>
      </c>
      <c r="E16" s="18" t="n">
        <v>45.95512195</v>
      </c>
      <c r="F16" s="20" t="n">
        <v>2.56264746</v>
      </c>
      <c r="G16" s="18" t="n">
        <v>39.80774745</v>
      </c>
      <c r="H16" s="20" t="n">
        <v>2.65588205</v>
      </c>
      <c r="I16" s="18" t="n">
        <v>0</v>
      </c>
      <c r="J16" s="20" t="n">
        <v>0</v>
      </c>
      <c r="K16" s="18" t="n">
        <v>0</v>
      </c>
      <c r="L16" s="20" t="n">
        <v>0</v>
      </c>
      <c r="M16" s="18" t="n">
        <v>0</v>
      </c>
      <c r="N16" s="20" t="n">
        <v>0</v>
      </c>
      <c r="O16" s="18" t="n">
        <v>0</v>
      </c>
      <c r="P16" s="20" t="n">
        <v>0</v>
      </c>
      <c r="Q16" s="18" t="n">
        <v>14.2371306</v>
      </c>
      <c r="R16" s="20" t="n">
        <v>2.12629053</v>
      </c>
    </row>
    <row r="17" spans="1:18">
      <c r="A17" s="15" t="s">
        <v>575</v>
      </c>
      <c r="B17" s="17" t="n">
        <v>3197</v>
      </c>
      <c r="C17" s="18">
        <f>(2788.0/B17*100)</f>
        <v/>
      </c>
      <c r="D17" s="19" t="n">
        <v>409</v>
      </c>
      <c r="E17" s="18" t="n">
        <v>31.30943067</v>
      </c>
      <c r="F17" s="20" t="n">
        <v>2.73557124</v>
      </c>
      <c r="G17" s="18" t="n">
        <v>50.25075982</v>
      </c>
      <c r="H17" s="20" t="n">
        <v>2.88279352</v>
      </c>
      <c r="I17" s="18" t="n">
        <v>0</v>
      </c>
      <c r="J17" s="20" t="n">
        <v>0</v>
      </c>
      <c r="K17" s="18" t="n">
        <v>0.50971755</v>
      </c>
      <c r="L17" s="20" t="n">
        <v>0.36894233</v>
      </c>
      <c r="M17" s="18" t="n">
        <v>0</v>
      </c>
      <c r="N17" s="20" t="n">
        <v>0</v>
      </c>
      <c r="O17" s="18" t="n">
        <v>0</v>
      </c>
      <c r="P17" s="20" t="n">
        <v>0</v>
      </c>
      <c r="Q17" s="18" t="n">
        <v>17.93009195</v>
      </c>
      <c r="R17" s="20" t="n">
        <v>2.24577721</v>
      </c>
    </row>
    <row r="18" spans="1:18">
      <c r="A18" s="15" t="s">
        <v>576</v>
      </c>
      <c r="B18" s="17" t="n">
        <v>2706</v>
      </c>
      <c r="C18" s="18">
        <f>(2437.0/B18*100)</f>
        <v/>
      </c>
      <c r="D18" s="19" t="n">
        <v>269</v>
      </c>
      <c r="E18" s="18" t="n">
        <v>47.99021404</v>
      </c>
      <c r="F18" s="20" t="n">
        <v>3.04171346</v>
      </c>
      <c r="G18" s="18" t="n">
        <v>37.44410246</v>
      </c>
      <c r="H18" s="20" t="n">
        <v>3.19239814</v>
      </c>
      <c r="I18" s="18" t="n">
        <v>0</v>
      </c>
      <c r="J18" s="20" t="n">
        <v>0</v>
      </c>
      <c r="K18" s="18" t="n">
        <v>0</v>
      </c>
      <c r="L18" s="20" t="n">
        <v>0</v>
      </c>
      <c r="M18" s="18" t="n">
        <v>0</v>
      </c>
      <c r="N18" s="20" t="n">
        <v>0</v>
      </c>
      <c r="O18" s="18" t="n">
        <v>0</v>
      </c>
      <c r="P18" s="20" t="n">
        <v>0</v>
      </c>
      <c r="Q18" s="18" t="n">
        <v>14.5656835</v>
      </c>
      <c r="R18" s="20" t="n">
        <v>2.09929029</v>
      </c>
    </row>
    <row r="19" spans="1:18">
      <c r="A19" s="15" t="s">
        <v>577</v>
      </c>
      <c r="B19" s="17" t="n">
        <v>2850</v>
      </c>
      <c r="C19" s="18">
        <f>(2537.0/B19*100)</f>
        <v/>
      </c>
      <c r="D19" s="19" t="n">
        <v>313</v>
      </c>
      <c r="E19" s="18" t="n">
        <v>34.4748593</v>
      </c>
      <c r="F19" s="20" t="n">
        <v>3.30989522</v>
      </c>
      <c r="G19" s="18" t="n">
        <v>45.76923476</v>
      </c>
      <c r="H19" s="20" t="n">
        <v>3.10052011</v>
      </c>
      <c r="I19" s="18" t="n">
        <v>0</v>
      </c>
      <c r="J19" s="20" t="n">
        <v>0</v>
      </c>
      <c r="K19" s="18" t="n">
        <v>0</v>
      </c>
      <c r="L19" s="20" t="n">
        <v>0</v>
      </c>
      <c r="M19" s="18" t="n">
        <v>0.30596048</v>
      </c>
      <c r="N19" s="20" t="n">
        <v>0.30797874</v>
      </c>
      <c r="O19" s="18" t="n">
        <v>0</v>
      </c>
      <c r="P19" s="20" t="n">
        <v>0</v>
      </c>
      <c r="Q19" s="18" t="n">
        <v>19.44994545</v>
      </c>
      <c r="R19" s="20" t="n">
        <v>2.67290267</v>
      </c>
    </row>
    <row r="20" spans="1:18">
      <c r="A20" s="15" t="s">
        <v>578</v>
      </c>
      <c r="B20" s="17" t="n">
        <v>1741</v>
      </c>
      <c r="C20" s="18">
        <f>(1558.0/B20*100)</f>
        <v/>
      </c>
      <c r="D20" s="19" t="n">
        <v>183</v>
      </c>
      <c r="E20" s="18" t="n">
        <v>48.54194446</v>
      </c>
      <c r="F20" s="20" t="n">
        <v>3.81050369</v>
      </c>
      <c r="G20" s="18" t="n">
        <v>34.2965183</v>
      </c>
      <c r="H20" s="20" t="n">
        <v>3.96521774</v>
      </c>
      <c r="I20" s="18" t="n">
        <v>0</v>
      </c>
      <c r="J20" s="20" t="n">
        <v>0</v>
      </c>
      <c r="K20" s="18" t="n">
        <v>0.94355614</v>
      </c>
      <c r="L20" s="20" t="n">
        <v>0.66537434</v>
      </c>
      <c r="M20" s="18" t="n">
        <v>0.8391448</v>
      </c>
      <c r="N20" s="20" t="n">
        <v>0.82261342</v>
      </c>
      <c r="O20" s="18" t="n">
        <v>0</v>
      </c>
      <c r="P20" s="20" t="n">
        <v>0</v>
      </c>
      <c r="Q20" s="18" t="n">
        <v>15.3788363</v>
      </c>
      <c r="R20" s="20" t="n">
        <v>2.85786791</v>
      </c>
    </row>
    <row r="21" spans="1:18">
      <c r="A21" s="15" t="s">
        <v>579</v>
      </c>
      <c r="B21" s="17" t="n">
        <v>2833</v>
      </c>
      <c r="C21" s="18">
        <f>(2486.0/B21*100)</f>
        <v/>
      </c>
      <c r="D21" s="19" t="n">
        <v>347</v>
      </c>
      <c r="E21" s="18" t="n">
        <v>54.67328891</v>
      </c>
      <c r="F21" s="20" t="n">
        <v>2.70685284</v>
      </c>
      <c r="G21" s="18" t="n">
        <v>36.10802385</v>
      </c>
      <c r="H21" s="20" t="n">
        <v>2.41307511</v>
      </c>
      <c r="I21" s="18" t="n">
        <v>0</v>
      </c>
      <c r="J21" s="20" t="n">
        <v>0</v>
      </c>
      <c r="K21" s="18" t="n">
        <v>0</v>
      </c>
      <c r="L21" s="20" t="n">
        <v>0</v>
      </c>
      <c r="M21" s="18" t="n">
        <v>0</v>
      </c>
      <c r="N21" s="20" t="n">
        <v>0</v>
      </c>
      <c r="O21" s="18" t="n">
        <v>0</v>
      </c>
      <c r="P21" s="20" t="n">
        <v>0</v>
      </c>
      <c r="Q21" s="18" t="n">
        <v>9.21868725</v>
      </c>
      <c r="R21" s="20" t="n">
        <v>1.49919158</v>
      </c>
    </row>
    <row r="22" spans="1:18">
      <c r="A22" s="15" t="s">
        <v>580</v>
      </c>
      <c r="B22" s="17" t="n">
        <v>3667</v>
      </c>
      <c r="C22" s="18">
        <f>(3264.0/B22*100)</f>
        <v/>
      </c>
      <c r="D22" s="19" t="n">
        <v>403</v>
      </c>
      <c r="E22" s="18" t="n">
        <v>43.95281998</v>
      </c>
      <c r="F22" s="20" t="n">
        <v>2.39030778</v>
      </c>
      <c r="G22" s="18" t="n">
        <v>39.20317658</v>
      </c>
      <c r="H22" s="20" t="n">
        <v>2.41394705</v>
      </c>
      <c r="I22" s="18" t="n">
        <v>0</v>
      </c>
      <c r="J22" s="20" t="n">
        <v>0</v>
      </c>
      <c r="K22" s="18" t="n">
        <v>0.23635492</v>
      </c>
      <c r="L22" s="20" t="n">
        <v>0.263679</v>
      </c>
      <c r="M22" s="18" t="n">
        <v>0</v>
      </c>
      <c r="N22" s="20" t="n">
        <v>0</v>
      </c>
      <c r="O22" s="18" t="n">
        <v>0</v>
      </c>
      <c r="P22" s="20" t="n">
        <v>0</v>
      </c>
      <c r="Q22" s="18" t="n">
        <v>16.60764852</v>
      </c>
      <c r="R22" s="20" t="n">
        <v>1.59856626</v>
      </c>
    </row>
    <row r="23" spans="1:18">
      <c r="A23" s="15" t="s">
        <v>581</v>
      </c>
      <c r="B23" s="17" t="n">
        <v>5792</v>
      </c>
      <c r="C23" s="18">
        <f>(5154.0/B23*100)</f>
        <v/>
      </c>
      <c r="D23" s="19" t="n">
        <v>638</v>
      </c>
      <c r="E23" s="18" t="n">
        <v>37.49560263</v>
      </c>
      <c r="F23" s="20" t="n">
        <v>3.11573817</v>
      </c>
      <c r="G23" s="18" t="n">
        <v>38.63981248</v>
      </c>
      <c r="H23" s="20" t="n">
        <v>3.99980212</v>
      </c>
      <c r="I23" s="18" t="n">
        <v>0</v>
      </c>
      <c r="J23" s="20" t="n">
        <v>0</v>
      </c>
      <c r="K23" s="18" t="n">
        <v>0.72862322</v>
      </c>
      <c r="L23" s="20" t="n">
        <v>0.56091477</v>
      </c>
      <c r="M23" s="18" t="n">
        <v>0</v>
      </c>
      <c r="N23" s="20" t="n">
        <v>0</v>
      </c>
      <c r="O23" s="18" t="n">
        <v>0</v>
      </c>
      <c r="P23" s="20" t="n">
        <v>0</v>
      </c>
      <c r="Q23" s="18" t="n">
        <v>23.13596168</v>
      </c>
      <c r="R23" s="20" t="n">
        <v>2.98580864</v>
      </c>
    </row>
    <row r="24" spans="1:18">
      <c r="A24" s="15" t="s">
        <v>582</v>
      </c>
      <c r="B24" s="17" t="n">
        <v>3309</v>
      </c>
      <c r="C24" s="18">
        <f>(2931.0/B24*100)</f>
        <v/>
      </c>
      <c r="D24" s="19" t="n">
        <v>378</v>
      </c>
      <c r="E24" s="18" t="n">
        <v>28.18019262</v>
      </c>
      <c r="F24" s="20" t="n">
        <v>2.22479226</v>
      </c>
      <c r="G24" s="18" t="n">
        <v>57.67804272</v>
      </c>
      <c r="H24" s="20" t="n">
        <v>2.83784476</v>
      </c>
      <c r="I24" s="18" t="n">
        <v>0</v>
      </c>
      <c r="J24" s="20" t="n">
        <v>0</v>
      </c>
      <c r="K24" s="18" t="n">
        <v>0</v>
      </c>
      <c r="L24" s="20" t="n">
        <v>0</v>
      </c>
      <c r="M24" s="18" t="n">
        <v>0</v>
      </c>
      <c r="N24" s="20" t="n">
        <v>0</v>
      </c>
      <c r="O24" s="18" t="n">
        <v>0</v>
      </c>
      <c r="P24" s="20" t="n">
        <v>0</v>
      </c>
      <c r="Q24" s="18" t="n">
        <v>14.14176466</v>
      </c>
      <c r="R24" s="20" t="n">
        <v>1.95208806</v>
      </c>
    </row>
    <row r="25" spans="1:18">
      <c r="A25" s="15" t="s">
        <v>583</v>
      </c>
      <c r="B25" s="17" t="n">
        <v>2669</v>
      </c>
      <c r="C25" s="18">
        <f>(2396.0/B25*100)</f>
        <v/>
      </c>
      <c r="D25" s="19" t="n">
        <v>273</v>
      </c>
      <c r="E25" s="18" t="n">
        <v>37.28620054</v>
      </c>
      <c r="F25" s="20" t="n">
        <v>2.8271767</v>
      </c>
      <c r="G25" s="18" t="n">
        <v>53.73682384</v>
      </c>
      <c r="H25" s="20" t="n">
        <v>3.1444456</v>
      </c>
      <c r="I25" s="18" t="n">
        <v>0</v>
      </c>
      <c r="J25" s="20" t="n">
        <v>0</v>
      </c>
      <c r="K25" s="18" t="n">
        <v>0.33916492</v>
      </c>
      <c r="L25" s="20" t="n">
        <v>0.47668997</v>
      </c>
      <c r="M25" s="18" t="n">
        <v>0</v>
      </c>
      <c r="N25" s="20" t="n">
        <v>0</v>
      </c>
      <c r="O25" s="18" t="n">
        <v>0</v>
      </c>
      <c r="P25" s="20" t="n">
        <v>0</v>
      </c>
      <c r="Q25" s="18" t="n">
        <v>8.637810699999999</v>
      </c>
      <c r="R25" s="20" t="n">
        <v>1.6153335</v>
      </c>
    </row>
    <row r="26" spans="1:18">
      <c r="A26" s="15" t="s">
        <v>584</v>
      </c>
      <c r="B26" s="17" t="n">
        <v>2419</v>
      </c>
      <c r="C26" s="18">
        <f>(2156.0/B26*100)</f>
        <v/>
      </c>
      <c r="D26" s="19" t="n">
        <v>263</v>
      </c>
      <c r="E26" s="18" t="n">
        <v>33.08922747</v>
      </c>
      <c r="F26" s="20" t="n">
        <v>2.80016974</v>
      </c>
      <c r="G26" s="18" t="n">
        <v>62.66451255</v>
      </c>
      <c r="H26" s="20" t="n">
        <v>2.9313379</v>
      </c>
      <c r="I26" s="18" t="n">
        <v>0</v>
      </c>
      <c r="J26" s="20" t="n">
        <v>0</v>
      </c>
      <c r="K26" s="18" t="n">
        <v>0</v>
      </c>
      <c r="L26" s="20" t="n">
        <v>0</v>
      </c>
      <c r="M26" s="18" t="n">
        <v>0</v>
      </c>
      <c r="N26" s="20" t="n">
        <v>0</v>
      </c>
      <c r="O26" s="18" t="n">
        <v>0</v>
      </c>
      <c r="P26" s="20" t="n">
        <v>0</v>
      </c>
      <c r="Q26" s="18" t="n">
        <v>4.24625999</v>
      </c>
      <c r="R26" s="20" t="n">
        <v>1.20524549</v>
      </c>
    </row>
    <row r="27" spans="1:18">
      <c r="A27" s="15" t="s">
        <v>585</v>
      </c>
      <c r="B27" s="17" t="n">
        <v>2683</v>
      </c>
      <c r="C27" s="18">
        <f>(2372.0/B27*100)</f>
        <v/>
      </c>
      <c r="D27" s="19" t="n">
        <v>311</v>
      </c>
      <c r="E27" s="18" t="n">
        <v>34.08238612</v>
      </c>
      <c r="F27" s="20" t="n">
        <v>2.60339541</v>
      </c>
      <c r="G27" s="18" t="n">
        <v>43.0584841</v>
      </c>
      <c r="H27" s="20" t="n">
        <v>3.06205058</v>
      </c>
      <c r="I27" s="18" t="n">
        <v>0</v>
      </c>
      <c r="J27" s="20" t="n">
        <v>0</v>
      </c>
      <c r="K27" s="18" t="n">
        <v>0</v>
      </c>
      <c r="L27" s="20" t="n">
        <v>0</v>
      </c>
      <c r="M27" s="18" t="n">
        <v>0</v>
      </c>
      <c r="N27" s="20" t="n">
        <v>0</v>
      </c>
      <c r="O27" s="18" t="n">
        <v>0</v>
      </c>
      <c r="P27" s="20" t="n">
        <v>0</v>
      </c>
      <c r="Q27" s="18" t="n">
        <v>22.85912978</v>
      </c>
      <c r="R27" s="20" t="n">
        <v>2.7770188</v>
      </c>
    </row>
    <row r="28" spans="1:18">
      <c r="A28" s="15" t="s">
        <v>586</v>
      </c>
      <c r="B28" s="17" t="n">
        <v>3803</v>
      </c>
      <c r="C28" s="18">
        <f>(3423.0/B28*100)</f>
        <v/>
      </c>
      <c r="D28" s="19" t="n">
        <v>380</v>
      </c>
      <c r="E28" s="18" t="n">
        <v>81.39942229</v>
      </c>
      <c r="F28" s="20" t="n">
        <v>2.42055578</v>
      </c>
      <c r="G28" s="18" t="n">
        <v>12.25174869</v>
      </c>
      <c r="H28" s="20" t="n">
        <v>1.95325541</v>
      </c>
      <c r="I28" s="18" t="n">
        <v>0</v>
      </c>
      <c r="J28" s="20" t="n">
        <v>0</v>
      </c>
      <c r="K28" s="18" t="n">
        <v>0.68122318</v>
      </c>
      <c r="L28" s="20" t="n">
        <v>0.41206431</v>
      </c>
      <c r="M28" s="18" t="n">
        <v>0.24418868</v>
      </c>
      <c r="N28" s="20" t="n">
        <v>0.25418262</v>
      </c>
      <c r="O28" s="18" t="n">
        <v>0</v>
      </c>
      <c r="P28" s="20" t="n">
        <v>0</v>
      </c>
      <c r="Q28" s="18" t="n">
        <v>5.42341716</v>
      </c>
      <c r="R28" s="20" t="n">
        <v>1.70376585</v>
      </c>
    </row>
    <row r="29" spans="1:18">
      <c r="A29" s="15" t="s">
        <v>587</v>
      </c>
      <c r="B29" s="17" t="n">
        <v>2700</v>
      </c>
      <c r="C29" s="18">
        <f>(2340.0/B29*100)</f>
        <v/>
      </c>
      <c r="D29" s="19" t="n">
        <v>360</v>
      </c>
      <c r="E29" s="18" t="n">
        <v>37.99061468</v>
      </c>
      <c r="F29" s="20" t="n">
        <v>3.01622375</v>
      </c>
      <c r="G29" s="18" t="n">
        <v>54.86297524</v>
      </c>
      <c r="H29" s="20" t="n">
        <v>2.68183135</v>
      </c>
      <c r="I29" s="18" t="n">
        <v>0</v>
      </c>
      <c r="J29" s="20" t="n">
        <v>0</v>
      </c>
      <c r="K29" s="18" t="n">
        <v>0.35934781</v>
      </c>
      <c r="L29" s="20" t="n">
        <v>0.27771303</v>
      </c>
      <c r="M29" s="18" t="n">
        <v>0</v>
      </c>
      <c r="N29" s="20" t="n">
        <v>0</v>
      </c>
      <c r="O29" s="18" t="n">
        <v>0</v>
      </c>
      <c r="P29" s="20" t="n">
        <v>0</v>
      </c>
      <c r="Q29" s="18" t="n">
        <v>6.78706227</v>
      </c>
      <c r="R29" s="20" t="n">
        <v>2.02312004</v>
      </c>
    </row>
    <row r="30" spans="1:18">
      <c r="A30" s="15" t="s">
        <v>588</v>
      </c>
      <c r="B30" s="17" t="n">
        <v>2257</v>
      </c>
      <c r="C30" s="18">
        <f>(2012.0/B30*100)</f>
        <v/>
      </c>
      <c r="D30" s="19" t="n">
        <v>245</v>
      </c>
      <c r="E30" s="18" t="n">
        <v>38.09650477</v>
      </c>
      <c r="F30" s="20" t="n">
        <v>2.81596078</v>
      </c>
      <c r="G30" s="18" t="n">
        <v>45.98307193</v>
      </c>
      <c r="H30" s="20" t="n">
        <v>3.0571917</v>
      </c>
      <c r="I30" s="18" t="n">
        <v>0</v>
      </c>
      <c r="J30" s="20" t="n">
        <v>0</v>
      </c>
      <c r="K30" s="18" t="n">
        <v>0</v>
      </c>
      <c r="L30" s="20" t="n">
        <v>0</v>
      </c>
      <c r="M30" s="18" t="n">
        <v>0</v>
      </c>
      <c r="N30" s="20" t="n">
        <v>0</v>
      </c>
      <c r="O30" s="18" t="n">
        <v>0</v>
      </c>
      <c r="P30" s="20" t="n">
        <v>0</v>
      </c>
      <c r="Q30" s="18" t="n">
        <v>15.92042329</v>
      </c>
      <c r="R30" s="20" t="n">
        <v>2.60111312</v>
      </c>
    </row>
    <row r="31" spans="1:18">
      <c r="A31" s="15" t="s">
        <v>589</v>
      </c>
      <c r="B31" s="17" t="n">
        <v>2706</v>
      </c>
      <c r="C31" s="18">
        <f>(2413.0/B31*100)</f>
        <v/>
      </c>
      <c r="D31" s="19" t="n">
        <v>293</v>
      </c>
      <c r="E31" s="18" t="n">
        <v>42.67853003</v>
      </c>
      <c r="F31" s="20" t="n">
        <v>3.48912677</v>
      </c>
      <c r="G31" s="18" t="n">
        <v>43.84882409</v>
      </c>
      <c r="H31" s="20" t="n">
        <v>3.40286814</v>
      </c>
      <c r="I31" s="18" t="n">
        <v>0</v>
      </c>
      <c r="J31" s="20" t="n">
        <v>0</v>
      </c>
      <c r="K31" s="18" t="n">
        <v>0.64263744</v>
      </c>
      <c r="L31" s="20" t="n">
        <v>0.42742932</v>
      </c>
      <c r="M31" s="18" t="n">
        <v>0</v>
      </c>
      <c r="N31" s="20" t="n">
        <v>0</v>
      </c>
      <c r="O31" s="18" t="n">
        <v>0</v>
      </c>
      <c r="P31" s="20" t="n">
        <v>0</v>
      </c>
      <c r="Q31" s="18" t="n">
        <v>12.83000843</v>
      </c>
      <c r="R31" s="20" t="n">
        <v>2.1297208</v>
      </c>
    </row>
    <row r="32" spans="1:18">
      <c r="A32" s="15" t="s">
        <v>590</v>
      </c>
      <c r="B32" s="17" t="n">
        <v>2209</v>
      </c>
      <c r="C32" s="18">
        <f>(1966.0/B32*100)</f>
        <v/>
      </c>
      <c r="D32" s="19" t="n">
        <v>243</v>
      </c>
      <c r="E32" s="18" t="n">
        <v>47.01454364</v>
      </c>
      <c r="F32" s="20" t="n">
        <v>3.54171496</v>
      </c>
      <c r="G32" s="18" t="n">
        <v>43.22591964</v>
      </c>
      <c r="H32" s="20" t="n">
        <v>3.5367665</v>
      </c>
      <c r="I32" s="18" t="n">
        <v>0</v>
      </c>
      <c r="J32" s="20" t="n">
        <v>0</v>
      </c>
      <c r="K32" s="18" t="n">
        <v>0</v>
      </c>
      <c r="L32" s="20" t="n">
        <v>0</v>
      </c>
      <c r="M32" s="18" t="n">
        <v>0</v>
      </c>
      <c r="N32" s="20" t="n">
        <v>0</v>
      </c>
      <c r="O32" s="18" t="n">
        <v>0</v>
      </c>
      <c r="P32" s="20" t="n">
        <v>0</v>
      </c>
      <c r="Q32" s="18" t="n">
        <v>9.75953672</v>
      </c>
      <c r="R32" s="20" t="n">
        <v>2.09789846</v>
      </c>
    </row>
    <row r="33" spans="1:18">
      <c r="A33" s="15" t="s">
        <v>591</v>
      </c>
      <c r="B33" s="17" t="n">
        <v>3651</v>
      </c>
      <c r="C33" s="18">
        <f>(3253.0/B33*100)</f>
        <v/>
      </c>
      <c r="D33" s="19" t="n">
        <v>398</v>
      </c>
      <c r="E33" s="18" t="n">
        <v>48.63237482</v>
      </c>
      <c r="F33" s="20" t="n">
        <v>2.94933501</v>
      </c>
      <c r="G33" s="18" t="n">
        <v>34.55404885</v>
      </c>
      <c r="H33" s="20" t="n">
        <v>2.75736946</v>
      </c>
      <c r="I33" s="18" t="n">
        <v>0</v>
      </c>
      <c r="J33" s="20" t="n">
        <v>0</v>
      </c>
      <c r="K33" s="18" t="n">
        <v>0</v>
      </c>
      <c r="L33" s="20" t="n">
        <v>0</v>
      </c>
      <c r="M33" s="18" t="n">
        <v>0</v>
      </c>
      <c r="N33" s="20" t="n">
        <v>0</v>
      </c>
      <c r="O33" s="18" t="n">
        <v>0</v>
      </c>
      <c r="P33" s="20" t="n">
        <v>0</v>
      </c>
      <c r="Q33" s="18" t="n">
        <v>16.81357633</v>
      </c>
      <c r="R33" s="20" t="n">
        <v>2.10132295</v>
      </c>
    </row>
    <row r="34" spans="1:18">
      <c r="A34" s="15" t="s">
        <v>592</v>
      </c>
      <c r="B34" s="17" t="n">
        <v>3035</v>
      </c>
      <c r="C34" s="18">
        <f>(2659.0/B34*100)</f>
        <v/>
      </c>
      <c r="D34" s="19" t="n">
        <v>376</v>
      </c>
      <c r="E34" s="18" t="n">
        <v>36.08161023</v>
      </c>
      <c r="F34" s="20" t="n">
        <v>2.75951577</v>
      </c>
      <c r="G34" s="18" t="n">
        <v>40.22280747</v>
      </c>
      <c r="H34" s="20" t="n">
        <v>3.19148751</v>
      </c>
      <c r="I34" s="18" t="n">
        <v>0</v>
      </c>
      <c r="J34" s="20" t="n">
        <v>0</v>
      </c>
      <c r="K34" s="18" t="n">
        <v>0.3531772</v>
      </c>
      <c r="L34" s="20" t="n">
        <v>0.19908057</v>
      </c>
      <c r="M34" s="18" t="n">
        <v>0</v>
      </c>
      <c r="N34" s="20" t="n">
        <v>0</v>
      </c>
      <c r="O34" s="18" t="n">
        <v>0</v>
      </c>
      <c r="P34" s="20" t="n">
        <v>0</v>
      </c>
      <c r="Q34" s="18" t="n">
        <v>23.34240509</v>
      </c>
      <c r="R34" s="20" t="n">
        <v>2.8833845</v>
      </c>
    </row>
    <row r="35" spans="1:18">
      <c r="A35" s="15" t="s">
        <v>593</v>
      </c>
      <c r="B35" s="17" t="n">
        <v>2901</v>
      </c>
      <c r="C35" s="18">
        <f>(2541.0/B35*100)</f>
        <v/>
      </c>
      <c r="D35" s="19" t="n">
        <v>360</v>
      </c>
      <c r="E35" s="18" t="n">
        <v>34.50192359</v>
      </c>
      <c r="F35" s="20" t="n">
        <v>2.97162985</v>
      </c>
      <c r="G35" s="18" t="n">
        <v>51.99982552</v>
      </c>
      <c r="H35" s="20" t="n">
        <v>3.00224096</v>
      </c>
      <c r="I35" s="18" t="n">
        <v>0</v>
      </c>
      <c r="J35" s="20" t="n">
        <v>0</v>
      </c>
      <c r="K35" s="18" t="n">
        <v>0</v>
      </c>
      <c r="L35" s="20" t="n">
        <v>0</v>
      </c>
      <c r="M35" s="18" t="n">
        <v>0</v>
      </c>
      <c r="N35" s="20" t="n">
        <v>0</v>
      </c>
      <c r="O35" s="18" t="n">
        <v>0</v>
      </c>
      <c r="P35" s="20" t="n">
        <v>0</v>
      </c>
      <c r="Q35" s="18" t="n">
        <v>13.49825088</v>
      </c>
      <c r="R35" s="20" t="n">
        <v>2.24961716</v>
      </c>
    </row>
    <row r="36" spans="1:18">
      <c r="A36" s="15" t="s">
        <v>594</v>
      </c>
      <c r="B36" s="17" t="n">
        <v>3404</v>
      </c>
      <c r="C36" s="18">
        <f>(3034.0/B36*100)</f>
        <v/>
      </c>
      <c r="D36" s="19" t="n">
        <v>370</v>
      </c>
      <c r="E36" s="18" t="n">
        <v>42.46652247</v>
      </c>
      <c r="F36" s="20" t="n">
        <v>2.69637252</v>
      </c>
      <c r="G36" s="18" t="n">
        <v>45.99198563</v>
      </c>
      <c r="H36" s="20" t="n">
        <v>2.6451979</v>
      </c>
      <c r="I36" s="18" t="n">
        <v>0</v>
      </c>
      <c r="J36" s="20" t="n">
        <v>0</v>
      </c>
      <c r="K36" s="18" t="n">
        <v>0</v>
      </c>
      <c r="L36" s="20" t="n">
        <v>0</v>
      </c>
      <c r="M36" s="18" t="n">
        <v>0</v>
      </c>
      <c r="N36" s="20" t="n">
        <v>0</v>
      </c>
      <c r="O36" s="18" t="n">
        <v>0</v>
      </c>
      <c r="P36" s="20" t="n">
        <v>0</v>
      </c>
      <c r="Q36" s="18" t="n">
        <v>11.5414919</v>
      </c>
      <c r="R36" s="20" t="n">
        <v>2.10652368</v>
      </c>
    </row>
    <row r="37" spans="1:18">
      <c r="A37" s="15" t="s">
        <v>595</v>
      </c>
      <c r="B37" s="17" t="n">
        <v>2731</v>
      </c>
      <c r="C37" s="18">
        <f>(2434.0/B37*100)</f>
        <v/>
      </c>
      <c r="D37" s="19" t="n">
        <v>297</v>
      </c>
      <c r="E37" s="18" t="n">
        <v>35.39892896</v>
      </c>
      <c r="F37" s="20" t="n">
        <v>2.79002443</v>
      </c>
      <c r="G37" s="18" t="n">
        <v>43.51441516</v>
      </c>
      <c r="H37" s="20" t="n">
        <v>3.70605458</v>
      </c>
      <c r="I37" s="18" t="n">
        <v>0</v>
      </c>
      <c r="J37" s="20" t="n">
        <v>0</v>
      </c>
      <c r="K37" s="18" t="n">
        <v>0</v>
      </c>
      <c r="L37" s="20" t="n">
        <v>0</v>
      </c>
      <c r="M37" s="18" t="n">
        <v>0</v>
      </c>
      <c r="N37" s="20" t="n">
        <v>0</v>
      </c>
      <c r="O37" s="18" t="n">
        <v>0</v>
      </c>
      <c r="P37" s="20" t="n">
        <v>0</v>
      </c>
      <c r="Q37" s="18" t="n">
        <v>21.08665588</v>
      </c>
      <c r="R37" s="20" t="n">
        <v>2.72319498</v>
      </c>
    </row>
    <row r="38" spans="1:18">
      <c r="A38" s="15" t="s">
        <v>596</v>
      </c>
      <c r="B38" s="17" t="n">
        <v>2807</v>
      </c>
      <c r="C38" s="18">
        <f>(2513.0/B38*100)</f>
        <v/>
      </c>
      <c r="D38" s="19" t="n">
        <v>294</v>
      </c>
      <c r="E38" s="18" t="n">
        <v>39.91599418</v>
      </c>
      <c r="F38" s="20" t="n">
        <v>3.10333283</v>
      </c>
      <c r="G38" s="18" t="n">
        <v>45.73271718</v>
      </c>
      <c r="H38" s="20" t="n">
        <v>2.97986036</v>
      </c>
      <c r="I38" s="18" t="n">
        <v>0</v>
      </c>
      <c r="J38" s="20" t="n">
        <v>0</v>
      </c>
      <c r="K38" s="18" t="n">
        <v>0.28278029</v>
      </c>
      <c r="L38" s="20" t="n">
        <v>0.28394866</v>
      </c>
      <c r="M38" s="18" t="n">
        <v>1.29552944</v>
      </c>
      <c r="N38" s="20" t="n">
        <v>0.48550361</v>
      </c>
      <c r="O38" s="18" t="n">
        <v>0</v>
      </c>
      <c r="P38" s="20" t="n">
        <v>0</v>
      </c>
      <c r="Q38" s="18" t="n">
        <v>12.77297891</v>
      </c>
      <c r="R38" s="20" t="n">
        <v>2.0811403</v>
      </c>
    </row>
    <row r="39" spans="1:18">
      <c r="A39" s="15" t="s">
        <v>597</v>
      </c>
      <c r="B39" s="17" t="n">
        <v>2938</v>
      </c>
      <c r="C39" s="18">
        <f>(2613.0/B39*100)</f>
        <v/>
      </c>
      <c r="D39" s="19" t="n">
        <v>325</v>
      </c>
      <c r="E39" s="18" t="n">
        <v>64.88026542999999</v>
      </c>
      <c r="F39" s="20" t="n">
        <v>2.79192172</v>
      </c>
      <c r="G39" s="18" t="n">
        <v>25.94300907</v>
      </c>
      <c r="H39" s="20" t="n">
        <v>2.7525681</v>
      </c>
      <c r="I39" s="18" t="n">
        <v>0</v>
      </c>
      <c r="J39" s="20" t="n">
        <v>0</v>
      </c>
      <c r="K39" s="18" t="n">
        <v>0</v>
      </c>
      <c r="L39" s="20" t="n">
        <v>0</v>
      </c>
      <c r="M39" s="18" t="n">
        <v>0</v>
      </c>
      <c r="N39" s="20" t="n">
        <v>0</v>
      </c>
      <c r="O39" s="18" t="n">
        <v>0</v>
      </c>
      <c r="P39" s="20" t="n">
        <v>0</v>
      </c>
      <c r="Q39" s="18" t="n">
        <v>9.1767255</v>
      </c>
      <c r="R39" s="20" t="n">
        <v>1.82110355</v>
      </c>
    </row>
    <row r="40" spans="1:18">
      <c r="A40" s="15" t="s">
        <v>598</v>
      </c>
      <c r="B40" s="17" t="n">
        <v>6922</v>
      </c>
      <c r="C40" s="18">
        <f>(6187.0/B40*100)</f>
        <v/>
      </c>
      <c r="D40" s="19" t="n">
        <v>735</v>
      </c>
      <c r="E40" s="18" t="n">
        <v>52.41872509</v>
      </c>
      <c r="F40" s="20" t="n">
        <v>2.71065984</v>
      </c>
      <c r="G40" s="18" t="n">
        <v>37.50130045</v>
      </c>
      <c r="H40" s="20" t="n">
        <v>2.79719988</v>
      </c>
      <c r="I40" s="18" t="n">
        <v>0</v>
      </c>
      <c r="J40" s="20" t="n">
        <v>0</v>
      </c>
      <c r="K40" s="18" t="n">
        <v>0.1423811</v>
      </c>
      <c r="L40" s="20" t="n">
        <v>0.11740202</v>
      </c>
      <c r="M40" s="18" t="n">
        <v>0</v>
      </c>
      <c r="N40" s="20" t="n">
        <v>0</v>
      </c>
      <c r="O40" s="18" t="n">
        <v>0</v>
      </c>
      <c r="P40" s="20" t="n">
        <v>0</v>
      </c>
      <c r="Q40" s="18" t="n">
        <v>9.937593359999999</v>
      </c>
      <c r="R40" s="20" t="n">
        <v>1.549448</v>
      </c>
    </row>
    <row r="41" spans="1:18">
      <c r="A41" s="15" t="s">
        <v>599</v>
      </c>
      <c r="B41" s="17" t="n">
        <v>2854</v>
      </c>
      <c r="C41" s="18">
        <f>(2536.0/B41*100)</f>
        <v/>
      </c>
      <c r="D41" s="19" t="n">
        <v>318</v>
      </c>
      <c r="E41" s="18" t="n">
        <v>67.46130873</v>
      </c>
      <c r="F41" s="20" t="n">
        <v>2.78397021</v>
      </c>
      <c r="G41" s="18" t="n">
        <v>29.64618877</v>
      </c>
      <c r="H41" s="20" t="n">
        <v>3.04169716</v>
      </c>
      <c r="I41" s="18" t="n">
        <v>0</v>
      </c>
      <c r="J41" s="20" t="n">
        <v>0</v>
      </c>
      <c r="K41" s="18" t="n">
        <v>0</v>
      </c>
      <c r="L41" s="20" t="n">
        <v>0</v>
      </c>
      <c r="M41" s="18" t="n">
        <v>0</v>
      </c>
      <c r="N41" s="20" t="n">
        <v>0</v>
      </c>
      <c r="O41" s="18" t="n">
        <v>0</v>
      </c>
      <c r="P41" s="20" t="n">
        <v>0</v>
      </c>
      <c r="Q41" s="18" t="n">
        <v>2.8925025</v>
      </c>
      <c r="R41" s="20" t="n">
        <v>1.2103009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(10957.0/B46*100)</f>
        <v/>
      </c>
      <c r="D46" s="19" t="n">
        <v>1116</v>
      </c>
      <c r="E46" s="18" t="n">
        <v>57.11271961</v>
      </c>
      <c r="F46" s="20" t="n">
        <v>1.94529393</v>
      </c>
      <c r="G46" s="18" t="n">
        <v>25.32917686</v>
      </c>
      <c r="H46" s="20" t="n">
        <v>1.76081365</v>
      </c>
      <c r="I46" s="18" t="n">
        <v>0</v>
      </c>
      <c r="J46" s="20" t="n">
        <v>0</v>
      </c>
      <c r="K46" s="18" t="n">
        <v>0.55272094</v>
      </c>
      <c r="L46" s="20" t="n">
        <v>0.26104523</v>
      </c>
      <c r="M46" s="18" t="n">
        <v>0.28885284</v>
      </c>
      <c r="N46" s="20" t="n">
        <v>0.22135619</v>
      </c>
      <c r="O46" s="18" t="n">
        <v>0</v>
      </c>
      <c r="P46" s="20" t="n">
        <v>0</v>
      </c>
      <c r="Q46" s="18" t="n">
        <v>16.71652976</v>
      </c>
      <c r="R46" s="20" t="n">
        <v>1.38243972</v>
      </c>
    </row>
    <row r="47" spans="1:18">
      <c r="A47" s="15" t="s">
        <v>606</v>
      </c>
      <c r="B47" s="17" t="n">
        <v>2823</v>
      </c>
      <c r="C47" s="18">
        <f>(2519.0/B47*100)</f>
        <v/>
      </c>
      <c r="D47" s="19" t="n">
        <v>304</v>
      </c>
      <c r="E47" s="18" t="n">
        <v>36.81033895</v>
      </c>
      <c r="F47" s="20" t="n">
        <v>2.85120712</v>
      </c>
      <c r="G47" s="18" t="n">
        <v>37.49021196</v>
      </c>
      <c r="H47" s="20" t="n">
        <v>2.87123768</v>
      </c>
      <c r="I47" s="18" t="n">
        <v>0</v>
      </c>
      <c r="J47" s="20" t="n">
        <v>0</v>
      </c>
      <c r="K47" s="18" t="n">
        <v>1.96966366</v>
      </c>
      <c r="L47" s="20" t="n">
        <v>0.86118936</v>
      </c>
      <c r="M47" s="18" t="n">
        <v>0</v>
      </c>
      <c r="N47" s="20" t="n">
        <v>0</v>
      </c>
      <c r="O47" s="18" t="n">
        <v>0</v>
      </c>
      <c r="P47" s="20" t="n">
        <v>0</v>
      </c>
      <c r="Q47" s="18" t="n">
        <v>23.72978543</v>
      </c>
      <c r="R47" s="20" t="n">
        <v>2.46832266</v>
      </c>
    </row>
    <row r="48" spans="1:18">
      <c r="A48" s="15" t="s">
        <v>607</v>
      </c>
      <c r="B48" s="17" t="n">
        <v>4682</v>
      </c>
      <c r="C48" s="18">
        <f>(4186.0/B48*100)</f>
        <v/>
      </c>
      <c r="D48" s="19" t="n">
        <v>496</v>
      </c>
      <c r="E48" s="18" t="n">
        <v>41.57571645</v>
      </c>
      <c r="F48" s="20" t="n">
        <v>3.11578792</v>
      </c>
      <c r="G48" s="18" t="n">
        <v>48.29895927</v>
      </c>
      <c r="H48" s="20" t="n">
        <v>3.1217547</v>
      </c>
      <c r="I48" s="18" t="n">
        <v>0</v>
      </c>
      <c r="J48" s="20" t="n">
        <v>0</v>
      </c>
      <c r="K48" s="18" t="n">
        <v>0.30942083</v>
      </c>
      <c r="L48" s="20" t="n">
        <v>0.31348072</v>
      </c>
      <c r="M48" s="18" t="n">
        <v>0.06197862</v>
      </c>
      <c r="N48" s="20" t="n">
        <v>0.04728931</v>
      </c>
      <c r="O48" s="18" t="n">
        <v>0</v>
      </c>
      <c r="P48" s="20" t="n">
        <v>0</v>
      </c>
      <c r="Q48" s="18" t="n">
        <v>9.75392482</v>
      </c>
      <c r="R48" s="20" t="n">
        <v>1.66368112</v>
      </c>
    </row>
    <row r="49" spans="1:18">
      <c r="A49" s="15" t="s">
        <v>608</v>
      </c>
      <c r="B49" s="17" t="n">
        <v>6158</v>
      </c>
      <c r="C49" s="18">
        <f>(5492.0/B49*100)</f>
        <v/>
      </c>
      <c r="D49" s="19" t="n">
        <v>666</v>
      </c>
      <c r="E49" s="18" t="n">
        <v>69.71247787</v>
      </c>
      <c r="F49" s="20" t="n">
        <v>2.34710138</v>
      </c>
      <c r="G49" s="18" t="n">
        <v>24.94345385</v>
      </c>
      <c r="H49" s="20" t="n">
        <v>2.25691143</v>
      </c>
      <c r="I49" s="18" t="n">
        <v>0</v>
      </c>
      <c r="J49" s="20" t="n">
        <v>0</v>
      </c>
      <c r="K49" s="18" t="n">
        <v>0.45897318</v>
      </c>
      <c r="L49" s="20" t="n">
        <v>0.28351142</v>
      </c>
      <c r="M49" s="18" t="n">
        <v>0.16412033</v>
      </c>
      <c r="N49" s="20" t="n">
        <v>0.1068703</v>
      </c>
      <c r="O49" s="18" t="n">
        <v>0</v>
      </c>
      <c r="P49" s="20" t="n">
        <v>0</v>
      </c>
      <c r="Q49" s="18" t="n">
        <v>4.72097477</v>
      </c>
      <c r="R49" s="20" t="n">
        <v>0.96416863</v>
      </c>
    </row>
    <row r="50" spans="1:18">
      <c r="A50" s="15" t="s">
        <v>609</v>
      </c>
      <c r="B50" s="17" t="n">
        <v>3494</v>
      </c>
      <c r="C50" s="18">
        <f>(2829.0/B50*100)</f>
        <v/>
      </c>
      <c r="D50" s="19" t="n">
        <v>665</v>
      </c>
      <c r="E50" s="18" t="n">
        <v>73.63676940000001</v>
      </c>
      <c r="F50" s="20" t="n">
        <v>1.94620107</v>
      </c>
      <c r="G50" s="18" t="n">
        <v>18.7360174</v>
      </c>
      <c r="H50" s="20" t="n">
        <v>1.7410034</v>
      </c>
      <c r="I50" s="18" t="n">
        <v>0</v>
      </c>
      <c r="J50" s="20" t="n">
        <v>0</v>
      </c>
      <c r="K50" s="18" t="n">
        <v>0</v>
      </c>
      <c r="L50" s="20" t="n">
        <v>0</v>
      </c>
      <c r="M50" s="18" t="n">
        <v>0</v>
      </c>
      <c r="N50" s="20" t="n">
        <v>0</v>
      </c>
      <c r="O50" s="18" t="n">
        <v>0</v>
      </c>
      <c r="P50" s="20" t="n">
        <v>0</v>
      </c>
      <c r="Q50" s="18" t="n">
        <v>7.62721321</v>
      </c>
      <c r="R50" s="20" t="n">
        <v>1.11803682</v>
      </c>
    </row>
    <row r="51" spans="1:18">
      <c r="A51" s="15" t="s">
        <v>610</v>
      </c>
      <c r="B51" s="17" t="n">
        <v>3013</v>
      </c>
      <c r="C51" s="18">
        <f>(2700.0/B51*100)</f>
        <v/>
      </c>
      <c r="D51" s="19" t="n">
        <v>313</v>
      </c>
      <c r="E51" s="18" t="n">
        <v>28.02440276</v>
      </c>
      <c r="F51" s="20" t="n">
        <v>2.35103655</v>
      </c>
      <c r="G51" s="18" t="n">
        <v>50.47228709</v>
      </c>
      <c r="H51" s="20" t="n">
        <v>2.92134696</v>
      </c>
      <c r="I51" s="18" t="n">
        <v>0</v>
      </c>
      <c r="J51" s="20" t="n">
        <v>0</v>
      </c>
      <c r="K51" s="18" t="n">
        <v>0.35946067</v>
      </c>
      <c r="L51" s="20" t="n">
        <v>0.34850853</v>
      </c>
      <c r="M51" s="18" t="n">
        <v>0</v>
      </c>
      <c r="N51" s="20" t="n">
        <v>0</v>
      </c>
      <c r="O51" s="18" t="n">
        <v>0</v>
      </c>
      <c r="P51" s="20" t="n">
        <v>0</v>
      </c>
      <c r="Q51" s="18" t="n">
        <v>21.14384948</v>
      </c>
      <c r="R51" s="20" t="n">
        <v>2.32291541</v>
      </c>
    </row>
    <row r="52" spans="1:18">
      <c r="A52" s="15" t="s">
        <v>611</v>
      </c>
      <c r="B52" s="17" t="n">
        <v>2760</v>
      </c>
      <c r="C52" s="18">
        <f>(2467.0/B52*100)</f>
        <v/>
      </c>
      <c r="D52" s="19" t="n">
        <v>293</v>
      </c>
      <c r="E52" s="18" t="n">
        <v>56.00787288</v>
      </c>
      <c r="F52" s="20" t="n">
        <v>3.23719679</v>
      </c>
      <c r="G52" s="18" t="n">
        <v>26.6089013</v>
      </c>
      <c r="H52" s="20" t="n">
        <v>2.73472143</v>
      </c>
      <c r="I52" s="18" t="n">
        <v>0</v>
      </c>
      <c r="J52" s="20" t="n">
        <v>0</v>
      </c>
      <c r="K52" s="18" t="n">
        <v>0.28338245</v>
      </c>
      <c r="L52" s="20" t="n">
        <v>0.2844005</v>
      </c>
      <c r="M52" s="18" t="n">
        <v>0</v>
      </c>
      <c r="N52" s="20" t="n">
        <v>0</v>
      </c>
      <c r="O52" s="18" t="n">
        <v>0</v>
      </c>
      <c r="P52" s="20" t="n">
        <v>0</v>
      </c>
      <c r="Q52" s="18" t="n">
        <v>17.09984337</v>
      </c>
      <c r="R52" s="20" t="n">
        <v>2.73914619</v>
      </c>
    </row>
    <row r="53" spans="1:18">
      <c r="A53" s="15" t="s">
        <v>612</v>
      </c>
      <c r="B53" s="17" t="n">
        <v>2474</v>
      </c>
      <c r="C53" s="18">
        <f>(2185.0/B53*100)</f>
        <v/>
      </c>
      <c r="D53" s="19" t="n">
        <v>289</v>
      </c>
      <c r="E53" s="18" t="n">
        <v>71.38724971000001</v>
      </c>
      <c r="F53" s="20" t="n">
        <v>2.91192296</v>
      </c>
      <c r="G53" s="18" t="n">
        <v>3.42287048</v>
      </c>
      <c r="H53" s="20" t="n">
        <v>1.10131557</v>
      </c>
      <c r="I53" s="18" t="n">
        <v>0</v>
      </c>
      <c r="J53" s="20" t="n">
        <v>0</v>
      </c>
      <c r="K53" s="18" t="n">
        <v>10.83352609</v>
      </c>
      <c r="L53" s="20" t="n">
        <v>2.34814443</v>
      </c>
      <c r="M53" s="18" t="n">
        <v>0.38594377</v>
      </c>
      <c r="N53" s="20" t="n">
        <v>0.41922493</v>
      </c>
      <c r="O53" s="18" t="n">
        <v>0</v>
      </c>
      <c r="P53" s="20" t="n">
        <v>0</v>
      </c>
      <c r="Q53" s="18" t="n">
        <v>13.97040995</v>
      </c>
      <c r="R53" s="20" t="n">
        <v>2.29370445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(2390.0/B55*100)</f>
        <v/>
      </c>
      <c r="D55" s="19" t="n">
        <v>285</v>
      </c>
      <c r="E55" s="18" t="n">
        <v>40.93300453</v>
      </c>
      <c r="F55" s="20" t="n">
        <v>3.07842057</v>
      </c>
      <c r="G55" s="18" t="n">
        <v>51.97624425</v>
      </c>
      <c r="H55" s="20" t="n">
        <v>3.48391788</v>
      </c>
      <c r="I55" s="18" t="n">
        <v>0</v>
      </c>
      <c r="J55" s="20" t="n">
        <v>0</v>
      </c>
      <c r="K55" s="18" t="n">
        <v>0</v>
      </c>
      <c r="L55" s="20" t="n">
        <v>0</v>
      </c>
      <c r="M55" s="18" t="n">
        <v>0.32358457</v>
      </c>
      <c r="N55" s="20" t="n">
        <v>0.32334322</v>
      </c>
      <c r="O55" s="18" t="n">
        <v>0</v>
      </c>
      <c r="P55" s="20" t="n">
        <v>0</v>
      </c>
      <c r="Q55" s="18" t="n">
        <v>6.76716666</v>
      </c>
      <c r="R55" s="20" t="n">
        <v>1.56704811</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(2841.0/B61*100)</f>
        <v/>
      </c>
      <c r="D61" s="19" t="n">
        <v>360</v>
      </c>
      <c r="E61" s="18" t="n">
        <v>29.38833208</v>
      </c>
      <c r="F61" s="20" t="n">
        <v>3.00765221</v>
      </c>
      <c r="G61" s="18" t="n">
        <v>59.85258163</v>
      </c>
      <c r="H61" s="20" t="n">
        <v>3.13209687</v>
      </c>
      <c r="I61" s="18" t="n">
        <v>0</v>
      </c>
      <c r="J61" s="20" t="n">
        <v>0</v>
      </c>
      <c r="K61" s="18" t="n">
        <v>0</v>
      </c>
      <c r="L61" s="20" t="n">
        <v>0</v>
      </c>
      <c r="M61" s="18" t="n">
        <v>0</v>
      </c>
      <c r="N61" s="20" t="n">
        <v>0</v>
      </c>
      <c r="O61" s="18" t="n">
        <v>0</v>
      </c>
      <c r="P61" s="20" t="n">
        <v>0</v>
      </c>
      <c r="Q61" s="18" t="n">
        <v>10.75908628</v>
      </c>
      <c r="R61" s="20" t="n">
        <v>1.66050246</v>
      </c>
    </row>
    <row r="62" spans="1:18">
      <c r="A62" s="15" t="s">
        <v>622</v>
      </c>
      <c r="B62" s="17" t="n">
        <v>2230</v>
      </c>
      <c r="C62" s="18">
        <f>(2006.0/B62*100)</f>
        <v/>
      </c>
      <c r="D62" s="19" t="n">
        <v>224</v>
      </c>
      <c r="E62" s="18" t="n">
        <v>53.17218416</v>
      </c>
      <c r="F62" s="20" t="n">
        <v>3.61669451</v>
      </c>
      <c r="G62" s="18" t="n">
        <v>41.93039079</v>
      </c>
      <c r="H62" s="20" t="n">
        <v>3.3560873</v>
      </c>
      <c r="I62" s="18" t="n">
        <v>0</v>
      </c>
      <c r="J62" s="20" t="n">
        <v>0</v>
      </c>
      <c r="K62" s="18" t="n">
        <v>0</v>
      </c>
      <c r="L62" s="20" t="n">
        <v>0</v>
      </c>
      <c r="M62" s="18" t="n">
        <v>0</v>
      </c>
      <c r="N62" s="20" t="n">
        <v>0</v>
      </c>
      <c r="O62" s="18" t="n">
        <v>0</v>
      </c>
      <c r="P62" s="20" t="n">
        <v>0</v>
      </c>
      <c r="Q62" s="18" t="n">
        <v>4.89742505</v>
      </c>
      <c r="R62" s="20" t="n">
        <v>1.37926364</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(2463.0/B67*100)</f>
        <v/>
      </c>
      <c r="D67" s="19" t="n">
        <v>308</v>
      </c>
      <c r="E67" s="18" t="n">
        <v>32.58713302</v>
      </c>
      <c r="F67" s="20" t="n">
        <v>2.23393127</v>
      </c>
      <c r="G67" s="18" t="n">
        <v>25.54871131</v>
      </c>
      <c r="H67" s="20" t="n">
        <v>2.2381552</v>
      </c>
      <c r="I67" s="18" t="n">
        <v>0</v>
      </c>
      <c r="J67" s="20" t="n">
        <v>0</v>
      </c>
      <c r="K67" s="18" t="n">
        <v>0.2706648</v>
      </c>
      <c r="L67" s="20" t="n">
        <v>0.27097416</v>
      </c>
      <c r="M67" s="18" t="n">
        <v>0.28903482</v>
      </c>
      <c r="N67" s="20" t="n">
        <v>0.28514698</v>
      </c>
      <c r="O67" s="18" t="n">
        <v>0</v>
      </c>
      <c r="P67" s="20" t="n">
        <v>0</v>
      </c>
      <c r="Q67" s="18" t="n">
        <v>41.30445603</v>
      </c>
      <c r="R67" s="20" t="n">
        <v>2.57967248</v>
      </c>
    </row>
    <row r="68" spans="1:18">
      <c r="A68" s="15" t="s">
        <v>628</v>
      </c>
      <c r="B68" s="17" t="n">
        <v>3460</v>
      </c>
      <c r="C68" s="18">
        <f>(3109.0/B68*100)</f>
        <v/>
      </c>
      <c r="D68" s="19" t="n">
        <v>351</v>
      </c>
      <c r="E68" s="18" t="n">
        <v>77.39944216000001</v>
      </c>
      <c r="F68" s="20" t="n">
        <v>2.38675405</v>
      </c>
      <c r="G68" s="18" t="n">
        <v>13.23903921</v>
      </c>
      <c r="H68" s="20" t="n">
        <v>1.61084749</v>
      </c>
      <c r="I68" s="18" t="n">
        <v>0</v>
      </c>
      <c r="J68" s="20" t="n">
        <v>0</v>
      </c>
      <c r="K68" s="18" t="n">
        <v>0</v>
      </c>
      <c r="L68" s="20" t="n">
        <v>0</v>
      </c>
      <c r="M68" s="18" t="n">
        <v>0.51007499</v>
      </c>
      <c r="N68" s="20" t="n">
        <v>0.46666128</v>
      </c>
      <c r="O68" s="18" t="n">
        <v>0</v>
      </c>
      <c r="P68" s="20" t="n">
        <v>0</v>
      </c>
      <c r="Q68" s="18" t="n">
        <v>8.851443639999999</v>
      </c>
      <c r="R68" s="20" t="n">
        <v>1.69487432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(5342.0/B70*100)</f>
        <v/>
      </c>
      <c r="D70" s="19" t="n">
        <v>692</v>
      </c>
      <c r="E70" s="18" t="n">
        <v>64.28379965000001</v>
      </c>
      <c r="F70" s="20" t="n">
        <v>1.85650811</v>
      </c>
      <c r="G70" s="18" t="n">
        <v>21.75756498</v>
      </c>
      <c r="H70" s="20" t="n">
        <v>1.59134977</v>
      </c>
      <c r="I70" s="18" t="n">
        <v>0</v>
      </c>
      <c r="J70" s="20" t="n">
        <v>0</v>
      </c>
      <c r="K70" s="18" t="n">
        <v>1.08983037</v>
      </c>
      <c r="L70" s="20" t="n">
        <v>0.3216017</v>
      </c>
      <c r="M70" s="18" t="n">
        <v>0.14052127</v>
      </c>
      <c r="N70" s="20" t="n">
        <v>0.14189439</v>
      </c>
      <c r="O70" s="18" t="n">
        <v>0</v>
      </c>
      <c r="P70" s="20" t="n">
        <v>0</v>
      </c>
      <c r="Q70" s="18" t="n">
        <v>12.72828374</v>
      </c>
      <c r="R70" s="20" t="n">
        <v>1.19309267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(2797.0/B72*100)</f>
        <v/>
      </c>
      <c r="D72" s="19" t="n">
        <v>310</v>
      </c>
      <c r="E72" s="18" t="n">
        <v>26.9358461</v>
      </c>
      <c r="F72" s="20" t="n">
        <v>2.98091569</v>
      </c>
      <c r="G72" s="18" t="n">
        <v>60.78196717</v>
      </c>
      <c r="H72" s="20" t="n">
        <v>3.37911234</v>
      </c>
      <c r="I72" s="18" t="n">
        <v>0</v>
      </c>
      <c r="J72" s="20" t="n">
        <v>0</v>
      </c>
      <c r="K72" s="18" t="n">
        <v>0.49497707</v>
      </c>
      <c r="L72" s="20" t="n">
        <v>0.49575285</v>
      </c>
      <c r="M72" s="18" t="n">
        <v>0</v>
      </c>
      <c r="N72" s="20" t="n">
        <v>0</v>
      </c>
      <c r="O72" s="18" t="n">
        <v>0</v>
      </c>
      <c r="P72" s="20" t="n">
        <v>0</v>
      </c>
      <c r="Q72" s="18" t="n">
        <v>11.78720966</v>
      </c>
      <c r="R72" s="20" t="n">
        <v>2.02444077</v>
      </c>
    </row>
    <row r="73" spans="1:18">
      <c r="A73" s="15" t="s">
        <v>633</v>
      </c>
      <c r="B73" s="17" t="n">
        <v>2973</v>
      </c>
      <c r="C73" s="18">
        <f>(2625.0/B73*100)</f>
        <v/>
      </c>
      <c r="D73" s="19" t="n">
        <v>348</v>
      </c>
      <c r="E73" s="18" t="n">
        <v>49.77066803</v>
      </c>
      <c r="F73" s="20" t="n">
        <v>2.59045276</v>
      </c>
      <c r="G73" s="18" t="n">
        <v>45.12789651</v>
      </c>
      <c r="H73" s="20" t="n">
        <v>2.97810385</v>
      </c>
      <c r="I73" s="18" t="n">
        <v>0</v>
      </c>
      <c r="J73" s="20" t="n">
        <v>0</v>
      </c>
      <c r="K73" s="18" t="n">
        <v>0.46019326</v>
      </c>
      <c r="L73" s="20" t="n">
        <v>0.43957505</v>
      </c>
      <c r="M73" s="18" t="n">
        <v>0</v>
      </c>
      <c r="N73" s="20" t="n">
        <v>0</v>
      </c>
      <c r="O73" s="18" t="n">
        <v>0</v>
      </c>
      <c r="P73" s="20" t="n">
        <v>0</v>
      </c>
      <c r="Q73" s="18" t="n">
        <v>4.6412422</v>
      </c>
      <c r="R73" s="20" t="n">
        <v>1.26801664</v>
      </c>
    </row>
    <row r="74" spans="1:18">
      <c r="A74" s="15" t="s">
        <v>634</v>
      </c>
      <c r="B74" s="17" t="n">
        <v>3819</v>
      </c>
      <c r="C74" s="18">
        <f>(3416.0/B74*100)</f>
        <v/>
      </c>
      <c r="D74" s="19" t="n">
        <v>403</v>
      </c>
      <c r="E74" s="18" t="n">
        <v>28.42348059</v>
      </c>
      <c r="F74" s="20" t="n">
        <v>2.04037028</v>
      </c>
      <c r="G74" s="18" t="n">
        <v>64.35851387</v>
      </c>
      <c r="H74" s="20" t="n">
        <v>2.36217819</v>
      </c>
      <c r="I74" s="18" t="n">
        <v>0</v>
      </c>
      <c r="J74" s="20" t="n">
        <v>0</v>
      </c>
      <c r="K74" s="18" t="n">
        <v>0</v>
      </c>
      <c r="L74" s="20" t="n">
        <v>0</v>
      </c>
      <c r="M74" s="18" t="n">
        <v>0</v>
      </c>
      <c r="N74" s="20" t="n">
        <v>0</v>
      </c>
      <c r="O74" s="18" t="n">
        <v>0</v>
      </c>
      <c r="P74" s="20" t="n">
        <v>0</v>
      </c>
      <c r="Q74" s="18" t="n">
        <v>7.21800554</v>
      </c>
      <c r="R74" s="20" t="n">
        <v>1.46617329</v>
      </c>
    </row>
    <row r="75" spans="1:18">
      <c r="A75" s="15" t="s">
        <v>635</v>
      </c>
      <c r="B75" s="17" t="n">
        <v>4652</v>
      </c>
      <c r="C75" s="18">
        <f>(4152.0/B75*100)</f>
        <v/>
      </c>
      <c r="D75" s="19" t="n">
        <v>500</v>
      </c>
      <c r="E75" s="18" t="n">
        <v>81.2565171</v>
      </c>
      <c r="F75" s="20" t="n">
        <v>2.10632028</v>
      </c>
      <c r="G75" s="18" t="n">
        <v>15.37095417</v>
      </c>
      <c r="H75" s="20" t="n">
        <v>1.81686237</v>
      </c>
      <c r="I75" s="18" t="n">
        <v>0</v>
      </c>
      <c r="J75" s="20" t="n">
        <v>0</v>
      </c>
      <c r="K75" s="18" t="n">
        <v>0</v>
      </c>
      <c r="L75" s="20" t="n">
        <v>0</v>
      </c>
      <c r="M75" s="18" t="n">
        <v>0.28290715</v>
      </c>
      <c r="N75" s="20" t="n">
        <v>0.2825226</v>
      </c>
      <c r="O75" s="18" t="n">
        <v>0</v>
      </c>
      <c r="P75" s="20" t="n">
        <v>0</v>
      </c>
      <c r="Q75" s="18" t="n">
        <v>3.08962158</v>
      </c>
      <c r="R75" s="20" t="n">
        <v>1.0501056</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(2670.0/B77*100)</f>
        <v/>
      </c>
      <c r="D77" s="19" t="n">
        <v>299</v>
      </c>
      <c r="E77" s="18" t="n">
        <v>52.90201793</v>
      </c>
      <c r="F77" s="20" t="n">
        <v>2.81473279</v>
      </c>
      <c r="G77" s="18" t="n">
        <v>16.38016014</v>
      </c>
      <c r="H77" s="20" t="n">
        <v>1.99611948</v>
      </c>
      <c r="I77" s="18" t="n">
        <v>0</v>
      </c>
      <c r="J77" s="20" t="n">
        <v>0</v>
      </c>
      <c r="K77" s="18" t="n">
        <v>2.10553839</v>
      </c>
      <c r="L77" s="20" t="n">
        <v>0.82073188</v>
      </c>
      <c r="M77" s="18" t="n">
        <v>1.04934338</v>
      </c>
      <c r="N77" s="20" t="n">
        <v>0.5800621500000001</v>
      </c>
      <c r="O77" s="18" t="n">
        <v>0</v>
      </c>
      <c r="P77" s="20" t="n">
        <v>0</v>
      </c>
      <c r="Q77" s="18" t="n">
        <v>27.56294015</v>
      </c>
      <c r="R77" s="20" t="n">
        <v>2.48975228</v>
      </c>
    </row>
    <row r="78" spans="1:18">
      <c r="A78" s="15" t="s">
        <v>638</v>
      </c>
      <c r="B78" s="17" t="n">
        <v>7115</v>
      </c>
      <c r="C78" s="18">
        <f>(6356.0/B78*100)</f>
        <v/>
      </c>
      <c r="D78" s="19" t="n">
        <v>759</v>
      </c>
      <c r="E78" s="18" t="n">
        <v>66.40292311</v>
      </c>
      <c r="F78" s="20" t="n">
        <v>2.25711427</v>
      </c>
      <c r="G78" s="18" t="n">
        <v>28.40416272</v>
      </c>
      <c r="H78" s="20" t="n">
        <v>1.99647436</v>
      </c>
      <c r="I78" s="18" t="n">
        <v>0</v>
      </c>
      <c r="J78" s="20" t="n">
        <v>0</v>
      </c>
      <c r="K78" s="18" t="n">
        <v>1.01381231</v>
      </c>
      <c r="L78" s="20" t="n">
        <v>0.39170502</v>
      </c>
      <c r="M78" s="18" t="n">
        <v>0.35576479</v>
      </c>
      <c r="N78" s="20" t="n">
        <v>0.24847018</v>
      </c>
      <c r="O78" s="18" t="n">
        <v>0</v>
      </c>
      <c r="P78" s="20" t="n">
        <v>0</v>
      </c>
      <c r="Q78" s="18" t="n">
        <v>3.82333708</v>
      </c>
      <c r="R78" s="20" t="n">
        <v>0.70872102</v>
      </c>
    </row>
    <row r="79" spans="1:18">
      <c r="A79" s="15" t="s">
        <v>639</v>
      </c>
      <c r="B79" s="17" t="n">
        <v>3154</v>
      </c>
      <c r="C79" s="18">
        <f>(2805.0/B79*100)</f>
        <v/>
      </c>
      <c r="D79" s="19" t="n">
        <v>349</v>
      </c>
      <c r="E79" s="18" t="n">
        <v>44.19953535</v>
      </c>
      <c r="F79" s="20" t="n">
        <v>2.69341468</v>
      </c>
      <c r="G79" s="18" t="n">
        <v>24.05138294</v>
      </c>
      <c r="H79" s="20" t="n">
        <v>2.61468631</v>
      </c>
      <c r="I79" s="18" t="n">
        <v>0</v>
      </c>
      <c r="J79" s="20" t="n">
        <v>0</v>
      </c>
      <c r="K79" s="18" t="n">
        <v>0.26546974</v>
      </c>
      <c r="L79" s="20" t="n">
        <v>0.26412457</v>
      </c>
      <c r="M79" s="18" t="n">
        <v>0</v>
      </c>
      <c r="N79" s="20" t="n">
        <v>0</v>
      </c>
      <c r="O79" s="18" t="n">
        <v>0</v>
      </c>
      <c r="P79" s="20" t="n">
        <v>0</v>
      </c>
      <c r="Q79" s="18" t="n">
        <v>31.48361197</v>
      </c>
      <c r="R79" s="20" t="n">
        <v>2.73323479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(14201.0/B82*100)</f>
        <v/>
      </c>
      <c r="D82" s="19" t="n">
        <v>1760</v>
      </c>
      <c r="E82" s="18" t="n">
        <v>46.10730136</v>
      </c>
      <c r="F82" s="20" t="n">
        <v>1.63172451</v>
      </c>
      <c r="G82" s="18" t="n">
        <v>43.1681456</v>
      </c>
      <c r="H82" s="20" t="n">
        <v>1.60438605</v>
      </c>
      <c r="I82" s="18" t="n">
        <v>0</v>
      </c>
      <c r="J82" s="20" t="n">
        <v>0</v>
      </c>
      <c r="K82" s="18" t="n">
        <v>0.0337013</v>
      </c>
      <c r="L82" s="20" t="n">
        <v>0.0444537</v>
      </c>
      <c r="M82" s="18" t="n">
        <v>0</v>
      </c>
      <c r="N82" s="20" t="n">
        <v>0</v>
      </c>
      <c r="O82" s="18" t="n">
        <v>0</v>
      </c>
      <c r="P82" s="20" t="n">
        <v>0</v>
      </c>
      <c r="Q82" s="18" t="n">
        <v>10.69085174</v>
      </c>
      <c r="R82" s="20" t="n">
        <v>1.11365738</v>
      </c>
    </row>
    <row r="83" spans="1:18">
      <c r="A83" s="15" t="s">
        <v>643</v>
      </c>
      <c r="B83" s="17" t="n">
        <v>808</v>
      </c>
      <c r="C83" s="18">
        <f>(712.0/B83*100)</f>
        <v/>
      </c>
      <c r="D83" s="19" t="n">
        <v>96</v>
      </c>
      <c r="E83" s="18" t="n">
        <v>49.72844191</v>
      </c>
      <c r="F83" s="20" t="n">
        <v>6.26480056</v>
      </c>
      <c r="G83" s="18" t="n">
        <v>47.64600418</v>
      </c>
      <c r="H83" s="20" t="n">
        <v>6.42012685</v>
      </c>
      <c r="I83" s="18" t="n">
        <v>0</v>
      </c>
      <c r="J83" s="20" t="n">
        <v>0</v>
      </c>
      <c r="K83" s="18" t="n">
        <v>0</v>
      </c>
      <c r="L83" s="20" t="n">
        <v>0</v>
      </c>
      <c r="M83" s="18" t="n">
        <v>0</v>
      </c>
      <c r="N83" s="20" t="n">
        <v>0</v>
      </c>
      <c r="O83" s="18" t="n">
        <v>0</v>
      </c>
      <c r="P83" s="20" t="n">
        <v>0</v>
      </c>
      <c r="Q83" s="18" t="n">
        <v>2.62555391</v>
      </c>
      <c r="R83" s="20" t="n">
        <v>1.87040522</v>
      </c>
    </row>
    <row r="84" spans="1:18">
      <c r="A84" s="23" t="s">
        <v>644</v>
      </c>
      <c r="B84" s="24" t="n">
        <v>938</v>
      </c>
      <c r="C84" s="25">
        <f>(824.0/B84*100)</f>
        <v/>
      </c>
      <c r="D84" s="19" t="n">
        <v>114</v>
      </c>
      <c r="E84" s="18" t="n">
        <v>62.60876473</v>
      </c>
      <c r="F84" s="20" t="n">
        <v>4.9110683</v>
      </c>
      <c r="G84" s="18" t="n">
        <v>37.39123527</v>
      </c>
      <c r="H84" s="20" t="n">
        <v>4.9110683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(6401.0/B7*100)</f>
        <v/>
      </c>
      <c r="D7" s="19" t="n">
        <v>762</v>
      </c>
      <c r="E7" s="18" t="n">
        <v>12.74092178</v>
      </c>
      <c r="F7" s="20" t="n">
        <v>1.33367884</v>
      </c>
      <c r="G7" s="18" t="n">
        <v>82.60719602</v>
      </c>
      <c r="H7" s="20" t="n">
        <v>1.58823355</v>
      </c>
      <c r="I7" s="18" t="n">
        <v>0</v>
      </c>
      <c r="J7" s="20" t="n">
        <v>0</v>
      </c>
      <c r="K7" s="18" t="n">
        <v>0.06784732</v>
      </c>
      <c r="L7" s="20" t="n">
        <v>0.04824338</v>
      </c>
      <c r="M7" s="18" t="n">
        <v>0</v>
      </c>
      <c r="N7" s="20" t="n">
        <v>0</v>
      </c>
      <c r="O7" s="18" t="n">
        <v>0</v>
      </c>
      <c r="P7" s="20" t="n">
        <v>0</v>
      </c>
      <c r="Q7" s="18" t="n">
        <v>4.58403488</v>
      </c>
      <c r="R7" s="20" t="n">
        <v>0.9565539199999999</v>
      </c>
    </row>
    <row r="8" spans="1:18">
      <c r="A8" s="15" t="s">
        <v>566</v>
      </c>
      <c r="B8" s="17" t="n">
        <v>3443</v>
      </c>
      <c r="C8" s="18">
        <f>(3063.0/B8*100)</f>
        <v/>
      </c>
      <c r="D8" s="19" t="n">
        <v>380</v>
      </c>
      <c r="E8" s="18" t="n">
        <v>14.30037435</v>
      </c>
      <c r="F8" s="20" t="n">
        <v>2.05328877</v>
      </c>
      <c r="G8" s="18" t="n">
        <v>77.33217139999999</v>
      </c>
      <c r="H8" s="20" t="n">
        <v>2.77393521</v>
      </c>
      <c r="I8" s="18" t="n">
        <v>0</v>
      </c>
      <c r="J8" s="20" t="n">
        <v>0</v>
      </c>
      <c r="K8" s="18" t="n">
        <v>0</v>
      </c>
      <c r="L8" s="20" t="n">
        <v>0</v>
      </c>
      <c r="M8" s="18" t="n">
        <v>0</v>
      </c>
      <c r="N8" s="20" t="n">
        <v>0</v>
      </c>
      <c r="O8" s="18" t="n">
        <v>0</v>
      </c>
      <c r="P8" s="20" t="n">
        <v>0</v>
      </c>
      <c r="Q8" s="18" t="n">
        <v>8.367454260000001</v>
      </c>
      <c r="R8" s="20" t="n">
        <v>1.94229843</v>
      </c>
    </row>
    <row r="9" spans="1:18">
      <c r="A9" s="15" t="s">
        <v>567</v>
      </c>
      <c r="B9" s="17" t="n">
        <v>4752</v>
      </c>
      <c r="C9" s="18">
        <f>(4220.0/B9*100)</f>
        <v/>
      </c>
      <c r="D9" s="19" t="n">
        <v>532</v>
      </c>
      <c r="E9" s="18" t="n">
        <v>24.14360083</v>
      </c>
      <c r="F9" s="20" t="n">
        <v>1.95286245</v>
      </c>
      <c r="G9" s="18" t="n">
        <v>68.64891858999999</v>
      </c>
      <c r="H9" s="20" t="n">
        <v>2.20114524</v>
      </c>
      <c r="I9" s="18" t="n">
        <v>0</v>
      </c>
      <c r="J9" s="20" t="n">
        <v>0</v>
      </c>
      <c r="K9" s="18" t="n">
        <v>0</v>
      </c>
      <c r="L9" s="20" t="n">
        <v>0</v>
      </c>
      <c r="M9" s="18" t="n">
        <v>0.13421531</v>
      </c>
      <c r="N9" s="20" t="n">
        <v>0.12509462</v>
      </c>
      <c r="O9" s="18" t="n">
        <v>0</v>
      </c>
      <c r="P9" s="20" t="n">
        <v>0</v>
      </c>
      <c r="Q9" s="18" t="n">
        <v>7.07326527</v>
      </c>
      <c r="R9" s="20" t="n">
        <v>1.07207996</v>
      </c>
    </row>
    <row r="10" spans="1:18">
      <c r="A10" s="15" t="s">
        <v>568</v>
      </c>
      <c r="B10" s="17" t="n">
        <v>10022</v>
      </c>
      <c r="C10" s="18">
        <f>(8923.0/B10*100)</f>
        <v/>
      </c>
      <c r="D10" s="19" t="n">
        <v>1099</v>
      </c>
      <c r="E10" s="18" t="n">
        <v>16.22225817</v>
      </c>
      <c r="F10" s="20" t="n">
        <v>1.5462603</v>
      </c>
      <c r="G10" s="18" t="n">
        <v>81.17735139</v>
      </c>
      <c r="H10" s="20" t="n">
        <v>1.6130397</v>
      </c>
      <c r="I10" s="18" t="n">
        <v>0</v>
      </c>
      <c r="J10" s="20" t="n">
        <v>0</v>
      </c>
      <c r="K10" s="18" t="n">
        <v>0.17545957</v>
      </c>
      <c r="L10" s="20" t="n">
        <v>0.10029355</v>
      </c>
      <c r="M10" s="18" t="n">
        <v>0</v>
      </c>
      <c r="N10" s="20" t="n">
        <v>0</v>
      </c>
      <c r="O10" s="18" t="n">
        <v>0</v>
      </c>
      <c r="P10" s="20" t="n">
        <v>0</v>
      </c>
      <c r="Q10" s="18" t="n">
        <v>2.42493087</v>
      </c>
      <c r="R10" s="20" t="n">
        <v>0.68164401</v>
      </c>
    </row>
    <row r="11" spans="1:18">
      <c r="A11" s="15" t="s">
        <v>569</v>
      </c>
      <c r="B11" s="17" t="n">
        <v>3500</v>
      </c>
      <c r="C11" s="18">
        <f>(3110.0/B11*100)</f>
        <v/>
      </c>
      <c r="D11" s="19" t="n">
        <v>390</v>
      </c>
      <c r="E11" s="18" t="n">
        <v>13.5545872</v>
      </c>
      <c r="F11" s="20" t="n">
        <v>2.6018972</v>
      </c>
      <c r="G11" s="18" t="n">
        <v>80.96939647000001</v>
      </c>
      <c r="H11" s="20" t="n">
        <v>2.67878088</v>
      </c>
      <c r="I11" s="18" t="n">
        <v>0</v>
      </c>
      <c r="J11" s="20" t="n">
        <v>0</v>
      </c>
      <c r="K11" s="18" t="n">
        <v>1.72177646</v>
      </c>
      <c r="L11" s="20" t="n">
        <v>0.6949765</v>
      </c>
      <c r="M11" s="18" t="n">
        <v>0</v>
      </c>
      <c r="N11" s="20" t="n">
        <v>0</v>
      </c>
      <c r="O11" s="18" t="n">
        <v>0</v>
      </c>
      <c r="P11" s="20" t="n">
        <v>0</v>
      </c>
      <c r="Q11" s="18" t="n">
        <v>3.75423987</v>
      </c>
      <c r="R11" s="20" t="n">
        <v>0.8659781</v>
      </c>
    </row>
    <row r="12" spans="1:18">
      <c r="A12" s="15" t="s">
        <v>570</v>
      </c>
      <c r="B12" s="17" t="n">
        <v>3422</v>
      </c>
      <c r="C12" s="18">
        <f>(3046.0/B12*100)</f>
        <v/>
      </c>
      <c r="D12" s="19" t="n">
        <v>376</v>
      </c>
      <c r="E12" s="18" t="n">
        <v>11.97529447</v>
      </c>
      <c r="F12" s="20" t="n">
        <v>1.7024732</v>
      </c>
      <c r="G12" s="18" t="n">
        <v>79.16891233</v>
      </c>
      <c r="H12" s="20" t="n">
        <v>2.49652084</v>
      </c>
      <c r="I12" s="18" t="n">
        <v>0</v>
      </c>
      <c r="J12" s="20" t="n">
        <v>0</v>
      </c>
      <c r="K12" s="18" t="n">
        <v>0.42356313</v>
      </c>
      <c r="L12" s="20" t="n">
        <v>0.42268527</v>
      </c>
      <c r="M12" s="18" t="n">
        <v>0</v>
      </c>
      <c r="N12" s="20" t="n">
        <v>0</v>
      </c>
      <c r="O12" s="18" t="n">
        <v>0</v>
      </c>
      <c r="P12" s="20" t="n">
        <v>0</v>
      </c>
      <c r="Q12" s="18" t="n">
        <v>8.43223008</v>
      </c>
      <c r="R12" s="20" t="n">
        <v>1.79070662</v>
      </c>
    </row>
    <row r="13" spans="1:18">
      <c r="A13" s="15" t="s">
        <v>571</v>
      </c>
      <c r="B13" s="17" t="n">
        <v>3602</v>
      </c>
      <c r="C13" s="18">
        <f>(3232.0/B13*100)</f>
        <v/>
      </c>
      <c r="D13" s="19" t="n">
        <v>370</v>
      </c>
      <c r="E13" s="18" t="n">
        <v>10.02541716</v>
      </c>
      <c r="F13" s="20" t="n">
        <v>1.60228612</v>
      </c>
      <c r="G13" s="18" t="n">
        <v>83.98807226</v>
      </c>
      <c r="H13" s="20" t="n">
        <v>2.00090553</v>
      </c>
      <c r="I13" s="18" t="n">
        <v>0</v>
      </c>
      <c r="J13" s="20" t="n">
        <v>0</v>
      </c>
      <c r="K13" s="18" t="n">
        <v>0.56071024</v>
      </c>
      <c r="L13" s="20" t="n">
        <v>0.39258542</v>
      </c>
      <c r="M13" s="18" t="n">
        <v>0</v>
      </c>
      <c r="N13" s="20" t="n">
        <v>0</v>
      </c>
      <c r="O13" s="18" t="n">
        <v>0</v>
      </c>
      <c r="P13" s="20" t="n">
        <v>0</v>
      </c>
      <c r="Q13" s="18" t="n">
        <v>5.42580035</v>
      </c>
      <c r="R13" s="20" t="n">
        <v>1.31188164</v>
      </c>
    </row>
    <row r="14" spans="1:18">
      <c r="A14" s="15" t="s">
        <v>572</v>
      </c>
      <c r="B14" s="17" t="n">
        <v>2788</v>
      </c>
      <c r="C14" s="18">
        <f>(2484.0/B14*100)</f>
        <v/>
      </c>
      <c r="D14" s="19" t="n">
        <v>304</v>
      </c>
      <c r="E14" s="18" t="n">
        <v>15.53681485</v>
      </c>
      <c r="F14" s="20" t="n">
        <v>2.55417533</v>
      </c>
      <c r="G14" s="18" t="n">
        <v>81.34800894</v>
      </c>
      <c r="H14" s="20" t="n">
        <v>2.4695089</v>
      </c>
      <c r="I14" s="18" t="n">
        <v>0</v>
      </c>
      <c r="J14" s="20" t="n">
        <v>0</v>
      </c>
      <c r="K14" s="18" t="n">
        <v>0.84063783</v>
      </c>
      <c r="L14" s="20" t="n">
        <v>0.81880032</v>
      </c>
      <c r="M14" s="18" t="n">
        <v>0</v>
      </c>
      <c r="N14" s="20" t="n">
        <v>0</v>
      </c>
      <c r="O14" s="18" t="n">
        <v>0</v>
      </c>
      <c r="P14" s="20" t="n">
        <v>0</v>
      </c>
      <c r="Q14" s="18" t="n">
        <v>2.27453838</v>
      </c>
      <c r="R14" s="20" t="n">
        <v>0.64430376</v>
      </c>
    </row>
    <row r="15" spans="1:18">
      <c r="A15" s="15" t="s">
        <v>573</v>
      </c>
      <c r="B15" s="17" t="n">
        <v>2863</v>
      </c>
      <c r="C15" s="18">
        <f>(2558.0/B15*100)</f>
        <v/>
      </c>
      <c r="D15" s="19" t="n">
        <v>305</v>
      </c>
      <c r="E15" s="18" t="n">
        <v>4.15482154</v>
      </c>
      <c r="F15" s="20" t="n">
        <v>1.05508993</v>
      </c>
      <c r="G15" s="18" t="n">
        <v>94.4101928</v>
      </c>
      <c r="H15" s="20" t="n">
        <v>1.28958783</v>
      </c>
      <c r="I15" s="18" t="n">
        <v>0</v>
      </c>
      <c r="J15" s="20" t="n">
        <v>0</v>
      </c>
      <c r="K15" s="18" t="n">
        <v>0</v>
      </c>
      <c r="L15" s="20" t="n">
        <v>0</v>
      </c>
      <c r="M15" s="18" t="n">
        <v>0</v>
      </c>
      <c r="N15" s="20" t="n">
        <v>0</v>
      </c>
      <c r="O15" s="18" t="n">
        <v>0</v>
      </c>
      <c r="P15" s="20" t="n">
        <v>0</v>
      </c>
      <c r="Q15" s="18" t="n">
        <v>1.43498566</v>
      </c>
      <c r="R15" s="20" t="n">
        <v>0.6823021</v>
      </c>
    </row>
    <row r="16" spans="1:18">
      <c r="A16" s="15" t="s">
        <v>574</v>
      </c>
      <c r="B16" s="17" t="n">
        <v>3111</v>
      </c>
      <c r="C16" s="18">
        <f>(2806.0/B16*100)</f>
        <v/>
      </c>
      <c r="D16" s="19" t="n">
        <v>305</v>
      </c>
      <c r="E16" s="18" t="n">
        <v>19.85660407</v>
      </c>
      <c r="F16" s="20" t="n">
        <v>2.33523113</v>
      </c>
      <c r="G16" s="18" t="n">
        <v>73.33589212</v>
      </c>
      <c r="H16" s="20" t="n">
        <v>2.4814455</v>
      </c>
      <c r="I16" s="18" t="n">
        <v>0</v>
      </c>
      <c r="J16" s="20" t="n">
        <v>0</v>
      </c>
      <c r="K16" s="18" t="n">
        <v>0</v>
      </c>
      <c r="L16" s="20" t="n">
        <v>0</v>
      </c>
      <c r="M16" s="18" t="n">
        <v>0</v>
      </c>
      <c r="N16" s="20" t="n">
        <v>0</v>
      </c>
      <c r="O16" s="18" t="n">
        <v>0</v>
      </c>
      <c r="P16" s="20" t="n">
        <v>0</v>
      </c>
      <c r="Q16" s="18" t="n">
        <v>6.80750382</v>
      </c>
      <c r="R16" s="20" t="n">
        <v>1.27124196</v>
      </c>
    </row>
    <row r="17" spans="1:18">
      <c r="A17" s="15" t="s">
        <v>575</v>
      </c>
      <c r="B17" s="17" t="n">
        <v>3197</v>
      </c>
      <c r="C17" s="18">
        <f>(2839.0/B17*100)</f>
        <v/>
      </c>
      <c r="D17" s="19" t="n">
        <v>358</v>
      </c>
      <c r="E17" s="18" t="n">
        <v>12.88529073</v>
      </c>
      <c r="F17" s="20" t="n">
        <v>1.94040823</v>
      </c>
      <c r="G17" s="18" t="n">
        <v>82.20914464000001</v>
      </c>
      <c r="H17" s="20" t="n">
        <v>1.94418791</v>
      </c>
      <c r="I17" s="18" t="n">
        <v>0</v>
      </c>
      <c r="J17" s="20" t="n">
        <v>0</v>
      </c>
      <c r="K17" s="18" t="n">
        <v>0.5838964</v>
      </c>
      <c r="L17" s="20" t="n">
        <v>0.42211274</v>
      </c>
      <c r="M17" s="18" t="n">
        <v>0</v>
      </c>
      <c r="N17" s="20" t="n">
        <v>0</v>
      </c>
      <c r="O17" s="18" t="n">
        <v>0</v>
      </c>
      <c r="P17" s="20" t="n">
        <v>0</v>
      </c>
      <c r="Q17" s="18" t="n">
        <v>4.32166823</v>
      </c>
      <c r="R17" s="20" t="n">
        <v>1.03691659</v>
      </c>
    </row>
    <row r="18" spans="1:18">
      <c r="A18" s="15" t="s">
        <v>576</v>
      </c>
      <c r="B18" s="17" t="n">
        <v>2706</v>
      </c>
      <c r="C18" s="18">
        <f>(2440.0/B18*100)</f>
        <v/>
      </c>
      <c r="D18" s="19" t="n">
        <v>266</v>
      </c>
      <c r="E18" s="18" t="n">
        <v>19.91821173</v>
      </c>
      <c r="F18" s="20" t="n">
        <v>3.10216449</v>
      </c>
      <c r="G18" s="18" t="n">
        <v>71.60167324</v>
      </c>
      <c r="H18" s="20" t="n">
        <v>3.76407598</v>
      </c>
      <c r="I18" s="18" t="n">
        <v>0</v>
      </c>
      <c r="J18" s="20" t="n">
        <v>0</v>
      </c>
      <c r="K18" s="18" t="n">
        <v>0</v>
      </c>
      <c r="L18" s="20" t="n">
        <v>0</v>
      </c>
      <c r="M18" s="18" t="n">
        <v>0</v>
      </c>
      <c r="N18" s="20" t="n">
        <v>0</v>
      </c>
      <c r="O18" s="18" t="n">
        <v>0</v>
      </c>
      <c r="P18" s="20" t="n">
        <v>0</v>
      </c>
      <c r="Q18" s="18" t="n">
        <v>8.48011503</v>
      </c>
      <c r="R18" s="20" t="n">
        <v>1.80248776</v>
      </c>
    </row>
    <row r="19" spans="1:18">
      <c r="A19" s="15" t="s">
        <v>577</v>
      </c>
      <c r="B19" s="17" t="n">
        <v>2850</v>
      </c>
      <c r="C19" s="18">
        <f>(2541.0/B19*100)</f>
        <v/>
      </c>
      <c r="D19" s="19" t="n">
        <v>309</v>
      </c>
      <c r="E19" s="18" t="n">
        <v>14.9644323</v>
      </c>
      <c r="F19" s="20" t="n">
        <v>2.43942848</v>
      </c>
      <c r="G19" s="18" t="n">
        <v>75.83822485</v>
      </c>
      <c r="H19" s="20" t="n">
        <v>2.70590106</v>
      </c>
      <c r="I19" s="18" t="n">
        <v>0</v>
      </c>
      <c r="J19" s="20" t="n">
        <v>0</v>
      </c>
      <c r="K19" s="18" t="n">
        <v>0</v>
      </c>
      <c r="L19" s="20" t="n">
        <v>0</v>
      </c>
      <c r="M19" s="18" t="n">
        <v>0.31103992</v>
      </c>
      <c r="N19" s="20" t="n">
        <v>0.31310212</v>
      </c>
      <c r="O19" s="18" t="n">
        <v>0</v>
      </c>
      <c r="P19" s="20" t="n">
        <v>0</v>
      </c>
      <c r="Q19" s="18" t="n">
        <v>8.88630292</v>
      </c>
      <c r="R19" s="20" t="n">
        <v>1.59243592</v>
      </c>
    </row>
    <row r="20" spans="1:18">
      <c r="A20" s="15" t="s">
        <v>578</v>
      </c>
      <c r="B20" s="17" t="n">
        <v>1741</v>
      </c>
      <c r="C20" s="18">
        <f>(1560.0/B20*100)</f>
        <v/>
      </c>
      <c r="D20" s="19" t="n">
        <v>181</v>
      </c>
      <c r="E20" s="18" t="n">
        <v>21.14788488</v>
      </c>
      <c r="F20" s="20" t="n">
        <v>2.76907692</v>
      </c>
      <c r="G20" s="18" t="n">
        <v>69.14495871</v>
      </c>
      <c r="H20" s="20" t="n">
        <v>3.52256682</v>
      </c>
      <c r="I20" s="18" t="n">
        <v>0</v>
      </c>
      <c r="J20" s="20" t="n">
        <v>0</v>
      </c>
      <c r="K20" s="18" t="n">
        <v>0.95428877</v>
      </c>
      <c r="L20" s="20" t="n">
        <v>0.67261081</v>
      </c>
      <c r="M20" s="18" t="n">
        <v>0.8486897799999999</v>
      </c>
      <c r="N20" s="20" t="n">
        <v>0.8327201</v>
      </c>
      <c r="O20" s="18" t="n">
        <v>0</v>
      </c>
      <c r="P20" s="20" t="n">
        <v>0</v>
      </c>
      <c r="Q20" s="18" t="n">
        <v>7.90417787</v>
      </c>
      <c r="R20" s="20" t="n">
        <v>1.96335847</v>
      </c>
    </row>
    <row r="21" spans="1:18">
      <c r="A21" s="15" t="s">
        <v>579</v>
      </c>
      <c r="B21" s="17" t="n">
        <v>2833</v>
      </c>
      <c r="C21" s="18">
        <f>(2489.0/B21*100)</f>
        <v/>
      </c>
      <c r="D21" s="19" t="n">
        <v>344</v>
      </c>
      <c r="E21" s="18" t="n">
        <v>10.29843854</v>
      </c>
      <c r="F21" s="20" t="n">
        <v>1.64777882</v>
      </c>
      <c r="G21" s="18" t="n">
        <v>86.97401225</v>
      </c>
      <c r="H21" s="20" t="n">
        <v>1.90456148</v>
      </c>
      <c r="I21" s="18" t="n">
        <v>0</v>
      </c>
      <c r="J21" s="20" t="n">
        <v>0</v>
      </c>
      <c r="K21" s="18" t="n">
        <v>0</v>
      </c>
      <c r="L21" s="20" t="n">
        <v>0</v>
      </c>
      <c r="M21" s="18" t="n">
        <v>0</v>
      </c>
      <c r="N21" s="20" t="n">
        <v>0</v>
      </c>
      <c r="O21" s="18" t="n">
        <v>0</v>
      </c>
      <c r="P21" s="20" t="n">
        <v>0</v>
      </c>
      <c r="Q21" s="18" t="n">
        <v>2.72754921</v>
      </c>
      <c r="R21" s="20" t="n">
        <v>0.90598466</v>
      </c>
    </row>
    <row r="22" spans="1:18">
      <c r="A22" s="15" t="s">
        <v>580</v>
      </c>
      <c r="B22" s="17" t="n">
        <v>3667</v>
      </c>
      <c r="C22" s="18">
        <f>(3268.0/B22*100)</f>
        <v/>
      </c>
      <c r="D22" s="19" t="n">
        <v>399</v>
      </c>
      <c r="E22" s="18" t="n">
        <v>26.17218092</v>
      </c>
      <c r="F22" s="20" t="n">
        <v>2.27357455</v>
      </c>
      <c r="G22" s="18" t="n">
        <v>63.38973353</v>
      </c>
      <c r="H22" s="20" t="n">
        <v>2.66560042</v>
      </c>
      <c r="I22" s="18" t="n">
        <v>0</v>
      </c>
      <c r="J22" s="20" t="n">
        <v>0</v>
      </c>
      <c r="K22" s="18" t="n">
        <v>0.2388939</v>
      </c>
      <c r="L22" s="20" t="n">
        <v>0.26657402</v>
      </c>
      <c r="M22" s="18" t="n">
        <v>0</v>
      </c>
      <c r="N22" s="20" t="n">
        <v>0</v>
      </c>
      <c r="O22" s="18" t="n">
        <v>0</v>
      </c>
      <c r="P22" s="20" t="n">
        <v>0</v>
      </c>
      <c r="Q22" s="18" t="n">
        <v>10.19919166</v>
      </c>
      <c r="R22" s="20" t="n">
        <v>1.37267686</v>
      </c>
    </row>
    <row r="23" spans="1:18">
      <c r="A23" s="15" t="s">
        <v>581</v>
      </c>
      <c r="B23" s="17" t="n">
        <v>5792</v>
      </c>
      <c r="C23" s="18">
        <f>(5163.0/B23*100)</f>
        <v/>
      </c>
      <c r="D23" s="19" t="n">
        <v>629</v>
      </c>
      <c r="E23" s="18" t="n">
        <v>21.57035408</v>
      </c>
      <c r="F23" s="20" t="n">
        <v>2.03817028</v>
      </c>
      <c r="G23" s="18" t="n">
        <v>69.05334768</v>
      </c>
      <c r="H23" s="20" t="n">
        <v>2.63466954</v>
      </c>
      <c r="I23" s="18" t="n">
        <v>0</v>
      </c>
      <c r="J23" s="20" t="n">
        <v>0</v>
      </c>
      <c r="K23" s="18" t="n">
        <v>0.73142854</v>
      </c>
      <c r="L23" s="20" t="n">
        <v>0.56308287</v>
      </c>
      <c r="M23" s="18" t="n">
        <v>0</v>
      </c>
      <c r="N23" s="20" t="n">
        <v>0</v>
      </c>
      <c r="O23" s="18" t="n">
        <v>0</v>
      </c>
      <c r="P23" s="20" t="n">
        <v>0</v>
      </c>
      <c r="Q23" s="18" t="n">
        <v>8.644869699999999</v>
      </c>
      <c r="R23" s="20" t="n">
        <v>1.64889011</v>
      </c>
    </row>
    <row r="24" spans="1:18">
      <c r="A24" s="15" t="s">
        <v>582</v>
      </c>
      <c r="B24" s="17" t="n">
        <v>3309</v>
      </c>
      <c r="C24" s="18">
        <f>(2934.0/B24*100)</f>
        <v/>
      </c>
      <c r="D24" s="19" t="n">
        <v>375</v>
      </c>
      <c r="E24" s="18" t="n">
        <v>18.66664845</v>
      </c>
      <c r="F24" s="20" t="n">
        <v>2.14650035</v>
      </c>
      <c r="G24" s="18" t="n">
        <v>76.38400526</v>
      </c>
      <c r="H24" s="20" t="n">
        <v>2.48833245</v>
      </c>
      <c r="I24" s="18" t="n">
        <v>0</v>
      </c>
      <c r="J24" s="20" t="n">
        <v>0</v>
      </c>
      <c r="K24" s="18" t="n">
        <v>0</v>
      </c>
      <c r="L24" s="20" t="n">
        <v>0</v>
      </c>
      <c r="M24" s="18" t="n">
        <v>0</v>
      </c>
      <c r="N24" s="20" t="n">
        <v>0</v>
      </c>
      <c r="O24" s="18" t="n">
        <v>0</v>
      </c>
      <c r="P24" s="20" t="n">
        <v>0</v>
      </c>
      <c r="Q24" s="18" t="n">
        <v>4.94934629</v>
      </c>
      <c r="R24" s="20" t="n">
        <v>1.25740762</v>
      </c>
    </row>
    <row r="25" spans="1:18">
      <c r="A25" s="15" t="s">
        <v>583</v>
      </c>
      <c r="B25" s="17" t="n">
        <v>2669</v>
      </c>
      <c r="C25" s="18">
        <f>(2396.0/B25*100)</f>
        <v/>
      </c>
      <c r="D25" s="19" t="n">
        <v>273</v>
      </c>
      <c r="E25" s="18" t="n">
        <v>35.1673323</v>
      </c>
      <c r="F25" s="20" t="n">
        <v>3.28645708</v>
      </c>
      <c r="G25" s="18" t="n">
        <v>61.02216664</v>
      </c>
      <c r="H25" s="20" t="n">
        <v>3.17620025</v>
      </c>
      <c r="I25" s="18" t="n">
        <v>0</v>
      </c>
      <c r="J25" s="20" t="n">
        <v>0</v>
      </c>
      <c r="K25" s="18" t="n">
        <v>0.33916492</v>
      </c>
      <c r="L25" s="20" t="n">
        <v>0.47668997</v>
      </c>
      <c r="M25" s="18" t="n">
        <v>0</v>
      </c>
      <c r="N25" s="20" t="n">
        <v>0</v>
      </c>
      <c r="O25" s="18" t="n">
        <v>0</v>
      </c>
      <c r="P25" s="20" t="n">
        <v>0</v>
      </c>
      <c r="Q25" s="18" t="n">
        <v>3.47133614</v>
      </c>
      <c r="R25" s="20" t="n">
        <v>1.13000344</v>
      </c>
    </row>
    <row r="26" spans="1:18">
      <c r="A26" s="15" t="s">
        <v>584</v>
      </c>
      <c r="B26" s="17" t="n">
        <v>2419</v>
      </c>
      <c r="C26" s="18">
        <f>(2157.0/B26*100)</f>
        <v/>
      </c>
      <c r="D26" s="19" t="n">
        <v>262</v>
      </c>
      <c r="E26" s="18" t="n">
        <v>16.89722051</v>
      </c>
      <c r="F26" s="20" t="n">
        <v>2.66542017</v>
      </c>
      <c r="G26" s="18" t="n">
        <v>80.00299701</v>
      </c>
      <c r="H26" s="20" t="n">
        <v>2.84562825</v>
      </c>
      <c r="I26" s="18" t="n">
        <v>0</v>
      </c>
      <c r="J26" s="20" t="n">
        <v>0</v>
      </c>
      <c r="K26" s="18" t="n">
        <v>0</v>
      </c>
      <c r="L26" s="20" t="n">
        <v>0</v>
      </c>
      <c r="M26" s="18" t="n">
        <v>0</v>
      </c>
      <c r="N26" s="20" t="n">
        <v>0</v>
      </c>
      <c r="O26" s="18" t="n">
        <v>0</v>
      </c>
      <c r="P26" s="20" t="n">
        <v>0</v>
      </c>
      <c r="Q26" s="18" t="n">
        <v>3.09978248</v>
      </c>
      <c r="R26" s="20" t="n">
        <v>1.33649267</v>
      </c>
    </row>
    <row r="27" spans="1:18">
      <c r="A27" s="15" t="s">
        <v>585</v>
      </c>
      <c r="B27" s="17" t="n">
        <v>2683</v>
      </c>
      <c r="C27" s="18">
        <f>(2376.0/B27*100)</f>
        <v/>
      </c>
      <c r="D27" s="19" t="n">
        <v>307</v>
      </c>
      <c r="E27" s="18" t="n">
        <v>15.13550094</v>
      </c>
      <c r="F27" s="20" t="n">
        <v>2.12319839</v>
      </c>
      <c r="G27" s="18" t="n">
        <v>73.700947</v>
      </c>
      <c r="H27" s="20" t="n">
        <v>2.78276679</v>
      </c>
      <c r="I27" s="18" t="n">
        <v>0</v>
      </c>
      <c r="J27" s="20" t="n">
        <v>0</v>
      </c>
      <c r="K27" s="18" t="n">
        <v>0</v>
      </c>
      <c r="L27" s="20" t="n">
        <v>0</v>
      </c>
      <c r="M27" s="18" t="n">
        <v>0</v>
      </c>
      <c r="N27" s="20" t="n">
        <v>0</v>
      </c>
      <c r="O27" s="18" t="n">
        <v>0</v>
      </c>
      <c r="P27" s="20" t="n">
        <v>0</v>
      </c>
      <c r="Q27" s="18" t="n">
        <v>11.16355205</v>
      </c>
      <c r="R27" s="20" t="n">
        <v>2.00025769</v>
      </c>
    </row>
    <row r="28" spans="1:18">
      <c r="A28" s="15" t="s">
        <v>586</v>
      </c>
      <c r="B28" s="17" t="n">
        <v>3803</v>
      </c>
      <c r="C28" s="18">
        <f>(3444.0/B28*100)</f>
        <v/>
      </c>
      <c r="D28" s="19" t="n">
        <v>359</v>
      </c>
      <c r="E28" s="18" t="n">
        <v>33.37993774</v>
      </c>
      <c r="F28" s="20" t="n">
        <v>2.70126997</v>
      </c>
      <c r="G28" s="18" t="n">
        <v>63.56978658</v>
      </c>
      <c r="H28" s="20" t="n">
        <v>2.7875593</v>
      </c>
      <c r="I28" s="18" t="n">
        <v>0</v>
      </c>
      <c r="J28" s="20" t="n">
        <v>0</v>
      </c>
      <c r="K28" s="18" t="n">
        <v>0.72618299</v>
      </c>
      <c r="L28" s="20" t="n">
        <v>0.43858754</v>
      </c>
      <c r="M28" s="18" t="n">
        <v>0.26030481</v>
      </c>
      <c r="N28" s="20" t="n">
        <v>0.27079843</v>
      </c>
      <c r="O28" s="18" t="n">
        <v>0</v>
      </c>
      <c r="P28" s="20" t="n">
        <v>0</v>
      </c>
      <c r="Q28" s="18" t="n">
        <v>2.06378788</v>
      </c>
      <c r="R28" s="20" t="n">
        <v>1.0139599</v>
      </c>
    </row>
    <row r="29" spans="1:18">
      <c r="A29" s="15" t="s">
        <v>587</v>
      </c>
      <c r="B29" s="17" t="n">
        <v>2700</v>
      </c>
      <c r="C29" s="18">
        <f>(2395.0/B29*100)</f>
        <v/>
      </c>
      <c r="D29" s="19" t="n">
        <v>305</v>
      </c>
      <c r="E29" s="18" t="n">
        <v>17.47449529</v>
      </c>
      <c r="F29" s="20" t="n">
        <v>2.49863895</v>
      </c>
      <c r="G29" s="18" t="n">
        <v>80.4361811</v>
      </c>
      <c r="H29" s="20" t="n">
        <v>2.57854635</v>
      </c>
      <c r="I29" s="18" t="n">
        <v>0</v>
      </c>
      <c r="J29" s="20" t="n">
        <v>0</v>
      </c>
      <c r="K29" s="18" t="n">
        <v>0.42764208</v>
      </c>
      <c r="L29" s="20" t="n">
        <v>0.33070974</v>
      </c>
      <c r="M29" s="18" t="n">
        <v>0</v>
      </c>
      <c r="N29" s="20" t="n">
        <v>0</v>
      </c>
      <c r="O29" s="18" t="n">
        <v>0</v>
      </c>
      <c r="P29" s="20" t="n">
        <v>0</v>
      </c>
      <c r="Q29" s="18" t="n">
        <v>1.66168154</v>
      </c>
      <c r="R29" s="20" t="n">
        <v>0.8824294</v>
      </c>
    </row>
    <row r="30" spans="1:18">
      <c r="A30" s="15" t="s">
        <v>588</v>
      </c>
      <c r="B30" s="17" t="n">
        <v>2257</v>
      </c>
      <c r="C30" s="18">
        <f>(2016.0/B30*100)</f>
        <v/>
      </c>
      <c r="D30" s="19" t="n">
        <v>241</v>
      </c>
      <c r="E30" s="18" t="n">
        <v>15.01129645</v>
      </c>
      <c r="F30" s="20" t="n">
        <v>2.3575421</v>
      </c>
      <c r="G30" s="18" t="n">
        <v>78.58487621</v>
      </c>
      <c r="H30" s="20" t="n">
        <v>2.68278078</v>
      </c>
      <c r="I30" s="18" t="n">
        <v>0</v>
      </c>
      <c r="J30" s="20" t="n">
        <v>0</v>
      </c>
      <c r="K30" s="18" t="n">
        <v>0</v>
      </c>
      <c r="L30" s="20" t="n">
        <v>0</v>
      </c>
      <c r="M30" s="18" t="n">
        <v>0.56104107</v>
      </c>
      <c r="N30" s="20" t="n">
        <v>0.43807208</v>
      </c>
      <c r="O30" s="18" t="n">
        <v>0</v>
      </c>
      <c r="P30" s="20" t="n">
        <v>0</v>
      </c>
      <c r="Q30" s="18" t="n">
        <v>5.84278627</v>
      </c>
      <c r="R30" s="20" t="n">
        <v>1.74605006</v>
      </c>
    </row>
    <row r="31" spans="1:18">
      <c r="A31" s="15" t="s">
        <v>589</v>
      </c>
      <c r="B31" s="17" t="n">
        <v>2706</v>
      </c>
      <c r="C31" s="18">
        <f>(2420.0/B31*100)</f>
        <v/>
      </c>
      <c r="D31" s="19" t="n">
        <v>286</v>
      </c>
      <c r="E31" s="18" t="n">
        <v>10.09725594</v>
      </c>
      <c r="F31" s="20" t="n">
        <v>2.02177815</v>
      </c>
      <c r="G31" s="18" t="n">
        <v>81.8852916</v>
      </c>
      <c r="H31" s="20" t="n">
        <v>2.52390201</v>
      </c>
      <c r="I31" s="18" t="n">
        <v>0</v>
      </c>
      <c r="J31" s="20" t="n">
        <v>0</v>
      </c>
      <c r="K31" s="18" t="n">
        <v>0.65773889</v>
      </c>
      <c r="L31" s="20" t="n">
        <v>0.43713077</v>
      </c>
      <c r="M31" s="18" t="n">
        <v>0</v>
      </c>
      <c r="N31" s="20" t="n">
        <v>0</v>
      </c>
      <c r="O31" s="18" t="n">
        <v>0</v>
      </c>
      <c r="P31" s="20" t="n">
        <v>0</v>
      </c>
      <c r="Q31" s="18" t="n">
        <v>7.35971357</v>
      </c>
      <c r="R31" s="20" t="n">
        <v>1.78755816</v>
      </c>
    </row>
    <row r="32" spans="1:18">
      <c r="A32" s="15" t="s">
        <v>590</v>
      </c>
      <c r="B32" s="17" t="n">
        <v>2209</v>
      </c>
      <c r="C32" s="18">
        <f>(1968.0/B32*100)</f>
        <v/>
      </c>
      <c r="D32" s="19" t="n">
        <v>241</v>
      </c>
      <c r="E32" s="18" t="n">
        <v>11.91012002</v>
      </c>
      <c r="F32" s="20" t="n">
        <v>2.27657571</v>
      </c>
      <c r="G32" s="18" t="n">
        <v>83.88217710000001</v>
      </c>
      <c r="H32" s="20" t="n">
        <v>2.40290532</v>
      </c>
      <c r="I32" s="18" t="n">
        <v>0</v>
      </c>
      <c r="J32" s="20" t="n">
        <v>0</v>
      </c>
      <c r="K32" s="18" t="n">
        <v>0</v>
      </c>
      <c r="L32" s="20" t="n">
        <v>0</v>
      </c>
      <c r="M32" s="18" t="n">
        <v>0</v>
      </c>
      <c r="N32" s="20" t="n">
        <v>0</v>
      </c>
      <c r="O32" s="18" t="n">
        <v>0</v>
      </c>
      <c r="P32" s="20" t="n">
        <v>0</v>
      </c>
      <c r="Q32" s="18" t="n">
        <v>4.20770288</v>
      </c>
      <c r="R32" s="20" t="n">
        <v>1.29365897</v>
      </c>
    </row>
    <row r="33" spans="1:18">
      <c r="A33" s="15" t="s">
        <v>591</v>
      </c>
      <c r="B33" s="17" t="n">
        <v>3651</v>
      </c>
      <c r="C33" s="18">
        <f>(3265.0/B33*100)</f>
        <v/>
      </c>
      <c r="D33" s="19" t="n">
        <v>386</v>
      </c>
      <c r="E33" s="18" t="n">
        <v>9.453464950000001</v>
      </c>
      <c r="F33" s="20" t="n">
        <v>1.69931174</v>
      </c>
      <c r="G33" s="18" t="n">
        <v>83.54560964</v>
      </c>
      <c r="H33" s="20" t="n">
        <v>2.36739033</v>
      </c>
      <c r="I33" s="18" t="n">
        <v>0</v>
      </c>
      <c r="J33" s="20" t="n">
        <v>0</v>
      </c>
      <c r="K33" s="18" t="n">
        <v>0</v>
      </c>
      <c r="L33" s="20" t="n">
        <v>0</v>
      </c>
      <c r="M33" s="18" t="n">
        <v>0</v>
      </c>
      <c r="N33" s="20" t="n">
        <v>0</v>
      </c>
      <c r="O33" s="18" t="n">
        <v>0</v>
      </c>
      <c r="P33" s="20" t="n">
        <v>0</v>
      </c>
      <c r="Q33" s="18" t="n">
        <v>7.00092541</v>
      </c>
      <c r="R33" s="20" t="n">
        <v>1.82874281</v>
      </c>
    </row>
    <row r="34" spans="1:18">
      <c r="A34" s="15" t="s">
        <v>592</v>
      </c>
      <c r="B34" s="17" t="n">
        <v>3035</v>
      </c>
      <c r="C34" s="18">
        <f>(2727.0/B34*100)</f>
        <v/>
      </c>
      <c r="D34" s="19" t="n">
        <v>308</v>
      </c>
      <c r="E34" s="18" t="n">
        <v>18.84753708</v>
      </c>
      <c r="F34" s="20" t="n">
        <v>2.09204703</v>
      </c>
      <c r="G34" s="18" t="n">
        <v>72.10317262</v>
      </c>
      <c r="H34" s="20" t="n">
        <v>2.38544903</v>
      </c>
      <c r="I34" s="18" t="n">
        <v>0</v>
      </c>
      <c r="J34" s="20" t="n">
        <v>0</v>
      </c>
      <c r="K34" s="18" t="n">
        <v>0.44301751</v>
      </c>
      <c r="L34" s="20" t="n">
        <v>0.24866128</v>
      </c>
      <c r="M34" s="18" t="n">
        <v>0</v>
      </c>
      <c r="N34" s="20" t="n">
        <v>0</v>
      </c>
      <c r="O34" s="18" t="n">
        <v>0</v>
      </c>
      <c r="P34" s="20" t="n">
        <v>0</v>
      </c>
      <c r="Q34" s="18" t="n">
        <v>8.60627279</v>
      </c>
      <c r="R34" s="20" t="n">
        <v>1.52933575</v>
      </c>
    </row>
    <row r="35" spans="1:18">
      <c r="A35" s="15" t="s">
        <v>593</v>
      </c>
      <c r="B35" s="17" t="n">
        <v>2901</v>
      </c>
      <c r="C35" s="18">
        <f>(2576.0/B35*100)</f>
        <v/>
      </c>
      <c r="D35" s="19" t="n">
        <v>325</v>
      </c>
      <c r="E35" s="18" t="n">
        <v>8.887703760000001</v>
      </c>
      <c r="F35" s="20" t="n">
        <v>1.79672952</v>
      </c>
      <c r="G35" s="18" t="n">
        <v>88.64672216</v>
      </c>
      <c r="H35" s="20" t="n">
        <v>1.99672791</v>
      </c>
      <c r="I35" s="18" t="n">
        <v>0</v>
      </c>
      <c r="J35" s="20" t="n">
        <v>0</v>
      </c>
      <c r="K35" s="18" t="n">
        <v>0</v>
      </c>
      <c r="L35" s="20" t="n">
        <v>0</v>
      </c>
      <c r="M35" s="18" t="n">
        <v>0</v>
      </c>
      <c r="N35" s="20" t="n">
        <v>0</v>
      </c>
      <c r="O35" s="18" t="n">
        <v>0</v>
      </c>
      <c r="P35" s="20" t="n">
        <v>0</v>
      </c>
      <c r="Q35" s="18" t="n">
        <v>2.46557408</v>
      </c>
      <c r="R35" s="20" t="n">
        <v>0.9206067100000001</v>
      </c>
    </row>
    <row r="36" spans="1:18">
      <c r="A36" s="15" t="s">
        <v>594</v>
      </c>
      <c r="B36" s="17" t="n">
        <v>3404</v>
      </c>
      <c r="C36" s="18">
        <f>(3037.0/B36*100)</f>
        <v/>
      </c>
      <c r="D36" s="19" t="n">
        <v>367</v>
      </c>
      <c r="E36" s="18" t="n">
        <v>9.769893679999999</v>
      </c>
      <c r="F36" s="20" t="n">
        <v>1.67769714</v>
      </c>
      <c r="G36" s="18" t="n">
        <v>85.80425965000001</v>
      </c>
      <c r="H36" s="20" t="n">
        <v>2.03087964</v>
      </c>
      <c r="I36" s="18" t="n">
        <v>0</v>
      </c>
      <c r="J36" s="20" t="n">
        <v>0</v>
      </c>
      <c r="K36" s="18" t="n">
        <v>0</v>
      </c>
      <c r="L36" s="20" t="n">
        <v>0</v>
      </c>
      <c r="M36" s="18" t="n">
        <v>0</v>
      </c>
      <c r="N36" s="20" t="n">
        <v>0</v>
      </c>
      <c r="O36" s="18" t="n">
        <v>0</v>
      </c>
      <c r="P36" s="20" t="n">
        <v>0</v>
      </c>
      <c r="Q36" s="18" t="n">
        <v>4.42584667</v>
      </c>
      <c r="R36" s="20" t="n">
        <v>1.25645056</v>
      </c>
    </row>
    <row r="37" spans="1:18">
      <c r="A37" s="15" t="s">
        <v>595</v>
      </c>
      <c r="B37" s="17" t="n">
        <v>2731</v>
      </c>
      <c r="C37" s="18">
        <f>(2441.0/B37*100)</f>
        <v/>
      </c>
      <c r="D37" s="19" t="n">
        <v>290</v>
      </c>
      <c r="E37" s="18" t="n">
        <v>11.78887223</v>
      </c>
      <c r="F37" s="20" t="n">
        <v>1.78218393</v>
      </c>
      <c r="G37" s="18" t="n">
        <v>80.42739717000001</v>
      </c>
      <c r="H37" s="20" t="n">
        <v>2.56324712</v>
      </c>
      <c r="I37" s="18" t="n">
        <v>0</v>
      </c>
      <c r="J37" s="20" t="n">
        <v>0</v>
      </c>
      <c r="K37" s="18" t="n">
        <v>0</v>
      </c>
      <c r="L37" s="20" t="n">
        <v>0</v>
      </c>
      <c r="M37" s="18" t="n">
        <v>0</v>
      </c>
      <c r="N37" s="20" t="n">
        <v>0</v>
      </c>
      <c r="O37" s="18" t="n">
        <v>0</v>
      </c>
      <c r="P37" s="20" t="n">
        <v>0</v>
      </c>
      <c r="Q37" s="18" t="n">
        <v>7.7837306</v>
      </c>
      <c r="R37" s="20" t="n">
        <v>1.69020407</v>
      </c>
    </row>
    <row r="38" spans="1:18">
      <c r="A38" s="15" t="s">
        <v>596</v>
      </c>
      <c r="B38" s="17" t="n">
        <v>2807</v>
      </c>
      <c r="C38" s="18">
        <f>(2516.0/B38*100)</f>
        <v/>
      </c>
      <c r="D38" s="19" t="n">
        <v>291</v>
      </c>
      <c r="E38" s="18" t="n">
        <v>12.26826694</v>
      </c>
      <c r="F38" s="20" t="n">
        <v>2.08766861</v>
      </c>
      <c r="G38" s="18" t="n">
        <v>79.79983138999999</v>
      </c>
      <c r="H38" s="20" t="n">
        <v>2.23653228</v>
      </c>
      <c r="I38" s="18" t="n">
        <v>0</v>
      </c>
      <c r="J38" s="20" t="n">
        <v>0</v>
      </c>
      <c r="K38" s="18" t="n">
        <v>0.28443314</v>
      </c>
      <c r="L38" s="20" t="n">
        <v>0.2856392</v>
      </c>
      <c r="M38" s="18" t="n">
        <v>1.01763893</v>
      </c>
      <c r="N38" s="20" t="n">
        <v>0.72616154</v>
      </c>
      <c r="O38" s="18" t="n">
        <v>0</v>
      </c>
      <c r="P38" s="20" t="n">
        <v>0</v>
      </c>
      <c r="Q38" s="18" t="n">
        <v>6.62982961</v>
      </c>
      <c r="R38" s="20" t="n">
        <v>1.7695236</v>
      </c>
    </row>
    <row r="39" spans="1:18">
      <c r="A39" s="15" t="s">
        <v>597</v>
      </c>
      <c r="B39" s="17" t="n">
        <v>2938</v>
      </c>
      <c r="C39" s="18">
        <f>(2613.0/B39*100)</f>
        <v/>
      </c>
      <c r="D39" s="19" t="n">
        <v>325</v>
      </c>
      <c r="E39" s="18" t="n">
        <v>26.70203</v>
      </c>
      <c r="F39" s="20" t="n">
        <v>2.52212403</v>
      </c>
      <c r="G39" s="18" t="n">
        <v>63.50098097</v>
      </c>
      <c r="H39" s="20" t="n">
        <v>2.79577353</v>
      </c>
      <c r="I39" s="18" t="n">
        <v>0</v>
      </c>
      <c r="J39" s="20" t="n">
        <v>0</v>
      </c>
      <c r="K39" s="18" t="n">
        <v>0</v>
      </c>
      <c r="L39" s="20" t="n">
        <v>0</v>
      </c>
      <c r="M39" s="18" t="n">
        <v>0</v>
      </c>
      <c r="N39" s="20" t="n">
        <v>0</v>
      </c>
      <c r="O39" s="18" t="n">
        <v>0</v>
      </c>
      <c r="P39" s="20" t="n">
        <v>0</v>
      </c>
      <c r="Q39" s="18" t="n">
        <v>9.796989030000001</v>
      </c>
      <c r="R39" s="20" t="n">
        <v>1.48685608</v>
      </c>
    </row>
    <row r="40" spans="1:18">
      <c r="A40" s="15" t="s">
        <v>598</v>
      </c>
      <c r="B40" s="17" t="n">
        <v>6922</v>
      </c>
      <c r="C40" s="18">
        <f>(6188.0/B40*100)</f>
        <v/>
      </c>
      <c r="D40" s="19" t="n">
        <v>734</v>
      </c>
      <c r="E40" s="18" t="n">
        <v>20.24718214</v>
      </c>
      <c r="F40" s="20" t="n">
        <v>2.37660054</v>
      </c>
      <c r="G40" s="18" t="n">
        <v>74.55128263</v>
      </c>
      <c r="H40" s="20" t="n">
        <v>2.67955901</v>
      </c>
      <c r="I40" s="18" t="n">
        <v>0</v>
      </c>
      <c r="J40" s="20" t="n">
        <v>0</v>
      </c>
      <c r="K40" s="18" t="n">
        <v>0.14241611</v>
      </c>
      <c r="L40" s="20" t="n">
        <v>0.11743062</v>
      </c>
      <c r="M40" s="18" t="n">
        <v>0</v>
      </c>
      <c r="N40" s="20" t="n">
        <v>0</v>
      </c>
      <c r="O40" s="18" t="n">
        <v>0</v>
      </c>
      <c r="P40" s="20" t="n">
        <v>0</v>
      </c>
      <c r="Q40" s="18" t="n">
        <v>5.05911912</v>
      </c>
      <c r="R40" s="20" t="n">
        <v>1.23136165</v>
      </c>
    </row>
    <row r="41" spans="1:18">
      <c r="A41" s="15" t="s">
        <v>599</v>
      </c>
      <c r="B41" s="17" t="n">
        <v>2854</v>
      </c>
      <c r="C41" s="18">
        <f>(2557.0/B41*100)</f>
        <v/>
      </c>
      <c r="D41" s="19" t="n">
        <v>297</v>
      </c>
      <c r="E41" s="18" t="n">
        <v>24.85847723</v>
      </c>
      <c r="F41" s="20" t="n">
        <v>2.23886131</v>
      </c>
      <c r="G41" s="18" t="n">
        <v>74.07756976</v>
      </c>
      <c r="H41" s="20" t="n">
        <v>2.28248147</v>
      </c>
      <c r="I41" s="18" t="n">
        <v>0</v>
      </c>
      <c r="J41" s="20" t="n">
        <v>0</v>
      </c>
      <c r="K41" s="18" t="n">
        <v>0</v>
      </c>
      <c r="L41" s="20" t="n">
        <v>0</v>
      </c>
      <c r="M41" s="18" t="n">
        <v>0</v>
      </c>
      <c r="N41" s="20" t="n">
        <v>0</v>
      </c>
      <c r="O41" s="18" t="n">
        <v>0</v>
      </c>
      <c r="P41" s="20" t="n">
        <v>0</v>
      </c>
      <c r="Q41" s="18" t="n">
        <v>1.06395301</v>
      </c>
      <c r="R41" s="20" t="n">
        <v>0.55754899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(11067.0/B46*100)</f>
        <v/>
      </c>
      <c r="D46" s="19" t="n">
        <v>1006</v>
      </c>
      <c r="E46" s="18" t="n">
        <v>25.06715542</v>
      </c>
      <c r="F46" s="20" t="n">
        <v>1.7404626</v>
      </c>
      <c r="G46" s="18" t="n">
        <v>60.76182321</v>
      </c>
      <c r="H46" s="20" t="n">
        <v>2.07951102</v>
      </c>
      <c r="I46" s="18" t="n">
        <v>0</v>
      </c>
      <c r="J46" s="20" t="n">
        <v>0</v>
      </c>
      <c r="K46" s="18" t="n">
        <v>0.603479</v>
      </c>
      <c r="L46" s="20" t="n">
        <v>0.28492989</v>
      </c>
      <c r="M46" s="18" t="n">
        <v>0.28161931</v>
      </c>
      <c r="N46" s="20" t="n">
        <v>0.23928653</v>
      </c>
      <c r="O46" s="18" t="n">
        <v>0</v>
      </c>
      <c r="P46" s="20" t="n">
        <v>0</v>
      </c>
      <c r="Q46" s="18" t="n">
        <v>13.28592305</v>
      </c>
      <c r="R46" s="20" t="n">
        <v>1.55724035</v>
      </c>
    </row>
    <row r="47" spans="1:18">
      <c r="A47" s="15" t="s">
        <v>606</v>
      </c>
      <c r="B47" s="17" t="n">
        <v>2823</v>
      </c>
      <c r="C47" s="18">
        <f>(2526.0/B47*100)</f>
        <v/>
      </c>
      <c r="D47" s="19" t="n">
        <v>297</v>
      </c>
      <c r="E47" s="18" t="n">
        <v>23.09414936</v>
      </c>
      <c r="F47" s="20" t="n">
        <v>2.91201839</v>
      </c>
      <c r="G47" s="18" t="n">
        <v>53.68724348</v>
      </c>
      <c r="H47" s="20" t="n">
        <v>3.25681375</v>
      </c>
      <c r="I47" s="18" t="n">
        <v>0</v>
      </c>
      <c r="J47" s="20" t="n">
        <v>0</v>
      </c>
      <c r="K47" s="18" t="n">
        <v>2.01694306</v>
      </c>
      <c r="L47" s="20" t="n">
        <v>0.88051523</v>
      </c>
      <c r="M47" s="18" t="n">
        <v>0</v>
      </c>
      <c r="N47" s="20" t="n">
        <v>0</v>
      </c>
      <c r="O47" s="18" t="n">
        <v>0</v>
      </c>
      <c r="P47" s="20" t="n">
        <v>0</v>
      </c>
      <c r="Q47" s="18" t="n">
        <v>21.20166409</v>
      </c>
      <c r="R47" s="20" t="n">
        <v>2.59961285</v>
      </c>
    </row>
    <row r="48" spans="1:18">
      <c r="A48" s="15" t="s">
        <v>607</v>
      </c>
      <c r="B48" s="17" t="n">
        <v>4682</v>
      </c>
      <c r="C48" s="18">
        <f>(4190.0/B48*100)</f>
        <v/>
      </c>
      <c r="D48" s="19" t="n">
        <v>492</v>
      </c>
      <c r="E48" s="18" t="n">
        <v>28.91390414</v>
      </c>
      <c r="F48" s="20" t="n">
        <v>2.56908779</v>
      </c>
      <c r="G48" s="18" t="n">
        <v>61.03337459</v>
      </c>
      <c r="H48" s="20" t="n">
        <v>3.07188768</v>
      </c>
      <c r="I48" s="18" t="n">
        <v>0</v>
      </c>
      <c r="J48" s="20" t="n">
        <v>0</v>
      </c>
      <c r="K48" s="18" t="n">
        <v>0.31151414</v>
      </c>
      <c r="L48" s="20" t="n">
        <v>0.31564111</v>
      </c>
      <c r="M48" s="18" t="n">
        <v>0.01785347</v>
      </c>
      <c r="N48" s="20" t="n">
        <v>0.01716691</v>
      </c>
      <c r="O48" s="18" t="n">
        <v>0</v>
      </c>
      <c r="P48" s="20" t="n">
        <v>0</v>
      </c>
      <c r="Q48" s="18" t="n">
        <v>9.72335367</v>
      </c>
      <c r="R48" s="20" t="n">
        <v>1.75098811</v>
      </c>
    </row>
    <row r="49" spans="1:18">
      <c r="A49" s="15" t="s">
        <v>608</v>
      </c>
      <c r="B49" s="17" t="n">
        <v>6158</v>
      </c>
      <c r="C49" s="18">
        <f>(5508.0/B49*100)</f>
        <v/>
      </c>
      <c r="D49" s="19" t="n">
        <v>650</v>
      </c>
      <c r="E49" s="18" t="n">
        <v>29.15940352</v>
      </c>
      <c r="F49" s="20" t="n">
        <v>2.21326344</v>
      </c>
      <c r="G49" s="18" t="n">
        <v>65.20422151</v>
      </c>
      <c r="H49" s="20" t="n">
        <v>2.43847529</v>
      </c>
      <c r="I49" s="18" t="n">
        <v>0</v>
      </c>
      <c r="J49" s="20" t="n">
        <v>0</v>
      </c>
      <c r="K49" s="18" t="n">
        <v>0.87814906</v>
      </c>
      <c r="L49" s="20" t="n">
        <v>0.40305353</v>
      </c>
      <c r="M49" s="18" t="n">
        <v>0.15619885</v>
      </c>
      <c r="N49" s="20" t="n">
        <v>0.10907033</v>
      </c>
      <c r="O49" s="18" t="n">
        <v>0</v>
      </c>
      <c r="P49" s="20" t="n">
        <v>0</v>
      </c>
      <c r="Q49" s="18" t="n">
        <v>4.60202706</v>
      </c>
      <c r="R49" s="20" t="n">
        <v>1.01912035</v>
      </c>
    </row>
    <row r="50" spans="1:18">
      <c r="A50" s="15" t="s">
        <v>609</v>
      </c>
      <c r="B50" s="17" t="n">
        <v>3494</v>
      </c>
      <c r="C50" s="18">
        <f>(3177.0/B50*100)</f>
        <v/>
      </c>
      <c r="D50" s="19" t="n">
        <v>317</v>
      </c>
      <c r="E50" s="18" t="n">
        <v>21.6108573</v>
      </c>
      <c r="F50" s="20" t="n">
        <v>2.25535147</v>
      </c>
      <c r="G50" s="18" t="n">
        <v>71.40239448</v>
      </c>
      <c r="H50" s="20" t="n">
        <v>2.48300695</v>
      </c>
      <c r="I50" s="18" t="n">
        <v>0</v>
      </c>
      <c r="J50" s="20" t="n">
        <v>0</v>
      </c>
      <c r="K50" s="18" t="n">
        <v>0</v>
      </c>
      <c r="L50" s="20" t="n">
        <v>0</v>
      </c>
      <c r="M50" s="18" t="n">
        <v>0</v>
      </c>
      <c r="N50" s="20" t="n">
        <v>0</v>
      </c>
      <c r="O50" s="18" t="n">
        <v>0</v>
      </c>
      <c r="P50" s="20" t="n">
        <v>0</v>
      </c>
      <c r="Q50" s="18" t="n">
        <v>6.98674822</v>
      </c>
      <c r="R50" s="20" t="n">
        <v>1.40298781</v>
      </c>
    </row>
    <row r="51" spans="1:18">
      <c r="A51" s="15" t="s">
        <v>610</v>
      </c>
      <c r="B51" s="17" t="n">
        <v>3013</v>
      </c>
      <c r="C51" s="18">
        <f>(2701.0/B51*100)</f>
        <v/>
      </c>
      <c r="D51" s="19" t="n">
        <v>312</v>
      </c>
      <c r="E51" s="18" t="n">
        <v>5.73509328</v>
      </c>
      <c r="F51" s="20" t="n">
        <v>1.37977983</v>
      </c>
      <c r="G51" s="18" t="n">
        <v>89.3935625</v>
      </c>
      <c r="H51" s="20" t="n">
        <v>1.84657502</v>
      </c>
      <c r="I51" s="18" t="n">
        <v>0</v>
      </c>
      <c r="J51" s="20" t="n">
        <v>0</v>
      </c>
      <c r="K51" s="18" t="n">
        <v>0.36076897</v>
      </c>
      <c r="L51" s="20" t="n">
        <v>0.34980662</v>
      </c>
      <c r="M51" s="18" t="n">
        <v>0</v>
      </c>
      <c r="N51" s="20" t="n">
        <v>0</v>
      </c>
      <c r="O51" s="18" t="n">
        <v>0</v>
      </c>
      <c r="P51" s="20" t="n">
        <v>0</v>
      </c>
      <c r="Q51" s="18" t="n">
        <v>4.51057525</v>
      </c>
      <c r="R51" s="20" t="n">
        <v>0.95252729</v>
      </c>
    </row>
    <row r="52" spans="1:18">
      <c r="A52" s="15" t="s">
        <v>611</v>
      </c>
      <c r="B52" s="17" t="n">
        <v>2760</v>
      </c>
      <c r="C52" s="18">
        <f>(2468.0/B52*100)</f>
        <v/>
      </c>
      <c r="D52" s="19" t="n">
        <v>292</v>
      </c>
      <c r="E52" s="18" t="n">
        <v>19.36778014</v>
      </c>
      <c r="F52" s="20" t="n">
        <v>2.2145346</v>
      </c>
      <c r="G52" s="18" t="n">
        <v>65.83051759</v>
      </c>
      <c r="H52" s="20" t="n">
        <v>2.92176741</v>
      </c>
      <c r="I52" s="18" t="n">
        <v>0</v>
      </c>
      <c r="J52" s="20" t="n">
        <v>0</v>
      </c>
      <c r="K52" s="18" t="n">
        <v>0.2844706</v>
      </c>
      <c r="L52" s="20" t="n">
        <v>0.28549509</v>
      </c>
      <c r="M52" s="18" t="n">
        <v>0</v>
      </c>
      <c r="N52" s="20" t="n">
        <v>0</v>
      </c>
      <c r="O52" s="18" t="n">
        <v>0</v>
      </c>
      <c r="P52" s="20" t="n">
        <v>0</v>
      </c>
      <c r="Q52" s="18" t="n">
        <v>14.51723168</v>
      </c>
      <c r="R52" s="20" t="n">
        <v>1.8710577</v>
      </c>
    </row>
    <row r="53" spans="1:18">
      <c r="A53" s="15" t="s">
        <v>612</v>
      </c>
      <c r="B53" s="17" t="n">
        <v>2474</v>
      </c>
      <c r="C53" s="18">
        <f>(2187.0/B53*100)</f>
        <v/>
      </c>
      <c r="D53" s="19" t="n">
        <v>287</v>
      </c>
      <c r="E53" s="18" t="n">
        <v>37.34894298</v>
      </c>
      <c r="F53" s="20" t="n">
        <v>2.9463629</v>
      </c>
      <c r="G53" s="18" t="n">
        <v>37.69918051</v>
      </c>
      <c r="H53" s="20" t="n">
        <v>3.24165399</v>
      </c>
      <c r="I53" s="18" t="n">
        <v>0</v>
      </c>
      <c r="J53" s="20" t="n">
        <v>0</v>
      </c>
      <c r="K53" s="18" t="n">
        <v>13.60718403</v>
      </c>
      <c r="L53" s="20" t="n">
        <v>2.54498373</v>
      </c>
      <c r="M53" s="18" t="n">
        <v>0.38894525</v>
      </c>
      <c r="N53" s="20" t="n">
        <v>0.42250904</v>
      </c>
      <c r="O53" s="18" t="n">
        <v>0</v>
      </c>
      <c r="P53" s="20" t="n">
        <v>0</v>
      </c>
      <c r="Q53" s="18" t="n">
        <v>10.95574722</v>
      </c>
      <c r="R53" s="20" t="n">
        <v>2.09547179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(2393.0/B55*100)</f>
        <v/>
      </c>
      <c r="D55" s="19" t="n">
        <v>282</v>
      </c>
      <c r="E55" s="18" t="n">
        <v>27.5801568</v>
      </c>
      <c r="F55" s="20" t="n">
        <v>2.35013423</v>
      </c>
      <c r="G55" s="18" t="n">
        <v>68.55180546</v>
      </c>
      <c r="H55" s="20" t="n">
        <v>2.51925613</v>
      </c>
      <c r="I55" s="18" t="n">
        <v>0</v>
      </c>
      <c r="J55" s="20" t="n">
        <v>0</v>
      </c>
      <c r="K55" s="18" t="n">
        <v>0</v>
      </c>
      <c r="L55" s="20" t="n">
        <v>0</v>
      </c>
      <c r="M55" s="18" t="n">
        <v>0</v>
      </c>
      <c r="N55" s="20" t="n">
        <v>0</v>
      </c>
      <c r="O55" s="18" t="n">
        <v>0</v>
      </c>
      <c r="P55" s="20" t="n">
        <v>0</v>
      </c>
      <c r="Q55" s="18" t="n">
        <v>3.86803774</v>
      </c>
      <c r="R55" s="20" t="n">
        <v>1.12907892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(2843.0/B61*100)</f>
        <v/>
      </c>
      <c r="D61" s="19" t="n">
        <v>358</v>
      </c>
      <c r="E61" s="18" t="n">
        <v>20.85159143</v>
      </c>
      <c r="F61" s="20" t="n">
        <v>2.13230158</v>
      </c>
      <c r="G61" s="18" t="n">
        <v>71.04105371</v>
      </c>
      <c r="H61" s="20" t="n">
        <v>2.48162353</v>
      </c>
      <c r="I61" s="18" t="n">
        <v>0</v>
      </c>
      <c r="J61" s="20" t="n">
        <v>0</v>
      </c>
      <c r="K61" s="18" t="n">
        <v>0</v>
      </c>
      <c r="L61" s="20" t="n">
        <v>0</v>
      </c>
      <c r="M61" s="18" t="n">
        <v>0</v>
      </c>
      <c r="N61" s="20" t="n">
        <v>0</v>
      </c>
      <c r="O61" s="18" t="n">
        <v>0</v>
      </c>
      <c r="P61" s="20" t="n">
        <v>0</v>
      </c>
      <c r="Q61" s="18" t="n">
        <v>8.107354859999999</v>
      </c>
      <c r="R61" s="20" t="n">
        <v>1.57013985</v>
      </c>
    </row>
    <row r="62" spans="1:18">
      <c r="A62" s="15" t="s">
        <v>622</v>
      </c>
      <c r="B62" s="17" t="n">
        <v>2230</v>
      </c>
      <c r="C62" s="18">
        <f>(2012.0/B62*100)</f>
        <v/>
      </c>
      <c r="D62" s="19" t="n">
        <v>218</v>
      </c>
      <c r="E62" s="18" t="n">
        <v>24.79471785</v>
      </c>
      <c r="F62" s="20" t="n">
        <v>2.8676449</v>
      </c>
      <c r="G62" s="18" t="n">
        <v>73.35987639</v>
      </c>
      <c r="H62" s="20" t="n">
        <v>2.88461154</v>
      </c>
      <c r="I62" s="18" t="n">
        <v>0</v>
      </c>
      <c r="J62" s="20" t="n">
        <v>0</v>
      </c>
      <c r="K62" s="18" t="n">
        <v>0</v>
      </c>
      <c r="L62" s="20" t="n">
        <v>0</v>
      </c>
      <c r="M62" s="18" t="n">
        <v>0</v>
      </c>
      <c r="N62" s="20" t="n">
        <v>0</v>
      </c>
      <c r="O62" s="18" t="n">
        <v>0</v>
      </c>
      <c r="P62" s="20" t="n">
        <v>0</v>
      </c>
      <c r="Q62" s="18" t="n">
        <v>1.84540576</v>
      </c>
      <c r="R62" s="20" t="n">
        <v>0.91096134</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(2468.0/B67*100)</f>
        <v/>
      </c>
      <c r="D67" s="19" t="n">
        <v>303</v>
      </c>
      <c r="E67" s="18" t="n">
        <v>17.55413626</v>
      </c>
      <c r="F67" s="20" t="n">
        <v>2.2655092</v>
      </c>
      <c r="G67" s="18" t="n">
        <v>63.74366863</v>
      </c>
      <c r="H67" s="20" t="n">
        <v>2.80495531</v>
      </c>
      <c r="I67" s="18" t="n">
        <v>0</v>
      </c>
      <c r="J67" s="20" t="n">
        <v>0</v>
      </c>
      <c r="K67" s="18" t="n">
        <v>0.27504806</v>
      </c>
      <c r="L67" s="20" t="n">
        <v>0.27535293</v>
      </c>
      <c r="M67" s="18" t="n">
        <v>0.29371557</v>
      </c>
      <c r="N67" s="20" t="n">
        <v>0.28969843</v>
      </c>
      <c r="O67" s="18" t="n">
        <v>0</v>
      </c>
      <c r="P67" s="20" t="n">
        <v>0</v>
      </c>
      <c r="Q67" s="18" t="n">
        <v>18.13343148</v>
      </c>
      <c r="R67" s="20" t="n">
        <v>2.04271633</v>
      </c>
    </row>
    <row r="68" spans="1:18">
      <c r="A68" s="15" t="s">
        <v>628</v>
      </c>
      <c r="B68" s="17" t="n">
        <v>3460</v>
      </c>
      <c r="C68" s="18">
        <f>(3137.0/B68*100)</f>
        <v/>
      </c>
      <c r="D68" s="19" t="n">
        <v>323</v>
      </c>
      <c r="E68" s="18" t="n">
        <v>27.8553213</v>
      </c>
      <c r="F68" s="20" t="n">
        <v>2.88421171</v>
      </c>
      <c r="G68" s="18" t="n">
        <v>66.94511595</v>
      </c>
      <c r="H68" s="20" t="n">
        <v>2.86567774</v>
      </c>
      <c r="I68" s="18" t="n">
        <v>0</v>
      </c>
      <c r="J68" s="20" t="n">
        <v>0</v>
      </c>
      <c r="K68" s="18" t="n">
        <v>0</v>
      </c>
      <c r="L68" s="20" t="n">
        <v>0</v>
      </c>
      <c r="M68" s="18" t="n">
        <v>0.55457907</v>
      </c>
      <c r="N68" s="20" t="n">
        <v>0.50766952</v>
      </c>
      <c r="O68" s="18" t="n">
        <v>0</v>
      </c>
      <c r="P68" s="20" t="n">
        <v>0</v>
      </c>
      <c r="Q68" s="18" t="n">
        <v>4.64498367</v>
      </c>
      <c r="R68" s="20" t="n">
        <v>1.41257042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(5344.0/B70*100)</f>
        <v/>
      </c>
      <c r="D70" s="19" t="n">
        <v>690</v>
      </c>
      <c r="E70" s="18" t="n">
        <v>33.65356155</v>
      </c>
      <c r="F70" s="20" t="n">
        <v>1.70450687</v>
      </c>
      <c r="G70" s="18" t="n">
        <v>56.87727071</v>
      </c>
      <c r="H70" s="20" t="n">
        <v>1.89567853</v>
      </c>
      <c r="I70" s="18" t="n">
        <v>0</v>
      </c>
      <c r="J70" s="20" t="n">
        <v>0</v>
      </c>
      <c r="K70" s="18" t="n">
        <v>1.52537733</v>
      </c>
      <c r="L70" s="20" t="n">
        <v>0.41175309</v>
      </c>
      <c r="M70" s="18" t="n">
        <v>0.1409247</v>
      </c>
      <c r="N70" s="20" t="n">
        <v>0.14230624</v>
      </c>
      <c r="O70" s="18" t="n">
        <v>0</v>
      </c>
      <c r="P70" s="20" t="n">
        <v>0</v>
      </c>
      <c r="Q70" s="18" t="n">
        <v>7.80286571</v>
      </c>
      <c r="R70" s="20" t="n">
        <v>1.14272983</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(2804.0/B72*100)</f>
        <v/>
      </c>
      <c r="D72" s="19" t="n">
        <v>303</v>
      </c>
      <c r="E72" s="18" t="n">
        <v>19.1501879</v>
      </c>
      <c r="F72" s="20" t="n">
        <v>2.7694666</v>
      </c>
      <c r="G72" s="18" t="n">
        <v>70.21102257</v>
      </c>
      <c r="H72" s="20" t="n">
        <v>2.56907835</v>
      </c>
      <c r="I72" s="18" t="n">
        <v>0</v>
      </c>
      <c r="J72" s="20" t="n">
        <v>0</v>
      </c>
      <c r="K72" s="18" t="n">
        <v>0.50621029</v>
      </c>
      <c r="L72" s="20" t="n">
        <v>0.50695586</v>
      </c>
      <c r="M72" s="18" t="n">
        <v>0</v>
      </c>
      <c r="N72" s="20" t="n">
        <v>0</v>
      </c>
      <c r="O72" s="18" t="n">
        <v>0</v>
      </c>
      <c r="P72" s="20" t="n">
        <v>0</v>
      </c>
      <c r="Q72" s="18" t="n">
        <v>10.13257924</v>
      </c>
      <c r="R72" s="20" t="n">
        <v>2.2411948</v>
      </c>
    </row>
    <row r="73" spans="1:18">
      <c r="A73" s="15" t="s">
        <v>633</v>
      </c>
      <c r="B73" s="17" t="n">
        <v>2973</v>
      </c>
      <c r="C73" s="18">
        <f>(2627.0/B73*100)</f>
        <v/>
      </c>
      <c r="D73" s="19" t="n">
        <v>346</v>
      </c>
      <c r="E73" s="18" t="n">
        <v>23.53031936</v>
      </c>
      <c r="F73" s="20" t="n">
        <v>2.17166393</v>
      </c>
      <c r="G73" s="18" t="n">
        <v>72.02450712</v>
      </c>
      <c r="H73" s="20" t="n">
        <v>2.44707085</v>
      </c>
      <c r="I73" s="18" t="n">
        <v>0</v>
      </c>
      <c r="J73" s="20" t="n">
        <v>0</v>
      </c>
      <c r="K73" s="18" t="n">
        <v>0.46279438</v>
      </c>
      <c r="L73" s="20" t="n">
        <v>0.44204954</v>
      </c>
      <c r="M73" s="18" t="n">
        <v>0</v>
      </c>
      <c r="N73" s="20" t="n">
        <v>0</v>
      </c>
      <c r="O73" s="18" t="n">
        <v>0</v>
      </c>
      <c r="P73" s="20" t="n">
        <v>0</v>
      </c>
      <c r="Q73" s="18" t="n">
        <v>3.98237913</v>
      </c>
      <c r="R73" s="20" t="n">
        <v>1.08464447</v>
      </c>
    </row>
    <row r="74" spans="1:18">
      <c r="A74" s="15" t="s">
        <v>634</v>
      </c>
      <c r="B74" s="17" t="n">
        <v>3819</v>
      </c>
      <c r="C74" s="18">
        <f>(3416.0/B74*100)</f>
        <v/>
      </c>
      <c r="D74" s="19" t="n">
        <v>403</v>
      </c>
      <c r="E74" s="18" t="n">
        <v>21.63886849</v>
      </c>
      <c r="F74" s="20" t="n">
        <v>2.18352025</v>
      </c>
      <c r="G74" s="18" t="n">
        <v>72.98053504000001</v>
      </c>
      <c r="H74" s="20" t="n">
        <v>2.31358191</v>
      </c>
      <c r="I74" s="18" t="n">
        <v>0</v>
      </c>
      <c r="J74" s="20" t="n">
        <v>0</v>
      </c>
      <c r="K74" s="18" t="n">
        <v>0</v>
      </c>
      <c r="L74" s="20" t="n">
        <v>0</v>
      </c>
      <c r="M74" s="18" t="n">
        <v>0</v>
      </c>
      <c r="N74" s="20" t="n">
        <v>0</v>
      </c>
      <c r="O74" s="18" t="n">
        <v>0</v>
      </c>
      <c r="P74" s="20" t="n">
        <v>0</v>
      </c>
      <c r="Q74" s="18" t="n">
        <v>5.38059648</v>
      </c>
      <c r="R74" s="20" t="n">
        <v>1.33990452</v>
      </c>
    </row>
    <row r="75" spans="1:18">
      <c r="A75" s="15" t="s">
        <v>635</v>
      </c>
      <c r="B75" s="17" t="n">
        <v>4652</v>
      </c>
      <c r="C75" s="18">
        <f>(4167.0/B75*100)</f>
        <v/>
      </c>
      <c r="D75" s="19" t="n">
        <v>485</v>
      </c>
      <c r="E75" s="18" t="n">
        <v>33.42299694</v>
      </c>
      <c r="F75" s="20" t="n">
        <v>2.74045246</v>
      </c>
      <c r="G75" s="18" t="n">
        <v>64.60098376000001</v>
      </c>
      <c r="H75" s="20" t="n">
        <v>2.80271269</v>
      </c>
      <c r="I75" s="18" t="n">
        <v>0</v>
      </c>
      <c r="J75" s="20" t="n">
        <v>0</v>
      </c>
      <c r="K75" s="18" t="n">
        <v>0</v>
      </c>
      <c r="L75" s="20" t="n">
        <v>0</v>
      </c>
      <c r="M75" s="18" t="n">
        <v>0</v>
      </c>
      <c r="N75" s="20" t="n">
        <v>0</v>
      </c>
      <c r="O75" s="18" t="n">
        <v>0</v>
      </c>
      <c r="P75" s="20" t="n">
        <v>0</v>
      </c>
      <c r="Q75" s="18" t="n">
        <v>1.9760193</v>
      </c>
      <c r="R75" s="20" t="n">
        <v>0.7697553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(2677.0/B77*100)</f>
        <v/>
      </c>
      <c r="D77" s="19" t="n">
        <v>292</v>
      </c>
      <c r="E77" s="18" t="n">
        <v>32.66755832</v>
      </c>
      <c r="F77" s="20" t="n">
        <v>3.0392748</v>
      </c>
      <c r="G77" s="18" t="n">
        <v>34.31577139</v>
      </c>
      <c r="H77" s="20" t="n">
        <v>3.14794249</v>
      </c>
      <c r="I77" s="18" t="n">
        <v>0</v>
      </c>
      <c r="J77" s="20" t="n">
        <v>0</v>
      </c>
      <c r="K77" s="18" t="n">
        <v>2.4798286</v>
      </c>
      <c r="L77" s="20" t="n">
        <v>0.90623325</v>
      </c>
      <c r="M77" s="18" t="n">
        <v>0.7276927399999999</v>
      </c>
      <c r="N77" s="20" t="n">
        <v>0.48331833</v>
      </c>
      <c r="O77" s="18" t="n">
        <v>0</v>
      </c>
      <c r="P77" s="20" t="n">
        <v>0</v>
      </c>
      <c r="Q77" s="18" t="n">
        <v>29.80914895</v>
      </c>
      <c r="R77" s="20" t="n">
        <v>2.7359464</v>
      </c>
    </row>
    <row r="78" spans="1:18">
      <c r="A78" s="15" t="s">
        <v>638</v>
      </c>
      <c r="B78" s="17" t="n">
        <v>7115</v>
      </c>
      <c r="C78" s="18">
        <f>(6359.0/B78*100)</f>
        <v/>
      </c>
      <c r="D78" s="19" t="n">
        <v>756</v>
      </c>
      <c r="E78" s="18" t="n">
        <v>32.12512429</v>
      </c>
      <c r="F78" s="20" t="n">
        <v>2.05327015</v>
      </c>
      <c r="G78" s="18" t="n">
        <v>63.87652053</v>
      </c>
      <c r="H78" s="20" t="n">
        <v>2.17735196</v>
      </c>
      <c r="I78" s="18" t="n">
        <v>0</v>
      </c>
      <c r="J78" s="20" t="n">
        <v>0</v>
      </c>
      <c r="K78" s="18" t="n">
        <v>1.19922207</v>
      </c>
      <c r="L78" s="20" t="n">
        <v>0.43769612</v>
      </c>
      <c r="M78" s="18" t="n">
        <v>0.35633825</v>
      </c>
      <c r="N78" s="20" t="n">
        <v>0.24885845</v>
      </c>
      <c r="O78" s="18" t="n">
        <v>0</v>
      </c>
      <c r="P78" s="20" t="n">
        <v>0</v>
      </c>
      <c r="Q78" s="18" t="n">
        <v>2.44279486</v>
      </c>
      <c r="R78" s="20" t="n">
        <v>0.64630844</v>
      </c>
    </row>
    <row r="79" spans="1:18">
      <c r="A79" s="15" t="s">
        <v>639</v>
      </c>
      <c r="B79" s="17" t="n">
        <v>3154</v>
      </c>
      <c r="C79" s="18">
        <f>(2816.0/B79*100)</f>
        <v/>
      </c>
      <c r="D79" s="19" t="n">
        <v>338</v>
      </c>
      <c r="E79" s="18" t="n">
        <v>24.04542288</v>
      </c>
      <c r="F79" s="20" t="n">
        <v>2.45646388</v>
      </c>
      <c r="G79" s="18" t="n">
        <v>60.29794881</v>
      </c>
      <c r="H79" s="20" t="n">
        <v>2.53938228</v>
      </c>
      <c r="I79" s="18" t="n">
        <v>0</v>
      </c>
      <c r="J79" s="20" t="n">
        <v>0</v>
      </c>
      <c r="K79" s="18" t="n">
        <v>0.27272422</v>
      </c>
      <c r="L79" s="20" t="n">
        <v>0.27067842</v>
      </c>
      <c r="M79" s="18" t="n">
        <v>0</v>
      </c>
      <c r="N79" s="20" t="n">
        <v>0</v>
      </c>
      <c r="O79" s="18" t="n">
        <v>0</v>
      </c>
      <c r="P79" s="20" t="n">
        <v>0</v>
      </c>
      <c r="Q79" s="18" t="n">
        <v>15.38390408</v>
      </c>
      <c r="R79" s="20" t="n">
        <v>1.48632264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(14226.0/B82*100)</f>
        <v/>
      </c>
      <c r="D82" s="19" t="n">
        <v>1735</v>
      </c>
      <c r="E82" s="18" t="n">
        <v>11.10649592</v>
      </c>
      <c r="F82" s="20" t="n">
        <v>1.12038446</v>
      </c>
      <c r="G82" s="18" t="n">
        <v>85.14865482</v>
      </c>
      <c r="H82" s="20" t="n">
        <v>1.31624823</v>
      </c>
      <c r="I82" s="18" t="n">
        <v>0</v>
      </c>
      <c r="J82" s="20" t="n">
        <v>0</v>
      </c>
      <c r="K82" s="18" t="n">
        <v>0.03420692</v>
      </c>
      <c r="L82" s="20" t="n">
        <v>0.04513168</v>
      </c>
      <c r="M82" s="18" t="n">
        <v>0</v>
      </c>
      <c r="N82" s="20" t="n">
        <v>0</v>
      </c>
      <c r="O82" s="18" t="n">
        <v>0</v>
      </c>
      <c r="P82" s="20" t="n">
        <v>0</v>
      </c>
      <c r="Q82" s="18" t="n">
        <v>3.71064234</v>
      </c>
      <c r="R82" s="20" t="n">
        <v>0.81496066</v>
      </c>
    </row>
    <row r="83" spans="1:18">
      <c r="A83" s="15" t="s">
        <v>643</v>
      </c>
      <c r="B83" s="17" t="n">
        <v>808</v>
      </c>
      <c r="C83" s="18">
        <f>(725.0/B83*100)</f>
        <v/>
      </c>
      <c r="D83" s="19" t="n">
        <v>83</v>
      </c>
      <c r="E83" s="18" t="n">
        <v>27.07317924</v>
      </c>
      <c r="F83" s="20" t="n">
        <v>5.67165367</v>
      </c>
      <c r="G83" s="18" t="n">
        <v>69.49055327000001</v>
      </c>
      <c r="H83" s="20" t="n">
        <v>6.42415702</v>
      </c>
      <c r="I83" s="18" t="n">
        <v>0</v>
      </c>
      <c r="J83" s="20" t="n">
        <v>0</v>
      </c>
      <c r="K83" s="18" t="n">
        <v>1.47898372</v>
      </c>
      <c r="L83" s="20" t="n">
        <v>1.38769072</v>
      </c>
      <c r="M83" s="18" t="n">
        <v>0</v>
      </c>
      <c r="N83" s="20" t="n">
        <v>0</v>
      </c>
      <c r="O83" s="18" t="n">
        <v>0</v>
      </c>
      <c r="P83" s="20" t="n">
        <v>0</v>
      </c>
      <c r="Q83" s="18" t="n">
        <v>1.95728377</v>
      </c>
      <c r="R83" s="20" t="n">
        <v>1.42373661</v>
      </c>
    </row>
    <row r="84" spans="1:18">
      <c r="A84" s="23" t="s">
        <v>644</v>
      </c>
      <c r="B84" s="24" t="n">
        <v>938</v>
      </c>
      <c r="C84" s="25">
        <f>(844.0/B84*100)</f>
        <v/>
      </c>
      <c r="D84" s="19" t="n">
        <v>94</v>
      </c>
      <c r="E84" s="18" t="n">
        <v>26.78215755</v>
      </c>
      <c r="F84" s="20" t="n">
        <v>3.98087498</v>
      </c>
      <c r="G84" s="18" t="n">
        <v>73.21784245000001</v>
      </c>
      <c r="H84" s="20" t="n">
        <v>3.98087498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(6400.0/B7*100)</f>
        <v/>
      </c>
      <c r="D7" s="19" t="n">
        <v>763</v>
      </c>
      <c r="E7" s="18" t="n">
        <v>61.00238347</v>
      </c>
      <c r="F7" s="20" t="n">
        <v>2.11778606</v>
      </c>
      <c r="G7" s="18" t="n">
        <v>37.28606597</v>
      </c>
      <c r="H7" s="20" t="n">
        <v>2.10133859</v>
      </c>
      <c r="I7" s="18" t="n">
        <v>0</v>
      </c>
      <c r="J7" s="20" t="n">
        <v>0</v>
      </c>
      <c r="K7" s="18" t="n">
        <v>0.06772122999999999</v>
      </c>
      <c r="L7" s="20" t="n">
        <v>0.04815997</v>
      </c>
      <c r="M7" s="18" t="n">
        <v>0</v>
      </c>
      <c r="N7" s="20" t="n">
        <v>0</v>
      </c>
      <c r="O7" s="18" t="n">
        <v>0</v>
      </c>
      <c r="P7" s="20" t="n">
        <v>0</v>
      </c>
      <c r="Q7" s="18" t="n">
        <v>1.64382933</v>
      </c>
      <c r="R7" s="20" t="n">
        <v>0.4837745</v>
      </c>
    </row>
    <row r="8" spans="1:18">
      <c r="A8" s="15" t="s">
        <v>566</v>
      </c>
      <c r="B8" s="17" t="n">
        <v>3443</v>
      </c>
      <c r="C8" s="18">
        <f>(3063.0/B8*100)</f>
        <v/>
      </c>
      <c r="D8" s="19" t="n">
        <v>380</v>
      </c>
      <c r="E8" s="18" t="n">
        <v>65.69648908000001</v>
      </c>
      <c r="F8" s="20" t="n">
        <v>2.51878194</v>
      </c>
      <c r="G8" s="18" t="n">
        <v>31.97653959</v>
      </c>
      <c r="H8" s="20" t="n">
        <v>2.31628294</v>
      </c>
      <c r="I8" s="18" t="n">
        <v>0</v>
      </c>
      <c r="J8" s="20" t="n">
        <v>0</v>
      </c>
      <c r="K8" s="18" t="n">
        <v>0</v>
      </c>
      <c r="L8" s="20" t="n">
        <v>0</v>
      </c>
      <c r="M8" s="18" t="n">
        <v>0</v>
      </c>
      <c r="N8" s="20" t="n">
        <v>0</v>
      </c>
      <c r="O8" s="18" t="n">
        <v>0</v>
      </c>
      <c r="P8" s="20" t="n">
        <v>0</v>
      </c>
      <c r="Q8" s="18" t="n">
        <v>2.32697133</v>
      </c>
      <c r="R8" s="20" t="n">
        <v>0.88801661</v>
      </c>
    </row>
    <row r="9" spans="1:18">
      <c r="A9" s="15" t="s">
        <v>567</v>
      </c>
      <c r="B9" s="17" t="n">
        <v>4752</v>
      </c>
      <c r="C9" s="18">
        <f>(4220.0/B9*100)</f>
        <v/>
      </c>
      <c r="D9" s="19" t="n">
        <v>532</v>
      </c>
      <c r="E9" s="18" t="n">
        <v>56.69031408</v>
      </c>
      <c r="F9" s="20" t="n">
        <v>2.4097688</v>
      </c>
      <c r="G9" s="18" t="n">
        <v>39.43188807</v>
      </c>
      <c r="H9" s="20" t="n">
        <v>2.39163337</v>
      </c>
      <c r="I9" s="18" t="n">
        <v>0</v>
      </c>
      <c r="J9" s="20" t="n">
        <v>0</v>
      </c>
      <c r="K9" s="18" t="n">
        <v>0.28387776</v>
      </c>
      <c r="L9" s="20" t="n">
        <v>0.19251036</v>
      </c>
      <c r="M9" s="18" t="n">
        <v>0.13421531</v>
      </c>
      <c r="N9" s="20" t="n">
        <v>0.12509462</v>
      </c>
      <c r="O9" s="18" t="n">
        <v>0</v>
      </c>
      <c r="P9" s="20" t="n">
        <v>0</v>
      </c>
      <c r="Q9" s="18" t="n">
        <v>3.45970479</v>
      </c>
      <c r="R9" s="20" t="n">
        <v>0.94386968</v>
      </c>
    </row>
    <row r="10" spans="1:18">
      <c r="A10" s="15" t="s">
        <v>568</v>
      </c>
      <c r="B10" s="17" t="n">
        <v>10022</v>
      </c>
      <c r="C10" s="18">
        <f>(8923.0/B10*100)</f>
        <v/>
      </c>
      <c r="D10" s="19" t="n">
        <v>1099</v>
      </c>
      <c r="E10" s="18" t="n">
        <v>47.08529558</v>
      </c>
      <c r="F10" s="20" t="n">
        <v>2.14517175</v>
      </c>
      <c r="G10" s="18" t="n">
        <v>51.68501392</v>
      </c>
      <c r="H10" s="20" t="n">
        <v>2.11934508</v>
      </c>
      <c r="I10" s="18" t="n">
        <v>0</v>
      </c>
      <c r="J10" s="20" t="n">
        <v>0</v>
      </c>
      <c r="K10" s="18" t="n">
        <v>0.17545957</v>
      </c>
      <c r="L10" s="20" t="n">
        <v>0.10029355</v>
      </c>
      <c r="M10" s="18" t="n">
        <v>0</v>
      </c>
      <c r="N10" s="20" t="n">
        <v>0</v>
      </c>
      <c r="O10" s="18" t="n">
        <v>0</v>
      </c>
      <c r="P10" s="20" t="n">
        <v>0</v>
      </c>
      <c r="Q10" s="18" t="n">
        <v>1.05423093</v>
      </c>
      <c r="R10" s="20" t="n">
        <v>0.35482104</v>
      </c>
    </row>
    <row r="11" spans="1:18">
      <c r="A11" s="15" t="s">
        <v>569</v>
      </c>
      <c r="B11" s="17" t="n">
        <v>3500</v>
      </c>
      <c r="C11" s="18">
        <f>(3110.0/B11*100)</f>
        <v/>
      </c>
      <c r="D11" s="19" t="n">
        <v>390</v>
      </c>
      <c r="E11" s="18" t="n">
        <v>62.67135983</v>
      </c>
      <c r="F11" s="20" t="n">
        <v>3.05361259</v>
      </c>
      <c r="G11" s="18" t="n">
        <v>32.87990384</v>
      </c>
      <c r="H11" s="20" t="n">
        <v>2.69553296</v>
      </c>
      <c r="I11" s="18" t="n">
        <v>0</v>
      </c>
      <c r="J11" s="20" t="n">
        <v>0</v>
      </c>
      <c r="K11" s="18" t="n">
        <v>1.72177646</v>
      </c>
      <c r="L11" s="20" t="n">
        <v>0.6949765</v>
      </c>
      <c r="M11" s="18" t="n">
        <v>0</v>
      </c>
      <c r="N11" s="20" t="n">
        <v>0</v>
      </c>
      <c r="O11" s="18" t="n">
        <v>0</v>
      </c>
      <c r="P11" s="20" t="n">
        <v>0</v>
      </c>
      <c r="Q11" s="18" t="n">
        <v>2.72695987</v>
      </c>
      <c r="R11" s="20" t="n">
        <v>0.8748063700000001</v>
      </c>
    </row>
    <row r="12" spans="1:18">
      <c r="A12" s="15" t="s">
        <v>570</v>
      </c>
      <c r="B12" s="17" t="n">
        <v>3422</v>
      </c>
      <c r="C12" s="18">
        <f>(3046.0/B12*100)</f>
        <v/>
      </c>
      <c r="D12" s="19" t="n">
        <v>376</v>
      </c>
      <c r="E12" s="18" t="n">
        <v>43.53702049</v>
      </c>
      <c r="F12" s="20" t="n">
        <v>3.02182622</v>
      </c>
      <c r="G12" s="18" t="n">
        <v>54.46897068</v>
      </c>
      <c r="H12" s="20" t="n">
        <v>2.87049839</v>
      </c>
      <c r="I12" s="18" t="n">
        <v>0</v>
      </c>
      <c r="J12" s="20" t="n">
        <v>0</v>
      </c>
      <c r="K12" s="18" t="n">
        <v>0.42356313</v>
      </c>
      <c r="L12" s="20" t="n">
        <v>0.42268527</v>
      </c>
      <c r="M12" s="18" t="n">
        <v>0</v>
      </c>
      <c r="N12" s="20" t="n">
        <v>0</v>
      </c>
      <c r="O12" s="18" t="n">
        <v>0</v>
      </c>
      <c r="P12" s="20" t="n">
        <v>0</v>
      </c>
      <c r="Q12" s="18" t="n">
        <v>1.5704457</v>
      </c>
      <c r="R12" s="20" t="n">
        <v>0.81863732</v>
      </c>
    </row>
    <row r="13" spans="1:18">
      <c r="A13" s="15" t="s">
        <v>571</v>
      </c>
      <c r="B13" s="17" t="n">
        <v>3602</v>
      </c>
      <c r="C13" s="18">
        <f>(3232.0/B13*100)</f>
        <v/>
      </c>
      <c r="D13" s="19" t="n">
        <v>370</v>
      </c>
      <c r="E13" s="18" t="n">
        <v>58.90777824</v>
      </c>
      <c r="F13" s="20" t="n">
        <v>2.92929873</v>
      </c>
      <c r="G13" s="18" t="n">
        <v>38.44904248</v>
      </c>
      <c r="H13" s="20" t="n">
        <v>2.84989167</v>
      </c>
      <c r="I13" s="18" t="n">
        <v>0</v>
      </c>
      <c r="J13" s="20" t="n">
        <v>0</v>
      </c>
      <c r="K13" s="18" t="n">
        <v>0.89355499</v>
      </c>
      <c r="L13" s="20" t="n">
        <v>0.51304385</v>
      </c>
      <c r="M13" s="18" t="n">
        <v>0</v>
      </c>
      <c r="N13" s="20" t="n">
        <v>0</v>
      </c>
      <c r="O13" s="18" t="n">
        <v>0</v>
      </c>
      <c r="P13" s="20" t="n">
        <v>0</v>
      </c>
      <c r="Q13" s="18" t="n">
        <v>1.74962429</v>
      </c>
      <c r="R13" s="20" t="n">
        <v>0.68093026</v>
      </c>
    </row>
    <row r="14" spans="1:18">
      <c r="A14" s="15" t="s">
        <v>572</v>
      </c>
      <c r="B14" s="17" t="n">
        <v>2788</v>
      </c>
      <c r="C14" s="18">
        <f>(2484.0/B14*100)</f>
        <v/>
      </c>
      <c r="D14" s="19" t="n">
        <v>304</v>
      </c>
      <c r="E14" s="18" t="n">
        <v>37.57766014</v>
      </c>
      <c r="F14" s="20" t="n">
        <v>2.85748271</v>
      </c>
      <c r="G14" s="18" t="n">
        <v>60.25779109</v>
      </c>
      <c r="H14" s="20" t="n">
        <v>2.89616515</v>
      </c>
      <c r="I14" s="18" t="n">
        <v>0</v>
      </c>
      <c r="J14" s="20" t="n">
        <v>0</v>
      </c>
      <c r="K14" s="18" t="n">
        <v>0.84063783</v>
      </c>
      <c r="L14" s="20" t="n">
        <v>0.81880032</v>
      </c>
      <c r="M14" s="18" t="n">
        <v>0</v>
      </c>
      <c r="N14" s="20" t="n">
        <v>0</v>
      </c>
      <c r="O14" s="18" t="n">
        <v>0</v>
      </c>
      <c r="P14" s="20" t="n">
        <v>0</v>
      </c>
      <c r="Q14" s="18" t="n">
        <v>1.32391094</v>
      </c>
      <c r="R14" s="20" t="n">
        <v>0.66614606</v>
      </c>
    </row>
    <row r="15" spans="1:18">
      <c r="A15" s="15" t="s">
        <v>573</v>
      </c>
      <c r="B15" s="17" t="n">
        <v>2863</v>
      </c>
      <c r="C15" s="18">
        <f>(2558.0/B15*100)</f>
        <v/>
      </c>
      <c r="D15" s="19" t="n">
        <v>305</v>
      </c>
      <c r="E15" s="18" t="n">
        <v>42.02893029</v>
      </c>
      <c r="F15" s="20" t="n">
        <v>2.60752476</v>
      </c>
      <c r="G15" s="18" t="n">
        <v>57.33994689</v>
      </c>
      <c r="H15" s="20" t="n">
        <v>2.59170945</v>
      </c>
      <c r="I15" s="18" t="n">
        <v>0</v>
      </c>
      <c r="J15" s="20" t="n">
        <v>0</v>
      </c>
      <c r="K15" s="18" t="n">
        <v>0</v>
      </c>
      <c r="L15" s="20" t="n">
        <v>0</v>
      </c>
      <c r="M15" s="18" t="n">
        <v>0</v>
      </c>
      <c r="N15" s="20" t="n">
        <v>0</v>
      </c>
      <c r="O15" s="18" t="n">
        <v>0</v>
      </c>
      <c r="P15" s="20" t="n">
        <v>0</v>
      </c>
      <c r="Q15" s="18" t="n">
        <v>0.63112283</v>
      </c>
      <c r="R15" s="20" t="n">
        <v>0.43520996</v>
      </c>
    </row>
    <row r="16" spans="1:18">
      <c r="A16" s="15" t="s">
        <v>574</v>
      </c>
      <c r="B16" s="17" t="n">
        <v>3111</v>
      </c>
      <c r="C16" s="18">
        <f>(2806.0/B16*100)</f>
        <v/>
      </c>
      <c r="D16" s="19" t="n">
        <v>305</v>
      </c>
      <c r="E16" s="18" t="n">
        <v>60.4113279</v>
      </c>
      <c r="F16" s="20" t="n">
        <v>3.21119081</v>
      </c>
      <c r="G16" s="18" t="n">
        <v>36.97250461</v>
      </c>
      <c r="H16" s="20" t="n">
        <v>3.06337962</v>
      </c>
      <c r="I16" s="18" t="n">
        <v>0</v>
      </c>
      <c r="J16" s="20" t="n">
        <v>0</v>
      </c>
      <c r="K16" s="18" t="n">
        <v>0</v>
      </c>
      <c r="L16" s="20" t="n">
        <v>0</v>
      </c>
      <c r="M16" s="18" t="n">
        <v>0</v>
      </c>
      <c r="N16" s="20" t="n">
        <v>0</v>
      </c>
      <c r="O16" s="18" t="n">
        <v>0</v>
      </c>
      <c r="P16" s="20" t="n">
        <v>0</v>
      </c>
      <c r="Q16" s="18" t="n">
        <v>2.61616748</v>
      </c>
      <c r="R16" s="20" t="n">
        <v>0.97235782</v>
      </c>
    </row>
    <row r="17" spans="1:18">
      <c r="A17" s="15" t="s">
        <v>575</v>
      </c>
      <c r="B17" s="17" t="n">
        <v>3197</v>
      </c>
      <c r="C17" s="18">
        <f>(2839.0/B17*100)</f>
        <v/>
      </c>
      <c r="D17" s="19" t="n">
        <v>358</v>
      </c>
      <c r="E17" s="18" t="n">
        <v>50.37474374</v>
      </c>
      <c r="F17" s="20" t="n">
        <v>3.0987301</v>
      </c>
      <c r="G17" s="18" t="n">
        <v>45.87506095</v>
      </c>
      <c r="H17" s="20" t="n">
        <v>2.99139222</v>
      </c>
      <c r="I17" s="18" t="n">
        <v>0</v>
      </c>
      <c r="J17" s="20" t="n">
        <v>0</v>
      </c>
      <c r="K17" s="18" t="n">
        <v>0.5838964</v>
      </c>
      <c r="L17" s="20" t="n">
        <v>0.42211274</v>
      </c>
      <c r="M17" s="18" t="n">
        <v>0</v>
      </c>
      <c r="N17" s="20" t="n">
        <v>0</v>
      </c>
      <c r="O17" s="18" t="n">
        <v>0</v>
      </c>
      <c r="P17" s="20" t="n">
        <v>0</v>
      </c>
      <c r="Q17" s="18" t="n">
        <v>3.16629891</v>
      </c>
      <c r="R17" s="20" t="n">
        <v>0.9580752300000001</v>
      </c>
    </row>
    <row r="18" spans="1:18">
      <c r="A18" s="15" t="s">
        <v>576</v>
      </c>
      <c r="B18" s="17" t="n">
        <v>2706</v>
      </c>
      <c r="C18" s="18">
        <f>(2440.0/B18*100)</f>
        <v/>
      </c>
      <c r="D18" s="19" t="n">
        <v>266</v>
      </c>
      <c r="E18" s="18" t="n">
        <v>75.43350003</v>
      </c>
      <c r="F18" s="20" t="n">
        <v>2.68066986</v>
      </c>
      <c r="G18" s="18" t="n">
        <v>22.43535403</v>
      </c>
      <c r="H18" s="20" t="n">
        <v>2.6070811</v>
      </c>
      <c r="I18" s="18" t="n">
        <v>0</v>
      </c>
      <c r="J18" s="20" t="n">
        <v>0</v>
      </c>
      <c r="K18" s="18" t="n">
        <v>0</v>
      </c>
      <c r="L18" s="20" t="n">
        <v>0</v>
      </c>
      <c r="M18" s="18" t="n">
        <v>0</v>
      </c>
      <c r="N18" s="20" t="n">
        <v>0</v>
      </c>
      <c r="O18" s="18" t="n">
        <v>0</v>
      </c>
      <c r="P18" s="20" t="n">
        <v>0</v>
      </c>
      <c r="Q18" s="18" t="n">
        <v>2.13114595</v>
      </c>
      <c r="R18" s="20" t="n">
        <v>1.06816174</v>
      </c>
    </row>
    <row r="19" spans="1:18">
      <c r="A19" s="15" t="s">
        <v>577</v>
      </c>
      <c r="B19" s="17" t="n">
        <v>2850</v>
      </c>
      <c r="C19" s="18">
        <f>(2541.0/B19*100)</f>
        <v/>
      </c>
      <c r="D19" s="19" t="n">
        <v>309</v>
      </c>
      <c r="E19" s="18" t="n">
        <v>60.4288165</v>
      </c>
      <c r="F19" s="20" t="n">
        <v>2.49056668</v>
      </c>
      <c r="G19" s="18" t="n">
        <v>37.67423925</v>
      </c>
      <c r="H19" s="20" t="n">
        <v>2.54790399</v>
      </c>
      <c r="I19" s="18" t="n">
        <v>0</v>
      </c>
      <c r="J19" s="20" t="n">
        <v>0</v>
      </c>
      <c r="K19" s="18" t="n">
        <v>0</v>
      </c>
      <c r="L19" s="20" t="n">
        <v>0</v>
      </c>
      <c r="M19" s="18" t="n">
        <v>0.31103992</v>
      </c>
      <c r="N19" s="20" t="n">
        <v>0.31310212</v>
      </c>
      <c r="O19" s="18" t="n">
        <v>0</v>
      </c>
      <c r="P19" s="20" t="n">
        <v>0</v>
      </c>
      <c r="Q19" s="18" t="n">
        <v>1.58590432</v>
      </c>
      <c r="R19" s="20" t="n">
        <v>0.73265797</v>
      </c>
    </row>
    <row r="20" spans="1:18">
      <c r="A20" s="15" t="s">
        <v>578</v>
      </c>
      <c r="B20" s="17" t="n">
        <v>1741</v>
      </c>
      <c r="C20" s="18">
        <f>(1560.0/B20*100)</f>
        <v/>
      </c>
      <c r="D20" s="19" t="n">
        <v>181</v>
      </c>
      <c r="E20" s="18" t="n">
        <v>69.21849760000001</v>
      </c>
      <c r="F20" s="20" t="n">
        <v>3.84361267</v>
      </c>
      <c r="G20" s="18" t="n">
        <v>25.78229347</v>
      </c>
      <c r="H20" s="20" t="n">
        <v>3.54768234</v>
      </c>
      <c r="I20" s="18" t="n">
        <v>0</v>
      </c>
      <c r="J20" s="20" t="n">
        <v>0</v>
      </c>
      <c r="K20" s="18" t="n">
        <v>0.95428877</v>
      </c>
      <c r="L20" s="20" t="n">
        <v>0.67261081</v>
      </c>
      <c r="M20" s="18" t="n">
        <v>0.8486897799999999</v>
      </c>
      <c r="N20" s="20" t="n">
        <v>0.8327201</v>
      </c>
      <c r="O20" s="18" t="n">
        <v>0</v>
      </c>
      <c r="P20" s="20" t="n">
        <v>0</v>
      </c>
      <c r="Q20" s="18" t="n">
        <v>3.19623039</v>
      </c>
      <c r="R20" s="20" t="n">
        <v>1.49340041</v>
      </c>
    </row>
    <row r="21" spans="1:18">
      <c r="A21" s="15" t="s">
        <v>579</v>
      </c>
      <c r="B21" s="17" t="n">
        <v>2833</v>
      </c>
      <c r="C21" s="18">
        <f>(2489.0/B21*100)</f>
        <v/>
      </c>
      <c r="D21" s="19" t="n">
        <v>344</v>
      </c>
      <c r="E21" s="18" t="n">
        <v>58.47540887</v>
      </c>
      <c r="F21" s="20" t="n">
        <v>2.57935358</v>
      </c>
      <c r="G21" s="18" t="n">
        <v>40.24753621</v>
      </c>
      <c r="H21" s="20" t="n">
        <v>2.59751706</v>
      </c>
      <c r="I21" s="18" t="n">
        <v>0</v>
      </c>
      <c r="J21" s="20" t="n">
        <v>0</v>
      </c>
      <c r="K21" s="18" t="n">
        <v>0</v>
      </c>
      <c r="L21" s="20" t="n">
        <v>0</v>
      </c>
      <c r="M21" s="18" t="n">
        <v>0</v>
      </c>
      <c r="N21" s="20" t="n">
        <v>0</v>
      </c>
      <c r="O21" s="18" t="n">
        <v>0</v>
      </c>
      <c r="P21" s="20" t="n">
        <v>0</v>
      </c>
      <c r="Q21" s="18" t="n">
        <v>1.27705493</v>
      </c>
      <c r="R21" s="20" t="n">
        <v>0.57011683</v>
      </c>
    </row>
    <row r="22" spans="1:18">
      <c r="A22" s="15" t="s">
        <v>580</v>
      </c>
      <c r="B22" s="17" t="n">
        <v>3667</v>
      </c>
      <c r="C22" s="18">
        <f>(3268.0/B22*100)</f>
        <v/>
      </c>
      <c r="D22" s="19" t="n">
        <v>399</v>
      </c>
      <c r="E22" s="18" t="n">
        <v>66.46541415999999</v>
      </c>
      <c r="F22" s="20" t="n">
        <v>2.69464762</v>
      </c>
      <c r="G22" s="18" t="n">
        <v>29.99212362</v>
      </c>
      <c r="H22" s="20" t="n">
        <v>2.5324272</v>
      </c>
      <c r="I22" s="18" t="n">
        <v>0</v>
      </c>
      <c r="J22" s="20" t="n">
        <v>0</v>
      </c>
      <c r="K22" s="18" t="n">
        <v>0.2388939</v>
      </c>
      <c r="L22" s="20" t="n">
        <v>0.26657402</v>
      </c>
      <c r="M22" s="18" t="n">
        <v>0</v>
      </c>
      <c r="N22" s="20" t="n">
        <v>0</v>
      </c>
      <c r="O22" s="18" t="n">
        <v>0</v>
      </c>
      <c r="P22" s="20" t="n">
        <v>0</v>
      </c>
      <c r="Q22" s="18" t="n">
        <v>3.30356832</v>
      </c>
      <c r="R22" s="20" t="n">
        <v>0.9763617999999999</v>
      </c>
    </row>
    <row r="23" spans="1:18">
      <c r="A23" s="15" t="s">
        <v>581</v>
      </c>
      <c r="B23" s="17" t="n">
        <v>5792</v>
      </c>
      <c r="C23" s="18">
        <f>(5163.0/B23*100)</f>
        <v/>
      </c>
      <c r="D23" s="19" t="n">
        <v>629</v>
      </c>
      <c r="E23" s="18" t="n">
        <v>70.84602829000001</v>
      </c>
      <c r="F23" s="20" t="n">
        <v>2.91732201</v>
      </c>
      <c r="G23" s="18" t="n">
        <v>26.39383568</v>
      </c>
      <c r="H23" s="20" t="n">
        <v>2.88088458</v>
      </c>
      <c r="I23" s="18" t="n">
        <v>0</v>
      </c>
      <c r="J23" s="20" t="n">
        <v>0</v>
      </c>
      <c r="K23" s="18" t="n">
        <v>0.73142854</v>
      </c>
      <c r="L23" s="20" t="n">
        <v>0.56308287</v>
      </c>
      <c r="M23" s="18" t="n">
        <v>0</v>
      </c>
      <c r="N23" s="20" t="n">
        <v>0</v>
      </c>
      <c r="O23" s="18" t="n">
        <v>0</v>
      </c>
      <c r="P23" s="20" t="n">
        <v>0</v>
      </c>
      <c r="Q23" s="18" t="n">
        <v>2.02870749</v>
      </c>
      <c r="R23" s="20" t="n">
        <v>0.86315948</v>
      </c>
    </row>
    <row r="24" spans="1:18">
      <c r="A24" s="15" t="s">
        <v>582</v>
      </c>
      <c r="B24" s="17" t="n">
        <v>3309</v>
      </c>
      <c r="C24" s="18">
        <f>(2934.0/B24*100)</f>
        <v/>
      </c>
      <c r="D24" s="19" t="n">
        <v>375</v>
      </c>
      <c r="E24" s="18" t="n">
        <v>39.72134956</v>
      </c>
      <c r="F24" s="20" t="n">
        <v>2.40764995</v>
      </c>
      <c r="G24" s="18" t="n">
        <v>59.83512382</v>
      </c>
      <c r="H24" s="20" t="n">
        <v>2.41750753</v>
      </c>
      <c r="I24" s="18" t="n">
        <v>0</v>
      </c>
      <c r="J24" s="20" t="n">
        <v>0</v>
      </c>
      <c r="K24" s="18" t="n">
        <v>0</v>
      </c>
      <c r="L24" s="20" t="n">
        <v>0</v>
      </c>
      <c r="M24" s="18" t="n">
        <v>0</v>
      </c>
      <c r="N24" s="20" t="n">
        <v>0</v>
      </c>
      <c r="O24" s="18" t="n">
        <v>0</v>
      </c>
      <c r="P24" s="20" t="n">
        <v>0</v>
      </c>
      <c r="Q24" s="18" t="n">
        <v>0.44352662</v>
      </c>
      <c r="R24" s="20" t="n">
        <v>0.31708968</v>
      </c>
    </row>
    <row r="25" spans="1:18">
      <c r="A25" s="15" t="s">
        <v>583</v>
      </c>
      <c r="B25" s="17" t="n">
        <v>2669</v>
      </c>
      <c r="C25" s="18">
        <f>(2396.0/B25*100)</f>
        <v/>
      </c>
      <c r="D25" s="19" t="n">
        <v>273</v>
      </c>
      <c r="E25" s="18" t="n">
        <v>44.76898799</v>
      </c>
      <c r="F25" s="20" t="n">
        <v>3.17651607</v>
      </c>
      <c r="G25" s="18" t="n">
        <v>54.27305893</v>
      </c>
      <c r="H25" s="20" t="n">
        <v>3.07905367</v>
      </c>
      <c r="I25" s="18" t="n">
        <v>0</v>
      </c>
      <c r="J25" s="20" t="n">
        <v>0</v>
      </c>
      <c r="K25" s="18" t="n">
        <v>0.33916492</v>
      </c>
      <c r="L25" s="20" t="n">
        <v>0.47668997</v>
      </c>
      <c r="M25" s="18" t="n">
        <v>0</v>
      </c>
      <c r="N25" s="20" t="n">
        <v>0</v>
      </c>
      <c r="O25" s="18" t="n">
        <v>0</v>
      </c>
      <c r="P25" s="20" t="n">
        <v>0</v>
      </c>
      <c r="Q25" s="18" t="n">
        <v>0.61878816</v>
      </c>
      <c r="R25" s="20" t="n">
        <v>0.4413147</v>
      </c>
    </row>
    <row r="26" spans="1:18">
      <c r="A26" s="15" t="s">
        <v>584</v>
      </c>
      <c r="B26" s="17" t="n">
        <v>2419</v>
      </c>
      <c r="C26" s="18">
        <f>(2157.0/B26*100)</f>
        <v/>
      </c>
      <c r="D26" s="19" t="n">
        <v>262</v>
      </c>
      <c r="E26" s="18" t="n">
        <v>52.04594646</v>
      </c>
      <c r="F26" s="20" t="n">
        <v>3.23977951</v>
      </c>
      <c r="G26" s="18" t="n">
        <v>47.28035712</v>
      </c>
      <c r="H26" s="20" t="n">
        <v>3.2362146</v>
      </c>
      <c r="I26" s="18" t="n">
        <v>0</v>
      </c>
      <c r="J26" s="20" t="n">
        <v>0</v>
      </c>
      <c r="K26" s="18" t="n">
        <v>0</v>
      </c>
      <c r="L26" s="20" t="n">
        <v>0</v>
      </c>
      <c r="M26" s="18" t="n">
        <v>0</v>
      </c>
      <c r="N26" s="20" t="n">
        <v>0</v>
      </c>
      <c r="O26" s="18" t="n">
        <v>0</v>
      </c>
      <c r="P26" s="20" t="n">
        <v>0</v>
      </c>
      <c r="Q26" s="18" t="n">
        <v>0.67369641</v>
      </c>
      <c r="R26" s="20" t="n">
        <v>0.45187146</v>
      </c>
    </row>
    <row r="27" spans="1:18">
      <c r="A27" s="15" t="s">
        <v>585</v>
      </c>
      <c r="B27" s="17" t="n">
        <v>2683</v>
      </c>
      <c r="C27" s="18">
        <f>(2376.0/B27*100)</f>
        <v/>
      </c>
      <c r="D27" s="19" t="n">
        <v>307</v>
      </c>
      <c r="E27" s="18" t="n">
        <v>75.39387403000001</v>
      </c>
      <c r="F27" s="20" t="n">
        <v>2.74079885</v>
      </c>
      <c r="G27" s="18" t="n">
        <v>21.05042585</v>
      </c>
      <c r="H27" s="20" t="n">
        <v>2.61362279</v>
      </c>
      <c r="I27" s="18" t="n">
        <v>0</v>
      </c>
      <c r="J27" s="20" t="n">
        <v>0</v>
      </c>
      <c r="K27" s="18" t="n">
        <v>0</v>
      </c>
      <c r="L27" s="20" t="n">
        <v>0</v>
      </c>
      <c r="M27" s="18" t="n">
        <v>0</v>
      </c>
      <c r="N27" s="20" t="n">
        <v>0</v>
      </c>
      <c r="O27" s="18" t="n">
        <v>0</v>
      </c>
      <c r="P27" s="20" t="n">
        <v>0</v>
      </c>
      <c r="Q27" s="18" t="n">
        <v>3.55570013</v>
      </c>
      <c r="R27" s="20" t="n">
        <v>1.06798419</v>
      </c>
    </row>
    <row r="28" spans="1:18">
      <c r="A28" s="15" t="s">
        <v>586</v>
      </c>
      <c r="B28" s="17" t="n">
        <v>3803</v>
      </c>
      <c r="C28" s="18">
        <f>(3444.0/B28*100)</f>
        <v/>
      </c>
      <c r="D28" s="19" t="n">
        <v>359</v>
      </c>
      <c r="E28" s="18" t="n">
        <v>71.97492954000001</v>
      </c>
      <c r="F28" s="20" t="n">
        <v>2.58267494</v>
      </c>
      <c r="G28" s="18" t="n">
        <v>26.28310773</v>
      </c>
      <c r="H28" s="20" t="n">
        <v>2.37019768</v>
      </c>
      <c r="I28" s="18" t="n">
        <v>0</v>
      </c>
      <c r="J28" s="20" t="n">
        <v>0</v>
      </c>
      <c r="K28" s="18" t="n">
        <v>0.72618299</v>
      </c>
      <c r="L28" s="20" t="n">
        <v>0.43858754</v>
      </c>
      <c r="M28" s="18" t="n">
        <v>0.26030481</v>
      </c>
      <c r="N28" s="20" t="n">
        <v>0.27079843</v>
      </c>
      <c r="O28" s="18" t="n">
        <v>0</v>
      </c>
      <c r="P28" s="20" t="n">
        <v>0</v>
      </c>
      <c r="Q28" s="18" t="n">
        <v>0.75547493</v>
      </c>
      <c r="R28" s="20" t="n">
        <v>0.55244587</v>
      </c>
    </row>
    <row r="29" spans="1:18">
      <c r="A29" s="15" t="s">
        <v>587</v>
      </c>
      <c r="B29" s="17" t="n">
        <v>2700</v>
      </c>
      <c r="C29" s="18">
        <f>(2395.0/B29*100)</f>
        <v/>
      </c>
      <c r="D29" s="19" t="n">
        <v>305</v>
      </c>
      <c r="E29" s="18" t="n">
        <v>50.15090847</v>
      </c>
      <c r="F29" s="20" t="n">
        <v>3.33688363</v>
      </c>
      <c r="G29" s="18" t="n">
        <v>49.06765134</v>
      </c>
      <c r="H29" s="20" t="n">
        <v>3.28273591</v>
      </c>
      <c r="I29" s="18" t="n">
        <v>0</v>
      </c>
      <c r="J29" s="20" t="n">
        <v>0</v>
      </c>
      <c r="K29" s="18" t="n">
        <v>0.42764208</v>
      </c>
      <c r="L29" s="20" t="n">
        <v>0.33070974</v>
      </c>
      <c r="M29" s="18" t="n">
        <v>0</v>
      </c>
      <c r="N29" s="20" t="n">
        <v>0</v>
      </c>
      <c r="O29" s="18" t="n">
        <v>0</v>
      </c>
      <c r="P29" s="20" t="n">
        <v>0</v>
      </c>
      <c r="Q29" s="18" t="n">
        <v>0.35379811</v>
      </c>
      <c r="R29" s="20" t="n">
        <v>0.35422509</v>
      </c>
    </row>
    <row r="30" spans="1:18">
      <c r="A30" s="15" t="s">
        <v>588</v>
      </c>
      <c r="B30" s="17" t="n">
        <v>2257</v>
      </c>
      <c r="C30" s="18">
        <f>(2016.0/B30*100)</f>
        <v/>
      </c>
      <c r="D30" s="19" t="n">
        <v>241</v>
      </c>
      <c r="E30" s="18" t="n">
        <v>53.43896835</v>
      </c>
      <c r="F30" s="20" t="n">
        <v>3.45119334</v>
      </c>
      <c r="G30" s="18" t="n">
        <v>42.88210885</v>
      </c>
      <c r="H30" s="20" t="n">
        <v>3.15087243</v>
      </c>
      <c r="I30" s="18" t="n">
        <v>0</v>
      </c>
      <c r="J30" s="20" t="n">
        <v>0</v>
      </c>
      <c r="K30" s="18" t="n">
        <v>0.40193767</v>
      </c>
      <c r="L30" s="20" t="n">
        <v>0.35103426</v>
      </c>
      <c r="M30" s="18" t="n">
        <v>0</v>
      </c>
      <c r="N30" s="20" t="n">
        <v>0</v>
      </c>
      <c r="O30" s="18" t="n">
        <v>0</v>
      </c>
      <c r="P30" s="20" t="n">
        <v>0</v>
      </c>
      <c r="Q30" s="18" t="n">
        <v>3.27698513</v>
      </c>
      <c r="R30" s="20" t="n">
        <v>1.42357851</v>
      </c>
    </row>
    <row r="31" spans="1:18">
      <c r="A31" s="15" t="s">
        <v>589</v>
      </c>
      <c r="B31" s="17" t="n">
        <v>2706</v>
      </c>
      <c r="C31" s="18">
        <f>(2420.0/B31*100)</f>
        <v/>
      </c>
      <c r="D31" s="19" t="n">
        <v>286</v>
      </c>
      <c r="E31" s="18" t="n">
        <v>58.7567686</v>
      </c>
      <c r="F31" s="20" t="n">
        <v>2.71211565</v>
      </c>
      <c r="G31" s="18" t="n">
        <v>35.3231343</v>
      </c>
      <c r="H31" s="20" t="n">
        <v>2.45157232</v>
      </c>
      <c r="I31" s="18" t="n">
        <v>0</v>
      </c>
      <c r="J31" s="20" t="n">
        <v>0</v>
      </c>
      <c r="K31" s="18" t="n">
        <v>0.65773889</v>
      </c>
      <c r="L31" s="20" t="n">
        <v>0.43713077</v>
      </c>
      <c r="M31" s="18" t="n">
        <v>0</v>
      </c>
      <c r="N31" s="20" t="n">
        <v>0</v>
      </c>
      <c r="O31" s="18" t="n">
        <v>0</v>
      </c>
      <c r="P31" s="20" t="n">
        <v>0</v>
      </c>
      <c r="Q31" s="18" t="n">
        <v>5.26235821</v>
      </c>
      <c r="R31" s="20" t="n">
        <v>1.28215289</v>
      </c>
    </row>
    <row r="32" spans="1:18">
      <c r="A32" s="15" t="s">
        <v>590</v>
      </c>
      <c r="B32" s="17" t="n">
        <v>2209</v>
      </c>
      <c r="C32" s="18">
        <f>(1968.0/B32*100)</f>
        <v/>
      </c>
      <c r="D32" s="19" t="n">
        <v>241</v>
      </c>
      <c r="E32" s="18" t="n">
        <v>43.79075005</v>
      </c>
      <c r="F32" s="20" t="n">
        <v>3.01507927</v>
      </c>
      <c r="G32" s="18" t="n">
        <v>54.87771689</v>
      </c>
      <c r="H32" s="20" t="n">
        <v>2.98858747</v>
      </c>
      <c r="I32" s="18" t="n">
        <v>0</v>
      </c>
      <c r="J32" s="20" t="n">
        <v>0</v>
      </c>
      <c r="K32" s="18" t="n">
        <v>0.43763536</v>
      </c>
      <c r="L32" s="20" t="n">
        <v>0.44316376</v>
      </c>
      <c r="M32" s="18" t="n">
        <v>0</v>
      </c>
      <c r="N32" s="20" t="n">
        <v>0</v>
      </c>
      <c r="O32" s="18" t="n">
        <v>0</v>
      </c>
      <c r="P32" s="20" t="n">
        <v>0</v>
      </c>
      <c r="Q32" s="18" t="n">
        <v>0.8938977</v>
      </c>
      <c r="R32" s="20" t="n">
        <v>0.65538206</v>
      </c>
    </row>
    <row r="33" spans="1:18">
      <c r="A33" s="15" t="s">
        <v>591</v>
      </c>
      <c r="B33" s="17" t="n">
        <v>3651</v>
      </c>
      <c r="C33" s="18">
        <f>(3265.0/B33*100)</f>
        <v/>
      </c>
      <c r="D33" s="19" t="n">
        <v>386</v>
      </c>
      <c r="E33" s="18" t="n">
        <v>76.86426536</v>
      </c>
      <c r="F33" s="20" t="n">
        <v>2.32412489</v>
      </c>
      <c r="G33" s="18" t="n">
        <v>21.08527825</v>
      </c>
      <c r="H33" s="20" t="n">
        <v>2.23956587</v>
      </c>
      <c r="I33" s="18" t="n">
        <v>0</v>
      </c>
      <c r="J33" s="20" t="n">
        <v>0</v>
      </c>
      <c r="K33" s="18" t="n">
        <v>0</v>
      </c>
      <c r="L33" s="20" t="n">
        <v>0</v>
      </c>
      <c r="M33" s="18" t="n">
        <v>0</v>
      </c>
      <c r="N33" s="20" t="n">
        <v>0</v>
      </c>
      <c r="O33" s="18" t="n">
        <v>0</v>
      </c>
      <c r="P33" s="20" t="n">
        <v>0</v>
      </c>
      <c r="Q33" s="18" t="n">
        <v>2.05045638</v>
      </c>
      <c r="R33" s="20" t="n">
        <v>0.9909833300000001</v>
      </c>
    </row>
    <row r="34" spans="1:18">
      <c r="A34" s="15" t="s">
        <v>592</v>
      </c>
      <c r="B34" s="17" t="n">
        <v>3035</v>
      </c>
      <c r="C34" s="18">
        <f>(2727.0/B34*100)</f>
        <v/>
      </c>
      <c r="D34" s="19" t="n">
        <v>308</v>
      </c>
      <c r="E34" s="18" t="n">
        <v>59.4254994</v>
      </c>
      <c r="F34" s="20" t="n">
        <v>2.92217245</v>
      </c>
      <c r="G34" s="18" t="n">
        <v>38.4763303</v>
      </c>
      <c r="H34" s="20" t="n">
        <v>2.84330752</v>
      </c>
      <c r="I34" s="18" t="n">
        <v>0</v>
      </c>
      <c r="J34" s="20" t="n">
        <v>0</v>
      </c>
      <c r="K34" s="18" t="n">
        <v>0.44301751</v>
      </c>
      <c r="L34" s="20" t="n">
        <v>0.24866128</v>
      </c>
      <c r="M34" s="18" t="n">
        <v>0</v>
      </c>
      <c r="N34" s="20" t="n">
        <v>0</v>
      </c>
      <c r="O34" s="18" t="n">
        <v>0</v>
      </c>
      <c r="P34" s="20" t="n">
        <v>0</v>
      </c>
      <c r="Q34" s="18" t="n">
        <v>1.65515279</v>
      </c>
      <c r="R34" s="20" t="n">
        <v>0.77845109</v>
      </c>
    </row>
    <row r="35" spans="1:18">
      <c r="A35" s="15" t="s">
        <v>593</v>
      </c>
      <c r="B35" s="17" t="n">
        <v>2901</v>
      </c>
      <c r="C35" s="18">
        <f>(2576.0/B35*100)</f>
        <v/>
      </c>
      <c r="D35" s="19" t="n">
        <v>325</v>
      </c>
      <c r="E35" s="18" t="n">
        <v>51.09188028</v>
      </c>
      <c r="F35" s="20" t="n">
        <v>3.01989256</v>
      </c>
      <c r="G35" s="18" t="n">
        <v>48.03982523</v>
      </c>
      <c r="H35" s="20" t="n">
        <v>2.97437356</v>
      </c>
      <c r="I35" s="18" t="n">
        <v>0</v>
      </c>
      <c r="J35" s="20" t="n">
        <v>0</v>
      </c>
      <c r="K35" s="18" t="n">
        <v>0</v>
      </c>
      <c r="L35" s="20" t="n">
        <v>0</v>
      </c>
      <c r="M35" s="18" t="n">
        <v>0</v>
      </c>
      <c r="N35" s="20" t="n">
        <v>0</v>
      </c>
      <c r="O35" s="18" t="n">
        <v>0</v>
      </c>
      <c r="P35" s="20" t="n">
        <v>0</v>
      </c>
      <c r="Q35" s="18" t="n">
        <v>0.86829449</v>
      </c>
      <c r="R35" s="20" t="n">
        <v>0.40738319</v>
      </c>
    </row>
    <row r="36" spans="1:18">
      <c r="A36" s="15" t="s">
        <v>594</v>
      </c>
      <c r="B36" s="17" t="n">
        <v>3404</v>
      </c>
      <c r="C36" s="18">
        <f>(3037.0/B36*100)</f>
        <v/>
      </c>
      <c r="D36" s="19" t="n">
        <v>367</v>
      </c>
      <c r="E36" s="18" t="n">
        <v>65.40148095000001</v>
      </c>
      <c r="F36" s="20" t="n">
        <v>2.57316421</v>
      </c>
      <c r="G36" s="18" t="n">
        <v>31.6485074</v>
      </c>
      <c r="H36" s="20" t="n">
        <v>2.36195329</v>
      </c>
      <c r="I36" s="18" t="n">
        <v>0</v>
      </c>
      <c r="J36" s="20" t="n">
        <v>0</v>
      </c>
      <c r="K36" s="18" t="n">
        <v>0</v>
      </c>
      <c r="L36" s="20" t="n">
        <v>0</v>
      </c>
      <c r="M36" s="18" t="n">
        <v>0</v>
      </c>
      <c r="N36" s="20" t="n">
        <v>0</v>
      </c>
      <c r="O36" s="18" t="n">
        <v>0</v>
      </c>
      <c r="P36" s="20" t="n">
        <v>0</v>
      </c>
      <c r="Q36" s="18" t="n">
        <v>2.95001165</v>
      </c>
      <c r="R36" s="20" t="n">
        <v>0.9106661</v>
      </c>
    </row>
    <row r="37" spans="1:18">
      <c r="A37" s="15" t="s">
        <v>595</v>
      </c>
      <c r="B37" s="17" t="n">
        <v>2731</v>
      </c>
      <c r="C37" s="18">
        <f>(2441.0/B37*100)</f>
        <v/>
      </c>
      <c r="D37" s="19" t="n">
        <v>290</v>
      </c>
      <c r="E37" s="18" t="n">
        <v>60.73956557</v>
      </c>
      <c r="F37" s="20" t="n">
        <v>2.97518106</v>
      </c>
      <c r="G37" s="18" t="n">
        <v>33.7747878</v>
      </c>
      <c r="H37" s="20" t="n">
        <v>2.90229259</v>
      </c>
      <c r="I37" s="18" t="n">
        <v>0</v>
      </c>
      <c r="J37" s="20" t="n">
        <v>0</v>
      </c>
      <c r="K37" s="18" t="n">
        <v>0.57875294</v>
      </c>
      <c r="L37" s="20" t="n">
        <v>0.57854996</v>
      </c>
      <c r="M37" s="18" t="n">
        <v>0</v>
      </c>
      <c r="N37" s="20" t="n">
        <v>0</v>
      </c>
      <c r="O37" s="18" t="n">
        <v>0</v>
      </c>
      <c r="P37" s="20" t="n">
        <v>0</v>
      </c>
      <c r="Q37" s="18" t="n">
        <v>4.9068937</v>
      </c>
      <c r="R37" s="20" t="n">
        <v>1.32037137</v>
      </c>
    </row>
    <row r="38" spans="1:18">
      <c r="A38" s="15" t="s">
        <v>596</v>
      </c>
      <c r="B38" s="17" t="n">
        <v>2807</v>
      </c>
      <c r="C38" s="18">
        <f>(2516.0/B38*100)</f>
        <v/>
      </c>
      <c r="D38" s="19" t="n">
        <v>291</v>
      </c>
      <c r="E38" s="18" t="n">
        <v>62.38972495</v>
      </c>
      <c r="F38" s="20" t="n">
        <v>2.9804844</v>
      </c>
      <c r="G38" s="18" t="n">
        <v>33.73015181</v>
      </c>
      <c r="H38" s="20" t="n">
        <v>3.04395516</v>
      </c>
      <c r="I38" s="18" t="n">
        <v>0</v>
      </c>
      <c r="J38" s="20" t="n">
        <v>0</v>
      </c>
      <c r="K38" s="18" t="n">
        <v>0.28443314</v>
      </c>
      <c r="L38" s="20" t="n">
        <v>0.2856392</v>
      </c>
      <c r="M38" s="18" t="n">
        <v>1.7814202</v>
      </c>
      <c r="N38" s="20" t="n">
        <v>0.86145606</v>
      </c>
      <c r="O38" s="18" t="n">
        <v>0</v>
      </c>
      <c r="P38" s="20" t="n">
        <v>0</v>
      </c>
      <c r="Q38" s="18" t="n">
        <v>1.81426991</v>
      </c>
      <c r="R38" s="20" t="n">
        <v>0.72247524</v>
      </c>
    </row>
    <row r="39" spans="1:18">
      <c r="A39" s="15" t="s">
        <v>597</v>
      </c>
      <c r="B39" s="17" t="n">
        <v>2938</v>
      </c>
      <c r="C39" s="18">
        <f>(2613.0/B39*100)</f>
        <v/>
      </c>
      <c r="D39" s="19" t="n">
        <v>325</v>
      </c>
      <c r="E39" s="18" t="n">
        <v>79.22503442</v>
      </c>
      <c r="F39" s="20" t="n">
        <v>2.04290402</v>
      </c>
      <c r="G39" s="18" t="n">
        <v>19.75746315</v>
      </c>
      <c r="H39" s="20" t="n">
        <v>2.16109694</v>
      </c>
      <c r="I39" s="18" t="n">
        <v>0</v>
      </c>
      <c r="J39" s="20" t="n">
        <v>0</v>
      </c>
      <c r="K39" s="18" t="n">
        <v>0</v>
      </c>
      <c r="L39" s="20" t="n">
        <v>0</v>
      </c>
      <c r="M39" s="18" t="n">
        <v>0</v>
      </c>
      <c r="N39" s="20" t="n">
        <v>0</v>
      </c>
      <c r="O39" s="18" t="n">
        <v>0</v>
      </c>
      <c r="P39" s="20" t="n">
        <v>0</v>
      </c>
      <c r="Q39" s="18" t="n">
        <v>1.01750243</v>
      </c>
      <c r="R39" s="20" t="n">
        <v>0.68970281</v>
      </c>
    </row>
    <row r="40" spans="1:18">
      <c r="A40" s="15" t="s">
        <v>598</v>
      </c>
      <c r="B40" s="17" t="n">
        <v>6922</v>
      </c>
      <c r="C40" s="18">
        <f>(6188.0/B40*100)</f>
        <v/>
      </c>
      <c r="D40" s="19" t="n">
        <v>734</v>
      </c>
      <c r="E40" s="18" t="n">
        <v>63.86397149</v>
      </c>
      <c r="F40" s="20" t="n">
        <v>3.24897348</v>
      </c>
      <c r="G40" s="18" t="n">
        <v>33.34389456</v>
      </c>
      <c r="H40" s="20" t="n">
        <v>3.31716974</v>
      </c>
      <c r="I40" s="18" t="n">
        <v>0</v>
      </c>
      <c r="J40" s="20" t="n">
        <v>0</v>
      </c>
      <c r="K40" s="18" t="n">
        <v>0.19066355</v>
      </c>
      <c r="L40" s="20" t="n">
        <v>0.12709732</v>
      </c>
      <c r="M40" s="18" t="n">
        <v>0</v>
      </c>
      <c r="N40" s="20" t="n">
        <v>0</v>
      </c>
      <c r="O40" s="18" t="n">
        <v>0</v>
      </c>
      <c r="P40" s="20" t="n">
        <v>0</v>
      </c>
      <c r="Q40" s="18" t="n">
        <v>2.60147039</v>
      </c>
      <c r="R40" s="20" t="n">
        <v>0.93434323</v>
      </c>
    </row>
    <row r="41" spans="1:18">
      <c r="A41" s="15" t="s">
        <v>599</v>
      </c>
      <c r="B41" s="17" t="n">
        <v>2854</v>
      </c>
      <c r="C41" s="18">
        <f>(2557.0/B41*100)</f>
        <v/>
      </c>
      <c r="D41" s="19" t="n">
        <v>297</v>
      </c>
      <c r="E41" s="18" t="n">
        <v>60.89232582</v>
      </c>
      <c r="F41" s="20" t="n">
        <v>2.95678687</v>
      </c>
      <c r="G41" s="18" t="n">
        <v>38.70869606</v>
      </c>
      <c r="H41" s="20" t="n">
        <v>2.94107983</v>
      </c>
      <c r="I41" s="18" t="n">
        <v>0</v>
      </c>
      <c r="J41" s="20" t="n">
        <v>0</v>
      </c>
      <c r="K41" s="18" t="n">
        <v>0</v>
      </c>
      <c r="L41" s="20" t="n">
        <v>0</v>
      </c>
      <c r="M41" s="18" t="n">
        <v>0</v>
      </c>
      <c r="N41" s="20" t="n">
        <v>0</v>
      </c>
      <c r="O41" s="18" t="n">
        <v>0</v>
      </c>
      <c r="P41" s="20" t="n">
        <v>0</v>
      </c>
      <c r="Q41" s="18" t="n">
        <v>0.39897812</v>
      </c>
      <c r="R41" s="20" t="n">
        <v>0.39315387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(11068.0/B46*100)</f>
        <v/>
      </c>
      <c r="D46" s="19" t="n">
        <v>1005</v>
      </c>
      <c r="E46" s="18" t="n">
        <v>80.62806917</v>
      </c>
      <c r="F46" s="20" t="n">
        <v>1.4910587</v>
      </c>
      <c r="G46" s="18" t="n">
        <v>16.67666733</v>
      </c>
      <c r="H46" s="20" t="n">
        <v>1.41111279</v>
      </c>
      <c r="I46" s="18" t="n">
        <v>0</v>
      </c>
      <c r="J46" s="20" t="n">
        <v>0</v>
      </c>
      <c r="K46" s="18" t="n">
        <v>0.67684719</v>
      </c>
      <c r="L46" s="20" t="n">
        <v>0.29411999</v>
      </c>
      <c r="M46" s="18" t="n">
        <v>0.28184322</v>
      </c>
      <c r="N46" s="20" t="n">
        <v>0.23948256</v>
      </c>
      <c r="O46" s="18" t="n">
        <v>0</v>
      </c>
      <c r="P46" s="20" t="n">
        <v>0</v>
      </c>
      <c r="Q46" s="18" t="n">
        <v>1.73657309</v>
      </c>
      <c r="R46" s="20" t="n">
        <v>0.44363048</v>
      </c>
    </row>
    <row r="47" spans="1:18">
      <c r="A47" s="15" t="s">
        <v>606</v>
      </c>
      <c r="B47" s="17" t="n">
        <v>2823</v>
      </c>
      <c r="C47" s="18">
        <f>(2526.0/B47*100)</f>
        <v/>
      </c>
      <c r="D47" s="19" t="n">
        <v>297</v>
      </c>
      <c r="E47" s="18" t="n">
        <v>67.15484572</v>
      </c>
      <c r="F47" s="20" t="n">
        <v>2.73505618</v>
      </c>
      <c r="G47" s="18" t="n">
        <v>11.07088082</v>
      </c>
      <c r="H47" s="20" t="n">
        <v>1.82640515</v>
      </c>
      <c r="I47" s="18" t="n">
        <v>0</v>
      </c>
      <c r="J47" s="20" t="n">
        <v>0</v>
      </c>
      <c r="K47" s="18" t="n">
        <v>2.32997508</v>
      </c>
      <c r="L47" s="20" t="n">
        <v>0.9246126099999999</v>
      </c>
      <c r="M47" s="18" t="n">
        <v>1.35082128</v>
      </c>
      <c r="N47" s="20" t="n">
        <v>0.67948169</v>
      </c>
      <c r="O47" s="18" t="n">
        <v>0</v>
      </c>
      <c r="P47" s="20" t="n">
        <v>0</v>
      </c>
      <c r="Q47" s="18" t="n">
        <v>18.0934771</v>
      </c>
      <c r="R47" s="20" t="n">
        <v>2.61297635</v>
      </c>
    </row>
    <row r="48" spans="1:18">
      <c r="A48" s="15" t="s">
        <v>607</v>
      </c>
      <c r="B48" s="17" t="n">
        <v>4682</v>
      </c>
      <c r="C48" s="18">
        <f>(4190.0/B48*100)</f>
        <v/>
      </c>
      <c r="D48" s="19" t="n">
        <v>492</v>
      </c>
      <c r="E48" s="18" t="n">
        <v>58.39202734</v>
      </c>
      <c r="F48" s="20" t="n">
        <v>3.45155452</v>
      </c>
      <c r="G48" s="18" t="n">
        <v>40.31166752</v>
      </c>
      <c r="H48" s="20" t="n">
        <v>3.54162477</v>
      </c>
      <c r="I48" s="18" t="n">
        <v>0</v>
      </c>
      <c r="J48" s="20" t="n">
        <v>0</v>
      </c>
      <c r="K48" s="18" t="n">
        <v>0.31151414</v>
      </c>
      <c r="L48" s="20" t="n">
        <v>0.31564111</v>
      </c>
      <c r="M48" s="18" t="n">
        <v>0.01785347</v>
      </c>
      <c r="N48" s="20" t="n">
        <v>0.01716691</v>
      </c>
      <c r="O48" s="18" t="n">
        <v>0</v>
      </c>
      <c r="P48" s="20" t="n">
        <v>0</v>
      </c>
      <c r="Q48" s="18" t="n">
        <v>0.96693753</v>
      </c>
      <c r="R48" s="20" t="n">
        <v>0.57113478</v>
      </c>
    </row>
    <row r="49" spans="1:18">
      <c r="A49" s="15" t="s">
        <v>608</v>
      </c>
      <c r="B49" s="17" t="n">
        <v>6158</v>
      </c>
      <c r="C49" s="18">
        <f>(5508.0/B49*100)</f>
        <v/>
      </c>
      <c r="D49" s="19" t="n">
        <v>650</v>
      </c>
      <c r="E49" s="18" t="n">
        <v>74.48315137</v>
      </c>
      <c r="F49" s="20" t="n">
        <v>2.20557677</v>
      </c>
      <c r="G49" s="18" t="n">
        <v>22.21031112</v>
      </c>
      <c r="H49" s="20" t="n">
        <v>2.13446897</v>
      </c>
      <c r="I49" s="18" t="n">
        <v>0</v>
      </c>
      <c r="J49" s="20" t="n">
        <v>0</v>
      </c>
      <c r="K49" s="18" t="n">
        <v>1.18110105</v>
      </c>
      <c r="L49" s="20" t="n">
        <v>0.44456837</v>
      </c>
      <c r="M49" s="18" t="n">
        <v>0.15619885</v>
      </c>
      <c r="N49" s="20" t="n">
        <v>0.10907033</v>
      </c>
      <c r="O49" s="18" t="n">
        <v>0</v>
      </c>
      <c r="P49" s="20" t="n">
        <v>0</v>
      </c>
      <c r="Q49" s="18" t="n">
        <v>1.96923761</v>
      </c>
      <c r="R49" s="20" t="n">
        <v>0.64380699</v>
      </c>
    </row>
    <row r="50" spans="1:18">
      <c r="A50" s="15" t="s">
        <v>609</v>
      </c>
      <c r="B50" s="17" t="n">
        <v>3494</v>
      </c>
      <c r="C50" s="18">
        <f>(3177.0/B50*100)</f>
        <v/>
      </c>
      <c r="D50" s="19" t="n">
        <v>317</v>
      </c>
      <c r="E50" s="18" t="n">
        <v>77.43647221000001</v>
      </c>
      <c r="F50" s="20" t="n">
        <v>2.45087131</v>
      </c>
      <c r="G50" s="18" t="n">
        <v>21.00289458</v>
      </c>
      <c r="H50" s="20" t="n">
        <v>2.46956855</v>
      </c>
      <c r="I50" s="18" t="n">
        <v>0</v>
      </c>
      <c r="J50" s="20" t="n">
        <v>0</v>
      </c>
      <c r="K50" s="18" t="n">
        <v>0.32709924</v>
      </c>
      <c r="L50" s="20" t="n">
        <v>0.33538713</v>
      </c>
      <c r="M50" s="18" t="n">
        <v>0</v>
      </c>
      <c r="N50" s="20" t="n">
        <v>0</v>
      </c>
      <c r="O50" s="18" t="n">
        <v>0</v>
      </c>
      <c r="P50" s="20" t="n">
        <v>0</v>
      </c>
      <c r="Q50" s="18" t="n">
        <v>1.23353398</v>
      </c>
      <c r="R50" s="20" t="n">
        <v>0.52067269</v>
      </c>
    </row>
    <row r="51" spans="1:18">
      <c r="A51" s="15" t="s">
        <v>610</v>
      </c>
      <c r="B51" s="17" t="n">
        <v>3013</v>
      </c>
      <c r="C51" s="18">
        <f>(2701.0/B51*100)</f>
        <v/>
      </c>
      <c r="D51" s="19" t="n">
        <v>312</v>
      </c>
      <c r="E51" s="18" t="n">
        <v>69.37700581</v>
      </c>
      <c r="F51" s="20" t="n">
        <v>2.60090998</v>
      </c>
      <c r="G51" s="18" t="n">
        <v>29.73474329</v>
      </c>
      <c r="H51" s="20" t="n">
        <v>2.55810758</v>
      </c>
      <c r="I51" s="18" t="n">
        <v>0</v>
      </c>
      <c r="J51" s="20" t="n">
        <v>0</v>
      </c>
      <c r="K51" s="18" t="n">
        <v>0.36076897</v>
      </c>
      <c r="L51" s="20" t="n">
        <v>0.34980662</v>
      </c>
      <c r="M51" s="18" t="n">
        <v>0</v>
      </c>
      <c r="N51" s="20" t="n">
        <v>0</v>
      </c>
      <c r="O51" s="18" t="n">
        <v>0</v>
      </c>
      <c r="P51" s="20" t="n">
        <v>0</v>
      </c>
      <c r="Q51" s="18" t="n">
        <v>0.52748193</v>
      </c>
      <c r="R51" s="20" t="n">
        <v>0.36756603</v>
      </c>
    </row>
    <row r="52" spans="1:18">
      <c r="A52" s="15" t="s">
        <v>611</v>
      </c>
      <c r="B52" s="17" t="n">
        <v>2760</v>
      </c>
      <c r="C52" s="18">
        <f>(2468.0/B52*100)</f>
        <v/>
      </c>
      <c r="D52" s="19" t="n">
        <v>292</v>
      </c>
      <c r="E52" s="18" t="n">
        <v>68.95381232</v>
      </c>
      <c r="F52" s="20" t="n">
        <v>3.18852871</v>
      </c>
      <c r="G52" s="18" t="n">
        <v>27.44938906</v>
      </c>
      <c r="H52" s="20" t="n">
        <v>2.84848763</v>
      </c>
      <c r="I52" s="18" t="n">
        <v>0</v>
      </c>
      <c r="J52" s="20" t="n">
        <v>0</v>
      </c>
      <c r="K52" s="18" t="n">
        <v>0.2844706</v>
      </c>
      <c r="L52" s="20" t="n">
        <v>0.28549509</v>
      </c>
      <c r="M52" s="18" t="n">
        <v>0</v>
      </c>
      <c r="N52" s="20" t="n">
        <v>0</v>
      </c>
      <c r="O52" s="18" t="n">
        <v>0</v>
      </c>
      <c r="P52" s="20" t="n">
        <v>0</v>
      </c>
      <c r="Q52" s="18" t="n">
        <v>3.31232802</v>
      </c>
      <c r="R52" s="20" t="n">
        <v>1.08866514</v>
      </c>
    </row>
    <row r="53" spans="1:18">
      <c r="A53" s="15" t="s">
        <v>612</v>
      </c>
      <c r="B53" s="17" t="n">
        <v>2474</v>
      </c>
      <c r="C53" s="18">
        <f>(2186.0/B53*100)</f>
        <v/>
      </c>
      <c r="D53" s="19" t="n">
        <v>288</v>
      </c>
      <c r="E53" s="18" t="n">
        <v>75.44078485</v>
      </c>
      <c r="F53" s="20" t="n">
        <v>2.84870831</v>
      </c>
      <c r="G53" s="18" t="n">
        <v>6.09906687</v>
      </c>
      <c r="H53" s="20" t="n">
        <v>1.16100834</v>
      </c>
      <c r="I53" s="18" t="n">
        <v>0</v>
      </c>
      <c r="J53" s="20" t="n">
        <v>0</v>
      </c>
      <c r="K53" s="18" t="n">
        <v>16.00524654</v>
      </c>
      <c r="L53" s="20" t="n">
        <v>2.55806445</v>
      </c>
      <c r="M53" s="18" t="n">
        <v>0.38774158</v>
      </c>
      <c r="N53" s="20" t="n">
        <v>0.42115795</v>
      </c>
      <c r="O53" s="18" t="n">
        <v>0</v>
      </c>
      <c r="P53" s="20" t="n">
        <v>0</v>
      </c>
      <c r="Q53" s="18" t="n">
        <v>2.06716016</v>
      </c>
      <c r="R53" s="20" t="n">
        <v>1.0994786</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(2393.0/B55*100)</f>
        <v/>
      </c>
      <c r="D55" s="19" t="n">
        <v>282</v>
      </c>
      <c r="E55" s="18" t="n">
        <v>47.44404341</v>
      </c>
      <c r="F55" s="20" t="n">
        <v>2.71454382</v>
      </c>
      <c r="G55" s="18" t="n">
        <v>51.53920855</v>
      </c>
      <c r="H55" s="20" t="n">
        <v>2.74028687</v>
      </c>
      <c r="I55" s="18" t="n">
        <v>0</v>
      </c>
      <c r="J55" s="20" t="n">
        <v>0</v>
      </c>
      <c r="K55" s="18" t="n">
        <v>0</v>
      </c>
      <c r="L55" s="20" t="n">
        <v>0</v>
      </c>
      <c r="M55" s="18" t="n">
        <v>0</v>
      </c>
      <c r="N55" s="20" t="n">
        <v>0</v>
      </c>
      <c r="O55" s="18" t="n">
        <v>0</v>
      </c>
      <c r="P55" s="20" t="n">
        <v>0</v>
      </c>
      <c r="Q55" s="18" t="n">
        <v>1.01674804</v>
      </c>
      <c r="R55" s="20" t="n">
        <v>0.55942571</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(2843.0/B61*100)</f>
        <v/>
      </c>
      <c r="D61" s="19" t="n">
        <v>358</v>
      </c>
      <c r="E61" s="18" t="n">
        <v>43.62833637</v>
      </c>
      <c r="F61" s="20" t="n">
        <v>2.95982454</v>
      </c>
      <c r="G61" s="18" t="n">
        <v>55.2927796</v>
      </c>
      <c r="H61" s="20" t="n">
        <v>2.88709742</v>
      </c>
      <c r="I61" s="18" t="n">
        <v>0</v>
      </c>
      <c r="J61" s="20" t="n">
        <v>0</v>
      </c>
      <c r="K61" s="18" t="n">
        <v>0.37408077</v>
      </c>
      <c r="L61" s="20" t="n">
        <v>0.22894246</v>
      </c>
      <c r="M61" s="18" t="n">
        <v>0</v>
      </c>
      <c r="N61" s="20" t="n">
        <v>0</v>
      </c>
      <c r="O61" s="18" t="n">
        <v>0</v>
      </c>
      <c r="P61" s="20" t="n">
        <v>0</v>
      </c>
      <c r="Q61" s="18" t="n">
        <v>0.70480326</v>
      </c>
      <c r="R61" s="20" t="n">
        <v>0.50969574</v>
      </c>
    </row>
    <row r="62" spans="1:18">
      <c r="A62" s="15" t="s">
        <v>622</v>
      </c>
      <c r="B62" s="17" t="n">
        <v>2230</v>
      </c>
      <c r="C62" s="18">
        <f>(2012.0/B62*100)</f>
        <v/>
      </c>
      <c r="D62" s="19" t="n">
        <v>218</v>
      </c>
      <c r="E62" s="18" t="n">
        <v>51.43221721</v>
      </c>
      <c r="F62" s="20" t="n">
        <v>3.62334717</v>
      </c>
      <c r="G62" s="18" t="n">
        <v>48.11139232</v>
      </c>
      <c r="H62" s="20" t="n">
        <v>3.65007415</v>
      </c>
      <c r="I62" s="18" t="n">
        <v>0</v>
      </c>
      <c r="J62" s="20" t="n">
        <v>0</v>
      </c>
      <c r="K62" s="18" t="n">
        <v>0</v>
      </c>
      <c r="L62" s="20" t="n">
        <v>0</v>
      </c>
      <c r="M62" s="18" t="n">
        <v>0</v>
      </c>
      <c r="N62" s="20" t="n">
        <v>0</v>
      </c>
      <c r="O62" s="18" t="n">
        <v>0</v>
      </c>
      <c r="P62" s="20" t="n">
        <v>0</v>
      </c>
      <c r="Q62" s="18" t="n">
        <v>0.45639048</v>
      </c>
      <c r="R62" s="20" t="n">
        <v>0.46013883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(2468.0/B67*100)</f>
        <v/>
      </c>
      <c r="D67" s="19" t="n">
        <v>303</v>
      </c>
      <c r="E67" s="18" t="n">
        <v>74.89317339999999</v>
      </c>
      <c r="F67" s="20" t="n">
        <v>2.42866227</v>
      </c>
      <c r="G67" s="18" t="n">
        <v>20.70482825</v>
      </c>
      <c r="H67" s="20" t="n">
        <v>2.17136663</v>
      </c>
      <c r="I67" s="18" t="n">
        <v>0</v>
      </c>
      <c r="J67" s="20" t="n">
        <v>0</v>
      </c>
      <c r="K67" s="18" t="n">
        <v>0.27504806</v>
      </c>
      <c r="L67" s="20" t="n">
        <v>0.27535293</v>
      </c>
      <c r="M67" s="18" t="n">
        <v>0.29371557</v>
      </c>
      <c r="N67" s="20" t="n">
        <v>0.28969843</v>
      </c>
      <c r="O67" s="18" t="n">
        <v>0</v>
      </c>
      <c r="P67" s="20" t="n">
        <v>0</v>
      </c>
      <c r="Q67" s="18" t="n">
        <v>3.83323473</v>
      </c>
      <c r="R67" s="20" t="n">
        <v>1.09687367</v>
      </c>
    </row>
    <row r="68" spans="1:18">
      <c r="A68" s="15" t="s">
        <v>628</v>
      </c>
      <c r="B68" s="17" t="n">
        <v>3460</v>
      </c>
      <c r="C68" s="18">
        <f>(3137.0/B68*100)</f>
        <v/>
      </c>
      <c r="D68" s="19" t="n">
        <v>323</v>
      </c>
      <c r="E68" s="18" t="n">
        <v>83.8383675</v>
      </c>
      <c r="F68" s="20" t="n">
        <v>2.37300103</v>
      </c>
      <c r="G68" s="18" t="n">
        <v>15.02523753</v>
      </c>
      <c r="H68" s="20" t="n">
        <v>2.36652332</v>
      </c>
      <c r="I68" s="18" t="n">
        <v>0</v>
      </c>
      <c r="J68" s="20" t="n">
        <v>0</v>
      </c>
      <c r="K68" s="18" t="n">
        <v>0</v>
      </c>
      <c r="L68" s="20" t="n">
        <v>0</v>
      </c>
      <c r="M68" s="18" t="n">
        <v>0.55457907</v>
      </c>
      <c r="N68" s="20" t="n">
        <v>0.50766952</v>
      </c>
      <c r="O68" s="18" t="n">
        <v>0</v>
      </c>
      <c r="P68" s="20" t="n">
        <v>0</v>
      </c>
      <c r="Q68" s="18" t="n">
        <v>0.5818159000000001</v>
      </c>
      <c r="R68" s="20" t="n">
        <v>0.41716896</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(5343.0/B70*100)</f>
        <v/>
      </c>
      <c r="D70" s="19" t="n">
        <v>691</v>
      </c>
      <c r="E70" s="18" t="n">
        <v>83.37430093</v>
      </c>
      <c r="F70" s="20" t="n">
        <v>1.58096614</v>
      </c>
      <c r="G70" s="18" t="n">
        <v>12.5053971</v>
      </c>
      <c r="H70" s="20" t="n">
        <v>1.31402654</v>
      </c>
      <c r="I70" s="18" t="n">
        <v>0</v>
      </c>
      <c r="J70" s="20" t="n">
        <v>0</v>
      </c>
      <c r="K70" s="18" t="n">
        <v>1.94661271</v>
      </c>
      <c r="L70" s="20" t="n">
        <v>0.47292647</v>
      </c>
      <c r="M70" s="18" t="n">
        <v>0.1407299</v>
      </c>
      <c r="N70" s="20" t="n">
        <v>0.14210992</v>
      </c>
      <c r="O70" s="18" t="n">
        <v>0</v>
      </c>
      <c r="P70" s="20" t="n">
        <v>0</v>
      </c>
      <c r="Q70" s="18" t="n">
        <v>2.03295936</v>
      </c>
      <c r="R70" s="20" t="n">
        <v>0.60705779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(2804.0/B72*100)</f>
        <v/>
      </c>
      <c r="D72" s="19" t="n">
        <v>303</v>
      </c>
      <c r="E72" s="18" t="n">
        <v>54.4137892</v>
      </c>
      <c r="F72" s="20" t="n">
        <v>3.15647142</v>
      </c>
      <c r="G72" s="18" t="n">
        <v>43.06234725</v>
      </c>
      <c r="H72" s="20" t="n">
        <v>3.21742588</v>
      </c>
      <c r="I72" s="18" t="n">
        <v>0</v>
      </c>
      <c r="J72" s="20" t="n">
        <v>0</v>
      </c>
      <c r="K72" s="18" t="n">
        <v>0.50621029</v>
      </c>
      <c r="L72" s="20" t="n">
        <v>0.50695586</v>
      </c>
      <c r="M72" s="18" t="n">
        <v>0</v>
      </c>
      <c r="N72" s="20" t="n">
        <v>0</v>
      </c>
      <c r="O72" s="18" t="n">
        <v>0</v>
      </c>
      <c r="P72" s="20" t="n">
        <v>0</v>
      </c>
      <c r="Q72" s="18" t="n">
        <v>2.01765326</v>
      </c>
      <c r="R72" s="20" t="n">
        <v>0.84925492</v>
      </c>
    </row>
    <row r="73" spans="1:18">
      <c r="A73" s="15" t="s">
        <v>633</v>
      </c>
      <c r="B73" s="17" t="n">
        <v>2973</v>
      </c>
      <c r="C73" s="18">
        <f>(2627.0/B73*100)</f>
        <v/>
      </c>
      <c r="D73" s="19" t="n">
        <v>346</v>
      </c>
      <c r="E73" s="18" t="n">
        <v>58.39834701</v>
      </c>
      <c r="F73" s="20" t="n">
        <v>2.92374947</v>
      </c>
      <c r="G73" s="18" t="n">
        <v>39.73557698</v>
      </c>
      <c r="H73" s="20" t="n">
        <v>2.90287337</v>
      </c>
      <c r="I73" s="18" t="n">
        <v>0</v>
      </c>
      <c r="J73" s="20" t="n">
        <v>0</v>
      </c>
      <c r="K73" s="18" t="n">
        <v>0.46279438</v>
      </c>
      <c r="L73" s="20" t="n">
        <v>0.44204954</v>
      </c>
      <c r="M73" s="18" t="n">
        <v>0</v>
      </c>
      <c r="N73" s="20" t="n">
        <v>0</v>
      </c>
      <c r="O73" s="18" t="n">
        <v>0</v>
      </c>
      <c r="P73" s="20" t="n">
        <v>0</v>
      </c>
      <c r="Q73" s="18" t="n">
        <v>1.40328162</v>
      </c>
      <c r="R73" s="20" t="n">
        <v>0.6356511500000001</v>
      </c>
    </row>
    <row r="74" spans="1:18">
      <c r="A74" s="15" t="s">
        <v>634</v>
      </c>
      <c r="B74" s="17" t="n">
        <v>3819</v>
      </c>
      <c r="C74" s="18">
        <f>(3416.0/B74*100)</f>
        <v/>
      </c>
      <c r="D74" s="19" t="n">
        <v>403</v>
      </c>
      <c r="E74" s="18" t="n">
        <v>46.00179499</v>
      </c>
      <c r="F74" s="20" t="n">
        <v>2.72587321</v>
      </c>
      <c r="G74" s="18" t="n">
        <v>53.79414253</v>
      </c>
      <c r="H74" s="20" t="n">
        <v>2.67575659</v>
      </c>
      <c r="I74" s="18" t="n">
        <v>0</v>
      </c>
      <c r="J74" s="20" t="n">
        <v>0</v>
      </c>
      <c r="K74" s="18" t="n">
        <v>0</v>
      </c>
      <c r="L74" s="20" t="n">
        <v>0</v>
      </c>
      <c r="M74" s="18" t="n">
        <v>0</v>
      </c>
      <c r="N74" s="20" t="n">
        <v>0</v>
      </c>
      <c r="O74" s="18" t="n">
        <v>0</v>
      </c>
      <c r="P74" s="20" t="n">
        <v>0</v>
      </c>
      <c r="Q74" s="18" t="n">
        <v>0.20406248</v>
      </c>
      <c r="R74" s="20" t="n">
        <v>0.20498728</v>
      </c>
    </row>
    <row r="75" spans="1:18">
      <c r="A75" s="15" t="s">
        <v>635</v>
      </c>
      <c r="B75" s="17" t="n">
        <v>4652</v>
      </c>
      <c r="C75" s="18">
        <f>(4167.0/B75*100)</f>
        <v/>
      </c>
      <c r="D75" s="19" t="n">
        <v>485</v>
      </c>
      <c r="E75" s="18" t="n">
        <v>67.25821910000001</v>
      </c>
      <c r="F75" s="20" t="n">
        <v>2.54699958</v>
      </c>
      <c r="G75" s="18" t="n">
        <v>32.07793276</v>
      </c>
      <c r="H75" s="20" t="n">
        <v>2.55188757</v>
      </c>
      <c r="I75" s="18" t="n">
        <v>0</v>
      </c>
      <c r="J75" s="20" t="n">
        <v>0</v>
      </c>
      <c r="K75" s="18" t="n">
        <v>0</v>
      </c>
      <c r="L75" s="20" t="n">
        <v>0</v>
      </c>
      <c r="M75" s="18" t="n">
        <v>0.30889513</v>
      </c>
      <c r="N75" s="20" t="n">
        <v>0.30209524</v>
      </c>
      <c r="O75" s="18" t="n">
        <v>0</v>
      </c>
      <c r="P75" s="20" t="n">
        <v>0</v>
      </c>
      <c r="Q75" s="18" t="n">
        <v>0.35495301</v>
      </c>
      <c r="R75" s="20" t="n">
        <v>0.35468034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(2678.0/B77*100)</f>
        <v/>
      </c>
      <c r="D77" s="19" t="n">
        <v>291</v>
      </c>
      <c r="E77" s="18" t="n">
        <v>89.41614534999999</v>
      </c>
      <c r="F77" s="20" t="n">
        <v>1.9516482</v>
      </c>
      <c r="G77" s="18" t="n">
        <v>3.49802301</v>
      </c>
      <c r="H77" s="20" t="n">
        <v>1.19265164</v>
      </c>
      <c r="I77" s="18" t="n">
        <v>0</v>
      </c>
      <c r="J77" s="20" t="n">
        <v>0</v>
      </c>
      <c r="K77" s="18" t="n">
        <v>2.48937106</v>
      </c>
      <c r="L77" s="20" t="n">
        <v>0.90920878</v>
      </c>
      <c r="M77" s="18" t="n">
        <v>0.73049292</v>
      </c>
      <c r="N77" s="20" t="n">
        <v>0.48531993</v>
      </c>
      <c r="O77" s="18" t="n">
        <v>0</v>
      </c>
      <c r="P77" s="20" t="n">
        <v>0</v>
      </c>
      <c r="Q77" s="18" t="n">
        <v>3.86596766</v>
      </c>
      <c r="R77" s="20" t="n">
        <v>1.09519646</v>
      </c>
    </row>
    <row r="78" spans="1:18">
      <c r="A78" s="15" t="s">
        <v>638</v>
      </c>
      <c r="B78" s="17" t="n">
        <v>7115</v>
      </c>
      <c r="C78" s="18">
        <f>(6359.0/B78*100)</f>
        <v/>
      </c>
      <c r="D78" s="19" t="n">
        <v>756</v>
      </c>
      <c r="E78" s="18" t="n">
        <v>79.68877901</v>
      </c>
      <c r="F78" s="20" t="n">
        <v>1.66389218</v>
      </c>
      <c r="G78" s="18" t="n">
        <v>16.67558071</v>
      </c>
      <c r="H78" s="20" t="n">
        <v>1.64298369</v>
      </c>
      <c r="I78" s="18" t="n">
        <v>0</v>
      </c>
      <c r="J78" s="20" t="n">
        <v>0</v>
      </c>
      <c r="K78" s="18" t="n">
        <v>1.19922207</v>
      </c>
      <c r="L78" s="20" t="n">
        <v>0.43769612</v>
      </c>
      <c r="M78" s="18" t="n">
        <v>0.35633825</v>
      </c>
      <c r="N78" s="20" t="n">
        <v>0.24885845</v>
      </c>
      <c r="O78" s="18" t="n">
        <v>0</v>
      </c>
      <c r="P78" s="20" t="n">
        <v>0</v>
      </c>
      <c r="Q78" s="18" t="n">
        <v>2.08007997</v>
      </c>
      <c r="R78" s="20" t="n">
        <v>0.78468427</v>
      </c>
    </row>
    <row r="79" spans="1:18">
      <c r="A79" s="15" t="s">
        <v>639</v>
      </c>
      <c r="B79" s="17" t="n">
        <v>3154</v>
      </c>
      <c r="C79" s="18">
        <f>(2816.0/B79*100)</f>
        <v/>
      </c>
      <c r="D79" s="19" t="n">
        <v>338</v>
      </c>
      <c r="E79" s="18" t="n">
        <v>76.2501924</v>
      </c>
      <c r="F79" s="20" t="n">
        <v>2.37750202</v>
      </c>
      <c r="G79" s="18" t="n">
        <v>18.4117127</v>
      </c>
      <c r="H79" s="20" t="n">
        <v>2.16109699</v>
      </c>
      <c r="I79" s="18" t="n">
        <v>0</v>
      </c>
      <c r="J79" s="20" t="n">
        <v>0</v>
      </c>
      <c r="K79" s="18" t="n">
        <v>0.49408532</v>
      </c>
      <c r="L79" s="20" t="n">
        <v>0.34864032</v>
      </c>
      <c r="M79" s="18" t="n">
        <v>0</v>
      </c>
      <c r="N79" s="20" t="n">
        <v>0</v>
      </c>
      <c r="O79" s="18" t="n">
        <v>0</v>
      </c>
      <c r="P79" s="20" t="n">
        <v>0</v>
      </c>
      <c r="Q79" s="18" t="n">
        <v>4.84400957</v>
      </c>
      <c r="R79" s="20" t="n">
        <v>1.05802294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(14226.0/B82*100)</f>
        <v/>
      </c>
      <c r="D82" s="19" t="n">
        <v>1735</v>
      </c>
      <c r="E82" s="18" t="n">
        <v>66.59653741</v>
      </c>
      <c r="F82" s="20" t="n">
        <v>1.77012731</v>
      </c>
      <c r="G82" s="18" t="n">
        <v>30.31001829</v>
      </c>
      <c r="H82" s="20" t="n">
        <v>1.5442231</v>
      </c>
      <c r="I82" s="18" t="n">
        <v>0</v>
      </c>
      <c r="J82" s="20" t="n">
        <v>0</v>
      </c>
      <c r="K82" s="18" t="n">
        <v>0.05504127</v>
      </c>
      <c r="L82" s="20" t="n">
        <v>0.04977863</v>
      </c>
      <c r="M82" s="18" t="n">
        <v>0</v>
      </c>
      <c r="N82" s="20" t="n">
        <v>0</v>
      </c>
      <c r="O82" s="18" t="n">
        <v>0</v>
      </c>
      <c r="P82" s="20" t="n">
        <v>0</v>
      </c>
      <c r="Q82" s="18" t="n">
        <v>3.03840303</v>
      </c>
      <c r="R82" s="20" t="n">
        <v>0.67158766</v>
      </c>
    </row>
    <row r="83" spans="1:18">
      <c r="A83" s="15" t="s">
        <v>643</v>
      </c>
      <c r="B83" s="17" t="n">
        <v>808</v>
      </c>
      <c r="C83" s="18">
        <f>(725.0/B83*100)</f>
        <v/>
      </c>
      <c r="D83" s="19" t="n">
        <v>83</v>
      </c>
      <c r="E83" s="18" t="n">
        <v>52.67360248</v>
      </c>
      <c r="F83" s="20" t="n">
        <v>6.32410415</v>
      </c>
      <c r="G83" s="18" t="n">
        <v>45.8474138</v>
      </c>
      <c r="H83" s="20" t="n">
        <v>6.60345451</v>
      </c>
      <c r="I83" s="18" t="n">
        <v>0</v>
      </c>
      <c r="J83" s="20" t="n">
        <v>0</v>
      </c>
      <c r="K83" s="18" t="n">
        <v>1.47898372</v>
      </c>
      <c r="L83" s="20" t="n">
        <v>1.38769072</v>
      </c>
      <c r="M83" s="18" t="n">
        <v>0</v>
      </c>
      <c r="N83" s="20" t="n">
        <v>0</v>
      </c>
      <c r="O83" s="18" t="n">
        <v>0</v>
      </c>
      <c r="P83" s="20" t="n">
        <v>0</v>
      </c>
      <c r="Q83" s="18" t="n">
        <v>0</v>
      </c>
      <c r="R83" s="20" t="n">
        <v>0</v>
      </c>
    </row>
    <row r="84" spans="1:18">
      <c r="A84" s="23" t="s">
        <v>644</v>
      </c>
      <c r="B84" s="24" t="n">
        <v>938</v>
      </c>
      <c r="C84" s="25">
        <f>(844.0/B84*100)</f>
        <v/>
      </c>
      <c r="D84" s="19" t="n">
        <v>94</v>
      </c>
      <c r="E84" s="18" t="n">
        <v>63.14749245</v>
      </c>
      <c r="F84" s="20" t="n">
        <v>4.53457336</v>
      </c>
      <c r="G84" s="18" t="n">
        <v>36.85250755</v>
      </c>
      <c r="H84" s="20" t="n">
        <v>4.53457336</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(6400.0/B7*100)</f>
        <v/>
      </c>
      <c r="D7" s="19" t="n">
        <v>763</v>
      </c>
      <c r="E7" s="18" t="n">
        <v>44.00306184</v>
      </c>
      <c r="F7" s="20" t="n">
        <v>1.93723095</v>
      </c>
      <c r="G7" s="18" t="n">
        <v>50.01396626</v>
      </c>
      <c r="H7" s="20" t="n">
        <v>1.93241297</v>
      </c>
      <c r="I7" s="18" t="n">
        <v>0</v>
      </c>
      <c r="J7" s="20" t="n">
        <v>0</v>
      </c>
      <c r="K7" s="18" t="n">
        <v>0.2153757</v>
      </c>
      <c r="L7" s="20" t="n">
        <v>0.14617856</v>
      </c>
      <c r="M7" s="18" t="n">
        <v>0</v>
      </c>
      <c r="N7" s="20" t="n">
        <v>0</v>
      </c>
      <c r="O7" s="18" t="n">
        <v>0</v>
      </c>
      <c r="P7" s="20" t="n">
        <v>0</v>
      </c>
      <c r="Q7" s="18" t="n">
        <v>5.76759619</v>
      </c>
      <c r="R7" s="20" t="n">
        <v>0.9123393</v>
      </c>
    </row>
    <row r="8" spans="1:18">
      <c r="A8" s="15" t="s">
        <v>566</v>
      </c>
      <c r="B8" s="17" t="n">
        <v>3443</v>
      </c>
      <c r="C8" s="18">
        <f>(3063.0/B8*100)</f>
        <v/>
      </c>
      <c r="D8" s="19" t="n">
        <v>380</v>
      </c>
      <c r="E8" s="18" t="n">
        <v>34.04990958</v>
      </c>
      <c r="F8" s="20" t="n">
        <v>3.06812766</v>
      </c>
      <c r="G8" s="18" t="n">
        <v>62.60087931</v>
      </c>
      <c r="H8" s="20" t="n">
        <v>2.91565646</v>
      </c>
      <c r="I8" s="18" t="n">
        <v>0</v>
      </c>
      <c r="J8" s="20" t="n">
        <v>0</v>
      </c>
      <c r="K8" s="18" t="n">
        <v>0</v>
      </c>
      <c r="L8" s="20" t="n">
        <v>0</v>
      </c>
      <c r="M8" s="18" t="n">
        <v>0</v>
      </c>
      <c r="N8" s="20" t="n">
        <v>0</v>
      </c>
      <c r="O8" s="18" t="n">
        <v>0</v>
      </c>
      <c r="P8" s="20" t="n">
        <v>0</v>
      </c>
      <c r="Q8" s="18" t="n">
        <v>3.34921111</v>
      </c>
      <c r="R8" s="20" t="n">
        <v>1.13317138</v>
      </c>
    </row>
    <row r="9" spans="1:18">
      <c r="A9" s="15" t="s">
        <v>567</v>
      </c>
      <c r="B9" s="17" t="n">
        <v>4752</v>
      </c>
      <c r="C9" s="18">
        <f>(4220.0/B9*100)</f>
        <v/>
      </c>
      <c r="D9" s="19" t="n">
        <v>532</v>
      </c>
      <c r="E9" s="18" t="n">
        <v>32.02868217</v>
      </c>
      <c r="F9" s="20" t="n">
        <v>2.06801521</v>
      </c>
      <c r="G9" s="18" t="n">
        <v>63.27967384</v>
      </c>
      <c r="H9" s="20" t="n">
        <v>2.22312283</v>
      </c>
      <c r="I9" s="18" t="n">
        <v>0</v>
      </c>
      <c r="J9" s="20" t="n">
        <v>0</v>
      </c>
      <c r="K9" s="18" t="n">
        <v>0.43627573</v>
      </c>
      <c r="L9" s="20" t="n">
        <v>0.24566803</v>
      </c>
      <c r="M9" s="18" t="n">
        <v>0.13421531</v>
      </c>
      <c r="N9" s="20" t="n">
        <v>0.12509462</v>
      </c>
      <c r="O9" s="18" t="n">
        <v>0</v>
      </c>
      <c r="P9" s="20" t="n">
        <v>0</v>
      </c>
      <c r="Q9" s="18" t="n">
        <v>4.12115295</v>
      </c>
      <c r="R9" s="20" t="n">
        <v>0.94618001</v>
      </c>
    </row>
    <row r="10" spans="1:18">
      <c r="A10" s="15" t="s">
        <v>568</v>
      </c>
      <c r="B10" s="17" t="n">
        <v>10022</v>
      </c>
      <c r="C10" s="18">
        <f>(8923.0/B10*100)</f>
        <v/>
      </c>
      <c r="D10" s="19" t="n">
        <v>1099</v>
      </c>
      <c r="E10" s="18" t="n">
        <v>34.81940959</v>
      </c>
      <c r="F10" s="20" t="n">
        <v>2.05179401</v>
      </c>
      <c r="G10" s="18" t="n">
        <v>62.10604269</v>
      </c>
      <c r="H10" s="20" t="n">
        <v>2.19112178</v>
      </c>
      <c r="I10" s="18" t="n">
        <v>0</v>
      </c>
      <c r="J10" s="20" t="n">
        <v>0</v>
      </c>
      <c r="K10" s="18" t="n">
        <v>0.17545957</v>
      </c>
      <c r="L10" s="20" t="n">
        <v>0.10029355</v>
      </c>
      <c r="M10" s="18" t="n">
        <v>0</v>
      </c>
      <c r="N10" s="20" t="n">
        <v>0</v>
      </c>
      <c r="O10" s="18" t="n">
        <v>0</v>
      </c>
      <c r="P10" s="20" t="n">
        <v>0</v>
      </c>
      <c r="Q10" s="18" t="n">
        <v>2.89908814</v>
      </c>
      <c r="R10" s="20" t="n">
        <v>0.62105795</v>
      </c>
    </row>
    <row r="11" spans="1:18">
      <c r="A11" s="15" t="s">
        <v>569</v>
      </c>
      <c r="B11" s="17" t="n">
        <v>3500</v>
      </c>
      <c r="C11" s="18">
        <f>(3110.0/B11*100)</f>
        <v/>
      </c>
      <c r="D11" s="19" t="n">
        <v>390</v>
      </c>
      <c r="E11" s="18" t="n">
        <v>47.98754173</v>
      </c>
      <c r="F11" s="20" t="n">
        <v>3.33097975</v>
      </c>
      <c r="G11" s="18" t="n">
        <v>42.74220242</v>
      </c>
      <c r="H11" s="20" t="n">
        <v>2.99191783</v>
      </c>
      <c r="I11" s="18" t="n">
        <v>0</v>
      </c>
      <c r="J11" s="20" t="n">
        <v>0</v>
      </c>
      <c r="K11" s="18" t="n">
        <v>2.011371</v>
      </c>
      <c r="L11" s="20" t="n">
        <v>0.73696157</v>
      </c>
      <c r="M11" s="18" t="n">
        <v>0</v>
      </c>
      <c r="N11" s="20" t="n">
        <v>0</v>
      </c>
      <c r="O11" s="18" t="n">
        <v>0</v>
      </c>
      <c r="P11" s="20" t="n">
        <v>0</v>
      </c>
      <c r="Q11" s="18" t="n">
        <v>7.25888484</v>
      </c>
      <c r="R11" s="20" t="n">
        <v>1.38779913</v>
      </c>
    </row>
    <row r="12" spans="1:18">
      <c r="A12" s="15" t="s">
        <v>570</v>
      </c>
      <c r="B12" s="17" t="n">
        <v>3422</v>
      </c>
      <c r="C12" s="18">
        <f>(3046.0/B12*100)</f>
        <v/>
      </c>
      <c r="D12" s="19" t="n">
        <v>376</v>
      </c>
      <c r="E12" s="18" t="n">
        <v>36.06742834</v>
      </c>
      <c r="F12" s="20" t="n">
        <v>2.19572115</v>
      </c>
      <c r="G12" s="18" t="n">
        <v>58.52400108</v>
      </c>
      <c r="H12" s="20" t="n">
        <v>2.506718</v>
      </c>
      <c r="I12" s="18" t="n">
        <v>0</v>
      </c>
      <c r="J12" s="20" t="n">
        <v>0</v>
      </c>
      <c r="K12" s="18" t="n">
        <v>0.81327118</v>
      </c>
      <c r="L12" s="20" t="n">
        <v>0.56235983</v>
      </c>
      <c r="M12" s="18" t="n">
        <v>0</v>
      </c>
      <c r="N12" s="20" t="n">
        <v>0</v>
      </c>
      <c r="O12" s="18" t="n">
        <v>0</v>
      </c>
      <c r="P12" s="20" t="n">
        <v>0</v>
      </c>
      <c r="Q12" s="18" t="n">
        <v>4.59529941</v>
      </c>
      <c r="R12" s="20" t="n">
        <v>1.4542181</v>
      </c>
    </row>
    <row r="13" spans="1:18">
      <c r="A13" s="15" t="s">
        <v>571</v>
      </c>
      <c r="B13" s="17" t="n">
        <v>3602</v>
      </c>
      <c r="C13" s="18">
        <f>(3232.0/B13*100)</f>
        <v/>
      </c>
      <c r="D13" s="19" t="n">
        <v>370</v>
      </c>
      <c r="E13" s="18" t="n">
        <v>55.05454733</v>
      </c>
      <c r="F13" s="20" t="n">
        <v>3.13236524</v>
      </c>
      <c r="G13" s="18" t="n">
        <v>38.18997474</v>
      </c>
      <c r="H13" s="20" t="n">
        <v>3.07512218</v>
      </c>
      <c r="I13" s="18" t="n">
        <v>0</v>
      </c>
      <c r="J13" s="20" t="n">
        <v>0</v>
      </c>
      <c r="K13" s="18" t="n">
        <v>0.89355499</v>
      </c>
      <c r="L13" s="20" t="n">
        <v>0.51304385</v>
      </c>
      <c r="M13" s="18" t="n">
        <v>0</v>
      </c>
      <c r="N13" s="20" t="n">
        <v>0</v>
      </c>
      <c r="O13" s="18" t="n">
        <v>0</v>
      </c>
      <c r="P13" s="20" t="n">
        <v>0</v>
      </c>
      <c r="Q13" s="18" t="n">
        <v>5.86192294</v>
      </c>
      <c r="R13" s="20" t="n">
        <v>1.42212475</v>
      </c>
    </row>
    <row r="14" spans="1:18">
      <c r="A14" s="15" t="s">
        <v>572</v>
      </c>
      <c r="B14" s="17" t="n">
        <v>2788</v>
      </c>
      <c r="C14" s="18">
        <f>(2484.0/B14*100)</f>
        <v/>
      </c>
      <c r="D14" s="19" t="n">
        <v>304</v>
      </c>
      <c r="E14" s="18" t="n">
        <v>27.76239804</v>
      </c>
      <c r="F14" s="20" t="n">
        <v>2.40868315</v>
      </c>
      <c r="G14" s="18" t="n">
        <v>69.35147791</v>
      </c>
      <c r="H14" s="20" t="n">
        <v>2.39359715</v>
      </c>
      <c r="I14" s="18" t="n">
        <v>0</v>
      </c>
      <c r="J14" s="20" t="n">
        <v>0</v>
      </c>
      <c r="K14" s="18" t="n">
        <v>0.84063783</v>
      </c>
      <c r="L14" s="20" t="n">
        <v>0.81880032</v>
      </c>
      <c r="M14" s="18" t="n">
        <v>0</v>
      </c>
      <c r="N14" s="20" t="n">
        <v>0</v>
      </c>
      <c r="O14" s="18" t="n">
        <v>0</v>
      </c>
      <c r="P14" s="20" t="n">
        <v>0</v>
      </c>
      <c r="Q14" s="18" t="n">
        <v>2.04548622</v>
      </c>
      <c r="R14" s="20" t="n">
        <v>0.9778063</v>
      </c>
    </row>
    <row r="15" spans="1:18">
      <c r="A15" s="15" t="s">
        <v>573</v>
      </c>
      <c r="B15" s="17" t="n">
        <v>2863</v>
      </c>
      <c r="C15" s="18">
        <f>(2558.0/B15*100)</f>
        <v/>
      </c>
      <c r="D15" s="19" t="n">
        <v>305</v>
      </c>
      <c r="E15" s="18" t="n">
        <v>32.75241453</v>
      </c>
      <c r="F15" s="20" t="n">
        <v>2.77335687</v>
      </c>
      <c r="G15" s="18" t="n">
        <v>64.36787338000001</v>
      </c>
      <c r="H15" s="20" t="n">
        <v>2.83552202</v>
      </c>
      <c r="I15" s="18" t="n">
        <v>0</v>
      </c>
      <c r="J15" s="20" t="n">
        <v>0</v>
      </c>
      <c r="K15" s="18" t="n">
        <v>0</v>
      </c>
      <c r="L15" s="20" t="n">
        <v>0</v>
      </c>
      <c r="M15" s="18" t="n">
        <v>0.28770934</v>
      </c>
      <c r="N15" s="20" t="n">
        <v>0.27663722</v>
      </c>
      <c r="O15" s="18" t="n">
        <v>0</v>
      </c>
      <c r="P15" s="20" t="n">
        <v>0</v>
      </c>
      <c r="Q15" s="18" t="n">
        <v>2.59200275</v>
      </c>
      <c r="R15" s="20" t="n">
        <v>0.89426977</v>
      </c>
    </row>
    <row r="16" spans="1:18">
      <c r="A16" s="15" t="s">
        <v>574</v>
      </c>
      <c r="B16" s="17" t="n">
        <v>3111</v>
      </c>
      <c r="C16" s="18">
        <f>(2806.0/B16*100)</f>
        <v/>
      </c>
      <c r="D16" s="19" t="n">
        <v>305</v>
      </c>
      <c r="E16" s="18" t="n">
        <v>35.00991556</v>
      </c>
      <c r="F16" s="20" t="n">
        <v>3.10603771</v>
      </c>
      <c r="G16" s="18" t="n">
        <v>58.08643364</v>
      </c>
      <c r="H16" s="20" t="n">
        <v>3.58918999</v>
      </c>
      <c r="I16" s="18" t="n">
        <v>0</v>
      </c>
      <c r="J16" s="20" t="n">
        <v>0</v>
      </c>
      <c r="K16" s="18" t="n">
        <v>0.2926005</v>
      </c>
      <c r="L16" s="20" t="n">
        <v>0.28578839</v>
      </c>
      <c r="M16" s="18" t="n">
        <v>0</v>
      </c>
      <c r="N16" s="20" t="n">
        <v>0</v>
      </c>
      <c r="O16" s="18" t="n">
        <v>0</v>
      </c>
      <c r="P16" s="20" t="n">
        <v>0</v>
      </c>
      <c r="Q16" s="18" t="n">
        <v>6.6110503</v>
      </c>
      <c r="R16" s="20" t="n">
        <v>1.44378705</v>
      </c>
    </row>
    <row r="17" spans="1:18">
      <c r="A17" s="15" t="s">
        <v>575</v>
      </c>
      <c r="B17" s="17" t="n">
        <v>3197</v>
      </c>
      <c r="C17" s="18">
        <f>(2839.0/B17*100)</f>
        <v/>
      </c>
      <c r="D17" s="19" t="n">
        <v>358</v>
      </c>
      <c r="E17" s="18" t="n">
        <v>31.62390153</v>
      </c>
      <c r="F17" s="20" t="n">
        <v>2.72107061</v>
      </c>
      <c r="G17" s="18" t="n">
        <v>63.85786555</v>
      </c>
      <c r="H17" s="20" t="n">
        <v>2.74062927</v>
      </c>
      <c r="I17" s="18" t="n">
        <v>0</v>
      </c>
      <c r="J17" s="20" t="n">
        <v>0</v>
      </c>
      <c r="K17" s="18" t="n">
        <v>0.88561597</v>
      </c>
      <c r="L17" s="20" t="n">
        <v>0.51076181</v>
      </c>
      <c r="M17" s="18" t="n">
        <v>0</v>
      </c>
      <c r="N17" s="20" t="n">
        <v>0</v>
      </c>
      <c r="O17" s="18" t="n">
        <v>0</v>
      </c>
      <c r="P17" s="20" t="n">
        <v>0</v>
      </c>
      <c r="Q17" s="18" t="n">
        <v>3.63261695</v>
      </c>
      <c r="R17" s="20" t="n">
        <v>0.91335575</v>
      </c>
    </row>
    <row r="18" spans="1:18">
      <c r="A18" s="15" t="s">
        <v>576</v>
      </c>
      <c r="B18" s="17" t="n">
        <v>2706</v>
      </c>
      <c r="C18" s="18">
        <f>(2440.0/B18*100)</f>
        <v/>
      </c>
      <c r="D18" s="19" t="n">
        <v>266</v>
      </c>
      <c r="E18" s="18" t="n">
        <v>62.32236403</v>
      </c>
      <c r="F18" s="20" t="n">
        <v>3.43825865</v>
      </c>
      <c r="G18" s="18" t="n">
        <v>32.79879304</v>
      </c>
      <c r="H18" s="20" t="n">
        <v>3.37569005</v>
      </c>
      <c r="I18" s="18" t="n">
        <v>0</v>
      </c>
      <c r="J18" s="20" t="n">
        <v>0</v>
      </c>
      <c r="K18" s="18" t="n">
        <v>0</v>
      </c>
      <c r="L18" s="20" t="n">
        <v>0</v>
      </c>
      <c r="M18" s="18" t="n">
        <v>0</v>
      </c>
      <c r="N18" s="20" t="n">
        <v>0</v>
      </c>
      <c r="O18" s="18" t="n">
        <v>0</v>
      </c>
      <c r="P18" s="20" t="n">
        <v>0</v>
      </c>
      <c r="Q18" s="18" t="n">
        <v>4.87884293</v>
      </c>
      <c r="R18" s="20" t="n">
        <v>1.45527146</v>
      </c>
    </row>
    <row r="19" spans="1:18">
      <c r="A19" s="15" t="s">
        <v>577</v>
      </c>
      <c r="B19" s="17" t="n">
        <v>2850</v>
      </c>
      <c r="C19" s="18">
        <f>(2541.0/B19*100)</f>
        <v/>
      </c>
      <c r="D19" s="19" t="n">
        <v>309</v>
      </c>
      <c r="E19" s="18" t="n">
        <v>47.62230191</v>
      </c>
      <c r="F19" s="20" t="n">
        <v>3.3414016</v>
      </c>
      <c r="G19" s="18" t="n">
        <v>48.79536005</v>
      </c>
      <c r="H19" s="20" t="n">
        <v>3.3633415</v>
      </c>
      <c r="I19" s="18" t="n">
        <v>0</v>
      </c>
      <c r="J19" s="20" t="n">
        <v>0</v>
      </c>
      <c r="K19" s="18" t="n">
        <v>0</v>
      </c>
      <c r="L19" s="20" t="n">
        <v>0</v>
      </c>
      <c r="M19" s="18" t="n">
        <v>0.31103992</v>
      </c>
      <c r="N19" s="20" t="n">
        <v>0.31310212</v>
      </c>
      <c r="O19" s="18" t="n">
        <v>0</v>
      </c>
      <c r="P19" s="20" t="n">
        <v>0</v>
      </c>
      <c r="Q19" s="18" t="n">
        <v>3.27129811</v>
      </c>
      <c r="R19" s="20" t="n">
        <v>0.92820537</v>
      </c>
    </row>
    <row r="20" spans="1:18">
      <c r="A20" s="15" t="s">
        <v>578</v>
      </c>
      <c r="B20" s="17" t="n">
        <v>1741</v>
      </c>
      <c r="C20" s="18">
        <f>(1560.0/B20*100)</f>
        <v/>
      </c>
      <c r="D20" s="19" t="n">
        <v>181</v>
      </c>
      <c r="E20" s="18" t="n">
        <v>42.67639142</v>
      </c>
      <c r="F20" s="20" t="n">
        <v>3.71864782</v>
      </c>
      <c r="G20" s="18" t="n">
        <v>46.42401805</v>
      </c>
      <c r="H20" s="20" t="n">
        <v>4.15672358</v>
      </c>
      <c r="I20" s="18" t="n">
        <v>0</v>
      </c>
      <c r="J20" s="20" t="n">
        <v>0</v>
      </c>
      <c r="K20" s="18" t="n">
        <v>0.95428877</v>
      </c>
      <c r="L20" s="20" t="n">
        <v>0.67261081</v>
      </c>
      <c r="M20" s="18" t="n">
        <v>0.8486897799999999</v>
      </c>
      <c r="N20" s="20" t="n">
        <v>0.8327201</v>
      </c>
      <c r="O20" s="18" t="n">
        <v>0</v>
      </c>
      <c r="P20" s="20" t="n">
        <v>0</v>
      </c>
      <c r="Q20" s="18" t="n">
        <v>9.09661198</v>
      </c>
      <c r="R20" s="20" t="n">
        <v>2.26587653</v>
      </c>
    </row>
    <row r="21" spans="1:18">
      <c r="A21" s="15" t="s">
        <v>579</v>
      </c>
      <c r="B21" s="17" t="n">
        <v>2833</v>
      </c>
      <c r="C21" s="18">
        <f>(2489.0/B21*100)</f>
        <v/>
      </c>
      <c r="D21" s="19" t="n">
        <v>344</v>
      </c>
      <c r="E21" s="18" t="n">
        <v>49.12088731</v>
      </c>
      <c r="F21" s="20" t="n">
        <v>2.64174895</v>
      </c>
      <c r="G21" s="18" t="n">
        <v>47.50865296</v>
      </c>
      <c r="H21" s="20" t="n">
        <v>2.72626726</v>
      </c>
      <c r="I21" s="18" t="n">
        <v>0</v>
      </c>
      <c r="J21" s="20" t="n">
        <v>0</v>
      </c>
      <c r="K21" s="18" t="n">
        <v>0</v>
      </c>
      <c r="L21" s="20" t="n">
        <v>0</v>
      </c>
      <c r="M21" s="18" t="n">
        <v>0</v>
      </c>
      <c r="N21" s="20" t="n">
        <v>0</v>
      </c>
      <c r="O21" s="18" t="n">
        <v>0</v>
      </c>
      <c r="P21" s="20" t="n">
        <v>0</v>
      </c>
      <c r="Q21" s="18" t="n">
        <v>3.37045973</v>
      </c>
      <c r="R21" s="20" t="n">
        <v>0.91148688</v>
      </c>
    </row>
    <row r="22" spans="1:18">
      <c r="A22" s="15" t="s">
        <v>580</v>
      </c>
      <c r="B22" s="17" t="n">
        <v>3667</v>
      </c>
      <c r="C22" s="18">
        <f>(3268.0/B22*100)</f>
        <v/>
      </c>
      <c r="D22" s="19" t="n">
        <v>399</v>
      </c>
      <c r="E22" s="18" t="n">
        <v>42.13338286</v>
      </c>
      <c r="F22" s="20" t="n">
        <v>2.54962343</v>
      </c>
      <c r="G22" s="18" t="n">
        <v>48.30928582</v>
      </c>
      <c r="H22" s="20" t="n">
        <v>2.47903851</v>
      </c>
      <c r="I22" s="18" t="n">
        <v>0</v>
      </c>
      <c r="J22" s="20" t="n">
        <v>0</v>
      </c>
      <c r="K22" s="18" t="n">
        <v>0.2388939</v>
      </c>
      <c r="L22" s="20" t="n">
        <v>0.26657402</v>
      </c>
      <c r="M22" s="18" t="n">
        <v>0</v>
      </c>
      <c r="N22" s="20" t="n">
        <v>0</v>
      </c>
      <c r="O22" s="18" t="n">
        <v>0</v>
      </c>
      <c r="P22" s="20" t="n">
        <v>0</v>
      </c>
      <c r="Q22" s="18" t="n">
        <v>9.31843742</v>
      </c>
      <c r="R22" s="20" t="n">
        <v>1.47866618</v>
      </c>
    </row>
    <row r="23" spans="1:18">
      <c r="A23" s="15" t="s">
        <v>581</v>
      </c>
      <c r="B23" s="17" t="n">
        <v>5792</v>
      </c>
      <c r="C23" s="18">
        <f>(5163.0/B23*100)</f>
        <v/>
      </c>
      <c r="D23" s="19" t="n">
        <v>629</v>
      </c>
      <c r="E23" s="18" t="n">
        <v>43.25128396</v>
      </c>
      <c r="F23" s="20" t="n">
        <v>3.78996793</v>
      </c>
      <c r="G23" s="18" t="n">
        <v>51.66300634</v>
      </c>
      <c r="H23" s="20" t="n">
        <v>4.00596136</v>
      </c>
      <c r="I23" s="18" t="n">
        <v>0</v>
      </c>
      <c r="J23" s="20" t="n">
        <v>0</v>
      </c>
      <c r="K23" s="18" t="n">
        <v>0.97670122</v>
      </c>
      <c r="L23" s="20" t="n">
        <v>0.61044786</v>
      </c>
      <c r="M23" s="18" t="n">
        <v>0</v>
      </c>
      <c r="N23" s="20" t="n">
        <v>0</v>
      </c>
      <c r="O23" s="18" t="n">
        <v>0</v>
      </c>
      <c r="P23" s="20" t="n">
        <v>0</v>
      </c>
      <c r="Q23" s="18" t="n">
        <v>4.10900849</v>
      </c>
      <c r="R23" s="20" t="n">
        <v>1.30335485</v>
      </c>
    </row>
    <row r="24" spans="1:18">
      <c r="A24" s="15" t="s">
        <v>582</v>
      </c>
      <c r="B24" s="17" t="n">
        <v>3309</v>
      </c>
      <c r="C24" s="18">
        <f>(2934.0/B24*100)</f>
        <v/>
      </c>
      <c r="D24" s="19" t="n">
        <v>375</v>
      </c>
      <c r="E24" s="18" t="n">
        <v>24.03808223</v>
      </c>
      <c r="F24" s="20" t="n">
        <v>2.56790651</v>
      </c>
      <c r="G24" s="18" t="n">
        <v>74.48507524999999</v>
      </c>
      <c r="H24" s="20" t="n">
        <v>2.52455167</v>
      </c>
      <c r="I24" s="18" t="n">
        <v>0</v>
      </c>
      <c r="J24" s="20" t="n">
        <v>0</v>
      </c>
      <c r="K24" s="18" t="n">
        <v>0</v>
      </c>
      <c r="L24" s="20" t="n">
        <v>0</v>
      </c>
      <c r="M24" s="18" t="n">
        <v>0</v>
      </c>
      <c r="N24" s="20" t="n">
        <v>0</v>
      </c>
      <c r="O24" s="18" t="n">
        <v>0</v>
      </c>
      <c r="P24" s="20" t="n">
        <v>0</v>
      </c>
      <c r="Q24" s="18" t="n">
        <v>1.47684252</v>
      </c>
      <c r="R24" s="20" t="n">
        <v>0.62427836</v>
      </c>
    </row>
    <row r="25" spans="1:18">
      <c r="A25" s="15" t="s">
        <v>583</v>
      </c>
      <c r="B25" s="17" t="n">
        <v>2669</v>
      </c>
      <c r="C25" s="18">
        <f>(2396.0/B25*100)</f>
        <v/>
      </c>
      <c r="D25" s="19" t="n">
        <v>273</v>
      </c>
      <c r="E25" s="18" t="n">
        <v>19.44671616</v>
      </c>
      <c r="F25" s="20" t="n">
        <v>2.39361054</v>
      </c>
      <c r="G25" s="18" t="n">
        <v>78.88157525</v>
      </c>
      <c r="H25" s="20" t="n">
        <v>2.43084265</v>
      </c>
      <c r="I25" s="18" t="n">
        <v>0</v>
      </c>
      <c r="J25" s="20" t="n">
        <v>0</v>
      </c>
      <c r="K25" s="18" t="n">
        <v>0.33916492</v>
      </c>
      <c r="L25" s="20" t="n">
        <v>0.47668997</v>
      </c>
      <c r="M25" s="18" t="n">
        <v>0</v>
      </c>
      <c r="N25" s="20" t="n">
        <v>0</v>
      </c>
      <c r="O25" s="18" t="n">
        <v>0</v>
      </c>
      <c r="P25" s="20" t="n">
        <v>0</v>
      </c>
      <c r="Q25" s="18" t="n">
        <v>1.33254368</v>
      </c>
      <c r="R25" s="20" t="n">
        <v>0.44556448</v>
      </c>
    </row>
    <row r="26" spans="1:18">
      <c r="A26" s="15" t="s">
        <v>584</v>
      </c>
      <c r="B26" s="17" t="n">
        <v>2419</v>
      </c>
      <c r="C26" s="18">
        <f>(2157.0/B26*100)</f>
        <v/>
      </c>
      <c r="D26" s="19" t="n">
        <v>262</v>
      </c>
      <c r="E26" s="18" t="n">
        <v>40.54601696</v>
      </c>
      <c r="F26" s="20" t="n">
        <v>3.0300091</v>
      </c>
      <c r="G26" s="18" t="n">
        <v>58.7396008</v>
      </c>
      <c r="H26" s="20" t="n">
        <v>2.98326353</v>
      </c>
      <c r="I26" s="18" t="n">
        <v>0</v>
      </c>
      <c r="J26" s="20" t="n">
        <v>0</v>
      </c>
      <c r="K26" s="18" t="n">
        <v>0</v>
      </c>
      <c r="L26" s="20" t="n">
        <v>0</v>
      </c>
      <c r="M26" s="18" t="n">
        <v>0</v>
      </c>
      <c r="N26" s="20" t="n">
        <v>0</v>
      </c>
      <c r="O26" s="18" t="n">
        <v>0</v>
      </c>
      <c r="P26" s="20" t="n">
        <v>0</v>
      </c>
      <c r="Q26" s="18" t="n">
        <v>0.7143822399999999</v>
      </c>
      <c r="R26" s="20" t="n">
        <v>0.50125033</v>
      </c>
    </row>
    <row r="27" spans="1:18">
      <c r="A27" s="15" t="s">
        <v>585</v>
      </c>
      <c r="B27" s="17" t="n">
        <v>2683</v>
      </c>
      <c r="C27" s="18">
        <f>(2376.0/B27*100)</f>
        <v/>
      </c>
      <c r="D27" s="19" t="n">
        <v>307</v>
      </c>
      <c r="E27" s="18" t="n">
        <v>43.04036482</v>
      </c>
      <c r="F27" s="20" t="n">
        <v>2.82794079</v>
      </c>
      <c r="G27" s="18" t="n">
        <v>48.75875637</v>
      </c>
      <c r="H27" s="20" t="n">
        <v>3.17751553</v>
      </c>
      <c r="I27" s="18" t="n">
        <v>0</v>
      </c>
      <c r="J27" s="20" t="n">
        <v>0</v>
      </c>
      <c r="K27" s="18" t="n">
        <v>0</v>
      </c>
      <c r="L27" s="20" t="n">
        <v>0</v>
      </c>
      <c r="M27" s="18" t="n">
        <v>0</v>
      </c>
      <c r="N27" s="20" t="n">
        <v>0</v>
      </c>
      <c r="O27" s="18" t="n">
        <v>0</v>
      </c>
      <c r="P27" s="20" t="n">
        <v>0</v>
      </c>
      <c r="Q27" s="18" t="n">
        <v>8.200878810000001</v>
      </c>
      <c r="R27" s="20" t="n">
        <v>1.83398767</v>
      </c>
    </row>
    <row r="28" spans="1:18">
      <c r="A28" s="15" t="s">
        <v>586</v>
      </c>
      <c r="B28" s="17" t="n">
        <v>3803</v>
      </c>
      <c r="C28" s="18">
        <f>(3444.0/B28*100)</f>
        <v/>
      </c>
      <c r="D28" s="19" t="n">
        <v>359</v>
      </c>
      <c r="E28" s="18" t="n">
        <v>65.9679706</v>
      </c>
      <c r="F28" s="20" t="n">
        <v>2.65965973</v>
      </c>
      <c r="G28" s="18" t="n">
        <v>29.80115647</v>
      </c>
      <c r="H28" s="20" t="n">
        <v>2.70473389</v>
      </c>
      <c r="I28" s="18" t="n">
        <v>0</v>
      </c>
      <c r="J28" s="20" t="n">
        <v>0</v>
      </c>
      <c r="K28" s="18" t="n">
        <v>0.72618299</v>
      </c>
      <c r="L28" s="20" t="n">
        <v>0.43858754</v>
      </c>
      <c r="M28" s="18" t="n">
        <v>0.26030481</v>
      </c>
      <c r="N28" s="20" t="n">
        <v>0.27079843</v>
      </c>
      <c r="O28" s="18" t="n">
        <v>0</v>
      </c>
      <c r="P28" s="20" t="n">
        <v>0</v>
      </c>
      <c r="Q28" s="18" t="n">
        <v>3.24438513</v>
      </c>
      <c r="R28" s="20" t="n">
        <v>1.22702659</v>
      </c>
    </row>
    <row r="29" spans="1:18">
      <c r="A29" s="15" t="s">
        <v>587</v>
      </c>
      <c r="B29" s="17" t="n">
        <v>2700</v>
      </c>
      <c r="C29" s="18">
        <f>(2395.0/B29*100)</f>
        <v/>
      </c>
      <c r="D29" s="19" t="n">
        <v>305</v>
      </c>
      <c r="E29" s="18" t="n">
        <v>28.03463522</v>
      </c>
      <c r="F29" s="20" t="n">
        <v>2.46859477</v>
      </c>
      <c r="G29" s="18" t="n">
        <v>69.42902432</v>
      </c>
      <c r="H29" s="20" t="n">
        <v>2.67658302</v>
      </c>
      <c r="I29" s="18" t="n">
        <v>0</v>
      </c>
      <c r="J29" s="20" t="n">
        <v>0</v>
      </c>
      <c r="K29" s="18" t="n">
        <v>0.42764208</v>
      </c>
      <c r="L29" s="20" t="n">
        <v>0.33070974</v>
      </c>
      <c r="M29" s="18" t="n">
        <v>0</v>
      </c>
      <c r="N29" s="20" t="n">
        <v>0</v>
      </c>
      <c r="O29" s="18" t="n">
        <v>0</v>
      </c>
      <c r="P29" s="20" t="n">
        <v>0</v>
      </c>
      <c r="Q29" s="18" t="n">
        <v>2.10869838</v>
      </c>
      <c r="R29" s="20" t="n">
        <v>0.93897449</v>
      </c>
    </row>
    <row r="30" spans="1:18">
      <c r="A30" s="15" t="s">
        <v>588</v>
      </c>
      <c r="B30" s="17" t="n">
        <v>2257</v>
      </c>
      <c r="C30" s="18">
        <f>(2016.0/B30*100)</f>
        <v/>
      </c>
      <c r="D30" s="19" t="n">
        <v>241</v>
      </c>
      <c r="E30" s="18" t="n">
        <v>40.75810521</v>
      </c>
      <c r="F30" s="20" t="n">
        <v>3.16448738</v>
      </c>
      <c r="G30" s="18" t="n">
        <v>50.0959942</v>
      </c>
      <c r="H30" s="20" t="n">
        <v>3.04369191</v>
      </c>
      <c r="I30" s="18" t="n">
        <v>0</v>
      </c>
      <c r="J30" s="20" t="n">
        <v>0</v>
      </c>
      <c r="K30" s="18" t="n">
        <v>0.40193767</v>
      </c>
      <c r="L30" s="20" t="n">
        <v>0.35103426</v>
      </c>
      <c r="M30" s="18" t="n">
        <v>0</v>
      </c>
      <c r="N30" s="20" t="n">
        <v>0</v>
      </c>
      <c r="O30" s="18" t="n">
        <v>0</v>
      </c>
      <c r="P30" s="20" t="n">
        <v>0</v>
      </c>
      <c r="Q30" s="18" t="n">
        <v>8.74396292</v>
      </c>
      <c r="R30" s="20" t="n">
        <v>2.00994186</v>
      </c>
    </row>
    <row r="31" spans="1:18">
      <c r="A31" s="15" t="s">
        <v>589</v>
      </c>
      <c r="B31" s="17" t="n">
        <v>2706</v>
      </c>
      <c r="C31" s="18">
        <f>(2420.0/B31*100)</f>
        <v/>
      </c>
      <c r="D31" s="19" t="n">
        <v>286</v>
      </c>
      <c r="E31" s="18" t="n">
        <v>48.45531129</v>
      </c>
      <c r="F31" s="20" t="n">
        <v>2.52755187</v>
      </c>
      <c r="G31" s="18" t="n">
        <v>41.93998149</v>
      </c>
      <c r="H31" s="20" t="n">
        <v>2.54699981</v>
      </c>
      <c r="I31" s="18" t="n">
        <v>0</v>
      </c>
      <c r="J31" s="20" t="n">
        <v>0</v>
      </c>
      <c r="K31" s="18" t="n">
        <v>0.65773889</v>
      </c>
      <c r="L31" s="20" t="n">
        <v>0.43713077</v>
      </c>
      <c r="M31" s="18" t="n">
        <v>0</v>
      </c>
      <c r="N31" s="20" t="n">
        <v>0</v>
      </c>
      <c r="O31" s="18" t="n">
        <v>0</v>
      </c>
      <c r="P31" s="20" t="n">
        <v>0</v>
      </c>
      <c r="Q31" s="18" t="n">
        <v>8.946968330000001</v>
      </c>
      <c r="R31" s="20" t="n">
        <v>1.72626012</v>
      </c>
    </row>
    <row r="32" spans="1:18">
      <c r="A32" s="15" t="s">
        <v>590</v>
      </c>
      <c r="B32" s="17" t="n">
        <v>2209</v>
      </c>
      <c r="C32" s="18">
        <f>(1968.0/B32*100)</f>
        <v/>
      </c>
      <c r="D32" s="19" t="n">
        <v>241</v>
      </c>
      <c r="E32" s="18" t="n">
        <v>31.30012653</v>
      </c>
      <c r="F32" s="20" t="n">
        <v>2.90741311</v>
      </c>
      <c r="G32" s="18" t="n">
        <v>66.85292861000001</v>
      </c>
      <c r="H32" s="20" t="n">
        <v>2.9694423</v>
      </c>
      <c r="I32" s="18" t="n">
        <v>0</v>
      </c>
      <c r="J32" s="20" t="n">
        <v>0</v>
      </c>
      <c r="K32" s="18" t="n">
        <v>0.43763536</v>
      </c>
      <c r="L32" s="20" t="n">
        <v>0.44316376</v>
      </c>
      <c r="M32" s="18" t="n">
        <v>0</v>
      </c>
      <c r="N32" s="20" t="n">
        <v>0</v>
      </c>
      <c r="O32" s="18" t="n">
        <v>0</v>
      </c>
      <c r="P32" s="20" t="n">
        <v>0</v>
      </c>
      <c r="Q32" s="18" t="n">
        <v>1.4093095</v>
      </c>
      <c r="R32" s="20" t="n">
        <v>0.81406794</v>
      </c>
    </row>
    <row r="33" spans="1:18">
      <c r="A33" s="15" t="s">
        <v>591</v>
      </c>
      <c r="B33" s="17" t="n">
        <v>3651</v>
      </c>
      <c r="C33" s="18">
        <f>(3265.0/B33*100)</f>
        <v/>
      </c>
      <c r="D33" s="19" t="n">
        <v>386</v>
      </c>
      <c r="E33" s="18" t="n">
        <v>39.02030117</v>
      </c>
      <c r="F33" s="20" t="n">
        <v>2.71646423</v>
      </c>
      <c r="G33" s="18" t="n">
        <v>59.06735997</v>
      </c>
      <c r="H33" s="20" t="n">
        <v>2.91464351</v>
      </c>
      <c r="I33" s="18" t="n">
        <v>0</v>
      </c>
      <c r="J33" s="20" t="n">
        <v>0</v>
      </c>
      <c r="K33" s="18" t="n">
        <v>0</v>
      </c>
      <c r="L33" s="20" t="n">
        <v>0</v>
      </c>
      <c r="M33" s="18" t="n">
        <v>0</v>
      </c>
      <c r="N33" s="20" t="n">
        <v>0</v>
      </c>
      <c r="O33" s="18" t="n">
        <v>0</v>
      </c>
      <c r="P33" s="20" t="n">
        <v>0</v>
      </c>
      <c r="Q33" s="18" t="n">
        <v>1.91233887</v>
      </c>
      <c r="R33" s="20" t="n">
        <v>0.92071015</v>
      </c>
    </row>
    <row r="34" spans="1:18">
      <c r="A34" s="15" t="s">
        <v>592</v>
      </c>
      <c r="B34" s="17" t="n">
        <v>3035</v>
      </c>
      <c r="C34" s="18">
        <f>(2727.0/B34*100)</f>
        <v/>
      </c>
      <c r="D34" s="19" t="n">
        <v>308</v>
      </c>
      <c r="E34" s="18" t="n">
        <v>43.47654926</v>
      </c>
      <c r="F34" s="20" t="n">
        <v>3.07246256</v>
      </c>
      <c r="G34" s="18" t="n">
        <v>51.86497608</v>
      </c>
      <c r="H34" s="20" t="n">
        <v>3.23732412</v>
      </c>
      <c r="I34" s="18" t="n">
        <v>0</v>
      </c>
      <c r="J34" s="20" t="n">
        <v>0</v>
      </c>
      <c r="K34" s="18" t="n">
        <v>0.44301751</v>
      </c>
      <c r="L34" s="20" t="n">
        <v>0.24866128</v>
      </c>
      <c r="M34" s="18" t="n">
        <v>0</v>
      </c>
      <c r="N34" s="20" t="n">
        <v>0</v>
      </c>
      <c r="O34" s="18" t="n">
        <v>0</v>
      </c>
      <c r="P34" s="20" t="n">
        <v>0</v>
      </c>
      <c r="Q34" s="18" t="n">
        <v>4.21545715</v>
      </c>
      <c r="R34" s="20" t="n">
        <v>1.1544097</v>
      </c>
    </row>
    <row r="35" spans="1:18">
      <c r="A35" s="15" t="s">
        <v>593</v>
      </c>
      <c r="B35" s="17" t="n">
        <v>2901</v>
      </c>
      <c r="C35" s="18">
        <f>(2576.0/B35*100)</f>
        <v/>
      </c>
      <c r="D35" s="19" t="n">
        <v>325</v>
      </c>
      <c r="E35" s="18" t="n">
        <v>34.68925869</v>
      </c>
      <c r="F35" s="20" t="n">
        <v>3.43411056</v>
      </c>
      <c r="G35" s="18" t="n">
        <v>63.54672919</v>
      </c>
      <c r="H35" s="20" t="n">
        <v>3.41668085</v>
      </c>
      <c r="I35" s="18" t="n">
        <v>0</v>
      </c>
      <c r="J35" s="20" t="n">
        <v>0</v>
      </c>
      <c r="K35" s="18" t="n">
        <v>0</v>
      </c>
      <c r="L35" s="20" t="n">
        <v>0</v>
      </c>
      <c r="M35" s="18" t="n">
        <v>0</v>
      </c>
      <c r="N35" s="20" t="n">
        <v>0</v>
      </c>
      <c r="O35" s="18" t="n">
        <v>0</v>
      </c>
      <c r="P35" s="20" t="n">
        <v>0</v>
      </c>
      <c r="Q35" s="18" t="n">
        <v>1.76401211</v>
      </c>
      <c r="R35" s="20" t="n">
        <v>0.52817843</v>
      </c>
    </row>
    <row r="36" spans="1:18">
      <c r="A36" s="15" t="s">
        <v>594</v>
      </c>
      <c r="B36" s="17" t="n">
        <v>3404</v>
      </c>
      <c r="C36" s="18">
        <f>(3037.0/B36*100)</f>
        <v/>
      </c>
      <c r="D36" s="19" t="n">
        <v>367</v>
      </c>
      <c r="E36" s="18" t="n">
        <v>41.16384543</v>
      </c>
      <c r="F36" s="20" t="n">
        <v>2.8681027</v>
      </c>
      <c r="G36" s="18" t="n">
        <v>56.3708424</v>
      </c>
      <c r="H36" s="20" t="n">
        <v>2.77672389</v>
      </c>
      <c r="I36" s="18" t="n">
        <v>0</v>
      </c>
      <c r="J36" s="20" t="n">
        <v>0</v>
      </c>
      <c r="K36" s="18" t="n">
        <v>0</v>
      </c>
      <c r="L36" s="20" t="n">
        <v>0</v>
      </c>
      <c r="M36" s="18" t="n">
        <v>0</v>
      </c>
      <c r="N36" s="20" t="n">
        <v>0</v>
      </c>
      <c r="O36" s="18" t="n">
        <v>0</v>
      </c>
      <c r="P36" s="20" t="n">
        <v>0</v>
      </c>
      <c r="Q36" s="18" t="n">
        <v>2.46531217</v>
      </c>
      <c r="R36" s="20" t="n">
        <v>0.98833724</v>
      </c>
    </row>
    <row r="37" spans="1:18">
      <c r="A37" s="15" t="s">
        <v>595</v>
      </c>
      <c r="B37" s="17" t="n">
        <v>2731</v>
      </c>
      <c r="C37" s="18">
        <f>(2441.0/B37*100)</f>
        <v/>
      </c>
      <c r="D37" s="19" t="n">
        <v>290</v>
      </c>
      <c r="E37" s="18" t="n">
        <v>50.19510473</v>
      </c>
      <c r="F37" s="20" t="n">
        <v>2.89932081</v>
      </c>
      <c r="G37" s="18" t="n">
        <v>41.16852206</v>
      </c>
      <c r="H37" s="20" t="n">
        <v>3.11214275</v>
      </c>
      <c r="I37" s="18" t="n">
        <v>0</v>
      </c>
      <c r="J37" s="20" t="n">
        <v>0</v>
      </c>
      <c r="K37" s="18" t="n">
        <v>0.57875294</v>
      </c>
      <c r="L37" s="20" t="n">
        <v>0.57854996</v>
      </c>
      <c r="M37" s="18" t="n">
        <v>0</v>
      </c>
      <c r="N37" s="20" t="n">
        <v>0</v>
      </c>
      <c r="O37" s="18" t="n">
        <v>0</v>
      </c>
      <c r="P37" s="20" t="n">
        <v>0</v>
      </c>
      <c r="Q37" s="18" t="n">
        <v>8.05762028</v>
      </c>
      <c r="R37" s="20" t="n">
        <v>1.78085727</v>
      </c>
    </row>
    <row r="38" spans="1:18">
      <c r="A38" s="15" t="s">
        <v>596</v>
      </c>
      <c r="B38" s="17" t="n">
        <v>2807</v>
      </c>
      <c r="C38" s="18">
        <f>(2516.0/B38*100)</f>
        <v/>
      </c>
      <c r="D38" s="19" t="n">
        <v>291</v>
      </c>
      <c r="E38" s="18" t="n">
        <v>35.25987598</v>
      </c>
      <c r="F38" s="20" t="n">
        <v>2.92326871</v>
      </c>
      <c r="G38" s="18" t="n">
        <v>59.37427809</v>
      </c>
      <c r="H38" s="20" t="n">
        <v>2.76217462</v>
      </c>
      <c r="I38" s="18" t="n">
        <v>0</v>
      </c>
      <c r="J38" s="20" t="n">
        <v>0</v>
      </c>
      <c r="K38" s="18" t="n">
        <v>0.28443314</v>
      </c>
      <c r="L38" s="20" t="n">
        <v>0.2856392</v>
      </c>
      <c r="M38" s="18" t="n">
        <v>1.01763893</v>
      </c>
      <c r="N38" s="20" t="n">
        <v>0.72616154</v>
      </c>
      <c r="O38" s="18" t="n">
        <v>0</v>
      </c>
      <c r="P38" s="20" t="n">
        <v>0</v>
      </c>
      <c r="Q38" s="18" t="n">
        <v>4.06377388</v>
      </c>
      <c r="R38" s="20" t="n">
        <v>1.24477714</v>
      </c>
    </row>
    <row r="39" spans="1:18">
      <c r="A39" s="15" t="s">
        <v>597</v>
      </c>
      <c r="B39" s="17" t="n">
        <v>2938</v>
      </c>
      <c r="C39" s="18">
        <f>(2613.0/B39*100)</f>
        <v/>
      </c>
      <c r="D39" s="19" t="n">
        <v>325</v>
      </c>
      <c r="E39" s="18" t="n">
        <v>61.82323656</v>
      </c>
      <c r="F39" s="20" t="n">
        <v>2.87500997</v>
      </c>
      <c r="G39" s="18" t="n">
        <v>36.69353897</v>
      </c>
      <c r="H39" s="20" t="n">
        <v>2.89139879</v>
      </c>
      <c r="I39" s="18" t="n">
        <v>0</v>
      </c>
      <c r="J39" s="20" t="n">
        <v>0</v>
      </c>
      <c r="K39" s="18" t="n">
        <v>0</v>
      </c>
      <c r="L39" s="20" t="n">
        <v>0</v>
      </c>
      <c r="M39" s="18" t="n">
        <v>0</v>
      </c>
      <c r="N39" s="20" t="n">
        <v>0</v>
      </c>
      <c r="O39" s="18" t="n">
        <v>0</v>
      </c>
      <c r="P39" s="20" t="n">
        <v>0</v>
      </c>
      <c r="Q39" s="18" t="n">
        <v>1.48322447</v>
      </c>
      <c r="R39" s="20" t="n">
        <v>0.54644647</v>
      </c>
    </row>
    <row r="40" spans="1:18">
      <c r="A40" s="15" t="s">
        <v>598</v>
      </c>
      <c r="B40" s="17" t="n">
        <v>6922</v>
      </c>
      <c r="C40" s="18">
        <f>(6188.0/B40*100)</f>
        <v/>
      </c>
      <c r="D40" s="19" t="n">
        <v>734</v>
      </c>
      <c r="E40" s="18" t="n">
        <v>49.6298907</v>
      </c>
      <c r="F40" s="20" t="n">
        <v>3.21977059</v>
      </c>
      <c r="G40" s="18" t="n">
        <v>45.40171591</v>
      </c>
      <c r="H40" s="20" t="n">
        <v>3.27810764</v>
      </c>
      <c r="I40" s="18" t="n">
        <v>0</v>
      </c>
      <c r="J40" s="20" t="n">
        <v>0</v>
      </c>
      <c r="K40" s="18" t="n">
        <v>0.19066355</v>
      </c>
      <c r="L40" s="20" t="n">
        <v>0.12709732</v>
      </c>
      <c r="M40" s="18" t="n">
        <v>0</v>
      </c>
      <c r="N40" s="20" t="n">
        <v>0</v>
      </c>
      <c r="O40" s="18" t="n">
        <v>0</v>
      </c>
      <c r="P40" s="20" t="n">
        <v>0</v>
      </c>
      <c r="Q40" s="18" t="n">
        <v>4.77772984</v>
      </c>
      <c r="R40" s="20" t="n">
        <v>1.18093621</v>
      </c>
    </row>
    <row r="41" spans="1:18">
      <c r="A41" s="15" t="s">
        <v>599</v>
      </c>
      <c r="B41" s="17" t="n">
        <v>2854</v>
      </c>
      <c r="C41" s="18">
        <f>(2557.0/B41*100)</f>
        <v/>
      </c>
      <c r="D41" s="19" t="n">
        <v>297</v>
      </c>
      <c r="E41" s="18" t="n">
        <v>48.47810941</v>
      </c>
      <c r="F41" s="20" t="n">
        <v>3.24800264</v>
      </c>
      <c r="G41" s="18" t="n">
        <v>49.82941761</v>
      </c>
      <c r="H41" s="20" t="n">
        <v>3.13051731</v>
      </c>
      <c r="I41" s="18" t="n">
        <v>0</v>
      </c>
      <c r="J41" s="20" t="n">
        <v>0</v>
      </c>
      <c r="K41" s="18" t="n">
        <v>0</v>
      </c>
      <c r="L41" s="20" t="n">
        <v>0</v>
      </c>
      <c r="M41" s="18" t="n">
        <v>0</v>
      </c>
      <c r="N41" s="20" t="n">
        <v>0</v>
      </c>
      <c r="O41" s="18" t="n">
        <v>0</v>
      </c>
      <c r="P41" s="20" t="n">
        <v>0</v>
      </c>
      <c r="Q41" s="18" t="n">
        <v>1.69247298</v>
      </c>
      <c r="R41" s="20" t="n">
        <v>0.70253489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(11067.0/B46*100)</f>
        <v/>
      </c>
      <c r="D46" s="19" t="n">
        <v>1006</v>
      </c>
      <c r="E46" s="18" t="n">
        <v>60.97733478</v>
      </c>
      <c r="F46" s="20" t="n">
        <v>1.78889807</v>
      </c>
      <c r="G46" s="18" t="n">
        <v>26.00339294</v>
      </c>
      <c r="H46" s="20" t="n">
        <v>1.71601211</v>
      </c>
      <c r="I46" s="18" t="n">
        <v>0</v>
      </c>
      <c r="J46" s="20" t="n">
        <v>0</v>
      </c>
      <c r="K46" s="18" t="n">
        <v>0.85172643</v>
      </c>
      <c r="L46" s="20" t="n">
        <v>0.32929341</v>
      </c>
      <c r="M46" s="18" t="n">
        <v>0.28161931</v>
      </c>
      <c r="N46" s="20" t="n">
        <v>0.23928653</v>
      </c>
      <c r="O46" s="18" t="n">
        <v>0</v>
      </c>
      <c r="P46" s="20" t="n">
        <v>0</v>
      </c>
      <c r="Q46" s="18" t="n">
        <v>11.88592655</v>
      </c>
      <c r="R46" s="20" t="n">
        <v>1.38512316</v>
      </c>
    </row>
    <row r="47" spans="1:18">
      <c r="A47" s="15" t="s">
        <v>606</v>
      </c>
      <c r="B47" s="17" t="n">
        <v>2823</v>
      </c>
      <c r="C47" s="18">
        <f>(2526.0/B47*100)</f>
        <v/>
      </c>
      <c r="D47" s="19" t="n">
        <v>297</v>
      </c>
      <c r="E47" s="18" t="n">
        <v>44.11645382</v>
      </c>
      <c r="F47" s="20" t="n">
        <v>3.47491827</v>
      </c>
      <c r="G47" s="18" t="n">
        <v>45.36104813</v>
      </c>
      <c r="H47" s="20" t="n">
        <v>3.45623785</v>
      </c>
      <c r="I47" s="18" t="n">
        <v>0</v>
      </c>
      <c r="J47" s="20" t="n">
        <v>0</v>
      </c>
      <c r="K47" s="18" t="n">
        <v>2.67411774</v>
      </c>
      <c r="L47" s="20" t="n">
        <v>1.08556139</v>
      </c>
      <c r="M47" s="18" t="n">
        <v>0</v>
      </c>
      <c r="N47" s="20" t="n">
        <v>0</v>
      </c>
      <c r="O47" s="18" t="n">
        <v>0</v>
      </c>
      <c r="P47" s="20" t="n">
        <v>0</v>
      </c>
      <c r="Q47" s="18" t="n">
        <v>7.84838031</v>
      </c>
      <c r="R47" s="20" t="n">
        <v>1.55512333</v>
      </c>
    </row>
    <row r="48" spans="1:18">
      <c r="A48" s="15" t="s">
        <v>607</v>
      </c>
      <c r="B48" s="17" t="n">
        <v>4682</v>
      </c>
      <c r="C48" s="18">
        <f>(4190.0/B48*100)</f>
        <v/>
      </c>
      <c r="D48" s="19" t="n">
        <v>492</v>
      </c>
      <c r="E48" s="18" t="n">
        <v>29.1375725</v>
      </c>
      <c r="F48" s="20" t="n">
        <v>2.47839211</v>
      </c>
      <c r="G48" s="18" t="n">
        <v>67.30228884</v>
      </c>
      <c r="H48" s="20" t="n">
        <v>2.60025171</v>
      </c>
      <c r="I48" s="18" t="n">
        <v>0</v>
      </c>
      <c r="J48" s="20" t="n">
        <v>0</v>
      </c>
      <c r="K48" s="18" t="n">
        <v>0.31151414</v>
      </c>
      <c r="L48" s="20" t="n">
        <v>0.31564111</v>
      </c>
      <c r="M48" s="18" t="n">
        <v>0.01785347</v>
      </c>
      <c r="N48" s="20" t="n">
        <v>0.01716691</v>
      </c>
      <c r="O48" s="18" t="n">
        <v>0</v>
      </c>
      <c r="P48" s="20" t="n">
        <v>0</v>
      </c>
      <c r="Q48" s="18" t="n">
        <v>3.23077105</v>
      </c>
      <c r="R48" s="20" t="n">
        <v>1.36384894</v>
      </c>
    </row>
    <row r="49" spans="1:18">
      <c r="A49" s="15" t="s">
        <v>608</v>
      </c>
      <c r="B49" s="17" t="n">
        <v>6158</v>
      </c>
      <c r="C49" s="18">
        <f>(5508.0/B49*100)</f>
        <v/>
      </c>
      <c r="D49" s="19" t="n">
        <v>650</v>
      </c>
      <c r="E49" s="18" t="n">
        <v>62.55049758</v>
      </c>
      <c r="F49" s="20" t="n">
        <v>2.41569287</v>
      </c>
      <c r="G49" s="18" t="n">
        <v>29.54894112</v>
      </c>
      <c r="H49" s="20" t="n">
        <v>2.31051859</v>
      </c>
      <c r="I49" s="18" t="n">
        <v>0</v>
      </c>
      <c r="J49" s="20" t="n">
        <v>0</v>
      </c>
      <c r="K49" s="18" t="n">
        <v>1.74919393</v>
      </c>
      <c r="L49" s="20" t="n">
        <v>0.60184098</v>
      </c>
      <c r="M49" s="18" t="n">
        <v>0.15619885</v>
      </c>
      <c r="N49" s="20" t="n">
        <v>0.10907033</v>
      </c>
      <c r="O49" s="18" t="n">
        <v>0</v>
      </c>
      <c r="P49" s="20" t="n">
        <v>0</v>
      </c>
      <c r="Q49" s="18" t="n">
        <v>5.99516852</v>
      </c>
      <c r="R49" s="20" t="n">
        <v>1.23686055</v>
      </c>
    </row>
    <row r="50" spans="1:18">
      <c r="A50" s="15" t="s">
        <v>609</v>
      </c>
      <c r="B50" s="17" t="n">
        <v>3494</v>
      </c>
      <c r="C50" s="18">
        <f>(3177.0/B50*100)</f>
        <v/>
      </c>
      <c r="D50" s="19" t="n">
        <v>317</v>
      </c>
      <c r="E50" s="18" t="n">
        <v>53.87192544</v>
      </c>
      <c r="F50" s="20" t="n">
        <v>3.11326166</v>
      </c>
      <c r="G50" s="18" t="n">
        <v>40.44463524</v>
      </c>
      <c r="H50" s="20" t="n">
        <v>3.24397746</v>
      </c>
      <c r="I50" s="18" t="n">
        <v>0</v>
      </c>
      <c r="J50" s="20" t="n">
        <v>0</v>
      </c>
      <c r="K50" s="18" t="n">
        <v>0.32709924</v>
      </c>
      <c r="L50" s="20" t="n">
        <v>0.33538713</v>
      </c>
      <c r="M50" s="18" t="n">
        <v>0</v>
      </c>
      <c r="N50" s="20" t="n">
        <v>0</v>
      </c>
      <c r="O50" s="18" t="n">
        <v>0</v>
      </c>
      <c r="P50" s="20" t="n">
        <v>0</v>
      </c>
      <c r="Q50" s="18" t="n">
        <v>5.35634009</v>
      </c>
      <c r="R50" s="20" t="n">
        <v>1.24577328</v>
      </c>
    </row>
    <row r="51" spans="1:18">
      <c r="A51" s="15" t="s">
        <v>610</v>
      </c>
      <c r="B51" s="17" t="n">
        <v>3013</v>
      </c>
      <c r="C51" s="18">
        <f>(2701.0/B51*100)</f>
        <v/>
      </c>
      <c r="D51" s="19" t="n">
        <v>312</v>
      </c>
      <c r="E51" s="18" t="n">
        <v>45.14711143</v>
      </c>
      <c r="F51" s="20" t="n">
        <v>3.54359519</v>
      </c>
      <c r="G51" s="18" t="n">
        <v>49.76706933</v>
      </c>
      <c r="H51" s="20" t="n">
        <v>3.49545057</v>
      </c>
      <c r="I51" s="18" t="n">
        <v>0</v>
      </c>
      <c r="J51" s="20" t="n">
        <v>0</v>
      </c>
      <c r="K51" s="18" t="n">
        <v>0.36076897</v>
      </c>
      <c r="L51" s="20" t="n">
        <v>0.34980662</v>
      </c>
      <c r="M51" s="18" t="n">
        <v>0</v>
      </c>
      <c r="N51" s="20" t="n">
        <v>0</v>
      </c>
      <c r="O51" s="18" t="n">
        <v>0</v>
      </c>
      <c r="P51" s="20" t="n">
        <v>0</v>
      </c>
      <c r="Q51" s="18" t="n">
        <v>4.72505027</v>
      </c>
      <c r="R51" s="20" t="n">
        <v>1.39378592</v>
      </c>
    </row>
    <row r="52" spans="1:18">
      <c r="A52" s="15" t="s">
        <v>611</v>
      </c>
      <c r="B52" s="17" t="n">
        <v>2760</v>
      </c>
      <c r="C52" s="18">
        <f>(2468.0/B52*100)</f>
        <v/>
      </c>
      <c r="D52" s="19" t="n">
        <v>292</v>
      </c>
      <c r="E52" s="18" t="n">
        <v>60.07627122</v>
      </c>
      <c r="F52" s="20" t="n">
        <v>2.68185655</v>
      </c>
      <c r="G52" s="18" t="n">
        <v>32.697615</v>
      </c>
      <c r="H52" s="20" t="n">
        <v>2.67960257</v>
      </c>
      <c r="I52" s="18" t="n">
        <v>0</v>
      </c>
      <c r="J52" s="20" t="n">
        <v>0</v>
      </c>
      <c r="K52" s="18" t="n">
        <v>0.2844706</v>
      </c>
      <c r="L52" s="20" t="n">
        <v>0.28549509</v>
      </c>
      <c r="M52" s="18" t="n">
        <v>0</v>
      </c>
      <c r="N52" s="20" t="n">
        <v>0</v>
      </c>
      <c r="O52" s="18" t="n">
        <v>0</v>
      </c>
      <c r="P52" s="20" t="n">
        <v>0</v>
      </c>
      <c r="Q52" s="18" t="n">
        <v>6.94164318</v>
      </c>
      <c r="R52" s="20" t="n">
        <v>1.55946997</v>
      </c>
    </row>
    <row r="53" spans="1:18">
      <c r="A53" s="15" t="s">
        <v>612</v>
      </c>
      <c r="B53" s="17" t="n">
        <v>2474</v>
      </c>
      <c r="C53" s="18">
        <f>(2186.0/B53*100)</f>
        <v/>
      </c>
      <c r="D53" s="19" t="n">
        <v>288</v>
      </c>
      <c r="E53" s="18" t="n">
        <v>66.20407777</v>
      </c>
      <c r="F53" s="20" t="n">
        <v>3.04815628</v>
      </c>
      <c r="G53" s="18" t="n">
        <v>6.67213679</v>
      </c>
      <c r="H53" s="20" t="n">
        <v>1.60531452</v>
      </c>
      <c r="I53" s="18" t="n">
        <v>0</v>
      </c>
      <c r="J53" s="20" t="n">
        <v>0</v>
      </c>
      <c r="K53" s="18" t="n">
        <v>19.58320161</v>
      </c>
      <c r="L53" s="20" t="n">
        <v>2.71623432</v>
      </c>
      <c r="M53" s="18" t="n">
        <v>0.38774158</v>
      </c>
      <c r="N53" s="20" t="n">
        <v>0.42115795</v>
      </c>
      <c r="O53" s="18" t="n">
        <v>0</v>
      </c>
      <c r="P53" s="20" t="n">
        <v>0</v>
      </c>
      <c r="Q53" s="18" t="n">
        <v>7.15284226</v>
      </c>
      <c r="R53" s="20" t="n">
        <v>1.60881013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(2393.0/B55*100)</f>
        <v/>
      </c>
      <c r="D55" s="19" t="n">
        <v>282</v>
      </c>
      <c r="E55" s="18" t="n">
        <v>25.05517201</v>
      </c>
      <c r="F55" s="20" t="n">
        <v>2.99145632</v>
      </c>
      <c r="G55" s="18" t="n">
        <v>73.44888259</v>
      </c>
      <c r="H55" s="20" t="n">
        <v>2.87638499</v>
      </c>
      <c r="I55" s="18" t="n">
        <v>0</v>
      </c>
      <c r="J55" s="20" t="n">
        <v>0</v>
      </c>
      <c r="K55" s="18" t="n">
        <v>0</v>
      </c>
      <c r="L55" s="20" t="n">
        <v>0</v>
      </c>
      <c r="M55" s="18" t="n">
        <v>0</v>
      </c>
      <c r="N55" s="20" t="n">
        <v>0</v>
      </c>
      <c r="O55" s="18" t="n">
        <v>0</v>
      </c>
      <c r="P55" s="20" t="n">
        <v>0</v>
      </c>
      <c r="Q55" s="18" t="n">
        <v>1.4959454</v>
      </c>
      <c r="R55" s="20" t="n">
        <v>0.67951199</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(2843.0/B61*100)</f>
        <v/>
      </c>
      <c r="D61" s="19" t="n">
        <v>358</v>
      </c>
      <c r="E61" s="18" t="n">
        <v>34.35324425</v>
      </c>
      <c r="F61" s="20" t="n">
        <v>2.42272272</v>
      </c>
      <c r="G61" s="18" t="n">
        <v>64.08988509</v>
      </c>
      <c r="H61" s="20" t="n">
        <v>2.48387041</v>
      </c>
      <c r="I61" s="18" t="n">
        <v>0</v>
      </c>
      <c r="J61" s="20" t="n">
        <v>0</v>
      </c>
      <c r="K61" s="18" t="n">
        <v>0.37408077</v>
      </c>
      <c r="L61" s="20" t="n">
        <v>0.22894246</v>
      </c>
      <c r="M61" s="18" t="n">
        <v>0</v>
      </c>
      <c r="N61" s="20" t="n">
        <v>0</v>
      </c>
      <c r="O61" s="18" t="n">
        <v>0</v>
      </c>
      <c r="P61" s="20" t="n">
        <v>0</v>
      </c>
      <c r="Q61" s="18" t="n">
        <v>1.1827899</v>
      </c>
      <c r="R61" s="20" t="n">
        <v>0.6181284500000001</v>
      </c>
    </row>
    <row r="62" spans="1:18">
      <c r="A62" s="15" t="s">
        <v>622</v>
      </c>
      <c r="B62" s="17" t="n">
        <v>2230</v>
      </c>
      <c r="C62" s="18">
        <f>(2012.0/B62*100)</f>
        <v/>
      </c>
      <c r="D62" s="19" t="n">
        <v>218</v>
      </c>
      <c r="E62" s="18" t="n">
        <v>28.12538708</v>
      </c>
      <c r="F62" s="20" t="n">
        <v>2.57282718</v>
      </c>
      <c r="G62" s="18" t="n">
        <v>71.41822245</v>
      </c>
      <c r="H62" s="20" t="n">
        <v>2.64906441</v>
      </c>
      <c r="I62" s="18" t="n">
        <v>0</v>
      </c>
      <c r="J62" s="20" t="n">
        <v>0</v>
      </c>
      <c r="K62" s="18" t="n">
        <v>0</v>
      </c>
      <c r="L62" s="20" t="n">
        <v>0</v>
      </c>
      <c r="M62" s="18" t="n">
        <v>0</v>
      </c>
      <c r="N62" s="20" t="n">
        <v>0</v>
      </c>
      <c r="O62" s="18" t="n">
        <v>0</v>
      </c>
      <c r="P62" s="20" t="n">
        <v>0</v>
      </c>
      <c r="Q62" s="18" t="n">
        <v>0.45639048</v>
      </c>
      <c r="R62" s="20" t="n">
        <v>0.44658223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(2468.0/B67*100)</f>
        <v/>
      </c>
      <c r="D67" s="19" t="n">
        <v>303</v>
      </c>
      <c r="E67" s="18" t="n">
        <v>51.70991738</v>
      </c>
      <c r="F67" s="20" t="n">
        <v>2.87645536</v>
      </c>
      <c r="G67" s="18" t="n">
        <v>36.07146882</v>
      </c>
      <c r="H67" s="20" t="n">
        <v>2.95324341</v>
      </c>
      <c r="I67" s="18" t="n">
        <v>0</v>
      </c>
      <c r="J67" s="20" t="n">
        <v>0</v>
      </c>
      <c r="K67" s="18" t="n">
        <v>0.55009611</v>
      </c>
      <c r="L67" s="20" t="n">
        <v>0.39175522</v>
      </c>
      <c r="M67" s="18" t="n">
        <v>0.29371557</v>
      </c>
      <c r="N67" s="20" t="n">
        <v>0.28969843</v>
      </c>
      <c r="O67" s="18" t="n">
        <v>0</v>
      </c>
      <c r="P67" s="20" t="n">
        <v>0</v>
      </c>
      <c r="Q67" s="18" t="n">
        <v>11.37480213</v>
      </c>
      <c r="R67" s="20" t="n">
        <v>1.84253933</v>
      </c>
    </row>
    <row r="68" spans="1:18">
      <c r="A68" s="15" t="s">
        <v>628</v>
      </c>
      <c r="B68" s="17" t="n">
        <v>3460</v>
      </c>
      <c r="C68" s="18">
        <f>(3137.0/B68*100)</f>
        <v/>
      </c>
      <c r="D68" s="19" t="n">
        <v>323</v>
      </c>
      <c r="E68" s="18" t="n">
        <v>67.06355391</v>
      </c>
      <c r="F68" s="20" t="n">
        <v>2.63295399</v>
      </c>
      <c r="G68" s="18" t="n">
        <v>24.18448036</v>
      </c>
      <c r="H68" s="20" t="n">
        <v>2.70027884</v>
      </c>
      <c r="I68" s="18" t="n">
        <v>0</v>
      </c>
      <c r="J68" s="20" t="n">
        <v>0</v>
      </c>
      <c r="K68" s="18" t="n">
        <v>0</v>
      </c>
      <c r="L68" s="20" t="n">
        <v>0</v>
      </c>
      <c r="M68" s="18" t="n">
        <v>0.55457907</v>
      </c>
      <c r="N68" s="20" t="n">
        <v>0.50766952</v>
      </c>
      <c r="O68" s="18" t="n">
        <v>0</v>
      </c>
      <c r="P68" s="20" t="n">
        <v>0</v>
      </c>
      <c r="Q68" s="18" t="n">
        <v>8.19738665</v>
      </c>
      <c r="R68" s="20" t="n">
        <v>1.58398712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(5343.0/B70*100)</f>
        <v/>
      </c>
      <c r="D70" s="19" t="n">
        <v>691</v>
      </c>
      <c r="E70" s="18" t="n">
        <v>66.06554894999999</v>
      </c>
      <c r="F70" s="20" t="n">
        <v>1.87262599</v>
      </c>
      <c r="G70" s="18" t="n">
        <v>26.58159959</v>
      </c>
      <c r="H70" s="20" t="n">
        <v>1.66954185</v>
      </c>
      <c r="I70" s="18" t="n">
        <v>0</v>
      </c>
      <c r="J70" s="20" t="n">
        <v>0</v>
      </c>
      <c r="K70" s="18" t="n">
        <v>2.50819975</v>
      </c>
      <c r="L70" s="20" t="n">
        <v>0.54133373</v>
      </c>
      <c r="M70" s="18" t="n">
        <v>0.1407299</v>
      </c>
      <c r="N70" s="20" t="n">
        <v>0.14210992</v>
      </c>
      <c r="O70" s="18" t="n">
        <v>0</v>
      </c>
      <c r="P70" s="20" t="n">
        <v>0</v>
      </c>
      <c r="Q70" s="18" t="n">
        <v>4.70392182</v>
      </c>
      <c r="R70" s="20" t="n">
        <v>0.86846686</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(2804.0/B72*100)</f>
        <v/>
      </c>
      <c r="D72" s="19" t="n">
        <v>303</v>
      </c>
      <c r="E72" s="18" t="n">
        <v>33.62308272</v>
      </c>
      <c r="F72" s="20" t="n">
        <v>3.79157445</v>
      </c>
      <c r="G72" s="18" t="n">
        <v>60.56846775</v>
      </c>
      <c r="H72" s="20" t="n">
        <v>3.82928854</v>
      </c>
      <c r="I72" s="18" t="n">
        <v>0</v>
      </c>
      <c r="J72" s="20" t="n">
        <v>0</v>
      </c>
      <c r="K72" s="18" t="n">
        <v>0.74067732</v>
      </c>
      <c r="L72" s="20" t="n">
        <v>0.56081646</v>
      </c>
      <c r="M72" s="18" t="n">
        <v>0</v>
      </c>
      <c r="N72" s="20" t="n">
        <v>0</v>
      </c>
      <c r="O72" s="18" t="n">
        <v>0</v>
      </c>
      <c r="P72" s="20" t="n">
        <v>0</v>
      </c>
      <c r="Q72" s="18" t="n">
        <v>5.0677722</v>
      </c>
      <c r="R72" s="20" t="n">
        <v>1.29203855</v>
      </c>
    </row>
    <row r="73" spans="1:18">
      <c r="A73" s="15" t="s">
        <v>633</v>
      </c>
      <c r="B73" s="17" t="n">
        <v>2973</v>
      </c>
      <c r="C73" s="18">
        <f>(2627.0/B73*100)</f>
        <v/>
      </c>
      <c r="D73" s="19" t="n">
        <v>346</v>
      </c>
      <c r="E73" s="18" t="n">
        <v>37.11241693</v>
      </c>
      <c r="F73" s="20" t="n">
        <v>2.24677036</v>
      </c>
      <c r="G73" s="18" t="n">
        <v>61.42175287</v>
      </c>
      <c r="H73" s="20" t="n">
        <v>2.40509604</v>
      </c>
      <c r="I73" s="18" t="n">
        <v>0</v>
      </c>
      <c r="J73" s="20" t="n">
        <v>0</v>
      </c>
      <c r="K73" s="18" t="n">
        <v>0.46279438</v>
      </c>
      <c r="L73" s="20" t="n">
        <v>0.44204954</v>
      </c>
      <c r="M73" s="18" t="n">
        <v>0</v>
      </c>
      <c r="N73" s="20" t="n">
        <v>0</v>
      </c>
      <c r="O73" s="18" t="n">
        <v>0</v>
      </c>
      <c r="P73" s="20" t="n">
        <v>0</v>
      </c>
      <c r="Q73" s="18" t="n">
        <v>1.00303582</v>
      </c>
      <c r="R73" s="20" t="n">
        <v>0.5843725</v>
      </c>
    </row>
    <row r="74" spans="1:18">
      <c r="A74" s="15" t="s">
        <v>634</v>
      </c>
      <c r="B74" s="17" t="n">
        <v>3819</v>
      </c>
      <c r="C74" s="18">
        <f>(3416.0/B74*100)</f>
        <v/>
      </c>
      <c r="D74" s="19" t="n">
        <v>403</v>
      </c>
      <c r="E74" s="18" t="n">
        <v>26.72570974</v>
      </c>
      <c r="F74" s="20" t="n">
        <v>2.01030606</v>
      </c>
      <c r="G74" s="18" t="n">
        <v>72.03610469</v>
      </c>
      <c r="H74" s="20" t="n">
        <v>2.0868003</v>
      </c>
      <c r="I74" s="18" t="n">
        <v>0</v>
      </c>
      <c r="J74" s="20" t="n">
        <v>0</v>
      </c>
      <c r="K74" s="18" t="n">
        <v>0</v>
      </c>
      <c r="L74" s="20" t="n">
        <v>0</v>
      </c>
      <c r="M74" s="18" t="n">
        <v>0</v>
      </c>
      <c r="N74" s="20" t="n">
        <v>0</v>
      </c>
      <c r="O74" s="18" t="n">
        <v>0</v>
      </c>
      <c r="P74" s="20" t="n">
        <v>0</v>
      </c>
      <c r="Q74" s="18" t="n">
        <v>1.23818557</v>
      </c>
      <c r="R74" s="20" t="n">
        <v>0.51782783</v>
      </c>
    </row>
    <row r="75" spans="1:18">
      <c r="A75" s="15" t="s">
        <v>635</v>
      </c>
      <c r="B75" s="17" t="n">
        <v>4652</v>
      </c>
      <c r="C75" s="18">
        <f>(4167.0/B75*100)</f>
        <v/>
      </c>
      <c r="D75" s="19" t="n">
        <v>485</v>
      </c>
      <c r="E75" s="18" t="n">
        <v>71.85850727</v>
      </c>
      <c r="F75" s="20" t="n">
        <v>2.56737998</v>
      </c>
      <c r="G75" s="18" t="n">
        <v>27.10881553</v>
      </c>
      <c r="H75" s="20" t="n">
        <v>2.58831934</v>
      </c>
      <c r="I75" s="18" t="n">
        <v>0</v>
      </c>
      <c r="J75" s="20" t="n">
        <v>0</v>
      </c>
      <c r="K75" s="18" t="n">
        <v>0</v>
      </c>
      <c r="L75" s="20" t="n">
        <v>0</v>
      </c>
      <c r="M75" s="18" t="n">
        <v>0</v>
      </c>
      <c r="N75" s="20" t="n">
        <v>0</v>
      </c>
      <c r="O75" s="18" t="n">
        <v>0</v>
      </c>
      <c r="P75" s="20" t="n">
        <v>0</v>
      </c>
      <c r="Q75" s="18" t="n">
        <v>1.0326772</v>
      </c>
      <c r="R75" s="20" t="n">
        <v>0.52816358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(2677.0/B77*100)</f>
        <v/>
      </c>
      <c r="D77" s="19" t="n">
        <v>292</v>
      </c>
      <c r="E77" s="18" t="n">
        <v>68.60671578</v>
      </c>
      <c r="F77" s="20" t="n">
        <v>3.24148661</v>
      </c>
      <c r="G77" s="18" t="n">
        <v>14.93116702</v>
      </c>
      <c r="H77" s="20" t="n">
        <v>2.05363101</v>
      </c>
      <c r="I77" s="18" t="n">
        <v>0</v>
      </c>
      <c r="J77" s="20" t="n">
        <v>0</v>
      </c>
      <c r="K77" s="18" t="n">
        <v>4.39883302</v>
      </c>
      <c r="L77" s="20" t="n">
        <v>1.08696651</v>
      </c>
      <c r="M77" s="18" t="n">
        <v>0.7276927399999999</v>
      </c>
      <c r="N77" s="20" t="n">
        <v>0.48331833</v>
      </c>
      <c r="O77" s="18" t="n">
        <v>0</v>
      </c>
      <c r="P77" s="20" t="n">
        <v>0</v>
      </c>
      <c r="Q77" s="18" t="n">
        <v>11.33559145</v>
      </c>
      <c r="R77" s="20" t="n">
        <v>1.85428865</v>
      </c>
    </row>
    <row r="78" spans="1:18">
      <c r="A78" s="15" t="s">
        <v>638</v>
      </c>
      <c r="B78" s="17" t="n">
        <v>7115</v>
      </c>
      <c r="C78" s="18">
        <f>(6359.0/B78*100)</f>
        <v/>
      </c>
      <c r="D78" s="19" t="n">
        <v>756</v>
      </c>
      <c r="E78" s="18" t="n">
        <v>61.98284062</v>
      </c>
      <c r="F78" s="20" t="n">
        <v>2.59766721</v>
      </c>
      <c r="G78" s="18" t="n">
        <v>33.35720232</v>
      </c>
      <c r="H78" s="20" t="n">
        <v>2.48568218</v>
      </c>
      <c r="I78" s="18" t="n">
        <v>0</v>
      </c>
      <c r="J78" s="20" t="n">
        <v>0</v>
      </c>
      <c r="K78" s="18" t="n">
        <v>1.57893871</v>
      </c>
      <c r="L78" s="20" t="n">
        <v>0.50268033</v>
      </c>
      <c r="M78" s="18" t="n">
        <v>0.35633825</v>
      </c>
      <c r="N78" s="20" t="n">
        <v>0.24885845</v>
      </c>
      <c r="O78" s="18" t="n">
        <v>0</v>
      </c>
      <c r="P78" s="20" t="n">
        <v>0</v>
      </c>
      <c r="Q78" s="18" t="n">
        <v>2.72468011</v>
      </c>
      <c r="R78" s="20" t="n">
        <v>0.61047853</v>
      </c>
    </row>
    <row r="79" spans="1:18">
      <c r="A79" s="15" t="s">
        <v>639</v>
      </c>
      <c r="B79" s="17" t="n">
        <v>3154</v>
      </c>
      <c r="C79" s="18">
        <f>(2816.0/B79*100)</f>
        <v/>
      </c>
      <c r="D79" s="19" t="n">
        <v>338</v>
      </c>
      <c r="E79" s="18" t="n">
        <v>52.81551225</v>
      </c>
      <c r="F79" s="20" t="n">
        <v>2.54909822</v>
      </c>
      <c r="G79" s="18" t="n">
        <v>35.17534021</v>
      </c>
      <c r="H79" s="20" t="n">
        <v>2.76927376</v>
      </c>
      <c r="I79" s="18" t="n">
        <v>0</v>
      </c>
      <c r="J79" s="20" t="n">
        <v>0</v>
      </c>
      <c r="K79" s="18" t="n">
        <v>0.49408532</v>
      </c>
      <c r="L79" s="20" t="n">
        <v>0.34864032</v>
      </c>
      <c r="M79" s="18" t="n">
        <v>0</v>
      </c>
      <c r="N79" s="20" t="n">
        <v>0</v>
      </c>
      <c r="O79" s="18" t="n">
        <v>0</v>
      </c>
      <c r="P79" s="20" t="n">
        <v>0</v>
      </c>
      <c r="Q79" s="18" t="n">
        <v>11.51506221</v>
      </c>
      <c r="R79" s="20" t="n">
        <v>1.75069798</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(14226.0/B82*100)</f>
        <v/>
      </c>
      <c r="D82" s="19" t="n">
        <v>1735</v>
      </c>
      <c r="E82" s="18" t="n">
        <v>41.08242763</v>
      </c>
      <c r="F82" s="20" t="n">
        <v>1.92017837</v>
      </c>
      <c r="G82" s="18" t="n">
        <v>55.36424756</v>
      </c>
      <c r="H82" s="20" t="n">
        <v>1.83402233</v>
      </c>
      <c r="I82" s="18" t="n">
        <v>0</v>
      </c>
      <c r="J82" s="20" t="n">
        <v>0</v>
      </c>
      <c r="K82" s="18" t="n">
        <v>0.05504127</v>
      </c>
      <c r="L82" s="20" t="n">
        <v>0.04977863</v>
      </c>
      <c r="M82" s="18" t="n">
        <v>0</v>
      </c>
      <c r="N82" s="20" t="n">
        <v>0</v>
      </c>
      <c r="O82" s="18" t="n">
        <v>0</v>
      </c>
      <c r="P82" s="20" t="n">
        <v>0</v>
      </c>
      <c r="Q82" s="18" t="n">
        <v>3.49828354</v>
      </c>
      <c r="R82" s="20" t="n">
        <v>0.8212939299999999</v>
      </c>
    </row>
    <row r="83" spans="1:18">
      <c r="A83" s="15" t="s">
        <v>643</v>
      </c>
      <c r="B83" s="17" t="n">
        <v>808</v>
      </c>
      <c r="C83" s="18">
        <f>(725.0/B83*100)</f>
        <v/>
      </c>
      <c r="D83" s="19" t="n">
        <v>83</v>
      </c>
      <c r="E83" s="18" t="n">
        <v>36.17694204</v>
      </c>
      <c r="F83" s="20" t="n">
        <v>6.78499948</v>
      </c>
      <c r="G83" s="18" t="n">
        <v>61.04654789</v>
      </c>
      <c r="H83" s="20" t="n">
        <v>7.37659401</v>
      </c>
      <c r="I83" s="18" t="n">
        <v>0</v>
      </c>
      <c r="J83" s="20" t="n">
        <v>0</v>
      </c>
      <c r="K83" s="18" t="n">
        <v>1.47898372</v>
      </c>
      <c r="L83" s="20" t="n">
        <v>1.38769072</v>
      </c>
      <c r="M83" s="18" t="n">
        <v>0</v>
      </c>
      <c r="N83" s="20" t="n">
        <v>0</v>
      </c>
      <c r="O83" s="18" t="n">
        <v>0</v>
      </c>
      <c r="P83" s="20" t="n">
        <v>0</v>
      </c>
      <c r="Q83" s="18" t="n">
        <v>1.29752635</v>
      </c>
      <c r="R83" s="20" t="n">
        <v>1.18648916</v>
      </c>
    </row>
    <row r="84" spans="1:18">
      <c r="A84" s="23" t="s">
        <v>644</v>
      </c>
      <c r="B84" s="24" t="n">
        <v>938</v>
      </c>
      <c r="C84" s="25">
        <f>(844.0/B84*100)</f>
        <v/>
      </c>
      <c r="D84" s="19" t="n">
        <v>94</v>
      </c>
      <c r="E84" s="18" t="n">
        <v>43.56123036</v>
      </c>
      <c r="F84" s="20" t="n">
        <v>5.64722769</v>
      </c>
      <c r="G84" s="18" t="n">
        <v>53.35634514</v>
      </c>
      <c r="H84" s="20" t="n">
        <v>5.23094791</v>
      </c>
      <c r="I84" s="18" t="n">
        <v>0</v>
      </c>
      <c r="J84" s="20" t="n">
        <v>0</v>
      </c>
      <c r="K84" s="18" t="n">
        <v>0</v>
      </c>
      <c r="L84" s="20" t="n">
        <v>0</v>
      </c>
      <c r="M84" s="18" t="n">
        <v>0</v>
      </c>
      <c r="N84" s="20" t="n">
        <v>0</v>
      </c>
      <c r="O84" s="18" t="n">
        <v>0</v>
      </c>
      <c r="P84" s="20" t="n">
        <v>0</v>
      </c>
      <c r="Q84" s="18" t="n">
        <v>3.0824245</v>
      </c>
      <c r="R84" s="20" t="n">
        <v>1.84899704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(6401.0/B7*100)</f>
        <v/>
      </c>
      <c r="D7" s="19" t="n">
        <v>762</v>
      </c>
      <c r="E7" s="18" t="n">
        <v>20.92588181</v>
      </c>
      <c r="F7" s="20" t="n">
        <v>1.60666206</v>
      </c>
      <c r="G7" s="18" t="n">
        <v>78.61524117</v>
      </c>
      <c r="H7" s="20" t="n">
        <v>1.63823666</v>
      </c>
      <c r="I7" s="18" t="n">
        <v>0</v>
      </c>
      <c r="J7" s="20" t="n">
        <v>0</v>
      </c>
      <c r="K7" s="18" t="n">
        <v>0.21585652</v>
      </c>
      <c r="L7" s="20" t="n">
        <v>0.14651079</v>
      </c>
      <c r="M7" s="18" t="n">
        <v>0</v>
      </c>
      <c r="N7" s="20" t="n">
        <v>0</v>
      </c>
      <c r="O7" s="18" t="n">
        <v>0</v>
      </c>
      <c r="P7" s="20" t="n">
        <v>0</v>
      </c>
      <c r="Q7" s="18" t="n">
        <v>0.24302049</v>
      </c>
      <c r="R7" s="20" t="n">
        <v>0.16322868</v>
      </c>
    </row>
    <row r="8" spans="1:18">
      <c r="A8" s="15" t="s">
        <v>566</v>
      </c>
      <c r="B8" s="17" t="n">
        <v>3443</v>
      </c>
      <c r="C8" s="18">
        <f>(3064.0/B8*100)</f>
        <v/>
      </c>
      <c r="D8" s="19" t="n">
        <v>379</v>
      </c>
      <c r="E8" s="18" t="n">
        <v>17.68884172</v>
      </c>
      <c r="F8" s="20" t="n">
        <v>2.11692376</v>
      </c>
      <c r="G8" s="18" t="n">
        <v>82.31115828</v>
      </c>
      <c r="H8" s="20" t="n">
        <v>2.11692376</v>
      </c>
      <c r="I8" s="18" t="n">
        <v>0</v>
      </c>
      <c r="J8" s="20" t="n">
        <v>0</v>
      </c>
      <c r="K8" s="18" t="n">
        <v>0</v>
      </c>
      <c r="L8" s="20" t="n">
        <v>0</v>
      </c>
      <c r="M8" s="18" t="n">
        <v>0</v>
      </c>
      <c r="N8" s="20" t="n">
        <v>0</v>
      </c>
      <c r="O8" s="18" t="n">
        <v>0</v>
      </c>
      <c r="P8" s="20" t="n">
        <v>0</v>
      </c>
      <c r="Q8" s="18" t="n">
        <v>0</v>
      </c>
      <c r="R8" s="20" t="n">
        <v>0</v>
      </c>
    </row>
    <row r="9" spans="1:18">
      <c r="A9" s="15" t="s">
        <v>567</v>
      </c>
      <c r="B9" s="17" t="n">
        <v>4752</v>
      </c>
      <c r="C9" s="18">
        <f>(4223.0/B9*100)</f>
        <v/>
      </c>
      <c r="D9" s="19" t="n">
        <v>529</v>
      </c>
      <c r="E9" s="18" t="n">
        <v>20.44621983</v>
      </c>
      <c r="F9" s="20" t="n">
        <v>1.78250877</v>
      </c>
      <c r="G9" s="18" t="n">
        <v>78.90161205</v>
      </c>
      <c r="H9" s="20" t="n">
        <v>1.73034994</v>
      </c>
      <c r="I9" s="18" t="n">
        <v>0</v>
      </c>
      <c r="J9" s="20" t="n">
        <v>0</v>
      </c>
      <c r="K9" s="18" t="n">
        <v>0.65216812</v>
      </c>
      <c r="L9" s="20" t="n">
        <v>0.29278698</v>
      </c>
      <c r="M9" s="18" t="n">
        <v>0</v>
      </c>
      <c r="N9" s="20" t="n">
        <v>0</v>
      </c>
      <c r="O9" s="18" t="n">
        <v>0</v>
      </c>
      <c r="P9" s="20" t="n">
        <v>0</v>
      </c>
      <c r="Q9" s="18" t="n">
        <v>0</v>
      </c>
      <c r="R9" s="20" t="n">
        <v>0</v>
      </c>
    </row>
    <row r="10" spans="1:18">
      <c r="A10" s="15" t="s">
        <v>568</v>
      </c>
      <c r="B10" s="17" t="n">
        <v>10022</v>
      </c>
      <c r="C10" s="18">
        <f>(8923.0/B10*100)</f>
        <v/>
      </c>
      <c r="D10" s="19" t="n">
        <v>1099</v>
      </c>
      <c r="E10" s="18" t="n">
        <v>21.33436627</v>
      </c>
      <c r="F10" s="20" t="n">
        <v>1.55405717</v>
      </c>
      <c r="G10" s="18" t="n">
        <v>78.2124377</v>
      </c>
      <c r="H10" s="20" t="n">
        <v>1.63064622</v>
      </c>
      <c r="I10" s="18" t="n">
        <v>0</v>
      </c>
      <c r="J10" s="20" t="n">
        <v>0</v>
      </c>
      <c r="K10" s="18" t="n">
        <v>0.17550534</v>
      </c>
      <c r="L10" s="20" t="n">
        <v>0.10032029</v>
      </c>
      <c r="M10" s="18" t="n">
        <v>0</v>
      </c>
      <c r="N10" s="20" t="n">
        <v>0</v>
      </c>
      <c r="O10" s="18" t="n">
        <v>0</v>
      </c>
      <c r="P10" s="20" t="n">
        <v>0</v>
      </c>
      <c r="Q10" s="18" t="n">
        <v>0.2776907</v>
      </c>
      <c r="R10" s="20" t="n">
        <v>0.23316962</v>
      </c>
    </row>
    <row r="11" spans="1:18">
      <c r="A11" s="15" t="s">
        <v>569</v>
      </c>
      <c r="B11" s="17" t="n">
        <v>3500</v>
      </c>
      <c r="C11" s="18">
        <f>(3112.0/B11*100)</f>
        <v/>
      </c>
      <c r="D11" s="19" t="n">
        <v>388</v>
      </c>
      <c r="E11" s="18" t="n">
        <v>24.23177786</v>
      </c>
      <c r="F11" s="20" t="n">
        <v>2.89935505</v>
      </c>
      <c r="G11" s="18" t="n">
        <v>73.64829747</v>
      </c>
      <c r="H11" s="20" t="n">
        <v>2.83243134</v>
      </c>
      <c r="I11" s="18" t="n">
        <v>0</v>
      </c>
      <c r="J11" s="20" t="n">
        <v>0</v>
      </c>
      <c r="K11" s="18" t="n">
        <v>2.0203554</v>
      </c>
      <c r="L11" s="20" t="n">
        <v>0.74023266</v>
      </c>
      <c r="M11" s="18" t="n">
        <v>0</v>
      </c>
      <c r="N11" s="20" t="n">
        <v>0</v>
      </c>
      <c r="O11" s="18" t="n">
        <v>0</v>
      </c>
      <c r="P11" s="20" t="n">
        <v>0</v>
      </c>
      <c r="Q11" s="18" t="n">
        <v>0.09956926000000001</v>
      </c>
      <c r="R11" s="20" t="n">
        <v>0.09868134000000001</v>
      </c>
    </row>
    <row r="12" spans="1:18">
      <c r="A12" s="15" t="s">
        <v>570</v>
      </c>
      <c r="B12" s="17" t="n">
        <v>3422</v>
      </c>
      <c r="C12" s="18">
        <f>(3048.0/B12*100)</f>
        <v/>
      </c>
      <c r="D12" s="19" t="n">
        <v>374</v>
      </c>
      <c r="E12" s="18" t="n">
        <v>14.17362193</v>
      </c>
      <c r="F12" s="20" t="n">
        <v>1.90229495</v>
      </c>
      <c r="G12" s="18" t="n">
        <v>85.00808296</v>
      </c>
      <c r="H12" s="20" t="n">
        <v>1.92562757</v>
      </c>
      <c r="I12" s="18" t="n">
        <v>0</v>
      </c>
      <c r="J12" s="20" t="n">
        <v>0</v>
      </c>
      <c r="K12" s="18" t="n">
        <v>0.81829511</v>
      </c>
      <c r="L12" s="20" t="n">
        <v>0.5679811</v>
      </c>
      <c r="M12" s="18" t="n">
        <v>0</v>
      </c>
      <c r="N12" s="20" t="n">
        <v>0</v>
      </c>
      <c r="O12" s="18" t="n">
        <v>0</v>
      </c>
      <c r="P12" s="20" t="n">
        <v>0</v>
      </c>
      <c r="Q12" s="18" t="n">
        <v>0</v>
      </c>
      <c r="R12" s="20" t="n">
        <v>0</v>
      </c>
    </row>
    <row r="13" spans="1:18">
      <c r="A13" s="15" t="s">
        <v>571</v>
      </c>
      <c r="B13" s="17" t="n">
        <v>3602</v>
      </c>
      <c r="C13" s="18">
        <f>(3232.0/B13*100)</f>
        <v/>
      </c>
      <c r="D13" s="19" t="n">
        <v>370</v>
      </c>
      <c r="E13" s="18" t="n">
        <v>15.31887413</v>
      </c>
      <c r="F13" s="20" t="n">
        <v>2.08586954</v>
      </c>
      <c r="G13" s="18" t="n">
        <v>83.78757088</v>
      </c>
      <c r="H13" s="20" t="n">
        <v>2.09563163</v>
      </c>
      <c r="I13" s="18" t="n">
        <v>0</v>
      </c>
      <c r="J13" s="20" t="n">
        <v>0</v>
      </c>
      <c r="K13" s="18" t="n">
        <v>0.89355499</v>
      </c>
      <c r="L13" s="20" t="n">
        <v>0.51304385</v>
      </c>
      <c r="M13" s="18" t="n">
        <v>0</v>
      </c>
      <c r="N13" s="20" t="n">
        <v>0</v>
      </c>
      <c r="O13" s="18" t="n">
        <v>0</v>
      </c>
      <c r="P13" s="20" t="n">
        <v>0</v>
      </c>
      <c r="Q13" s="18" t="n">
        <v>0</v>
      </c>
      <c r="R13" s="20" t="n">
        <v>0</v>
      </c>
    </row>
    <row r="14" spans="1:18">
      <c r="A14" s="15" t="s">
        <v>572</v>
      </c>
      <c r="B14" s="17" t="n">
        <v>2788</v>
      </c>
      <c r="C14" s="18">
        <f>(2484.0/B14*100)</f>
        <v/>
      </c>
      <c r="D14" s="19" t="n">
        <v>304</v>
      </c>
      <c r="E14" s="18" t="n">
        <v>16.54123948</v>
      </c>
      <c r="F14" s="20" t="n">
        <v>2.01732565</v>
      </c>
      <c r="G14" s="18" t="n">
        <v>82.61812269000001</v>
      </c>
      <c r="H14" s="20" t="n">
        <v>2.16017251</v>
      </c>
      <c r="I14" s="18" t="n">
        <v>0</v>
      </c>
      <c r="J14" s="20" t="n">
        <v>0</v>
      </c>
      <c r="K14" s="18" t="n">
        <v>0.84063783</v>
      </c>
      <c r="L14" s="20" t="n">
        <v>0.81880032</v>
      </c>
      <c r="M14" s="18" t="n">
        <v>0</v>
      </c>
      <c r="N14" s="20" t="n">
        <v>0</v>
      </c>
      <c r="O14" s="18" t="n">
        <v>0</v>
      </c>
      <c r="P14" s="20" t="n">
        <v>0</v>
      </c>
      <c r="Q14" s="18" t="n">
        <v>0</v>
      </c>
      <c r="R14" s="20" t="n">
        <v>0</v>
      </c>
    </row>
    <row r="15" spans="1:18">
      <c r="A15" s="15" t="s">
        <v>573</v>
      </c>
      <c r="B15" s="17" t="n">
        <v>2863</v>
      </c>
      <c r="C15" s="18">
        <f>(2559.0/B15*100)</f>
        <v/>
      </c>
      <c r="D15" s="19" t="n">
        <v>304</v>
      </c>
      <c r="E15" s="18" t="n">
        <v>11.8523532</v>
      </c>
      <c r="F15" s="20" t="n">
        <v>1.8640922</v>
      </c>
      <c r="G15" s="18" t="n">
        <v>88.1476468</v>
      </c>
      <c r="H15" s="20" t="n">
        <v>1.8640922</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(2806.0/B16*100)</f>
        <v/>
      </c>
      <c r="D16" s="19" t="n">
        <v>305</v>
      </c>
      <c r="E16" s="18" t="n">
        <v>21.33223851</v>
      </c>
      <c r="F16" s="20" t="n">
        <v>2.21036634</v>
      </c>
      <c r="G16" s="18" t="n">
        <v>77.99773451999999</v>
      </c>
      <c r="H16" s="20" t="n">
        <v>2.33589448</v>
      </c>
      <c r="I16" s="18" t="n">
        <v>0</v>
      </c>
      <c r="J16" s="20" t="n">
        <v>0</v>
      </c>
      <c r="K16" s="18" t="n">
        <v>0.29299754</v>
      </c>
      <c r="L16" s="20" t="n">
        <v>0.28608475</v>
      </c>
      <c r="M16" s="18" t="n">
        <v>0</v>
      </c>
      <c r="N16" s="20" t="n">
        <v>0</v>
      </c>
      <c r="O16" s="18" t="n">
        <v>0</v>
      </c>
      <c r="P16" s="20" t="n">
        <v>0</v>
      </c>
      <c r="Q16" s="18" t="n">
        <v>0.37702943</v>
      </c>
      <c r="R16" s="20" t="n">
        <v>0.37198692</v>
      </c>
    </row>
    <row r="17" spans="1:18">
      <c r="A17" s="15" t="s">
        <v>575</v>
      </c>
      <c r="B17" s="17" t="n">
        <v>3197</v>
      </c>
      <c r="C17" s="18">
        <f>(2839.0/B17*100)</f>
        <v/>
      </c>
      <c r="D17" s="19" t="n">
        <v>358</v>
      </c>
      <c r="E17" s="18" t="n">
        <v>14.85906092</v>
      </c>
      <c r="F17" s="20" t="n">
        <v>1.94271327</v>
      </c>
      <c r="G17" s="18" t="n">
        <v>84.25532311000001</v>
      </c>
      <c r="H17" s="20" t="n">
        <v>1.82011986</v>
      </c>
      <c r="I17" s="18" t="n">
        <v>0</v>
      </c>
      <c r="J17" s="20" t="n">
        <v>0</v>
      </c>
      <c r="K17" s="18" t="n">
        <v>0.88561597</v>
      </c>
      <c r="L17" s="20" t="n">
        <v>0.51076181</v>
      </c>
      <c r="M17" s="18" t="n">
        <v>0</v>
      </c>
      <c r="N17" s="20" t="n">
        <v>0</v>
      </c>
      <c r="O17" s="18" t="n">
        <v>0</v>
      </c>
      <c r="P17" s="20" t="n">
        <v>0</v>
      </c>
      <c r="Q17" s="18" t="n">
        <v>0</v>
      </c>
      <c r="R17" s="20" t="n">
        <v>0</v>
      </c>
    </row>
    <row r="18" spans="1:18">
      <c r="A18" s="15" t="s">
        <v>576</v>
      </c>
      <c r="B18" s="17" t="n">
        <v>2706</v>
      </c>
      <c r="C18" s="18">
        <f>(2441.0/B18*100)</f>
        <v/>
      </c>
      <c r="D18" s="19" t="n">
        <v>265</v>
      </c>
      <c r="E18" s="18" t="n">
        <v>34.53972179</v>
      </c>
      <c r="F18" s="20" t="n">
        <v>3.34075272</v>
      </c>
      <c r="G18" s="18" t="n">
        <v>65.46027821</v>
      </c>
      <c r="H18" s="20" t="n">
        <v>3.34075272</v>
      </c>
      <c r="I18" s="18" t="n">
        <v>0</v>
      </c>
      <c r="J18" s="20" t="n">
        <v>0</v>
      </c>
      <c r="K18" s="18" t="n">
        <v>0</v>
      </c>
      <c r="L18" s="20" t="n">
        <v>0</v>
      </c>
      <c r="M18" s="18" t="n">
        <v>0</v>
      </c>
      <c r="N18" s="20" t="n">
        <v>0</v>
      </c>
      <c r="O18" s="18" t="n">
        <v>0</v>
      </c>
      <c r="P18" s="20" t="n">
        <v>0</v>
      </c>
      <c r="Q18" s="18" t="n">
        <v>0</v>
      </c>
      <c r="R18" s="20" t="n">
        <v>0</v>
      </c>
    </row>
    <row r="19" spans="1:18">
      <c r="A19" s="15" t="s">
        <v>577</v>
      </c>
      <c r="B19" s="17" t="n">
        <v>2850</v>
      </c>
      <c r="C19" s="18">
        <f>(2541.0/B19*100)</f>
        <v/>
      </c>
      <c r="D19" s="19" t="n">
        <v>309</v>
      </c>
      <c r="E19" s="18" t="n">
        <v>19.19463529</v>
      </c>
      <c r="F19" s="20" t="n">
        <v>2.16136169</v>
      </c>
      <c r="G19" s="18" t="n">
        <v>80.80536471000001</v>
      </c>
      <c r="H19" s="20" t="n">
        <v>2.16136169</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(1561.0/B20*100)</f>
        <v/>
      </c>
      <c r="D20" s="19" t="n">
        <v>180</v>
      </c>
      <c r="E20" s="18" t="n">
        <v>17.69156806</v>
      </c>
      <c r="F20" s="20" t="n">
        <v>3.14907545</v>
      </c>
      <c r="G20" s="18" t="n">
        <v>80.76836075</v>
      </c>
      <c r="H20" s="20" t="n">
        <v>3.22498452</v>
      </c>
      <c r="I20" s="18" t="n">
        <v>0</v>
      </c>
      <c r="J20" s="20" t="n">
        <v>0</v>
      </c>
      <c r="K20" s="18" t="n">
        <v>0.9595724799999999</v>
      </c>
      <c r="L20" s="20" t="n">
        <v>0.67633876</v>
      </c>
      <c r="M20" s="18" t="n">
        <v>0</v>
      </c>
      <c r="N20" s="20" t="n">
        <v>0</v>
      </c>
      <c r="O20" s="18" t="n">
        <v>0</v>
      </c>
      <c r="P20" s="20" t="n">
        <v>0</v>
      </c>
      <c r="Q20" s="18" t="n">
        <v>0.58049871</v>
      </c>
      <c r="R20" s="20" t="n">
        <v>0.58767272</v>
      </c>
    </row>
    <row r="21" spans="1:18">
      <c r="A21" s="15" t="s">
        <v>579</v>
      </c>
      <c r="B21" s="17" t="n">
        <v>2833</v>
      </c>
      <c r="C21" s="18">
        <f>(2491.0/B21*100)</f>
        <v/>
      </c>
      <c r="D21" s="19" t="n">
        <v>342</v>
      </c>
      <c r="E21" s="18" t="n">
        <v>18.94724114</v>
      </c>
      <c r="F21" s="20" t="n">
        <v>1.95952903</v>
      </c>
      <c r="G21" s="18" t="n">
        <v>80.82583203</v>
      </c>
      <c r="H21" s="20" t="n">
        <v>1.96074324</v>
      </c>
      <c r="I21" s="18" t="n">
        <v>0</v>
      </c>
      <c r="J21" s="20" t="n">
        <v>0</v>
      </c>
      <c r="K21" s="18" t="n">
        <v>0</v>
      </c>
      <c r="L21" s="20" t="n">
        <v>0</v>
      </c>
      <c r="M21" s="18" t="n">
        <v>0</v>
      </c>
      <c r="N21" s="20" t="n">
        <v>0</v>
      </c>
      <c r="O21" s="18" t="n">
        <v>0</v>
      </c>
      <c r="P21" s="20" t="n">
        <v>0</v>
      </c>
      <c r="Q21" s="18" t="n">
        <v>0.22692683</v>
      </c>
      <c r="R21" s="20" t="n">
        <v>0.22661208</v>
      </c>
    </row>
    <row r="22" spans="1:18">
      <c r="A22" s="15" t="s">
        <v>580</v>
      </c>
      <c r="B22" s="17" t="n">
        <v>3667</v>
      </c>
      <c r="C22" s="18">
        <f>(3327.0/B22*100)</f>
        <v/>
      </c>
      <c r="D22" s="19" t="n">
        <v>340</v>
      </c>
      <c r="E22" s="18" t="n">
        <v>36.39603347</v>
      </c>
      <c r="F22" s="20" t="n">
        <v>2.35615004</v>
      </c>
      <c r="G22" s="18" t="n">
        <v>62.78186946</v>
      </c>
      <c r="H22" s="20" t="n">
        <v>2.47935869</v>
      </c>
      <c r="I22" s="18" t="n">
        <v>0</v>
      </c>
      <c r="J22" s="20" t="n">
        <v>0</v>
      </c>
      <c r="K22" s="18" t="n">
        <v>0.28120012</v>
      </c>
      <c r="L22" s="20" t="n">
        <v>0.31420483</v>
      </c>
      <c r="M22" s="18" t="n">
        <v>0</v>
      </c>
      <c r="N22" s="20" t="n">
        <v>0</v>
      </c>
      <c r="O22" s="18" t="n">
        <v>0</v>
      </c>
      <c r="P22" s="20" t="n">
        <v>0</v>
      </c>
      <c r="Q22" s="18" t="n">
        <v>0.54089695</v>
      </c>
      <c r="R22" s="20" t="n">
        <v>0.38352356</v>
      </c>
    </row>
    <row r="23" spans="1:18">
      <c r="A23" s="15" t="s">
        <v>581</v>
      </c>
      <c r="B23" s="17" t="n">
        <v>5792</v>
      </c>
      <c r="C23" s="18">
        <f>(5165.0/B23*100)</f>
        <v/>
      </c>
      <c r="D23" s="19" t="n">
        <v>627</v>
      </c>
      <c r="E23" s="18" t="n">
        <v>20.69327888</v>
      </c>
      <c r="F23" s="20" t="n">
        <v>2.77631527</v>
      </c>
      <c r="G23" s="18" t="n">
        <v>77.83695788</v>
      </c>
      <c r="H23" s="20" t="n">
        <v>2.8052153</v>
      </c>
      <c r="I23" s="18" t="n">
        <v>0</v>
      </c>
      <c r="J23" s="20" t="n">
        <v>0</v>
      </c>
      <c r="K23" s="18" t="n">
        <v>1.23829768</v>
      </c>
      <c r="L23" s="20" t="n">
        <v>0.65930982</v>
      </c>
      <c r="M23" s="18" t="n">
        <v>0</v>
      </c>
      <c r="N23" s="20" t="n">
        <v>0</v>
      </c>
      <c r="O23" s="18" t="n">
        <v>0</v>
      </c>
      <c r="P23" s="20" t="n">
        <v>0</v>
      </c>
      <c r="Q23" s="18" t="n">
        <v>0.23146556</v>
      </c>
      <c r="R23" s="20" t="n">
        <v>0.19401158</v>
      </c>
    </row>
    <row r="24" spans="1:18">
      <c r="A24" s="15" t="s">
        <v>582</v>
      </c>
      <c r="B24" s="17" t="n">
        <v>3309</v>
      </c>
      <c r="C24" s="18">
        <f>(2936.0/B24*100)</f>
        <v/>
      </c>
      <c r="D24" s="19" t="n">
        <v>373</v>
      </c>
      <c r="E24" s="18" t="n">
        <v>27.11586399</v>
      </c>
      <c r="F24" s="20" t="n">
        <v>2.38964871</v>
      </c>
      <c r="G24" s="18" t="n">
        <v>72.42483007</v>
      </c>
      <c r="H24" s="20" t="n">
        <v>2.35685069</v>
      </c>
      <c r="I24" s="18" t="n">
        <v>0</v>
      </c>
      <c r="J24" s="20" t="n">
        <v>0</v>
      </c>
      <c r="K24" s="18" t="n">
        <v>0</v>
      </c>
      <c r="L24" s="20" t="n">
        <v>0</v>
      </c>
      <c r="M24" s="18" t="n">
        <v>0</v>
      </c>
      <c r="N24" s="20" t="n">
        <v>0</v>
      </c>
      <c r="O24" s="18" t="n">
        <v>0</v>
      </c>
      <c r="P24" s="20" t="n">
        <v>0</v>
      </c>
      <c r="Q24" s="18" t="n">
        <v>0.45930595</v>
      </c>
      <c r="R24" s="20" t="n">
        <v>0.37588126</v>
      </c>
    </row>
    <row r="25" spans="1:18">
      <c r="A25" s="15" t="s">
        <v>583</v>
      </c>
      <c r="B25" s="17" t="n">
        <v>2669</v>
      </c>
      <c r="C25" s="18">
        <f>(2396.0/B25*100)</f>
        <v/>
      </c>
      <c r="D25" s="19" t="n">
        <v>273</v>
      </c>
      <c r="E25" s="18" t="n">
        <v>30.51518536</v>
      </c>
      <c r="F25" s="20" t="n">
        <v>3.01527415</v>
      </c>
      <c r="G25" s="18" t="n">
        <v>69.14564971999999</v>
      </c>
      <c r="H25" s="20" t="n">
        <v>2.9817517</v>
      </c>
      <c r="I25" s="18" t="n">
        <v>0</v>
      </c>
      <c r="J25" s="20" t="n">
        <v>0</v>
      </c>
      <c r="K25" s="18" t="n">
        <v>0.33916492</v>
      </c>
      <c r="L25" s="20" t="n">
        <v>0.47668997</v>
      </c>
      <c r="M25" s="18" t="n">
        <v>0</v>
      </c>
      <c r="N25" s="20" t="n">
        <v>0</v>
      </c>
      <c r="O25" s="18" t="n">
        <v>0</v>
      </c>
      <c r="P25" s="20" t="n">
        <v>0</v>
      </c>
      <c r="Q25" s="18" t="n">
        <v>0</v>
      </c>
      <c r="R25" s="20" t="n">
        <v>0</v>
      </c>
    </row>
    <row r="26" spans="1:18">
      <c r="A26" s="15" t="s">
        <v>584</v>
      </c>
      <c r="B26" s="17" t="n">
        <v>2419</v>
      </c>
      <c r="C26" s="18">
        <f>(2158.0/B26*100)</f>
        <v/>
      </c>
      <c r="D26" s="19" t="n">
        <v>261</v>
      </c>
      <c r="E26" s="18" t="n">
        <v>21.80136747</v>
      </c>
      <c r="F26" s="20" t="n">
        <v>2.73605296</v>
      </c>
      <c r="G26" s="18" t="n">
        <v>78.19863253</v>
      </c>
      <c r="H26" s="20" t="n">
        <v>2.73605296</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(2378.0/B27*100)</f>
        <v/>
      </c>
      <c r="D27" s="19" t="n">
        <v>305</v>
      </c>
      <c r="E27" s="18" t="n">
        <v>28.57290751</v>
      </c>
      <c r="F27" s="20" t="n">
        <v>2.82790046</v>
      </c>
      <c r="G27" s="18" t="n">
        <v>70.78258997</v>
      </c>
      <c r="H27" s="20" t="n">
        <v>2.8771777</v>
      </c>
      <c r="I27" s="18" t="n">
        <v>0</v>
      </c>
      <c r="J27" s="20" t="n">
        <v>0</v>
      </c>
      <c r="K27" s="18" t="n">
        <v>0.32477627</v>
      </c>
      <c r="L27" s="20" t="n">
        <v>0.32446389</v>
      </c>
      <c r="M27" s="18" t="n">
        <v>0</v>
      </c>
      <c r="N27" s="20" t="n">
        <v>0</v>
      </c>
      <c r="O27" s="18" t="n">
        <v>0</v>
      </c>
      <c r="P27" s="20" t="n">
        <v>0</v>
      </c>
      <c r="Q27" s="18" t="n">
        <v>0.31972625</v>
      </c>
      <c r="R27" s="20" t="n">
        <v>0.31906404</v>
      </c>
    </row>
    <row r="28" spans="1:18">
      <c r="A28" s="15" t="s">
        <v>586</v>
      </c>
      <c r="B28" s="17" t="n">
        <v>3803</v>
      </c>
      <c r="C28" s="18">
        <f>(3450.0/B28*100)</f>
        <v/>
      </c>
      <c r="D28" s="19" t="n">
        <v>353</v>
      </c>
      <c r="E28" s="18" t="n">
        <v>23.22742289</v>
      </c>
      <c r="F28" s="20" t="n">
        <v>2.50162085</v>
      </c>
      <c r="G28" s="18" t="n">
        <v>75.68017557</v>
      </c>
      <c r="H28" s="20" t="n">
        <v>2.56946786</v>
      </c>
      <c r="I28" s="18" t="n">
        <v>0</v>
      </c>
      <c r="J28" s="20" t="n">
        <v>0</v>
      </c>
      <c r="K28" s="18" t="n">
        <v>1.09240153</v>
      </c>
      <c r="L28" s="20" t="n">
        <v>0.5849957</v>
      </c>
      <c r="M28" s="18" t="n">
        <v>0</v>
      </c>
      <c r="N28" s="20" t="n">
        <v>0</v>
      </c>
      <c r="O28" s="18" t="n">
        <v>0</v>
      </c>
      <c r="P28" s="20" t="n">
        <v>0</v>
      </c>
      <c r="Q28" s="18" t="n">
        <v>0</v>
      </c>
      <c r="R28" s="20" t="n">
        <v>0</v>
      </c>
    </row>
    <row r="29" spans="1:18">
      <c r="A29" s="15" t="s">
        <v>587</v>
      </c>
      <c r="B29" s="17" t="n">
        <v>2700</v>
      </c>
      <c r="C29" s="18">
        <f>(2395.0/B29*100)</f>
        <v/>
      </c>
      <c r="D29" s="19" t="n">
        <v>305</v>
      </c>
      <c r="E29" s="18" t="n">
        <v>9.420673839999999</v>
      </c>
      <c r="F29" s="20" t="n">
        <v>1.6816783</v>
      </c>
      <c r="G29" s="18" t="n">
        <v>90.15168408</v>
      </c>
      <c r="H29" s="20" t="n">
        <v>1.71968449</v>
      </c>
      <c r="I29" s="18" t="n">
        <v>0</v>
      </c>
      <c r="J29" s="20" t="n">
        <v>0</v>
      </c>
      <c r="K29" s="18" t="n">
        <v>0.42764208</v>
      </c>
      <c r="L29" s="20" t="n">
        <v>0.33070974</v>
      </c>
      <c r="M29" s="18" t="n">
        <v>0</v>
      </c>
      <c r="N29" s="20" t="n">
        <v>0</v>
      </c>
      <c r="O29" s="18" t="n">
        <v>0</v>
      </c>
      <c r="P29" s="20" t="n">
        <v>0</v>
      </c>
      <c r="Q29" s="18" t="n">
        <v>0</v>
      </c>
      <c r="R29" s="20" t="n">
        <v>0</v>
      </c>
    </row>
    <row r="30" spans="1:18">
      <c r="A30" s="15" t="s">
        <v>588</v>
      </c>
      <c r="B30" s="17" t="n">
        <v>2257</v>
      </c>
      <c r="C30" s="18">
        <f>(2018.0/B30*100)</f>
        <v/>
      </c>
      <c r="D30" s="19" t="n">
        <v>239</v>
      </c>
      <c r="E30" s="18" t="n">
        <v>20.02470248</v>
      </c>
      <c r="F30" s="20" t="n">
        <v>2.77429278</v>
      </c>
      <c r="G30" s="18" t="n">
        <v>79.57067266999999</v>
      </c>
      <c r="H30" s="20" t="n">
        <v>2.79150291</v>
      </c>
      <c r="I30" s="18" t="n">
        <v>0</v>
      </c>
      <c r="J30" s="20" t="n">
        <v>0</v>
      </c>
      <c r="K30" s="18" t="n">
        <v>0.40462485</v>
      </c>
      <c r="L30" s="20" t="n">
        <v>0.35339528</v>
      </c>
      <c r="M30" s="18" t="n">
        <v>0</v>
      </c>
      <c r="N30" s="20" t="n">
        <v>0</v>
      </c>
      <c r="O30" s="18" t="n">
        <v>0</v>
      </c>
      <c r="P30" s="20" t="n">
        <v>0</v>
      </c>
      <c r="Q30" s="18" t="n">
        <v>0</v>
      </c>
      <c r="R30" s="20" t="n">
        <v>0</v>
      </c>
    </row>
    <row r="31" spans="1:18">
      <c r="A31" s="15" t="s">
        <v>589</v>
      </c>
      <c r="B31" s="17" t="n">
        <v>2706</v>
      </c>
      <c r="C31" s="18">
        <f>(2421.0/B31*100)</f>
        <v/>
      </c>
      <c r="D31" s="19" t="n">
        <v>285</v>
      </c>
      <c r="E31" s="18" t="n">
        <v>17.53887372</v>
      </c>
      <c r="F31" s="20" t="n">
        <v>2.48451902</v>
      </c>
      <c r="G31" s="18" t="n">
        <v>81.18935988</v>
      </c>
      <c r="H31" s="20" t="n">
        <v>2.56422313</v>
      </c>
      <c r="I31" s="18" t="n">
        <v>0</v>
      </c>
      <c r="J31" s="20" t="n">
        <v>0</v>
      </c>
      <c r="K31" s="18" t="n">
        <v>0.95558647</v>
      </c>
      <c r="L31" s="20" t="n">
        <v>0.52472599</v>
      </c>
      <c r="M31" s="18" t="n">
        <v>0</v>
      </c>
      <c r="N31" s="20" t="n">
        <v>0</v>
      </c>
      <c r="O31" s="18" t="n">
        <v>0</v>
      </c>
      <c r="P31" s="20" t="n">
        <v>0</v>
      </c>
      <c r="Q31" s="18" t="n">
        <v>0.31617992</v>
      </c>
      <c r="R31" s="20" t="n">
        <v>0.31428157</v>
      </c>
    </row>
    <row r="32" spans="1:18">
      <c r="A32" s="15" t="s">
        <v>590</v>
      </c>
      <c r="B32" s="17" t="n">
        <v>2209</v>
      </c>
      <c r="C32" s="18">
        <f>(1968.0/B32*100)</f>
        <v/>
      </c>
      <c r="D32" s="19" t="n">
        <v>241</v>
      </c>
      <c r="E32" s="18" t="n">
        <v>14.48021899</v>
      </c>
      <c r="F32" s="20" t="n">
        <v>2.32406663</v>
      </c>
      <c r="G32" s="18" t="n">
        <v>84.69180115</v>
      </c>
      <c r="H32" s="20" t="n">
        <v>2.45262009</v>
      </c>
      <c r="I32" s="18" t="n">
        <v>0</v>
      </c>
      <c r="J32" s="20" t="n">
        <v>0</v>
      </c>
      <c r="K32" s="18" t="n">
        <v>0.82797987</v>
      </c>
      <c r="L32" s="20" t="n">
        <v>0.56796136</v>
      </c>
      <c r="M32" s="18" t="n">
        <v>0</v>
      </c>
      <c r="N32" s="20" t="n">
        <v>0</v>
      </c>
      <c r="O32" s="18" t="n">
        <v>0</v>
      </c>
      <c r="P32" s="20" t="n">
        <v>0</v>
      </c>
      <c r="Q32" s="18" t="n">
        <v>0</v>
      </c>
      <c r="R32" s="20" t="n">
        <v>0</v>
      </c>
    </row>
    <row r="33" spans="1:18">
      <c r="A33" s="15" t="s">
        <v>591</v>
      </c>
      <c r="B33" s="17" t="n">
        <v>3651</v>
      </c>
      <c r="C33" s="18">
        <f>(3270.0/B33*100)</f>
        <v/>
      </c>
      <c r="D33" s="19" t="n">
        <v>381</v>
      </c>
      <c r="E33" s="18" t="n">
        <v>24.49781599</v>
      </c>
      <c r="F33" s="20" t="n">
        <v>2.56657566</v>
      </c>
      <c r="G33" s="18" t="n">
        <v>75.50218400999999</v>
      </c>
      <c r="H33" s="20" t="n">
        <v>2.56657566</v>
      </c>
      <c r="I33" s="18" t="n">
        <v>0</v>
      </c>
      <c r="J33" s="20" t="n">
        <v>0</v>
      </c>
      <c r="K33" s="18" t="n">
        <v>0</v>
      </c>
      <c r="L33" s="20" t="n">
        <v>0</v>
      </c>
      <c r="M33" s="18" t="n">
        <v>0</v>
      </c>
      <c r="N33" s="20" t="n">
        <v>0</v>
      </c>
      <c r="O33" s="18" t="n">
        <v>0</v>
      </c>
      <c r="P33" s="20" t="n">
        <v>0</v>
      </c>
      <c r="Q33" s="18" t="n">
        <v>0</v>
      </c>
      <c r="R33" s="20" t="n">
        <v>0</v>
      </c>
    </row>
    <row r="34" spans="1:18">
      <c r="A34" s="15" t="s">
        <v>592</v>
      </c>
      <c r="B34" s="17" t="n">
        <v>3035</v>
      </c>
      <c r="C34" s="18">
        <f>(2729.0/B34*100)</f>
        <v/>
      </c>
      <c r="D34" s="19" t="n">
        <v>306</v>
      </c>
      <c r="E34" s="18" t="n">
        <v>21.42638521</v>
      </c>
      <c r="F34" s="20" t="n">
        <v>2.66377469</v>
      </c>
      <c r="G34" s="18" t="n">
        <v>76.99742485</v>
      </c>
      <c r="H34" s="20" t="n">
        <v>2.77993595</v>
      </c>
      <c r="I34" s="18" t="n">
        <v>0</v>
      </c>
      <c r="J34" s="20" t="n">
        <v>0</v>
      </c>
      <c r="K34" s="18" t="n">
        <v>0.44672839</v>
      </c>
      <c r="L34" s="20" t="n">
        <v>0.25079319</v>
      </c>
      <c r="M34" s="18" t="n">
        <v>0</v>
      </c>
      <c r="N34" s="20" t="n">
        <v>0</v>
      </c>
      <c r="O34" s="18" t="n">
        <v>0</v>
      </c>
      <c r="P34" s="20" t="n">
        <v>0</v>
      </c>
      <c r="Q34" s="18" t="n">
        <v>1.12946155</v>
      </c>
      <c r="R34" s="20" t="n">
        <v>0.55717251</v>
      </c>
    </row>
    <row r="35" spans="1:18">
      <c r="A35" s="15" t="s">
        <v>593</v>
      </c>
      <c r="B35" s="17" t="n">
        <v>2901</v>
      </c>
      <c r="C35" s="18">
        <f>(2576.0/B35*100)</f>
        <v/>
      </c>
      <c r="D35" s="19" t="n">
        <v>325</v>
      </c>
      <c r="E35" s="18" t="n">
        <v>18.74032451</v>
      </c>
      <c r="F35" s="20" t="n">
        <v>3.12698058</v>
      </c>
      <c r="G35" s="18" t="n">
        <v>81.14231384999999</v>
      </c>
      <c r="H35" s="20" t="n">
        <v>3.15918573</v>
      </c>
      <c r="I35" s="18" t="n">
        <v>0</v>
      </c>
      <c r="J35" s="20" t="n">
        <v>0</v>
      </c>
      <c r="K35" s="18" t="n">
        <v>0</v>
      </c>
      <c r="L35" s="20" t="n">
        <v>0</v>
      </c>
      <c r="M35" s="18" t="n">
        <v>0</v>
      </c>
      <c r="N35" s="20" t="n">
        <v>0</v>
      </c>
      <c r="O35" s="18" t="n">
        <v>0</v>
      </c>
      <c r="P35" s="20" t="n">
        <v>0</v>
      </c>
      <c r="Q35" s="18" t="n">
        <v>0.11736165</v>
      </c>
      <c r="R35" s="20" t="n">
        <v>0.11736381</v>
      </c>
    </row>
    <row r="36" spans="1:18">
      <c r="A36" s="15" t="s">
        <v>594</v>
      </c>
      <c r="B36" s="17" t="n">
        <v>3404</v>
      </c>
      <c r="C36" s="18">
        <f>(3040.0/B36*100)</f>
        <v/>
      </c>
      <c r="D36" s="19" t="n">
        <v>364</v>
      </c>
      <c r="E36" s="18" t="n">
        <v>17.933838</v>
      </c>
      <c r="F36" s="20" t="n">
        <v>2.21127516</v>
      </c>
      <c r="G36" s="18" t="n">
        <v>81.79266886000001</v>
      </c>
      <c r="H36" s="20" t="n">
        <v>2.17186075</v>
      </c>
      <c r="I36" s="18" t="n">
        <v>0</v>
      </c>
      <c r="J36" s="20" t="n">
        <v>0</v>
      </c>
      <c r="K36" s="18" t="n">
        <v>0</v>
      </c>
      <c r="L36" s="20" t="n">
        <v>0</v>
      </c>
      <c r="M36" s="18" t="n">
        <v>0</v>
      </c>
      <c r="N36" s="20" t="n">
        <v>0</v>
      </c>
      <c r="O36" s="18" t="n">
        <v>0</v>
      </c>
      <c r="P36" s="20" t="n">
        <v>0</v>
      </c>
      <c r="Q36" s="18" t="n">
        <v>0.27349314</v>
      </c>
      <c r="R36" s="20" t="n">
        <v>0.27329297</v>
      </c>
    </row>
    <row r="37" spans="1:18">
      <c r="A37" s="15" t="s">
        <v>595</v>
      </c>
      <c r="B37" s="17" t="n">
        <v>2731</v>
      </c>
      <c r="C37" s="18">
        <f>(2441.0/B37*100)</f>
        <v/>
      </c>
      <c r="D37" s="19" t="n">
        <v>290</v>
      </c>
      <c r="E37" s="18" t="n">
        <v>22.3169336</v>
      </c>
      <c r="F37" s="20" t="n">
        <v>2.66662014</v>
      </c>
      <c r="G37" s="18" t="n">
        <v>76.34583738000001</v>
      </c>
      <c r="H37" s="20" t="n">
        <v>2.82817648</v>
      </c>
      <c r="I37" s="18" t="n">
        <v>0</v>
      </c>
      <c r="J37" s="20" t="n">
        <v>0</v>
      </c>
      <c r="K37" s="18" t="n">
        <v>0.57875294</v>
      </c>
      <c r="L37" s="20" t="n">
        <v>0.57854996</v>
      </c>
      <c r="M37" s="18" t="n">
        <v>0</v>
      </c>
      <c r="N37" s="20" t="n">
        <v>0</v>
      </c>
      <c r="O37" s="18" t="n">
        <v>0</v>
      </c>
      <c r="P37" s="20" t="n">
        <v>0</v>
      </c>
      <c r="Q37" s="18" t="n">
        <v>0.75847608</v>
      </c>
      <c r="R37" s="20" t="n">
        <v>0.54788933</v>
      </c>
    </row>
    <row r="38" spans="1:18">
      <c r="A38" s="15" t="s">
        <v>596</v>
      </c>
      <c r="B38" s="17" t="n">
        <v>2807</v>
      </c>
      <c r="C38" s="18">
        <f>(2517.0/B38*100)</f>
        <v/>
      </c>
      <c r="D38" s="19" t="n">
        <v>290</v>
      </c>
      <c r="E38" s="18" t="n">
        <v>13.45366987</v>
      </c>
      <c r="F38" s="20" t="n">
        <v>2.60890805</v>
      </c>
      <c r="G38" s="18" t="n">
        <v>85.86561688</v>
      </c>
      <c r="H38" s="20" t="n">
        <v>2.66022142</v>
      </c>
      <c r="I38" s="18" t="n">
        <v>0</v>
      </c>
      <c r="J38" s="20" t="n">
        <v>0</v>
      </c>
      <c r="K38" s="18" t="n">
        <v>0.61428267</v>
      </c>
      <c r="L38" s="20" t="n">
        <v>0.4329712</v>
      </c>
      <c r="M38" s="18" t="n">
        <v>0</v>
      </c>
      <c r="N38" s="20" t="n">
        <v>0</v>
      </c>
      <c r="O38" s="18" t="n">
        <v>0</v>
      </c>
      <c r="P38" s="20" t="n">
        <v>0</v>
      </c>
      <c r="Q38" s="18" t="n">
        <v>0.06643058</v>
      </c>
      <c r="R38" s="20" t="n">
        <v>0.06379255</v>
      </c>
    </row>
    <row r="39" spans="1:18">
      <c r="A39" s="15" t="s">
        <v>597</v>
      </c>
      <c r="B39" s="17" t="n">
        <v>2938</v>
      </c>
      <c r="C39" s="18">
        <f>(2614.0/B39*100)</f>
        <v/>
      </c>
      <c r="D39" s="19" t="n">
        <v>324</v>
      </c>
      <c r="E39" s="18" t="n">
        <v>45.12631609</v>
      </c>
      <c r="F39" s="20" t="n">
        <v>3.26690015</v>
      </c>
      <c r="G39" s="18" t="n">
        <v>53.91414676</v>
      </c>
      <c r="H39" s="20" t="n">
        <v>3.25905667</v>
      </c>
      <c r="I39" s="18" t="n">
        <v>0</v>
      </c>
      <c r="J39" s="20" t="n">
        <v>0</v>
      </c>
      <c r="K39" s="18" t="n">
        <v>0</v>
      </c>
      <c r="L39" s="20" t="n">
        <v>0</v>
      </c>
      <c r="M39" s="18" t="n">
        <v>0</v>
      </c>
      <c r="N39" s="20" t="n">
        <v>0</v>
      </c>
      <c r="O39" s="18" t="n">
        <v>0</v>
      </c>
      <c r="P39" s="20" t="n">
        <v>0</v>
      </c>
      <c r="Q39" s="18" t="n">
        <v>0.95953716</v>
      </c>
      <c r="R39" s="20" t="n">
        <v>0.81249299</v>
      </c>
    </row>
    <row r="40" spans="1:18">
      <c r="A40" s="15" t="s">
        <v>598</v>
      </c>
      <c r="B40" s="17" t="n">
        <v>6922</v>
      </c>
      <c r="C40" s="18">
        <f>(6188.0/B40*100)</f>
        <v/>
      </c>
      <c r="D40" s="19" t="n">
        <v>734</v>
      </c>
      <c r="E40" s="18" t="n">
        <v>17.96991742</v>
      </c>
      <c r="F40" s="20" t="n">
        <v>2.31329037</v>
      </c>
      <c r="G40" s="18" t="n">
        <v>81.54039087</v>
      </c>
      <c r="H40" s="20" t="n">
        <v>2.32321051</v>
      </c>
      <c r="I40" s="18" t="n">
        <v>0</v>
      </c>
      <c r="J40" s="20" t="n">
        <v>0</v>
      </c>
      <c r="K40" s="18" t="n">
        <v>0.19066355</v>
      </c>
      <c r="L40" s="20" t="n">
        <v>0.12709732</v>
      </c>
      <c r="M40" s="18" t="n">
        <v>0</v>
      </c>
      <c r="N40" s="20" t="n">
        <v>0</v>
      </c>
      <c r="O40" s="18" t="n">
        <v>0</v>
      </c>
      <c r="P40" s="20" t="n">
        <v>0</v>
      </c>
      <c r="Q40" s="18" t="n">
        <v>0.29902816</v>
      </c>
      <c r="R40" s="20" t="n">
        <v>0.29765838</v>
      </c>
    </row>
    <row r="41" spans="1:18">
      <c r="A41" s="15" t="s">
        <v>599</v>
      </c>
      <c r="B41" s="17" t="n">
        <v>2854</v>
      </c>
      <c r="C41" s="18">
        <f>(2557.0/B41*100)</f>
        <v/>
      </c>
      <c r="D41" s="19" t="n">
        <v>297</v>
      </c>
      <c r="E41" s="18" t="n">
        <v>19.74270351</v>
      </c>
      <c r="F41" s="20" t="n">
        <v>2.07034241</v>
      </c>
      <c r="G41" s="18" t="n">
        <v>79.09243540999999</v>
      </c>
      <c r="H41" s="20" t="n">
        <v>2.38065405</v>
      </c>
      <c r="I41" s="18" t="n">
        <v>0</v>
      </c>
      <c r="J41" s="20" t="n">
        <v>0</v>
      </c>
      <c r="K41" s="18" t="n">
        <v>0</v>
      </c>
      <c r="L41" s="20" t="n">
        <v>0</v>
      </c>
      <c r="M41" s="18" t="n">
        <v>0</v>
      </c>
      <c r="N41" s="20" t="n">
        <v>0</v>
      </c>
      <c r="O41" s="18" t="n">
        <v>0</v>
      </c>
      <c r="P41" s="20" t="n">
        <v>0</v>
      </c>
      <c r="Q41" s="18" t="n">
        <v>1.16486108</v>
      </c>
      <c r="R41" s="20" t="n">
        <v>1.14306142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(11103.0/B46*100)</f>
        <v/>
      </c>
      <c r="D46" s="19" t="n">
        <v>970</v>
      </c>
      <c r="E46" s="18" t="n">
        <v>43.61647658</v>
      </c>
      <c r="F46" s="20" t="n">
        <v>2.00829638</v>
      </c>
      <c r="G46" s="18" t="n">
        <v>54.14521733</v>
      </c>
      <c r="H46" s="20" t="n">
        <v>1.97703305</v>
      </c>
      <c r="I46" s="18" t="n">
        <v>0</v>
      </c>
      <c r="J46" s="20" t="n">
        <v>0</v>
      </c>
      <c r="K46" s="18" t="n">
        <v>1.05367152</v>
      </c>
      <c r="L46" s="20" t="n">
        <v>0.3414319</v>
      </c>
      <c r="M46" s="18" t="n">
        <v>0</v>
      </c>
      <c r="N46" s="20" t="n">
        <v>0</v>
      </c>
      <c r="O46" s="18" t="n">
        <v>0</v>
      </c>
      <c r="P46" s="20" t="n">
        <v>0</v>
      </c>
      <c r="Q46" s="18" t="n">
        <v>1.18463457</v>
      </c>
      <c r="R46" s="20" t="n">
        <v>0.47641892</v>
      </c>
    </row>
    <row r="47" spans="1:18">
      <c r="A47" s="15" t="s">
        <v>606</v>
      </c>
      <c r="B47" s="17" t="n">
        <v>2823</v>
      </c>
      <c r="C47" s="18">
        <f>(2528.0/B47*100)</f>
        <v/>
      </c>
      <c r="D47" s="19" t="n">
        <v>295</v>
      </c>
      <c r="E47" s="18" t="n">
        <v>28.9101316</v>
      </c>
      <c r="F47" s="20" t="n">
        <v>2.94005449</v>
      </c>
      <c r="G47" s="18" t="n">
        <v>68.04941436</v>
      </c>
      <c r="H47" s="20" t="n">
        <v>3.06746503</v>
      </c>
      <c r="I47" s="18" t="n">
        <v>0</v>
      </c>
      <c r="J47" s="20" t="n">
        <v>0</v>
      </c>
      <c r="K47" s="18" t="n">
        <v>2.70205934</v>
      </c>
      <c r="L47" s="20" t="n">
        <v>1.0977135</v>
      </c>
      <c r="M47" s="18" t="n">
        <v>0</v>
      </c>
      <c r="N47" s="20" t="n">
        <v>0</v>
      </c>
      <c r="O47" s="18" t="n">
        <v>0</v>
      </c>
      <c r="P47" s="20" t="n">
        <v>0</v>
      </c>
      <c r="Q47" s="18" t="n">
        <v>0.3383947</v>
      </c>
      <c r="R47" s="20" t="n">
        <v>0.33735696</v>
      </c>
    </row>
    <row r="48" spans="1:18">
      <c r="A48" s="15" t="s">
        <v>607</v>
      </c>
      <c r="B48" s="17" t="n">
        <v>4682</v>
      </c>
      <c r="C48" s="18">
        <f>(4191.0/B48*100)</f>
        <v/>
      </c>
      <c r="D48" s="19" t="n">
        <v>491</v>
      </c>
      <c r="E48" s="18" t="n">
        <v>37.06957177</v>
      </c>
      <c r="F48" s="20" t="n">
        <v>3.12422656</v>
      </c>
      <c r="G48" s="18" t="n">
        <v>61.6643698</v>
      </c>
      <c r="H48" s="20" t="n">
        <v>3.25427403</v>
      </c>
      <c r="I48" s="18" t="n">
        <v>0</v>
      </c>
      <c r="J48" s="20" t="n">
        <v>0</v>
      </c>
      <c r="K48" s="18" t="n">
        <v>0.92337783</v>
      </c>
      <c r="L48" s="20" t="n">
        <v>0.68100539</v>
      </c>
      <c r="M48" s="18" t="n">
        <v>0</v>
      </c>
      <c r="N48" s="20" t="n">
        <v>0</v>
      </c>
      <c r="O48" s="18" t="n">
        <v>0</v>
      </c>
      <c r="P48" s="20" t="n">
        <v>0</v>
      </c>
      <c r="Q48" s="18" t="n">
        <v>0.34268059</v>
      </c>
      <c r="R48" s="20" t="n">
        <v>0.34273939</v>
      </c>
    </row>
    <row r="49" spans="1:18">
      <c r="A49" s="15" t="s">
        <v>608</v>
      </c>
      <c r="B49" s="17" t="n">
        <v>6158</v>
      </c>
      <c r="C49" s="18">
        <f>(5512.0/B49*100)</f>
        <v/>
      </c>
      <c r="D49" s="19" t="n">
        <v>646</v>
      </c>
      <c r="E49" s="18" t="n">
        <v>19.40141848</v>
      </c>
      <c r="F49" s="20" t="n">
        <v>1.68298079</v>
      </c>
      <c r="G49" s="18" t="n">
        <v>77.73286723</v>
      </c>
      <c r="H49" s="20" t="n">
        <v>1.71557677</v>
      </c>
      <c r="I49" s="18" t="n">
        <v>0</v>
      </c>
      <c r="J49" s="20" t="n">
        <v>0</v>
      </c>
      <c r="K49" s="18" t="n">
        <v>2.25838881</v>
      </c>
      <c r="L49" s="20" t="n">
        <v>0.78397218</v>
      </c>
      <c r="M49" s="18" t="n">
        <v>0</v>
      </c>
      <c r="N49" s="20" t="n">
        <v>0</v>
      </c>
      <c r="O49" s="18" t="n">
        <v>0</v>
      </c>
      <c r="P49" s="20" t="n">
        <v>0</v>
      </c>
      <c r="Q49" s="18" t="n">
        <v>0.60732547</v>
      </c>
      <c r="R49" s="20" t="n">
        <v>0.40098689</v>
      </c>
    </row>
    <row r="50" spans="1:18">
      <c r="A50" s="15" t="s">
        <v>609</v>
      </c>
      <c r="B50" s="17" t="n">
        <v>3494</v>
      </c>
      <c r="C50" s="18">
        <f>(3178.0/B50*100)</f>
        <v/>
      </c>
      <c r="D50" s="19" t="n">
        <v>316</v>
      </c>
      <c r="E50" s="18" t="n">
        <v>34.75750586</v>
      </c>
      <c r="F50" s="20" t="n">
        <v>2.91121209</v>
      </c>
      <c r="G50" s="18" t="n">
        <v>64.91430543</v>
      </c>
      <c r="H50" s="20" t="n">
        <v>2.87171254</v>
      </c>
      <c r="I50" s="18" t="n">
        <v>0</v>
      </c>
      <c r="J50" s="20" t="n">
        <v>0</v>
      </c>
      <c r="K50" s="18" t="n">
        <v>0.32818871</v>
      </c>
      <c r="L50" s="20" t="n">
        <v>0.33648748</v>
      </c>
      <c r="M50" s="18" t="n">
        <v>0</v>
      </c>
      <c r="N50" s="20" t="n">
        <v>0</v>
      </c>
      <c r="O50" s="18" t="n">
        <v>0</v>
      </c>
      <c r="P50" s="20" t="n">
        <v>0</v>
      </c>
      <c r="Q50" s="18" t="n">
        <v>0</v>
      </c>
      <c r="R50" s="20" t="n">
        <v>0</v>
      </c>
    </row>
    <row r="51" spans="1:18">
      <c r="A51" s="15" t="s">
        <v>610</v>
      </c>
      <c r="B51" s="17" t="n">
        <v>3013</v>
      </c>
      <c r="C51" s="18">
        <f>(2703.0/B51*100)</f>
        <v/>
      </c>
      <c r="D51" s="19" t="n">
        <v>310</v>
      </c>
      <c r="E51" s="18" t="n">
        <v>24.27309632</v>
      </c>
      <c r="F51" s="20" t="n">
        <v>2.16128352</v>
      </c>
      <c r="G51" s="18" t="n">
        <v>75.36394109</v>
      </c>
      <c r="H51" s="20" t="n">
        <v>2.15276577</v>
      </c>
      <c r="I51" s="18" t="n">
        <v>0</v>
      </c>
      <c r="J51" s="20" t="n">
        <v>0</v>
      </c>
      <c r="K51" s="18" t="n">
        <v>0.36296259</v>
      </c>
      <c r="L51" s="20" t="n">
        <v>0.35192389</v>
      </c>
      <c r="M51" s="18" t="n">
        <v>0</v>
      </c>
      <c r="N51" s="20" t="n">
        <v>0</v>
      </c>
      <c r="O51" s="18" t="n">
        <v>0</v>
      </c>
      <c r="P51" s="20" t="n">
        <v>0</v>
      </c>
      <c r="Q51" s="18" t="n">
        <v>0</v>
      </c>
      <c r="R51" s="20" t="n">
        <v>0</v>
      </c>
    </row>
    <row r="52" spans="1:18">
      <c r="A52" s="15" t="s">
        <v>611</v>
      </c>
      <c r="B52" s="17" t="n">
        <v>2760</v>
      </c>
      <c r="C52" s="18">
        <f>(2469.0/B52*100)</f>
        <v/>
      </c>
      <c r="D52" s="19" t="n">
        <v>291</v>
      </c>
      <c r="E52" s="18" t="n">
        <v>35.59443026</v>
      </c>
      <c r="F52" s="20" t="n">
        <v>2.70697518</v>
      </c>
      <c r="G52" s="18" t="n">
        <v>63.87918863</v>
      </c>
      <c r="H52" s="20" t="n">
        <v>2.68251471</v>
      </c>
      <c r="I52" s="18" t="n">
        <v>0</v>
      </c>
      <c r="J52" s="20" t="n">
        <v>0</v>
      </c>
      <c r="K52" s="18" t="n">
        <v>0.28582476</v>
      </c>
      <c r="L52" s="20" t="n">
        <v>0.28690081</v>
      </c>
      <c r="M52" s="18" t="n">
        <v>0</v>
      </c>
      <c r="N52" s="20" t="n">
        <v>0</v>
      </c>
      <c r="O52" s="18" t="n">
        <v>0</v>
      </c>
      <c r="P52" s="20" t="n">
        <v>0</v>
      </c>
      <c r="Q52" s="18" t="n">
        <v>0.24055635</v>
      </c>
      <c r="R52" s="20" t="n">
        <v>0.23946473</v>
      </c>
    </row>
    <row r="53" spans="1:18">
      <c r="A53" s="15" t="s">
        <v>612</v>
      </c>
      <c r="B53" s="17" t="n">
        <v>2474</v>
      </c>
      <c r="C53" s="18">
        <f>(2186.0/B53*100)</f>
        <v/>
      </c>
      <c r="D53" s="19" t="n">
        <v>288</v>
      </c>
      <c r="E53" s="18" t="n">
        <v>48.54159634</v>
      </c>
      <c r="F53" s="20" t="n">
        <v>3.253428</v>
      </c>
      <c r="G53" s="18" t="n">
        <v>29.61496872</v>
      </c>
      <c r="H53" s="20" t="n">
        <v>2.53424965</v>
      </c>
      <c r="I53" s="18" t="n">
        <v>0</v>
      </c>
      <c r="J53" s="20" t="n">
        <v>0</v>
      </c>
      <c r="K53" s="18" t="n">
        <v>21.01497696</v>
      </c>
      <c r="L53" s="20" t="n">
        <v>2.57635484</v>
      </c>
      <c r="M53" s="18" t="n">
        <v>0</v>
      </c>
      <c r="N53" s="20" t="n">
        <v>0</v>
      </c>
      <c r="O53" s="18" t="n">
        <v>0</v>
      </c>
      <c r="P53" s="20" t="n">
        <v>0</v>
      </c>
      <c r="Q53" s="18" t="n">
        <v>0.82845798</v>
      </c>
      <c r="R53" s="20" t="n">
        <v>0.94377666</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(2394.0/B55*100)</f>
        <v/>
      </c>
      <c r="D55" s="19" t="n">
        <v>281</v>
      </c>
      <c r="E55" s="18" t="n">
        <v>23.03386383</v>
      </c>
      <c r="F55" s="20" t="n">
        <v>3.06878434</v>
      </c>
      <c r="G55" s="18" t="n">
        <v>76.96613617</v>
      </c>
      <c r="H55" s="20" t="n">
        <v>3.06878434</v>
      </c>
      <c r="I55" s="18" t="n">
        <v>0</v>
      </c>
      <c r="J55" s="20" t="n">
        <v>0</v>
      </c>
      <c r="K55" s="18" t="n">
        <v>0</v>
      </c>
      <c r="L55" s="20" t="n">
        <v>0</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(2843.0/B61*100)</f>
        <v/>
      </c>
      <c r="D61" s="19" t="n">
        <v>358</v>
      </c>
      <c r="E61" s="18" t="n">
        <v>17.37163212</v>
      </c>
      <c r="F61" s="20" t="n">
        <v>1.90631176</v>
      </c>
      <c r="G61" s="18" t="n">
        <v>82.25428711000001</v>
      </c>
      <c r="H61" s="20" t="n">
        <v>1.92660029</v>
      </c>
      <c r="I61" s="18" t="n">
        <v>0</v>
      </c>
      <c r="J61" s="20" t="n">
        <v>0</v>
      </c>
      <c r="K61" s="18" t="n">
        <v>0.37408077</v>
      </c>
      <c r="L61" s="20" t="n">
        <v>0.22894246</v>
      </c>
      <c r="M61" s="18" t="n">
        <v>0</v>
      </c>
      <c r="N61" s="20" t="n">
        <v>0</v>
      </c>
      <c r="O61" s="18" t="n">
        <v>0</v>
      </c>
      <c r="P61" s="20" t="n">
        <v>0</v>
      </c>
      <c r="Q61" s="18" t="n">
        <v>0</v>
      </c>
      <c r="R61" s="20" t="n">
        <v>0</v>
      </c>
    </row>
    <row r="62" spans="1:18">
      <c r="A62" s="15" t="s">
        <v>622</v>
      </c>
      <c r="B62" s="17" t="n">
        <v>2230</v>
      </c>
      <c r="C62" s="18">
        <f>(2012.0/B62*100)</f>
        <v/>
      </c>
      <c r="D62" s="19" t="n">
        <v>218</v>
      </c>
      <c r="E62" s="18" t="n">
        <v>19.31401134</v>
      </c>
      <c r="F62" s="20" t="n">
        <v>2.81571705</v>
      </c>
      <c r="G62" s="18" t="n">
        <v>80.68598866000001</v>
      </c>
      <c r="H62" s="20" t="n">
        <v>2.81571705</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(2471.0/B67*100)</f>
        <v/>
      </c>
      <c r="D67" s="19" t="n">
        <v>300</v>
      </c>
      <c r="E67" s="18" t="n">
        <v>41.00094578</v>
      </c>
      <c r="F67" s="20" t="n">
        <v>3.00823654</v>
      </c>
      <c r="G67" s="18" t="n">
        <v>57.50126416</v>
      </c>
      <c r="H67" s="20" t="n">
        <v>2.86068242</v>
      </c>
      <c r="I67" s="18" t="n">
        <v>0</v>
      </c>
      <c r="J67" s="20" t="n">
        <v>0</v>
      </c>
      <c r="K67" s="18" t="n">
        <v>0.55542929</v>
      </c>
      <c r="L67" s="20" t="n">
        <v>0.39591745</v>
      </c>
      <c r="M67" s="18" t="n">
        <v>0</v>
      </c>
      <c r="N67" s="20" t="n">
        <v>0</v>
      </c>
      <c r="O67" s="18" t="n">
        <v>0</v>
      </c>
      <c r="P67" s="20" t="n">
        <v>0</v>
      </c>
      <c r="Q67" s="18" t="n">
        <v>0.94236077</v>
      </c>
      <c r="R67" s="20" t="n">
        <v>0.54700665</v>
      </c>
    </row>
    <row r="68" spans="1:18">
      <c r="A68" s="15" t="s">
        <v>628</v>
      </c>
      <c r="B68" s="17" t="n">
        <v>3460</v>
      </c>
      <c r="C68" s="18">
        <f>(3150.0/B68*100)</f>
        <v/>
      </c>
      <c r="D68" s="19" t="n">
        <v>310</v>
      </c>
      <c r="E68" s="18" t="n">
        <v>38.23331174</v>
      </c>
      <c r="F68" s="20" t="n">
        <v>2.89480773</v>
      </c>
      <c r="G68" s="18" t="n">
        <v>61.53550728</v>
      </c>
      <c r="H68" s="20" t="n">
        <v>2.95010186</v>
      </c>
      <c r="I68" s="18" t="n">
        <v>0</v>
      </c>
      <c r="J68" s="20" t="n">
        <v>0</v>
      </c>
      <c r="K68" s="18" t="n">
        <v>0</v>
      </c>
      <c r="L68" s="20" t="n">
        <v>0</v>
      </c>
      <c r="M68" s="18" t="n">
        <v>0</v>
      </c>
      <c r="N68" s="20" t="n">
        <v>0</v>
      </c>
      <c r="O68" s="18" t="n">
        <v>0</v>
      </c>
      <c r="P68" s="20" t="n">
        <v>0</v>
      </c>
      <c r="Q68" s="18" t="n">
        <v>0.23118099</v>
      </c>
      <c r="R68" s="20" t="n">
        <v>0.23293262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(5344.0/B70*100)</f>
        <v/>
      </c>
      <c r="D70" s="19" t="n">
        <v>690</v>
      </c>
      <c r="E70" s="18" t="n">
        <v>42.89558035</v>
      </c>
      <c r="F70" s="20" t="n">
        <v>1.95853221</v>
      </c>
      <c r="G70" s="18" t="n">
        <v>53.73788884</v>
      </c>
      <c r="H70" s="20" t="n">
        <v>1.9524042</v>
      </c>
      <c r="I70" s="18" t="n">
        <v>0</v>
      </c>
      <c r="J70" s="20" t="n">
        <v>0</v>
      </c>
      <c r="K70" s="18" t="n">
        <v>2.94166459</v>
      </c>
      <c r="L70" s="20" t="n">
        <v>0.5923467100000001</v>
      </c>
      <c r="M70" s="18" t="n">
        <v>0</v>
      </c>
      <c r="N70" s="20" t="n">
        <v>0</v>
      </c>
      <c r="O70" s="18" t="n">
        <v>0</v>
      </c>
      <c r="P70" s="20" t="n">
        <v>0</v>
      </c>
      <c r="Q70" s="18" t="n">
        <v>0.42486622</v>
      </c>
      <c r="R70" s="20" t="n">
        <v>0.24377749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(2809.0/B72*100)</f>
        <v/>
      </c>
      <c r="D72" s="19" t="n">
        <v>298</v>
      </c>
      <c r="E72" s="18" t="n">
        <v>23.40746354</v>
      </c>
      <c r="F72" s="20" t="n">
        <v>2.43235179</v>
      </c>
      <c r="G72" s="18" t="n">
        <v>75.69397223999999</v>
      </c>
      <c r="H72" s="20" t="n">
        <v>2.49926327</v>
      </c>
      <c r="I72" s="18" t="n">
        <v>0</v>
      </c>
      <c r="J72" s="20" t="n">
        <v>0</v>
      </c>
      <c r="K72" s="18" t="n">
        <v>0.75586432</v>
      </c>
      <c r="L72" s="20" t="n">
        <v>0.57246851</v>
      </c>
      <c r="M72" s="18" t="n">
        <v>0</v>
      </c>
      <c r="N72" s="20" t="n">
        <v>0</v>
      </c>
      <c r="O72" s="18" t="n">
        <v>0</v>
      </c>
      <c r="P72" s="20" t="n">
        <v>0</v>
      </c>
      <c r="Q72" s="18" t="n">
        <v>0.1426999</v>
      </c>
      <c r="R72" s="20" t="n">
        <v>0.10095666</v>
      </c>
    </row>
    <row r="73" spans="1:18">
      <c r="A73" s="15" t="s">
        <v>633</v>
      </c>
      <c r="B73" s="17" t="n">
        <v>2973</v>
      </c>
      <c r="C73" s="18">
        <f>(2627.0/B73*100)</f>
        <v/>
      </c>
      <c r="D73" s="19" t="n">
        <v>346</v>
      </c>
      <c r="E73" s="18" t="n">
        <v>25.74532535</v>
      </c>
      <c r="F73" s="20" t="n">
        <v>2.44636529</v>
      </c>
      <c r="G73" s="18" t="n">
        <v>73.79188026999999</v>
      </c>
      <c r="H73" s="20" t="n">
        <v>2.51321431</v>
      </c>
      <c r="I73" s="18" t="n">
        <v>0</v>
      </c>
      <c r="J73" s="20" t="n">
        <v>0</v>
      </c>
      <c r="K73" s="18" t="n">
        <v>0.46279438</v>
      </c>
      <c r="L73" s="20" t="n">
        <v>0.44204954</v>
      </c>
      <c r="M73" s="18" t="n">
        <v>0</v>
      </c>
      <c r="N73" s="20" t="n">
        <v>0</v>
      </c>
      <c r="O73" s="18" t="n">
        <v>0</v>
      </c>
      <c r="P73" s="20" t="n">
        <v>0</v>
      </c>
      <c r="Q73" s="18" t="n">
        <v>0</v>
      </c>
      <c r="R73" s="20" t="n">
        <v>0</v>
      </c>
    </row>
    <row r="74" spans="1:18">
      <c r="A74" s="15" t="s">
        <v>634</v>
      </c>
      <c r="B74" s="17" t="n">
        <v>3819</v>
      </c>
      <c r="C74" s="18">
        <f>(3416.0/B74*100)</f>
        <v/>
      </c>
      <c r="D74" s="19" t="n">
        <v>403</v>
      </c>
      <c r="E74" s="18" t="n">
        <v>29.2943315</v>
      </c>
      <c r="F74" s="20" t="n">
        <v>2.4431336</v>
      </c>
      <c r="G74" s="18" t="n">
        <v>70.7056685</v>
      </c>
      <c r="H74" s="20" t="n">
        <v>2.4431336</v>
      </c>
      <c r="I74" s="18" t="n">
        <v>0</v>
      </c>
      <c r="J74" s="20" t="n">
        <v>0</v>
      </c>
      <c r="K74" s="18" t="n">
        <v>0</v>
      </c>
      <c r="L74" s="20" t="n">
        <v>0</v>
      </c>
      <c r="M74" s="18" t="n">
        <v>0</v>
      </c>
      <c r="N74" s="20" t="n">
        <v>0</v>
      </c>
      <c r="O74" s="18" t="n">
        <v>0</v>
      </c>
      <c r="P74" s="20" t="n">
        <v>0</v>
      </c>
      <c r="Q74" s="18" t="n">
        <v>0</v>
      </c>
      <c r="R74" s="20" t="n">
        <v>0</v>
      </c>
    </row>
    <row r="75" spans="1:18">
      <c r="A75" s="15" t="s">
        <v>635</v>
      </c>
      <c r="B75" s="17" t="n">
        <v>4652</v>
      </c>
      <c r="C75" s="18">
        <f>(4168.0/B75*100)</f>
        <v/>
      </c>
      <c r="D75" s="19" t="n">
        <v>484</v>
      </c>
      <c r="E75" s="18" t="n">
        <v>30.87743447</v>
      </c>
      <c r="F75" s="20" t="n">
        <v>2.21151582</v>
      </c>
      <c r="G75" s="18" t="n">
        <v>69.12256553</v>
      </c>
      <c r="H75" s="20" t="n">
        <v>2.21151582</v>
      </c>
      <c r="I75" s="18" t="n">
        <v>0</v>
      </c>
      <c r="J75" s="20" t="n">
        <v>0</v>
      </c>
      <c r="K75" s="18" t="n">
        <v>0</v>
      </c>
      <c r="L75" s="20" t="n">
        <v>0</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(2682.0/B77*100)</f>
        <v/>
      </c>
      <c r="D77" s="19" t="n">
        <v>287</v>
      </c>
      <c r="E77" s="18" t="n">
        <v>52.70736394</v>
      </c>
      <c r="F77" s="20" t="n">
        <v>3.27999717</v>
      </c>
      <c r="G77" s="18" t="n">
        <v>40.30735067</v>
      </c>
      <c r="H77" s="20" t="n">
        <v>3.15826557</v>
      </c>
      <c r="I77" s="18" t="n">
        <v>0</v>
      </c>
      <c r="J77" s="20" t="n">
        <v>0</v>
      </c>
      <c r="K77" s="18" t="n">
        <v>5.14874194</v>
      </c>
      <c r="L77" s="20" t="n">
        <v>1.32140528</v>
      </c>
      <c r="M77" s="18" t="n">
        <v>0</v>
      </c>
      <c r="N77" s="20" t="n">
        <v>0</v>
      </c>
      <c r="O77" s="18" t="n">
        <v>0</v>
      </c>
      <c r="P77" s="20" t="n">
        <v>0</v>
      </c>
      <c r="Q77" s="18" t="n">
        <v>1.83654345</v>
      </c>
      <c r="R77" s="20" t="n">
        <v>0.83621285</v>
      </c>
    </row>
    <row r="78" spans="1:18">
      <c r="A78" s="15" t="s">
        <v>638</v>
      </c>
      <c r="B78" s="17" t="n">
        <v>7115</v>
      </c>
      <c r="C78" s="18">
        <f>(6361.0/B78*100)</f>
        <v/>
      </c>
      <c r="D78" s="19" t="n">
        <v>754</v>
      </c>
      <c r="E78" s="18" t="n">
        <v>36.8619113</v>
      </c>
      <c r="F78" s="20" t="n">
        <v>2.37600853</v>
      </c>
      <c r="G78" s="18" t="n">
        <v>60.858199</v>
      </c>
      <c r="H78" s="20" t="n">
        <v>2.44691308</v>
      </c>
      <c r="I78" s="18" t="n">
        <v>0</v>
      </c>
      <c r="J78" s="20" t="n">
        <v>0</v>
      </c>
      <c r="K78" s="18" t="n">
        <v>1.75726674</v>
      </c>
      <c r="L78" s="20" t="n">
        <v>0.59117081</v>
      </c>
      <c r="M78" s="18" t="n">
        <v>0</v>
      </c>
      <c r="N78" s="20" t="n">
        <v>0</v>
      </c>
      <c r="O78" s="18" t="n">
        <v>0</v>
      </c>
      <c r="P78" s="20" t="n">
        <v>0</v>
      </c>
      <c r="Q78" s="18" t="n">
        <v>0.52262296</v>
      </c>
      <c r="R78" s="20" t="n">
        <v>0.29835667</v>
      </c>
    </row>
    <row r="79" spans="1:18">
      <c r="A79" s="15" t="s">
        <v>639</v>
      </c>
      <c r="B79" s="17" t="n">
        <v>3154</v>
      </c>
      <c r="C79" s="18">
        <f>(2820.0/B79*100)</f>
        <v/>
      </c>
      <c r="D79" s="19" t="n">
        <v>334</v>
      </c>
      <c r="E79" s="18" t="n">
        <v>36.25682227</v>
      </c>
      <c r="F79" s="20" t="n">
        <v>3.02135254</v>
      </c>
      <c r="G79" s="18" t="n">
        <v>61.99817026</v>
      </c>
      <c r="H79" s="20" t="n">
        <v>3.00354343</v>
      </c>
      <c r="I79" s="18" t="n">
        <v>0</v>
      </c>
      <c r="J79" s="20" t="n">
        <v>0</v>
      </c>
      <c r="K79" s="18" t="n">
        <v>1.28374132</v>
      </c>
      <c r="L79" s="20" t="n">
        <v>0.54403161</v>
      </c>
      <c r="M79" s="18" t="n">
        <v>0</v>
      </c>
      <c r="N79" s="20" t="n">
        <v>0</v>
      </c>
      <c r="O79" s="18" t="n">
        <v>0</v>
      </c>
      <c r="P79" s="20" t="n">
        <v>0</v>
      </c>
      <c r="Q79" s="18" t="n">
        <v>0.46126614</v>
      </c>
      <c r="R79" s="20" t="n">
        <v>0.31901449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(14231.0/B82*100)</f>
        <v/>
      </c>
      <c r="D82" s="19" t="n">
        <v>1730</v>
      </c>
      <c r="E82" s="18" t="n">
        <v>15.43005453</v>
      </c>
      <c r="F82" s="20" t="n">
        <v>1.30707952</v>
      </c>
      <c r="G82" s="18" t="n">
        <v>84.07866502</v>
      </c>
      <c r="H82" s="20" t="n">
        <v>1.23852652</v>
      </c>
      <c r="I82" s="18" t="n">
        <v>0</v>
      </c>
      <c r="J82" s="20" t="n">
        <v>0</v>
      </c>
      <c r="K82" s="18" t="n">
        <v>0.14544664</v>
      </c>
      <c r="L82" s="20" t="n">
        <v>0.08745152</v>
      </c>
      <c r="M82" s="18" t="n">
        <v>0</v>
      </c>
      <c r="N82" s="20" t="n">
        <v>0</v>
      </c>
      <c r="O82" s="18" t="n">
        <v>0</v>
      </c>
      <c r="P82" s="20" t="n">
        <v>0</v>
      </c>
      <c r="Q82" s="18" t="n">
        <v>0.34583381</v>
      </c>
      <c r="R82" s="20" t="n">
        <v>0.27366276</v>
      </c>
    </row>
    <row r="83" spans="1:18">
      <c r="A83" s="15" t="s">
        <v>643</v>
      </c>
      <c r="B83" s="17" t="n">
        <v>808</v>
      </c>
      <c r="C83" s="18">
        <f>(725.0/B83*100)</f>
        <v/>
      </c>
      <c r="D83" s="19" t="n">
        <v>83</v>
      </c>
      <c r="E83" s="18" t="n">
        <v>19.03372806</v>
      </c>
      <c r="F83" s="20" t="n">
        <v>6.05095812</v>
      </c>
      <c r="G83" s="18" t="n">
        <v>79.48728822</v>
      </c>
      <c r="H83" s="20" t="n">
        <v>5.98795326</v>
      </c>
      <c r="I83" s="18" t="n">
        <v>0</v>
      </c>
      <c r="J83" s="20" t="n">
        <v>0</v>
      </c>
      <c r="K83" s="18" t="n">
        <v>1.47898372</v>
      </c>
      <c r="L83" s="20" t="n">
        <v>1.38769072</v>
      </c>
      <c r="M83" s="18" t="n">
        <v>0</v>
      </c>
      <c r="N83" s="20" t="n">
        <v>0</v>
      </c>
      <c r="O83" s="18" t="n">
        <v>0</v>
      </c>
      <c r="P83" s="20" t="n">
        <v>0</v>
      </c>
      <c r="Q83" s="18" t="n">
        <v>0</v>
      </c>
      <c r="R83" s="20" t="n">
        <v>0</v>
      </c>
    </row>
    <row r="84" spans="1:18">
      <c r="A84" s="23" t="s">
        <v>644</v>
      </c>
      <c r="B84" s="24" t="n">
        <v>938</v>
      </c>
      <c r="C84" s="25">
        <f>(846.0/B84*100)</f>
        <v/>
      </c>
      <c r="D84" s="19" t="n">
        <v>92</v>
      </c>
      <c r="E84" s="18" t="n">
        <v>23.39543194</v>
      </c>
      <c r="F84" s="20" t="n">
        <v>4.30220772</v>
      </c>
      <c r="G84" s="18" t="n">
        <v>76.60456806000001</v>
      </c>
      <c r="H84" s="20" t="n">
        <v>4.30220772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(6406.0/B7*100)</f>
        <v/>
      </c>
      <c r="D7" s="19" t="n">
        <v>757</v>
      </c>
      <c r="E7" s="18" t="n">
        <v>26.86464892</v>
      </c>
      <c r="F7" s="20" t="n">
        <v>2.13938024</v>
      </c>
      <c r="G7" s="18" t="n">
        <v>72.0954945</v>
      </c>
      <c r="H7" s="20" t="n">
        <v>2.1478064</v>
      </c>
      <c r="I7" s="18" t="n">
        <v>0</v>
      </c>
      <c r="J7" s="20" t="n">
        <v>0</v>
      </c>
      <c r="K7" s="18" t="n">
        <v>0.2262489</v>
      </c>
      <c r="L7" s="20" t="n">
        <v>0.14719771</v>
      </c>
      <c r="M7" s="18" t="n">
        <v>0</v>
      </c>
      <c r="N7" s="20" t="n">
        <v>0</v>
      </c>
      <c r="O7" s="18" t="n">
        <v>0</v>
      </c>
      <c r="P7" s="20" t="n">
        <v>0</v>
      </c>
      <c r="Q7" s="18" t="n">
        <v>0.8136076800000001</v>
      </c>
      <c r="R7" s="20" t="n">
        <v>0.3574848</v>
      </c>
    </row>
    <row r="8" spans="1:18">
      <c r="A8" s="15" t="s">
        <v>566</v>
      </c>
      <c r="B8" s="17" t="n">
        <v>3443</v>
      </c>
      <c r="C8" s="18">
        <f>(3064.0/B8*100)</f>
        <v/>
      </c>
      <c r="D8" s="19" t="n">
        <v>379</v>
      </c>
      <c r="E8" s="18" t="n">
        <v>41.30745335</v>
      </c>
      <c r="F8" s="20" t="n">
        <v>2.74776824</v>
      </c>
      <c r="G8" s="18" t="n">
        <v>56.10923232</v>
      </c>
      <c r="H8" s="20" t="n">
        <v>2.72370774</v>
      </c>
      <c r="I8" s="18" t="n">
        <v>0</v>
      </c>
      <c r="J8" s="20" t="n">
        <v>0</v>
      </c>
      <c r="K8" s="18" t="n">
        <v>0</v>
      </c>
      <c r="L8" s="20" t="n">
        <v>0</v>
      </c>
      <c r="M8" s="18" t="n">
        <v>0</v>
      </c>
      <c r="N8" s="20" t="n">
        <v>0</v>
      </c>
      <c r="O8" s="18" t="n">
        <v>0</v>
      </c>
      <c r="P8" s="20" t="n">
        <v>0</v>
      </c>
      <c r="Q8" s="18" t="n">
        <v>2.58331433</v>
      </c>
      <c r="R8" s="20" t="n">
        <v>0.88872511</v>
      </c>
    </row>
    <row r="9" spans="1:18">
      <c r="A9" s="15" t="s">
        <v>567</v>
      </c>
      <c r="B9" s="17" t="n">
        <v>4752</v>
      </c>
      <c r="C9" s="18">
        <f>(4223.0/B9*100)</f>
        <v/>
      </c>
      <c r="D9" s="19" t="n">
        <v>529</v>
      </c>
      <c r="E9" s="18" t="n">
        <v>35.13389081</v>
      </c>
      <c r="F9" s="20" t="n">
        <v>2.26142118</v>
      </c>
      <c r="G9" s="18" t="n">
        <v>61.44187119</v>
      </c>
      <c r="H9" s="20" t="n">
        <v>2.38650925</v>
      </c>
      <c r="I9" s="18" t="n">
        <v>0</v>
      </c>
      <c r="J9" s="20" t="n">
        <v>0</v>
      </c>
      <c r="K9" s="18" t="n">
        <v>1.23134473</v>
      </c>
      <c r="L9" s="20" t="n">
        <v>0.50378131</v>
      </c>
      <c r="M9" s="18" t="n">
        <v>0</v>
      </c>
      <c r="N9" s="20" t="n">
        <v>0</v>
      </c>
      <c r="O9" s="18" t="n">
        <v>0</v>
      </c>
      <c r="P9" s="20" t="n">
        <v>0</v>
      </c>
      <c r="Q9" s="18" t="n">
        <v>2.19289327</v>
      </c>
      <c r="R9" s="20" t="n">
        <v>0.70717831</v>
      </c>
    </row>
    <row r="10" spans="1:18">
      <c r="A10" s="15" t="s">
        <v>568</v>
      </c>
      <c r="B10" s="17" t="n">
        <v>10022</v>
      </c>
      <c r="C10" s="18">
        <f>(8926.0/B10*100)</f>
        <v/>
      </c>
      <c r="D10" s="19" t="n">
        <v>1096</v>
      </c>
      <c r="E10" s="18" t="n">
        <v>27.71067058</v>
      </c>
      <c r="F10" s="20" t="n">
        <v>1.88595167</v>
      </c>
      <c r="G10" s="18" t="n">
        <v>70.96586085</v>
      </c>
      <c r="H10" s="20" t="n">
        <v>1.88889163</v>
      </c>
      <c r="I10" s="18" t="n">
        <v>0</v>
      </c>
      <c r="J10" s="20" t="n">
        <v>0</v>
      </c>
      <c r="K10" s="18" t="n">
        <v>0.48407092</v>
      </c>
      <c r="L10" s="20" t="n">
        <v>0.23916142</v>
      </c>
      <c r="M10" s="18" t="n">
        <v>0</v>
      </c>
      <c r="N10" s="20" t="n">
        <v>0</v>
      </c>
      <c r="O10" s="18" t="n">
        <v>0</v>
      </c>
      <c r="P10" s="20" t="n">
        <v>0</v>
      </c>
      <c r="Q10" s="18" t="n">
        <v>0.83939765</v>
      </c>
      <c r="R10" s="20" t="n">
        <v>0.35514501</v>
      </c>
    </row>
    <row r="11" spans="1:18">
      <c r="A11" s="15" t="s">
        <v>569</v>
      </c>
      <c r="B11" s="17" t="n">
        <v>3500</v>
      </c>
      <c r="C11" s="18">
        <f>(3114.0/B11*100)</f>
        <v/>
      </c>
      <c r="D11" s="19" t="n">
        <v>386</v>
      </c>
      <c r="E11" s="18" t="n">
        <v>40.55958146</v>
      </c>
      <c r="F11" s="20" t="n">
        <v>2.91447773</v>
      </c>
      <c r="G11" s="18" t="n">
        <v>56.13466831</v>
      </c>
      <c r="H11" s="20" t="n">
        <v>2.68511857</v>
      </c>
      <c r="I11" s="18" t="n">
        <v>0</v>
      </c>
      <c r="J11" s="20" t="n">
        <v>0</v>
      </c>
      <c r="K11" s="18" t="n">
        <v>2.37658768</v>
      </c>
      <c r="L11" s="20" t="n">
        <v>0.82248668</v>
      </c>
      <c r="M11" s="18" t="n">
        <v>0</v>
      </c>
      <c r="N11" s="20" t="n">
        <v>0</v>
      </c>
      <c r="O11" s="18" t="n">
        <v>0</v>
      </c>
      <c r="P11" s="20" t="n">
        <v>0</v>
      </c>
      <c r="Q11" s="18" t="n">
        <v>0.92916255</v>
      </c>
      <c r="R11" s="20" t="n">
        <v>0.51623095</v>
      </c>
    </row>
    <row r="12" spans="1:18">
      <c r="A12" s="15" t="s">
        <v>570</v>
      </c>
      <c r="B12" s="17" t="n">
        <v>3422</v>
      </c>
      <c r="C12" s="18">
        <f>(3053.0/B12*100)</f>
        <v/>
      </c>
      <c r="D12" s="19" t="n">
        <v>369</v>
      </c>
      <c r="E12" s="18" t="n">
        <v>38.36116815</v>
      </c>
      <c r="F12" s="20" t="n">
        <v>2.58902545</v>
      </c>
      <c r="G12" s="18" t="n">
        <v>58.0743183</v>
      </c>
      <c r="H12" s="20" t="n">
        <v>2.98680809</v>
      </c>
      <c r="I12" s="18" t="n">
        <v>0</v>
      </c>
      <c r="J12" s="20" t="n">
        <v>0</v>
      </c>
      <c r="K12" s="18" t="n">
        <v>0.83036239</v>
      </c>
      <c r="L12" s="20" t="n">
        <v>0.5761130800000001</v>
      </c>
      <c r="M12" s="18" t="n">
        <v>0</v>
      </c>
      <c r="N12" s="20" t="n">
        <v>0</v>
      </c>
      <c r="O12" s="18" t="n">
        <v>0</v>
      </c>
      <c r="P12" s="20" t="n">
        <v>0</v>
      </c>
      <c r="Q12" s="18" t="n">
        <v>2.73415117</v>
      </c>
      <c r="R12" s="20" t="n">
        <v>1.12250187</v>
      </c>
    </row>
    <row r="13" spans="1:18">
      <c r="A13" s="15" t="s">
        <v>571</v>
      </c>
      <c r="B13" s="17" t="n">
        <v>3602</v>
      </c>
      <c r="C13" s="18">
        <f>(3232.0/B13*100)</f>
        <v/>
      </c>
      <c r="D13" s="19" t="n">
        <v>370</v>
      </c>
      <c r="E13" s="18" t="n">
        <v>36.89694527</v>
      </c>
      <c r="F13" s="20" t="n">
        <v>3.18831584</v>
      </c>
      <c r="G13" s="18" t="n">
        <v>59.94171863</v>
      </c>
      <c r="H13" s="20" t="n">
        <v>3.16141925</v>
      </c>
      <c r="I13" s="18" t="n">
        <v>0</v>
      </c>
      <c r="J13" s="20" t="n">
        <v>0</v>
      </c>
      <c r="K13" s="18" t="n">
        <v>1.19765235</v>
      </c>
      <c r="L13" s="20" t="n">
        <v>0.59616747</v>
      </c>
      <c r="M13" s="18" t="n">
        <v>0</v>
      </c>
      <c r="N13" s="20" t="n">
        <v>0</v>
      </c>
      <c r="O13" s="18" t="n">
        <v>0</v>
      </c>
      <c r="P13" s="20" t="n">
        <v>0</v>
      </c>
      <c r="Q13" s="18" t="n">
        <v>1.96368374</v>
      </c>
      <c r="R13" s="20" t="n">
        <v>0.89065953</v>
      </c>
    </row>
    <row r="14" spans="1:18">
      <c r="A14" s="15" t="s">
        <v>572</v>
      </c>
      <c r="B14" s="17" t="n">
        <v>2788</v>
      </c>
      <c r="C14" s="18">
        <f>(2485.0/B14*100)</f>
        <v/>
      </c>
      <c r="D14" s="19" t="n">
        <v>303</v>
      </c>
      <c r="E14" s="18" t="n">
        <v>19.55300261</v>
      </c>
      <c r="F14" s="20" t="n">
        <v>2.57239962</v>
      </c>
      <c r="G14" s="18" t="n">
        <v>79.09229800999999</v>
      </c>
      <c r="H14" s="20" t="n">
        <v>2.48150629</v>
      </c>
      <c r="I14" s="18" t="n">
        <v>0</v>
      </c>
      <c r="J14" s="20" t="n">
        <v>0</v>
      </c>
      <c r="K14" s="18" t="n">
        <v>0.84330984</v>
      </c>
      <c r="L14" s="20" t="n">
        <v>0.8212937</v>
      </c>
      <c r="M14" s="18" t="n">
        <v>0</v>
      </c>
      <c r="N14" s="20" t="n">
        <v>0</v>
      </c>
      <c r="O14" s="18" t="n">
        <v>0</v>
      </c>
      <c r="P14" s="20" t="n">
        <v>0</v>
      </c>
      <c r="Q14" s="18" t="n">
        <v>0.51138954</v>
      </c>
      <c r="R14" s="20" t="n">
        <v>0.37921304</v>
      </c>
    </row>
    <row r="15" spans="1:18">
      <c r="A15" s="15" t="s">
        <v>573</v>
      </c>
      <c r="B15" s="17" t="n">
        <v>2863</v>
      </c>
      <c r="C15" s="18">
        <f>(2559.0/B15*100)</f>
        <v/>
      </c>
      <c r="D15" s="19" t="n">
        <v>304</v>
      </c>
      <c r="E15" s="18" t="n">
        <v>25.34375181</v>
      </c>
      <c r="F15" s="20" t="n">
        <v>2.30693764</v>
      </c>
      <c r="G15" s="18" t="n">
        <v>73.34968204</v>
      </c>
      <c r="H15" s="20" t="n">
        <v>2.33456138</v>
      </c>
      <c r="I15" s="18" t="n">
        <v>0</v>
      </c>
      <c r="J15" s="20" t="n">
        <v>0</v>
      </c>
      <c r="K15" s="18" t="n">
        <v>0</v>
      </c>
      <c r="L15" s="20" t="n">
        <v>0</v>
      </c>
      <c r="M15" s="18" t="n">
        <v>0</v>
      </c>
      <c r="N15" s="20" t="n">
        <v>0</v>
      </c>
      <c r="O15" s="18" t="n">
        <v>0</v>
      </c>
      <c r="P15" s="20" t="n">
        <v>0</v>
      </c>
      <c r="Q15" s="18" t="n">
        <v>1.30656615</v>
      </c>
      <c r="R15" s="20" t="n">
        <v>0.64226374</v>
      </c>
    </row>
    <row r="16" spans="1:18">
      <c r="A16" s="15" t="s">
        <v>574</v>
      </c>
      <c r="B16" s="17" t="n">
        <v>3111</v>
      </c>
      <c r="C16" s="18">
        <f>(2806.0/B16*100)</f>
        <v/>
      </c>
      <c r="D16" s="19" t="n">
        <v>305</v>
      </c>
      <c r="E16" s="18" t="n">
        <v>42.67538218</v>
      </c>
      <c r="F16" s="20" t="n">
        <v>2.87840135</v>
      </c>
      <c r="G16" s="18" t="n">
        <v>52.06354504</v>
      </c>
      <c r="H16" s="20" t="n">
        <v>2.89829256</v>
      </c>
      <c r="I16" s="18" t="n">
        <v>0</v>
      </c>
      <c r="J16" s="20" t="n">
        <v>0</v>
      </c>
      <c r="K16" s="18" t="n">
        <v>0.873183</v>
      </c>
      <c r="L16" s="20" t="n">
        <v>0.50433045</v>
      </c>
      <c r="M16" s="18" t="n">
        <v>0</v>
      </c>
      <c r="N16" s="20" t="n">
        <v>0</v>
      </c>
      <c r="O16" s="18" t="n">
        <v>0</v>
      </c>
      <c r="P16" s="20" t="n">
        <v>0</v>
      </c>
      <c r="Q16" s="18" t="n">
        <v>4.38788977</v>
      </c>
      <c r="R16" s="20" t="n">
        <v>1.14919789</v>
      </c>
    </row>
    <row r="17" spans="1:18">
      <c r="A17" s="15" t="s">
        <v>575</v>
      </c>
      <c r="B17" s="17" t="n">
        <v>3197</v>
      </c>
      <c r="C17" s="18">
        <f>(2841.0/B17*100)</f>
        <v/>
      </c>
      <c r="D17" s="19" t="n">
        <v>356</v>
      </c>
      <c r="E17" s="18" t="n">
        <v>41.76722701</v>
      </c>
      <c r="F17" s="20" t="n">
        <v>3.08340728</v>
      </c>
      <c r="G17" s="18" t="n">
        <v>53.94319282</v>
      </c>
      <c r="H17" s="20" t="n">
        <v>2.91158204</v>
      </c>
      <c r="I17" s="18" t="n">
        <v>0</v>
      </c>
      <c r="J17" s="20" t="n">
        <v>0</v>
      </c>
      <c r="K17" s="18" t="n">
        <v>0.88997669</v>
      </c>
      <c r="L17" s="20" t="n">
        <v>0.5134661700000001</v>
      </c>
      <c r="M17" s="18" t="n">
        <v>0</v>
      </c>
      <c r="N17" s="20" t="n">
        <v>0</v>
      </c>
      <c r="O17" s="18" t="n">
        <v>0</v>
      </c>
      <c r="P17" s="20" t="n">
        <v>0</v>
      </c>
      <c r="Q17" s="18" t="n">
        <v>3.39960347</v>
      </c>
      <c r="R17" s="20" t="n">
        <v>0.93982513</v>
      </c>
    </row>
    <row r="18" spans="1:18">
      <c r="A18" s="15" t="s">
        <v>576</v>
      </c>
      <c r="B18" s="17" t="n">
        <v>2706</v>
      </c>
      <c r="C18" s="18">
        <f>(2442.0/B18*100)</f>
        <v/>
      </c>
      <c r="D18" s="19" t="n">
        <v>264</v>
      </c>
      <c r="E18" s="18" t="n">
        <v>55.61317481</v>
      </c>
      <c r="F18" s="20" t="n">
        <v>3.92226757</v>
      </c>
      <c r="G18" s="18" t="n">
        <v>42.78144185</v>
      </c>
      <c r="H18" s="20" t="n">
        <v>3.94903527</v>
      </c>
      <c r="I18" s="18" t="n">
        <v>0</v>
      </c>
      <c r="J18" s="20" t="n">
        <v>0</v>
      </c>
      <c r="K18" s="18" t="n">
        <v>0</v>
      </c>
      <c r="L18" s="20" t="n">
        <v>0</v>
      </c>
      <c r="M18" s="18" t="n">
        <v>0</v>
      </c>
      <c r="N18" s="20" t="n">
        <v>0</v>
      </c>
      <c r="O18" s="18" t="n">
        <v>0</v>
      </c>
      <c r="P18" s="20" t="n">
        <v>0</v>
      </c>
      <c r="Q18" s="18" t="n">
        <v>1.60538334</v>
      </c>
      <c r="R18" s="20" t="n">
        <v>0.88137307</v>
      </c>
    </row>
    <row r="19" spans="1:18">
      <c r="A19" s="15" t="s">
        <v>577</v>
      </c>
      <c r="B19" s="17" t="n">
        <v>2850</v>
      </c>
      <c r="C19" s="18">
        <f>(2544.0/B19*100)</f>
        <v/>
      </c>
      <c r="D19" s="19" t="n">
        <v>306</v>
      </c>
      <c r="E19" s="18" t="n">
        <v>39.73381702</v>
      </c>
      <c r="F19" s="20" t="n">
        <v>2.39142717</v>
      </c>
      <c r="G19" s="18" t="n">
        <v>59.00290012</v>
      </c>
      <c r="H19" s="20" t="n">
        <v>2.57851972</v>
      </c>
      <c r="I19" s="18" t="n">
        <v>0</v>
      </c>
      <c r="J19" s="20" t="n">
        <v>0</v>
      </c>
      <c r="K19" s="18" t="n">
        <v>0</v>
      </c>
      <c r="L19" s="20" t="n">
        <v>0</v>
      </c>
      <c r="M19" s="18" t="n">
        <v>0</v>
      </c>
      <c r="N19" s="20" t="n">
        <v>0</v>
      </c>
      <c r="O19" s="18" t="n">
        <v>0</v>
      </c>
      <c r="P19" s="20" t="n">
        <v>0</v>
      </c>
      <c r="Q19" s="18" t="n">
        <v>1.26328286</v>
      </c>
      <c r="R19" s="20" t="n">
        <v>0.6328667</v>
      </c>
    </row>
    <row r="20" spans="1:18">
      <c r="A20" s="15" t="s">
        <v>578</v>
      </c>
      <c r="B20" s="17" t="n">
        <v>1741</v>
      </c>
      <c r="C20" s="18">
        <f>(1562.0/B20*100)</f>
        <v/>
      </c>
      <c r="D20" s="19" t="n">
        <v>179</v>
      </c>
      <c r="E20" s="18" t="n">
        <v>36.38986666</v>
      </c>
      <c r="F20" s="20" t="n">
        <v>4.16837299</v>
      </c>
      <c r="G20" s="18" t="n">
        <v>60.4244174</v>
      </c>
      <c r="H20" s="20" t="n">
        <v>4.28800962</v>
      </c>
      <c r="I20" s="18" t="n">
        <v>0</v>
      </c>
      <c r="J20" s="20" t="n">
        <v>0</v>
      </c>
      <c r="K20" s="18" t="n">
        <v>1.62316198</v>
      </c>
      <c r="L20" s="20" t="n">
        <v>0.95030919</v>
      </c>
      <c r="M20" s="18" t="n">
        <v>0</v>
      </c>
      <c r="N20" s="20" t="n">
        <v>0</v>
      </c>
      <c r="O20" s="18" t="n">
        <v>0</v>
      </c>
      <c r="P20" s="20" t="n">
        <v>0</v>
      </c>
      <c r="Q20" s="18" t="n">
        <v>1.56255396</v>
      </c>
      <c r="R20" s="20" t="n">
        <v>0.90191812</v>
      </c>
    </row>
    <row r="21" spans="1:18">
      <c r="A21" s="15" t="s">
        <v>579</v>
      </c>
      <c r="B21" s="17" t="n">
        <v>2833</v>
      </c>
      <c r="C21" s="18">
        <f>(2491.0/B21*100)</f>
        <v/>
      </c>
      <c r="D21" s="19" t="n">
        <v>342</v>
      </c>
      <c r="E21" s="18" t="n">
        <v>28.49573749</v>
      </c>
      <c r="F21" s="20" t="n">
        <v>2.33675039</v>
      </c>
      <c r="G21" s="18" t="n">
        <v>71.09434108000001</v>
      </c>
      <c r="H21" s="20" t="n">
        <v>2.35473411</v>
      </c>
      <c r="I21" s="18" t="n">
        <v>0</v>
      </c>
      <c r="J21" s="20" t="n">
        <v>0</v>
      </c>
      <c r="K21" s="18" t="n">
        <v>0</v>
      </c>
      <c r="L21" s="20" t="n">
        <v>0</v>
      </c>
      <c r="M21" s="18" t="n">
        <v>0</v>
      </c>
      <c r="N21" s="20" t="n">
        <v>0</v>
      </c>
      <c r="O21" s="18" t="n">
        <v>0</v>
      </c>
      <c r="P21" s="20" t="n">
        <v>0</v>
      </c>
      <c r="Q21" s="18" t="n">
        <v>0.40992143</v>
      </c>
      <c r="R21" s="20" t="n">
        <v>0.26059984</v>
      </c>
    </row>
    <row r="22" spans="1:18">
      <c r="A22" s="15" t="s">
        <v>580</v>
      </c>
      <c r="B22" s="17" t="n">
        <v>3667</v>
      </c>
      <c r="C22" s="18">
        <f>(3329.0/B22*100)</f>
        <v/>
      </c>
      <c r="D22" s="19" t="n">
        <v>338</v>
      </c>
      <c r="E22" s="18" t="n">
        <v>31.43093484</v>
      </c>
      <c r="F22" s="20" t="n">
        <v>2.4456222</v>
      </c>
      <c r="G22" s="18" t="n">
        <v>66.56428171</v>
      </c>
      <c r="H22" s="20" t="n">
        <v>2.46281216</v>
      </c>
      <c r="I22" s="18" t="n">
        <v>0</v>
      </c>
      <c r="J22" s="20" t="n">
        <v>0</v>
      </c>
      <c r="K22" s="18" t="n">
        <v>0.28272611</v>
      </c>
      <c r="L22" s="20" t="n">
        <v>0.31594335</v>
      </c>
      <c r="M22" s="18" t="n">
        <v>0</v>
      </c>
      <c r="N22" s="20" t="n">
        <v>0</v>
      </c>
      <c r="O22" s="18" t="n">
        <v>0</v>
      </c>
      <c r="P22" s="20" t="n">
        <v>0</v>
      </c>
      <c r="Q22" s="18" t="n">
        <v>1.72205733</v>
      </c>
      <c r="R22" s="20" t="n">
        <v>0.70709152</v>
      </c>
    </row>
    <row r="23" spans="1:18">
      <c r="A23" s="15" t="s">
        <v>581</v>
      </c>
      <c r="B23" s="17" t="n">
        <v>5792</v>
      </c>
      <c r="C23" s="18">
        <f>(5166.0/B23*100)</f>
        <v/>
      </c>
      <c r="D23" s="19" t="n">
        <v>626</v>
      </c>
      <c r="E23" s="18" t="n">
        <v>46.57135913</v>
      </c>
      <c r="F23" s="20" t="n">
        <v>2.88459112</v>
      </c>
      <c r="G23" s="18" t="n">
        <v>49.13300695</v>
      </c>
      <c r="H23" s="20" t="n">
        <v>3.00284895</v>
      </c>
      <c r="I23" s="18" t="n">
        <v>0</v>
      </c>
      <c r="J23" s="20" t="n">
        <v>0</v>
      </c>
      <c r="K23" s="18" t="n">
        <v>1.62824089</v>
      </c>
      <c r="L23" s="20" t="n">
        <v>0.71025501</v>
      </c>
      <c r="M23" s="18" t="n">
        <v>0</v>
      </c>
      <c r="N23" s="20" t="n">
        <v>0</v>
      </c>
      <c r="O23" s="18" t="n">
        <v>0</v>
      </c>
      <c r="P23" s="20" t="n">
        <v>0</v>
      </c>
      <c r="Q23" s="18" t="n">
        <v>2.66739303</v>
      </c>
      <c r="R23" s="20" t="n">
        <v>0.93053323</v>
      </c>
    </row>
    <row r="24" spans="1:18">
      <c r="A24" s="15" t="s">
        <v>582</v>
      </c>
      <c r="B24" s="17" t="n">
        <v>3309</v>
      </c>
      <c r="C24" s="18">
        <f>(2936.0/B24*100)</f>
        <v/>
      </c>
      <c r="D24" s="19" t="n">
        <v>373</v>
      </c>
      <c r="E24" s="18" t="n">
        <v>29.8633309</v>
      </c>
      <c r="F24" s="20" t="n">
        <v>2.4537132</v>
      </c>
      <c r="G24" s="18" t="n">
        <v>69.54990257999999</v>
      </c>
      <c r="H24" s="20" t="n">
        <v>2.50729603</v>
      </c>
      <c r="I24" s="18" t="n">
        <v>0</v>
      </c>
      <c r="J24" s="20" t="n">
        <v>0</v>
      </c>
      <c r="K24" s="18" t="n">
        <v>0</v>
      </c>
      <c r="L24" s="20" t="n">
        <v>0</v>
      </c>
      <c r="M24" s="18" t="n">
        <v>0</v>
      </c>
      <c r="N24" s="20" t="n">
        <v>0</v>
      </c>
      <c r="O24" s="18" t="n">
        <v>0</v>
      </c>
      <c r="P24" s="20" t="n">
        <v>0</v>
      </c>
      <c r="Q24" s="18" t="n">
        <v>0.58676652</v>
      </c>
      <c r="R24" s="20" t="n">
        <v>0.39231996</v>
      </c>
    </row>
    <row r="25" spans="1:18">
      <c r="A25" s="15" t="s">
        <v>583</v>
      </c>
      <c r="B25" s="17" t="n">
        <v>2669</v>
      </c>
      <c r="C25" s="18">
        <f>(2396.0/B25*100)</f>
        <v/>
      </c>
      <c r="D25" s="19" t="n">
        <v>273</v>
      </c>
      <c r="E25" s="18" t="n">
        <v>37.04272699</v>
      </c>
      <c r="F25" s="20" t="n">
        <v>2.99119064</v>
      </c>
      <c r="G25" s="18" t="n">
        <v>62.6181081</v>
      </c>
      <c r="H25" s="20" t="n">
        <v>2.87585508</v>
      </c>
      <c r="I25" s="18" t="n">
        <v>0</v>
      </c>
      <c r="J25" s="20" t="n">
        <v>0</v>
      </c>
      <c r="K25" s="18" t="n">
        <v>0.33916492</v>
      </c>
      <c r="L25" s="20" t="n">
        <v>0.47668997</v>
      </c>
      <c r="M25" s="18" t="n">
        <v>0</v>
      </c>
      <c r="N25" s="20" t="n">
        <v>0</v>
      </c>
      <c r="O25" s="18" t="n">
        <v>0</v>
      </c>
      <c r="P25" s="20" t="n">
        <v>0</v>
      </c>
      <c r="Q25" s="18" t="n">
        <v>0</v>
      </c>
      <c r="R25" s="20" t="n">
        <v>0</v>
      </c>
    </row>
    <row r="26" spans="1:18">
      <c r="A26" s="15" t="s">
        <v>584</v>
      </c>
      <c r="B26" s="17" t="n">
        <v>2419</v>
      </c>
      <c r="C26" s="18">
        <f>(2159.0/B26*100)</f>
        <v/>
      </c>
      <c r="D26" s="19" t="n">
        <v>260</v>
      </c>
      <c r="E26" s="18" t="n">
        <v>23.36744995</v>
      </c>
      <c r="F26" s="20" t="n">
        <v>2.76069214</v>
      </c>
      <c r="G26" s="18" t="n">
        <v>76.63255005000001</v>
      </c>
      <c r="H26" s="20" t="n">
        <v>2.76069214</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(2378.0/B27*100)</f>
        <v/>
      </c>
      <c r="D27" s="19" t="n">
        <v>305</v>
      </c>
      <c r="E27" s="18" t="n">
        <v>48.69498796</v>
      </c>
      <c r="F27" s="20" t="n">
        <v>2.90199405</v>
      </c>
      <c r="G27" s="18" t="n">
        <v>48.32009339</v>
      </c>
      <c r="H27" s="20" t="n">
        <v>3.01493448</v>
      </c>
      <c r="I27" s="18" t="n">
        <v>0</v>
      </c>
      <c r="J27" s="20" t="n">
        <v>0</v>
      </c>
      <c r="K27" s="18" t="n">
        <v>0.64996602</v>
      </c>
      <c r="L27" s="20" t="n">
        <v>0.46022988</v>
      </c>
      <c r="M27" s="18" t="n">
        <v>0</v>
      </c>
      <c r="N27" s="20" t="n">
        <v>0</v>
      </c>
      <c r="O27" s="18" t="n">
        <v>0</v>
      </c>
      <c r="P27" s="20" t="n">
        <v>0</v>
      </c>
      <c r="Q27" s="18" t="n">
        <v>2.33495263</v>
      </c>
      <c r="R27" s="20" t="n">
        <v>0.86022602</v>
      </c>
    </row>
    <row r="28" spans="1:18">
      <c r="A28" s="15" t="s">
        <v>586</v>
      </c>
      <c r="B28" s="17" t="n">
        <v>3803</v>
      </c>
      <c r="C28" s="18">
        <f>(3452.0/B28*100)</f>
        <v/>
      </c>
      <c r="D28" s="19" t="n">
        <v>351</v>
      </c>
      <c r="E28" s="18" t="n">
        <v>47.0927711</v>
      </c>
      <c r="F28" s="20" t="n">
        <v>3.3212274</v>
      </c>
      <c r="G28" s="18" t="n">
        <v>50.10898365</v>
      </c>
      <c r="H28" s="20" t="n">
        <v>3.31593883</v>
      </c>
      <c r="I28" s="18" t="n">
        <v>0</v>
      </c>
      <c r="J28" s="20" t="n">
        <v>0</v>
      </c>
      <c r="K28" s="18" t="n">
        <v>1.10019209</v>
      </c>
      <c r="L28" s="20" t="n">
        <v>0.5890972799999999</v>
      </c>
      <c r="M28" s="18" t="n">
        <v>0</v>
      </c>
      <c r="N28" s="20" t="n">
        <v>0</v>
      </c>
      <c r="O28" s="18" t="n">
        <v>0</v>
      </c>
      <c r="P28" s="20" t="n">
        <v>0</v>
      </c>
      <c r="Q28" s="18" t="n">
        <v>1.69805317</v>
      </c>
      <c r="R28" s="20" t="n">
        <v>0.78898329</v>
      </c>
    </row>
    <row r="29" spans="1:18">
      <c r="A29" s="15" t="s">
        <v>587</v>
      </c>
      <c r="B29" s="17" t="n">
        <v>2700</v>
      </c>
      <c r="C29" s="18">
        <f>(2395.0/B29*100)</f>
        <v/>
      </c>
      <c r="D29" s="19" t="n">
        <v>305</v>
      </c>
      <c r="E29" s="18" t="n">
        <v>27.3316509</v>
      </c>
      <c r="F29" s="20" t="n">
        <v>2.4990593</v>
      </c>
      <c r="G29" s="18" t="n">
        <v>71.58398149999999</v>
      </c>
      <c r="H29" s="20" t="n">
        <v>2.52327305</v>
      </c>
      <c r="I29" s="18" t="n">
        <v>0</v>
      </c>
      <c r="J29" s="20" t="n">
        <v>0</v>
      </c>
      <c r="K29" s="18" t="n">
        <v>0.8544184</v>
      </c>
      <c r="L29" s="20" t="n">
        <v>0.46223813</v>
      </c>
      <c r="M29" s="18" t="n">
        <v>0</v>
      </c>
      <c r="N29" s="20" t="n">
        <v>0</v>
      </c>
      <c r="O29" s="18" t="n">
        <v>0</v>
      </c>
      <c r="P29" s="20" t="n">
        <v>0</v>
      </c>
      <c r="Q29" s="18" t="n">
        <v>0.2299492</v>
      </c>
      <c r="R29" s="20" t="n">
        <v>0.23212498</v>
      </c>
    </row>
    <row r="30" spans="1:18">
      <c r="A30" s="15" t="s">
        <v>588</v>
      </c>
      <c r="B30" s="17" t="n">
        <v>2257</v>
      </c>
      <c r="C30" s="18">
        <f>(2019.0/B30*100)</f>
        <v/>
      </c>
      <c r="D30" s="19" t="n">
        <v>238</v>
      </c>
      <c r="E30" s="18" t="n">
        <v>32.10485563</v>
      </c>
      <c r="F30" s="20" t="n">
        <v>3.2038908</v>
      </c>
      <c r="G30" s="18" t="n">
        <v>65.76599853</v>
      </c>
      <c r="H30" s="20" t="n">
        <v>3.27246627</v>
      </c>
      <c r="I30" s="18" t="n">
        <v>0</v>
      </c>
      <c r="J30" s="20" t="n">
        <v>0</v>
      </c>
      <c r="K30" s="18" t="n">
        <v>0.78830267</v>
      </c>
      <c r="L30" s="20" t="n">
        <v>0.52011215</v>
      </c>
      <c r="M30" s="18" t="n">
        <v>0</v>
      </c>
      <c r="N30" s="20" t="n">
        <v>0</v>
      </c>
      <c r="O30" s="18" t="n">
        <v>0</v>
      </c>
      <c r="P30" s="20" t="n">
        <v>0</v>
      </c>
      <c r="Q30" s="18" t="n">
        <v>1.34084317</v>
      </c>
      <c r="R30" s="20" t="n">
        <v>0.65033512</v>
      </c>
    </row>
    <row r="31" spans="1:18">
      <c r="A31" s="15" t="s">
        <v>589</v>
      </c>
      <c r="B31" s="17" t="n">
        <v>2706</v>
      </c>
      <c r="C31" s="18">
        <f>(2421.0/B31*100)</f>
        <v/>
      </c>
      <c r="D31" s="19" t="n">
        <v>285</v>
      </c>
      <c r="E31" s="18" t="n">
        <v>37.99534748</v>
      </c>
      <c r="F31" s="20" t="n">
        <v>3.10196748</v>
      </c>
      <c r="G31" s="18" t="n">
        <v>56.31484842</v>
      </c>
      <c r="H31" s="20" t="n">
        <v>3.0948763</v>
      </c>
      <c r="I31" s="18" t="n">
        <v>0</v>
      </c>
      <c r="J31" s="20" t="n">
        <v>0</v>
      </c>
      <c r="K31" s="18" t="n">
        <v>1.31429828</v>
      </c>
      <c r="L31" s="20" t="n">
        <v>0.65670573</v>
      </c>
      <c r="M31" s="18" t="n">
        <v>0</v>
      </c>
      <c r="N31" s="20" t="n">
        <v>0</v>
      </c>
      <c r="O31" s="18" t="n">
        <v>0</v>
      </c>
      <c r="P31" s="20" t="n">
        <v>0</v>
      </c>
      <c r="Q31" s="18" t="n">
        <v>4.37550582</v>
      </c>
      <c r="R31" s="20" t="n">
        <v>1.35487172</v>
      </c>
    </row>
    <row r="32" spans="1:18">
      <c r="A32" s="15" t="s">
        <v>590</v>
      </c>
      <c r="B32" s="17" t="n">
        <v>2209</v>
      </c>
      <c r="C32" s="18">
        <f>(1968.0/B32*100)</f>
        <v/>
      </c>
      <c r="D32" s="19" t="n">
        <v>241</v>
      </c>
      <c r="E32" s="18" t="n">
        <v>32.80876439</v>
      </c>
      <c r="F32" s="20" t="n">
        <v>3.37875014</v>
      </c>
      <c r="G32" s="18" t="n">
        <v>66.36325574</v>
      </c>
      <c r="H32" s="20" t="n">
        <v>3.37525794</v>
      </c>
      <c r="I32" s="18" t="n">
        <v>0</v>
      </c>
      <c r="J32" s="20" t="n">
        <v>0</v>
      </c>
      <c r="K32" s="18" t="n">
        <v>0.82797987</v>
      </c>
      <c r="L32" s="20" t="n">
        <v>0.56796136</v>
      </c>
      <c r="M32" s="18" t="n">
        <v>0</v>
      </c>
      <c r="N32" s="20" t="n">
        <v>0</v>
      </c>
      <c r="O32" s="18" t="n">
        <v>0</v>
      </c>
      <c r="P32" s="20" t="n">
        <v>0</v>
      </c>
      <c r="Q32" s="18" t="n">
        <v>0</v>
      </c>
      <c r="R32" s="20" t="n">
        <v>0</v>
      </c>
    </row>
    <row r="33" spans="1:18">
      <c r="A33" s="15" t="s">
        <v>591</v>
      </c>
      <c r="B33" s="17" t="n">
        <v>3651</v>
      </c>
      <c r="C33" s="18">
        <f>(3272.0/B33*100)</f>
        <v/>
      </c>
      <c r="D33" s="19" t="n">
        <v>379</v>
      </c>
      <c r="E33" s="18" t="n">
        <v>37.29853609</v>
      </c>
      <c r="F33" s="20" t="n">
        <v>2.54992755</v>
      </c>
      <c r="G33" s="18" t="n">
        <v>61.87923304</v>
      </c>
      <c r="H33" s="20" t="n">
        <v>2.59205884</v>
      </c>
      <c r="I33" s="18" t="n">
        <v>0</v>
      </c>
      <c r="J33" s="20" t="n">
        <v>0</v>
      </c>
      <c r="K33" s="18" t="n">
        <v>0</v>
      </c>
      <c r="L33" s="20" t="n">
        <v>0</v>
      </c>
      <c r="M33" s="18" t="n">
        <v>0</v>
      </c>
      <c r="N33" s="20" t="n">
        <v>0</v>
      </c>
      <c r="O33" s="18" t="n">
        <v>0</v>
      </c>
      <c r="P33" s="20" t="n">
        <v>0</v>
      </c>
      <c r="Q33" s="18" t="n">
        <v>0.8222308699999999</v>
      </c>
      <c r="R33" s="20" t="n">
        <v>0.45842822</v>
      </c>
    </row>
    <row r="34" spans="1:18">
      <c r="A34" s="15" t="s">
        <v>592</v>
      </c>
      <c r="B34" s="17" t="n">
        <v>3035</v>
      </c>
      <c r="C34" s="18">
        <f>(2729.0/B34*100)</f>
        <v/>
      </c>
      <c r="D34" s="19" t="n">
        <v>306</v>
      </c>
      <c r="E34" s="18" t="n">
        <v>45.54699285</v>
      </c>
      <c r="F34" s="20" t="n">
        <v>3.21702446</v>
      </c>
      <c r="G34" s="18" t="n">
        <v>52.86853899</v>
      </c>
      <c r="H34" s="20" t="n">
        <v>3.16639926</v>
      </c>
      <c r="I34" s="18" t="n">
        <v>0</v>
      </c>
      <c r="J34" s="20" t="n">
        <v>0</v>
      </c>
      <c r="K34" s="18" t="n">
        <v>0.44672839</v>
      </c>
      <c r="L34" s="20" t="n">
        <v>0.25079319</v>
      </c>
      <c r="M34" s="18" t="n">
        <v>0</v>
      </c>
      <c r="N34" s="20" t="n">
        <v>0</v>
      </c>
      <c r="O34" s="18" t="n">
        <v>0</v>
      </c>
      <c r="P34" s="20" t="n">
        <v>0</v>
      </c>
      <c r="Q34" s="18" t="n">
        <v>1.13773976</v>
      </c>
      <c r="R34" s="20" t="n">
        <v>0.50949215</v>
      </c>
    </row>
    <row r="35" spans="1:18">
      <c r="A35" s="15" t="s">
        <v>593</v>
      </c>
      <c r="B35" s="17" t="n">
        <v>2901</v>
      </c>
      <c r="C35" s="18">
        <f>(2577.0/B35*100)</f>
        <v/>
      </c>
      <c r="D35" s="19" t="n">
        <v>324</v>
      </c>
      <c r="E35" s="18" t="n">
        <v>23.3384821</v>
      </c>
      <c r="F35" s="20" t="n">
        <v>2.57071764</v>
      </c>
      <c r="G35" s="18" t="n">
        <v>75.07634216</v>
      </c>
      <c r="H35" s="20" t="n">
        <v>2.63900761</v>
      </c>
      <c r="I35" s="18" t="n">
        <v>0</v>
      </c>
      <c r="J35" s="20" t="n">
        <v>0</v>
      </c>
      <c r="K35" s="18" t="n">
        <v>0</v>
      </c>
      <c r="L35" s="20" t="n">
        <v>0</v>
      </c>
      <c r="M35" s="18" t="n">
        <v>0</v>
      </c>
      <c r="N35" s="20" t="n">
        <v>0</v>
      </c>
      <c r="O35" s="18" t="n">
        <v>0</v>
      </c>
      <c r="P35" s="20" t="n">
        <v>0</v>
      </c>
      <c r="Q35" s="18" t="n">
        <v>1.58517573</v>
      </c>
      <c r="R35" s="20" t="n">
        <v>0.7023849</v>
      </c>
    </row>
    <row r="36" spans="1:18">
      <c r="A36" s="15" t="s">
        <v>594</v>
      </c>
      <c r="B36" s="17" t="n">
        <v>3404</v>
      </c>
      <c r="C36" s="18">
        <f>(3041.0/B36*100)</f>
        <v/>
      </c>
      <c r="D36" s="19" t="n">
        <v>363</v>
      </c>
      <c r="E36" s="18" t="n">
        <v>29.99771977</v>
      </c>
      <c r="F36" s="20" t="n">
        <v>2.39297691</v>
      </c>
      <c r="G36" s="18" t="n">
        <v>67.59391072</v>
      </c>
      <c r="H36" s="20" t="n">
        <v>2.3249194</v>
      </c>
      <c r="I36" s="18" t="n">
        <v>0</v>
      </c>
      <c r="J36" s="20" t="n">
        <v>0</v>
      </c>
      <c r="K36" s="18" t="n">
        <v>0</v>
      </c>
      <c r="L36" s="20" t="n">
        <v>0</v>
      </c>
      <c r="M36" s="18" t="n">
        <v>0</v>
      </c>
      <c r="N36" s="20" t="n">
        <v>0</v>
      </c>
      <c r="O36" s="18" t="n">
        <v>0</v>
      </c>
      <c r="P36" s="20" t="n">
        <v>0</v>
      </c>
      <c r="Q36" s="18" t="n">
        <v>2.4083695</v>
      </c>
      <c r="R36" s="20" t="n">
        <v>1.23153638</v>
      </c>
    </row>
    <row r="37" spans="1:18">
      <c r="A37" s="15" t="s">
        <v>595</v>
      </c>
      <c r="B37" s="17" t="n">
        <v>2731</v>
      </c>
      <c r="C37" s="18">
        <f>(2444.0/B37*100)</f>
        <v/>
      </c>
      <c r="D37" s="19" t="n">
        <v>287</v>
      </c>
      <c r="E37" s="18" t="n">
        <v>30.80383943</v>
      </c>
      <c r="F37" s="20" t="n">
        <v>3.49985479</v>
      </c>
      <c r="G37" s="18" t="n">
        <v>64.67530572</v>
      </c>
      <c r="H37" s="20" t="n">
        <v>3.68300786</v>
      </c>
      <c r="I37" s="18" t="n">
        <v>0</v>
      </c>
      <c r="J37" s="20" t="n">
        <v>0</v>
      </c>
      <c r="K37" s="18" t="n">
        <v>0.58437206</v>
      </c>
      <c r="L37" s="20" t="n">
        <v>0.58408178</v>
      </c>
      <c r="M37" s="18" t="n">
        <v>0</v>
      </c>
      <c r="N37" s="20" t="n">
        <v>0</v>
      </c>
      <c r="O37" s="18" t="n">
        <v>0</v>
      </c>
      <c r="P37" s="20" t="n">
        <v>0</v>
      </c>
      <c r="Q37" s="18" t="n">
        <v>3.93648279</v>
      </c>
      <c r="R37" s="20" t="n">
        <v>1.09680579</v>
      </c>
    </row>
    <row r="38" spans="1:18">
      <c r="A38" s="15" t="s">
        <v>596</v>
      </c>
      <c r="B38" s="17" t="n">
        <v>2807</v>
      </c>
      <c r="C38" s="18">
        <f>(2518.0/B38*100)</f>
        <v/>
      </c>
      <c r="D38" s="19" t="n">
        <v>289</v>
      </c>
      <c r="E38" s="18" t="n">
        <v>39.23699169</v>
      </c>
      <c r="F38" s="20" t="n">
        <v>3.35226779</v>
      </c>
      <c r="G38" s="18" t="n">
        <v>57.71570779</v>
      </c>
      <c r="H38" s="20" t="n">
        <v>3.30799471</v>
      </c>
      <c r="I38" s="18" t="n">
        <v>0</v>
      </c>
      <c r="J38" s="20" t="n">
        <v>0</v>
      </c>
      <c r="K38" s="18" t="n">
        <v>0.61633874</v>
      </c>
      <c r="L38" s="20" t="n">
        <v>0.43436351</v>
      </c>
      <c r="M38" s="18" t="n">
        <v>0</v>
      </c>
      <c r="N38" s="20" t="n">
        <v>0</v>
      </c>
      <c r="O38" s="18" t="n">
        <v>0</v>
      </c>
      <c r="P38" s="20" t="n">
        <v>0</v>
      </c>
      <c r="Q38" s="18" t="n">
        <v>2.43096178</v>
      </c>
      <c r="R38" s="20" t="n">
        <v>0.9777552900000001</v>
      </c>
    </row>
    <row r="39" spans="1:18">
      <c r="A39" s="15" t="s">
        <v>597</v>
      </c>
      <c r="B39" s="17" t="n">
        <v>2938</v>
      </c>
      <c r="C39" s="18">
        <f>(2614.0/B39*100)</f>
        <v/>
      </c>
      <c r="D39" s="19" t="n">
        <v>324</v>
      </c>
      <c r="E39" s="18" t="n">
        <v>47.8443315</v>
      </c>
      <c r="F39" s="20" t="n">
        <v>3.32522217</v>
      </c>
      <c r="G39" s="18" t="n">
        <v>51.35117666</v>
      </c>
      <c r="H39" s="20" t="n">
        <v>3.31190049</v>
      </c>
      <c r="I39" s="18" t="n">
        <v>0</v>
      </c>
      <c r="J39" s="20" t="n">
        <v>0</v>
      </c>
      <c r="K39" s="18" t="n">
        <v>0</v>
      </c>
      <c r="L39" s="20" t="n">
        <v>0</v>
      </c>
      <c r="M39" s="18" t="n">
        <v>0</v>
      </c>
      <c r="N39" s="20" t="n">
        <v>0</v>
      </c>
      <c r="O39" s="18" t="n">
        <v>0</v>
      </c>
      <c r="P39" s="20" t="n">
        <v>0</v>
      </c>
      <c r="Q39" s="18" t="n">
        <v>0.80449184</v>
      </c>
      <c r="R39" s="20" t="n">
        <v>0.50756002</v>
      </c>
    </row>
    <row r="40" spans="1:18">
      <c r="A40" s="15" t="s">
        <v>598</v>
      </c>
      <c r="B40" s="17" t="n">
        <v>6922</v>
      </c>
      <c r="C40" s="18">
        <f>(6188.0/B40*100)</f>
        <v/>
      </c>
      <c r="D40" s="19" t="n">
        <v>734</v>
      </c>
      <c r="E40" s="18" t="n">
        <v>28.10262355</v>
      </c>
      <c r="F40" s="20" t="n">
        <v>2.62619221</v>
      </c>
      <c r="G40" s="18" t="n">
        <v>69.85947409000001</v>
      </c>
      <c r="H40" s="20" t="n">
        <v>2.57370463</v>
      </c>
      <c r="I40" s="18" t="n">
        <v>0</v>
      </c>
      <c r="J40" s="20" t="n">
        <v>0</v>
      </c>
      <c r="K40" s="18" t="n">
        <v>0.23440411</v>
      </c>
      <c r="L40" s="20" t="n">
        <v>0.13306808</v>
      </c>
      <c r="M40" s="18" t="n">
        <v>0</v>
      </c>
      <c r="N40" s="20" t="n">
        <v>0</v>
      </c>
      <c r="O40" s="18" t="n">
        <v>0</v>
      </c>
      <c r="P40" s="20" t="n">
        <v>0</v>
      </c>
      <c r="Q40" s="18" t="n">
        <v>1.80349826</v>
      </c>
      <c r="R40" s="20" t="n">
        <v>0.81164186</v>
      </c>
    </row>
    <row r="41" spans="1:18">
      <c r="A41" s="15" t="s">
        <v>599</v>
      </c>
      <c r="B41" s="17" t="n">
        <v>2854</v>
      </c>
      <c r="C41" s="18">
        <f>(2558.0/B41*100)</f>
        <v/>
      </c>
      <c r="D41" s="19" t="n">
        <v>296</v>
      </c>
      <c r="E41" s="18" t="n">
        <v>35.59044083</v>
      </c>
      <c r="F41" s="20" t="n">
        <v>2.98694842</v>
      </c>
      <c r="G41" s="18" t="n">
        <v>63.53656955</v>
      </c>
      <c r="H41" s="20" t="n">
        <v>2.92791813</v>
      </c>
      <c r="I41" s="18" t="n">
        <v>0</v>
      </c>
      <c r="J41" s="20" t="n">
        <v>0</v>
      </c>
      <c r="K41" s="18" t="n">
        <v>0</v>
      </c>
      <c r="L41" s="20" t="n">
        <v>0</v>
      </c>
      <c r="M41" s="18" t="n">
        <v>0</v>
      </c>
      <c r="N41" s="20" t="n">
        <v>0</v>
      </c>
      <c r="O41" s="18" t="n">
        <v>0</v>
      </c>
      <c r="P41" s="20" t="n">
        <v>0</v>
      </c>
      <c r="Q41" s="18" t="n">
        <v>0.87298962</v>
      </c>
      <c r="R41" s="20" t="n">
        <v>0.51339958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(11126.0/B46*100)</f>
        <v/>
      </c>
      <c r="D46" s="19" t="n">
        <v>947</v>
      </c>
      <c r="E46" s="18" t="n">
        <v>57.09904267</v>
      </c>
      <c r="F46" s="20" t="n">
        <v>2.07786313</v>
      </c>
      <c r="G46" s="18" t="n">
        <v>39.07281677</v>
      </c>
      <c r="H46" s="20" t="n">
        <v>2.04549238</v>
      </c>
      <c r="I46" s="18" t="n">
        <v>0</v>
      </c>
      <c r="J46" s="20" t="n">
        <v>0</v>
      </c>
      <c r="K46" s="18" t="n">
        <v>1.84929054</v>
      </c>
      <c r="L46" s="20" t="n">
        <v>0.5869983</v>
      </c>
      <c r="M46" s="18" t="n">
        <v>0</v>
      </c>
      <c r="N46" s="20" t="n">
        <v>0</v>
      </c>
      <c r="O46" s="18" t="n">
        <v>0</v>
      </c>
      <c r="P46" s="20" t="n">
        <v>0</v>
      </c>
      <c r="Q46" s="18" t="n">
        <v>1.97885002</v>
      </c>
      <c r="R46" s="20" t="n">
        <v>0.56226871</v>
      </c>
    </row>
    <row r="47" spans="1:18">
      <c r="A47" s="15" t="s">
        <v>606</v>
      </c>
      <c r="B47" s="17" t="n">
        <v>2823</v>
      </c>
      <c r="C47" s="18">
        <f>(2527.0/B47*100)</f>
        <v/>
      </c>
      <c r="D47" s="19" t="n">
        <v>296</v>
      </c>
      <c r="E47" s="18" t="n">
        <v>49.50283005</v>
      </c>
      <c r="F47" s="20" t="n">
        <v>2.91936599</v>
      </c>
      <c r="G47" s="18" t="n">
        <v>46.02017064</v>
      </c>
      <c r="H47" s="20" t="n">
        <v>2.9884521</v>
      </c>
      <c r="I47" s="18" t="n">
        <v>0</v>
      </c>
      <c r="J47" s="20" t="n">
        <v>0</v>
      </c>
      <c r="K47" s="18" t="n">
        <v>3.05515313</v>
      </c>
      <c r="L47" s="20" t="n">
        <v>1.1355541</v>
      </c>
      <c r="M47" s="18" t="n">
        <v>0</v>
      </c>
      <c r="N47" s="20" t="n">
        <v>0</v>
      </c>
      <c r="O47" s="18" t="n">
        <v>0</v>
      </c>
      <c r="P47" s="20" t="n">
        <v>0</v>
      </c>
      <c r="Q47" s="18" t="n">
        <v>1.42184619</v>
      </c>
      <c r="R47" s="20" t="n">
        <v>0.68975191</v>
      </c>
    </row>
    <row r="48" spans="1:18">
      <c r="A48" s="15" t="s">
        <v>607</v>
      </c>
      <c r="B48" s="17" t="n">
        <v>4682</v>
      </c>
      <c r="C48" s="18">
        <f>(4191.0/B48*100)</f>
        <v/>
      </c>
      <c r="D48" s="19" t="n">
        <v>491</v>
      </c>
      <c r="E48" s="18" t="n">
        <v>23.21332439</v>
      </c>
      <c r="F48" s="20" t="n">
        <v>2.04298082</v>
      </c>
      <c r="G48" s="18" t="n">
        <v>74.90614631</v>
      </c>
      <c r="H48" s="20" t="n">
        <v>2.0287626</v>
      </c>
      <c r="I48" s="18" t="n">
        <v>0</v>
      </c>
      <c r="J48" s="20" t="n">
        <v>0</v>
      </c>
      <c r="K48" s="18" t="n">
        <v>0.92337783</v>
      </c>
      <c r="L48" s="20" t="n">
        <v>0.68100539</v>
      </c>
      <c r="M48" s="18" t="n">
        <v>0</v>
      </c>
      <c r="N48" s="20" t="n">
        <v>0</v>
      </c>
      <c r="O48" s="18" t="n">
        <v>0</v>
      </c>
      <c r="P48" s="20" t="n">
        <v>0</v>
      </c>
      <c r="Q48" s="18" t="n">
        <v>0.95715147</v>
      </c>
      <c r="R48" s="20" t="n">
        <v>0.5556204</v>
      </c>
    </row>
    <row r="49" spans="1:18">
      <c r="A49" s="15" t="s">
        <v>608</v>
      </c>
      <c r="B49" s="17" t="n">
        <v>6158</v>
      </c>
      <c r="C49" s="18">
        <f>(5513.0/B49*100)</f>
        <v/>
      </c>
      <c r="D49" s="19" t="n">
        <v>645</v>
      </c>
      <c r="E49" s="18" t="n">
        <v>45.43523918</v>
      </c>
      <c r="F49" s="20" t="n">
        <v>2.65432802</v>
      </c>
      <c r="G49" s="18" t="n">
        <v>50.39604919</v>
      </c>
      <c r="H49" s="20" t="n">
        <v>2.68606186</v>
      </c>
      <c r="I49" s="18" t="n">
        <v>0</v>
      </c>
      <c r="J49" s="20" t="n">
        <v>0</v>
      </c>
      <c r="K49" s="18" t="n">
        <v>2.59392433</v>
      </c>
      <c r="L49" s="20" t="n">
        <v>0.8299672299999999</v>
      </c>
      <c r="M49" s="18" t="n">
        <v>0</v>
      </c>
      <c r="N49" s="20" t="n">
        <v>0</v>
      </c>
      <c r="O49" s="18" t="n">
        <v>0</v>
      </c>
      <c r="P49" s="20" t="n">
        <v>0</v>
      </c>
      <c r="Q49" s="18" t="n">
        <v>1.57478729</v>
      </c>
      <c r="R49" s="20" t="n">
        <v>0.73374278</v>
      </c>
    </row>
    <row r="50" spans="1:18">
      <c r="A50" s="15" t="s">
        <v>609</v>
      </c>
      <c r="B50" s="17" t="n">
        <v>3494</v>
      </c>
      <c r="C50" s="18">
        <f>(3179.0/B50*100)</f>
        <v/>
      </c>
      <c r="D50" s="19" t="n">
        <v>315</v>
      </c>
      <c r="E50" s="18" t="n">
        <v>48.67151903</v>
      </c>
      <c r="F50" s="20" t="n">
        <v>2.94277947</v>
      </c>
      <c r="G50" s="18" t="n">
        <v>47.58054317</v>
      </c>
      <c r="H50" s="20" t="n">
        <v>2.52321569</v>
      </c>
      <c r="I50" s="18" t="n">
        <v>0</v>
      </c>
      <c r="J50" s="20" t="n">
        <v>0</v>
      </c>
      <c r="K50" s="18" t="n">
        <v>0.58572409</v>
      </c>
      <c r="L50" s="20" t="n">
        <v>0.43589648</v>
      </c>
      <c r="M50" s="18" t="n">
        <v>0</v>
      </c>
      <c r="N50" s="20" t="n">
        <v>0</v>
      </c>
      <c r="O50" s="18" t="n">
        <v>0</v>
      </c>
      <c r="P50" s="20" t="n">
        <v>0</v>
      </c>
      <c r="Q50" s="18" t="n">
        <v>3.16221371</v>
      </c>
      <c r="R50" s="20" t="n">
        <v>1.25306447</v>
      </c>
    </row>
    <row r="51" spans="1:18">
      <c r="A51" s="15" t="s">
        <v>610</v>
      </c>
      <c r="B51" s="17" t="n">
        <v>3013</v>
      </c>
      <c r="C51" s="18">
        <f>(2703.0/B51*100)</f>
        <v/>
      </c>
      <c r="D51" s="19" t="n">
        <v>310</v>
      </c>
      <c r="E51" s="18" t="n">
        <v>38.0673047</v>
      </c>
      <c r="F51" s="20" t="n">
        <v>2.94036089</v>
      </c>
      <c r="G51" s="18" t="n">
        <v>59.53077433</v>
      </c>
      <c r="H51" s="20" t="n">
        <v>2.67655879</v>
      </c>
      <c r="I51" s="18" t="n">
        <v>0</v>
      </c>
      <c r="J51" s="20" t="n">
        <v>0</v>
      </c>
      <c r="K51" s="18" t="n">
        <v>0.36296259</v>
      </c>
      <c r="L51" s="20" t="n">
        <v>0.35192389</v>
      </c>
      <c r="M51" s="18" t="n">
        <v>0</v>
      </c>
      <c r="N51" s="20" t="n">
        <v>0</v>
      </c>
      <c r="O51" s="18" t="n">
        <v>0</v>
      </c>
      <c r="P51" s="20" t="n">
        <v>0</v>
      </c>
      <c r="Q51" s="18" t="n">
        <v>2.03895838</v>
      </c>
      <c r="R51" s="20" t="n">
        <v>0.8971073899999999</v>
      </c>
    </row>
    <row r="52" spans="1:18">
      <c r="A52" s="15" t="s">
        <v>611</v>
      </c>
      <c r="B52" s="17" t="n">
        <v>2760</v>
      </c>
      <c r="C52" s="18">
        <f>(2470.0/B52*100)</f>
        <v/>
      </c>
      <c r="D52" s="19" t="n">
        <v>290</v>
      </c>
      <c r="E52" s="18" t="n">
        <v>46.81418294</v>
      </c>
      <c r="F52" s="20" t="n">
        <v>3.12356737</v>
      </c>
      <c r="G52" s="18" t="n">
        <v>51.09084403</v>
      </c>
      <c r="H52" s="20" t="n">
        <v>3.01889199</v>
      </c>
      <c r="I52" s="18" t="n">
        <v>0</v>
      </c>
      <c r="J52" s="20" t="n">
        <v>0</v>
      </c>
      <c r="K52" s="18" t="n">
        <v>0.74119434</v>
      </c>
      <c r="L52" s="20" t="n">
        <v>0.5370134</v>
      </c>
      <c r="M52" s="18" t="n">
        <v>0</v>
      </c>
      <c r="N52" s="20" t="n">
        <v>0</v>
      </c>
      <c r="O52" s="18" t="n">
        <v>0</v>
      </c>
      <c r="P52" s="20" t="n">
        <v>0</v>
      </c>
      <c r="Q52" s="18" t="n">
        <v>1.35377868</v>
      </c>
      <c r="R52" s="20" t="n">
        <v>0.60085468</v>
      </c>
    </row>
    <row r="53" spans="1:18">
      <c r="A53" s="15" t="s">
        <v>612</v>
      </c>
      <c r="B53" s="17" t="n">
        <v>2474</v>
      </c>
      <c r="C53" s="18">
        <f>(2187.0/B53*100)</f>
        <v/>
      </c>
      <c r="D53" s="19" t="n">
        <v>287</v>
      </c>
      <c r="E53" s="18" t="n">
        <v>50.86699688</v>
      </c>
      <c r="F53" s="20" t="n">
        <v>2.98850794</v>
      </c>
      <c r="G53" s="18" t="n">
        <v>23.54000539</v>
      </c>
      <c r="H53" s="20" t="n">
        <v>2.31049385</v>
      </c>
      <c r="I53" s="18" t="n">
        <v>0</v>
      </c>
      <c r="J53" s="20" t="n">
        <v>0</v>
      </c>
      <c r="K53" s="18" t="n">
        <v>22.62702864</v>
      </c>
      <c r="L53" s="20" t="n">
        <v>2.64255525</v>
      </c>
      <c r="M53" s="18" t="n">
        <v>0</v>
      </c>
      <c r="N53" s="20" t="n">
        <v>0</v>
      </c>
      <c r="O53" s="18" t="n">
        <v>0</v>
      </c>
      <c r="P53" s="20" t="n">
        <v>0</v>
      </c>
      <c r="Q53" s="18" t="n">
        <v>2.96596909</v>
      </c>
      <c r="R53" s="20" t="n">
        <v>1.21335621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(2395.0/B55*100)</f>
        <v/>
      </c>
      <c r="D55" s="19" t="n">
        <v>280</v>
      </c>
      <c r="E55" s="18" t="n">
        <v>23.35926209</v>
      </c>
      <c r="F55" s="20" t="n">
        <v>3.04210474</v>
      </c>
      <c r="G55" s="18" t="n">
        <v>76.64073791</v>
      </c>
      <c r="H55" s="20" t="n">
        <v>3.04210474</v>
      </c>
      <c r="I55" s="18" t="n">
        <v>0</v>
      </c>
      <c r="J55" s="20" t="n">
        <v>0</v>
      </c>
      <c r="K55" s="18" t="n">
        <v>0</v>
      </c>
      <c r="L55" s="20" t="n">
        <v>0</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(2843.0/B61*100)</f>
        <v/>
      </c>
      <c r="D61" s="19" t="n">
        <v>358</v>
      </c>
      <c r="E61" s="18" t="n">
        <v>38.50611853</v>
      </c>
      <c r="F61" s="20" t="n">
        <v>2.8934876</v>
      </c>
      <c r="G61" s="18" t="n">
        <v>60.04836685</v>
      </c>
      <c r="H61" s="20" t="n">
        <v>2.88070733</v>
      </c>
      <c r="I61" s="18" t="n">
        <v>0</v>
      </c>
      <c r="J61" s="20" t="n">
        <v>0</v>
      </c>
      <c r="K61" s="18" t="n">
        <v>0.37408077</v>
      </c>
      <c r="L61" s="20" t="n">
        <v>0.22894246</v>
      </c>
      <c r="M61" s="18" t="n">
        <v>0</v>
      </c>
      <c r="N61" s="20" t="n">
        <v>0</v>
      </c>
      <c r="O61" s="18" t="n">
        <v>0</v>
      </c>
      <c r="P61" s="20" t="n">
        <v>0</v>
      </c>
      <c r="Q61" s="18" t="n">
        <v>1.07143385</v>
      </c>
      <c r="R61" s="20" t="n">
        <v>0.6355750100000001</v>
      </c>
    </row>
    <row r="62" spans="1:18">
      <c r="A62" s="15" t="s">
        <v>622</v>
      </c>
      <c r="B62" s="17" t="n">
        <v>2230</v>
      </c>
      <c r="C62" s="18">
        <f>(2014.0/B62*100)</f>
        <v/>
      </c>
      <c r="D62" s="19" t="n">
        <v>216</v>
      </c>
      <c r="E62" s="18" t="n">
        <v>23.58299879</v>
      </c>
      <c r="F62" s="20" t="n">
        <v>2.89888788</v>
      </c>
      <c r="G62" s="18" t="n">
        <v>76.41700121</v>
      </c>
      <c r="H62" s="20" t="n">
        <v>2.89888788</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(2472.0/B67*100)</f>
        <v/>
      </c>
      <c r="D67" s="19" t="n">
        <v>299</v>
      </c>
      <c r="E67" s="18" t="n">
        <v>60.90960929</v>
      </c>
      <c r="F67" s="20" t="n">
        <v>2.64834576</v>
      </c>
      <c r="G67" s="18" t="n">
        <v>32.13145551</v>
      </c>
      <c r="H67" s="20" t="n">
        <v>2.26417817</v>
      </c>
      <c r="I67" s="18" t="n">
        <v>0</v>
      </c>
      <c r="J67" s="20" t="n">
        <v>0</v>
      </c>
      <c r="K67" s="18" t="n">
        <v>1.1347448</v>
      </c>
      <c r="L67" s="20" t="n">
        <v>0.57416322</v>
      </c>
      <c r="M67" s="18" t="n">
        <v>0</v>
      </c>
      <c r="N67" s="20" t="n">
        <v>0</v>
      </c>
      <c r="O67" s="18" t="n">
        <v>0</v>
      </c>
      <c r="P67" s="20" t="n">
        <v>0</v>
      </c>
      <c r="Q67" s="18" t="n">
        <v>5.8241904</v>
      </c>
      <c r="R67" s="20" t="n">
        <v>1.28774952</v>
      </c>
    </row>
    <row r="68" spans="1:18">
      <c r="A68" s="15" t="s">
        <v>628</v>
      </c>
      <c r="B68" s="17" t="n">
        <v>3460</v>
      </c>
      <c r="C68" s="18">
        <f>(3157.0/B68*100)</f>
        <v/>
      </c>
      <c r="D68" s="19" t="n">
        <v>303</v>
      </c>
      <c r="E68" s="18" t="n">
        <v>49.67520178</v>
      </c>
      <c r="F68" s="20" t="n">
        <v>2.88815676</v>
      </c>
      <c r="G68" s="18" t="n">
        <v>48.73264045</v>
      </c>
      <c r="H68" s="20" t="n">
        <v>2.900213</v>
      </c>
      <c r="I68" s="18" t="n">
        <v>0</v>
      </c>
      <c r="J68" s="20" t="n">
        <v>0</v>
      </c>
      <c r="K68" s="18" t="n">
        <v>0</v>
      </c>
      <c r="L68" s="20" t="n">
        <v>0</v>
      </c>
      <c r="M68" s="18" t="n">
        <v>0</v>
      </c>
      <c r="N68" s="20" t="n">
        <v>0</v>
      </c>
      <c r="O68" s="18" t="n">
        <v>0</v>
      </c>
      <c r="P68" s="20" t="n">
        <v>0</v>
      </c>
      <c r="Q68" s="18" t="n">
        <v>1.59215778</v>
      </c>
      <c r="R68" s="20" t="n">
        <v>0.73662429</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(5344.0/B70*100)</f>
        <v/>
      </c>
      <c r="D70" s="19" t="n">
        <v>690</v>
      </c>
      <c r="E70" s="18" t="n">
        <v>53.54663487</v>
      </c>
      <c r="F70" s="20" t="n">
        <v>1.79187808</v>
      </c>
      <c r="G70" s="18" t="n">
        <v>41.50772029</v>
      </c>
      <c r="H70" s="20" t="n">
        <v>1.71176122</v>
      </c>
      <c r="I70" s="18" t="n">
        <v>0</v>
      </c>
      <c r="J70" s="20" t="n">
        <v>0</v>
      </c>
      <c r="K70" s="18" t="n">
        <v>3.36853818</v>
      </c>
      <c r="L70" s="20" t="n">
        <v>0.63580339</v>
      </c>
      <c r="M70" s="18" t="n">
        <v>0</v>
      </c>
      <c r="N70" s="20" t="n">
        <v>0</v>
      </c>
      <c r="O70" s="18" t="n">
        <v>0</v>
      </c>
      <c r="P70" s="20" t="n">
        <v>0</v>
      </c>
      <c r="Q70" s="18" t="n">
        <v>1.57710665</v>
      </c>
      <c r="R70" s="20" t="n">
        <v>0.50779702</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(2814.0/B72*100)</f>
        <v/>
      </c>
      <c r="D72" s="19" t="n">
        <v>293</v>
      </c>
      <c r="E72" s="18" t="n">
        <v>37.53584474</v>
      </c>
      <c r="F72" s="20" t="n">
        <v>3.00810556</v>
      </c>
      <c r="G72" s="18" t="n">
        <v>61.13362706</v>
      </c>
      <c r="H72" s="20" t="n">
        <v>3.14912504</v>
      </c>
      <c r="I72" s="18" t="n">
        <v>0</v>
      </c>
      <c r="J72" s="20" t="n">
        <v>0</v>
      </c>
      <c r="K72" s="18" t="n">
        <v>0.7714321200000001</v>
      </c>
      <c r="L72" s="20" t="n">
        <v>0.58442885</v>
      </c>
      <c r="M72" s="18" t="n">
        <v>0</v>
      </c>
      <c r="N72" s="20" t="n">
        <v>0</v>
      </c>
      <c r="O72" s="18" t="n">
        <v>0</v>
      </c>
      <c r="P72" s="20" t="n">
        <v>0</v>
      </c>
      <c r="Q72" s="18" t="n">
        <v>0.55909608</v>
      </c>
      <c r="R72" s="20" t="n">
        <v>0.32829389</v>
      </c>
    </row>
    <row r="73" spans="1:18">
      <c r="A73" s="15" t="s">
        <v>633</v>
      </c>
      <c r="B73" s="17" t="n">
        <v>2973</v>
      </c>
      <c r="C73" s="18">
        <f>(2628.0/B73*100)</f>
        <v/>
      </c>
      <c r="D73" s="19" t="n">
        <v>345</v>
      </c>
      <c r="E73" s="18" t="n">
        <v>21.23576326</v>
      </c>
      <c r="F73" s="20" t="n">
        <v>1.92126364</v>
      </c>
      <c r="G73" s="18" t="n">
        <v>77.34673185</v>
      </c>
      <c r="H73" s="20" t="n">
        <v>2.12428474</v>
      </c>
      <c r="I73" s="18" t="n">
        <v>0</v>
      </c>
      <c r="J73" s="20" t="n">
        <v>0</v>
      </c>
      <c r="K73" s="18" t="n">
        <v>0.46419331</v>
      </c>
      <c r="L73" s="20" t="n">
        <v>0.44331913</v>
      </c>
      <c r="M73" s="18" t="n">
        <v>0</v>
      </c>
      <c r="N73" s="20" t="n">
        <v>0</v>
      </c>
      <c r="O73" s="18" t="n">
        <v>0</v>
      </c>
      <c r="P73" s="20" t="n">
        <v>0</v>
      </c>
      <c r="Q73" s="18" t="n">
        <v>0.95331159</v>
      </c>
      <c r="R73" s="20" t="n">
        <v>0.48828865</v>
      </c>
    </row>
    <row r="74" spans="1:18">
      <c r="A74" s="15" t="s">
        <v>634</v>
      </c>
      <c r="B74" s="17" t="n">
        <v>3819</v>
      </c>
      <c r="C74" s="18">
        <f>(3416.0/B74*100)</f>
        <v/>
      </c>
      <c r="D74" s="19" t="n">
        <v>403</v>
      </c>
      <c r="E74" s="18" t="n">
        <v>28.4392896</v>
      </c>
      <c r="F74" s="20" t="n">
        <v>2.43402784</v>
      </c>
      <c r="G74" s="18" t="n">
        <v>71.5607104</v>
      </c>
      <c r="H74" s="20" t="n">
        <v>2.43402784</v>
      </c>
      <c r="I74" s="18" t="n">
        <v>0</v>
      </c>
      <c r="J74" s="20" t="n">
        <v>0</v>
      </c>
      <c r="K74" s="18" t="n">
        <v>0</v>
      </c>
      <c r="L74" s="20" t="n">
        <v>0</v>
      </c>
      <c r="M74" s="18" t="n">
        <v>0</v>
      </c>
      <c r="N74" s="20" t="n">
        <v>0</v>
      </c>
      <c r="O74" s="18" t="n">
        <v>0</v>
      </c>
      <c r="P74" s="20" t="n">
        <v>0</v>
      </c>
      <c r="Q74" s="18" t="n">
        <v>0</v>
      </c>
      <c r="R74" s="20" t="n">
        <v>0</v>
      </c>
    </row>
    <row r="75" spans="1:18">
      <c r="A75" s="15" t="s">
        <v>635</v>
      </c>
      <c r="B75" s="17" t="n">
        <v>4652</v>
      </c>
      <c r="C75" s="18">
        <f>(4169.0/B75*100)</f>
        <v/>
      </c>
      <c r="D75" s="19" t="n">
        <v>483</v>
      </c>
      <c r="E75" s="18" t="n">
        <v>44.9328873</v>
      </c>
      <c r="F75" s="20" t="n">
        <v>3.13448929</v>
      </c>
      <c r="G75" s="18" t="n">
        <v>54.46405885</v>
      </c>
      <c r="H75" s="20" t="n">
        <v>3.10102286</v>
      </c>
      <c r="I75" s="18" t="n">
        <v>0</v>
      </c>
      <c r="J75" s="20" t="n">
        <v>0</v>
      </c>
      <c r="K75" s="18" t="n">
        <v>0</v>
      </c>
      <c r="L75" s="20" t="n">
        <v>0</v>
      </c>
      <c r="M75" s="18" t="n">
        <v>0</v>
      </c>
      <c r="N75" s="20" t="n">
        <v>0</v>
      </c>
      <c r="O75" s="18" t="n">
        <v>0</v>
      </c>
      <c r="P75" s="20" t="n">
        <v>0</v>
      </c>
      <c r="Q75" s="18" t="n">
        <v>0.6030538600000001</v>
      </c>
      <c r="R75" s="20" t="n">
        <v>0.39729306</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(2683.0/B77*100)</f>
        <v/>
      </c>
      <c r="D77" s="19" t="n">
        <v>286</v>
      </c>
      <c r="E77" s="18" t="n">
        <v>51.40451071</v>
      </c>
      <c r="F77" s="20" t="n">
        <v>2.58076083</v>
      </c>
      <c r="G77" s="18" t="n">
        <v>36.69778972</v>
      </c>
      <c r="H77" s="20" t="n">
        <v>2.91606914</v>
      </c>
      <c r="I77" s="18" t="n">
        <v>0</v>
      </c>
      <c r="J77" s="20" t="n">
        <v>0</v>
      </c>
      <c r="K77" s="18" t="n">
        <v>6.64870346</v>
      </c>
      <c r="L77" s="20" t="n">
        <v>1.45460655</v>
      </c>
      <c r="M77" s="18" t="n">
        <v>0</v>
      </c>
      <c r="N77" s="20" t="n">
        <v>0</v>
      </c>
      <c r="O77" s="18" t="n">
        <v>0</v>
      </c>
      <c r="P77" s="20" t="n">
        <v>0</v>
      </c>
      <c r="Q77" s="18" t="n">
        <v>5.24899611</v>
      </c>
      <c r="R77" s="20" t="n">
        <v>1.46363266</v>
      </c>
    </row>
    <row r="78" spans="1:18">
      <c r="A78" s="15" t="s">
        <v>638</v>
      </c>
      <c r="B78" s="17" t="n">
        <v>7115</v>
      </c>
      <c r="C78" s="18">
        <f>(6361.0/B78*100)</f>
        <v/>
      </c>
      <c r="D78" s="19" t="n">
        <v>754</v>
      </c>
      <c r="E78" s="18" t="n">
        <v>46.98385459</v>
      </c>
      <c r="F78" s="20" t="n">
        <v>2.39211852</v>
      </c>
      <c r="G78" s="18" t="n">
        <v>47.98075887</v>
      </c>
      <c r="H78" s="20" t="n">
        <v>2.45306891</v>
      </c>
      <c r="I78" s="18" t="n">
        <v>0</v>
      </c>
      <c r="J78" s="20" t="n">
        <v>0</v>
      </c>
      <c r="K78" s="18" t="n">
        <v>1.83908911</v>
      </c>
      <c r="L78" s="20" t="n">
        <v>0.59681722</v>
      </c>
      <c r="M78" s="18" t="n">
        <v>0</v>
      </c>
      <c r="N78" s="20" t="n">
        <v>0</v>
      </c>
      <c r="O78" s="18" t="n">
        <v>0</v>
      </c>
      <c r="P78" s="20" t="n">
        <v>0</v>
      </c>
      <c r="Q78" s="18" t="n">
        <v>3.19629743</v>
      </c>
      <c r="R78" s="20" t="n">
        <v>0.87382545</v>
      </c>
    </row>
    <row r="79" spans="1:18">
      <c r="A79" s="15" t="s">
        <v>639</v>
      </c>
      <c r="B79" s="17" t="n">
        <v>3154</v>
      </c>
      <c r="C79" s="18">
        <f>(2824.0/B79*100)</f>
        <v/>
      </c>
      <c r="D79" s="19" t="n">
        <v>330</v>
      </c>
      <c r="E79" s="18" t="n">
        <v>42.29925368</v>
      </c>
      <c r="F79" s="20" t="n">
        <v>2.6938956</v>
      </c>
      <c r="G79" s="18" t="n">
        <v>53.2875815</v>
      </c>
      <c r="H79" s="20" t="n">
        <v>2.6631202</v>
      </c>
      <c r="I79" s="18" t="n">
        <v>0</v>
      </c>
      <c r="J79" s="20" t="n">
        <v>0</v>
      </c>
      <c r="K79" s="18" t="n">
        <v>1.8622016</v>
      </c>
      <c r="L79" s="20" t="n">
        <v>0.58073162</v>
      </c>
      <c r="M79" s="18" t="n">
        <v>0</v>
      </c>
      <c r="N79" s="20" t="n">
        <v>0</v>
      </c>
      <c r="O79" s="18" t="n">
        <v>0</v>
      </c>
      <c r="P79" s="20" t="n">
        <v>0</v>
      </c>
      <c r="Q79" s="18" t="n">
        <v>2.55096321</v>
      </c>
      <c r="R79" s="20" t="n">
        <v>0.79313861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(14237.0/B82*100)</f>
        <v/>
      </c>
      <c r="D82" s="19" t="n">
        <v>1724</v>
      </c>
      <c r="E82" s="18" t="n">
        <v>32.42354869</v>
      </c>
      <c r="F82" s="20" t="n">
        <v>1.57668458</v>
      </c>
      <c r="G82" s="18" t="n">
        <v>65.61256009</v>
      </c>
      <c r="H82" s="20" t="n">
        <v>1.70805966</v>
      </c>
      <c r="I82" s="18" t="n">
        <v>0</v>
      </c>
      <c r="J82" s="20" t="n">
        <v>0</v>
      </c>
      <c r="K82" s="18" t="n">
        <v>0.22943512</v>
      </c>
      <c r="L82" s="20" t="n">
        <v>0.11164963</v>
      </c>
      <c r="M82" s="18" t="n">
        <v>0</v>
      </c>
      <c r="N82" s="20" t="n">
        <v>0</v>
      </c>
      <c r="O82" s="18" t="n">
        <v>0</v>
      </c>
      <c r="P82" s="20" t="n">
        <v>0</v>
      </c>
      <c r="Q82" s="18" t="n">
        <v>1.7344561</v>
      </c>
      <c r="R82" s="20" t="n">
        <v>0.51118992</v>
      </c>
    </row>
    <row r="83" spans="1:18">
      <c r="A83" s="15" t="s">
        <v>643</v>
      </c>
      <c r="B83" s="17" t="n">
        <v>808</v>
      </c>
      <c r="C83" s="18">
        <f>(725.0/B83*100)</f>
        <v/>
      </c>
      <c r="D83" s="19" t="n">
        <v>83</v>
      </c>
      <c r="E83" s="18" t="n">
        <v>25.34868051</v>
      </c>
      <c r="F83" s="20" t="n">
        <v>6.50264502</v>
      </c>
      <c r="G83" s="18" t="n">
        <v>73.17233577</v>
      </c>
      <c r="H83" s="20" t="n">
        <v>7.05265102</v>
      </c>
      <c r="I83" s="18" t="n">
        <v>0</v>
      </c>
      <c r="J83" s="20" t="n">
        <v>0</v>
      </c>
      <c r="K83" s="18" t="n">
        <v>1.47898372</v>
      </c>
      <c r="L83" s="20" t="n">
        <v>1.38769072</v>
      </c>
      <c r="M83" s="18" t="n">
        <v>0</v>
      </c>
      <c r="N83" s="20" t="n">
        <v>0</v>
      </c>
      <c r="O83" s="18" t="n">
        <v>0</v>
      </c>
      <c r="P83" s="20" t="n">
        <v>0</v>
      </c>
      <c r="Q83" s="18" t="n">
        <v>0</v>
      </c>
      <c r="R83" s="20" t="n">
        <v>0</v>
      </c>
    </row>
    <row r="84" spans="1:18">
      <c r="A84" s="23" t="s">
        <v>644</v>
      </c>
      <c r="B84" s="24" t="n">
        <v>938</v>
      </c>
      <c r="C84" s="25">
        <f>(846.0/B84*100)</f>
        <v/>
      </c>
      <c r="D84" s="19" t="n">
        <v>92</v>
      </c>
      <c r="E84" s="18" t="n">
        <v>29.67930598</v>
      </c>
      <c r="F84" s="20" t="n">
        <v>4.4342158</v>
      </c>
      <c r="G84" s="18" t="n">
        <v>70.32069402</v>
      </c>
      <c r="H84" s="20" t="n">
        <v>4.4342158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712</v>
      </c>
    </row>
    <row customHeight="1" ht="30" r="4" spans="1:20">
      <c r="A4" s="6" t="n"/>
      <c r="B4" s="7" t="s">
        <v>551</v>
      </c>
      <c r="C4" s="7" t="s">
        <v>552</v>
      </c>
      <c r="D4" s="8" t="s">
        <v>551</v>
      </c>
      <c r="E4" s="9" t="s">
        <v>655</v>
      </c>
      <c r="F4" s="10" t="n"/>
      <c r="G4" s="9" t="s">
        <v>657</v>
      </c>
      <c r="H4" s="10" t="n"/>
      <c r="I4" s="9" t="s">
        <v>658</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(6408.0/B7*100)</f>
        <v/>
      </c>
      <c r="D7" s="19" t="n">
        <v>755</v>
      </c>
      <c r="E7" s="18" t="n">
        <v>42.96284745</v>
      </c>
      <c r="F7" s="20" t="n">
        <v>2.1330672</v>
      </c>
      <c r="G7" s="18" t="n">
        <v>28.15529488</v>
      </c>
      <c r="H7" s="20" t="n">
        <v>1.92519025</v>
      </c>
      <c r="I7" s="18" t="n">
        <v>18.0235417</v>
      </c>
      <c r="J7" s="20" t="n">
        <v>1.88667074</v>
      </c>
      <c r="K7" s="18" t="n">
        <v>0</v>
      </c>
      <c r="L7" s="20" t="n">
        <v>0</v>
      </c>
      <c r="M7" s="18" t="n">
        <v>0.22686889</v>
      </c>
      <c r="N7" s="20" t="n">
        <v>0.14758719</v>
      </c>
      <c r="O7" s="18" t="n">
        <v>0</v>
      </c>
      <c r="P7" s="20" t="n">
        <v>0</v>
      </c>
      <c r="Q7" s="18" t="n">
        <v>0</v>
      </c>
      <c r="R7" s="20" t="n">
        <v>0</v>
      </c>
      <c r="S7" s="18" t="n">
        <v>10.63144709</v>
      </c>
      <c r="T7" s="20" t="n">
        <v>1.23286505</v>
      </c>
    </row>
    <row r="8" spans="1:20">
      <c r="A8" s="15" t="s">
        <v>566</v>
      </c>
      <c r="B8" s="17" t="n">
        <v>3443</v>
      </c>
      <c r="C8" s="18">
        <f>(3064.0/B8*100)</f>
        <v/>
      </c>
      <c r="D8" s="19" t="n">
        <v>379</v>
      </c>
      <c r="E8" s="18" t="n">
        <v>46.13040959</v>
      </c>
      <c r="F8" s="20" t="n">
        <v>2.72305172</v>
      </c>
      <c r="G8" s="18" t="n">
        <v>24.01907401</v>
      </c>
      <c r="H8" s="20" t="n">
        <v>3.01573884</v>
      </c>
      <c r="I8" s="18" t="n">
        <v>7.36461374</v>
      </c>
      <c r="J8" s="20" t="n">
        <v>1.41410513</v>
      </c>
      <c r="K8" s="18" t="n">
        <v>0</v>
      </c>
      <c r="L8" s="20" t="n">
        <v>0</v>
      </c>
      <c r="M8" s="18" t="n">
        <v>0</v>
      </c>
      <c r="N8" s="20" t="n">
        <v>0</v>
      </c>
      <c r="O8" s="18" t="n">
        <v>0</v>
      </c>
      <c r="P8" s="20" t="n">
        <v>0</v>
      </c>
      <c r="Q8" s="18" t="n">
        <v>0</v>
      </c>
      <c r="R8" s="20" t="n">
        <v>0</v>
      </c>
      <c r="S8" s="18" t="n">
        <v>22.48590266</v>
      </c>
      <c r="T8" s="20" t="n">
        <v>2.49528657</v>
      </c>
    </row>
    <row r="9" spans="1:20">
      <c r="A9" s="15" t="s">
        <v>567</v>
      </c>
      <c r="B9" s="17" t="n">
        <v>4752</v>
      </c>
      <c r="C9" s="18">
        <f>(4226.0/B9*100)</f>
        <v/>
      </c>
      <c r="D9" s="19" t="n">
        <v>526</v>
      </c>
      <c r="E9" s="18" t="n">
        <v>43.1406577</v>
      </c>
      <c r="F9" s="20" t="n">
        <v>1.85512045</v>
      </c>
      <c r="G9" s="18" t="n">
        <v>27.83382774</v>
      </c>
      <c r="H9" s="20" t="n">
        <v>2.13538429</v>
      </c>
      <c r="I9" s="18" t="n">
        <v>12.49897585</v>
      </c>
      <c r="J9" s="20" t="n">
        <v>1.40680531</v>
      </c>
      <c r="K9" s="18" t="n">
        <v>0</v>
      </c>
      <c r="L9" s="20" t="n">
        <v>0</v>
      </c>
      <c r="M9" s="18" t="n">
        <v>1.40033651</v>
      </c>
      <c r="N9" s="20" t="n">
        <v>0.5307052799999999</v>
      </c>
      <c r="O9" s="18" t="n">
        <v>0.13585641</v>
      </c>
      <c r="P9" s="20" t="n">
        <v>0.12668421</v>
      </c>
      <c r="Q9" s="18" t="n">
        <v>0</v>
      </c>
      <c r="R9" s="20" t="n">
        <v>0</v>
      </c>
      <c r="S9" s="18" t="n">
        <v>14.99034579</v>
      </c>
      <c r="T9" s="20" t="n">
        <v>1.72651509</v>
      </c>
    </row>
    <row r="10" spans="1:20">
      <c r="A10" s="15" t="s">
        <v>568</v>
      </c>
      <c r="B10" s="17" t="n">
        <v>10022</v>
      </c>
      <c r="C10" s="18">
        <f>(8928.0/B10*100)</f>
        <v/>
      </c>
      <c r="D10" s="19" t="n">
        <v>1094</v>
      </c>
      <c r="E10" s="18" t="n">
        <v>52.05516702</v>
      </c>
      <c r="F10" s="20" t="n">
        <v>1.76025758</v>
      </c>
      <c r="G10" s="18" t="n">
        <v>24.92035578</v>
      </c>
      <c r="H10" s="20" t="n">
        <v>1.97779817</v>
      </c>
      <c r="I10" s="18" t="n">
        <v>16.5946979</v>
      </c>
      <c r="J10" s="20" t="n">
        <v>1.53010104</v>
      </c>
      <c r="K10" s="18" t="n">
        <v>0</v>
      </c>
      <c r="L10" s="20" t="n">
        <v>0</v>
      </c>
      <c r="M10" s="18" t="n">
        <v>0.55407554</v>
      </c>
      <c r="N10" s="20" t="n">
        <v>0.24609222</v>
      </c>
      <c r="O10" s="18" t="n">
        <v>0</v>
      </c>
      <c r="P10" s="20" t="n">
        <v>0</v>
      </c>
      <c r="Q10" s="18" t="n">
        <v>0</v>
      </c>
      <c r="R10" s="20" t="n">
        <v>0</v>
      </c>
      <c r="S10" s="18" t="n">
        <v>5.87570377</v>
      </c>
      <c r="T10" s="20" t="n">
        <v>1.01821864</v>
      </c>
    </row>
    <row r="11" spans="1:20">
      <c r="A11" s="15" t="s">
        <v>569</v>
      </c>
      <c r="B11" s="17" t="n">
        <v>3500</v>
      </c>
      <c r="C11" s="18">
        <f>(3115.0/B11*100)</f>
        <v/>
      </c>
      <c r="D11" s="19" t="n">
        <v>385</v>
      </c>
      <c r="E11" s="18" t="n">
        <v>61.44730775</v>
      </c>
      <c r="F11" s="20" t="n">
        <v>2.5427771</v>
      </c>
      <c r="G11" s="18" t="n">
        <v>11.34868733</v>
      </c>
      <c r="H11" s="20" t="n">
        <v>1.88509858</v>
      </c>
      <c r="I11" s="18" t="n">
        <v>6.43660307</v>
      </c>
      <c r="J11" s="20" t="n">
        <v>1.5278003</v>
      </c>
      <c r="K11" s="18" t="n">
        <v>0</v>
      </c>
      <c r="L11" s="20" t="n">
        <v>0</v>
      </c>
      <c r="M11" s="18" t="n">
        <v>2.38546159</v>
      </c>
      <c r="N11" s="20" t="n">
        <v>0.8258092</v>
      </c>
      <c r="O11" s="18" t="n">
        <v>0</v>
      </c>
      <c r="P11" s="20" t="n">
        <v>0</v>
      </c>
      <c r="Q11" s="18" t="n">
        <v>0</v>
      </c>
      <c r="R11" s="20" t="n">
        <v>0</v>
      </c>
      <c r="S11" s="18" t="n">
        <v>18.38194027</v>
      </c>
      <c r="T11" s="20" t="n">
        <v>2.16813356</v>
      </c>
    </row>
    <row r="12" spans="1:20">
      <c r="A12" s="15" t="s">
        <v>570</v>
      </c>
      <c r="B12" s="17" t="n">
        <v>3422</v>
      </c>
      <c r="C12" s="18">
        <f>(3054.0/B12*100)</f>
        <v/>
      </c>
      <c r="D12" s="19" t="n">
        <v>368</v>
      </c>
      <c r="E12" s="18" t="n">
        <v>44.22247754</v>
      </c>
      <c r="F12" s="20" t="n">
        <v>2.75722806</v>
      </c>
      <c r="G12" s="18" t="n">
        <v>21.99983218</v>
      </c>
      <c r="H12" s="20" t="n">
        <v>2.53363919</v>
      </c>
      <c r="I12" s="18" t="n">
        <v>8.443064870000001</v>
      </c>
      <c r="J12" s="20" t="n">
        <v>1.60664581</v>
      </c>
      <c r="K12" s="18" t="n">
        <v>0</v>
      </c>
      <c r="L12" s="20" t="n">
        <v>0</v>
      </c>
      <c r="M12" s="18" t="n">
        <v>0.83224918</v>
      </c>
      <c r="N12" s="20" t="n">
        <v>0.57747061</v>
      </c>
      <c r="O12" s="18" t="n">
        <v>0</v>
      </c>
      <c r="P12" s="20" t="n">
        <v>0</v>
      </c>
      <c r="Q12" s="18" t="n">
        <v>0</v>
      </c>
      <c r="R12" s="20" t="n">
        <v>0</v>
      </c>
      <c r="S12" s="18" t="n">
        <v>24.50237623</v>
      </c>
      <c r="T12" s="20" t="n">
        <v>2.05525049</v>
      </c>
    </row>
    <row r="13" spans="1:20">
      <c r="A13" s="15" t="s">
        <v>571</v>
      </c>
      <c r="B13" s="17" t="n">
        <v>3602</v>
      </c>
      <c r="C13" s="18">
        <f>(3233.0/B13*100)</f>
        <v/>
      </c>
      <c r="D13" s="19" t="n">
        <v>369</v>
      </c>
      <c r="E13" s="18" t="n">
        <v>45.22343265</v>
      </c>
      <c r="F13" s="20" t="n">
        <v>2.96430087</v>
      </c>
      <c r="G13" s="18" t="n">
        <v>22.8802943</v>
      </c>
      <c r="H13" s="20" t="n">
        <v>2.4307457</v>
      </c>
      <c r="I13" s="18" t="n">
        <v>16.44617033</v>
      </c>
      <c r="J13" s="20" t="n">
        <v>2.08743031</v>
      </c>
      <c r="K13" s="18" t="n">
        <v>0</v>
      </c>
      <c r="L13" s="20" t="n">
        <v>0</v>
      </c>
      <c r="M13" s="18" t="n">
        <v>1.20067409</v>
      </c>
      <c r="N13" s="20" t="n">
        <v>0.59779235</v>
      </c>
      <c r="O13" s="18" t="n">
        <v>0</v>
      </c>
      <c r="P13" s="20" t="n">
        <v>0</v>
      </c>
      <c r="Q13" s="18" t="n">
        <v>0</v>
      </c>
      <c r="R13" s="20" t="n">
        <v>0</v>
      </c>
      <c r="S13" s="18" t="n">
        <v>14.24942863</v>
      </c>
      <c r="T13" s="20" t="n">
        <v>2.08626992</v>
      </c>
    </row>
    <row r="14" spans="1:20">
      <c r="A14" s="15" t="s">
        <v>572</v>
      </c>
      <c r="B14" s="17" t="n">
        <v>2788</v>
      </c>
      <c r="C14" s="18">
        <f>(2485.0/B14*100)</f>
        <v/>
      </c>
      <c r="D14" s="19" t="n">
        <v>303</v>
      </c>
      <c r="E14" s="18" t="n">
        <v>26.49755966</v>
      </c>
      <c r="F14" s="20" t="n">
        <v>2.57505312</v>
      </c>
      <c r="G14" s="18" t="n">
        <v>45.35457656</v>
      </c>
      <c r="H14" s="20" t="n">
        <v>3.17913449</v>
      </c>
      <c r="I14" s="18" t="n">
        <v>15.75164809</v>
      </c>
      <c r="J14" s="20" t="n">
        <v>2.2465726</v>
      </c>
      <c r="K14" s="18" t="n">
        <v>0</v>
      </c>
      <c r="L14" s="20" t="n">
        <v>0</v>
      </c>
      <c r="M14" s="18" t="n">
        <v>0.84330984</v>
      </c>
      <c r="N14" s="20" t="n">
        <v>0.8212937</v>
      </c>
      <c r="O14" s="18" t="n">
        <v>0</v>
      </c>
      <c r="P14" s="20" t="n">
        <v>0</v>
      </c>
      <c r="Q14" s="18" t="n">
        <v>0</v>
      </c>
      <c r="R14" s="20" t="n">
        <v>0</v>
      </c>
      <c r="S14" s="18" t="n">
        <v>11.55290585</v>
      </c>
      <c r="T14" s="20" t="n">
        <v>1.95302371</v>
      </c>
    </row>
    <row r="15" spans="1:20">
      <c r="A15" s="15" t="s">
        <v>573</v>
      </c>
      <c r="B15" s="17" t="n">
        <v>2863</v>
      </c>
      <c r="C15" s="18">
        <f>(2559.0/B15*100)</f>
        <v/>
      </c>
      <c r="D15" s="19" t="n">
        <v>304</v>
      </c>
      <c r="E15" s="18" t="n">
        <v>46.96247768</v>
      </c>
      <c r="F15" s="20" t="n">
        <v>2.79852641</v>
      </c>
      <c r="G15" s="18" t="n">
        <v>28.16722066</v>
      </c>
      <c r="H15" s="20" t="n">
        <v>2.65141751</v>
      </c>
      <c r="I15" s="18" t="n">
        <v>14.0180701</v>
      </c>
      <c r="J15" s="20" t="n">
        <v>1.87277534</v>
      </c>
      <c r="K15" s="18" t="n">
        <v>0</v>
      </c>
      <c r="L15" s="20" t="n">
        <v>0</v>
      </c>
      <c r="M15" s="18" t="n">
        <v>0</v>
      </c>
      <c r="N15" s="20" t="n">
        <v>0</v>
      </c>
      <c r="O15" s="18" t="n">
        <v>0</v>
      </c>
      <c r="P15" s="20" t="n">
        <v>0</v>
      </c>
      <c r="Q15" s="18" t="n">
        <v>0</v>
      </c>
      <c r="R15" s="20" t="n">
        <v>0</v>
      </c>
      <c r="S15" s="18" t="n">
        <v>10.85223156</v>
      </c>
      <c r="T15" s="20" t="n">
        <v>1.63004237</v>
      </c>
    </row>
    <row r="16" spans="1:20">
      <c r="A16" s="15" t="s">
        <v>574</v>
      </c>
      <c r="B16" s="17" t="n">
        <v>3111</v>
      </c>
      <c r="C16" s="18">
        <f>(2807.0/B16*100)</f>
        <v/>
      </c>
      <c r="D16" s="19" t="n">
        <v>304</v>
      </c>
      <c r="E16" s="18" t="n">
        <v>42.38169469</v>
      </c>
      <c r="F16" s="20" t="n">
        <v>2.84050794</v>
      </c>
      <c r="G16" s="18" t="n">
        <v>19.32837209</v>
      </c>
      <c r="H16" s="20" t="n">
        <v>2.51959123</v>
      </c>
      <c r="I16" s="18" t="n">
        <v>14.56694013</v>
      </c>
      <c r="J16" s="20" t="n">
        <v>1.67202281</v>
      </c>
      <c r="K16" s="18" t="n">
        <v>0</v>
      </c>
      <c r="L16" s="20" t="n">
        <v>0</v>
      </c>
      <c r="M16" s="18" t="n">
        <v>0.87441896</v>
      </c>
      <c r="N16" s="20" t="n">
        <v>0.50515347</v>
      </c>
      <c r="O16" s="18" t="n">
        <v>0</v>
      </c>
      <c r="P16" s="20" t="n">
        <v>0</v>
      </c>
      <c r="Q16" s="18" t="n">
        <v>0</v>
      </c>
      <c r="R16" s="20" t="n">
        <v>0</v>
      </c>
      <c r="S16" s="18" t="n">
        <v>22.84857412</v>
      </c>
      <c r="T16" s="20" t="n">
        <v>2.58101582</v>
      </c>
    </row>
    <row r="17" spans="1:20">
      <c r="A17" s="15" t="s">
        <v>575</v>
      </c>
      <c r="B17" s="17" t="n">
        <v>3197</v>
      </c>
      <c r="C17" s="18">
        <f>(2843.0/B17*100)</f>
        <v/>
      </c>
      <c r="D17" s="19" t="n">
        <v>354</v>
      </c>
      <c r="E17" s="18" t="n">
        <v>45.24479787</v>
      </c>
      <c r="F17" s="20" t="n">
        <v>3.09748009</v>
      </c>
      <c r="G17" s="18" t="n">
        <v>30.42408168</v>
      </c>
      <c r="H17" s="20" t="n">
        <v>2.6198179</v>
      </c>
      <c r="I17" s="18" t="n">
        <v>2.09545589</v>
      </c>
      <c r="J17" s="20" t="n">
        <v>0.84361609</v>
      </c>
      <c r="K17" s="18" t="n">
        <v>0</v>
      </c>
      <c r="L17" s="20" t="n">
        <v>0</v>
      </c>
      <c r="M17" s="18" t="n">
        <v>1.14358914</v>
      </c>
      <c r="N17" s="20" t="n">
        <v>0.57018219</v>
      </c>
      <c r="O17" s="18" t="n">
        <v>0</v>
      </c>
      <c r="P17" s="20" t="n">
        <v>0</v>
      </c>
      <c r="Q17" s="18" t="n">
        <v>0</v>
      </c>
      <c r="R17" s="20" t="n">
        <v>0</v>
      </c>
      <c r="S17" s="18" t="n">
        <v>21.09207542</v>
      </c>
      <c r="T17" s="20" t="n">
        <v>2.14163972</v>
      </c>
    </row>
    <row r="18" spans="1:20">
      <c r="A18" s="15" t="s">
        <v>576</v>
      </c>
      <c r="B18" s="17" t="n">
        <v>2706</v>
      </c>
      <c r="C18" s="18">
        <f>(2443.0/B18*100)</f>
        <v/>
      </c>
      <c r="D18" s="19" t="n">
        <v>263</v>
      </c>
      <c r="E18" s="18" t="n">
        <v>49.04432781</v>
      </c>
      <c r="F18" s="20" t="n">
        <v>3.19510537</v>
      </c>
      <c r="G18" s="18" t="n">
        <v>24.00919907</v>
      </c>
      <c r="H18" s="20" t="n">
        <v>3.09262647</v>
      </c>
      <c r="I18" s="18" t="n">
        <v>6.80429154</v>
      </c>
      <c r="J18" s="20" t="n">
        <v>1.65588278</v>
      </c>
      <c r="K18" s="18" t="n">
        <v>0</v>
      </c>
      <c r="L18" s="20" t="n">
        <v>0</v>
      </c>
      <c r="M18" s="18" t="n">
        <v>0</v>
      </c>
      <c r="N18" s="20" t="n">
        <v>0</v>
      </c>
      <c r="O18" s="18" t="n">
        <v>0</v>
      </c>
      <c r="P18" s="20" t="n">
        <v>0</v>
      </c>
      <c r="Q18" s="18" t="n">
        <v>0</v>
      </c>
      <c r="R18" s="20" t="n">
        <v>0</v>
      </c>
      <c r="S18" s="18" t="n">
        <v>20.14218157</v>
      </c>
      <c r="T18" s="20" t="n">
        <v>2.65210329</v>
      </c>
    </row>
    <row r="19" spans="1:20">
      <c r="A19" s="15" t="s">
        <v>577</v>
      </c>
      <c r="B19" s="17" t="n">
        <v>2850</v>
      </c>
      <c r="C19" s="18">
        <f>(2545.0/B19*100)</f>
        <v/>
      </c>
      <c r="D19" s="19" t="n">
        <v>305</v>
      </c>
      <c r="E19" s="18" t="n">
        <v>53.59658596</v>
      </c>
      <c r="F19" s="20" t="n">
        <v>2.5269096</v>
      </c>
      <c r="G19" s="18" t="n">
        <v>16.53214953</v>
      </c>
      <c r="H19" s="20" t="n">
        <v>1.49335576</v>
      </c>
      <c r="I19" s="18" t="n">
        <v>5.62658059</v>
      </c>
      <c r="J19" s="20" t="n">
        <v>1.20026007</v>
      </c>
      <c r="K19" s="18" t="n">
        <v>0</v>
      </c>
      <c r="L19" s="20" t="n">
        <v>0</v>
      </c>
      <c r="M19" s="18" t="n">
        <v>0.61778148</v>
      </c>
      <c r="N19" s="20" t="n">
        <v>0.44337006</v>
      </c>
      <c r="O19" s="18" t="n">
        <v>0.31509649</v>
      </c>
      <c r="P19" s="20" t="n">
        <v>0.31721883</v>
      </c>
      <c r="Q19" s="18" t="n">
        <v>0</v>
      </c>
      <c r="R19" s="20" t="n">
        <v>0</v>
      </c>
      <c r="S19" s="18" t="n">
        <v>23.31180595</v>
      </c>
      <c r="T19" s="20" t="n">
        <v>2.48262844</v>
      </c>
    </row>
    <row r="20" spans="1:20">
      <c r="A20" s="15" t="s">
        <v>578</v>
      </c>
      <c r="B20" s="17" t="n">
        <v>1741</v>
      </c>
      <c r="C20" s="18">
        <f>(1563.0/B20*100)</f>
        <v/>
      </c>
      <c r="D20" s="19" t="n">
        <v>178</v>
      </c>
      <c r="E20" s="18" t="n">
        <v>59.3352353</v>
      </c>
      <c r="F20" s="20" t="n">
        <v>4.06491819</v>
      </c>
      <c r="G20" s="18" t="n">
        <v>10.44280446</v>
      </c>
      <c r="H20" s="20" t="n">
        <v>2.44897172</v>
      </c>
      <c r="I20" s="18" t="n">
        <v>11.77698863</v>
      </c>
      <c r="J20" s="20" t="n">
        <v>2.54287446</v>
      </c>
      <c r="K20" s="18" t="n">
        <v>0</v>
      </c>
      <c r="L20" s="20" t="n">
        <v>0</v>
      </c>
      <c r="M20" s="18" t="n">
        <v>2.29611994</v>
      </c>
      <c r="N20" s="20" t="n">
        <v>1.13867286</v>
      </c>
      <c r="O20" s="18" t="n">
        <v>0.86292167</v>
      </c>
      <c r="P20" s="20" t="n">
        <v>0.84669414</v>
      </c>
      <c r="Q20" s="18" t="n">
        <v>0</v>
      </c>
      <c r="R20" s="20" t="n">
        <v>0</v>
      </c>
      <c r="S20" s="18" t="n">
        <v>15.28592999</v>
      </c>
      <c r="T20" s="20" t="n">
        <v>2.77528871</v>
      </c>
    </row>
    <row r="21" spans="1:20">
      <c r="A21" s="15" t="s">
        <v>579</v>
      </c>
      <c r="B21" s="17" t="n">
        <v>2833</v>
      </c>
      <c r="C21" s="18">
        <f>(2493.0/B21*100)</f>
        <v/>
      </c>
      <c r="D21" s="19" t="n">
        <v>340</v>
      </c>
      <c r="E21" s="18" t="n">
        <v>38.79244675</v>
      </c>
      <c r="F21" s="20" t="n">
        <v>3.07285803</v>
      </c>
      <c r="G21" s="18" t="n">
        <v>38.03783922</v>
      </c>
      <c r="H21" s="20" t="n">
        <v>2.66511389</v>
      </c>
      <c r="I21" s="18" t="n">
        <v>14.83113393</v>
      </c>
      <c r="J21" s="20" t="n">
        <v>2.41711841</v>
      </c>
      <c r="K21" s="18" t="n">
        <v>0</v>
      </c>
      <c r="L21" s="20" t="n">
        <v>0</v>
      </c>
      <c r="M21" s="18" t="n">
        <v>0</v>
      </c>
      <c r="N21" s="20" t="n">
        <v>0</v>
      </c>
      <c r="O21" s="18" t="n">
        <v>0</v>
      </c>
      <c r="P21" s="20" t="n">
        <v>0</v>
      </c>
      <c r="Q21" s="18" t="n">
        <v>0</v>
      </c>
      <c r="R21" s="20" t="n">
        <v>0</v>
      </c>
      <c r="S21" s="18" t="n">
        <v>8.3385801</v>
      </c>
      <c r="T21" s="20" t="n">
        <v>1.14750112</v>
      </c>
    </row>
    <row r="22" spans="1:20">
      <c r="A22" s="15" t="s">
        <v>580</v>
      </c>
      <c r="B22" s="17" t="n">
        <v>3667</v>
      </c>
      <c r="C22" s="18">
        <f>(3329.0/B22*100)</f>
        <v/>
      </c>
      <c r="D22" s="19" t="n">
        <v>338</v>
      </c>
      <c r="E22" s="18" t="n">
        <v>39.09329554</v>
      </c>
      <c r="F22" s="20" t="n">
        <v>2.52603512</v>
      </c>
      <c r="G22" s="18" t="n">
        <v>15.99235942</v>
      </c>
      <c r="H22" s="20" t="n">
        <v>2.08670254</v>
      </c>
      <c r="I22" s="18" t="n">
        <v>26.36196628</v>
      </c>
      <c r="J22" s="20" t="n">
        <v>2.29669358</v>
      </c>
      <c r="K22" s="18" t="n">
        <v>0</v>
      </c>
      <c r="L22" s="20" t="n">
        <v>0</v>
      </c>
      <c r="M22" s="18" t="n">
        <v>0.28272611</v>
      </c>
      <c r="N22" s="20" t="n">
        <v>0.31594335</v>
      </c>
      <c r="O22" s="18" t="n">
        <v>0</v>
      </c>
      <c r="P22" s="20" t="n">
        <v>0</v>
      </c>
      <c r="Q22" s="18" t="n">
        <v>0</v>
      </c>
      <c r="R22" s="20" t="n">
        <v>0</v>
      </c>
      <c r="S22" s="18" t="n">
        <v>18.26965265</v>
      </c>
      <c r="T22" s="20" t="n">
        <v>2.13411796</v>
      </c>
    </row>
    <row r="23" spans="1:20">
      <c r="A23" s="15" t="s">
        <v>581</v>
      </c>
      <c r="B23" s="17" t="n">
        <v>5792</v>
      </c>
      <c r="C23" s="18">
        <f>(5170.0/B23*100)</f>
        <v/>
      </c>
      <c r="D23" s="19" t="n">
        <v>622</v>
      </c>
      <c r="E23" s="18" t="n">
        <v>48.49321387</v>
      </c>
      <c r="F23" s="20" t="n">
        <v>3.42481751</v>
      </c>
      <c r="G23" s="18" t="n">
        <v>18.28085456</v>
      </c>
      <c r="H23" s="20" t="n">
        <v>2.16181547</v>
      </c>
      <c r="I23" s="18" t="n">
        <v>5.37690863</v>
      </c>
      <c r="J23" s="20" t="n">
        <v>0.99915901</v>
      </c>
      <c r="K23" s="18" t="n">
        <v>0</v>
      </c>
      <c r="L23" s="20" t="n">
        <v>0</v>
      </c>
      <c r="M23" s="18" t="n">
        <v>1.63453806</v>
      </c>
      <c r="N23" s="20" t="n">
        <v>0.71309708</v>
      </c>
      <c r="O23" s="18" t="n">
        <v>0.00338045</v>
      </c>
      <c r="P23" s="20" t="n">
        <v>0.00240505</v>
      </c>
      <c r="Q23" s="18" t="n">
        <v>0</v>
      </c>
      <c r="R23" s="20" t="n">
        <v>0</v>
      </c>
      <c r="S23" s="18" t="n">
        <v>26.21110443</v>
      </c>
      <c r="T23" s="20" t="n">
        <v>3.09295137</v>
      </c>
    </row>
    <row r="24" spans="1:20">
      <c r="A24" s="15" t="s">
        <v>582</v>
      </c>
      <c r="B24" s="17" t="n">
        <v>3309</v>
      </c>
      <c r="C24" s="18">
        <f>(2940.0/B24*100)</f>
        <v/>
      </c>
      <c r="D24" s="19" t="n">
        <v>369</v>
      </c>
      <c r="E24" s="18" t="n">
        <v>35.18937221</v>
      </c>
      <c r="F24" s="20" t="n">
        <v>2.40550133</v>
      </c>
      <c r="G24" s="18" t="n">
        <v>29.07229052</v>
      </c>
      <c r="H24" s="20" t="n">
        <v>2.38734219</v>
      </c>
      <c r="I24" s="18" t="n">
        <v>21.54293097</v>
      </c>
      <c r="J24" s="20" t="n">
        <v>2.5951463</v>
      </c>
      <c r="K24" s="18" t="n">
        <v>0</v>
      </c>
      <c r="L24" s="20" t="n">
        <v>0</v>
      </c>
      <c r="M24" s="18" t="n">
        <v>0</v>
      </c>
      <c r="N24" s="20" t="n">
        <v>0</v>
      </c>
      <c r="O24" s="18" t="n">
        <v>0</v>
      </c>
      <c r="P24" s="20" t="n">
        <v>0</v>
      </c>
      <c r="Q24" s="18" t="n">
        <v>0</v>
      </c>
      <c r="R24" s="20" t="n">
        <v>0</v>
      </c>
      <c r="S24" s="18" t="n">
        <v>14.1954063</v>
      </c>
      <c r="T24" s="20" t="n">
        <v>1.97693917</v>
      </c>
    </row>
    <row r="25" spans="1:20">
      <c r="A25" s="15" t="s">
        <v>583</v>
      </c>
      <c r="B25" s="17" t="n">
        <v>2669</v>
      </c>
      <c r="C25" s="18">
        <f>(2396.0/B25*100)</f>
        <v/>
      </c>
      <c r="D25" s="19" t="n">
        <v>273</v>
      </c>
      <c r="E25" s="18" t="n">
        <v>66.96379603</v>
      </c>
      <c r="F25" s="20" t="n">
        <v>2.6410162</v>
      </c>
      <c r="G25" s="18" t="n">
        <v>11.33216852</v>
      </c>
      <c r="H25" s="20" t="n">
        <v>1.81371201</v>
      </c>
      <c r="I25" s="18" t="n">
        <v>7.35019062</v>
      </c>
      <c r="J25" s="20" t="n">
        <v>1.28058909</v>
      </c>
      <c r="K25" s="18" t="n">
        <v>0</v>
      </c>
      <c r="L25" s="20" t="n">
        <v>0</v>
      </c>
      <c r="M25" s="18" t="n">
        <v>0.33916492</v>
      </c>
      <c r="N25" s="20" t="n">
        <v>0.47668997</v>
      </c>
      <c r="O25" s="18" t="n">
        <v>0</v>
      </c>
      <c r="P25" s="20" t="n">
        <v>0</v>
      </c>
      <c r="Q25" s="18" t="n">
        <v>0</v>
      </c>
      <c r="R25" s="20" t="n">
        <v>0</v>
      </c>
      <c r="S25" s="18" t="n">
        <v>14.01467991</v>
      </c>
      <c r="T25" s="20" t="n">
        <v>2.2682891</v>
      </c>
    </row>
    <row r="26" spans="1:20">
      <c r="A26" s="15" t="s">
        <v>584</v>
      </c>
      <c r="B26" s="17" t="n">
        <v>2419</v>
      </c>
      <c r="C26" s="18">
        <f>(2159.0/B26*100)</f>
        <v/>
      </c>
      <c r="D26" s="19" t="n">
        <v>260</v>
      </c>
      <c r="E26" s="18" t="n">
        <v>53.32861886</v>
      </c>
      <c r="F26" s="20" t="n">
        <v>3.35924155</v>
      </c>
      <c r="G26" s="18" t="n">
        <v>27.00048327</v>
      </c>
      <c r="H26" s="20" t="n">
        <v>2.88199948</v>
      </c>
      <c r="I26" s="18" t="n">
        <v>9.17259612</v>
      </c>
      <c r="J26" s="20" t="n">
        <v>1.84177573</v>
      </c>
      <c r="K26" s="18" t="n">
        <v>0</v>
      </c>
      <c r="L26" s="20" t="n">
        <v>0</v>
      </c>
      <c r="M26" s="18" t="n">
        <v>0</v>
      </c>
      <c r="N26" s="20" t="n">
        <v>0</v>
      </c>
      <c r="O26" s="18" t="n">
        <v>0</v>
      </c>
      <c r="P26" s="20" t="n">
        <v>0</v>
      </c>
      <c r="Q26" s="18" t="n">
        <v>0</v>
      </c>
      <c r="R26" s="20" t="n">
        <v>0</v>
      </c>
      <c r="S26" s="18" t="n">
        <v>10.49830175</v>
      </c>
      <c r="T26" s="20" t="n">
        <v>2.06904031</v>
      </c>
    </row>
    <row r="27" spans="1:20">
      <c r="A27" s="15" t="s">
        <v>585</v>
      </c>
      <c r="B27" s="17" t="n">
        <v>2683</v>
      </c>
      <c r="C27" s="18">
        <f>(2380.0/B27*100)</f>
        <v/>
      </c>
      <c r="D27" s="19" t="n">
        <v>303</v>
      </c>
      <c r="E27" s="18" t="n">
        <v>42.38451753</v>
      </c>
      <c r="F27" s="20" t="n">
        <v>2.66636511</v>
      </c>
      <c r="G27" s="18" t="n">
        <v>18.23227469</v>
      </c>
      <c r="H27" s="20" t="n">
        <v>2.25632677</v>
      </c>
      <c r="I27" s="18" t="n">
        <v>11.83176201</v>
      </c>
      <c r="J27" s="20" t="n">
        <v>1.73254427</v>
      </c>
      <c r="K27" s="18" t="n">
        <v>0</v>
      </c>
      <c r="L27" s="20" t="n">
        <v>0</v>
      </c>
      <c r="M27" s="18" t="n">
        <v>0.6542248899999999</v>
      </c>
      <c r="N27" s="20" t="n">
        <v>0.46323932</v>
      </c>
      <c r="O27" s="18" t="n">
        <v>0</v>
      </c>
      <c r="P27" s="20" t="n">
        <v>0</v>
      </c>
      <c r="Q27" s="18" t="n">
        <v>0</v>
      </c>
      <c r="R27" s="20" t="n">
        <v>0</v>
      </c>
      <c r="S27" s="18" t="n">
        <v>26.89722088</v>
      </c>
      <c r="T27" s="20" t="n">
        <v>3.03924107</v>
      </c>
    </row>
    <row r="28" spans="1:20">
      <c r="A28" s="15" t="s">
        <v>586</v>
      </c>
      <c r="B28" s="17" t="n">
        <v>3803</v>
      </c>
      <c r="C28" s="18">
        <f>(3455.0/B28*100)</f>
        <v/>
      </c>
      <c r="D28" s="19" t="n">
        <v>348</v>
      </c>
      <c r="E28" s="18" t="n">
        <v>82.38340185</v>
      </c>
      <c r="F28" s="20" t="n">
        <v>1.91431553</v>
      </c>
      <c r="G28" s="18" t="n">
        <v>7.37273886</v>
      </c>
      <c r="H28" s="20" t="n">
        <v>1.43035331</v>
      </c>
      <c r="I28" s="18" t="n">
        <v>2.95654433</v>
      </c>
      <c r="J28" s="20" t="n">
        <v>0.88963018</v>
      </c>
      <c r="K28" s="18" t="n">
        <v>0</v>
      </c>
      <c r="L28" s="20" t="n">
        <v>0</v>
      </c>
      <c r="M28" s="18" t="n">
        <v>1.11190747</v>
      </c>
      <c r="N28" s="20" t="n">
        <v>0.59585763</v>
      </c>
      <c r="O28" s="18" t="n">
        <v>0</v>
      </c>
      <c r="P28" s="20" t="n">
        <v>0</v>
      </c>
      <c r="Q28" s="18" t="n">
        <v>0</v>
      </c>
      <c r="R28" s="20" t="n">
        <v>0</v>
      </c>
      <c r="S28" s="18" t="n">
        <v>6.17540749</v>
      </c>
      <c r="T28" s="20" t="n">
        <v>1.6971589</v>
      </c>
    </row>
    <row r="29" spans="1:20">
      <c r="A29" s="15" t="s">
        <v>587</v>
      </c>
      <c r="B29" s="17" t="n">
        <v>2700</v>
      </c>
      <c r="C29" s="18">
        <f>(2395.0/B29*100)</f>
        <v/>
      </c>
      <c r="D29" s="19" t="n">
        <v>305</v>
      </c>
      <c r="E29" s="18" t="n">
        <v>47.67592229</v>
      </c>
      <c r="F29" s="20" t="n">
        <v>3.15331146</v>
      </c>
      <c r="G29" s="18" t="n">
        <v>25.49858412</v>
      </c>
      <c r="H29" s="20" t="n">
        <v>3.01533436</v>
      </c>
      <c r="I29" s="18" t="n">
        <v>21.70172508</v>
      </c>
      <c r="J29" s="20" t="n">
        <v>2.07917238</v>
      </c>
      <c r="K29" s="18" t="n">
        <v>0</v>
      </c>
      <c r="L29" s="20" t="n">
        <v>0</v>
      </c>
      <c r="M29" s="18" t="n">
        <v>0.8544184</v>
      </c>
      <c r="N29" s="20" t="n">
        <v>0.46223813</v>
      </c>
      <c r="O29" s="18" t="n">
        <v>0</v>
      </c>
      <c r="P29" s="20" t="n">
        <v>0</v>
      </c>
      <c r="Q29" s="18" t="n">
        <v>0</v>
      </c>
      <c r="R29" s="20" t="n">
        <v>0</v>
      </c>
      <c r="S29" s="18" t="n">
        <v>4.26935011</v>
      </c>
      <c r="T29" s="20" t="n">
        <v>1.28182577</v>
      </c>
    </row>
    <row r="30" spans="1:20">
      <c r="A30" s="15" t="s">
        <v>588</v>
      </c>
      <c r="B30" s="17" t="n">
        <v>2257</v>
      </c>
      <c r="C30" s="18">
        <f>(2021.0/B30*100)</f>
        <v/>
      </c>
      <c r="D30" s="19" t="n">
        <v>236</v>
      </c>
      <c r="E30" s="18" t="n">
        <v>34.06871867</v>
      </c>
      <c r="F30" s="20" t="n">
        <v>3.07491731</v>
      </c>
      <c r="G30" s="18" t="n">
        <v>38.31809915</v>
      </c>
      <c r="H30" s="20" t="n">
        <v>3.51109812</v>
      </c>
      <c r="I30" s="18" t="n">
        <v>13.5383728</v>
      </c>
      <c r="J30" s="20" t="n">
        <v>2.25607056</v>
      </c>
      <c r="K30" s="18" t="n">
        <v>0</v>
      </c>
      <c r="L30" s="20" t="n">
        <v>0</v>
      </c>
      <c r="M30" s="18" t="n">
        <v>0.7940857</v>
      </c>
      <c r="N30" s="20" t="n">
        <v>0.52388199</v>
      </c>
      <c r="O30" s="18" t="n">
        <v>0</v>
      </c>
      <c r="P30" s="20" t="n">
        <v>0</v>
      </c>
      <c r="Q30" s="18" t="n">
        <v>0</v>
      </c>
      <c r="R30" s="20" t="n">
        <v>0</v>
      </c>
      <c r="S30" s="18" t="n">
        <v>13.28072368</v>
      </c>
      <c r="T30" s="20" t="n">
        <v>2.61870337</v>
      </c>
    </row>
    <row r="31" spans="1:20">
      <c r="A31" s="15" t="s">
        <v>589</v>
      </c>
      <c r="B31" s="17" t="n">
        <v>2706</v>
      </c>
      <c r="C31" s="18">
        <f>(2422.0/B31*100)</f>
        <v/>
      </c>
      <c r="D31" s="19" t="n">
        <v>284</v>
      </c>
      <c r="E31" s="18" t="n">
        <v>41.46533135</v>
      </c>
      <c r="F31" s="20" t="n">
        <v>2.31440563</v>
      </c>
      <c r="G31" s="18" t="n">
        <v>23.17021909</v>
      </c>
      <c r="H31" s="20" t="n">
        <v>2.20778828</v>
      </c>
      <c r="I31" s="18" t="n">
        <v>18.01390058</v>
      </c>
      <c r="J31" s="20" t="n">
        <v>2.38452084</v>
      </c>
      <c r="K31" s="18" t="n">
        <v>0</v>
      </c>
      <c r="L31" s="20" t="n">
        <v>0</v>
      </c>
      <c r="M31" s="18" t="n">
        <v>1.64019</v>
      </c>
      <c r="N31" s="20" t="n">
        <v>0.7222200600000001</v>
      </c>
      <c r="O31" s="18" t="n">
        <v>0</v>
      </c>
      <c r="P31" s="20" t="n">
        <v>0</v>
      </c>
      <c r="Q31" s="18" t="n">
        <v>0</v>
      </c>
      <c r="R31" s="20" t="n">
        <v>0</v>
      </c>
      <c r="S31" s="18" t="n">
        <v>15.71035898</v>
      </c>
      <c r="T31" s="20" t="n">
        <v>1.97576543</v>
      </c>
    </row>
    <row r="32" spans="1:20">
      <c r="A32" s="15" t="s">
        <v>590</v>
      </c>
      <c r="B32" s="17" t="n">
        <v>2209</v>
      </c>
      <c r="C32" s="18">
        <f>(1969.0/B32*100)</f>
        <v/>
      </c>
      <c r="D32" s="19" t="n">
        <v>240</v>
      </c>
      <c r="E32" s="18" t="n">
        <v>47.86773636</v>
      </c>
      <c r="F32" s="20" t="n">
        <v>3.30226763</v>
      </c>
      <c r="G32" s="18" t="n">
        <v>18.81366185</v>
      </c>
      <c r="H32" s="20" t="n">
        <v>2.968578</v>
      </c>
      <c r="I32" s="18" t="n">
        <v>13.54351687</v>
      </c>
      <c r="J32" s="20" t="n">
        <v>2.75388407</v>
      </c>
      <c r="K32" s="18" t="n">
        <v>0</v>
      </c>
      <c r="L32" s="20" t="n">
        <v>0</v>
      </c>
      <c r="M32" s="18" t="n">
        <v>0.83169505</v>
      </c>
      <c r="N32" s="20" t="n">
        <v>0.5705968</v>
      </c>
      <c r="O32" s="18" t="n">
        <v>0</v>
      </c>
      <c r="P32" s="20" t="n">
        <v>0</v>
      </c>
      <c r="Q32" s="18" t="n">
        <v>0</v>
      </c>
      <c r="R32" s="20" t="n">
        <v>0</v>
      </c>
      <c r="S32" s="18" t="n">
        <v>18.94338987</v>
      </c>
      <c r="T32" s="20" t="n">
        <v>2.75542733</v>
      </c>
    </row>
    <row r="33" spans="1:20">
      <c r="A33" s="15" t="s">
        <v>591</v>
      </c>
      <c r="B33" s="17" t="n">
        <v>3651</v>
      </c>
      <c r="C33" s="18">
        <f>(3276.0/B33*100)</f>
        <v/>
      </c>
      <c r="D33" s="19" t="n">
        <v>375</v>
      </c>
      <c r="E33" s="18" t="n">
        <v>50.40296922</v>
      </c>
      <c r="F33" s="20" t="n">
        <v>3.3839858</v>
      </c>
      <c r="G33" s="18" t="n">
        <v>26.16337801</v>
      </c>
      <c r="H33" s="20" t="n">
        <v>3.14673515</v>
      </c>
      <c r="I33" s="18" t="n">
        <v>8.02742228</v>
      </c>
      <c r="J33" s="20" t="n">
        <v>1.39229316</v>
      </c>
      <c r="K33" s="18" t="n">
        <v>0</v>
      </c>
      <c r="L33" s="20" t="n">
        <v>0</v>
      </c>
      <c r="M33" s="18" t="n">
        <v>0</v>
      </c>
      <c r="N33" s="20" t="n">
        <v>0</v>
      </c>
      <c r="O33" s="18" t="n">
        <v>0</v>
      </c>
      <c r="P33" s="20" t="n">
        <v>0</v>
      </c>
      <c r="Q33" s="18" t="n">
        <v>0</v>
      </c>
      <c r="R33" s="20" t="n">
        <v>0</v>
      </c>
      <c r="S33" s="18" t="n">
        <v>15.40623049</v>
      </c>
      <c r="T33" s="20" t="n">
        <v>2.02770169</v>
      </c>
    </row>
    <row r="34" spans="1:20">
      <c r="A34" s="15" t="s">
        <v>592</v>
      </c>
      <c r="B34" s="17" t="n">
        <v>3035</v>
      </c>
      <c r="C34" s="18">
        <f>(2731.0/B34*100)</f>
        <v/>
      </c>
      <c r="D34" s="19" t="n">
        <v>304</v>
      </c>
      <c r="E34" s="18" t="n">
        <v>50.28297896</v>
      </c>
      <c r="F34" s="20" t="n">
        <v>3.06811396</v>
      </c>
      <c r="G34" s="18" t="n">
        <v>12.27596268</v>
      </c>
      <c r="H34" s="20" t="n">
        <v>2.05864036</v>
      </c>
      <c r="I34" s="18" t="n">
        <v>10.53189177</v>
      </c>
      <c r="J34" s="20" t="n">
        <v>1.90697669</v>
      </c>
      <c r="K34" s="18" t="n">
        <v>0</v>
      </c>
      <c r="L34" s="20" t="n">
        <v>0</v>
      </c>
      <c r="M34" s="18" t="n">
        <v>0.44885476</v>
      </c>
      <c r="N34" s="20" t="n">
        <v>0.25194863</v>
      </c>
      <c r="O34" s="18" t="n">
        <v>0</v>
      </c>
      <c r="P34" s="20" t="n">
        <v>0</v>
      </c>
      <c r="Q34" s="18" t="n">
        <v>0</v>
      </c>
      <c r="R34" s="20" t="n">
        <v>0</v>
      </c>
      <c r="S34" s="18" t="n">
        <v>26.46031184</v>
      </c>
      <c r="T34" s="20" t="n">
        <v>2.57616788</v>
      </c>
    </row>
    <row r="35" spans="1:20">
      <c r="A35" s="15" t="s">
        <v>593</v>
      </c>
      <c r="B35" s="17" t="n">
        <v>2901</v>
      </c>
      <c r="C35" s="18">
        <f>(2577.0/B35*100)</f>
        <v/>
      </c>
      <c r="D35" s="19" t="n">
        <v>324</v>
      </c>
      <c r="E35" s="18" t="n">
        <v>47.75256292</v>
      </c>
      <c r="F35" s="20" t="n">
        <v>3.39731879</v>
      </c>
      <c r="G35" s="18" t="n">
        <v>23.92563582</v>
      </c>
      <c r="H35" s="20" t="n">
        <v>3.03677225</v>
      </c>
      <c r="I35" s="18" t="n">
        <v>10.57508898</v>
      </c>
      <c r="J35" s="20" t="n">
        <v>1.90869969</v>
      </c>
      <c r="K35" s="18" t="n">
        <v>0</v>
      </c>
      <c r="L35" s="20" t="n">
        <v>0</v>
      </c>
      <c r="M35" s="18" t="n">
        <v>0</v>
      </c>
      <c r="N35" s="20" t="n">
        <v>0</v>
      </c>
      <c r="O35" s="18" t="n">
        <v>0</v>
      </c>
      <c r="P35" s="20" t="n">
        <v>0</v>
      </c>
      <c r="Q35" s="18" t="n">
        <v>0</v>
      </c>
      <c r="R35" s="20" t="n">
        <v>0</v>
      </c>
      <c r="S35" s="18" t="n">
        <v>17.74671228</v>
      </c>
      <c r="T35" s="20" t="n">
        <v>2.36585138</v>
      </c>
    </row>
    <row r="36" spans="1:20">
      <c r="A36" s="15" t="s">
        <v>594</v>
      </c>
      <c r="B36" s="17" t="n">
        <v>3404</v>
      </c>
      <c r="C36" s="18">
        <f>(3047.0/B36*100)</f>
        <v/>
      </c>
      <c r="D36" s="19" t="n">
        <v>357</v>
      </c>
      <c r="E36" s="18" t="n">
        <v>49.92335863</v>
      </c>
      <c r="F36" s="20" t="n">
        <v>2.40440528</v>
      </c>
      <c r="G36" s="18" t="n">
        <v>19.11879415</v>
      </c>
      <c r="H36" s="20" t="n">
        <v>1.78481675</v>
      </c>
      <c r="I36" s="18" t="n">
        <v>13.04202071</v>
      </c>
      <c r="J36" s="20" t="n">
        <v>1.71498171</v>
      </c>
      <c r="K36" s="18" t="n">
        <v>0</v>
      </c>
      <c r="L36" s="20" t="n">
        <v>0</v>
      </c>
      <c r="M36" s="18" t="n">
        <v>0</v>
      </c>
      <c r="N36" s="20" t="n">
        <v>0</v>
      </c>
      <c r="O36" s="18" t="n">
        <v>0</v>
      </c>
      <c r="P36" s="20" t="n">
        <v>0</v>
      </c>
      <c r="Q36" s="18" t="n">
        <v>0</v>
      </c>
      <c r="R36" s="20" t="n">
        <v>0</v>
      </c>
      <c r="S36" s="18" t="n">
        <v>17.91582651</v>
      </c>
      <c r="T36" s="20" t="n">
        <v>2.21328209</v>
      </c>
    </row>
    <row r="37" spans="1:20">
      <c r="A37" s="15" t="s">
        <v>595</v>
      </c>
      <c r="B37" s="17" t="n">
        <v>2731</v>
      </c>
      <c r="C37" s="18">
        <f>(2450.0/B37*100)</f>
        <v/>
      </c>
      <c r="D37" s="19" t="n">
        <v>281</v>
      </c>
      <c r="E37" s="18" t="n">
        <v>41.91189272</v>
      </c>
      <c r="F37" s="20" t="n">
        <v>2.81922601</v>
      </c>
      <c r="G37" s="18" t="n">
        <v>24.65784858</v>
      </c>
      <c r="H37" s="20" t="n">
        <v>2.86149843</v>
      </c>
      <c r="I37" s="18" t="n">
        <v>11.61674969</v>
      </c>
      <c r="J37" s="20" t="n">
        <v>2.16499186</v>
      </c>
      <c r="K37" s="18" t="n">
        <v>0</v>
      </c>
      <c r="L37" s="20" t="n">
        <v>0</v>
      </c>
      <c r="M37" s="18" t="n">
        <v>0.59722349</v>
      </c>
      <c r="N37" s="20" t="n">
        <v>0.59694905</v>
      </c>
      <c r="O37" s="18" t="n">
        <v>0</v>
      </c>
      <c r="P37" s="20" t="n">
        <v>0</v>
      </c>
      <c r="Q37" s="18" t="n">
        <v>0</v>
      </c>
      <c r="R37" s="20" t="n">
        <v>0</v>
      </c>
      <c r="S37" s="18" t="n">
        <v>21.21628553</v>
      </c>
      <c r="T37" s="20" t="n">
        <v>2.54809599</v>
      </c>
    </row>
    <row r="38" spans="1:20">
      <c r="A38" s="15" t="s">
        <v>596</v>
      </c>
      <c r="B38" s="17" t="n">
        <v>2807</v>
      </c>
      <c r="C38" s="18">
        <f>(2520.0/B38*100)</f>
        <v/>
      </c>
      <c r="D38" s="19" t="n">
        <v>287</v>
      </c>
      <c r="E38" s="18" t="n">
        <v>40.57561859</v>
      </c>
      <c r="F38" s="20" t="n">
        <v>3.20186698</v>
      </c>
      <c r="G38" s="18" t="n">
        <v>21.07635438</v>
      </c>
      <c r="H38" s="20" t="n">
        <v>2.29126756</v>
      </c>
      <c r="I38" s="18" t="n">
        <v>14.87476623</v>
      </c>
      <c r="J38" s="20" t="n">
        <v>2.25811337</v>
      </c>
      <c r="K38" s="18" t="n">
        <v>0</v>
      </c>
      <c r="L38" s="20" t="n">
        <v>0</v>
      </c>
      <c r="M38" s="18" t="n">
        <v>0.95432092</v>
      </c>
      <c r="N38" s="20" t="n">
        <v>0.5533164</v>
      </c>
      <c r="O38" s="18" t="n">
        <v>3.19345182</v>
      </c>
      <c r="P38" s="20" t="n">
        <v>1.11467419</v>
      </c>
      <c r="Q38" s="18" t="n">
        <v>0</v>
      </c>
      <c r="R38" s="20" t="n">
        <v>0</v>
      </c>
      <c r="S38" s="18" t="n">
        <v>19.32548806</v>
      </c>
      <c r="T38" s="20" t="n">
        <v>2.80434837</v>
      </c>
    </row>
    <row r="39" spans="1:20">
      <c r="A39" s="15" t="s">
        <v>597</v>
      </c>
      <c r="B39" s="17" t="n">
        <v>2938</v>
      </c>
      <c r="C39" s="18">
        <f>(2613.0/B39*100)</f>
        <v/>
      </c>
      <c r="D39" s="19" t="n">
        <v>325</v>
      </c>
      <c r="E39" s="18" t="n">
        <v>61.35739122</v>
      </c>
      <c r="F39" s="20" t="n">
        <v>2.38210749</v>
      </c>
      <c r="G39" s="18" t="n">
        <v>16.51392104</v>
      </c>
      <c r="H39" s="20" t="n">
        <v>2.65885947</v>
      </c>
      <c r="I39" s="18" t="n">
        <v>2.10138314</v>
      </c>
      <c r="J39" s="20" t="n">
        <v>0.89902368</v>
      </c>
      <c r="K39" s="18" t="n">
        <v>0</v>
      </c>
      <c r="L39" s="20" t="n">
        <v>0</v>
      </c>
      <c r="M39" s="18" t="n">
        <v>0</v>
      </c>
      <c r="N39" s="20" t="n">
        <v>0</v>
      </c>
      <c r="O39" s="18" t="n">
        <v>0</v>
      </c>
      <c r="P39" s="20" t="n">
        <v>0</v>
      </c>
      <c r="Q39" s="18" t="n">
        <v>0</v>
      </c>
      <c r="R39" s="20" t="n">
        <v>0</v>
      </c>
      <c r="S39" s="18" t="n">
        <v>20.02730461</v>
      </c>
      <c r="T39" s="20" t="n">
        <v>2.09804515</v>
      </c>
    </row>
    <row r="40" spans="1:20">
      <c r="A40" s="15" t="s">
        <v>598</v>
      </c>
      <c r="B40" s="17" t="n">
        <v>6922</v>
      </c>
      <c r="C40" s="18">
        <f>(6189.0/B40*100)</f>
        <v/>
      </c>
      <c r="D40" s="19" t="n">
        <v>733</v>
      </c>
      <c r="E40" s="18" t="n">
        <v>36.86587819</v>
      </c>
      <c r="F40" s="20" t="n">
        <v>3.01795655</v>
      </c>
      <c r="G40" s="18" t="n">
        <v>36.38532609</v>
      </c>
      <c r="H40" s="20" t="n">
        <v>3.13952265</v>
      </c>
      <c r="I40" s="18" t="n">
        <v>17.66071533</v>
      </c>
      <c r="J40" s="20" t="n">
        <v>2.31059274</v>
      </c>
      <c r="K40" s="18" t="n">
        <v>0</v>
      </c>
      <c r="L40" s="20" t="n">
        <v>0</v>
      </c>
      <c r="M40" s="18" t="n">
        <v>0.23447028</v>
      </c>
      <c r="N40" s="20" t="n">
        <v>0.13310594</v>
      </c>
      <c r="O40" s="18" t="n">
        <v>0</v>
      </c>
      <c r="P40" s="20" t="n">
        <v>0</v>
      </c>
      <c r="Q40" s="18" t="n">
        <v>0</v>
      </c>
      <c r="R40" s="20" t="n">
        <v>0</v>
      </c>
      <c r="S40" s="18" t="n">
        <v>8.853610120000001</v>
      </c>
      <c r="T40" s="20" t="n">
        <v>1.46996716</v>
      </c>
    </row>
    <row r="41" spans="1:20">
      <c r="A41" s="15" t="s">
        <v>599</v>
      </c>
      <c r="B41" s="17" t="n">
        <v>2854</v>
      </c>
      <c r="C41" s="18">
        <f>(2559.0/B41*100)</f>
        <v/>
      </c>
      <c r="D41" s="19" t="n">
        <v>295</v>
      </c>
      <c r="E41" s="18" t="n">
        <v>51.19228324</v>
      </c>
      <c r="F41" s="20" t="n">
        <v>3.24075791</v>
      </c>
      <c r="G41" s="18" t="n">
        <v>25.99010005</v>
      </c>
      <c r="H41" s="20" t="n">
        <v>2.84728993</v>
      </c>
      <c r="I41" s="18" t="n">
        <v>18.78725405</v>
      </c>
      <c r="J41" s="20" t="n">
        <v>2.49646575</v>
      </c>
      <c r="K41" s="18" t="n">
        <v>0</v>
      </c>
      <c r="L41" s="20" t="n">
        <v>0</v>
      </c>
      <c r="M41" s="18" t="n">
        <v>0</v>
      </c>
      <c r="N41" s="20" t="n">
        <v>0</v>
      </c>
      <c r="O41" s="18" t="n">
        <v>0</v>
      </c>
      <c r="P41" s="20" t="n">
        <v>0</v>
      </c>
      <c r="Q41" s="18" t="n">
        <v>0</v>
      </c>
      <c r="R41" s="20" t="n">
        <v>0</v>
      </c>
      <c r="S41" s="18" t="n">
        <v>4.03036266</v>
      </c>
      <c r="T41" s="20" t="n">
        <v>1.1810801</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12073</v>
      </c>
      <c r="C46" s="18">
        <f>(11162.0/B46*100)</f>
        <v/>
      </c>
      <c r="D46" s="19" t="n">
        <v>911</v>
      </c>
      <c r="E46" s="18" t="n">
        <v>64.34298314</v>
      </c>
      <c r="F46" s="20" t="n">
        <v>1.75591819</v>
      </c>
      <c r="G46" s="18" t="n">
        <v>6.66057133</v>
      </c>
      <c r="H46" s="20" t="n">
        <v>1.01167112</v>
      </c>
      <c r="I46" s="18" t="n">
        <v>1.56189447</v>
      </c>
      <c r="J46" s="20" t="n">
        <v>0.51794631</v>
      </c>
      <c r="K46" s="18" t="n">
        <v>0</v>
      </c>
      <c r="L46" s="20" t="n">
        <v>0</v>
      </c>
      <c r="M46" s="18" t="n">
        <v>2.66135966</v>
      </c>
      <c r="N46" s="20" t="n">
        <v>0.74825655</v>
      </c>
      <c r="O46" s="18" t="n">
        <v>0.1563723</v>
      </c>
      <c r="P46" s="20" t="n">
        <v>0.13051763</v>
      </c>
      <c r="Q46" s="18" t="n">
        <v>0</v>
      </c>
      <c r="R46" s="20" t="n">
        <v>0</v>
      </c>
      <c r="S46" s="18" t="n">
        <v>24.6168191</v>
      </c>
      <c r="T46" s="20" t="n">
        <v>1.61336874</v>
      </c>
    </row>
    <row r="47" spans="1:20">
      <c r="A47" s="15" t="s">
        <v>606</v>
      </c>
      <c r="B47" s="17" t="n">
        <v>2823</v>
      </c>
      <c r="C47" s="18">
        <f>(2529.0/B47*100)</f>
        <v/>
      </c>
      <c r="D47" s="19" t="n">
        <v>294</v>
      </c>
      <c r="E47" s="18" t="n">
        <v>44.04304643</v>
      </c>
      <c r="F47" s="20" t="n">
        <v>2.63885484</v>
      </c>
      <c r="G47" s="18" t="n">
        <v>11.83342287</v>
      </c>
      <c r="H47" s="20" t="n">
        <v>1.95303019</v>
      </c>
      <c r="I47" s="18" t="n">
        <v>5.14854084</v>
      </c>
      <c r="J47" s="20" t="n">
        <v>1.08557206</v>
      </c>
      <c r="K47" s="18" t="n">
        <v>0</v>
      </c>
      <c r="L47" s="20" t="n">
        <v>0</v>
      </c>
      <c r="M47" s="18" t="n">
        <v>3.0753358</v>
      </c>
      <c r="N47" s="20" t="n">
        <v>1.14261976</v>
      </c>
      <c r="O47" s="18" t="n">
        <v>0</v>
      </c>
      <c r="P47" s="20" t="n">
        <v>0</v>
      </c>
      <c r="Q47" s="18" t="n">
        <v>0</v>
      </c>
      <c r="R47" s="20" t="n">
        <v>0</v>
      </c>
      <c r="S47" s="18" t="n">
        <v>35.89965406</v>
      </c>
      <c r="T47" s="20" t="n">
        <v>2.90033905</v>
      </c>
    </row>
    <row r="48" spans="1:20">
      <c r="A48" s="15" t="s">
        <v>607</v>
      </c>
      <c r="B48" s="17" t="n">
        <v>4682</v>
      </c>
      <c r="C48" s="18">
        <f>(4191.0/B48*100)</f>
        <v/>
      </c>
      <c r="D48" s="19" t="n">
        <v>491</v>
      </c>
      <c r="E48" s="18" t="n">
        <v>42.06270312</v>
      </c>
      <c r="F48" s="20" t="n">
        <v>2.96524598</v>
      </c>
      <c r="G48" s="18" t="n">
        <v>17.82398362</v>
      </c>
      <c r="H48" s="20" t="n">
        <v>3.37057057</v>
      </c>
      <c r="I48" s="18" t="n">
        <v>22.63867327</v>
      </c>
      <c r="J48" s="20" t="n">
        <v>2.47848312</v>
      </c>
      <c r="K48" s="18" t="n">
        <v>0</v>
      </c>
      <c r="L48" s="20" t="n">
        <v>0</v>
      </c>
      <c r="M48" s="18" t="n">
        <v>0.92139122</v>
      </c>
      <c r="N48" s="20" t="n">
        <v>0.6793649899999999</v>
      </c>
      <c r="O48" s="18" t="n">
        <v>0.01787039</v>
      </c>
      <c r="P48" s="20" t="n">
        <v>0.01718276</v>
      </c>
      <c r="Q48" s="18" t="n">
        <v>0</v>
      </c>
      <c r="R48" s="20" t="n">
        <v>0</v>
      </c>
      <c r="S48" s="18" t="n">
        <v>16.53537839</v>
      </c>
      <c r="T48" s="20" t="n">
        <v>2.54695513</v>
      </c>
    </row>
    <row r="49" spans="1:20">
      <c r="A49" s="15" t="s">
        <v>608</v>
      </c>
      <c r="B49" s="17" t="n">
        <v>6158</v>
      </c>
      <c r="C49" s="18">
        <f>(5517.0/B49*100)</f>
        <v/>
      </c>
      <c r="D49" s="19" t="n">
        <v>641</v>
      </c>
      <c r="E49" s="18" t="n">
        <v>70.97206686</v>
      </c>
      <c r="F49" s="20" t="n">
        <v>2.19342895</v>
      </c>
      <c r="G49" s="18" t="n">
        <v>13.37024127</v>
      </c>
      <c r="H49" s="20" t="n">
        <v>1.52214256</v>
      </c>
      <c r="I49" s="18" t="n">
        <v>3.53481512</v>
      </c>
      <c r="J49" s="20" t="n">
        <v>0.85895785</v>
      </c>
      <c r="K49" s="18" t="n">
        <v>0</v>
      </c>
      <c r="L49" s="20" t="n">
        <v>0</v>
      </c>
      <c r="M49" s="18" t="n">
        <v>2.75570434</v>
      </c>
      <c r="N49" s="20" t="n">
        <v>0.84431557</v>
      </c>
      <c r="O49" s="18" t="n">
        <v>0.1578722</v>
      </c>
      <c r="P49" s="20" t="n">
        <v>0.11023694</v>
      </c>
      <c r="Q49" s="18" t="n">
        <v>0</v>
      </c>
      <c r="R49" s="20" t="n">
        <v>0</v>
      </c>
      <c r="S49" s="18" t="n">
        <v>9.20930021</v>
      </c>
      <c r="T49" s="20" t="n">
        <v>1.25445393</v>
      </c>
    </row>
    <row r="50" spans="1:20">
      <c r="A50" s="15" t="s">
        <v>609</v>
      </c>
      <c r="B50" s="17" t="n">
        <v>3494</v>
      </c>
      <c r="C50" s="18">
        <f>(3182.0/B50*100)</f>
        <v/>
      </c>
      <c r="D50" s="19" t="n">
        <v>312</v>
      </c>
      <c r="E50" s="18" t="n">
        <v>63.48588511</v>
      </c>
      <c r="F50" s="20" t="n">
        <v>3.02238587</v>
      </c>
      <c r="G50" s="18" t="n">
        <v>18.93395739</v>
      </c>
      <c r="H50" s="20" t="n">
        <v>2.44138115</v>
      </c>
      <c r="I50" s="18" t="n">
        <v>2.067669</v>
      </c>
      <c r="J50" s="20" t="n">
        <v>0.7940324600000001</v>
      </c>
      <c r="K50" s="18" t="n">
        <v>0</v>
      </c>
      <c r="L50" s="20" t="n">
        <v>0</v>
      </c>
      <c r="M50" s="18" t="n">
        <v>0.59105297</v>
      </c>
      <c r="N50" s="20" t="n">
        <v>0.43992116</v>
      </c>
      <c r="O50" s="18" t="n">
        <v>0</v>
      </c>
      <c r="P50" s="20" t="n">
        <v>0</v>
      </c>
      <c r="Q50" s="18" t="n">
        <v>0</v>
      </c>
      <c r="R50" s="20" t="n">
        <v>0</v>
      </c>
      <c r="S50" s="18" t="n">
        <v>14.92143554</v>
      </c>
      <c r="T50" s="20" t="n">
        <v>1.9754537</v>
      </c>
    </row>
    <row r="51" spans="1:20">
      <c r="A51" s="15" t="s">
        <v>610</v>
      </c>
      <c r="B51" s="17" t="n">
        <v>3013</v>
      </c>
      <c r="C51" s="18">
        <f>(2703.0/B51*100)</f>
        <v/>
      </c>
      <c r="D51" s="19" t="n">
        <v>310</v>
      </c>
      <c r="E51" s="18" t="n">
        <v>50.2960905</v>
      </c>
      <c r="F51" s="20" t="n">
        <v>2.55076936</v>
      </c>
      <c r="G51" s="18" t="n">
        <v>19.82982489</v>
      </c>
      <c r="H51" s="20" t="n">
        <v>2.48324539</v>
      </c>
      <c r="I51" s="18" t="n">
        <v>6.57311441</v>
      </c>
      <c r="J51" s="20" t="n">
        <v>1.45523422</v>
      </c>
      <c r="K51" s="18" t="n">
        <v>0</v>
      </c>
      <c r="L51" s="20" t="n">
        <v>0</v>
      </c>
      <c r="M51" s="18" t="n">
        <v>0.36296259</v>
      </c>
      <c r="N51" s="20" t="n">
        <v>0.35192389</v>
      </c>
      <c r="O51" s="18" t="n">
        <v>0</v>
      </c>
      <c r="P51" s="20" t="n">
        <v>0</v>
      </c>
      <c r="Q51" s="18" t="n">
        <v>0</v>
      </c>
      <c r="R51" s="20" t="n">
        <v>0</v>
      </c>
      <c r="S51" s="18" t="n">
        <v>22.93800761</v>
      </c>
      <c r="T51" s="20" t="n">
        <v>2.67987158</v>
      </c>
    </row>
    <row r="52" spans="1:20">
      <c r="A52" s="15" t="s">
        <v>611</v>
      </c>
      <c r="B52" s="17" t="n">
        <v>2760</v>
      </c>
      <c r="C52" s="18">
        <f>(2470.0/B52*100)</f>
        <v/>
      </c>
      <c r="D52" s="19" t="n">
        <v>290</v>
      </c>
      <c r="E52" s="18" t="n">
        <v>43.66783227</v>
      </c>
      <c r="F52" s="20" t="n">
        <v>3.48164926</v>
      </c>
      <c r="G52" s="18" t="n">
        <v>21.75097122</v>
      </c>
      <c r="H52" s="20" t="n">
        <v>2.6945577</v>
      </c>
      <c r="I52" s="18" t="n">
        <v>8.52763231</v>
      </c>
      <c r="J52" s="20" t="n">
        <v>1.83568115</v>
      </c>
      <c r="K52" s="18" t="n">
        <v>0</v>
      </c>
      <c r="L52" s="20" t="n">
        <v>0</v>
      </c>
      <c r="M52" s="18" t="n">
        <v>0.74119434</v>
      </c>
      <c r="N52" s="20" t="n">
        <v>0.5370134</v>
      </c>
      <c r="O52" s="18" t="n">
        <v>0</v>
      </c>
      <c r="P52" s="20" t="n">
        <v>0</v>
      </c>
      <c r="Q52" s="18" t="n">
        <v>0</v>
      </c>
      <c r="R52" s="20" t="n">
        <v>0</v>
      </c>
      <c r="S52" s="18" t="n">
        <v>25.31236986</v>
      </c>
      <c r="T52" s="20" t="n">
        <v>2.31958277</v>
      </c>
    </row>
    <row r="53" spans="1:20">
      <c r="A53" s="15" t="s">
        <v>612</v>
      </c>
      <c r="B53" s="17" t="n">
        <v>2474</v>
      </c>
      <c r="C53" s="18">
        <f>(2187.0/B53*100)</f>
        <v/>
      </c>
      <c r="D53" s="19" t="n">
        <v>287</v>
      </c>
      <c r="E53" s="18" t="n">
        <v>46.76508515</v>
      </c>
      <c r="F53" s="20" t="n">
        <v>2.94298379</v>
      </c>
      <c r="G53" s="18" t="n">
        <v>2.64430001</v>
      </c>
      <c r="H53" s="20" t="n">
        <v>1.11660256</v>
      </c>
      <c r="I53" s="18" t="n">
        <v>1.78697627</v>
      </c>
      <c r="J53" s="20" t="n">
        <v>0.80632316</v>
      </c>
      <c r="K53" s="18" t="n">
        <v>0</v>
      </c>
      <c r="L53" s="20" t="n">
        <v>0</v>
      </c>
      <c r="M53" s="18" t="n">
        <v>26.21521706</v>
      </c>
      <c r="N53" s="20" t="n">
        <v>2.62795931</v>
      </c>
      <c r="O53" s="18" t="n">
        <v>0.38797207</v>
      </c>
      <c r="P53" s="20" t="n">
        <v>0.42140894</v>
      </c>
      <c r="Q53" s="18" t="n">
        <v>0</v>
      </c>
      <c r="R53" s="20" t="n">
        <v>0</v>
      </c>
      <c r="S53" s="18" t="n">
        <v>22.20044945</v>
      </c>
      <c r="T53" s="20" t="n">
        <v>2.98881333</v>
      </c>
    </row>
    <row r="54" spans="1:20">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2675</v>
      </c>
      <c r="C55" s="18">
        <f>(2396.0/B55*100)</f>
        <v/>
      </c>
      <c r="D55" s="19" t="n">
        <v>279</v>
      </c>
      <c r="E55" s="18" t="n">
        <v>33.81679323</v>
      </c>
      <c r="F55" s="20" t="n">
        <v>2.93995728</v>
      </c>
      <c r="G55" s="18" t="n">
        <v>33.88027568</v>
      </c>
      <c r="H55" s="20" t="n">
        <v>2.56557108</v>
      </c>
      <c r="I55" s="18" t="n">
        <v>22.67536838</v>
      </c>
      <c r="J55" s="20" t="n">
        <v>2.83526003</v>
      </c>
      <c r="K55" s="18" t="n">
        <v>0</v>
      </c>
      <c r="L55" s="20" t="n">
        <v>0</v>
      </c>
      <c r="M55" s="18" t="n">
        <v>0</v>
      </c>
      <c r="N55" s="20" t="n">
        <v>0</v>
      </c>
      <c r="O55" s="18" t="n">
        <v>0</v>
      </c>
      <c r="P55" s="20" t="n">
        <v>0</v>
      </c>
      <c r="Q55" s="18" t="n">
        <v>0</v>
      </c>
      <c r="R55" s="20" t="n">
        <v>0</v>
      </c>
      <c r="S55" s="18" t="n">
        <v>9.62756272</v>
      </c>
      <c r="T55" s="20" t="n">
        <v>1.839583</v>
      </c>
    </row>
    <row r="56" spans="1:20">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3201</v>
      </c>
      <c r="C61" s="18">
        <f>(2843.0/B61*100)</f>
        <v/>
      </c>
      <c r="D61" s="19" t="n">
        <v>358</v>
      </c>
      <c r="E61" s="18" t="n">
        <v>54.38925598</v>
      </c>
      <c r="F61" s="20" t="n">
        <v>2.75915173</v>
      </c>
      <c r="G61" s="18" t="n">
        <v>20.51172292</v>
      </c>
      <c r="H61" s="20" t="n">
        <v>2.50644268</v>
      </c>
      <c r="I61" s="18" t="n">
        <v>8.99323848</v>
      </c>
      <c r="J61" s="20" t="n">
        <v>1.49044729</v>
      </c>
      <c r="K61" s="18" t="n">
        <v>0</v>
      </c>
      <c r="L61" s="20" t="n">
        <v>0</v>
      </c>
      <c r="M61" s="18" t="n">
        <v>0.37408077</v>
      </c>
      <c r="N61" s="20" t="n">
        <v>0.22894246</v>
      </c>
      <c r="O61" s="18" t="n">
        <v>0</v>
      </c>
      <c r="P61" s="20" t="n">
        <v>0</v>
      </c>
      <c r="Q61" s="18" t="n">
        <v>0</v>
      </c>
      <c r="R61" s="20" t="n">
        <v>0</v>
      </c>
      <c r="S61" s="18" t="n">
        <v>15.73170185</v>
      </c>
      <c r="T61" s="20" t="n">
        <v>1.70803232</v>
      </c>
    </row>
    <row r="62" spans="1:20">
      <c r="A62" s="15" t="s">
        <v>622</v>
      </c>
      <c r="B62" s="17" t="n">
        <v>2230</v>
      </c>
      <c r="C62" s="18">
        <f>(2017.0/B62*100)</f>
        <v/>
      </c>
      <c r="D62" s="19" t="n">
        <v>213</v>
      </c>
      <c r="E62" s="18" t="n">
        <v>54.02024705</v>
      </c>
      <c r="F62" s="20" t="n">
        <v>3.35625128</v>
      </c>
      <c r="G62" s="18" t="n">
        <v>21.08258395</v>
      </c>
      <c r="H62" s="20" t="n">
        <v>2.88118222</v>
      </c>
      <c r="I62" s="18" t="n">
        <v>19.73854962</v>
      </c>
      <c r="J62" s="20" t="n">
        <v>2.75865207</v>
      </c>
      <c r="K62" s="18" t="n">
        <v>0</v>
      </c>
      <c r="L62" s="20" t="n">
        <v>0</v>
      </c>
      <c r="M62" s="18" t="n">
        <v>0</v>
      </c>
      <c r="N62" s="20" t="n">
        <v>0</v>
      </c>
      <c r="O62" s="18" t="n">
        <v>0</v>
      </c>
      <c r="P62" s="20" t="n">
        <v>0</v>
      </c>
      <c r="Q62" s="18" t="n">
        <v>0</v>
      </c>
      <c r="R62" s="20" t="n">
        <v>0</v>
      </c>
      <c r="S62" s="18" t="n">
        <v>5.15861938</v>
      </c>
      <c r="T62" s="20" t="n">
        <v>1.51230227</v>
      </c>
    </row>
    <row r="63" spans="1:20">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2771</v>
      </c>
      <c r="C67" s="18">
        <f>(2474.0/B67*100)</f>
        <v/>
      </c>
      <c r="D67" s="19" t="n">
        <v>297</v>
      </c>
      <c r="E67" s="18" t="n">
        <v>26.37108204</v>
      </c>
      <c r="F67" s="20" t="n">
        <v>2.37571809</v>
      </c>
      <c r="G67" s="18" t="n">
        <v>22.68102339</v>
      </c>
      <c r="H67" s="20" t="n">
        <v>2.48230896</v>
      </c>
      <c r="I67" s="18" t="n">
        <v>6.64102918</v>
      </c>
      <c r="J67" s="20" t="n">
        <v>1.38166149</v>
      </c>
      <c r="K67" s="18" t="n">
        <v>0</v>
      </c>
      <c r="L67" s="20" t="n">
        <v>0</v>
      </c>
      <c r="M67" s="18" t="n">
        <v>1.51176117</v>
      </c>
      <c r="N67" s="20" t="n">
        <v>0.67990319</v>
      </c>
      <c r="O67" s="18" t="n">
        <v>0.30027089</v>
      </c>
      <c r="P67" s="20" t="n">
        <v>0.2960704</v>
      </c>
      <c r="Q67" s="18" t="n">
        <v>0</v>
      </c>
      <c r="R67" s="20" t="n">
        <v>0</v>
      </c>
      <c r="S67" s="18" t="n">
        <v>42.49483333</v>
      </c>
      <c r="T67" s="20" t="n">
        <v>2.50112375</v>
      </c>
    </row>
    <row r="68" spans="1:20">
      <c r="A68" s="15" t="s">
        <v>628</v>
      </c>
      <c r="B68" s="17" t="n">
        <v>3460</v>
      </c>
      <c r="C68" s="18">
        <f>(3167.0/B68*100)</f>
        <v/>
      </c>
      <c r="D68" s="19" t="n">
        <v>293</v>
      </c>
      <c r="E68" s="18" t="n">
        <v>81.75462308</v>
      </c>
      <c r="F68" s="20" t="n">
        <v>2.38101222</v>
      </c>
      <c r="G68" s="18" t="n">
        <v>1.89179344</v>
      </c>
      <c r="H68" s="20" t="n">
        <v>0.86209209</v>
      </c>
      <c r="I68" s="18" t="n">
        <v>2.04688687</v>
      </c>
      <c r="J68" s="20" t="n">
        <v>0.8997311099999999</v>
      </c>
      <c r="K68" s="18" t="n">
        <v>0</v>
      </c>
      <c r="L68" s="20" t="n">
        <v>0</v>
      </c>
      <c r="M68" s="18" t="n">
        <v>0.30027565</v>
      </c>
      <c r="N68" s="20" t="n">
        <v>0.29623975</v>
      </c>
      <c r="O68" s="18" t="n">
        <v>0.61317308</v>
      </c>
      <c r="P68" s="20" t="n">
        <v>0.56192796</v>
      </c>
      <c r="Q68" s="18" t="n">
        <v>0</v>
      </c>
      <c r="R68" s="20" t="n">
        <v>0</v>
      </c>
      <c r="S68" s="18" t="n">
        <v>13.39324788</v>
      </c>
      <c r="T68" s="20" t="n">
        <v>1.99720053</v>
      </c>
    </row>
    <row r="69" spans="1:20">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6034</v>
      </c>
      <c r="C70" s="18">
        <f>(5344.0/B70*100)</f>
        <v/>
      </c>
      <c r="D70" s="19" t="n">
        <v>690</v>
      </c>
      <c r="E70" s="18" t="n">
        <v>49.15085592</v>
      </c>
      <c r="F70" s="20" t="n">
        <v>2.02547366</v>
      </c>
      <c r="G70" s="18" t="n">
        <v>14.64088361</v>
      </c>
      <c r="H70" s="20" t="n">
        <v>1.19889161</v>
      </c>
      <c r="I70" s="18" t="n">
        <v>11.21329689</v>
      </c>
      <c r="J70" s="20" t="n">
        <v>1.07611704</v>
      </c>
      <c r="K70" s="18" t="n">
        <v>0</v>
      </c>
      <c r="L70" s="20" t="n">
        <v>0</v>
      </c>
      <c r="M70" s="18" t="n">
        <v>3.65631345</v>
      </c>
      <c r="N70" s="20" t="n">
        <v>0.61382398</v>
      </c>
      <c r="O70" s="18" t="n">
        <v>0.28234152</v>
      </c>
      <c r="P70" s="20" t="n">
        <v>0.20224124</v>
      </c>
      <c r="Q70" s="18" t="n">
        <v>0</v>
      </c>
      <c r="R70" s="20" t="n">
        <v>0</v>
      </c>
      <c r="S70" s="18" t="n">
        <v>21.0563086</v>
      </c>
      <c r="T70" s="20" t="n">
        <v>1.48002963</v>
      </c>
    </row>
    <row r="71" spans="1:20">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3107</v>
      </c>
      <c r="C72" s="18">
        <f>(2816.0/B72*100)</f>
        <v/>
      </c>
      <c r="D72" s="19" t="n">
        <v>291</v>
      </c>
      <c r="E72" s="18" t="n">
        <v>43.54365398</v>
      </c>
      <c r="F72" s="20" t="n">
        <v>3.48536807</v>
      </c>
      <c r="G72" s="18" t="n">
        <v>12.57250035</v>
      </c>
      <c r="H72" s="20" t="n">
        <v>2.24371036</v>
      </c>
      <c r="I72" s="18" t="n">
        <v>16.05310894</v>
      </c>
      <c r="J72" s="20" t="n">
        <v>2.0404536</v>
      </c>
      <c r="K72" s="18" t="n">
        <v>0</v>
      </c>
      <c r="L72" s="20" t="n">
        <v>0</v>
      </c>
      <c r="M72" s="18" t="n">
        <v>0.77552319</v>
      </c>
      <c r="N72" s="20" t="n">
        <v>0.58745478</v>
      </c>
      <c r="O72" s="18" t="n">
        <v>0</v>
      </c>
      <c r="P72" s="20" t="n">
        <v>0</v>
      </c>
      <c r="Q72" s="18" t="n">
        <v>0</v>
      </c>
      <c r="R72" s="20" t="n">
        <v>0</v>
      </c>
      <c r="S72" s="18" t="n">
        <v>27.05521354</v>
      </c>
      <c r="T72" s="20" t="n">
        <v>3.14099485</v>
      </c>
    </row>
    <row r="73" spans="1:20">
      <c r="A73" s="15" t="s">
        <v>633</v>
      </c>
      <c r="B73" s="17" t="n">
        <v>2973</v>
      </c>
      <c r="C73" s="18">
        <f>(2629.0/B73*100)</f>
        <v/>
      </c>
      <c r="D73" s="19" t="n">
        <v>344</v>
      </c>
      <c r="E73" s="18" t="n">
        <v>30.92478473</v>
      </c>
      <c r="F73" s="20" t="n">
        <v>2.40123798</v>
      </c>
      <c r="G73" s="18" t="n">
        <v>30.52117047</v>
      </c>
      <c r="H73" s="20" t="n">
        <v>2.11320337</v>
      </c>
      <c r="I73" s="18" t="n">
        <v>32.66050352</v>
      </c>
      <c r="J73" s="20" t="n">
        <v>2.3385966</v>
      </c>
      <c r="K73" s="18" t="n">
        <v>0</v>
      </c>
      <c r="L73" s="20" t="n">
        <v>0</v>
      </c>
      <c r="M73" s="18" t="n">
        <v>0.46564603</v>
      </c>
      <c r="N73" s="20" t="n">
        <v>0.44473713</v>
      </c>
      <c r="O73" s="18" t="n">
        <v>0</v>
      </c>
      <c r="P73" s="20" t="n">
        <v>0</v>
      </c>
      <c r="Q73" s="18" t="n">
        <v>0</v>
      </c>
      <c r="R73" s="20" t="n">
        <v>0</v>
      </c>
      <c r="S73" s="18" t="n">
        <v>5.42789525</v>
      </c>
      <c r="T73" s="20" t="n">
        <v>1.36071596</v>
      </c>
    </row>
    <row r="74" spans="1:20">
      <c r="A74" s="15" t="s">
        <v>634</v>
      </c>
      <c r="B74" s="17" t="n">
        <v>3819</v>
      </c>
      <c r="C74" s="18">
        <f>(3417.0/B74*100)</f>
        <v/>
      </c>
      <c r="D74" s="19" t="n">
        <v>402</v>
      </c>
      <c r="E74" s="18" t="n">
        <v>44.06474449</v>
      </c>
      <c r="F74" s="20" t="n">
        <v>2.19158125</v>
      </c>
      <c r="G74" s="18" t="n">
        <v>27.40055421</v>
      </c>
      <c r="H74" s="20" t="n">
        <v>2.12944193</v>
      </c>
      <c r="I74" s="18" t="n">
        <v>18.15057261</v>
      </c>
      <c r="J74" s="20" t="n">
        <v>1.82572157</v>
      </c>
      <c r="K74" s="18" t="n">
        <v>0</v>
      </c>
      <c r="L74" s="20" t="n">
        <v>0</v>
      </c>
      <c r="M74" s="18" t="n">
        <v>0</v>
      </c>
      <c r="N74" s="20" t="n">
        <v>0</v>
      </c>
      <c r="O74" s="18" t="n">
        <v>0</v>
      </c>
      <c r="P74" s="20" t="n">
        <v>0</v>
      </c>
      <c r="Q74" s="18" t="n">
        <v>0</v>
      </c>
      <c r="R74" s="20" t="n">
        <v>0</v>
      </c>
      <c r="S74" s="18" t="n">
        <v>10.38412869</v>
      </c>
      <c r="T74" s="20" t="n">
        <v>1.59620051</v>
      </c>
    </row>
    <row r="75" spans="1:20">
      <c r="A75" s="15" t="s">
        <v>635</v>
      </c>
      <c r="B75" s="17" t="n">
        <v>4652</v>
      </c>
      <c r="C75" s="18">
        <f>(4172.0/B75*100)</f>
        <v/>
      </c>
      <c r="D75" s="19" t="n">
        <v>480</v>
      </c>
      <c r="E75" s="18" t="n">
        <v>75.60225690999999</v>
      </c>
      <c r="F75" s="20" t="n">
        <v>2.36480343</v>
      </c>
      <c r="G75" s="18" t="n">
        <v>13.22537725</v>
      </c>
      <c r="H75" s="20" t="n">
        <v>2.06367968</v>
      </c>
      <c r="I75" s="18" t="n">
        <v>7.77062459</v>
      </c>
      <c r="J75" s="20" t="n">
        <v>1.62880906</v>
      </c>
      <c r="K75" s="18" t="n">
        <v>0</v>
      </c>
      <c r="L75" s="20" t="n">
        <v>0</v>
      </c>
      <c r="M75" s="18" t="n">
        <v>0</v>
      </c>
      <c r="N75" s="20" t="n">
        <v>0</v>
      </c>
      <c r="O75" s="18" t="n">
        <v>0</v>
      </c>
      <c r="P75" s="20" t="n">
        <v>0</v>
      </c>
      <c r="Q75" s="18" t="n">
        <v>0</v>
      </c>
      <c r="R75" s="20" t="n">
        <v>0</v>
      </c>
      <c r="S75" s="18" t="n">
        <v>3.40174125</v>
      </c>
      <c r="T75" s="20" t="n">
        <v>1.07373458</v>
      </c>
    </row>
    <row r="76" spans="1:20">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2969</v>
      </c>
      <c r="C77" s="18">
        <f>(2683.0/B77*100)</f>
        <v/>
      </c>
      <c r="D77" s="19" t="n">
        <v>286</v>
      </c>
      <c r="E77" s="18" t="n">
        <v>49.19894489</v>
      </c>
      <c r="F77" s="20" t="n">
        <v>3.58929653</v>
      </c>
      <c r="G77" s="18" t="n">
        <v>4.16551897</v>
      </c>
      <c r="H77" s="20" t="n">
        <v>1.28023243</v>
      </c>
      <c r="I77" s="18" t="n">
        <v>1.75004893</v>
      </c>
      <c r="J77" s="20" t="n">
        <v>0.77759786</v>
      </c>
      <c r="K77" s="18" t="n">
        <v>0</v>
      </c>
      <c r="L77" s="20" t="n">
        <v>0</v>
      </c>
      <c r="M77" s="18" t="n">
        <v>8.249212719999999</v>
      </c>
      <c r="N77" s="20" t="n">
        <v>1.77449013</v>
      </c>
      <c r="O77" s="18" t="n">
        <v>0.74221112</v>
      </c>
      <c r="P77" s="20" t="n">
        <v>0.49324632</v>
      </c>
      <c r="Q77" s="18" t="n">
        <v>0</v>
      </c>
      <c r="R77" s="20" t="n">
        <v>0</v>
      </c>
      <c r="S77" s="18" t="n">
        <v>35.89406336</v>
      </c>
      <c r="T77" s="20" t="n">
        <v>3.32395704</v>
      </c>
    </row>
    <row r="78" spans="1:20">
      <c r="A78" s="15" t="s">
        <v>638</v>
      </c>
      <c r="B78" s="17" t="n">
        <v>7115</v>
      </c>
      <c r="C78" s="18">
        <f>(6361.0/B78*100)</f>
        <v/>
      </c>
      <c r="D78" s="19" t="n">
        <v>754</v>
      </c>
      <c r="E78" s="18" t="n">
        <v>63.82980642</v>
      </c>
      <c r="F78" s="20" t="n">
        <v>2.42209346</v>
      </c>
      <c r="G78" s="18" t="n">
        <v>15.2024299</v>
      </c>
      <c r="H78" s="20" t="n">
        <v>1.72217853</v>
      </c>
      <c r="I78" s="18" t="n">
        <v>8.430886449999999</v>
      </c>
      <c r="J78" s="20" t="n">
        <v>1.18223298</v>
      </c>
      <c r="K78" s="18" t="n">
        <v>0</v>
      </c>
      <c r="L78" s="20" t="n">
        <v>0</v>
      </c>
      <c r="M78" s="18" t="n">
        <v>1.89257597</v>
      </c>
      <c r="N78" s="20" t="n">
        <v>0.5983742</v>
      </c>
      <c r="O78" s="18" t="n">
        <v>0.3567014</v>
      </c>
      <c r="P78" s="20" t="n">
        <v>0.24911665</v>
      </c>
      <c r="Q78" s="18" t="n">
        <v>0</v>
      </c>
      <c r="R78" s="20" t="n">
        <v>0</v>
      </c>
      <c r="S78" s="18" t="n">
        <v>10.28759985</v>
      </c>
      <c r="T78" s="20" t="n">
        <v>1.15768797</v>
      </c>
    </row>
    <row r="79" spans="1:20">
      <c r="A79" s="15" t="s">
        <v>639</v>
      </c>
      <c r="B79" s="17" t="n">
        <v>3154</v>
      </c>
      <c r="C79" s="18">
        <f>(2828.0/B79*100)</f>
        <v/>
      </c>
      <c r="D79" s="19" t="n">
        <v>326</v>
      </c>
      <c r="E79" s="18" t="n">
        <v>44.95702854</v>
      </c>
      <c r="F79" s="20" t="n">
        <v>2.48487631</v>
      </c>
      <c r="G79" s="18" t="n">
        <v>15.48477687</v>
      </c>
      <c r="H79" s="20" t="n">
        <v>1.94351805</v>
      </c>
      <c r="I79" s="18" t="n">
        <v>7.58980775</v>
      </c>
      <c r="J79" s="20" t="n">
        <v>1.62387147</v>
      </c>
      <c r="K79" s="18" t="n">
        <v>0</v>
      </c>
      <c r="L79" s="20" t="n">
        <v>0</v>
      </c>
      <c r="M79" s="18" t="n">
        <v>2.00198507</v>
      </c>
      <c r="N79" s="20" t="n">
        <v>0.59954291</v>
      </c>
      <c r="O79" s="18" t="n">
        <v>0</v>
      </c>
      <c r="P79" s="20" t="n">
        <v>0</v>
      </c>
      <c r="Q79" s="18" t="n">
        <v>0</v>
      </c>
      <c r="R79" s="20" t="n">
        <v>0</v>
      </c>
      <c r="S79" s="18" t="n">
        <v>29.96640177</v>
      </c>
      <c r="T79" s="20" t="n">
        <v>2.43967119</v>
      </c>
    </row>
    <row r="80" spans="1:20">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15961</v>
      </c>
      <c r="C82" s="18">
        <f>(14245.0/B82*100)</f>
        <v/>
      </c>
      <c r="D82" s="19" t="n">
        <v>1716</v>
      </c>
      <c r="E82" s="18" t="n">
        <v>53.16642799</v>
      </c>
      <c r="F82" s="20" t="n">
        <v>1.66658302</v>
      </c>
      <c r="G82" s="18" t="n">
        <v>18.45879933</v>
      </c>
      <c r="H82" s="20" t="n">
        <v>1.2095613</v>
      </c>
      <c r="I82" s="18" t="n">
        <v>12.05112942</v>
      </c>
      <c r="J82" s="20" t="n">
        <v>1.07927731</v>
      </c>
      <c r="K82" s="18" t="n">
        <v>0</v>
      </c>
      <c r="L82" s="20" t="n">
        <v>0</v>
      </c>
      <c r="M82" s="18" t="n">
        <v>0.3068232</v>
      </c>
      <c r="N82" s="20" t="n">
        <v>0.1180156</v>
      </c>
      <c r="O82" s="18" t="n">
        <v>0</v>
      </c>
      <c r="P82" s="20" t="n">
        <v>0</v>
      </c>
      <c r="Q82" s="18" t="n">
        <v>0</v>
      </c>
      <c r="R82" s="20" t="n">
        <v>0</v>
      </c>
      <c r="S82" s="18" t="n">
        <v>16.01682006</v>
      </c>
      <c r="T82" s="20" t="n">
        <v>1.38949108</v>
      </c>
    </row>
    <row r="83" spans="1:20">
      <c r="A83" s="15" t="s">
        <v>643</v>
      </c>
      <c r="B83" s="17" t="n">
        <v>808</v>
      </c>
      <c r="C83" s="18">
        <f>(725.0/B83*100)</f>
        <v/>
      </c>
      <c r="D83" s="19" t="n">
        <v>83</v>
      </c>
      <c r="E83" s="18" t="n">
        <v>44.20446374</v>
      </c>
      <c r="F83" s="20" t="n">
        <v>6.01344766</v>
      </c>
      <c r="G83" s="18" t="n">
        <v>33.4268014</v>
      </c>
      <c r="H83" s="20" t="n">
        <v>5.11685461</v>
      </c>
      <c r="I83" s="18" t="n">
        <v>16.34741136</v>
      </c>
      <c r="J83" s="20" t="n">
        <v>5.14867344</v>
      </c>
      <c r="K83" s="18" t="n">
        <v>0</v>
      </c>
      <c r="L83" s="20" t="n">
        <v>0</v>
      </c>
      <c r="M83" s="18" t="n">
        <v>1.47898372</v>
      </c>
      <c r="N83" s="20" t="n">
        <v>1.38769072</v>
      </c>
      <c r="O83" s="18" t="n">
        <v>0</v>
      </c>
      <c r="P83" s="20" t="n">
        <v>0</v>
      </c>
      <c r="Q83" s="18" t="n">
        <v>0</v>
      </c>
      <c r="R83" s="20" t="n">
        <v>0</v>
      </c>
      <c r="S83" s="18" t="n">
        <v>4.54233978</v>
      </c>
      <c r="T83" s="20" t="n">
        <v>2.48617544</v>
      </c>
    </row>
    <row r="84" spans="1:20">
      <c r="A84" s="23" t="s">
        <v>644</v>
      </c>
      <c r="B84" s="24" t="n">
        <v>938</v>
      </c>
      <c r="C84" s="25">
        <f>(846.0/B84*100)</f>
        <v/>
      </c>
      <c r="D84" s="19" t="n">
        <v>92</v>
      </c>
      <c r="E84" s="18" t="n">
        <v>54.04339524</v>
      </c>
      <c r="F84" s="20" t="n">
        <v>7.17872517</v>
      </c>
      <c r="G84" s="18" t="n">
        <v>33.2913458</v>
      </c>
      <c r="H84" s="20" t="n">
        <v>6.3618134</v>
      </c>
      <c r="I84" s="18" t="n">
        <v>11.7159339</v>
      </c>
      <c r="J84" s="20" t="n">
        <v>4.11075277</v>
      </c>
      <c r="K84" s="18" t="n">
        <v>0</v>
      </c>
      <c r="L84" s="20" t="n">
        <v>0</v>
      </c>
      <c r="M84" s="18" t="n">
        <v>0</v>
      </c>
      <c r="N84" s="20" t="n">
        <v>0</v>
      </c>
      <c r="O84" s="18" t="n">
        <v>0</v>
      </c>
      <c r="P84" s="20" t="n">
        <v>0</v>
      </c>
      <c r="Q84" s="18" t="n">
        <v>0</v>
      </c>
      <c r="R84" s="20" t="n">
        <v>0</v>
      </c>
      <c r="S84" s="18" t="n">
        <v>0.9493250600000001</v>
      </c>
      <c r="T84" s="20" t="n">
        <v>0.93612489</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(6413.0/B7*100)</f>
        <v/>
      </c>
      <c r="D7" s="19" t="n">
        <v>750</v>
      </c>
      <c r="E7" s="18" t="n">
        <v>15.92136917</v>
      </c>
      <c r="F7" s="20" t="n">
        <v>1.50600525</v>
      </c>
      <c r="G7" s="18" t="n">
        <v>83.59831646000001</v>
      </c>
      <c r="H7" s="20" t="n">
        <v>1.47012758</v>
      </c>
      <c r="I7" s="18" t="n">
        <v>0</v>
      </c>
      <c r="J7" s="20" t="n">
        <v>0</v>
      </c>
      <c r="K7" s="18" t="n">
        <v>0.22774507</v>
      </c>
      <c r="L7" s="20" t="n">
        <v>0.14814829</v>
      </c>
      <c r="M7" s="18" t="n">
        <v>0</v>
      </c>
      <c r="N7" s="20" t="n">
        <v>0</v>
      </c>
      <c r="O7" s="18" t="n">
        <v>0</v>
      </c>
      <c r="P7" s="20" t="n">
        <v>0</v>
      </c>
      <c r="Q7" s="18" t="n">
        <v>0.2525693</v>
      </c>
      <c r="R7" s="20" t="n">
        <v>0.17336997</v>
      </c>
    </row>
    <row r="8" spans="1:18">
      <c r="A8" s="15" t="s">
        <v>566</v>
      </c>
      <c r="B8" s="17" t="n">
        <v>3443</v>
      </c>
      <c r="C8" s="18">
        <f>(3059.0/B8*100)</f>
        <v/>
      </c>
      <c r="D8" s="19" t="n">
        <v>384</v>
      </c>
      <c r="E8" s="18" t="n">
        <v>21.0170407</v>
      </c>
      <c r="F8" s="20" t="n">
        <v>3.09943926</v>
      </c>
      <c r="G8" s="18" t="n">
        <v>78.89263501000001</v>
      </c>
      <c r="H8" s="20" t="n">
        <v>3.09885961</v>
      </c>
      <c r="I8" s="18" t="n">
        <v>0</v>
      </c>
      <c r="J8" s="20" t="n">
        <v>0</v>
      </c>
      <c r="K8" s="18" t="n">
        <v>0</v>
      </c>
      <c r="L8" s="20" t="n">
        <v>0</v>
      </c>
      <c r="M8" s="18" t="n">
        <v>0</v>
      </c>
      <c r="N8" s="20" t="n">
        <v>0</v>
      </c>
      <c r="O8" s="18" t="n">
        <v>0</v>
      </c>
      <c r="P8" s="20" t="n">
        <v>0</v>
      </c>
      <c r="Q8" s="18" t="n">
        <v>0.09032429</v>
      </c>
      <c r="R8" s="20" t="n">
        <v>0.09393098</v>
      </c>
    </row>
    <row r="9" spans="1:18">
      <c r="A9" s="15" t="s">
        <v>567</v>
      </c>
      <c r="B9" s="17" t="n">
        <v>4752</v>
      </c>
      <c r="C9" s="18">
        <f>(4148.0/B9*100)</f>
        <v/>
      </c>
      <c r="D9" s="19" t="n">
        <v>604</v>
      </c>
      <c r="E9" s="18" t="n">
        <v>20.49939012</v>
      </c>
      <c r="F9" s="20" t="n">
        <v>1.69315607</v>
      </c>
      <c r="G9" s="18" t="n">
        <v>77.81706703</v>
      </c>
      <c r="H9" s="20" t="n">
        <v>1.7258544</v>
      </c>
      <c r="I9" s="18" t="n">
        <v>0</v>
      </c>
      <c r="J9" s="20" t="n">
        <v>0</v>
      </c>
      <c r="K9" s="18" t="n">
        <v>1.36362258</v>
      </c>
      <c r="L9" s="20" t="n">
        <v>0.48292398</v>
      </c>
      <c r="M9" s="18" t="n">
        <v>0</v>
      </c>
      <c r="N9" s="20" t="n">
        <v>0</v>
      </c>
      <c r="O9" s="18" t="n">
        <v>0</v>
      </c>
      <c r="P9" s="20" t="n">
        <v>0</v>
      </c>
      <c r="Q9" s="18" t="n">
        <v>0.31992027</v>
      </c>
      <c r="R9" s="20" t="n">
        <v>0.19166052</v>
      </c>
    </row>
    <row r="10" spans="1:18">
      <c r="A10" s="15" t="s">
        <v>568</v>
      </c>
      <c r="B10" s="17" t="n">
        <v>10022</v>
      </c>
      <c r="C10" s="18">
        <f>(8932.0/B10*100)</f>
        <v/>
      </c>
      <c r="D10" s="19" t="n">
        <v>1090</v>
      </c>
      <c r="E10" s="18" t="n">
        <v>19.81537232</v>
      </c>
      <c r="F10" s="20" t="n">
        <v>1.3630176</v>
      </c>
      <c r="G10" s="18" t="n">
        <v>79.62951076</v>
      </c>
      <c r="H10" s="20" t="n">
        <v>1.31481008</v>
      </c>
      <c r="I10" s="18" t="n">
        <v>0</v>
      </c>
      <c r="J10" s="20" t="n">
        <v>0</v>
      </c>
      <c r="K10" s="18" t="n">
        <v>0.55511692</v>
      </c>
      <c r="L10" s="20" t="n">
        <v>0.24656776</v>
      </c>
      <c r="M10" s="18" t="n">
        <v>0</v>
      </c>
      <c r="N10" s="20" t="n">
        <v>0</v>
      </c>
      <c r="O10" s="18" t="n">
        <v>0</v>
      </c>
      <c r="P10" s="20" t="n">
        <v>0</v>
      </c>
      <c r="Q10" s="18" t="n">
        <v>0</v>
      </c>
      <c r="R10" s="20" t="n">
        <v>0</v>
      </c>
    </row>
    <row r="11" spans="1:18">
      <c r="A11" s="15" t="s">
        <v>569</v>
      </c>
      <c r="B11" s="17" t="n">
        <v>3500</v>
      </c>
      <c r="C11" s="18">
        <f>(3117.0/B11*100)</f>
        <v/>
      </c>
      <c r="D11" s="19" t="n">
        <v>383</v>
      </c>
      <c r="E11" s="18" t="n">
        <v>33.07967173</v>
      </c>
      <c r="F11" s="20" t="n">
        <v>2.74426087</v>
      </c>
      <c r="G11" s="18" t="n">
        <v>64.07774033</v>
      </c>
      <c r="H11" s="20" t="n">
        <v>2.77114198</v>
      </c>
      <c r="I11" s="18" t="n">
        <v>0</v>
      </c>
      <c r="J11" s="20" t="n">
        <v>0</v>
      </c>
      <c r="K11" s="18" t="n">
        <v>2.84258794</v>
      </c>
      <c r="L11" s="20" t="n">
        <v>0.8985328299999999</v>
      </c>
      <c r="M11" s="18" t="n">
        <v>0</v>
      </c>
      <c r="N11" s="20" t="n">
        <v>0</v>
      </c>
      <c r="O11" s="18" t="n">
        <v>0</v>
      </c>
      <c r="P11" s="20" t="n">
        <v>0</v>
      </c>
      <c r="Q11" s="18" t="n">
        <v>0</v>
      </c>
      <c r="R11" s="20" t="n">
        <v>0</v>
      </c>
    </row>
    <row r="12" spans="1:18">
      <c r="A12" s="15" t="s">
        <v>570</v>
      </c>
      <c r="B12" s="17" t="n">
        <v>3422</v>
      </c>
      <c r="C12" s="18">
        <f>(3019.0/B12*100)</f>
        <v/>
      </c>
      <c r="D12" s="19" t="n">
        <v>403</v>
      </c>
      <c r="E12" s="18" t="n">
        <v>23.05178344</v>
      </c>
      <c r="F12" s="20" t="n">
        <v>2.28847373</v>
      </c>
      <c r="G12" s="18" t="n">
        <v>75.62477201</v>
      </c>
      <c r="H12" s="20" t="n">
        <v>2.34728369</v>
      </c>
      <c r="I12" s="18" t="n">
        <v>0</v>
      </c>
      <c r="J12" s="20" t="n">
        <v>0</v>
      </c>
      <c r="K12" s="18" t="n">
        <v>0.69343389</v>
      </c>
      <c r="L12" s="20" t="n">
        <v>0.48351602</v>
      </c>
      <c r="M12" s="18" t="n">
        <v>0</v>
      </c>
      <c r="N12" s="20" t="n">
        <v>0</v>
      </c>
      <c r="O12" s="18" t="n">
        <v>0</v>
      </c>
      <c r="P12" s="20" t="n">
        <v>0</v>
      </c>
      <c r="Q12" s="18" t="n">
        <v>0.6300106599999999</v>
      </c>
      <c r="R12" s="20" t="n">
        <v>0.59378956</v>
      </c>
    </row>
    <row r="13" spans="1:18">
      <c r="A13" s="15" t="s">
        <v>571</v>
      </c>
      <c r="B13" s="17" t="n">
        <v>3602</v>
      </c>
      <c r="C13" s="18">
        <f>(3090.0/B13*100)</f>
        <v/>
      </c>
      <c r="D13" s="19" t="n">
        <v>512</v>
      </c>
      <c r="E13" s="18" t="n">
        <v>21.14781479</v>
      </c>
      <c r="F13" s="20" t="n">
        <v>2.57537878</v>
      </c>
      <c r="G13" s="18" t="n">
        <v>76.71644634</v>
      </c>
      <c r="H13" s="20" t="n">
        <v>2.73209921</v>
      </c>
      <c r="I13" s="18" t="n">
        <v>0</v>
      </c>
      <c r="J13" s="20" t="n">
        <v>0</v>
      </c>
      <c r="K13" s="18" t="n">
        <v>1.62281034</v>
      </c>
      <c r="L13" s="20" t="n">
        <v>0.59398464</v>
      </c>
      <c r="M13" s="18" t="n">
        <v>0</v>
      </c>
      <c r="N13" s="20" t="n">
        <v>0</v>
      </c>
      <c r="O13" s="18" t="n">
        <v>0</v>
      </c>
      <c r="P13" s="20" t="n">
        <v>0</v>
      </c>
      <c r="Q13" s="18" t="n">
        <v>0.51292853</v>
      </c>
      <c r="R13" s="20" t="n">
        <v>0.2712602</v>
      </c>
    </row>
    <row r="14" spans="1:18">
      <c r="A14" s="15" t="s">
        <v>572</v>
      </c>
      <c r="B14" s="17" t="n">
        <v>2788</v>
      </c>
      <c r="C14" s="18">
        <f>(2487.0/B14*100)</f>
        <v/>
      </c>
      <c r="D14" s="19" t="n">
        <v>301</v>
      </c>
      <c r="E14" s="18" t="n">
        <v>22.05284283</v>
      </c>
      <c r="F14" s="20" t="n">
        <v>2.6470243</v>
      </c>
      <c r="G14" s="18" t="n">
        <v>77.09491799</v>
      </c>
      <c r="H14" s="20" t="n">
        <v>2.7553645</v>
      </c>
      <c r="I14" s="18" t="n">
        <v>0</v>
      </c>
      <c r="J14" s="20" t="n">
        <v>0</v>
      </c>
      <c r="K14" s="18" t="n">
        <v>0.85223919</v>
      </c>
      <c r="L14" s="20" t="n">
        <v>0.8299933</v>
      </c>
      <c r="M14" s="18" t="n">
        <v>0</v>
      </c>
      <c r="N14" s="20" t="n">
        <v>0</v>
      </c>
      <c r="O14" s="18" t="n">
        <v>0</v>
      </c>
      <c r="P14" s="20" t="n">
        <v>0</v>
      </c>
      <c r="Q14" s="18" t="n">
        <v>0</v>
      </c>
      <c r="R14" s="20" t="n">
        <v>0</v>
      </c>
    </row>
    <row r="15" spans="1:18">
      <c r="A15" s="15" t="s">
        <v>573</v>
      </c>
      <c r="B15" s="17" t="n">
        <v>2863</v>
      </c>
      <c r="C15" s="18">
        <f>(2549.0/B15*100)</f>
        <v/>
      </c>
      <c r="D15" s="19" t="n">
        <v>314</v>
      </c>
      <c r="E15" s="18" t="n">
        <v>21.17557491</v>
      </c>
      <c r="F15" s="20" t="n">
        <v>2.27506643</v>
      </c>
      <c r="G15" s="18" t="n">
        <v>78.82442509000001</v>
      </c>
      <c r="H15" s="20" t="n">
        <v>2.27506643</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(2810.0/B16*100)</f>
        <v/>
      </c>
      <c r="D16" s="19" t="n">
        <v>301</v>
      </c>
      <c r="E16" s="18" t="n">
        <v>20.50477674</v>
      </c>
      <c r="F16" s="20" t="n">
        <v>2.40416371</v>
      </c>
      <c r="G16" s="18" t="n">
        <v>77.62965272</v>
      </c>
      <c r="H16" s="20" t="n">
        <v>2.4268827</v>
      </c>
      <c r="I16" s="18" t="n">
        <v>0</v>
      </c>
      <c r="J16" s="20" t="n">
        <v>0</v>
      </c>
      <c r="K16" s="18" t="n">
        <v>1.48364511</v>
      </c>
      <c r="L16" s="20" t="n">
        <v>0.64163956</v>
      </c>
      <c r="M16" s="18" t="n">
        <v>0</v>
      </c>
      <c r="N16" s="20" t="n">
        <v>0</v>
      </c>
      <c r="O16" s="18" t="n">
        <v>0</v>
      </c>
      <c r="P16" s="20" t="n">
        <v>0</v>
      </c>
      <c r="Q16" s="18" t="n">
        <v>0.38192543</v>
      </c>
      <c r="R16" s="20" t="n">
        <v>0.37675004</v>
      </c>
    </row>
    <row r="17" spans="1:18">
      <c r="A17" s="15" t="s">
        <v>575</v>
      </c>
      <c r="B17" s="17" t="n">
        <v>3197</v>
      </c>
      <c r="C17" s="18">
        <f>(2795.0/B17*100)</f>
        <v/>
      </c>
      <c r="D17" s="19" t="n">
        <v>402</v>
      </c>
      <c r="E17" s="18" t="n">
        <v>23.15421622</v>
      </c>
      <c r="F17" s="20" t="n">
        <v>2.73022047</v>
      </c>
      <c r="G17" s="18" t="n">
        <v>75.57796114999999</v>
      </c>
      <c r="H17" s="20" t="n">
        <v>2.92248978</v>
      </c>
      <c r="I17" s="18" t="n">
        <v>0</v>
      </c>
      <c r="J17" s="20" t="n">
        <v>0</v>
      </c>
      <c r="K17" s="18" t="n">
        <v>1.00456148</v>
      </c>
      <c r="L17" s="20" t="n">
        <v>0.49915524</v>
      </c>
      <c r="M17" s="18" t="n">
        <v>0</v>
      </c>
      <c r="N17" s="20" t="n">
        <v>0</v>
      </c>
      <c r="O17" s="18" t="n">
        <v>0</v>
      </c>
      <c r="P17" s="20" t="n">
        <v>0</v>
      </c>
      <c r="Q17" s="18" t="n">
        <v>0.26326116</v>
      </c>
      <c r="R17" s="20" t="n">
        <v>0.26118832</v>
      </c>
    </row>
    <row r="18" spans="1:18">
      <c r="A18" s="15" t="s">
        <v>576</v>
      </c>
      <c r="B18" s="17" t="n">
        <v>2706</v>
      </c>
      <c r="C18" s="18">
        <f>(2444.0/B18*100)</f>
        <v/>
      </c>
      <c r="D18" s="19" t="n">
        <v>262</v>
      </c>
      <c r="E18" s="18" t="n">
        <v>28.15542586</v>
      </c>
      <c r="F18" s="20" t="n">
        <v>3.03401616</v>
      </c>
      <c r="G18" s="18" t="n">
        <v>71.48073696</v>
      </c>
      <c r="H18" s="20" t="n">
        <v>3.04692662</v>
      </c>
      <c r="I18" s="18" t="n">
        <v>0</v>
      </c>
      <c r="J18" s="20" t="n">
        <v>0</v>
      </c>
      <c r="K18" s="18" t="n">
        <v>0.36383718</v>
      </c>
      <c r="L18" s="20" t="n">
        <v>0.34392229</v>
      </c>
      <c r="M18" s="18" t="n">
        <v>0</v>
      </c>
      <c r="N18" s="20" t="n">
        <v>0</v>
      </c>
      <c r="O18" s="18" t="n">
        <v>0</v>
      </c>
      <c r="P18" s="20" t="n">
        <v>0</v>
      </c>
      <c r="Q18" s="18" t="n">
        <v>0</v>
      </c>
      <c r="R18" s="20" t="n">
        <v>0</v>
      </c>
    </row>
    <row r="19" spans="1:18">
      <c r="A19" s="15" t="s">
        <v>577</v>
      </c>
      <c r="B19" s="17" t="n">
        <v>2850</v>
      </c>
      <c r="C19" s="18">
        <f>(2546.0/B19*100)</f>
        <v/>
      </c>
      <c r="D19" s="19" t="n">
        <v>304</v>
      </c>
      <c r="E19" s="18" t="n">
        <v>23.62410254</v>
      </c>
      <c r="F19" s="20" t="n">
        <v>2.43321709</v>
      </c>
      <c r="G19" s="18" t="n">
        <v>75.75606343</v>
      </c>
      <c r="H19" s="20" t="n">
        <v>2.47646399</v>
      </c>
      <c r="I19" s="18" t="n">
        <v>0</v>
      </c>
      <c r="J19" s="20" t="n">
        <v>0</v>
      </c>
      <c r="K19" s="18" t="n">
        <v>0.61983403</v>
      </c>
      <c r="L19" s="20" t="n">
        <v>0.4448186</v>
      </c>
      <c r="M19" s="18" t="n">
        <v>0</v>
      </c>
      <c r="N19" s="20" t="n">
        <v>0</v>
      </c>
      <c r="O19" s="18" t="n">
        <v>0</v>
      </c>
      <c r="P19" s="20" t="n">
        <v>0</v>
      </c>
      <c r="Q19" s="18" t="n">
        <v>0</v>
      </c>
      <c r="R19" s="20" t="n">
        <v>0</v>
      </c>
    </row>
    <row r="20" spans="1:18">
      <c r="A20" s="15" t="s">
        <v>578</v>
      </c>
      <c r="B20" s="17" t="n">
        <v>1741</v>
      </c>
      <c r="C20" s="18">
        <f>(1565.0/B20*100)</f>
        <v/>
      </c>
      <c r="D20" s="19" t="n">
        <v>176</v>
      </c>
      <c r="E20" s="18" t="n">
        <v>42.02090306</v>
      </c>
      <c r="F20" s="20" t="n">
        <v>4.05687505</v>
      </c>
      <c r="G20" s="18" t="n">
        <v>55.6600375</v>
      </c>
      <c r="H20" s="20" t="n">
        <v>3.91461805</v>
      </c>
      <c r="I20" s="18" t="n">
        <v>0</v>
      </c>
      <c r="J20" s="20" t="n">
        <v>0</v>
      </c>
      <c r="K20" s="18" t="n">
        <v>2.31905945</v>
      </c>
      <c r="L20" s="20" t="n">
        <v>1.14954364</v>
      </c>
      <c r="M20" s="18" t="n">
        <v>0</v>
      </c>
      <c r="N20" s="20" t="n">
        <v>0</v>
      </c>
      <c r="O20" s="18" t="n">
        <v>0</v>
      </c>
      <c r="P20" s="20" t="n">
        <v>0</v>
      </c>
      <c r="Q20" s="18" t="n">
        <v>0</v>
      </c>
      <c r="R20" s="20" t="n">
        <v>0</v>
      </c>
    </row>
    <row r="21" spans="1:18">
      <c r="A21" s="15" t="s">
        <v>579</v>
      </c>
      <c r="B21" s="17" t="n">
        <v>2833</v>
      </c>
      <c r="C21" s="18">
        <f>(2496.0/B21*100)</f>
        <v/>
      </c>
      <c r="D21" s="19" t="n">
        <v>337</v>
      </c>
      <c r="E21" s="18" t="n">
        <v>15.52383944</v>
      </c>
      <c r="F21" s="20" t="n">
        <v>1.99072758</v>
      </c>
      <c r="G21" s="18" t="n">
        <v>84.47616056</v>
      </c>
      <c r="H21" s="20" t="n">
        <v>1.99072758</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(3330.0/B22*100)</f>
        <v/>
      </c>
      <c r="D22" s="19" t="n">
        <v>337</v>
      </c>
      <c r="E22" s="18" t="n">
        <v>34.02427226</v>
      </c>
      <c r="F22" s="20" t="n">
        <v>2.66450226</v>
      </c>
      <c r="G22" s="18" t="n">
        <v>65.69224351</v>
      </c>
      <c r="H22" s="20" t="n">
        <v>2.68391526</v>
      </c>
      <c r="I22" s="18" t="n">
        <v>0</v>
      </c>
      <c r="J22" s="20" t="n">
        <v>0</v>
      </c>
      <c r="K22" s="18" t="n">
        <v>0.28348423</v>
      </c>
      <c r="L22" s="20" t="n">
        <v>0.31682263</v>
      </c>
      <c r="M22" s="18" t="n">
        <v>0</v>
      </c>
      <c r="N22" s="20" t="n">
        <v>0</v>
      </c>
      <c r="O22" s="18" t="n">
        <v>0</v>
      </c>
      <c r="P22" s="20" t="n">
        <v>0</v>
      </c>
      <c r="Q22" s="18" t="n">
        <v>0</v>
      </c>
      <c r="R22" s="20" t="n">
        <v>0</v>
      </c>
    </row>
    <row r="23" spans="1:18">
      <c r="A23" s="15" t="s">
        <v>581</v>
      </c>
      <c r="B23" s="17" t="n">
        <v>5792</v>
      </c>
      <c r="C23" s="18">
        <f>(5174.0/B23*100)</f>
        <v/>
      </c>
      <c r="D23" s="19" t="n">
        <v>618</v>
      </c>
      <c r="E23" s="18" t="n">
        <v>15.6691196</v>
      </c>
      <c r="F23" s="20" t="n">
        <v>2.31287039</v>
      </c>
      <c r="G23" s="18" t="n">
        <v>82.59231952</v>
      </c>
      <c r="H23" s="20" t="n">
        <v>2.39423926</v>
      </c>
      <c r="I23" s="18" t="n">
        <v>0</v>
      </c>
      <c r="J23" s="20" t="n">
        <v>0</v>
      </c>
      <c r="K23" s="18" t="n">
        <v>1.63970093</v>
      </c>
      <c r="L23" s="20" t="n">
        <v>0.71528408</v>
      </c>
      <c r="M23" s="18" t="n">
        <v>0</v>
      </c>
      <c r="N23" s="20" t="n">
        <v>0</v>
      </c>
      <c r="O23" s="18" t="n">
        <v>0</v>
      </c>
      <c r="P23" s="20" t="n">
        <v>0</v>
      </c>
      <c r="Q23" s="18" t="n">
        <v>0.09885995</v>
      </c>
      <c r="R23" s="20" t="n">
        <v>0.09874342</v>
      </c>
    </row>
    <row r="24" spans="1:18">
      <c r="A24" s="15" t="s">
        <v>582</v>
      </c>
      <c r="B24" s="17" t="n">
        <v>3309</v>
      </c>
      <c r="C24" s="18">
        <f>(2940.0/B24*100)</f>
        <v/>
      </c>
      <c r="D24" s="19" t="n">
        <v>369</v>
      </c>
      <c r="E24" s="18" t="n">
        <v>26.4135275</v>
      </c>
      <c r="F24" s="20" t="n">
        <v>2.41615953</v>
      </c>
      <c r="G24" s="18" t="n">
        <v>73.29838521000001</v>
      </c>
      <c r="H24" s="20" t="n">
        <v>2.44993692</v>
      </c>
      <c r="I24" s="18" t="n">
        <v>0</v>
      </c>
      <c r="J24" s="20" t="n">
        <v>0</v>
      </c>
      <c r="K24" s="18" t="n">
        <v>0</v>
      </c>
      <c r="L24" s="20" t="n">
        <v>0</v>
      </c>
      <c r="M24" s="18" t="n">
        <v>0</v>
      </c>
      <c r="N24" s="20" t="n">
        <v>0</v>
      </c>
      <c r="O24" s="18" t="n">
        <v>0</v>
      </c>
      <c r="P24" s="20" t="n">
        <v>0</v>
      </c>
      <c r="Q24" s="18" t="n">
        <v>0.2880873</v>
      </c>
      <c r="R24" s="20" t="n">
        <v>0.28699581</v>
      </c>
    </row>
    <row r="25" spans="1:18">
      <c r="A25" s="15" t="s">
        <v>583</v>
      </c>
      <c r="B25" s="17" t="n">
        <v>2669</v>
      </c>
      <c r="C25" s="18">
        <f>(2396.0/B25*100)</f>
        <v/>
      </c>
      <c r="D25" s="19" t="n">
        <v>273</v>
      </c>
      <c r="E25" s="18" t="n">
        <v>31.56063806</v>
      </c>
      <c r="F25" s="20" t="n">
        <v>2.96709161</v>
      </c>
      <c r="G25" s="18" t="n">
        <v>68.10019702</v>
      </c>
      <c r="H25" s="20" t="n">
        <v>2.97111006</v>
      </c>
      <c r="I25" s="18" t="n">
        <v>0</v>
      </c>
      <c r="J25" s="20" t="n">
        <v>0</v>
      </c>
      <c r="K25" s="18" t="n">
        <v>0.33916492</v>
      </c>
      <c r="L25" s="20" t="n">
        <v>0.47668997</v>
      </c>
      <c r="M25" s="18" t="n">
        <v>0</v>
      </c>
      <c r="N25" s="20" t="n">
        <v>0</v>
      </c>
      <c r="O25" s="18" t="n">
        <v>0</v>
      </c>
      <c r="P25" s="20" t="n">
        <v>0</v>
      </c>
      <c r="Q25" s="18" t="n">
        <v>0</v>
      </c>
      <c r="R25" s="20" t="n">
        <v>0</v>
      </c>
    </row>
    <row r="26" spans="1:18">
      <c r="A26" s="15" t="s">
        <v>584</v>
      </c>
      <c r="B26" s="17" t="n">
        <v>2419</v>
      </c>
      <c r="C26" s="18">
        <f>(2160.0/B26*100)</f>
        <v/>
      </c>
      <c r="D26" s="19" t="n">
        <v>259</v>
      </c>
      <c r="E26" s="18" t="n">
        <v>25.98413925</v>
      </c>
      <c r="F26" s="20" t="n">
        <v>2.38186244</v>
      </c>
      <c r="G26" s="18" t="n">
        <v>74.01586075</v>
      </c>
      <c r="H26" s="20" t="n">
        <v>2.38186244</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(2384.0/B27*100)</f>
        <v/>
      </c>
      <c r="D27" s="19" t="n">
        <v>299</v>
      </c>
      <c r="E27" s="18" t="n">
        <v>26.33424724</v>
      </c>
      <c r="F27" s="20" t="n">
        <v>2.49184447</v>
      </c>
      <c r="G27" s="18" t="n">
        <v>72.63484706</v>
      </c>
      <c r="H27" s="20" t="n">
        <v>2.5593249</v>
      </c>
      <c r="I27" s="18" t="n">
        <v>0</v>
      </c>
      <c r="J27" s="20" t="n">
        <v>0</v>
      </c>
      <c r="K27" s="18" t="n">
        <v>0.66297138</v>
      </c>
      <c r="L27" s="20" t="n">
        <v>0.46783694</v>
      </c>
      <c r="M27" s="18" t="n">
        <v>0</v>
      </c>
      <c r="N27" s="20" t="n">
        <v>0</v>
      </c>
      <c r="O27" s="18" t="n">
        <v>0</v>
      </c>
      <c r="P27" s="20" t="n">
        <v>0</v>
      </c>
      <c r="Q27" s="18" t="n">
        <v>0.36793432</v>
      </c>
      <c r="R27" s="20" t="n">
        <v>0.36820112</v>
      </c>
    </row>
    <row r="28" spans="1:18">
      <c r="A28" s="15" t="s">
        <v>586</v>
      </c>
      <c r="B28" s="17" t="n">
        <v>3803</v>
      </c>
      <c r="C28" s="18">
        <f>(3459.0/B28*100)</f>
        <v/>
      </c>
      <c r="D28" s="19" t="n">
        <v>344</v>
      </c>
      <c r="E28" s="18" t="n">
        <v>27.13545866</v>
      </c>
      <c r="F28" s="20" t="n">
        <v>2.65058778</v>
      </c>
      <c r="G28" s="18" t="n">
        <v>71.02872232</v>
      </c>
      <c r="H28" s="20" t="n">
        <v>2.68275311</v>
      </c>
      <c r="I28" s="18" t="n">
        <v>0</v>
      </c>
      <c r="J28" s="20" t="n">
        <v>0</v>
      </c>
      <c r="K28" s="18" t="n">
        <v>1.12357285</v>
      </c>
      <c r="L28" s="20" t="n">
        <v>0.60191136</v>
      </c>
      <c r="M28" s="18" t="n">
        <v>0</v>
      </c>
      <c r="N28" s="20" t="n">
        <v>0</v>
      </c>
      <c r="O28" s="18" t="n">
        <v>0</v>
      </c>
      <c r="P28" s="20" t="n">
        <v>0</v>
      </c>
      <c r="Q28" s="18" t="n">
        <v>0.71224617</v>
      </c>
      <c r="R28" s="20" t="n">
        <v>0.52094913</v>
      </c>
    </row>
    <row r="29" spans="1:18">
      <c r="A29" s="15" t="s">
        <v>587</v>
      </c>
      <c r="B29" s="17" t="n">
        <v>2700</v>
      </c>
      <c r="C29" s="18">
        <f>(2340.0/B29*100)</f>
        <v/>
      </c>
      <c r="D29" s="19" t="n">
        <v>360</v>
      </c>
      <c r="E29" s="18" t="n">
        <v>20.08406934</v>
      </c>
      <c r="F29" s="20" t="n">
        <v>2.087737</v>
      </c>
      <c r="G29" s="18" t="n">
        <v>79.19796255</v>
      </c>
      <c r="H29" s="20" t="n">
        <v>2.17192756</v>
      </c>
      <c r="I29" s="18" t="n">
        <v>0</v>
      </c>
      <c r="J29" s="20" t="n">
        <v>0</v>
      </c>
      <c r="K29" s="18" t="n">
        <v>0.71796811</v>
      </c>
      <c r="L29" s="20" t="n">
        <v>0.38830059</v>
      </c>
      <c r="M29" s="18" t="n">
        <v>0</v>
      </c>
      <c r="N29" s="20" t="n">
        <v>0</v>
      </c>
      <c r="O29" s="18" t="n">
        <v>0</v>
      </c>
      <c r="P29" s="20" t="n">
        <v>0</v>
      </c>
      <c r="Q29" s="18" t="n">
        <v>0</v>
      </c>
      <c r="R29" s="20" t="n">
        <v>0</v>
      </c>
    </row>
    <row r="30" spans="1:18">
      <c r="A30" s="15" t="s">
        <v>588</v>
      </c>
      <c r="B30" s="17" t="n">
        <v>2257</v>
      </c>
      <c r="C30" s="18">
        <f>(2021.0/B30*100)</f>
        <v/>
      </c>
      <c r="D30" s="19" t="n">
        <v>236</v>
      </c>
      <c r="E30" s="18" t="n">
        <v>17.35839661</v>
      </c>
      <c r="F30" s="20" t="n">
        <v>2.45116386</v>
      </c>
      <c r="G30" s="18" t="n">
        <v>81.84751769</v>
      </c>
      <c r="H30" s="20" t="n">
        <v>2.49059562</v>
      </c>
      <c r="I30" s="18" t="n">
        <v>0</v>
      </c>
      <c r="J30" s="20" t="n">
        <v>0</v>
      </c>
      <c r="K30" s="18" t="n">
        <v>0.7940857</v>
      </c>
      <c r="L30" s="20" t="n">
        <v>0.52388199</v>
      </c>
      <c r="M30" s="18" t="n">
        <v>0</v>
      </c>
      <c r="N30" s="20" t="n">
        <v>0</v>
      </c>
      <c r="O30" s="18" t="n">
        <v>0</v>
      </c>
      <c r="P30" s="20" t="n">
        <v>0</v>
      </c>
      <c r="Q30" s="18" t="n">
        <v>0</v>
      </c>
      <c r="R30" s="20" t="n">
        <v>0</v>
      </c>
    </row>
    <row r="31" spans="1:18">
      <c r="A31" s="15" t="s">
        <v>589</v>
      </c>
      <c r="B31" s="17" t="n">
        <v>2706</v>
      </c>
      <c r="C31" s="18">
        <f>(2426.0/B31*100)</f>
        <v/>
      </c>
      <c r="D31" s="19" t="n">
        <v>280</v>
      </c>
      <c r="E31" s="18" t="n">
        <v>30.86921098</v>
      </c>
      <c r="F31" s="20" t="n">
        <v>2.94912999</v>
      </c>
      <c r="G31" s="18" t="n">
        <v>66.06285418</v>
      </c>
      <c r="H31" s="20" t="n">
        <v>2.90941454</v>
      </c>
      <c r="I31" s="18" t="n">
        <v>0</v>
      </c>
      <c r="J31" s="20" t="n">
        <v>0</v>
      </c>
      <c r="K31" s="18" t="n">
        <v>1.66261808</v>
      </c>
      <c r="L31" s="20" t="n">
        <v>0.73150534</v>
      </c>
      <c r="M31" s="18" t="n">
        <v>0</v>
      </c>
      <c r="N31" s="20" t="n">
        <v>0</v>
      </c>
      <c r="O31" s="18" t="n">
        <v>0</v>
      </c>
      <c r="P31" s="20" t="n">
        <v>0</v>
      </c>
      <c r="Q31" s="18" t="n">
        <v>1.40531676</v>
      </c>
      <c r="R31" s="20" t="n">
        <v>0.84616055</v>
      </c>
    </row>
    <row r="32" spans="1:18">
      <c r="A32" s="15" t="s">
        <v>590</v>
      </c>
      <c r="B32" s="17" t="n">
        <v>2209</v>
      </c>
      <c r="C32" s="18">
        <f>(1970.0/B32*100)</f>
        <v/>
      </c>
      <c r="D32" s="19" t="n">
        <v>239</v>
      </c>
      <c r="E32" s="18" t="n">
        <v>16.10921317</v>
      </c>
      <c r="F32" s="20" t="n">
        <v>2.54774832</v>
      </c>
      <c r="G32" s="18" t="n">
        <v>83.0552658</v>
      </c>
      <c r="H32" s="20" t="n">
        <v>2.54935222</v>
      </c>
      <c r="I32" s="18" t="n">
        <v>0</v>
      </c>
      <c r="J32" s="20" t="n">
        <v>0</v>
      </c>
      <c r="K32" s="18" t="n">
        <v>0.83552103</v>
      </c>
      <c r="L32" s="20" t="n">
        <v>0.57326207</v>
      </c>
      <c r="M32" s="18" t="n">
        <v>0</v>
      </c>
      <c r="N32" s="20" t="n">
        <v>0</v>
      </c>
      <c r="O32" s="18" t="n">
        <v>0</v>
      </c>
      <c r="P32" s="20" t="n">
        <v>0</v>
      </c>
      <c r="Q32" s="18" t="n">
        <v>0</v>
      </c>
      <c r="R32" s="20" t="n">
        <v>0</v>
      </c>
    </row>
    <row r="33" spans="1:18">
      <c r="A33" s="15" t="s">
        <v>591</v>
      </c>
      <c r="B33" s="17" t="n">
        <v>3651</v>
      </c>
      <c r="C33" s="18">
        <f>(3280.0/B33*100)</f>
        <v/>
      </c>
      <c r="D33" s="19" t="n">
        <v>371</v>
      </c>
      <c r="E33" s="18" t="n">
        <v>24.70220748</v>
      </c>
      <c r="F33" s="20" t="n">
        <v>2.53130509</v>
      </c>
      <c r="G33" s="18" t="n">
        <v>74.97430815</v>
      </c>
      <c r="H33" s="20" t="n">
        <v>2.57162634</v>
      </c>
      <c r="I33" s="18" t="n">
        <v>0</v>
      </c>
      <c r="J33" s="20" t="n">
        <v>0</v>
      </c>
      <c r="K33" s="18" t="n">
        <v>0</v>
      </c>
      <c r="L33" s="20" t="n">
        <v>0</v>
      </c>
      <c r="M33" s="18" t="n">
        <v>0</v>
      </c>
      <c r="N33" s="20" t="n">
        <v>0</v>
      </c>
      <c r="O33" s="18" t="n">
        <v>0</v>
      </c>
      <c r="P33" s="20" t="n">
        <v>0</v>
      </c>
      <c r="Q33" s="18" t="n">
        <v>0.32348438</v>
      </c>
      <c r="R33" s="20" t="n">
        <v>0.31059221</v>
      </c>
    </row>
    <row r="34" spans="1:18">
      <c r="A34" s="15" t="s">
        <v>592</v>
      </c>
      <c r="B34" s="17" t="n">
        <v>3035</v>
      </c>
      <c r="C34" s="18">
        <f>(2670.0/B34*100)</f>
        <v/>
      </c>
      <c r="D34" s="19" t="n">
        <v>365</v>
      </c>
      <c r="E34" s="18" t="n">
        <v>35.42325998</v>
      </c>
      <c r="F34" s="20" t="n">
        <v>3.83349022</v>
      </c>
      <c r="G34" s="18" t="n">
        <v>63.80998343</v>
      </c>
      <c r="H34" s="20" t="n">
        <v>3.77298154</v>
      </c>
      <c r="I34" s="18" t="n">
        <v>0</v>
      </c>
      <c r="J34" s="20" t="n">
        <v>0</v>
      </c>
      <c r="K34" s="18" t="n">
        <v>0.3636487</v>
      </c>
      <c r="L34" s="20" t="n">
        <v>0.2050743</v>
      </c>
      <c r="M34" s="18" t="n">
        <v>0</v>
      </c>
      <c r="N34" s="20" t="n">
        <v>0</v>
      </c>
      <c r="O34" s="18" t="n">
        <v>0</v>
      </c>
      <c r="P34" s="20" t="n">
        <v>0</v>
      </c>
      <c r="Q34" s="18" t="n">
        <v>0.40310788</v>
      </c>
      <c r="R34" s="20" t="n">
        <v>0.29071362</v>
      </c>
    </row>
    <row r="35" spans="1:18">
      <c r="A35" s="15" t="s">
        <v>593</v>
      </c>
      <c r="B35" s="17" t="n">
        <v>2901</v>
      </c>
      <c r="C35" s="18">
        <f>(2542.0/B35*100)</f>
        <v/>
      </c>
      <c r="D35" s="19" t="n">
        <v>359</v>
      </c>
      <c r="E35" s="18" t="n">
        <v>12.95666343</v>
      </c>
      <c r="F35" s="20" t="n">
        <v>1.83540456</v>
      </c>
      <c r="G35" s="18" t="n">
        <v>87.04333656999999</v>
      </c>
      <c r="H35" s="20" t="n">
        <v>1.83540456</v>
      </c>
      <c r="I35" s="18" t="n">
        <v>0</v>
      </c>
      <c r="J35" s="20" t="n">
        <v>0</v>
      </c>
      <c r="K35" s="18" t="n">
        <v>0</v>
      </c>
      <c r="L35" s="20" t="n">
        <v>0</v>
      </c>
      <c r="M35" s="18" t="n">
        <v>0</v>
      </c>
      <c r="N35" s="20" t="n">
        <v>0</v>
      </c>
      <c r="O35" s="18" t="n">
        <v>0</v>
      </c>
      <c r="P35" s="20" t="n">
        <v>0</v>
      </c>
      <c r="Q35" s="18" t="n">
        <v>0</v>
      </c>
      <c r="R35" s="20" t="n">
        <v>0</v>
      </c>
    </row>
    <row r="36" spans="1:18">
      <c r="A36" s="15" t="s">
        <v>594</v>
      </c>
      <c r="B36" s="17" t="n">
        <v>3404</v>
      </c>
      <c r="C36" s="18">
        <f>(3052.0/B36*100)</f>
        <v/>
      </c>
      <c r="D36" s="19" t="n">
        <v>352</v>
      </c>
      <c r="E36" s="18" t="n">
        <v>21.63729358</v>
      </c>
      <c r="F36" s="20" t="n">
        <v>2.33137998</v>
      </c>
      <c r="G36" s="18" t="n">
        <v>78.33868567</v>
      </c>
      <c r="H36" s="20" t="n">
        <v>2.32911844</v>
      </c>
      <c r="I36" s="18" t="n">
        <v>0</v>
      </c>
      <c r="J36" s="20" t="n">
        <v>0</v>
      </c>
      <c r="K36" s="18" t="n">
        <v>0</v>
      </c>
      <c r="L36" s="20" t="n">
        <v>0</v>
      </c>
      <c r="M36" s="18" t="n">
        <v>0</v>
      </c>
      <c r="N36" s="20" t="n">
        <v>0</v>
      </c>
      <c r="O36" s="18" t="n">
        <v>0</v>
      </c>
      <c r="P36" s="20" t="n">
        <v>0</v>
      </c>
      <c r="Q36" s="18" t="n">
        <v>0.02402075</v>
      </c>
      <c r="R36" s="20" t="n">
        <v>0.02396153</v>
      </c>
    </row>
    <row r="37" spans="1:18">
      <c r="A37" s="15" t="s">
        <v>595</v>
      </c>
      <c r="B37" s="17" t="n">
        <v>2731</v>
      </c>
      <c r="C37" s="18">
        <f>(2454.0/B37*100)</f>
        <v/>
      </c>
      <c r="D37" s="19" t="n">
        <v>277</v>
      </c>
      <c r="E37" s="18" t="n">
        <v>30.99689375</v>
      </c>
      <c r="F37" s="20" t="n">
        <v>3.14551795</v>
      </c>
      <c r="G37" s="18" t="n">
        <v>68.09358020000001</v>
      </c>
      <c r="H37" s="20" t="n">
        <v>3.29865085</v>
      </c>
      <c r="I37" s="18" t="n">
        <v>0</v>
      </c>
      <c r="J37" s="20" t="n">
        <v>0</v>
      </c>
      <c r="K37" s="18" t="n">
        <v>0.90952605</v>
      </c>
      <c r="L37" s="20" t="n">
        <v>0.68102837</v>
      </c>
      <c r="M37" s="18" t="n">
        <v>0</v>
      </c>
      <c r="N37" s="20" t="n">
        <v>0</v>
      </c>
      <c r="O37" s="18" t="n">
        <v>0</v>
      </c>
      <c r="P37" s="20" t="n">
        <v>0</v>
      </c>
      <c r="Q37" s="18" t="n">
        <v>0</v>
      </c>
      <c r="R37" s="20" t="n">
        <v>0</v>
      </c>
    </row>
    <row r="38" spans="1:18">
      <c r="A38" s="15" t="s">
        <v>596</v>
      </c>
      <c r="B38" s="17" t="n">
        <v>2807</v>
      </c>
      <c r="C38" s="18">
        <f>(2522.0/B38*100)</f>
        <v/>
      </c>
      <c r="D38" s="19" t="n">
        <v>285</v>
      </c>
      <c r="E38" s="18" t="n">
        <v>13.39759111</v>
      </c>
      <c r="F38" s="20" t="n">
        <v>2.00276107</v>
      </c>
      <c r="G38" s="18" t="n">
        <v>84.9004884</v>
      </c>
      <c r="H38" s="20" t="n">
        <v>2.13913162</v>
      </c>
      <c r="I38" s="18" t="n">
        <v>0</v>
      </c>
      <c r="J38" s="20" t="n">
        <v>0</v>
      </c>
      <c r="K38" s="18" t="n">
        <v>1.70192049</v>
      </c>
      <c r="L38" s="20" t="n">
        <v>0.77171817</v>
      </c>
      <c r="M38" s="18" t="n">
        <v>0</v>
      </c>
      <c r="N38" s="20" t="n">
        <v>0</v>
      </c>
      <c r="O38" s="18" t="n">
        <v>0</v>
      </c>
      <c r="P38" s="20" t="n">
        <v>0</v>
      </c>
      <c r="Q38" s="18" t="n">
        <v>0</v>
      </c>
      <c r="R38" s="20" t="n">
        <v>0</v>
      </c>
    </row>
    <row r="39" spans="1:18">
      <c r="A39" s="15" t="s">
        <v>597</v>
      </c>
      <c r="B39" s="17" t="n">
        <v>2938</v>
      </c>
      <c r="C39" s="18">
        <f>(2615.0/B39*100)</f>
        <v/>
      </c>
      <c r="D39" s="19" t="n">
        <v>323</v>
      </c>
      <c r="E39" s="18" t="n">
        <v>39.36642903</v>
      </c>
      <c r="F39" s="20" t="n">
        <v>3.14606112</v>
      </c>
      <c r="G39" s="18" t="n">
        <v>60.63357097</v>
      </c>
      <c r="H39" s="20" t="n">
        <v>3.14606112</v>
      </c>
      <c r="I39" s="18" t="n">
        <v>0</v>
      </c>
      <c r="J39" s="20" t="n">
        <v>0</v>
      </c>
      <c r="K39" s="18" t="n">
        <v>0</v>
      </c>
      <c r="L39" s="20" t="n">
        <v>0</v>
      </c>
      <c r="M39" s="18" t="n">
        <v>0</v>
      </c>
      <c r="N39" s="20" t="n">
        <v>0</v>
      </c>
      <c r="O39" s="18" t="n">
        <v>0</v>
      </c>
      <c r="P39" s="20" t="n">
        <v>0</v>
      </c>
      <c r="Q39" s="18" t="n">
        <v>0</v>
      </c>
      <c r="R39" s="20" t="n">
        <v>0</v>
      </c>
    </row>
    <row r="40" spans="1:18">
      <c r="A40" s="15" t="s">
        <v>598</v>
      </c>
      <c r="B40" s="17" t="n">
        <v>6922</v>
      </c>
      <c r="C40" s="18">
        <f>(6189.0/B40*100)</f>
        <v/>
      </c>
      <c r="D40" s="19" t="n">
        <v>733</v>
      </c>
      <c r="E40" s="18" t="n">
        <v>16.34908233</v>
      </c>
      <c r="F40" s="20" t="n">
        <v>1.91292512</v>
      </c>
      <c r="G40" s="18" t="n">
        <v>83.34417893</v>
      </c>
      <c r="H40" s="20" t="n">
        <v>1.93735029</v>
      </c>
      <c r="I40" s="18" t="n">
        <v>0</v>
      </c>
      <c r="J40" s="20" t="n">
        <v>0</v>
      </c>
      <c r="K40" s="18" t="n">
        <v>0.23447028</v>
      </c>
      <c r="L40" s="20" t="n">
        <v>0.13310594</v>
      </c>
      <c r="M40" s="18" t="n">
        <v>0</v>
      </c>
      <c r="N40" s="20" t="n">
        <v>0</v>
      </c>
      <c r="O40" s="18" t="n">
        <v>0</v>
      </c>
      <c r="P40" s="20" t="n">
        <v>0</v>
      </c>
      <c r="Q40" s="18" t="n">
        <v>0.07226846000000001</v>
      </c>
      <c r="R40" s="20" t="n">
        <v>0.05349947</v>
      </c>
    </row>
    <row r="41" spans="1:18">
      <c r="A41" s="15" t="s">
        <v>599</v>
      </c>
      <c r="B41" s="17" t="n">
        <v>2854</v>
      </c>
      <c r="C41" s="18">
        <f>(2553.0/B41*100)</f>
        <v/>
      </c>
      <c r="D41" s="19" t="n">
        <v>301</v>
      </c>
      <c r="E41" s="18" t="n">
        <v>20.92938575</v>
      </c>
      <c r="F41" s="20" t="n">
        <v>2.46097251</v>
      </c>
      <c r="G41" s="18" t="n">
        <v>79.07061425000001</v>
      </c>
      <c r="H41" s="20" t="n">
        <v>2.46097251</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(11195.0/B46*100)</f>
        <v/>
      </c>
      <c r="D46" s="19" t="n">
        <v>878</v>
      </c>
      <c r="E46" s="18" t="n">
        <v>36.85661327</v>
      </c>
      <c r="F46" s="20" t="n">
        <v>2.22657991</v>
      </c>
      <c r="G46" s="18" t="n">
        <v>59.02406835</v>
      </c>
      <c r="H46" s="20" t="n">
        <v>2.3293987</v>
      </c>
      <c r="I46" s="18" t="n">
        <v>0</v>
      </c>
      <c r="J46" s="20" t="n">
        <v>0</v>
      </c>
      <c r="K46" s="18" t="n">
        <v>3.02311688</v>
      </c>
      <c r="L46" s="20" t="n">
        <v>0.9239184</v>
      </c>
      <c r="M46" s="18" t="n">
        <v>0</v>
      </c>
      <c r="N46" s="20" t="n">
        <v>0</v>
      </c>
      <c r="O46" s="18" t="n">
        <v>0</v>
      </c>
      <c r="P46" s="20" t="n">
        <v>0</v>
      </c>
      <c r="Q46" s="18" t="n">
        <v>1.0962015</v>
      </c>
      <c r="R46" s="20" t="n">
        <v>0.46501094</v>
      </c>
    </row>
    <row r="47" spans="1:18">
      <c r="A47" s="15" t="s">
        <v>606</v>
      </c>
      <c r="B47" s="17" t="n">
        <v>2823</v>
      </c>
      <c r="C47" s="18">
        <f>(2531.0/B47*100)</f>
        <v/>
      </c>
      <c r="D47" s="19" t="n">
        <v>292</v>
      </c>
      <c r="E47" s="18" t="n">
        <v>35.13988122</v>
      </c>
      <c r="F47" s="20" t="n">
        <v>2.81984715</v>
      </c>
      <c r="G47" s="18" t="n">
        <v>61.0971922</v>
      </c>
      <c r="H47" s="20" t="n">
        <v>2.83701231</v>
      </c>
      <c r="I47" s="18" t="n">
        <v>0</v>
      </c>
      <c r="J47" s="20" t="n">
        <v>0</v>
      </c>
      <c r="K47" s="18" t="n">
        <v>3.09570004</v>
      </c>
      <c r="L47" s="20" t="n">
        <v>1.1489835</v>
      </c>
      <c r="M47" s="18" t="n">
        <v>0</v>
      </c>
      <c r="N47" s="20" t="n">
        <v>0</v>
      </c>
      <c r="O47" s="18" t="n">
        <v>0</v>
      </c>
      <c r="P47" s="20" t="n">
        <v>0</v>
      </c>
      <c r="Q47" s="18" t="n">
        <v>0.66722653</v>
      </c>
      <c r="R47" s="20" t="n">
        <v>0.4842202</v>
      </c>
    </row>
    <row r="48" spans="1:18">
      <c r="A48" s="15" t="s">
        <v>607</v>
      </c>
      <c r="B48" s="17" t="n">
        <v>4682</v>
      </c>
      <c r="C48" s="18">
        <f>(4193.0/B48*100)</f>
        <v/>
      </c>
      <c r="D48" s="19" t="n">
        <v>489</v>
      </c>
      <c r="E48" s="18" t="n">
        <v>28.75507956</v>
      </c>
      <c r="F48" s="20" t="n">
        <v>3.4236243</v>
      </c>
      <c r="G48" s="18" t="n">
        <v>70.31972614</v>
      </c>
      <c r="H48" s="20" t="n">
        <v>3.45512765</v>
      </c>
      <c r="I48" s="18" t="n">
        <v>0</v>
      </c>
      <c r="J48" s="20" t="n">
        <v>0</v>
      </c>
      <c r="K48" s="18" t="n">
        <v>0.9251943</v>
      </c>
      <c r="L48" s="20" t="n">
        <v>0.68234382</v>
      </c>
      <c r="M48" s="18" t="n">
        <v>0</v>
      </c>
      <c r="N48" s="20" t="n">
        <v>0</v>
      </c>
      <c r="O48" s="18" t="n">
        <v>0</v>
      </c>
      <c r="P48" s="20" t="n">
        <v>0</v>
      </c>
      <c r="Q48" s="18" t="n">
        <v>0</v>
      </c>
      <c r="R48" s="20" t="n">
        <v>0</v>
      </c>
    </row>
    <row r="49" spans="1:18">
      <c r="A49" s="15" t="s">
        <v>608</v>
      </c>
      <c r="B49" s="17" t="n">
        <v>6158</v>
      </c>
      <c r="C49" s="18">
        <f>(5517.0/B49*100)</f>
        <v/>
      </c>
      <c r="D49" s="19" t="n">
        <v>641</v>
      </c>
      <c r="E49" s="18" t="n">
        <v>32.91504526</v>
      </c>
      <c r="F49" s="20" t="n">
        <v>2.31267537</v>
      </c>
      <c r="G49" s="18" t="n">
        <v>64.33282337</v>
      </c>
      <c r="H49" s="20" t="n">
        <v>2.36102524</v>
      </c>
      <c r="I49" s="18" t="n">
        <v>0</v>
      </c>
      <c r="J49" s="20" t="n">
        <v>0</v>
      </c>
      <c r="K49" s="18" t="n">
        <v>2.75213137</v>
      </c>
      <c r="L49" s="20" t="n">
        <v>0.84335632</v>
      </c>
      <c r="M49" s="18" t="n">
        <v>0</v>
      </c>
      <c r="N49" s="20" t="n">
        <v>0</v>
      </c>
      <c r="O49" s="18" t="n">
        <v>0</v>
      </c>
      <c r="P49" s="20" t="n">
        <v>0</v>
      </c>
      <c r="Q49" s="18" t="n">
        <v>0</v>
      </c>
      <c r="R49" s="20" t="n">
        <v>0</v>
      </c>
    </row>
    <row r="50" spans="1:18">
      <c r="A50" s="15" t="s">
        <v>609</v>
      </c>
      <c r="B50" s="17" t="n">
        <v>3494</v>
      </c>
      <c r="C50" s="18">
        <f>(2855.0/B50*100)</f>
        <v/>
      </c>
      <c r="D50" s="19" t="n">
        <v>639</v>
      </c>
      <c r="E50" s="18" t="n">
        <v>37.52228297</v>
      </c>
      <c r="F50" s="20" t="n">
        <v>2.4564496</v>
      </c>
      <c r="G50" s="18" t="n">
        <v>62.18820099</v>
      </c>
      <c r="H50" s="20" t="n">
        <v>2.44665871</v>
      </c>
      <c r="I50" s="18" t="n">
        <v>0</v>
      </c>
      <c r="J50" s="20" t="n">
        <v>0</v>
      </c>
      <c r="K50" s="18" t="n">
        <v>0.28951604</v>
      </c>
      <c r="L50" s="20" t="n">
        <v>0.21482173</v>
      </c>
      <c r="M50" s="18" t="n">
        <v>0</v>
      </c>
      <c r="N50" s="20" t="n">
        <v>0</v>
      </c>
      <c r="O50" s="18" t="n">
        <v>0</v>
      </c>
      <c r="P50" s="20" t="n">
        <v>0</v>
      </c>
      <c r="Q50" s="18" t="n">
        <v>0</v>
      </c>
      <c r="R50" s="20" t="n">
        <v>0</v>
      </c>
    </row>
    <row r="51" spans="1:18">
      <c r="A51" s="15" t="s">
        <v>610</v>
      </c>
      <c r="B51" s="17" t="n">
        <v>3013</v>
      </c>
      <c r="C51" s="18">
        <f>(2705.0/B51*100)</f>
        <v/>
      </c>
      <c r="D51" s="19" t="n">
        <v>308</v>
      </c>
      <c r="E51" s="18" t="n">
        <v>17.33196257</v>
      </c>
      <c r="F51" s="20" t="n">
        <v>2.36339125</v>
      </c>
      <c r="G51" s="18" t="n">
        <v>81.97654443</v>
      </c>
      <c r="H51" s="20" t="n">
        <v>2.31852337</v>
      </c>
      <c r="I51" s="18" t="n">
        <v>0</v>
      </c>
      <c r="J51" s="20" t="n">
        <v>0</v>
      </c>
      <c r="K51" s="18" t="n">
        <v>0.36513192</v>
      </c>
      <c r="L51" s="20" t="n">
        <v>0.35405897</v>
      </c>
      <c r="M51" s="18" t="n">
        <v>0</v>
      </c>
      <c r="N51" s="20" t="n">
        <v>0</v>
      </c>
      <c r="O51" s="18" t="n">
        <v>0</v>
      </c>
      <c r="P51" s="20" t="n">
        <v>0</v>
      </c>
      <c r="Q51" s="18" t="n">
        <v>0.32636108</v>
      </c>
      <c r="R51" s="20" t="n">
        <v>0.32469263</v>
      </c>
    </row>
    <row r="52" spans="1:18">
      <c r="A52" s="15" t="s">
        <v>611</v>
      </c>
      <c r="B52" s="17" t="n">
        <v>2760</v>
      </c>
      <c r="C52" s="18">
        <f>(2473.0/B52*100)</f>
        <v/>
      </c>
      <c r="D52" s="19" t="n">
        <v>287</v>
      </c>
      <c r="E52" s="18" t="n">
        <v>29.47500892</v>
      </c>
      <c r="F52" s="20" t="n">
        <v>2.49025261</v>
      </c>
      <c r="G52" s="18" t="n">
        <v>69.77589789</v>
      </c>
      <c r="H52" s="20" t="n">
        <v>2.52256209</v>
      </c>
      <c r="I52" s="18" t="n">
        <v>0</v>
      </c>
      <c r="J52" s="20" t="n">
        <v>0</v>
      </c>
      <c r="K52" s="18" t="n">
        <v>0.74909319</v>
      </c>
      <c r="L52" s="20" t="n">
        <v>0.54266465</v>
      </c>
      <c r="M52" s="18" t="n">
        <v>0</v>
      </c>
      <c r="N52" s="20" t="n">
        <v>0</v>
      </c>
      <c r="O52" s="18" t="n">
        <v>0</v>
      </c>
      <c r="P52" s="20" t="n">
        <v>0</v>
      </c>
      <c r="Q52" s="18" t="n">
        <v>0</v>
      </c>
      <c r="R52" s="20" t="n">
        <v>0</v>
      </c>
    </row>
    <row r="53" spans="1:18">
      <c r="A53" s="15" t="s">
        <v>612</v>
      </c>
      <c r="B53" s="17" t="n">
        <v>2474</v>
      </c>
      <c r="C53" s="18">
        <f>(2187.0/B53*100)</f>
        <v/>
      </c>
      <c r="D53" s="19" t="n">
        <v>287</v>
      </c>
      <c r="E53" s="18" t="n">
        <v>38.51809814</v>
      </c>
      <c r="F53" s="20" t="n">
        <v>2.98326171</v>
      </c>
      <c r="G53" s="18" t="n">
        <v>32.8570011</v>
      </c>
      <c r="H53" s="20" t="n">
        <v>2.55278899</v>
      </c>
      <c r="I53" s="18" t="n">
        <v>0</v>
      </c>
      <c r="J53" s="20" t="n">
        <v>0</v>
      </c>
      <c r="K53" s="18" t="n">
        <v>27.38989986</v>
      </c>
      <c r="L53" s="20" t="n">
        <v>2.61592142</v>
      </c>
      <c r="M53" s="18" t="n">
        <v>0</v>
      </c>
      <c r="N53" s="20" t="n">
        <v>0</v>
      </c>
      <c r="O53" s="18" t="n">
        <v>0</v>
      </c>
      <c r="P53" s="20" t="n">
        <v>0</v>
      </c>
      <c r="Q53" s="18" t="n">
        <v>1.2350009</v>
      </c>
      <c r="R53" s="20" t="n">
        <v>1.01851061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(2397.0/B55*100)</f>
        <v/>
      </c>
      <c r="D55" s="19" t="n">
        <v>278</v>
      </c>
      <c r="E55" s="18" t="n">
        <v>24.8624543</v>
      </c>
      <c r="F55" s="20" t="n">
        <v>2.59002467</v>
      </c>
      <c r="G55" s="18" t="n">
        <v>75.1375457</v>
      </c>
      <c r="H55" s="20" t="n">
        <v>2.59002467</v>
      </c>
      <c r="I55" s="18" t="n">
        <v>0</v>
      </c>
      <c r="J55" s="20" t="n">
        <v>0</v>
      </c>
      <c r="K55" s="18" t="n">
        <v>0</v>
      </c>
      <c r="L55" s="20" t="n">
        <v>0</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(2843.0/B61*100)</f>
        <v/>
      </c>
      <c r="D61" s="19" t="n">
        <v>358</v>
      </c>
      <c r="E61" s="18" t="n">
        <v>24.9490468</v>
      </c>
      <c r="F61" s="20" t="n">
        <v>2.35138752</v>
      </c>
      <c r="G61" s="18" t="n">
        <v>74.67687243</v>
      </c>
      <c r="H61" s="20" t="n">
        <v>2.37515991</v>
      </c>
      <c r="I61" s="18" t="n">
        <v>0</v>
      </c>
      <c r="J61" s="20" t="n">
        <v>0</v>
      </c>
      <c r="K61" s="18" t="n">
        <v>0.37408077</v>
      </c>
      <c r="L61" s="20" t="n">
        <v>0.22894246</v>
      </c>
      <c r="M61" s="18" t="n">
        <v>0</v>
      </c>
      <c r="N61" s="20" t="n">
        <v>0</v>
      </c>
      <c r="O61" s="18" t="n">
        <v>0</v>
      </c>
      <c r="P61" s="20" t="n">
        <v>0</v>
      </c>
      <c r="Q61" s="18" t="n">
        <v>0</v>
      </c>
      <c r="R61" s="20" t="n">
        <v>0</v>
      </c>
    </row>
    <row r="62" spans="1:18">
      <c r="A62" s="15" t="s">
        <v>622</v>
      </c>
      <c r="B62" s="17" t="n">
        <v>2230</v>
      </c>
      <c r="C62" s="18">
        <f>(2018.0/B62*100)</f>
        <v/>
      </c>
      <c r="D62" s="19" t="n">
        <v>212</v>
      </c>
      <c r="E62" s="18" t="n">
        <v>28.78043118</v>
      </c>
      <c r="F62" s="20" t="n">
        <v>3.3212867</v>
      </c>
      <c r="G62" s="18" t="n">
        <v>71.21956882000001</v>
      </c>
      <c r="H62" s="20" t="n">
        <v>3.3212867</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(2480.0/B67*100)</f>
        <v/>
      </c>
      <c r="D67" s="19" t="n">
        <v>291</v>
      </c>
      <c r="E67" s="18" t="n">
        <v>42.34599397</v>
      </c>
      <c r="F67" s="20" t="n">
        <v>3.20238638</v>
      </c>
      <c r="G67" s="18" t="n">
        <v>55.00660839</v>
      </c>
      <c r="H67" s="20" t="n">
        <v>3.26718096</v>
      </c>
      <c r="I67" s="18" t="n">
        <v>0</v>
      </c>
      <c r="J67" s="20" t="n">
        <v>0</v>
      </c>
      <c r="K67" s="18" t="n">
        <v>2.64739764</v>
      </c>
      <c r="L67" s="20" t="n">
        <v>1.04072577</v>
      </c>
      <c r="M67" s="18" t="n">
        <v>0</v>
      </c>
      <c r="N67" s="20" t="n">
        <v>0</v>
      </c>
      <c r="O67" s="18" t="n">
        <v>0</v>
      </c>
      <c r="P67" s="20" t="n">
        <v>0</v>
      </c>
      <c r="Q67" s="18" t="n">
        <v>0</v>
      </c>
      <c r="R67" s="20" t="n">
        <v>0</v>
      </c>
    </row>
    <row r="68" spans="1:18">
      <c r="A68" s="15" t="s">
        <v>628</v>
      </c>
      <c r="B68" s="17" t="n">
        <v>3460</v>
      </c>
      <c r="C68" s="18">
        <f>(3180.0/B68*100)</f>
        <v/>
      </c>
      <c r="D68" s="19" t="n">
        <v>280</v>
      </c>
      <c r="E68" s="18" t="n">
        <v>54.35812848</v>
      </c>
      <c r="F68" s="20" t="n">
        <v>3.47582968</v>
      </c>
      <c r="G68" s="18" t="n">
        <v>45.32608318</v>
      </c>
      <c r="H68" s="20" t="n">
        <v>3.47206292</v>
      </c>
      <c r="I68" s="18" t="n">
        <v>0</v>
      </c>
      <c r="J68" s="20" t="n">
        <v>0</v>
      </c>
      <c r="K68" s="18" t="n">
        <v>0.31578834</v>
      </c>
      <c r="L68" s="20" t="n">
        <v>0.31144064</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(5344.0/B70*100)</f>
        <v/>
      </c>
      <c r="D70" s="19" t="n">
        <v>690</v>
      </c>
      <c r="E70" s="18" t="n">
        <v>50.38383972</v>
      </c>
      <c r="F70" s="20" t="n">
        <v>1.97070126</v>
      </c>
      <c r="G70" s="18" t="n">
        <v>45.81707709</v>
      </c>
      <c r="H70" s="20" t="n">
        <v>1.91100781</v>
      </c>
      <c r="I70" s="18" t="n">
        <v>0</v>
      </c>
      <c r="J70" s="20" t="n">
        <v>0</v>
      </c>
      <c r="K70" s="18" t="n">
        <v>3.65631345</v>
      </c>
      <c r="L70" s="20" t="n">
        <v>0.61382398</v>
      </c>
      <c r="M70" s="18" t="n">
        <v>0</v>
      </c>
      <c r="N70" s="20" t="n">
        <v>0</v>
      </c>
      <c r="O70" s="18" t="n">
        <v>0</v>
      </c>
      <c r="P70" s="20" t="n">
        <v>0</v>
      </c>
      <c r="Q70" s="18" t="n">
        <v>0.14276974</v>
      </c>
      <c r="R70" s="20" t="n">
        <v>0.14273369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(2819.0/B72*100)</f>
        <v/>
      </c>
      <c r="D72" s="19" t="n">
        <v>288</v>
      </c>
      <c r="E72" s="18" t="n">
        <v>45.52875781</v>
      </c>
      <c r="F72" s="20" t="n">
        <v>2.62974665</v>
      </c>
      <c r="G72" s="18" t="n">
        <v>53.07560258</v>
      </c>
      <c r="H72" s="20" t="n">
        <v>2.80249351</v>
      </c>
      <c r="I72" s="18" t="n">
        <v>0</v>
      </c>
      <c r="J72" s="20" t="n">
        <v>0</v>
      </c>
      <c r="K72" s="18" t="n">
        <v>0.78403493</v>
      </c>
      <c r="L72" s="20" t="n">
        <v>0.59373007</v>
      </c>
      <c r="M72" s="18" t="n">
        <v>0</v>
      </c>
      <c r="N72" s="20" t="n">
        <v>0</v>
      </c>
      <c r="O72" s="18" t="n">
        <v>0</v>
      </c>
      <c r="P72" s="20" t="n">
        <v>0</v>
      </c>
      <c r="Q72" s="18" t="n">
        <v>0.61160467</v>
      </c>
      <c r="R72" s="20" t="n">
        <v>0.36316503</v>
      </c>
    </row>
    <row r="73" spans="1:18">
      <c r="A73" s="15" t="s">
        <v>633</v>
      </c>
      <c r="B73" s="17" t="n">
        <v>2973</v>
      </c>
      <c r="C73" s="18">
        <f>(2630.0/B73*100)</f>
        <v/>
      </c>
      <c r="D73" s="19" t="n">
        <v>343</v>
      </c>
      <c r="E73" s="18" t="n">
        <v>32.24357698</v>
      </c>
      <c r="F73" s="20" t="n">
        <v>2.73309574</v>
      </c>
      <c r="G73" s="18" t="n">
        <v>66.74052956</v>
      </c>
      <c r="H73" s="20" t="n">
        <v>2.80588487</v>
      </c>
      <c r="I73" s="18" t="n">
        <v>0</v>
      </c>
      <c r="J73" s="20" t="n">
        <v>0</v>
      </c>
      <c r="K73" s="18" t="n">
        <v>1.01589346</v>
      </c>
      <c r="L73" s="20" t="n">
        <v>0.58780618</v>
      </c>
      <c r="M73" s="18" t="n">
        <v>0</v>
      </c>
      <c r="N73" s="20" t="n">
        <v>0</v>
      </c>
      <c r="O73" s="18" t="n">
        <v>0</v>
      </c>
      <c r="P73" s="20" t="n">
        <v>0</v>
      </c>
      <c r="Q73" s="18" t="n">
        <v>0</v>
      </c>
      <c r="R73" s="20" t="n">
        <v>0</v>
      </c>
    </row>
    <row r="74" spans="1:18">
      <c r="A74" s="15" t="s">
        <v>634</v>
      </c>
      <c r="B74" s="17" t="n">
        <v>3819</v>
      </c>
      <c r="C74" s="18">
        <f>(3417.0/B74*100)</f>
        <v/>
      </c>
      <c r="D74" s="19" t="n">
        <v>402</v>
      </c>
      <c r="E74" s="18" t="n">
        <v>31.72341973</v>
      </c>
      <c r="F74" s="20" t="n">
        <v>2.38473638</v>
      </c>
      <c r="G74" s="18" t="n">
        <v>68.27658027</v>
      </c>
      <c r="H74" s="20" t="n">
        <v>2.38473638</v>
      </c>
      <c r="I74" s="18" t="n">
        <v>0</v>
      </c>
      <c r="J74" s="20" t="n">
        <v>0</v>
      </c>
      <c r="K74" s="18" t="n">
        <v>0</v>
      </c>
      <c r="L74" s="20" t="n">
        <v>0</v>
      </c>
      <c r="M74" s="18" t="n">
        <v>0</v>
      </c>
      <c r="N74" s="20" t="n">
        <v>0</v>
      </c>
      <c r="O74" s="18" t="n">
        <v>0</v>
      </c>
      <c r="P74" s="20" t="n">
        <v>0</v>
      </c>
      <c r="Q74" s="18" t="n">
        <v>0</v>
      </c>
      <c r="R74" s="20" t="n">
        <v>0</v>
      </c>
    </row>
    <row r="75" spans="1:18">
      <c r="A75" s="15" t="s">
        <v>635</v>
      </c>
      <c r="B75" s="17" t="n">
        <v>4652</v>
      </c>
      <c r="C75" s="18">
        <f>(4176.0/B75*100)</f>
        <v/>
      </c>
      <c r="D75" s="19" t="n">
        <v>476</v>
      </c>
      <c r="E75" s="18" t="n">
        <v>36.36979234</v>
      </c>
      <c r="F75" s="20" t="n">
        <v>2.28711187</v>
      </c>
      <c r="G75" s="18" t="n">
        <v>63.63020766</v>
      </c>
      <c r="H75" s="20" t="n">
        <v>2.28711187</v>
      </c>
      <c r="I75" s="18" t="n">
        <v>0</v>
      </c>
      <c r="J75" s="20" t="n">
        <v>0</v>
      </c>
      <c r="K75" s="18" t="n">
        <v>0</v>
      </c>
      <c r="L75" s="20" t="n">
        <v>0</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(2689.0/B77*100)</f>
        <v/>
      </c>
      <c r="D77" s="19" t="n">
        <v>280</v>
      </c>
      <c r="E77" s="18" t="n">
        <v>32.19881985</v>
      </c>
      <c r="F77" s="20" t="n">
        <v>3.17668696</v>
      </c>
      <c r="G77" s="18" t="n">
        <v>56.08404496</v>
      </c>
      <c r="H77" s="20" t="n">
        <v>3.20634039</v>
      </c>
      <c r="I77" s="18" t="n">
        <v>0</v>
      </c>
      <c r="J77" s="20" t="n">
        <v>0</v>
      </c>
      <c r="K77" s="18" t="n">
        <v>9.86603655</v>
      </c>
      <c r="L77" s="20" t="n">
        <v>2.29686881</v>
      </c>
      <c r="M77" s="18" t="n">
        <v>0</v>
      </c>
      <c r="N77" s="20" t="n">
        <v>0</v>
      </c>
      <c r="O77" s="18" t="n">
        <v>0</v>
      </c>
      <c r="P77" s="20" t="n">
        <v>0</v>
      </c>
      <c r="Q77" s="18" t="n">
        <v>1.85109865</v>
      </c>
      <c r="R77" s="20" t="n">
        <v>0.8408157000000001</v>
      </c>
    </row>
    <row r="78" spans="1:18">
      <c r="A78" s="15" t="s">
        <v>638</v>
      </c>
      <c r="B78" s="17" t="n">
        <v>7115</v>
      </c>
      <c r="C78" s="18">
        <f>(6363.0/B78*100)</f>
        <v/>
      </c>
      <c r="D78" s="19" t="n">
        <v>752</v>
      </c>
      <c r="E78" s="18" t="n">
        <v>40.09584073</v>
      </c>
      <c r="F78" s="20" t="n">
        <v>2.97434255</v>
      </c>
      <c r="G78" s="18" t="n">
        <v>57.54084087</v>
      </c>
      <c r="H78" s="20" t="n">
        <v>2.81063773</v>
      </c>
      <c r="I78" s="18" t="n">
        <v>0</v>
      </c>
      <c r="J78" s="20" t="n">
        <v>0</v>
      </c>
      <c r="K78" s="18" t="n">
        <v>2.18612224</v>
      </c>
      <c r="L78" s="20" t="n">
        <v>0.58255768</v>
      </c>
      <c r="M78" s="18" t="n">
        <v>0</v>
      </c>
      <c r="N78" s="20" t="n">
        <v>0</v>
      </c>
      <c r="O78" s="18" t="n">
        <v>0</v>
      </c>
      <c r="P78" s="20" t="n">
        <v>0</v>
      </c>
      <c r="Q78" s="18" t="n">
        <v>0.17719615</v>
      </c>
      <c r="R78" s="20" t="n">
        <v>0.17747906</v>
      </c>
    </row>
    <row r="79" spans="1:18">
      <c r="A79" s="15" t="s">
        <v>639</v>
      </c>
      <c r="B79" s="17" t="n">
        <v>3154</v>
      </c>
      <c r="C79" s="18">
        <f>(2831.0/B79*100)</f>
        <v/>
      </c>
      <c r="D79" s="19" t="n">
        <v>323</v>
      </c>
      <c r="E79" s="18" t="n">
        <v>28.9148177</v>
      </c>
      <c r="F79" s="20" t="n">
        <v>2.74391992</v>
      </c>
      <c r="G79" s="18" t="n">
        <v>67.72657857999999</v>
      </c>
      <c r="H79" s="20" t="n">
        <v>2.64733958</v>
      </c>
      <c r="I79" s="18" t="n">
        <v>0</v>
      </c>
      <c r="J79" s="20" t="n">
        <v>0</v>
      </c>
      <c r="K79" s="18" t="n">
        <v>2.02056781</v>
      </c>
      <c r="L79" s="20" t="n">
        <v>0.60639163</v>
      </c>
      <c r="M79" s="18" t="n">
        <v>0</v>
      </c>
      <c r="N79" s="20" t="n">
        <v>0</v>
      </c>
      <c r="O79" s="18" t="n">
        <v>0</v>
      </c>
      <c r="P79" s="20" t="n">
        <v>0</v>
      </c>
      <c r="Q79" s="18" t="n">
        <v>1.33803591</v>
      </c>
      <c r="R79" s="20" t="n">
        <v>0.70540501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(14259.0/B82*100)</f>
        <v/>
      </c>
      <c r="D82" s="19" t="n">
        <v>1702</v>
      </c>
      <c r="E82" s="18" t="n">
        <v>19.55694911</v>
      </c>
      <c r="F82" s="20" t="n">
        <v>1.3116881</v>
      </c>
      <c r="G82" s="18" t="n">
        <v>79.97363951</v>
      </c>
      <c r="H82" s="20" t="n">
        <v>1.31074649</v>
      </c>
      <c r="I82" s="18" t="n">
        <v>0</v>
      </c>
      <c r="J82" s="20" t="n">
        <v>0</v>
      </c>
      <c r="K82" s="18" t="n">
        <v>0.38101615</v>
      </c>
      <c r="L82" s="20" t="n">
        <v>0.13281234</v>
      </c>
      <c r="M82" s="18" t="n">
        <v>0</v>
      </c>
      <c r="N82" s="20" t="n">
        <v>0</v>
      </c>
      <c r="O82" s="18" t="n">
        <v>0</v>
      </c>
      <c r="P82" s="20" t="n">
        <v>0</v>
      </c>
      <c r="Q82" s="18" t="n">
        <v>0.08839524</v>
      </c>
      <c r="R82" s="20" t="n">
        <v>0.05744914</v>
      </c>
    </row>
    <row r="83" spans="1:18">
      <c r="A83" s="15" t="s">
        <v>643</v>
      </c>
      <c r="B83" s="17" t="n">
        <v>808</v>
      </c>
      <c r="C83" s="18">
        <f>(713.0/B83*100)</f>
        <v/>
      </c>
      <c r="D83" s="19" t="n">
        <v>95</v>
      </c>
      <c r="E83" s="18" t="n">
        <v>20.10858398</v>
      </c>
      <c r="F83" s="20" t="n">
        <v>4.26093822</v>
      </c>
      <c r="G83" s="18" t="n">
        <v>78.58421627</v>
      </c>
      <c r="H83" s="20" t="n">
        <v>4.63691268</v>
      </c>
      <c r="I83" s="18" t="n">
        <v>0</v>
      </c>
      <c r="J83" s="20" t="n">
        <v>0</v>
      </c>
      <c r="K83" s="18" t="n">
        <v>1.30719975</v>
      </c>
      <c r="L83" s="20" t="n">
        <v>1.23256301</v>
      </c>
      <c r="M83" s="18" t="n">
        <v>0</v>
      </c>
      <c r="N83" s="20" t="n">
        <v>0</v>
      </c>
      <c r="O83" s="18" t="n">
        <v>0</v>
      </c>
      <c r="P83" s="20" t="n">
        <v>0</v>
      </c>
      <c r="Q83" s="18" t="n">
        <v>0</v>
      </c>
      <c r="R83" s="20" t="n">
        <v>0</v>
      </c>
    </row>
    <row r="84" spans="1:18">
      <c r="A84" s="23" t="s">
        <v>644</v>
      </c>
      <c r="B84" s="24" t="n">
        <v>938</v>
      </c>
      <c r="C84" s="25">
        <f>(827.0/B84*100)</f>
        <v/>
      </c>
      <c r="D84" s="19" t="n">
        <v>111</v>
      </c>
      <c r="E84" s="18" t="n">
        <v>24.29155536</v>
      </c>
      <c r="F84" s="20" t="n">
        <v>3.98184753</v>
      </c>
      <c r="G84" s="18" t="n">
        <v>75.70844464</v>
      </c>
      <c r="H84" s="20" t="n">
        <v>3.98184753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(6414.0/B7*100)</f>
        <v/>
      </c>
      <c r="D7" s="19" t="n">
        <v>749</v>
      </c>
      <c r="E7" s="18" t="n">
        <v>18.15806575</v>
      </c>
      <c r="F7" s="20" t="n">
        <v>1.83314635</v>
      </c>
      <c r="G7" s="18" t="n">
        <v>81.05026896</v>
      </c>
      <c r="H7" s="20" t="n">
        <v>1.87522135</v>
      </c>
      <c r="I7" s="18" t="n">
        <v>0</v>
      </c>
      <c r="J7" s="20" t="n">
        <v>0</v>
      </c>
      <c r="K7" s="18" t="n">
        <v>0.35723319</v>
      </c>
      <c r="L7" s="20" t="n">
        <v>0.19211361</v>
      </c>
      <c r="M7" s="18" t="n">
        <v>0</v>
      </c>
      <c r="N7" s="20" t="n">
        <v>0</v>
      </c>
      <c r="O7" s="18" t="n">
        <v>0</v>
      </c>
      <c r="P7" s="20" t="n">
        <v>0</v>
      </c>
      <c r="Q7" s="18" t="n">
        <v>0.43443211</v>
      </c>
      <c r="R7" s="20" t="n">
        <v>0.29812761</v>
      </c>
    </row>
    <row r="8" spans="1:18">
      <c r="A8" s="15" t="s">
        <v>566</v>
      </c>
      <c r="B8" s="17" t="n">
        <v>3443</v>
      </c>
      <c r="C8" s="18">
        <f>(3059.0/B8*100)</f>
        <v/>
      </c>
      <c r="D8" s="19" t="n">
        <v>384</v>
      </c>
      <c r="E8" s="18" t="n">
        <v>10.48756984</v>
      </c>
      <c r="F8" s="20" t="n">
        <v>2.0169437</v>
      </c>
      <c r="G8" s="18" t="n">
        <v>88.97482085</v>
      </c>
      <c r="H8" s="20" t="n">
        <v>1.98526726</v>
      </c>
      <c r="I8" s="18" t="n">
        <v>0</v>
      </c>
      <c r="J8" s="20" t="n">
        <v>0</v>
      </c>
      <c r="K8" s="18" t="n">
        <v>0.53760931</v>
      </c>
      <c r="L8" s="20" t="n">
        <v>0.4799247</v>
      </c>
      <c r="M8" s="18" t="n">
        <v>0</v>
      </c>
      <c r="N8" s="20" t="n">
        <v>0</v>
      </c>
      <c r="O8" s="18" t="n">
        <v>0</v>
      </c>
      <c r="P8" s="20" t="n">
        <v>0</v>
      </c>
      <c r="Q8" s="18" t="n">
        <v>0</v>
      </c>
      <c r="R8" s="20" t="n">
        <v>0</v>
      </c>
    </row>
    <row r="9" spans="1:18">
      <c r="A9" s="15" t="s">
        <v>567</v>
      </c>
      <c r="B9" s="17" t="n">
        <v>4752</v>
      </c>
      <c r="C9" s="18">
        <f>(4150.0/B9*100)</f>
        <v/>
      </c>
      <c r="D9" s="19" t="n">
        <v>602</v>
      </c>
      <c r="E9" s="18" t="n">
        <v>24.30513543</v>
      </c>
      <c r="F9" s="20" t="n">
        <v>2.00310453</v>
      </c>
      <c r="G9" s="18" t="n">
        <v>72.84000421</v>
      </c>
      <c r="H9" s="20" t="n">
        <v>2.07013823</v>
      </c>
      <c r="I9" s="18" t="n">
        <v>0</v>
      </c>
      <c r="J9" s="20" t="n">
        <v>0</v>
      </c>
      <c r="K9" s="18" t="n">
        <v>1.79880555</v>
      </c>
      <c r="L9" s="20" t="n">
        <v>0.54843657</v>
      </c>
      <c r="M9" s="18" t="n">
        <v>0</v>
      </c>
      <c r="N9" s="20" t="n">
        <v>0</v>
      </c>
      <c r="O9" s="18" t="n">
        <v>0</v>
      </c>
      <c r="P9" s="20" t="n">
        <v>0</v>
      </c>
      <c r="Q9" s="18" t="n">
        <v>1.05605482</v>
      </c>
      <c r="R9" s="20" t="n">
        <v>0.4239301</v>
      </c>
    </row>
    <row r="10" spans="1:18">
      <c r="A10" s="15" t="s">
        <v>568</v>
      </c>
      <c r="B10" s="17" t="n">
        <v>10022</v>
      </c>
      <c r="C10" s="18">
        <f>(8932.0/B10*100)</f>
        <v/>
      </c>
      <c r="D10" s="19" t="n">
        <v>1090</v>
      </c>
      <c r="E10" s="18" t="n">
        <v>12.7716202</v>
      </c>
      <c r="F10" s="20" t="n">
        <v>1.50718396</v>
      </c>
      <c r="G10" s="18" t="n">
        <v>85.88519346</v>
      </c>
      <c r="H10" s="20" t="n">
        <v>1.58162081</v>
      </c>
      <c r="I10" s="18" t="n">
        <v>0</v>
      </c>
      <c r="J10" s="20" t="n">
        <v>0</v>
      </c>
      <c r="K10" s="18" t="n">
        <v>0.77335555</v>
      </c>
      <c r="L10" s="20" t="n">
        <v>0.35813348</v>
      </c>
      <c r="M10" s="18" t="n">
        <v>0</v>
      </c>
      <c r="N10" s="20" t="n">
        <v>0</v>
      </c>
      <c r="O10" s="18" t="n">
        <v>0</v>
      </c>
      <c r="P10" s="20" t="n">
        <v>0</v>
      </c>
      <c r="Q10" s="18" t="n">
        <v>0.56983079</v>
      </c>
      <c r="R10" s="20" t="n">
        <v>0.33413129</v>
      </c>
    </row>
    <row r="11" spans="1:18">
      <c r="A11" s="15" t="s">
        <v>569</v>
      </c>
      <c r="B11" s="17" t="n">
        <v>3500</v>
      </c>
      <c r="C11" s="18">
        <f>(3120.0/B11*100)</f>
        <v/>
      </c>
      <c r="D11" s="19" t="n">
        <v>380</v>
      </c>
      <c r="E11" s="18" t="n">
        <v>25.60729042</v>
      </c>
      <c r="F11" s="20" t="n">
        <v>2.91596908</v>
      </c>
      <c r="G11" s="18" t="n">
        <v>71.18526134</v>
      </c>
      <c r="H11" s="20" t="n">
        <v>2.73708667</v>
      </c>
      <c r="I11" s="18" t="n">
        <v>0</v>
      </c>
      <c r="J11" s="20" t="n">
        <v>0</v>
      </c>
      <c r="K11" s="18" t="n">
        <v>2.86817071</v>
      </c>
      <c r="L11" s="20" t="n">
        <v>0.90285775</v>
      </c>
      <c r="M11" s="18" t="n">
        <v>0</v>
      </c>
      <c r="N11" s="20" t="n">
        <v>0</v>
      </c>
      <c r="O11" s="18" t="n">
        <v>0</v>
      </c>
      <c r="P11" s="20" t="n">
        <v>0</v>
      </c>
      <c r="Q11" s="18" t="n">
        <v>0.33927753</v>
      </c>
      <c r="R11" s="20" t="n">
        <v>0.33808818</v>
      </c>
    </row>
    <row r="12" spans="1:18">
      <c r="A12" s="15" t="s">
        <v>570</v>
      </c>
      <c r="B12" s="17" t="n">
        <v>3422</v>
      </c>
      <c r="C12" s="18">
        <f>(3021.0/B12*100)</f>
        <v/>
      </c>
      <c r="D12" s="19" t="n">
        <v>401</v>
      </c>
      <c r="E12" s="18" t="n">
        <v>24.28709017</v>
      </c>
      <c r="F12" s="20" t="n">
        <v>2.78054815</v>
      </c>
      <c r="G12" s="18" t="n">
        <v>74.90539943</v>
      </c>
      <c r="H12" s="20" t="n">
        <v>2.82733474</v>
      </c>
      <c r="I12" s="18" t="n">
        <v>0</v>
      </c>
      <c r="J12" s="20" t="n">
        <v>0</v>
      </c>
      <c r="K12" s="18" t="n">
        <v>0.8075104</v>
      </c>
      <c r="L12" s="20" t="n">
        <v>0.49732106</v>
      </c>
      <c r="M12" s="18" t="n">
        <v>0</v>
      </c>
      <c r="N12" s="20" t="n">
        <v>0</v>
      </c>
      <c r="O12" s="18" t="n">
        <v>0</v>
      </c>
      <c r="P12" s="20" t="n">
        <v>0</v>
      </c>
      <c r="Q12" s="18" t="n">
        <v>0</v>
      </c>
      <c r="R12" s="20" t="n">
        <v>0</v>
      </c>
    </row>
    <row r="13" spans="1:18">
      <c r="A13" s="15" t="s">
        <v>571</v>
      </c>
      <c r="B13" s="17" t="n">
        <v>3602</v>
      </c>
      <c r="C13" s="18">
        <f>(3091.0/B13*100)</f>
        <v/>
      </c>
      <c r="D13" s="19" t="n">
        <v>511</v>
      </c>
      <c r="E13" s="18" t="n">
        <v>21.69582202</v>
      </c>
      <c r="F13" s="20" t="n">
        <v>1.9622448</v>
      </c>
      <c r="G13" s="18" t="n">
        <v>75.83618472000001</v>
      </c>
      <c r="H13" s="20" t="n">
        <v>1.82165838</v>
      </c>
      <c r="I13" s="18" t="n">
        <v>0</v>
      </c>
      <c r="J13" s="20" t="n">
        <v>0</v>
      </c>
      <c r="K13" s="18" t="n">
        <v>2.07164281</v>
      </c>
      <c r="L13" s="20" t="n">
        <v>0.84952451</v>
      </c>
      <c r="M13" s="18" t="n">
        <v>0</v>
      </c>
      <c r="N13" s="20" t="n">
        <v>0</v>
      </c>
      <c r="O13" s="18" t="n">
        <v>0</v>
      </c>
      <c r="P13" s="20" t="n">
        <v>0</v>
      </c>
      <c r="Q13" s="18" t="n">
        <v>0.39635046</v>
      </c>
      <c r="R13" s="20" t="n">
        <v>0.22741541</v>
      </c>
    </row>
    <row r="14" spans="1:18">
      <c r="A14" s="15" t="s">
        <v>572</v>
      </c>
      <c r="B14" s="17" t="n">
        <v>2788</v>
      </c>
      <c r="C14" s="18">
        <f>(2487.0/B14*100)</f>
        <v/>
      </c>
      <c r="D14" s="19" t="n">
        <v>301</v>
      </c>
      <c r="E14" s="18" t="n">
        <v>11.91470963</v>
      </c>
      <c r="F14" s="20" t="n">
        <v>2.08353771</v>
      </c>
      <c r="G14" s="18" t="n">
        <v>86.72147517000001</v>
      </c>
      <c r="H14" s="20" t="n">
        <v>2.18369313</v>
      </c>
      <c r="I14" s="18" t="n">
        <v>0</v>
      </c>
      <c r="J14" s="20" t="n">
        <v>0</v>
      </c>
      <c r="K14" s="18" t="n">
        <v>1.10353965</v>
      </c>
      <c r="L14" s="20" t="n">
        <v>0.86587085</v>
      </c>
      <c r="M14" s="18" t="n">
        <v>0</v>
      </c>
      <c r="N14" s="20" t="n">
        <v>0</v>
      </c>
      <c r="O14" s="18" t="n">
        <v>0</v>
      </c>
      <c r="P14" s="20" t="n">
        <v>0</v>
      </c>
      <c r="Q14" s="18" t="n">
        <v>0.26027554</v>
      </c>
      <c r="R14" s="20" t="n">
        <v>0.27200107</v>
      </c>
    </row>
    <row r="15" spans="1:18">
      <c r="A15" s="15" t="s">
        <v>573</v>
      </c>
      <c r="B15" s="17" t="n">
        <v>2863</v>
      </c>
      <c r="C15" s="18">
        <f>(2549.0/B15*100)</f>
        <v/>
      </c>
      <c r="D15" s="19" t="n">
        <v>314</v>
      </c>
      <c r="E15" s="18" t="n">
        <v>12.78159469</v>
      </c>
      <c r="F15" s="20" t="n">
        <v>2.0910758</v>
      </c>
      <c r="G15" s="18" t="n">
        <v>86.24496619999999</v>
      </c>
      <c r="H15" s="20" t="n">
        <v>2.48211659</v>
      </c>
      <c r="I15" s="18" t="n">
        <v>0</v>
      </c>
      <c r="J15" s="20" t="n">
        <v>0</v>
      </c>
      <c r="K15" s="18" t="n">
        <v>0.9734391100000001</v>
      </c>
      <c r="L15" s="20" t="n">
        <v>0.74764689</v>
      </c>
      <c r="M15" s="18" t="n">
        <v>0</v>
      </c>
      <c r="N15" s="20" t="n">
        <v>0</v>
      </c>
      <c r="O15" s="18" t="n">
        <v>0</v>
      </c>
      <c r="P15" s="20" t="n">
        <v>0</v>
      </c>
      <c r="Q15" s="18" t="n">
        <v>0</v>
      </c>
      <c r="R15" s="20" t="n">
        <v>0</v>
      </c>
    </row>
    <row r="16" spans="1:18">
      <c r="A16" s="15" t="s">
        <v>574</v>
      </c>
      <c r="B16" s="17" t="n">
        <v>3111</v>
      </c>
      <c r="C16" s="18">
        <f>(2811.0/B16*100)</f>
        <v/>
      </c>
      <c r="D16" s="19" t="n">
        <v>300</v>
      </c>
      <c r="E16" s="18" t="n">
        <v>23.95397502</v>
      </c>
      <c r="F16" s="20" t="n">
        <v>2.49667161</v>
      </c>
      <c r="G16" s="18" t="n">
        <v>73.1179399</v>
      </c>
      <c r="H16" s="20" t="n">
        <v>2.72118538</v>
      </c>
      <c r="I16" s="18" t="n">
        <v>0</v>
      </c>
      <c r="J16" s="20" t="n">
        <v>0</v>
      </c>
      <c r="K16" s="18" t="n">
        <v>1.80047762</v>
      </c>
      <c r="L16" s="20" t="n">
        <v>0.70989533</v>
      </c>
      <c r="M16" s="18" t="n">
        <v>0</v>
      </c>
      <c r="N16" s="20" t="n">
        <v>0</v>
      </c>
      <c r="O16" s="18" t="n">
        <v>0</v>
      </c>
      <c r="P16" s="20" t="n">
        <v>0</v>
      </c>
      <c r="Q16" s="18" t="n">
        <v>1.12760747</v>
      </c>
      <c r="R16" s="20" t="n">
        <v>0.61640724</v>
      </c>
    </row>
    <row r="17" spans="1:18">
      <c r="A17" s="15" t="s">
        <v>575</v>
      </c>
      <c r="B17" s="17" t="n">
        <v>3197</v>
      </c>
      <c r="C17" s="18">
        <f>(2796.0/B17*100)</f>
        <v/>
      </c>
      <c r="D17" s="19" t="n">
        <v>401</v>
      </c>
      <c r="E17" s="18" t="n">
        <v>15.36276857</v>
      </c>
      <c r="F17" s="20" t="n">
        <v>1.88495296</v>
      </c>
      <c r="G17" s="18" t="n">
        <v>81.87176555000001</v>
      </c>
      <c r="H17" s="20" t="n">
        <v>2.06355902</v>
      </c>
      <c r="I17" s="18" t="n">
        <v>0</v>
      </c>
      <c r="J17" s="20" t="n">
        <v>0</v>
      </c>
      <c r="K17" s="18" t="n">
        <v>1.00661897</v>
      </c>
      <c r="L17" s="20" t="n">
        <v>0.50029927</v>
      </c>
      <c r="M17" s="18" t="n">
        <v>0</v>
      </c>
      <c r="N17" s="20" t="n">
        <v>0</v>
      </c>
      <c r="O17" s="18" t="n">
        <v>0</v>
      </c>
      <c r="P17" s="20" t="n">
        <v>0</v>
      </c>
      <c r="Q17" s="18" t="n">
        <v>1.75884691</v>
      </c>
      <c r="R17" s="20" t="n">
        <v>0.58349913</v>
      </c>
    </row>
    <row r="18" spans="1:18">
      <c r="A18" s="15" t="s">
        <v>576</v>
      </c>
      <c r="B18" s="17" t="n">
        <v>2706</v>
      </c>
      <c r="C18" s="18">
        <f>(2444.0/B18*100)</f>
        <v/>
      </c>
      <c r="D18" s="19" t="n">
        <v>262</v>
      </c>
      <c r="E18" s="18" t="n">
        <v>29.23015114</v>
      </c>
      <c r="F18" s="20" t="n">
        <v>3.01230264</v>
      </c>
      <c r="G18" s="18" t="n">
        <v>69.33781541</v>
      </c>
      <c r="H18" s="20" t="n">
        <v>3.19918936</v>
      </c>
      <c r="I18" s="18" t="n">
        <v>0</v>
      </c>
      <c r="J18" s="20" t="n">
        <v>0</v>
      </c>
      <c r="K18" s="18" t="n">
        <v>0.36383718</v>
      </c>
      <c r="L18" s="20" t="n">
        <v>0.34392229</v>
      </c>
      <c r="M18" s="18" t="n">
        <v>0</v>
      </c>
      <c r="N18" s="20" t="n">
        <v>0</v>
      </c>
      <c r="O18" s="18" t="n">
        <v>0</v>
      </c>
      <c r="P18" s="20" t="n">
        <v>0</v>
      </c>
      <c r="Q18" s="18" t="n">
        <v>1.06819627</v>
      </c>
      <c r="R18" s="20" t="n">
        <v>0.78599686</v>
      </c>
    </row>
    <row r="19" spans="1:18">
      <c r="A19" s="15" t="s">
        <v>577</v>
      </c>
      <c r="B19" s="17" t="n">
        <v>2850</v>
      </c>
      <c r="C19" s="18">
        <f>(2547.0/B19*100)</f>
        <v/>
      </c>
      <c r="D19" s="19" t="n">
        <v>303</v>
      </c>
      <c r="E19" s="18" t="n">
        <v>23.70907024</v>
      </c>
      <c r="F19" s="20" t="n">
        <v>2.28256924</v>
      </c>
      <c r="G19" s="18" t="n">
        <v>75.06819685000001</v>
      </c>
      <c r="H19" s="20" t="n">
        <v>2.34921751</v>
      </c>
      <c r="I19" s="18" t="n">
        <v>0</v>
      </c>
      <c r="J19" s="20" t="n">
        <v>0</v>
      </c>
      <c r="K19" s="18" t="n">
        <v>0.62192345</v>
      </c>
      <c r="L19" s="20" t="n">
        <v>0.44626004</v>
      </c>
      <c r="M19" s="18" t="n">
        <v>0</v>
      </c>
      <c r="N19" s="20" t="n">
        <v>0</v>
      </c>
      <c r="O19" s="18" t="n">
        <v>0</v>
      </c>
      <c r="P19" s="20" t="n">
        <v>0</v>
      </c>
      <c r="Q19" s="18" t="n">
        <v>0.60080946</v>
      </c>
      <c r="R19" s="20" t="n">
        <v>0.44295974</v>
      </c>
    </row>
    <row r="20" spans="1:18">
      <c r="A20" s="15" t="s">
        <v>578</v>
      </c>
      <c r="B20" s="17" t="n">
        <v>1741</v>
      </c>
      <c r="C20" s="18">
        <f>(1566.0/B20*100)</f>
        <v/>
      </c>
      <c r="D20" s="19" t="n">
        <v>175</v>
      </c>
      <c r="E20" s="18" t="n">
        <v>23.74685647</v>
      </c>
      <c r="F20" s="20" t="n">
        <v>3.14234963</v>
      </c>
      <c r="G20" s="18" t="n">
        <v>72.1001565</v>
      </c>
      <c r="H20" s="20" t="n">
        <v>3.07721875</v>
      </c>
      <c r="I20" s="18" t="n">
        <v>0</v>
      </c>
      <c r="J20" s="20" t="n">
        <v>0</v>
      </c>
      <c r="K20" s="18" t="n">
        <v>3.41068128</v>
      </c>
      <c r="L20" s="20" t="n">
        <v>1.40430675</v>
      </c>
      <c r="M20" s="18" t="n">
        <v>0</v>
      </c>
      <c r="N20" s="20" t="n">
        <v>0</v>
      </c>
      <c r="O20" s="18" t="n">
        <v>0</v>
      </c>
      <c r="P20" s="20" t="n">
        <v>0</v>
      </c>
      <c r="Q20" s="18" t="n">
        <v>0.74230575</v>
      </c>
      <c r="R20" s="20" t="n">
        <v>0.72732025</v>
      </c>
    </row>
    <row r="21" spans="1:18">
      <c r="A21" s="15" t="s">
        <v>579</v>
      </c>
      <c r="B21" s="17" t="n">
        <v>2833</v>
      </c>
      <c r="C21" s="18">
        <f>(2496.0/B21*100)</f>
        <v/>
      </c>
      <c r="D21" s="19" t="n">
        <v>337</v>
      </c>
      <c r="E21" s="18" t="n">
        <v>23.31395509</v>
      </c>
      <c r="F21" s="20" t="n">
        <v>2.47118537</v>
      </c>
      <c r="G21" s="18" t="n">
        <v>75.59738944</v>
      </c>
      <c r="H21" s="20" t="n">
        <v>2.50994257</v>
      </c>
      <c r="I21" s="18" t="n">
        <v>0</v>
      </c>
      <c r="J21" s="20" t="n">
        <v>0</v>
      </c>
      <c r="K21" s="18" t="n">
        <v>0.23045359</v>
      </c>
      <c r="L21" s="20" t="n">
        <v>0.23013549</v>
      </c>
      <c r="M21" s="18" t="n">
        <v>0</v>
      </c>
      <c r="N21" s="20" t="n">
        <v>0</v>
      </c>
      <c r="O21" s="18" t="n">
        <v>0</v>
      </c>
      <c r="P21" s="20" t="n">
        <v>0</v>
      </c>
      <c r="Q21" s="18" t="n">
        <v>0.85820187</v>
      </c>
      <c r="R21" s="20" t="n">
        <v>0.50298478</v>
      </c>
    </row>
    <row r="22" spans="1:18">
      <c r="A22" s="15" t="s">
        <v>580</v>
      </c>
      <c r="B22" s="17" t="n">
        <v>3667</v>
      </c>
      <c r="C22" s="18">
        <f>(3332.0/B22*100)</f>
        <v/>
      </c>
      <c r="D22" s="19" t="n">
        <v>335</v>
      </c>
      <c r="E22" s="18" t="n">
        <v>34.35516755</v>
      </c>
      <c r="F22" s="20" t="n">
        <v>2.44623699</v>
      </c>
      <c r="G22" s="18" t="n">
        <v>63.74437588</v>
      </c>
      <c r="H22" s="20" t="n">
        <v>2.52501121</v>
      </c>
      <c r="I22" s="18" t="n">
        <v>0</v>
      </c>
      <c r="J22" s="20" t="n">
        <v>0</v>
      </c>
      <c r="K22" s="18" t="n">
        <v>0.5622392899999999</v>
      </c>
      <c r="L22" s="20" t="n">
        <v>0.42612616</v>
      </c>
      <c r="M22" s="18" t="n">
        <v>0</v>
      </c>
      <c r="N22" s="20" t="n">
        <v>0</v>
      </c>
      <c r="O22" s="18" t="n">
        <v>0</v>
      </c>
      <c r="P22" s="20" t="n">
        <v>0</v>
      </c>
      <c r="Q22" s="18" t="n">
        <v>1.33821728</v>
      </c>
      <c r="R22" s="20" t="n">
        <v>0.70669757</v>
      </c>
    </row>
    <row r="23" spans="1:18">
      <c r="A23" s="15" t="s">
        <v>581</v>
      </c>
      <c r="B23" s="17" t="n">
        <v>5792</v>
      </c>
      <c r="C23" s="18">
        <f>(5175.0/B23*100)</f>
        <v/>
      </c>
      <c r="D23" s="19" t="n">
        <v>617</v>
      </c>
      <c r="E23" s="18" t="n">
        <v>24.4742965</v>
      </c>
      <c r="F23" s="20" t="n">
        <v>2.63008753</v>
      </c>
      <c r="G23" s="18" t="n">
        <v>73.39083175</v>
      </c>
      <c r="H23" s="20" t="n">
        <v>2.80878772</v>
      </c>
      <c r="I23" s="18" t="n">
        <v>0</v>
      </c>
      <c r="J23" s="20" t="n">
        <v>0</v>
      </c>
      <c r="K23" s="18" t="n">
        <v>1.75532559</v>
      </c>
      <c r="L23" s="20" t="n">
        <v>0.72290238</v>
      </c>
      <c r="M23" s="18" t="n">
        <v>0</v>
      </c>
      <c r="N23" s="20" t="n">
        <v>0</v>
      </c>
      <c r="O23" s="18" t="n">
        <v>0</v>
      </c>
      <c r="P23" s="20" t="n">
        <v>0</v>
      </c>
      <c r="Q23" s="18" t="n">
        <v>0.37954617</v>
      </c>
      <c r="R23" s="20" t="n">
        <v>0.27954918</v>
      </c>
    </row>
    <row r="24" spans="1:18">
      <c r="A24" s="15" t="s">
        <v>582</v>
      </c>
      <c r="B24" s="17" t="n">
        <v>3309</v>
      </c>
      <c r="C24" s="18">
        <f>(2943.0/B24*100)</f>
        <v/>
      </c>
      <c r="D24" s="19" t="n">
        <v>366</v>
      </c>
      <c r="E24" s="18" t="n">
        <v>20.52090684</v>
      </c>
      <c r="F24" s="20" t="n">
        <v>2.01326897</v>
      </c>
      <c r="G24" s="18" t="n">
        <v>78.95977056</v>
      </c>
      <c r="H24" s="20" t="n">
        <v>1.99571611</v>
      </c>
      <c r="I24" s="18" t="n">
        <v>0</v>
      </c>
      <c r="J24" s="20" t="n">
        <v>0</v>
      </c>
      <c r="K24" s="18" t="n">
        <v>0.25149399</v>
      </c>
      <c r="L24" s="20" t="n">
        <v>0.25145912</v>
      </c>
      <c r="M24" s="18" t="n">
        <v>0</v>
      </c>
      <c r="N24" s="20" t="n">
        <v>0</v>
      </c>
      <c r="O24" s="18" t="n">
        <v>0</v>
      </c>
      <c r="P24" s="20" t="n">
        <v>0</v>
      </c>
      <c r="Q24" s="18" t="n">
        <v>0.26782861</v>
      </c>
      <c r="R24" s="20" t="n">
        <v>0.26765568</v>
      </c>
    </row>
    <row r="25" spans="1:18">
      <c r="A25" s="15" t="s">
        <v>583</v>
      </c>
      <c r="B25" s="17" t="n">
        <v>2669</v>
      </c>
      <c r="C25" s="18">
        <f>(2396.0/B25*100)</f>
        <v/>
      </c>
      <c r="D25" s="19" t="n">
        <v>273</v>
      </c>
      <c r="E25" s="18" t="n">
        <v>25.28100799</v>
      </c>
      <c r="F25" s="20" t="n">
        <v>2.40437054</v>
      </c>
      <c r="G25" s="18" t="n">
        <v>74.03247507</v>
      </c>
      <c r="H25" s="20" t="n">
        <v>2.37457464</v>
      </c>
      <c r="I25" s="18" t="n">
        <v>0</v>
      </c>
      <c r="J25" s="20" t="n">
        <v>0</v>
      </c>
      <c r="K25" s="18" t="n">
        <v>0.33916492</v>
      </c>
      <c r="L25" s="20" t="n">
        <v>0.47668997</v>
      </c>
      <c r="M25" s="18" t="n">
        <v>0</v>
      </c>
      <c r="N25" s="20" t="n">
        <v>0</v>
      </c>
      <c r="O25" s="18" t="n">
        <v>0</v>
      </c>
      <c r="P25" s="20" t="n">
        <v>0</v>
      </c>
      <c r="Q25" s="18" t="n">
        <v>0.34735202</v>
      </c>
      <c r="R25" s="20" t="n">
        <v>0.34781365</v>
      </c>
    </row>
    <row r="26" spans="1:18">
      <c r="A26" s="15" t="s">
        <v>584</v>
      </c>
      <c r="B26" s="17" t="n">
        <v>2419</v>
      </c>
      <c r="C26" s="18">
        <f>(2160.0/B26*100)</f>
        <v/>
      </c>
      <c r="D26" s="19" t="n">
        <v>259</v>
      </c>
      <c r="E26" s="18" t="n">
        <v>23.87642517</v>
      </c>
      <c r="F26" s="20" t="n">
        <v>3.27496245</v>
      </c>
      <c r="G26" s="18" t="n">
        <v>76.12357483</v>
      </c>
      <c r="H26" s="20" t="n">
        <v>3.27496245</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(2385.0/B27*100)</f>
        <v/>
      </c>
      <c r="D27" s="19" t="n">
        <v>298</v>
      </c>
      <c r="E27" s="18" t="n">
        <v>21.73457053</v>
      </c>
      <c r="F27" s="20" t="n">
        <v>2.62899959</v>
      </c>
      <c r="G27" s="18" t="n">
        <v>76.60313538</v>
      </c>
      <c r="H27" s="20" t="n">
        <v>2.75325281</v>
      </c>
      <c r="I27" s="18" t="n">
        <v>0</v>
      </c>
      <c r="J27" s="20" t="n">
        <v>0</v>
      </c>
      <c r="K27" s="18" t="n">
        <v>1.3177288</v>
      </c>
      <c r="L27" s="20" t="n">
        <v>0.65321772</v>
      </c>
      <c r="M27" s="18" t="n">
        <v>0</v>
      </c>
      <c r="N27" s="20" t="n">
        <v>0</v>
      </c>
      <c r="O27" s="18" t="n">
        <v>0</v>
      </c>
      <c r="P27" s="20" t="n">
        <v>0</v>
      </c>
      <c r="Q27" s="18" t="n">
        <v>0.3445653</v>
      </c>
      <c r="R27" s="20" t="n">
        <v>0.34580561</v>
      </c>
    </row>
    <row r="28" spans="1:18">
      <c r="A28" s="15" t="s">
        <v>586</v>
      </c>
      <c r="B28" s="17" t="n">
        <v>3803</v>
      </c>
      <c r="C28" s="18">
        <f>(3466.0/B28*100)</f>
        <v/>
      </c>
      <c r="D28" s="19" t="n">
        <v>337</v>
      </c>
      <c r="E28" s="18" t="n">
        <v>33.85068301</v>
      </c>
      <c r="F28" s="20" t="n">
        <v>2.72177633</v>
      </c>
      <c r="G28" s="18" t="n">
        <v>64.25972326</v>
      </c>
      <c r="H28" s="20" t="n">
        <v>2.66088416</v>
      </c>
      <c r="I28" s="18" t="n">
        <v>0</v>
      </c>
      <c r="J28" s="20" t="n">
        <v>0</v>
      </c>
      <c r="K28" s="18" t="n">
        <v>1.45993114</v>
      </c>
      <c r="L28" s="20" t="n">
        <v>0.68858662</v>
      </c>
      <c r="M28" s="18" t="n">
        <v>0</v>
      </c>
      <c r="N28" s="20" t="n">
        <v>0</v>
      </c>
      <c r="O28" s="18" t="n">
        <v>0</v>
      </c>
      <c r="P28" s="20" t="n">
        <v>0</v>
      </c>
      <c r="Q28" s="18" t="n">
        <v>0.4296626</v>
      </c>
      <c r="R28" s="20" t="n">
        <v>0.44971934</v>
      </c>
    </row>
    <row r="29" spans="1:18">
      <c r="A29" s="15" t="s">
        <v>587</v>
      </c>
      <c r="B29" s="17" t="n">
        <v>2700</v>
      </c>
      <c r="C29" s="18">
        <f>(2340.0/B29*100)</f>
        <v/>
      </c>
      <c r="D29" s="19" t="n">
        <v>360</v>
      </c>
      <c r="E29" s="18" t="n">
        <v>20.64460826</v>
      </c>
      <c r="F29" s="20" t="n">
        <v>1.65042594</v>
      </c>
      <c r="G29" s="18" t="n">
        <v>78.63742363</v>
      </c>
      <c r="H29" s="20" t="n">
        <v>1.76529652</v>
      </c>
      <c r="I29" s="18" t="n">
        <v>0</v>
      </c>
      <c r="J29" s="20" t="n">
        <v>0</v>
      </c>
      <c r="K29" s="18" t="n">
        <v>0.71796811</v>
      </c>
      <c r="L29" s="20" t="n">
        <v>0.38830059</v>
      </c>
      <c r="M29" s="18" t="n">
        <v>0</v>
      </c>
      <c r="N29" s="20" t="n">
        <v>0</v>
      </c>
      <c r="O29" s="18" t="n">
        <v>0</v>
      </c>
      <c r="P29" s="20" t="n">
        <v>0</v>
      </c>
      <c r="Q29" s="18" t="n">
        <v>0</v>
      </c>
      <c r="R29" s="20" t="n">
        <v>0</v>
      </c>
    </row>
    <row r="30" spans="1:18">
      <c r="A30" s="15" t="s">
        <v>588</v>
      </c>
      <c r="B30" s="17" t="n">
        <v>2257</v>
      </c>
      <c r="C30" s="18">
        <f>(2023.0/B30*100)</f>
        <v/>
      </c>
      <c r="D30" s="19" t="n">
        <v>234</v>
      </c>
      <c r="E30" s="18" t="n">
        <v>16.05663214</v>
      </c>
      <c r="F30" s="20" t="n">
        <v>2.6169832</v>
      </c>
      <c r="G30" s="18" t="n">
        <v>82.33968211</v>
      </c>
      <c r="H30" s="20" t="n">
        <v>2.53877097</v>
      </c>
      <c r="I30" s="18" t="n">
        <v>0</v>
      </c>
      <c r="J30" s="20" t="n">
        <v>0</v>
      </c>
      <c r="K30" s="18" t="n">
        <v>0.80039191</v>
      </c>
      <c r="L30" s="20" t="n">
        <v>0.52809788</v>
      </c>
      <c r="M30" s="18" t="n">
        <v>0</v>
      </c>
      <c r="N30" s="20" t="n">
        <v>0</v>
      </c>
      <c r="O30" s="18" t="n">
        <v>0</v>
      </c>
      <c r="P30" s="20" t="n">
        <v>0</v>
      </c>
      <c r="Q30" s="18" t="n">
        <v>0.80329384</v>
      </c>
      <c r="R30" s="20" t="n">
        <v>0.58959743</v>
      </c>
    </row>
    <row r="31" spans="1:18">
      <c r="A31" s="15" t="s">
        <v>589</v>
      </c>
      <c r="B31" s="17" t="n">
        <v>2706</v>
      </c>
      <c r="C31" s="18">
        <f>(2428.0/B31*100)</f>
        <v/>
      </c>
      <c r="D31" s="19" t="n">
        <v>278</v>
      </c>
      <c r="E31" s="18" t="n">
        <v>24.32146988</v>
      </c>
      <c r="F31" s="20" t="n">
        <v>2.95593728</v>
      </c>
      <c r="G31" s="18" t="n">
        <v>73.28343561</v>
      </c>
      <c r="H31" s="20" t="n">
        <v>2.88316488</v>
      </c>
      <c r="I31" s="18" t="n">
        <v>0</v>
      </c>
      <c r="J31" s="20" t="n">
        <v>0</v>
      </c>
      <c r="K31" s="18" t="n">
        <v>1.67460436</v>
      </c>
      <c r="L31" s="20" t="n">
        <v>0.73662485</v>
      </c>
      <c r="M31" s="18" t="n">
        <v>0</v>
      </c>
      <c r="N31" s="20" t="n">
        <v>0</v>
      </c>
      <c r="O31" s="18" t="n">
        <v>0</v>
      </c>
      <c r="P31" s="20" t="n">
        <v>0</v>
      </c>
      <c r="Q31" s="18" t="n">
        <v>0.7204901500000001</v>
      </c>
      <c r="R31" s="20" t="n">
        <v>0.52159946</v>
      </c>
    </row>
    <row r="32" spans="1:18">
      <c r="A32" s="15" t="s">
        <v>590</v>
      </c>
      <c r="B32" s="17" t="n">
        <v>2209</v>
      </c>
      <c r="C32" s="18">
        <f>(1971.0/B32*100)</f>
        <v/>
      </c>
      <c r="D32" s="19" t="n">
        <v>238</v>
      </c>
      <c r="E32" s="18" t="n">
        <v>13.14790429</v>
      </c>
      <c r="F32" s="20" t="n">
        <v>2.4925016</v>
      </c>
      <c r="G32" s="18" t="n">
        <v>86.01244384</v>
      </c>
      <c r="H32" s="20" t="n">
        <v>2.56836063</v>
      </c>
      <c r="I32" s="18" t="n">
        <v>0</v>
      </c>
      <c r="J32" s="20" t="n">
        <v>0</v>
      </c>
      <c r="K32" s="18" t="n">
        <v>0.83965187</v>
      </c>
      <c r="L32" s="20" t="n">
        <v>0.57598237</v>
      </c>
      <c r="M32" s="18" t="n">
        <v>0</v>
      </c>
      <c r="N32" s="20" t="n">
        <v>0</v>
      </c>
      <c r="O32" s="18" t="n">
        <v>0</v>
      </c>
      <c r="P32" s="20" t="n">
        <v>0</v>
      </c>
      <c r="Q32" s="18" t="n">
        <v>0</v>
      </c>
      <c r="R32" s="20" t="n">
        <v>0</v>
      </c>
    </row>
    <row r="33" spans="1:18">
      <c r="A33" s="15" t="s">
        <v>591</v>
      </c>
      <c r="B33" s="17" t="n">
        <v>3651</v>
      </c>
      <c r="C33" s="18">
        <f>(3283.0/B33*100)</f>
        <v/>
      </c>
      <c r="D33" s="19" t="n">
        <v>368</v>
      </c>
      <c r="E33" s="18" t="n">
        <v>13.60734523</v>
      </c>
      <c r="F33" s="20" t="n">
        <v>1.70930577</v>
      </c>
      <c r="G33" s="18" t="n">
        <v>85.65443044</v>
      </c>
      <c r="H33" s="20" t="n">
        <v>1.82285015</v>
      </c>
      <c r="I33" s="18" t="n">
        <v>0</v>
      </c>
      <c r="J33" s="20" t="n">
        <v>0</v>
      </c>
      <c r="K33" s="18" t="n">
        <v>0</v>
      </c>
      <c r="L33" s="20" t="n">
        <v>0</v>
      </c>
      <c r="M33" s="18" t="n">
        <v>0</v>
      </c>
      <c r="N33" s="20" t="n">
        <v>0</v>
      </c>
      <c r="O33" s="18" t="n">
        <v>0</v>
      </c>
      <c r="P33" s="20" t="n">
        <v>0</v>
      </c>
      <c r="Q33" s="18" t="n">
        <v>0.73822432</v>
      </c>
      <c r="R33" s="20" t="n">
        <v>0.49920416</v>
      </c>
    </row>
    <row r="34" spans="1:18">
      <c r="A34" s="15" t="s">
        <v>592</v>
      </c>
      <c r="B34" s="17" t="n">
        <v>3035</v>
      </c>
      <c r="C34" s="18">
        <f>(2671.0/B34*100)</f>
        <v/>
      </c>
      <c r="D34" s="19" t="n">
        <v>364</v>
      </c>
      <c r="E34" s="18" t="n">
        <v>33.46007904</v>
      </c>
      <c r="F34" s="20" t="n">
        <v>3.31505371</v>
      </c>
      <c r="G34" s="18" t="n">
        <v>64.72462486000001</v>
      </c>
      <c r="H34" s="20" t="n">
        <v>3.31785267</v>
      </c>
      <c r="I34" s="18" t="n">
        <v>0</v>
      </c>
      <c r="J34" s="20" t="n">
        <v>0</v>
      </c>
      <c r="K34" s="18" t="n">
        <v>0.36449948</v>
      </c>
      <c r="L34" s="20" t="n">
        <v>0.20554987</v>
      </c>
      <c r="M34" s="18" t="n">
        <v>0</v>
      </c>
      <c r="N34" s="20" t="n">
        <v>0</v>
      </c>
      <c r="O34" s="18" t="n">
        <v>0</v>
      </c>
      <c r="P34" s="20" t="n">
        <v>0</v>
      </c>
      <c r="Q34" s="18" t="n">
        <v>1.45079662</v>
      </c>
      <c r="R34" s="20" t="n">
        <v>0.92806834</v>
      </c>
    </row>
    <row r="35" spans="1:18">
      <c r="A35" s="15" t="s">
        <v>593</v>
      </c>
      <c r="B35" s="17" t="n">
        <v>2901</v>
      </c>
      <c r="C35" s="18">
        <f>(2543.0/B35*100)</f>
        <v/>
      </c>
      <c r="D35" s="19" t="n">
        <v>358</v>
      </c>
      <c r="E35" s="18" t="n">
        <v>15.04862483</v>
      </c>
      <c r="F35" s="20" t="n">
        <v>1.82054038</v>
      </c>
      <c r="G35" s="18" t="n">
        <v>84.34769485</v>
      </c>
      <c r="H35" s="20" t="n">
        <v>1.93721718</v>
      </c>
      <c r="I35" s="18" t="n">
        <v>0</v>
      </c>
      <c r="J35" s="20" t="n">
        <v>0</v>
      </c>
      <c r="K35" s="18" t="n">
        <v>0</v>
      </c>
      <c r="L35" s="20" t="n">
        <v>0</v>
      </c>
      <c r="M35" s="18" t="n">
        <v>0</v>
      </c>
      <c r="N35" s="20" t="n">
        <v>0</v>
      </c>
      <c r="O35" s="18" t="n">
        <v>0</v>
      </c>
      <c r="P35" s="20" t="n">
        <v>0</v>
      </c>
      <c r="Q35" s="18" t="n">
        <v>0.60368033</v>
      </c>
      <c r="R35" s="20" t="n">
        <v>0.6223554100000001</v>
      </c>
    </row>
    <row r="36" spans="1:18">
      <c r="A36" s="15" t="s">
        <v>594</v>
      </c>
      <c r="B36" s="17" t="n">
        <v>3404</v>
      </c>
      <c r="C36" s="18">
        <f>(3057.0/B36*100)</f>
        <v/>
      </c>
      <c r="D36" s="19" t="n">
        <v>347</v>
      </c>
      <c r="E36" s="18" t="n">
        <v>17.43970947</v>
      </c>
      <c r="F36" s="20" t="n">
        <v>2.47526591</v>
      </c>
      <c r="G36" s="18" t="n">
        <v>80.53090622000001</v>
      </c>
      <c r="H36" s="20" t="n">
        <v>2.46611297</v>
      </c>
      <c r="I36" s="18" t="n">
        <v>0</v>
      </c>
      <c r="J36" s="20" t="n">
        <v>0</v>
      </c>
      <c r="K36" s="18" t="n">
        <v>0.32704164</v>
      </c>
      <c r="L36" s="20" t="n">
        <v>0.4502547</v>
      </c>
      <c r="M36" s="18" t="n">
        <v>0</v>
      </c>
      <c r="N36" s="20" t="n">
        <v>0</v>
      </c>
      <c r="O36" s="18" t="n">
        <v>0</v>
      </c>
      <c r="P36" s="20" t="n">
        <v>0</v>
      </c>
      <c r="Q36" s="18" t="n">
        <v>1.70234268</v>
      </c>
      <c r="R36" s="20" t="n">
        <v>0.9173386100000001</v>
      </c>
    </row>
    <row r="37" spans="1:18">
      <c r="A37" s="15" t="s">
        <v>595</v>
      </c>
      <c r="B37" s="17" t="n">
        <v>2731</v>
      </c>
      <c r="C37" s="18">
        <f>(2457.0/B37*100)</f>
        <v/>
      </c>
      <c r="D37" s="19" t="n">
        <v>274</v>
      </c>
      <c r="E37" s="18" t="n">
        <v>29.15771343</v>
      </c>
      <c r="F37" s="20" t="n">
        <v>3.491908</v>
      </c>
      <c r="G37" s="18" t="n">
        <v>68.53179163999999</v>
      </c>
      <c r="H37" s="20" t="n">
        <v>3.44630988</v>
      </c>
      <c r="I37" s="18" t="n">
        <v>0</v>
      </c>
      <c r="J37" s="20" t="n">
        <v>0</v>
      </c>
      <c r="K37" s="18" t="n">
        <v>1.29830667</v>
      </c>
      <c r="L37" s="20" t="n">
        <v>0.77557052</v>
      </c>
      <c r="M37" s="18" t="n">
        <v>0</v>
      </c>
      <c r="N37" s="20" t="n">
        <v>0</v>
      </c>
      <c r="O37" s="18" t="n">
        <v>0</v>
      </c>
      <c r="P37" s="20" t="n">
        <v>0</v>
      </c>
      <c r="Q37" s="18" t="n">
        <v>1.01218826</v>
      </c>
      <c r="R37" s="20" t="n">
        <v>0.57371528</v>
      </c>
    </row>
    <row r="38" spans="1:18">
      <c r="A38" s="15" t="s">
        <v>596</v>
      </c>
      <c r="B38" s="17" t="n">
        <v>2807</v>
      </c>
      <c r="C38" s="18">
        <f>(2523.0/B38*100)</f>
        <v/>
      </c>
      <c r="D38" s="19" t="n">
        <v>284</v>
      </c>
      <c r="E38" s="18" t="n">
        <v>14.41839861</v>
      </c>
      <c r="F38" s="20" t="n">
        <v>2.41081451</v>
      </c>
      <c r="G38" s="18" t="n">
        <v>83.18949077000001</v>
      </c>
      <c r="H38" s="20" t="n">
        <v>2.43236339</v>
      </c>
      <c r="I38" s="18" t="n">
        <v>0</v>
      </c>
      <c r="J38" s="20" t="n">
        <v>0</v>
      </c>
      <c r="K38" s="18" t="n">
        <v>2.2569473</v>
      </c>
      <c r="L38" s="20" t="n">
        <v>0.89590988</v>
      </c>
      <c r="M38" s="18" t="n">
        <v>0</v>
      </c>
      <c r="N38" s="20" t="n">
        <v>0</v>
      </c>
      <c r="O38" s="18" t="n">
        <v>0</v>
      </c>
      <c r="P38" s="20" t="n">
        <v>0</v>
      </c>
      <c r="Q38" s="18" t="n">
        <v>0.13516332</v>
      </c>
      <c r="R38" s="20" t="n">
        <v>0.11394755</v>
      </c>
    </row>
    <row r="39" spans="1:18">
      <c r="A39" s="15" t="s">
        <v>597</v>
      </c>
      <c r="B39" s="17" t="n">
        <v>2938</v>
      </c>
      <c r="C39" s="18">
        <f>(2614.0/B39*100)</f>
        <v/>
      </c>
      <c r="D39" s="19" t="n">
        <v>324</v>
      </c>
      <c r="E39" s="18" t="n">
        <v>51.67592813</v>
      </c>
      <c r="F39" s="20" t="n">
        <v>3.12517552</v>
      </c>
      <c r="G39" s="18" t="n">
        <v>47.89513296</v>
      </c>
      <c r="H39" s="20" t="n">
        <v>3.10868614</v>
      </c>
      <c r="I39" s="18" t="n">
        <v>0</v>
      </c>
      <c r="J39" s="20" t="n">
        <v>0</v>
      </c>
      <c r="K39" s="18" t="n">
        <v>0.19016972</v>
      </c>
      <c r="L39" s="20" t="n">
        <v>0.27237798</v>
      </c>
      <c r="M39" s="18" t="n">
        <v>0</v>
      </c>
      <c r="N39" s="20" t="n">
        <v>0</v>
      </c>
      <c r="O39" s="18" t="n">
        <v>0</v>
      </c>
      <c r="P39" s="20" t="n">
        <v>0</v>
      </c>
      <c r="Q39" s="18" t="n">
        <v>0.23876918</v>
      </c>
      <c r="R39" s="20" t="n">
        <v>0.33183714</v>
      </c>
    </row>
    <row r="40" spans="1:18">
      <c r="A40" s="15" t="s">
        <v>598</v>
      </c>
      <c r="B40" s="17" t="n">
        <v>6922</v>
      </c>
      <c r="C40" s="18">
        <f>(6190.0/B40*100)</f>
        <v/>
      </c>
      <c r="D40" s="19" t="n">
        <v>732</v>
      </c>
      <c r="E40" s="18" t="n">
        <v>24.58953854</v>
      </c>
      <c r="F40" s="20" t="n">
        <v>2.41683661</v>
      </c>
      <c r="G40" s="18" t="n">
        <v>74.29461987000001</v>
      </c>
      <c r="H40" s="20" t="n">
        <v>2.44494256</v>
      </c>
      <c r="I40" s="18" t="n">
        <v>0</v>
      </c>
      <c r="J40" s="20" t="n">
        <v>0</v>
      </c>
      <c r="K40" s="18" t="n">
        <v>0.58109694</v>
      </c>
      <c r="L40" s="20" t="n">
        <v>0.3742953</v>
      </c>
      <c r="M40" s="18" t="n">
        <v>0</v>
      </c>
      <c r="N40" s="20" t="n">
        <v>0</v>
      </c>
      <c r="O40" s="18" t="n">
        <v>0</v>
      </c>
      <c r="P40" s="20" t="n">
        <v>0</v>
      </c>
      <c r="Q40" s="18" t="n">
        <v>0.53474465</v>
      </c>
      <c r="R40" s="20" t="n">
        <v>0.50308367</v>
      </c>
    </row>
    <row r="41" spans="1:18">
      <c r="A41" s="15" t="s">
        <v>599</v>
      </c>
      <c r="B41" s="17" t="n">
        <v>2854</v>
      </c>
      <c r="C41" s="18">
        <f>(2554.0/B41*100)</f>
        <v/>
      </c>
      <c r="D41" s="19" t="n">
        <v>300</v>
      </c>
      <c r="E41" s="18" t="n">
        <v>21.54059177</v>
      </c>
      <c r="F41" s="20" t="n">
        <v>2.68895164</v>
      </c>
      <c r="G41" s="18" t="n">
        <v>78.16470563</v>
      </c>
      <c r="H41" s="20" t="n">
        <v>2.68183776</v>
      </c>
      <c r="I41" s="18" t="n">
        <v>0</v>
      </c>
      <c r="J41" s="20" t="n">
        <v>0</v>
      </c>
      <c r="K41" s="18" t="n">
        <v>0</v>
      </c>
      <c r="L41" s="20" t="n">
        <v>0</v>
      </c>
      <c r="M41" s="18" t="n">
        <v>0</v>
      </c>
      <c r="N41" s="20" t="n">
        <v>0</v>
      </c>
      <c r="O41" s="18" t="n">
        <v>0</v>
      </c>
      <c r="P41" s="20" t="n">
        <v>0</v>
      </c>
      <c r="Q41" s="18" t="n">
        <v>0.2947026</v>
      </c>
      <c r="R41" s="20" t="n">
        <v>0.30484935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(11204.0/B46*100)</f>
        <v/>
      </c>
      <c r="D46" s="19" t="n">
        <v>869</v>
      </c>
      <c r="E46" s="18" t="n">
        <v>41.96257429</v>
      </c>
      <c r="F46" s="20" t="n">
        <v>2.31000408</v>
      </c>
      <c r="G46" s="18" t="n">
        <v>52.65365738</v>
      </c>
      <c r="H46" s="20" t="n">
        <v>2.2731235</v>
      </c>
      <c r="I46" s="18" t="n">
        <v>0</v>
      </c>
      <c r="J46" s="20" t="n">
        <v>0</v>
      </c>
      <c r="K46" s="18" t="n">
        <v>3.67242826</v>
      </c>
      <c r="L46" s="20" t="n">
        <v>0.9869340599999999</v>
      </c>
      <c r="M46" s="18" t="n">
        <v>0</v>
      </c>
      <c r="N46" s="20" t="n">
        <v>0</v>
      </c>
      <c r="O46" s="18" t="n">
        <v>0</v>
      </c>
      <c r="P46" s="20" t="n">
        <v>0</v>
      </c>
      <c r="Q46" s="18" t="n">
        <v>1.71134007</v>
      </c>
      <c r="R46" s="20" t="n">
        <v>0.61543193</v>
      </c>
    </row>
    <row r="47" spans="1:18">
      <c r="A47" s="15" t="s">
        <v>606</v>
      </c>
      <c r="B47" s="17" t="n">
        <v>2823</v>
      </c>
      <c r="C47" s="18">
        <f>(2531.0/B47*100)</f>
        <v/>
      </c>
      <c r="D47" s="19" t="n">
        <v>292</v>
      </c>
      <c r="E47" s="18" t="n">
        <v>30.01520615</v>
      </c>
      <c r="F47" s="20" t="n">
        <v>2.78737035</v>
      </c>
      <c r="G47" s="18" t="n">
        <v>65.86483724999999</v>
      </c>
      <c r="H47" s="20" t="n">
        <v>3.08337134</v>
      </c>
      <c r="I47" s="18" t="n">
        <v>0</v>
      </c>
      <c r="J47" s="20" t="n">
        <v>0</v>
      </c>
      <c r="K47" s="18" t="n">
        <v>3.75671486</v>
      </c>
      <c r="L47" s="20" t="n">
        <v>1.2172237</v>
      </c>
      <c r="M47" s="18" t="n">
        <v>0</v>
      </c>
      <c r="N47" s="20" t="n">
        <v>0</v>
      </c>
      <c r="O47" s="18" t="n">
        <v>0</v>
      </c>
      <c r="P47" s="20" t="n">
        <v>0</v>
      </c>
      <c r="Q47" s="18" t="n">
        <v>0.36324174</v>
      </c>
      <c r="R47" s="20" t="n">
        <v>0.36603914</v>
      </c>
    </row>
    <row r="48" spans="1:18">
      <c r="A48" s="15" t="s">
        <v>607</v>
      </c>
      <c r="B48" s="17" t="n">
        <v>4682</v>
      </c>
      <c r="C48" s="18">
        <f>(4193.0/B48*100)</f>
        <v/>
      </c>
      <c r="D48" s="19" t="n">
        <v>489</v>
      </c>
      <c r="E48" s="18" t="n">
        <v>36.85558405</v>
      </c>
      <c r="F48" s="20" t="n">
        <v>2.75722389</v>
      </c>
      <c r="G48" s="18" t="n">
        <v>62.21922164</v>
      </c>
      <c r="H48" s="20" t="n">
        <v>2.80900586</v>
      </c>
      <c r="I48" s="18" t="n">
        <v>0</v>
      </c>
      <c r="J48" s="20" t="n">
        <v>0</v>
      </c>
      <c r="K48" s="18" t="n">
        <v>0.9251943</v>
      </c>
      <c r="L48" s="20" t="n">
        <v>0.68234382</v>
      </c>
      <c r="M48" s="18" t="n">
        <v>0</v>
      </c>
      <c r="N48" s="20" t="n">
        <v>0</v>
      </c>
      <c r="O48" s="18" t="n">
        <v>0</v>
      </c>
      <c r="P48" s="20" t="n">
        <v>0</v>
      </c>
      <c r="Q48" s="18" t="n">
        <v>0</v>
      </c>
      <c r="R48" s="20" t="n">
        <v>0</v>
      </c>
    </row>
    <row r="49" spans="1:18">
      <c r="A49" s="15" t="s">
        <v>608</v>
      </c>
      <c r="B49" s="17" t="n">
        <v>6158</v>
      </c>
      <c r="C49" s="18">
        <f>(5519.0/B49*100)</f>
        <v/>
      </c>
      <c r="D49" s="19" t="n">
        <v>639</v>
      </c>
      <c r="E49" s="18" t="n">
        <v>35.64104734</v>
      </c>
      <c r="F49" s="20" t="n">
        <v>2.43246634</v>
      </c>
      <c r="G49" s="18" t="n">
        <v>60.07212717</v>
      </c>
      <c r="H49" s="20" t="n">
        <v>2.46120177</v>
      </c>
      <c r="I49" s="18" t="n">
        <v>0</v>
      </c>
      <c r="J49" s="20" t="n">
        <v>0</v>
      </c>
      <c r="K49" s="18" t="n">
        <v>3.05583983</v>
      </c>
      <c r="L49" s="20" t="n">
        <v>0.8962764600000001</v>
      </c>
      <c r="M49" s="18" t="n">
        <v>0</v>
      </c>
      <c r="N49" s="20" t="n">
        <v>0</v>
      </c>
      <c r="O49" s="18" t="n">
        <v>0</v>
      </c>
      <c r="P49" s="20" t="n">
        <v>0</v>
      </c>
      <c r="Q49" s="18" t="n">
        <v>1.23098567</v>
      </c>
      <c r="R49" s="20" t="n">
        <v>0.56062906</v>
      </c>
    </row>
    <row r="50" spans="1:18">
      <c r="A50" s="15" t="s">
        <v>609</v>
      </c>
      <c r="B50" s="17" t="n">
        <v>3494</v>
      </c>
      <c r="C50" s="18">
        <f>(2858.0/B50*100)</f>
        <v/>
      </c>
      <c r="D50" s="19" t="n">
        <v>636</v>
      </c>
      <c r="E50" s="18" t="n">
        <v>30.4361705</v>
      </c>
      <c r="F50" s="20" t="n">
        <v>2.02625109</v>
      </c>
      <c r="G50" s="18" t="n">
        <v>68.4010148</v>
      </c>
      <c r="H50" s="20" t="n">
        <v>2.0427402</v>
      </c>
      <c r="I50" s="18" t="n">
        <v>0</v>
      </c>
      <c r="J50" s="20" t="n">
        <v>0</v>
      </c>
      <c r="K50" s="18" t="n">
        <v>0.42511197</v>
      </c>
      <c r="L50" s="20" t="n">
        <v>0.25443986</v>
      </c>
      <c r="M50" s="18" t="n">
        <v>0</v>
      </c>
      <c r="N50" s="20" t="n">
        <v>0</v>
      </c>
      <c r="O50" s="18" t="n">
        <v>0</v>
      </c>
      <c r="P50" s="20" t="n">
        <v>0</v>
      </c>
      <c r="Q50" s="18" t="n">
        <v>0.73770273</v>
      </c>
      <c r="R50" s="20" t="n">
        <v>0.32320648</v>
      </c>
    </row>
    <row r="51" spans="1:18">
      <c r="A51" s="15" t="s">
        <v>610</v>
      </c>
      <c r="B51" s="17" t="n">
        <v>3013</v>
      </c>
      <c r="C51" s="18">
        <f>(2705.0/B51*100)</f>
        <v/>
      </c>
      <c r="D51" s="19" t="n">
        <v>308</v>
      </c>
      <c r="E51" s="18" t="n">
        <v>27.95650797</v>
      </c>
      <c r="F51" s="20" t="n">
        <v>2.26882706</v>
      </c>
      <c r="G51" s="18" t="n">
        <v>70.83337007</v>
      </c>
      <c r="H51" s="20" t="n">
        <v>2.27559252</v>
      </c>
      <c r="I51" s="18" t="n">
        <v>0</v>
      </c>
      <c r="J51" s="20" t="n">
        <v>0</v>
      </c>
      <c r="K51" s="18" t="n">
        <v>0.68691924</v>
      </c>
      <c r="L51" s="20" t="n">
        <v>0.47583729</v>
      </c>
      <c r="M51" s="18" t="n">
        <v>0</v>
      </c>
      <c r="N51" s="20" t="n">
        <v>0</v>
      </c>
      <c r="O51" s="18" t="n">
        <v>0</v>
      </c>
      <c r="P51" s="20" t="n">
        <v>0</v>
      </c>
      <c r="Q51" s="18" t="n">
        <v>0.52320272</v>
      </c>
      <c r="R51" s="20" t="n">
        <v>0.5291908400000001</v>
      </c>
    </row>
    <row r="52" spans="1:18">
      <c r="A52" s="15" t="s">
        <v>611</v>
      </c>
      <c r="B52" s="17" t="n">
        <v>2760</v>
      </c>
      <c r="C52" s="18">
        <f>(2473.0/B52*100)</f>
        <v/>
      </c>
      <c r="D52" s="19" t="n">
        <v>287</v>
      </c>
      <c r="E52" s="18" t="n">
        <v>33.7835771</v>
      </c>
      <c r="F52" s="20" t="n">
        <v>2.80386602</v>
      </c>
      <c r="G52" s="18" t="n">
        <v>64.19454953</v>
      </c>
      <c r="H52" s="20" t="n">
        <v>2.78277012</v>
      </c>
      <c r="I52" s="18" t="n">
        <v>0</v>
      </c>
      <c r="J52" s="20" t="n">
        <v>0</v>
      </c>
      <c r="K52" s="18" t="n">
        <v>1.04302555</v>
      </c>
      <c r="L52" s="20" t="n">
        <v>0.61577793</v>
      </c>
      <c r="M52" s="18" t="n">
        <v>0</v>
      </c>
      <c r="N52" s="20" t="n">
        <v>0</v>
      </c>
      <c r="O52" s="18" t="n">
        <v>0</v>
      </c>
      <c r="P52" s="20" t="n">
        <v>0</v>
      </c>
      <c r="Q52" s="18" t="n">
        <v>0.97884782</v>
      </c>
      <c r="R52" s="20" t="n">
        <v>0.57938769</v>
      </c>
    </row>
    <row r="53" spans="1:18">
      <c r="A53" s="15" t="s">
        <v>612</v>
      </c>
      <c r="B53" s="17" t="n">
        <v>2474</v>
      </c>
      <c r="C53" s="18">
        <f>(2188.0/B53*100)</f>
        <v/>
      </c>
      <c r="D53" s="19" t="n">
        <v>286</v>
      </c>
      <c r="E53" s="18" t="n">
        <v>34.33472971</v>
      </c>
      <c r="F53" s="20" t="n">
        <v>3.2622876</v>
      </c>
      <c r="G53" s="18" t="n">
        <v>34.41541949</v>
      </c>
      <c r="H53" s="20" t="n">
        <v>2.64849231</v>
      </c>
      <c r="I53" s="18" t="n">
        <v>0</v>
      </c>
      <c r="J53" s="20" t="n">
        <v>0</v>
      </c>
      <c r="K53" s="18" t="n">
        <v>28.36339586</v>
      </c>
      <c r="L53" s="20" t="n">
        <v>2.61141601</v>
      </c>
      <c r="M53" s="18" t="n">
        <v>0</v>
      </c>
      <c r="N53" s="20" t="n">
        <v>0</v>
      </c>
      <c r="O53" s="18" t="n">
        <v>0</v>
      </c>
      <c r="P53" s="20" t="n">
        <v>0</v>
      </c>
      <c r="Q53" s="18" t="n">
        <v>2.88645494</v>
      </c>
      <c r="R53" s="20" t="n">
        <v>1.31089344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(2398.0/B55*100)</f>
        <v/>
      </c>
      <c r="D55" s="19" t="n">
        <v>277</v>
      </c>
      <c r="E55" s="18" t="n">
        <v>15.84556899</v>
      </c>
      <c r="F55" s="20" t="n">
        <v>2.40338719</v>
      </c>
      <c r="G55" s="18" t="n">
        <v>83.52903961</v>
      </c>
      <c r="H55" s="20" t="n">
        <v>2.62596744</v>
      </c>
      <c r="I55" s="18" t="n">
        <v>0</v>
      </c>
      <c r="J55" s="20" t="n">
        <v>0</v>
      </c>
      <c r="K55" s="18" t="n">
        <v>0</v>
      </c>
      <c r="L55" s="20" t="n">
        <v>0</v>
      </c>
      <c r="M55" s="18" t="n">
        <v>0</v>
      </c>
      <c r="N55" s="20" t="n">
        <v>0</v>
      </c>
      <c r="O55" s="18" t="n">
        <v>0</v>
      </c>
      <c r="P55" s="20" t="n">
        <v>0</v>
      </c>
      <c r="Q55" s="18" t="n">
        <v>0.6253914</v>
      </c>
      <c r="R55" s="20" t="n">
        <v>0.68488384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(2843.0/B61*100)</f>
        <v/>
      </c>
      <c r="D61" s="19" t="n">
        <v>358</v>
      </c>
      <c r="E61" s="18" t="n">
        <v>35.02880491</v>
      </c>
      <c r="F61" s="20" t="n">
        <v>2.74600981</v>
      </c>
      <c r="G61" s="18" t="n">
        <v>64.52725492</v>
      </c>
      <c r="H61" s="20" t="n">
        <v>2.76481116</v>
      </c>
      <c r="I61" s="18" t="n">
        <v>0</v>
      </c>
      <c r="J61" s="20" t="n">
        <v>0</v>
      </c>
      <c r="K61" s="18" t="n">
        <v>0.37408077</v>
      </c>
      <c r="L61" s="20" t="n">
        <v>0.22894246</v>
      </c>
      <c r="M61" s="18" t="n">
        <v>0</v>
      </c>
      <c r="N61" s="20" t="n">
        <v>0</v>
      </c>
      <c r="O61" s="18" t="n">
        <v>0</v>
      </c>
      <c r="P61" s="20" t="n">
        <v>0</v>
      </c>
      <c r="Q61" s="18" t="n">
        <v>0.0698594</v>
      </c>
      <c r="R61" s="20" t="n">
        <v>0.07043776</v>
      </c>
    </row>
    <row r="62" spans="1:18">
      <c r="A62" s="15" t="s">
        <v>622</v>
      </c>
      <c r="B62" s="17" t="n">
        <v>2230</v>
      </c>
      <c r="C62" s="18">
        <f>(2018.0/B62*100)</f>
        <v/>
      </c>
      <c r="D62" s="19" t="n">
        <v>212</v>
      </c>
      <c r="E62" s="18" t="n">
        <v>16.93838045</v>
      </c>
      <c r="F62" s="20" t="n">
        <v>2.37571269</v>
      </c>
      <c r="G62" s="18" t="n">
        <v>82.59223706</v>
      </c>
      <c r="H62" s="20" t="n">
        <v>2.43807027</v>
      </c>
      <c r="I62" s="18" t="n">
        <v>0</v>
      </c>
      <c r="J62" s="20" t="n">
        <v>0</v>
      </c>
      <c r="K62" s="18" t="n">
        <v>0</v>
      </c>
      <c r="L62" s="20" t="n">
        <v>0</v>
      </c>
      <c r="M62" s="18" t="n">
        <v>0</v>
      </c>
      <c r="N62" s="20" t="n">
        <v>0</v>
      </c>
      <c r="O62" s="18" t="n">
        <v>0</v>
      </c>
      <c r="P62" s="20" t="n">
        <v>0</v>
      </c>
      <c r="Q62" s="18" t="n">
        <v>0.46938249</v>
      </c>
      <c r="R62" s="20" t="n">
        <v>0.47556522</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(2480.0/B67*100)</f>
        <v/>
      </c>
      <c r="D67" s="19" t="n">
        <v>291</v>
      </c>
      <c r="E67" s="18" t="n">
        <v>34.81979822</v>
      </c>
      <c r="F67" s="20" t="n">
        <v>2.73764614</v>
      </c>
      <c r="G67" s="18" t="n">
        <v>60.40084594</v>
      </c>
      <c r="H67" s="20" t="n">
        <v>2.95425585</v>
      </c>
      <c r="I67" s="18" t="n">
        <v>0</v>
      </c>
      <c r="J67" s="20" t="n">
        <v>0</v>
      </c>
      <c r="K67" s="18" t="n">
        <v>3.00108591</v>
      </c>
      <c r="L67" s="20" t="n">
        <v>1.09138254</v>
      </c>
      <c r="M67" s="18" t="n">
        <v>0</v>
      </c>
      <c r="N67" s="20" t="n">
        <v>0</v>
      </c>
      <c r="O67" s="18" t="n">
        <v>0</v>
      </c>
      <c r="P67" s="20" t="n">
        <v>0</v>
      </c>
      <c r="Q67" s="18" t="n">
        <v>1.77826993</v>
      </c>
      <c r="R67" s="20" t="n">
        <v>0.79159754</v>
      </c>
    </row>
    <row r="68" spans="1:18">
      <c r="A68" s="15" t="s">
        <v>628</v>
      </c>
      <c r="B68" s="17" t="n">
        <v>3460</v>
      </c>
      <c r="C68" s="18">
        <f>(3185.0/B68*100)</f>
        <v/>
      </c>
      <c r="D68" s="19" t="n">
        <v>275</v>
      </c>
      <c r="E68" s="18" t="n">
        <v>35.8055107</v>
      </c>
      <c r="F68" s="20" t="n">
        <v>3.0566428</v>
      </c>
      <c r="G68" s="18" t="n">
        <v>63.15484923</v>
      </c>
      <c r="H68" s="20" t="n">
        <v>3.09316082</v>
      </c>
      <c r="I68" s="18" t="n">
        <v>0</v>
      </c>
      <c r="J68" s="20" t="n">
        <v>0</v>
      </c>
      <c r="K68" s="18" t="n">
        <v>0.58618202</v>
      </c>
      <c r="L68" s="20" t="n">
        <v>0.40622763</v>
      </c>
      <c r="M68" s="18" t="n">
        <v>0</v>
      </c>
      <c r="N68" s="20" t="n">
        <v>0</v>
      </c>
      <c r="O68" s="18" t="n">
        <v>0</v>
      </c>
      <c r="P68" s="20" t="n">
        <v>0</v>
      </c>
      <c r="Q68" s="18" t="n">
        <v>0.45345804</v>
      </c>
      <c r="R68" s="20" t="n">
        <v>0.35607313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(5344.0/B70*100)</f>
        <v/>
      </c>
      <c r="D70" s="19" t="n">
        <v>690</v>
      </c>
      <c r="E70" s="18" t="n">
        <v>33.59729288</v>
      </c>
      <c r="F70" s="20" t="n">
        <v>1.59464332</v>
      </c>
      <c r="G70" s="18" t="n">
        <v>61.46600824</v>
      </c>
      <c r="H70" s="20" t="n">
        <v>1.57873001</v>
      </c>
      <c r="I70" s="18" t="n">
        <v>0</v>
      </c>
      <c r="J70" s="20" t="n">
        <v>0</v>
      </c>
      <c r="K70" s="18" t="n">
        <v>4.36884834</v>
      </c>
      <c r="L70" s="20" t="n">
        <v>0.69440494</v>
      </c>
      <c r="M70" s="18" t="n">
        <v>0</v>
      </c>
      <c r="N70" s="20" t="n">
        <v>0</v>
      </c>
      <c r="O70" s="18" t="n">
        <v>0</v>
      </c>
      <c r="P70" s="20" t="n">
        <v>0</v>
      </c>
      <c r="Q70" s="18" t="n">
        <v>0.56785054</v>
      </c>
      <c r="R70" s="20" t="n">
        <v>0.28287315</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(2820.0/B72*100)</f>
        <v/>
      </c>
      <c r="D72" s="19" t="n">
        <v>287</v>
      </c>
      <c r="E72" s="18" t="n">
        <v>24.87055222</v>
      </c>
      <c r="F72" s="20" t="n">
        <v>3.54847138</v>
      </c>
      <c r="G72" s="18" t="n">
        <v>74.05365202</v>
      </c>
      <c r="H72" s="20" t="n">
        <v>3.4287449</v>
      </c>
      <c r="I72" s="18" t="n">
        <v>0</v>
      </c>
      <c r="J72" s="20" t="n">
        <v>0</v>
      </c>
      <c r="K72" s="18" t="n">
        <v>0.78535524</v>
      </c>
      <c r="L72" s="20" t="n">
        <v>0.59473711</v>
      </c>
      <c r="M72" s="18" t="n">
        <v>0</v>
      </c>
      <c r="N72" s="20" t="n">
        <v>0</v>
      </c>
      <c r="O72" s="18" t="n">
        <v>0</v>
      </c>
      <c r="P72" s="20" t="n">
        <v>0</v>
      </c>
      <c r="Q72" s="18" t="n">
        <v>0.29044052</v>
      </c>
      <c r="R72" s="20" t="n">
        <v>0.29770665</v>
      </c>
    </row>
    <row r="73" spans="1:18">
      <c r="A73" s="15" t="s">
        <v>633</v>
      </c>
      <c r="B73" s="17" t="n">
        <v>2973</v>
      </c>
      <c r="C73" s="18">
        <f>(2629.0/B73*100)</f>
        <v/>
      </c>
      <c r="D73" s="19" t="n">
        <v>344</v>
      </c>
      <c r="E73" s="18" t="n">
        <v>19.12467554</v>
      </c>
      <c r="F73" s="20" t="n">
        <v>2.28003179</v>
      </c>
      <c r="G73" s="18" t="n">
        <v>79.8609422</v>
      </c>
      <c r="H73" s="20" t="n">
        <v>2.3026885</v>
      </c>
      <c r="I73" s="18" t="n">
        <v>0</v>
      </c>
      <c r="J73" s="20" t="n">
        <v>0</v>
      </c>
      <c r="K73" s="18" t="n">
        <v>1.01438226</v>
      </c>
      <c r="L73" s="20" t="n">
        <v>0.5868749599999999</v>
      </c>
      <c r="M73" s="18" t="n">
        <v>0</v>
      </c>
      <c r="N73" s="20" t="n">
        <v>0</v>
      </c>
      <c r="O73" s="18" t="n">
        <v>0</v>
      </c>
      <c r="P73" s="20" t="n">
        <v>0</v>
      </c>
      <c r="Q73" s="18" t="n">
        <v>0</v>
      </c>
      <c r="R73" s="20" t="n">
        <v>0</v>
      </c>
    </row>
    <row r="74" spans="1:18">
      <c r="A74" s="15" t="s">
        <v>634</v>
      </c>
      <c r="B74" s="17" t="n">
        <v>3819</v>
      </c>
      <c r="C74" s="18">
        <f>(3417.0/B74*100)</f>
        <v/>
      </c>
      <c r="D74" s="19" t="n">
        <v>402</v>
      </c>
      <c r="E74" s="18" t="n">
        <v>24.75088798</v>
      </c>
      <c r="F74" s="20" t="n">
        <v>2.34700492</v>
      </c>
      <c r="G74" s="18" t="n">
        <v>75.00061764</v>
      </c>
      <c r="H74" s="20" t="n">
        <v>2.37692364</v>
      </c>
      <c r="I74" s="18" t="n">
        <v>0</v>
      </c>
      <c r="J74" s="20" t="n">
        <v>0</v>
      </c>
      <c r="K74" s="18" t="n">
        <v>0</v>
      </c>
      <c r="L74" s="20" t="n">
        <v>0</v>
      </c>
      <c r="M74" s="18" t="n">
        <v>0</v>
      </c>
      <c r="N74" s="20" t="n">
        <v>0</v>
      </c>
      <c r="O74" s="18" t="n">
        <v>0</v>
      </c>
      <c r="P74" s="20" t="n">
        <v>0</v>
      </c>
      <c r="Q74" s="18" t="n">
        <v>0.24849438</v>
      </c>
      <c r="R74" s="20" t="n">
        <v>0.24912224</v>
      </c>
    </row>
    <row r="75" spans="1:18">
      <c r="A75" s="15" t="s">
        <v>635</v>
      </c>
      <c r="B75" s="17" t="n">
        <v>4652</v>
      </c>
      <c r="C75" s="18">
        <f>(4177.0/B75*100)</f>
        <v/>
      </c>
      <c r="D75" s="19" t="n">
        <v>475</v>
      </c>
      <c r="E75" s="18" t="n">
        <v>35.47291986</v>
      </c>
      <c r="F75" s="20" t="n">
        <v>2.61896777</v>
      </c>
      <c r="G75" s="18" t="n">
        <v>63.9329842</v>
      </c>
      <c r="H75" s="20" t="n">
        <v>2.68136323</v>
      </c>
      <c r="I75" s="18" t="n">
        <v>0</v>
      </c>
      <c r="J75" s="20" t="n">
        <v>0</v>
      </c>
      <c r="K75" s="18" t="n">
        <v>0</v>
      </c>
      <c r="L75" s="20" t="n">
        <v>0</v>
      </c>
      <c r="M75" s="18" t="n">
        <v>0</v>
      </c>
      <c r="N75" s="20" t="n">
        <v>0</v>
      </c>
      <c r="O75" s="18" t="n">
        <v>0</v>
      </c>
      <c r="P75" s="20" t="n">
        <v>0</v>
      </c>
      <c r="Q75" s="18" t="n">
        <v>0.59409594</v>
      </c>
      <c r="R75" s="20" t="n">
        <v>0.41614008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(2690.0/B77*100)</f>
        <v/>
      </c>
      <c r="D77" s="19" t="n">
        <v>279</v>
      </c>
      <c r="E77" s="18" t="n">
        <v>48.95750965</v>
      </c>
      <c r="F77" s="20" t="n">
        <v>2.88946258</v>
      </c>
      <c r="G77" s="18" t="n">
        <v>38.33630682</v>
      </c>
      <c r="H77" s="20" t="n">
        <v>3.02545009</v>
      </c>
      <c r="I77" s="18" t="n">
        <v>0</v>
      </c>
      <c r="J77" s="20" t="n">
        <v>0</v>
      </c>
      <c r="K77" s="18" t="n">
        <v>10.62053905</v>
      </c>
      <c r="L77" s="20" t="n">
        <v>2.25378112</v>
      </c>
      <c r="M77" s="18" t="n">
        <v>0</v>
      </c>
      <c r="N77" s="20" t="n">
        <v>0</v>
      </c>
      <c r="O77" s="18" t="n">
        <v>0</v>
      </c>
      <c r="P77" s="20" t="n">
        <v>0</v>
      </c>
      <c r="Q77" s="18" t="n">
        <v>2.08564448</v>
      </c>
      <c r="R77" s="20" t="n">
        <v>0.8629340599999999</v>
      </c>
    </row>
    <row r="78" spans="1:18">
      <c r="A78" s="15" t="s">
        <v>638</v>
      </c>
      <c r="B78" s="17" t="n">
        <v>7115</v>
      </c>
      <c r="C78" s="18">
        <f>(6363.0/B78*100)</f>
        <v/>
      </c>
      <c r="D78" s="19" t="n">
        <v>752</v>
      </c>
      <c r="E78" s="18" t="n">
        <v>25.89312185</v>
      </c>
      <c r="F78" s="20" t="n">
        <v>2.12348085</v>
      </c>
      <c r="G78" s="18" t="n">
        <v>71.37198967</v>
      </c>
      <c r="H78" s="20" t="n">
        <v>2.17909066</v>
      </c>
      <c r="I78" s="18" t="n">
        <v>0</v>
      </c>
      <c r="J78" s="20" t="n">
        <v>0</v>
      </c>
      <c r="K78" s="18" t="n">
        <v>2.48506003</v>
      </c>
      <c r="L78" s="20" t="n">
        <v>0.61603772</v>
      </c>
      <c r="M78" s="18" t="n">
        <v>0</v>
      </c>
      <c r="N78" s="20" t="n">
        <v>0</v>
      </c>
      <c r="O78" s="18" t="n">
        <v>0</v>
      </c>
      <c r="P78" s="20" t="n">
        <v>0</v>
      </c>
      <c r="Q78" s="18" t="n">
        <v>0.24982845</v>
      </c>
      <c r="R78" s="20" t="n">
        <v>0.1173868</v>
      </c>
    </row>
    <row r="79" spans="1:18">
      <c r="A79" s="15" t="s">
        <v>639</v>
      </c>
      <c r="B79" s="17" t="n">
        <v>3154</v>
      </c>
      <c r="C79" s="18">
        <f>(2831.0/B79*100)</f>
        <v/>
      </c>
      <c r="D79" s="19" t="n">
        <v>323</v>
      </c>
      <c r="E79" s="18" t="n">
        <v>35.69695108</v>
      </c>
      <c r="F79" s="20" t="n">
        <v>2.86506855</v>
      </c>
      <c r="G79" s="18" t="n">
        <v>59.85210114</v>
      </c>
      <c r="H79" s="20" t="n">
        <v>2.94315263</v>
      </c>
      <c r="I79" s="18" t="n">
        <v>0</v>
      </c>
      <c r="J79" s="20" t="n">
        <v>0</v>
      </c>
      <c r="K79" s="18" t="n">
        <v>2.02056781</v>
      </c>
      <c r="L79" s="20" t="n">
        <v>0.60639163</v>
      </c>
      <c r="M79" s="18" t="n">
        <v>0</v>
      </c>
      <c r="N79" s="20" t="n">
        <v>0</v>
      </c>
      <c r="O79" s="18" t="n">
        <v>0</v>
      </c>
      <c r="P79" s="20" t="n">
        <v>0</v>
      </c>
      <c r="Q79" s="18" t="n">
        <v>2.43037997</v>
      </c>
      <c r="R79" s="20" t="n">
        <v>0.9866912799999999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(14266.0/B82*100)</f>
        <v/>
      </c>
      <c r="D82" s="19" t="n">
        <v>1695</v>
      </c>
      <c r="E82" s="18" t="n">
        <v>17.98515649</v>
      </c>
      <c r="F82" s="20" t="n">
        <v>1.41729907</v>
      </c>
      <c r="G82" s="18" t="n">
        <v>80.35657731000001</v>
      </c>
      <c r="H82" s="20" t="n">
        <v>1.44012776</v>
      </c>
      <c r="I82" s="18" t="n">
        <v>0</v>
      </c>
      <c r="J82" s="20" t="n">
        <v>0</v>
      </c>
      <c r="K82" s="18" t="n">
        <v>0.67024523</v>
      </c>
      <c r="L82" s="20" t="n">
        <v>0.22367251</v>
      </c>
      <c r="M82" s="18" t="n">
        <v>0</v>
      </c>
      <c r="N82" s="20" t="n">
        <v>0</v>
      </c>
      <c r="O82" s="18" t="n">
        <v>0</v>
      </c>
      <c r="P82" s="20" t="n">
        <v>0</v>
      </c>
      <c r="Q82" s="18" t="n">
        <v>0.98802097</v>
      </c>
      <c r="R82" s="20" t="n">
        <v>0.43922718</v>
      </c>
    </row>
    <row r="83" spans="1:18">
      <c r="A83" s="15" t="s">
        <v>643</v>
      </c>
      <c r="B83" s="17" t="n">
        <v>808</v>
      </c>
      <c r="C83" s="18">
        <f>(713.0/B83*100)</f>
        <v/>
      </c>
      <c r="D83" s="19" t="n">
        <v>95</v>
      </c>
      <c r="E83" s="18" t="n">
        <v>14.43873986</v>
      </c>
      <c r="F83" s="20" t="n">
        <v>3.51997861</v>
      </c>
      <c r="G83" s="18" t="n">
        <v>84.25406039000001</v>
      </c>
      <c r="H83" s="20" t="n">
        <v>3.98251238</v>
      </c>
      <c r="I83" s="18" t="n">
        <v>0</v>
      </c>
      <c r="J83" s="20" t="n">
        <v>0</v>
      </c>
      <c r="K83" s="18" t="n">
        <v>1.30719975</v>
      </c>
      <c r="L83" s="20" t="n">
        <v>1.23256301</v>
      </c>
      <c r="M83" s="18" t="n">
        <v>0</v>
      </c>
      <c r="N83" s="20" t="n">
        <v>0</v>
      </c>
      <c r="O83" s="18" t="n">
        <v>0</v>
      </c>
      <c r="P83" s="20" t="n">
        <v>0</v>
      </c>
      <c r="Q83" s="18" t="n">
        <v>0</v>
      </c>
      <c r="R83" s="20" t="n">
        <v>0</v>
      </c>
    </row>
    <row r="84" spans="1:18">
      <c r="A84" s="23" t="s">
        <v>644</v>
      </c>
      <c r="B84" s="24" t="n">
        <v>938</v>
      </c>
      <c r="C84" s="25">
        <f>(828.0/B84*100)</f>
        <v/>
      </c>
      <c r="D84" s="19" t="n">
        <v>110</v>
      </c>
      <c r="E84" s="18" t="n">
        <v>27.3855618</v>
      </c>
      <c r="F84" s="20" t="n">
        <v>3.71128451</v>
      </c>
      <c r="G84" s="18" t="n">
        <v>71.37970772</v>
      </c>
      <c r="H84" s="20" t="n">
        <v>3.80591294</v>
      </c>
      <c r="I84" s="18" t="n">
        <v>0</v>
      </c>
      <c r="J84" s="20" t="n">
        <v>0</v>
      </c>
      <c r="K84" s="18" t="n">
        <v>0</v>
      </c>
      <c r="L84" s="20" t="n">
        <v>0</v>
      </c>
      <c r="M84" s="18" t="n">
        <v>0</v>
      </c>
      <c r="N84" s="20" t="n">
        <v>0</v>
      </c>
      <c r="O84" s="18" t="n">
        <v>0</v>
      </c>
      <c r="P84" s="20" t="n">
        <v>0</v>
      </c>
      <c r="Q84" s="18" t="n">
        <v>1.23473048</v>
      </c>
      <c r="R84" s="20" t="n">
        <v>1.27824411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(6416.0/B7*100)</f>
        <v/>
      </c>
      <c r="D7" s="19" t="n">
        <v>747</v>
      </c>
      <c r="E7" s="18" t="n">
        <v>39.93194245</v>
      </c>
      <c r="F7" s="20" t="n">
        <v>2.07654934</v>
      </c>
      <c r="G7" s="18" t="n">
        <v>59.57705914</v>
      </c>
      <c r="H7" s="20" t="n">
        <v>2.10066942</v>
      </c>
      <c r="I7" s="18" t="n">
        <v>0</v>
      </c>
      <c r="J7" s="20" t="n">
        <v>0</v>
      </c>
      <c r="K7" s="18" t="n">
        <v>0.49099841</v>
      </c>
      <c r="L7" s="20" t="n">
        <v>0.21501877</v>
      </c>
      <c r="M7" s="18" t="n">
        <v>0</v>
      </c>
      <c r="N7" s="20" t="n">
        <v>0</v>
      </c>
      <c r="O7" s="18" t="n">
        <v>0</v>
      </c>
      <c r="P7" s="20" t="n">
        <v>0</v>
      </c>
      <c r="Q7" s="18" t="n">
        <v>0</v>
      </c>
      <c r="R7" s="20" t="n">
        <v>0</v>
      </c>
    </row>
    <row r="8" spans="1:18">
      <c r="A8" s="15" t="s">
        <v>566</v>
      </c>
      <c r="B8" s="17" t="n">
        <v>3443</v>
      </c>
      <c r="C8" s="18">
        <f>(3060.0/B8*100)</f>
        <v/>
      </c>
      <c r="D8" s="19" t="n">
        <v>383</v>
      </c>
      <c r="E8" s="18" t="n">
        <v>50.96301641</v>
      </c>
      <c r="F8" s="20" t="n">
        <v>2.95594629</v>
      </c>
      <c r="G8" s="18" t="n">
        <v>48.23483407</v>
      </c>
      <c r="H8" s="20" t="n">
        <v>2.88102027</v>
      </c>
      <c r="I8" s="18" t="n">
        <v>0</v>
      </c>
      <c r="J8" s="20" t="n">
        <v>0</v>
      </c>
      <c r="K8" s="18" t="n">
        <v>0.8021495199999999</v>
      </c>
      <c r="L8" s="20" t="n">
        <v>0.5297426</v>
      </c>
      <c r="M8" s="18" t="n">
        <v>0</v>
      </c>
      <c r="N8" s="20" t="n">
        <v>0</v>
      </c>
      <c r="O8" s="18" t="n">
        <v>0</v>
      </c>
      <c r="P8" s="20" t="n">
        <v>0</v>
      </c>
      <c r="Q8" s="18" t="n">
        <v>0</v>
      </c>
      <c r="R8" s="20" t="n">
        <v>0</v>
      </c>
    </row>
    <row r="9" spans="1:18">
      <c r="A9" s="15" t="s">
        <v>567</v>
      </c>
      <c r="B9" s="17" t="n">
        <v>4752</v>
      </c>
      <c r="C9" s="18">
        <f>(4153.0/B9*100)</f>
        <v/>
      </c>
      <c r="D9" s="19" t="n">
        <v>599</v>
      </c>
      <c r="E9" s="18" t="n">
        <v>41.73426811</v>
      </c>
      <c r="F9" s="20" t="n">
        <v>2.36523851</v>
      </c>
      <c r="G9" s="18" t="n">
        <v>56.1893318</v>
      </c>
      <c r="H9" s="20" t="n">
        <v>2.28202342</v>
      </c>
      <c r="I9" s="18" t="n">
        <v>0</v>
      </c>
      <c r="J9" s="20" t="n">
        <v>0</v>
      </c>
      <c r="K9" s="18" t="n">
        <v>1.9506578</v>
      </c>
      <c r="L9" s="20" t="n">
        <v>0.5716251</v>
      </c>
      <c r="M9" s="18" t="n">
        <v>0</v>
      </c>
      <c r="N9" s="20" t="n">
        <v>0</v>
      </c>
      <c r="O9" s="18" t="n">
        <v>0</v>
      </c>
      <c r="P9" s="20" t="n">
        <v>0</v>
      </c>
      <c r="Q9" s="18" t="n">
        <v>0.12574229</v>
      </c>
      <c r="R9" s="20" t="n">
        <v>0.10487949</v>
      </c>
    </row>
    <row r="10" spans="1:18">
      <c r="A10" s="15" t="s">
        <v>568</v>
      </c>
      <c r="B10" s="17" t="n">
        <v>10022</v>
      </c>
      <c r="C10" s="18">
        <f>(8933.0/B10*100)</f>
        <v/>
      </c>
      <c r="D10" s="19" t="n">
        <v>1089</v>
      </c>
      <c r="E10" s="18" t="n">
        <v>39.39732486</v>
      </c>
      <c r="F10" s="20" t="n">
        <v>2.25108807</v>
      </c>
      <c r="G10" s="18" t="n">
        <v>59.82360818</v>
      </c>
      <c r="H10" s="20" t="n">
        <v>2.27556098</v>
      </c>
      <c r="I10" s="18" t="n">
        <v>0</v>
      </c>
      <c r="J10" s="20" t="n">
        <v>0</v>
      </c>
      <c r="K10" s="18" t="n">
        <v>0.77906695</v>
      </c>
      <c r="L10" s="20" t="n">
        <v>0.35420611</v>
      </c>
      <c r="M10" s="18" t="n">
        <v>0</v>
      </c>
      <c r="N10" s="20" t="n">
        <v>0</v>
      </c>
      <c r="O10" s="18" t="n">
        <v>0</v>
      </c>
      <c r="P10" s="20" t="n">
        <v>0</v>
      </c>
      <c r="Q10" s="18" t="n">
        <v>0</v>
      </c>
      <c r="R10" s="20" t="n">
        <v>0</v>
      </c>
    </row>
    <row r="11" spans="1:18">
      <c r="A11" s="15" t="s">
        <v>569</v>
      </c>
      <c r="B11" s="17" t="n">
        <v>3500</v>
      </c>
      <c r="C11" s="18">
        <f>(3122.0/B11*100)</f>
        <v/>
      </c>
      <c r="D11" s="19" t="n">
        <v>378</v>
      </c>
      <c r="E11" s="18" t="n">
        <v>45.21660932</v>
      </c>
      <c r="F11" s="20" t="n">
        <v>3.01133324</v>
      </c>
      <c r="G11" s="18" t="n">
        <v>51.56412193</v>
      </c>
      <c r="H11" s="20" t="n">
        <v>2.8528814</v>
      </c>
      <c r="I11" s="18" t="n">
        <v>0</v>
      </c>
      <c r="J11" s="20" t="n">
        <v>0</v>
      </c>
      <c r="K11" s="18" t="n">
        <v>3.21926875</v>
      </c>
      <c r="L11" s="20" t="n">
        <v>0.95771702</v>
      </c>
      <c r="M11" s="18" t="n">
        <v>0</v>
      </c>
      <c r="N11" s="20" t="n">
        <v>0</v>
      </c>
      <c r="O11" s="18" t="n">
        <v>0</v>
      </c>
      <c r="P11" s="20" t="n">
        <v>0</v>
      </c>
      <c r="Q11" s="18" t="n">
        <v>0</v>
      </c>
      <c r="R11" s="20" t="n">
        <v>0</v>
      </c>
    </row>
    <row r="12" spans="1:18">
      <c r="A12" s="15" t="s">
        <v>570</v>
      </c>
      <c r="B12" s="17" t="n">
        <v>3422</v>
      </c>
      <c r="C12" s="18">
        <f>(3021.0/B12*100)</f>
        <v/>
      </c>
      <c r="D12" s="19" t="n">
        <v>401</v>
      </c>
      <c r="E12" s="18" t="n">
        <v>51.73858593</v>
      </c>
      <c r="F12" s="20" t="n">
        <v>3.49076424</v>
      </c>
      <c r="G12" s="18" t="n">
        <v>47.11802411</v>
      </c>
      <c r="H12" s="20" t="n">
        <v>3.54749831</v>
      </c>
      <c r="I12" s="18" t="n">
        <v>0</v>
      </c>
      <c r="J12" s="20" t="n">
        <v>0</v>
      </c>
      <c r="K12" s="18" t="n">
        <v>1.14338996</v>
      </c>
      <c r="L12" s="20" t="n">
        <v>0.5303020899999999</v>
      </c>
      <c r="M12" s="18" t="n">
        <v>0</v>
      </c>
      <c r="N12" s="20" t="n">
        <v>0</v>
      </c>
      <c r="O12" s="18" t="n">
        <v>0</v>
      </c>
      <c r="P12" s="20" t="n">
        <v>0</v>
      </c>
      <c r="Q12" s="18" t="n">
        <v>0</v>
      </c>
      <c r="R12" s="20" t="n">
        <v>0</v>
      </c>
    </row>
    <row r="13" spans="1:18">
      <c r="A13" s="15" t="s">
        <v>571</v>
      </c>
      <c r="B13" s="17" t="n">
        <v>3602</v>
      </c>
      <c r="C13" s="18">
        <f>(3095.0/B13*100)</f>
        <v/>
      </c>
      <c r="D13" s="19" t="n">
        <v>507</v>
      </c>
      <c r="E13" s="18" t="n">
        <v>37.88113529</v>
      </c>
      <c r="F13" s="20" t="n">
        <v>2.47940631</v>
      </c>
      <c r="G13" s="18" t="n">
        <v>58.84127669</v>
      </c>
      <c r="H13" s="20" t="n">
        <v>2.41322022</v>
      </c>
      <c r="I13" s="18" t="n">
        <v>0</v>
      </c>
      <c r="J13" s="20" t="n">
        <v>0</v>
      </c>
      <c r="K13" s="18" t="n">
        <v>2.5634976</v>
      </c>
      <c r="L13" s="20" t="n">
        <v>0.91136023</v>
      </c>
      <c r="M13" s="18" t="n">
        <v>0</v>
      </c>
      <c r="N13" s="20" t="n">
        <v>0</v>
      </c>
      <c r="O13" s="18" t="n">
        <v>0</v>
      </c>
      <c r="P13" s="20" t="n">
        <v>0</v>
      </c>
      <c r="Q13" s="18" t="n">
        <v>0.71409041</v>
      </c>
      <c r="R13" s="20" t="n">
        <v>0.43860531</v>
      </c>
    </row>
    <row r="14" spans="1:18">
      <c r="A14" s="15" t="s">
        <v>572</v>
      </c>
      <c r="B14" s="17" t="n">
        <v>2788</v>
      </c>
      <c r="C14" s="18">
        <f>(2505.0/B14*100)</f>
        <v/>
      </c>
      <c r="D14" s="19" t="n">
        <v>283</v>
      </c>
      <c r="E14" s="18" t="n">
        <v>30.03294095</v>
      </c>
      <c r="F14" s="20" t="n">
        <v>2.48591839</v>
      </c>
      <c r="G14" s="18" t="n">
        <v>67.24359239</v>
      </c>
      <c r="H14" s="20" t="n">
        <v>2.69062217</v>
      </c>
      <c r="I14" s="18" t="n">
        <v>0</v>
      </c>
      <c r="J14" s="20" t="n">
        <v>0</v>
      </c>
      <c r="K14" s="18" t="n">
        <v>2.72346666</v>
      </c>
      <c r="L14" s="20" t="n">
        <v>1.43022095</v>
      </c>
      <c r="M14" s="18" t="n">
        <v>0</v>
      </c>
      <c r="N14" s="20" t="n">
        <v>0</v>
      </c>
      <c r="O14" s="18" t="n">
        <v>0</v>
      </c>
      <c r="P14" s="20" t="n">
        <v>0</v>
      </c>
      <c r="Q14" s="18" t="n">
        <v>0</v>
      </c>
      <c r="R14" s="20" t="n">
        <v>0</v>
      </c>
    </row>
    <row r="15" spans="1:18">
      <c r="A15" s="15" t="s">
        <v>573</v>
      </c>
      <c r="B15" s="17" t="n">
        <v>2863</v>
      </c>
      <c r="C15" s="18">
        <f>(2550.0/B15*100)</f>
        <v/>
      </c>
      <c r="D15" s="19" t="n">
        <v>313</v>
      </c>
      <c r="E15" s="18" t="n">
        <v>29.01314145</v>
      </c>
      <c r="F15" s="20" t="n">
        <v>3.10962541</v>
      </c>
      <c r="G15" s="18" t="n">
        <v>70.01075572000001</v>
      </c>
      <c r="H15" s="20" t="n">
        <v>3.32436168</v>
      </c>
      <c r="I15" s="18" t="n">
        <v>0</v>
      </c>
      <c r="J15" s="20" t="n">
        <v>0</v>
      </c>
      <c r="K15" s="18" t="n">
        <v>0.97610283</v>
      </c>
      <c r="L15" s="20" t="n">
        <v>0.7497156699999999</v>
      </c>
      <c r="M15" s="18" t="n">
        <v>0</v>
      </c>
      <c r="N15" s="20" t="n">
        <v>0</v>
      </c>
      <c r="O15" s="18" t="n">
        <v>0</v>
      </c>
      <c r="P15" s="20" t="n">
        <v>0</v>
      </c>
      <c r="Q15" s="18" t="n">
        <v>0</v>
      </c>
      <c r="R15" s="20" t="n">
        <v>0</v>
      </c>
    </row>
    <row r="16" spans="1:18">
      <c r="A16" s="15" t="s">
        <v>574</v>
      </c>
      <c r="B16" s="17" t="n">
        <v>3111</v>
      </c>
      <c r="C16" s="18">
        <f>(2811.0/B16*100)</f>
        <v/>
      </c>
      <c r="D16" s="19" t="n">
        <v>300</v>
      </c>
      <c r="E16" s="18" t="n">
        <v>34.26493138</v>
      </c>
      <c r="F16" s="20" t="n">
        <v>2.49646329</v>
      </c>
      <c r="G16" s="18" t="n">
        <v>63.5679224</v>
      </c>
      <c r="H16" s="20" t="n">
        <v>2.49897633</v>
      </c>
      <c r="I16" s="18" t="n">
        <v>0</v>
      </c>
      <c r="J16" s="20" t="n">
        <v>0</v>
      </c>
      <c r="K16" s="18" t="n">
        <v>2.16714622</v>
      </c>
      <c r="L16" s="20" t="n">
        <v>0.82221749</v>
      </c>
      <c r="M16" s="18" t="n">
        <v>0</v>
      </c>
      <c r="N16" s="20" t="n">
        <v>0</v>
      </c>
      <c r="O16" s="18" t="n">
        <v>0</v>
      </c>
      <c r="P16" s="20" t="n">
        <v>0</v>
      </c>
      <c r="Q16" s="18" t="n">
        <v>0</v>
      </c>
      <c r="R16" s="20" t="n">
        <v>0</v>
      </c>
    </row>
    <row r="17" spans="1:18">
      <c r="A17" s="15" t="s">
        <v>575</v>
      </c>
      <c r="B17" s="17" t="n">
        <v>3197</v>
      </c>
      <c r="C17" s="18">
        <f>(2798.0/B17*100)</f>
        <v/>
      </c>
      <c r="D17" s="19" t="n">
        <v>399</v>
      </c>
      <c r="E17" s="18" t="n">
        <v>52.70122743</v>
      </c>
      <c r="F17" s="20" t="n">
        <v>2.70333359</v>
      </c>
      <c r="G17" s="18" t="n">
        <v>45.27150402</v>
      </c>
      <c r="H17" s="20" t="n">
        <v>2.64018183</v>
      </c>
      <c r="I17" s="18" t="n">
        <v>0</v>
      </c>
      <c r="J17" s="20" t="n">
        <v>0</v>
      </c>
      <c r="K17" s="18" t="n">
        <v>1.26659199</v>
      </c>
      <c r="L17" s="20" t="n">
        <v>0.56254048</v>
      </c>
      <c r="M17" s="18" t="n">
        <v>0</v>
      </c>
      <c r="N17" s="20" t="n">
        <v>0</v>
      </c>
      <c r="O17" s="18" t="n">
        <v>0</v>
      </c>
      <c r="P17" s="20" t="n">
        <v>0</v>
      </c>
      <c r="Q17" s="18" t="n">
        <v>0.76067655</v>
      </c>
      <c r="R17" s="20" t="n">
        <v>0.57588361</v>
      </c>
    </row>
    <row r="18" spans="1:18">
      <c r="A18" s="15" t="s">
        <v>576</v>
      </c>
      <c r="B18" s="17" t="n">
        <v>2706</v>
      </c>
      <c r="C18" s="18">
        <f>(2445.0/B18*100)</f>
        <v/>
      </c>
      <c r="D18" s="19" t="n">
        <v>261</v>
      </c>
      <c r="E18" s="18" t="n">
        <v>54.17030645</v>
      </c>
      <c r="F18" s="20" t="n">
        <v>3.24541055</v>
      </c>
      <c r="G18" s="18" t="n">
        <v>45.04759232</v>
      </c>
      <c r="H18" s="20" t="n">
        <v>3.3175547</v>
      </c>
      <c r="I18" s="18" t="n">
        <v>0</v>
      </c>
      <c r="J18" s="20" t="n">
        <v>0</v>
      </c>
      <c r="K18" s="18" t="n">
        <v>0.78210123</v>
      </c>
      <c r="L18" s="20" t="n">
        <v>0.53799827</v>
      </c>
      <c r="M18" s="18" t="n">
        <v>0</v>
      </c>
      <c r="N18" s="20" t="n">
        <v>0</v>
      </c>
      <c r="O18" s="18" t="n">
        <v>0</v>
      </c>
      <c r="P18" s="20" t="n">
        <v>0</v>
      </c>
      <c r="Q18" s="18" t="n">
        <v>0</v>
      </c>
      <c r="R18" s="20" t="n">
        <v>0</v>
      </c>
    </row>
    <row r="19" spans="1:18">
      <c r="A19" s="15" t="s">
        <v>577</v>
      </c>
      <c r="B19" s="17" t="n">
        <v>2850</v>
      </c>
      <c r="C19" s="18">
        <f>(2549.0/B19*100)</f>
        <v/>
      </c>
      <c r="D19" s="19" t="n">
        <v>301</v>
      </c>
      <c r="E19" s="18" t="n">
        <v>44.98262769</v>
      </c>
      <c r="F19" s="20" t="n">
        <v>3.30361253</v>
      </c>
      <c r="G19" s="18" t="n">
        <v>54.3914407</v>
      </c>
      <c r="H19" s="20" t="n">
        <v>3.33812627</v>
      </c>
      <c r="I19" s="18" t="n">
        <v>0</v>
      </c>
      <c r="J19" s="20" t="n">
        <v>0</v>
      </c>
      <c r="K19" s="18" t="n">
        <v>0.62593161</v>
      </c>
      <c r="L19" s="20" t="n">
        <v>0.44897257</v>
      </c>
      <c r="M19" s="18" t="n">
        <v>0</v>
      </c>
      <c r="N19" s="20" t="n">
        <v>0</v>
      </c>
      <c r="O19" s="18" t="n">
        <v>0</v>
      </c>
      <c r="P19" s="20" t="n">
        <v>0</v>
      </c>
      <c r="Q19" s="18" t="n">
        <v>0</v>
      </c>
      <c r="R19" s="20" t="n">
        <v>0</v>
      </c>
    </row>
    <row r="20" spans="1:18">
      <c r="A20" s="15" t="s">
        <v>578</v>
      </c>
      <c r="B20" s="17" t="n">
        <v>1741</v>
      </c>
      <c r="C20" s="18">
        <f>(1566.0/B20*100)</f>
        <v/>
      </c>
      <c r="D20" s="19" t="n">
        <v>175</v>
      </c>
      <c r="E20" s="18" t="n">
        <v>45.60600917</v>
      </c>
      <c r="F20" s="20" t="n">
        <v>3.8044508</v>
      </c>
      <c r="G20" s="18" t="n">
        <v>50.98330956</v>
      </c>
      <c r="H20" s="20" t="n">
        <v>3.5584253</v>
      </c>
      <c r="I20" s="18" t="n">
        <v>0</v>
      </c>
      <c r="J20" s="20" t="n">
        <v>0</v>
      </c>
      <c r="K20" s="18" t="n">
        <v>3.41068128</v>
      </c>
      <c r="L20" s="20" t="n">
        <v>1.40430675</v>
      </c>
      <c r="M20" s="18" t="n">
        <v>0</v>
      </c>
      <c r="N20" s="20" t="n">
        <v>0</v>
      </c>
      <c r="O20" s="18" t="n">
        <v>0</v>
      </c>
      <c r="P20" s="20" t="n">
        <v>0</v>
      </c>
      <c r="Q20" s="18" t="n">
        <v>0</v>
      </c>
      <c r="R20" s="20" t="n">
        <v>0</v>
      </c>
    </row>
    <row r="21" spans="1:18">
      <c r="A21" s="15" t="s">
        <v>579</v>
      </c>
      <c r="B21" s="17" t="n">
        <v>2833</v>
      </c>
      <c r="C21" s="18">
        <f>(2496.0/B21*100)</f>
        <v/>
      </c>
      <c r="D21" s="19" t="n">
        <v>337</v>
      </c>
      <c r="E21" s="18" t="n">
        <v>45.46839086</v>
      </c>
      <c r="F21" s="20" t="n">
        <v>2.82022753</v>
      </c>
      <c r="G21" s="18" t="n">
        <v>54.30115555</v>
      </c>
      <c r="H21" s="20" t="n">
        <v>2.82466974</v>
      </c>
      <c r="I21" s="18" t="n">
        <v>0</v>
      </c>
      <c r="J21" s="20" t="n">
        <v>0</v>
      </c>
      <c r="K21" s="18" t="n">
        <v>0.23045359</v>
      </c>
      <c r="L21" s="20" t="n">
        <v>0.23013549</v>
      </c>
      <c r="M21" s="18" t="n">
        <v>0</v>
      </c>
      <c r="N21" s="20" t="n">
        <v>0</v>
      </c>
      <c r="O21" s="18" t="n">
        <v>0</v>
      </c>
      <c r="P21" s="20" t="n">
        <v>0</v>
      </c>
      <c r="Q21" s="18" t="n">
        <v>0</v>
      </c>
      <c r="R21" s="20" t="n">
        <v>0</v>
      </c>
    </row>
    <row r="22" spans="1:18">
      <c r="A22" s="15" t="s">
        <v>580</v>
      </c>
      <c r="B22" s="17" t="n">
        <v>3667</v>
      </c>
      <c r="C22" s="18">
        <f>(3333.0/B22*100)</f>
        <v/>
      </c>
      <c r="D22" s="19" t="n">
        <v>334</v>
      </c>
      <c r="E22" s="18" t="n">
        <v>48.01169735</v>
      </c>
      <c r="F22" s="20" t="n">
        <v>2.65372312</v>
      </c>
      <c r="G22" s="18" t="n">
        <v>50.80244671</v>
      </c>
      <c r="H22" s="20" t="n">
        <v>2.65718301</v>
      </c>
      <c r="I22" s="18" t="n">
        <v>0</v>
      </c>
      <c r="J22" s="20" t="n">
        <v>0</v>
      </c>
      <c r="K22" s="18" t="n">
        <v>1.18585593</v>
      </c>
      <c r="L22" s="20" t="n">
        <v>0.6166959400000001</v>
      </c>
      <c r="M22" s="18" t="n">
        <v>0</v>
      </c>
      <c r="N22" s="20" t="n">
        <v>0</v>
      </c>
      <c r="O22" s="18" t="n">
        <v>0</v>
      </c>
      <c r="P22" s="20" t="n">
        <v>0</v>
      </c>
      <c r="Q22" s="18" t="n">
        <v>0</v>
      </c>
      <c r="R22" s="20" t="n">
        <v>0</v>
      </c>
    </row>
    <row r="23" spans="1:18">
      <c r="A23" s="15" t="s">
        <v>581</v>
      </c>
      <c r="B23" s="17" t="n">
        <v>5792</v>
      </c>
      <c r="C23" s="18">
        <f>(5175.0/B23*100)</f>
        <v/>
      </c>
      <c r="D23" s="19" t="n">
        <v>617</v>
      </c>
      <c r="E23" s="18" t="n">
        <v>36.05808954</v>
      </c>
      <c r="F23" s="20" t="n">
        <v>3.40668062</v>
      </c>
      <c r="G23" s="18" t="n">
        <v>62.1788213</v>
      </c>
      <c r="H23" s="20" t="n">
        <v>3.51138552</v>
      </c>
      <c r="I23" s="18" t="n">
        <v>0</v>
      </c>
      <c r="J23" s="20" t="n">
        <v>0</v>
      </c>
      <c r="K23" s="18" t="n">
        <v>1.76308915</v>
      </c>
      <c r="L23" s="20" t="n">
        <v>0.72184529</v>
      </c>
      <c r="M23" s="18" t="n">
        <v>0</v>
      </c>
      <c r="N23" s="20" t="n">
        <v>0</v>
      </c>
      <c r="O23" s="18" t="n">
        <v>0</v>
      </c>
      <c r="P23" s="20" t="n">
        <v>0</v>
      </c>
      <c r="Q23" s="18" t="n">
        <v>0</v>
      </c>
      <c r="R23" s="20" t="n">
        <v>0</v>
      </c>
    </row>
    <row r="24" spans="1:18">
      <c r="A24" s="15" t="s">
        <v>582</v>
      </c>
      <c r="B24" s="17" t="n">
        <v>3309</v>
      </c>
      <c r="C24" s="18">
        <f>(2943.0/B24*100)</f>
        <v/>
      </c>
      <c r="D24" s="19" t="n">
        <v>366</v>
      </c>
      <c r="E24" s="18" t="n">
        <v>22.59280107</v>
      </c>
      <c r="F24" s="20" t="n">
        <v>2.52541244</v>
      </c>
      <c r="G24" s="18" t="n">
        <v>77.15570494000001</v>
      </c>
      <c r="H24" s="20" t="n">
        <v>2.53247849</v>
      </c>
      <c r="I24" s="18" t="n">
        <v>0</v>
      </c>
      <c r="J24" s="20" t="n">
        <v>0</v>
      </c>
      <c r="K24" s="18" t="n">
        <v>0.25149399</v>
      </c>
      <c r="L24" s="20" t="n">
        <v>0.25145912</v>
      </c>
      <c r="M24" s="18" t="n">
        <v>0</v>
      </c>
      <c r="N24" s="20" t="n">
        <v>0</v>
      </c>
      <c r="O24" s="18" t="n">
        <v>0</v>
      </c>
      <c r="P24" s="20" t="n">
        <v>0</v>
      </c>
      <c r="Q24" s="18" t="n">
        <v>0</v>
      </c>
      <c r="R24" s="20" t="n">
        <v>0</v>
      </c>
    </row>
    <row r="25" spans="1:18">
      <c r="A25" s="15" t="s">
        <v>583</v>
      </c>
      <c r="B25" s="17" t="n">
        <v>2669</v>
      </c>
      <c r="C25" s="18">
        <f>(2396.0/B25*100)</f>
        <v/>
      </c>
      <c r="D25" s="19" t="n">
        <v>273</v>
      </c>
      <c r="E25" s="18" t="n">
        <v>27.4225246</v>
      </c>
      <c r="F25" s="20" t="n">
        <v>2.64126835</v>
      </c>
      <c r="G25" s="18" t="n">
        <v>72.23831048</v>
      </c>
      <c r="H25" s="20" t="n">
        <v>2.65532537</v>
      </c>
      <c r="I25" s="18" t="n">
        <v>0</v>
      </c>
      <c r="J25" s="20" t="n">
        <v>0</v>
      </c>
      <c r="K25" s="18" t="n">
        <v>0.33916492</v>
      </c>
      <c r="L25" s="20" t="n">
        <v>0.47668997</v>
      </c>
      <c r="M25" s="18" t="n">
        <v>0</v>
      </c>
      <c r="N25" s="20" t="n">
        <v>0</v>
      </c>
      <c r="O25" s="18" t="n">
        <v>0</v>
      </c>
      <c r="P25" s="20" t="n">
        <v>0</v>
      </c>
      <c r="Q25" s="18" t="n">
        <v>0</v>
      </c>
      <c r="R25" s="20" t="n">
        <v>0</v>
      </c>
    </row>
    <row r="26" spans="1:18">
      <c r="A26" s="15" t="s">
        <v>584</v>
      </c>
      <c r="B26" s="17" t="n">
        <v>2419</v>
      </c>
      <c r="C26" s="18">
        <f>(2160.0/B26*100)</f>
        <v/>
      </c>
      <c r="D26" s="19" t="n">
        <v>259</v>
      </c>
      <c r="E26" s="18" t="n">
        <v>40.36747194</v>
      </c>
      <c r="F26" s="20" t="n">
        <v>3.83111962</v>
      </c>
      <c r="G26" s="18" t="n">
        <v>59.63252806</v>
      </c>
      <c r="H26" s="20" t="n">
        <v>3.83111962</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(2389.0/B27*100)</f>
        <v/>
      </c>
      <c r="D27" s="19" t="n">
        <v>294</v>
      </c>
      <c r="E27" s="18" t="n">
        <v>55.38032394</v>
      </c>
      <c r="F27" s="20" t="n">
        <v>2.73013466</v>
      </c>
      <c r="G27" s="18" t="n">
        <v>41.91780958</v>
      </c>
      <c r="H27" s="20" t="n">
        <v>2.6916382</v>
      </c>
      <c r="I27" s="18" t="n">
        <v>0</v>
      </c>
      <c r="J27" s="20" t="n">
        <v>0</v>
      </c>
      <c r="K27" s="18" t="n">
        <v>2.70186648</v>
      </c>
      <c r="L27" s="20" t="n">
        <v>0.93408101</v>
      </c>
      <c r="M27" s="18" t="n">
        <v>0</v>
      </c>
      <c r="N27" s="20" t="n">
        <v>0</v>
      </c>
      <c r="O27" s="18" t="n">
        <v>0</v>
      </c>
      <c r="P27" s="20" t="n">
        <v>0</v>
      </c>
      <c r="Q27" s="18" t="n">
        <v>0</v>
      </c>
      <c r="R27" s="20" t="n">
        <v>0</v>
      </c>
    </row>
    <row r="28" spans="1:18">
      <c r="A28" s="15" t="s">
        <v>586</v>
      </c>
      <c r="B28" s="17" t="n">
        <v>3803</v>
      </c>
      <c r="C28" s="18">
        <f>(3471.0/B28*100)</f>
        <v/>
      </c>
      <c r="D28" s="19" t="n">
        <v>332</v>
      </c>
      <c r="E28" s="18" t="n">
        <v>48.16339018</v>
      </c>
      <c r="F28" s="20" t="n">
        <v>2.74317493</v>
      </c>
      <c r="G28" s="18" t="n">
        <v>50.11460745</v>
      </c>
      <c r="H28" s="20" t="n">
        <v>2.61515948</v>
      </c>
      <c r="I28" s="18" t="n">
        <v>0</v>
      </c>
      <c r="J28" s="20" t="n">
        <v>0</v>
      </c>
      <c r="K28" s="18" t="n">
        <v>1.72200237</v>
      </c>
      <c r="L28" s="20" t="n">
        <v>0.74573641</v>
      </c>
      <c r="M28" s="18" t="n">
        <v>0</v>
      </c>
      <c r="N28" s="20" t="n">
        <v>0</v>
      </c>
      <c r="O28" s="18" t="n">
        <v>0</v>
      </c>
      <c r="P28" s="20" t="n">
        <v>0</v>
      </c>
      <c r="Q28" s="18" t="n">
        <v>0</v>
      </c>
      <c r="R28" s="20" t="n">
        <v>0</v>
      </c>
    </row>
    <row r="29" spans="1:18">
      <c r="A29" s="15" t="s">
        <v>587</v>
      </c>
      <c r="B29" s="17" t="n">
        <v>2700</v>
      </c>
      <c r="C29" s="18">
        <f>(2340.0/B29*100)</f>
        <v/>
      </c>
      <c r="D29" s="19" t="n">
        <v>360</v>
      </c>
      <c r="E29" s="18" t="n">
        <v>32.29334597</v>
      </c>
      <c r="F29" s="20" t="n">
        <v>2.72044144</v>
      </c>
      <c r="G29" s="18" t="n">
        <v>66.4694525</v>
      </c>
      <c r="H29" s="20" t="n">
        <v>2.76680611</v>
      </c>
      <c r="I29" s="18" t="n">
        <v>0</v>
      </c>
      <c r="J29" s="20" t="n">
        <v>0</v>
      </c>
      <c r="K29" s="18" t="n">
        <v>0.71796811</v>
      </c>
      <c r="L29" s="20" t="n">
        <v>0.38830059</v>
      </c>
      <c r="M29" s="18" t="n">
        <v>0</v>
      </c>
      <c r="N29" s="20" t="n">
        <v>0</v>
      </c>
      <c r="O29" s="18" t="n">
        <v>0</v>
      </c>
      <c r="P29" s="20" t="n">
        <v>0</v>
      </c>
      <c r="Q29" s="18" t="n">
        <v>0.5192334199999999</v>
      </c>
      <c r="R29" s="20" t="n">
        <v>0.07132790999999999</v>
      </c>
    </row>
    <row r="30" spans="1:18">
      <c r="A30" s="15" t="s">
        <v>588</v>
      </c>
      <c r="B30" s="17" t="n">
        <v>2257</v>
      </c>
      <c r="C30" s="18">
        <f>(2024.0/B30*100)</f>
        <v/>
      </c>
      <c r="D30" s="19" t="n">
        <v>233</v>
      </c>
      <c r="E30" s="18" t="n">
        <v>37.06041294</v>
      </c>
      <c r="F30" s="20" t="n">
        <v>3.60888874</v>
      </c>
      <c r="G30" s="18" t="n">
        <v>62.13674169</v>
      </c>
      <c r="H30" s="20" t="n">
        <v>3.57222757</v>
      </c>
      <c r="I30" s="18" t="n">
        <v>0</v>
      </c>
      <c r="J30" s="20" t="n">
        <v>0</v>
      </c>
      <c r="K30" s="18" t="n">
        <v>0.80284537</v>
      </c>
      <c r="L30" s="20" t="n">
        <v>0.52982898</v>
      </c>
      <c r="M30" s="18" t="n">
        <v>0</v>
      </c>
      <c r="N30" s="20" t="n">
        <v>0</v>
      </c>
      <c r="O30" s="18" t="n">
        <v>0</v>
      </c>
      <c r="P30" s="20" t="n">
        <v>0</v>
      </c>
      <c r="Q30" s="18" t="n">
        <v>0</v>
      </c>
      <c r="R30" s="20" t="n">
        <v>0</v>
      </c>
    </row>
    <row r="31" spans="1:18">
      <c r="A31" s="15" t="s">
        <v>589</v>
      </c>
      <c r="B31" s="17" t="n">
        <v>2706</v>
      </c>
      <c r="C31" s="18">
        <f>(2429.0/B31*100)</f>
        <v/>
      </c>
      <c r="D31" s="19" t="n">
        <v>277</v>
      </c>
      <c r="E31" s="18" t="n">
        <v>49.25517785</v>
      </c>
      <c r="F31" s="20" t="n">
        <v>2.93384449</v>
      </c>
      <c r="G31" s="18" t="n">
        <v>47.87879044</v>
      </c>
      <c r="H31" s="20" t="n">
        <v>2.97066112</v>
      </c>
      <c r="I31" s="18" t="n">
        <v>0</v>
      </c>
      <c r="J31" s="20" t="n">
        <v>0</v>
      </c>
      <c r="K31" s="18" t="n">
        <v>2.86603171</v>
      </c>
      <c r="L31" s="20" t="n">
        <v>0.93923795</v>
      </c>
      <c r="M31" s="18" t="n">
        <v>0</v>
      </c>
      <c r="N31" s="20" t="n">
        <v>0</v>
      </c>
      <c r="O31" s="18" t="n">
        <v>0</v>
      </c>
      <c r="P31" s="20" t="n">
        <v>0</v>
      </c>
      <c r="Q31" s="18" t="n">
        <v>0</v>
      </c>
      <c r="R31" s="20" t="n">
        <v>0</v>
      </c>
    </row>
    <row r="32" spans="1:18">
      <c r="A32" s="15" t="s">
        <v>590</v>
      </c>
      <c r="B32" s="17" t="n">
        <v>2209</v>
      </c>
      <c r="C32" s="18">
        <f>(1971.0/B32*100)</f>
        <v/>
      </c>
      <c r="D32" s="19" t="n">
        <v>238</v>
      </c>
      <c r="E32" s="18" t="n">
        <v>34.35586293</v>
      </c>
      <c r="F32" s="20" t="n">
        <v>3.3774409</v>
      </c>
      <c r="G32" s="18" t="n">
        <v>64.34426968</v>
      </c>
      <c r="H32" s="20" t="n">
        <v>3.40567937</v>
      </c>
      <c r="I32" s="18" t="n">
        <v>0</v>
      </c>
      <c r="J32" s="20" t="n">
        <v>0</v>
      </c>
      <c r="K32" s="18" t="n">
        <v>1.29986739</v>
      </c>
      <c r="L32" s="20" t="n">
        <v>0.73315948</v>
      </c>
      <c r="M32" s="18" t="n">
        <v>0</v>
      </c>
      <c r="N32" s="20" t="n">
        <v>0</v>
      </c>
      <c r="O32" s="18" t="n">
        <v>0</v>
      </c>
      <c r="P32" s="20" t="n">
        <v>0</v>
      </c>
      <c r="Q32" s="18" t="n">
        <v>0</v>
      </c>
      <c r="R32" s="20" t="n">
        <v>0</v>
      </c>
    </row>
    <row r="33" spans="1:18">
      <c r="A33" s="15" t="s">
        <v>591</v>
      </c>
      <c r="B33" s="17" t="n">
        <v>3651</v>
      </c>
      <c r="C33" s="18">
        <f>(3284.0/B33*100)</f>
        <v/>
      </c>
      <c r="D33" s="19" t="n">
        <v>367</v>
      </c>
      <c r="E33" s="18" t="n">
        <v>40.91962862</v>
      </c>
      <c r="F33" s="20" t="n">
        <v>2.99662727</v>
      </c>
      <c r="G33" s="18" t="n">
        <v>59.08037138</v>
      </c>
      <c r="H33" s="20" t="n">
        <v>2.99662727</v>
      </c>
      <c r="I33" s="18" t="n">
        <v>0</v>
      </c>
      <c r="J33" s="20" t="n">
        <v>0</v>
      </c>
      <c r="K33" s="18" t="n">
        <v>0</v>
      </c>
      <c r="L33" s="20" t="n">
        <v>0</v>
      </c>
      <c r="M33" s="18" t="n">
        <v>0</v>
      </c>
      <c r="N33" s="20" t="n">
        <v>0</v>
      </c>
      <c r="O33" s="18" t="n">
        <v>0</v>
      </c>
      <c r="P33" s="20" t="n">
        <v>0</v>
      </c>
      <c r="Q33" s="18" t="n">
        <v>0</v>
      </c>
      <c r="R33" s="20" t="n">
        <v>0</v>
      </c>
    </row>
    <row r="34" spans="1:18">
      <c r="A34" s="15" t="s">
        <v>592</v>
      </c>
      <c r="B34" s="17" t="n">
        <v>3035</v>
      </c>
      <c r="C34" s="18">
        <f>(2673.0/B34*100)</f>
        <v/>
      </c>
      <c r="D34" s="19" t="n">
        <v>362</v>
      </c>
      <c r="E34" s="18" t="n">
        <v>55.51402418</v>
      </c>
      <c r="F34" s="20" t="n">
        <v>3.27637755</v>
      </c>
      <c r="G34" s="18" t="n">
        <v>43.42150731</v>
      </c>
      <c r="H34" s="20" t="n">
        <v>3.27959016</v>
      </c>
      <c r="I34" s="18" t="n">
        <v>0</v>
      </c>
      <c r="J34" s="20" t="n">
        <v>0</v>
      </c>
      <c r="K34" s="18" t="n">
        <v>0.36658077</v>
      </c>
      <c r="L34" s="20" t="n">
        <v>0.20673177</v>
      </c>
      <c r="M34" s="18" t="n">
        <v>0</v>
      </c>
      <c r="N34" s="20" t="n">
        <v>0</v>
      </c>
      <c r="O34" s="18" t="n">
        <v>0</v>
      </c>
      <c r="P34" s="20" t="n">
        <v>0</v>
      </c>
      <c r="Q34" s="18" t="n">
        <v>0.69788773</v>
      </c>
      <c r="R34" s="20" t="n">
        <v>0.48072297</v>
      </c>
    </row>
    <row r="35" spans="1:18">
      <c r="A35" s="15" t="s">
        <v>593</v>
      </c>
      <c r="B35" s="17" t="n">
        <v>2901</v>
      </c>
      <c r="C35" s="18">
        <f>(2543.0/B35*100)</f>
        <v/>
      </c>
      <c r="D35" s="19" t="n">
        <v>358</v>
      </c>
      <c r="E35" s="18" t="n">
        <v>26.24392311</v>
      </c>
      <c r="F35" s="20" t="n">
        <v>2.69698105</v>
      </c>
      <c r="G35" s="18" t="n">
        <v>73.38795646</v>
      </c>
      <c r="H35" s="20" t="n">
        <v>2.69860423</v>
      </c>
      <c r="I35" s="18" t="n">
        <v>0</v>
      </c>
      <c r="J35" s="20" t="n">
        <v>0</v>
      </c>
      <c r="K35" s="18" t="n">
        <v>0.36812042</v>
      </c>
      <c r="L35" s="20" t="n">
        <v>0.26835307</v>
      </c>
      <c r="M35" s="18" t="n">
        <v>0</v>
      </c>
      <c r="N35" s="20" t="n">
        <v>0</v>
      </c>
      <c r="O35" s="18" t="n">
        <v>0</v>
      </c>
      <c r="P35" s="20" t="n">
        <v>0</v>
      </c>
      <c r="Q35" s="18" t="n">
        <v>0</v>
      </c>
      <c r="R35" s="20" t="n">
        <v>0</v>
      </c>
    </row>
    <row r="36" spans="1:18">
      <c r="A36" s="15" t="s">
        <v>594</v>
      </c>
      <c r="B36" s="17" t="n">
        <v>3404</v>
      </c>
      <c r="C36" s="18">
        <f>(3060.0/B36*100)</f>
        <v/>
      </c>
      <c r="D36" s="19" t="n">
        <v>344</v>
      </c>
      <c r="E36" s="18" t="n">
        <v>35.1629256</v>
      </c>
      <c r="F36" s="20" t="n">
        <v>2.92381068</v>
      </c>
      <c r="G36" s="18" t="n">
        <v>64.48269129000001</v>
      </c>
      <c r="H36" s="20" t="n">
        <v>3.04162537</v>
      </c>
      <c r="I36" s="18" t="n">
        <v>0</v>
      </c>
      <c r="J36" s="20" t="n">
        <v>0</v>
      </c>
      <c r="K36" s="18" t="n">
        <v>0.35438311</v>
      </c>
      <c r="L36" s="20" t="n">
        <v>0.45394641</v>
      </c>
      <c r="M36" s="18" t="n">
        <v>0</v>
      </c>
      <c r="N36" s="20" t="n">
        <v>0</v>
      </c>
      <c r="O36" s="18" t="n">
        <v>0</v>
      </c>
      <c r="P36" s="20" t="n">
        <v>0</v>
      </c>
      <c r="Q36" s="18" t="n">
        <v>0</v>
      </c>
      <c r="R36" s="20" t="n">
        <v>0</v>
      </c>
    </row>
    <row r="37" spans="1:18">
      <c r="A37" s="15" t="s">
        <v>595</v>
      </c>
      <c r="B37" s="17" t="n">
        <v>2731</v>
      </c>
      <c r="C37" s="18">
        <f>(2457.0/B37*100)</f>
        <v/>
      </c>
      <c r="D37" s="19" t="n">
        <v>274</v>
      </c>
      <c r="E37" s="18" t="n">
        <v>40.85874341</v>
      </c>
      <c r="F37" s="20" t="n">
        <v>2.92163576</v>
      </c>
      <c r="G37" s="18" t="n">
        <v>56.85135168</v>
      </c>
      <c r="H37" s="20" t="n">
        <v>3.14653696</v>
      </c>
      <c r="I37" s="18" t="n">
        <v>0</v>
      </c>
      <c r="J37" s="20" t="n">
        <v>0</v>
      </c>
      <c r="K37" s="18" t="n">
        <v>2.28990491</v>
      </c>
      <c r="L37" s="20" t="n">
        <v>0.9586882</v>
      </c>
      <c r="M37" s="18" t="n">
        <v>0</v>
      </c>
      <c r="N37" s="20" t="n">
        <v>0</v>
      </c>
      <c r="O37" s="18" t="n">
        <v>0</v>
      </c>
      <c r="P37" s="20" t="n">
        <v>0</v>
      </c>
      <c r="Q37" s="18" t="n">
        <v>0</v>
      </c>
      <c r="R37" s="20" t="n">
        <v>0</v>
      </c>
    </row>
    <row r="38" spans="1:18">
      <c r="A38" s="15" t="s">
        <v>596</v>
      </c>
      <c r="B38" s="17" t="n">
        <v>2807</v>
      </c>
      <c r="C38" s="18">
        <f>(2523.0/B38*100)</f>
        <v/>
      </c>
      <c r="D38" s="19" t="n">
        <v>284</v>
      </c>
      <c r="E38" s="18" t="n">
        <v>45.11116173</v>
      </c>
      <c r="F38" s="20" t="n">
        <v>2.87671398</v>
      </c>
      <c r="G38" s="18" t="n">
        <v>52.27684833</v>
      </c>
      <c r="H38" s="20" t="n">
        <v>2.89933396</v>
      </c>
      <c r="I38" s="18" t="n">
        <v>0</v>
      </c>
      <c r="J38" s="20" t="n">
        <v>0</v>
      </c>
      <c r="K38" s="18" t="n">
        <v>2.61198994</v>
      </c>
      <c r="L38" s="20" t="n">
        <v>0.9644482</v>
      </c>
      <c r="M38" s="18" t="n">
        <v>0</v>
      </c>
      <c r="N38" s="20" t="n">
        <v>0</v>
      </c>
      <c r="O38" s="18" t="n">
        <v>0</v>
      </c>
      <c r="P38" s="20" t="n">
        <v>0</v>
      </c>
      <c r="Q38" s="18" t="n">
        <v>0</v>
      </c>
      <c r="R38" s="20" t="n">
        <v>0</v>
      </c>
    </row>
    <row r="39" spans="1:18">
      <c r="A39" s="15" t="s">
        <v>597</v>
      </c>
      <c r="B39" s="17" t="n">
        <v>2938</v>
      </c>
      <c r="C39" s="18">
        <f>(2614.0/B39*100)</f>
        <v/>
      </c>
      <c r="D39" s="19" t="n">
        <v>324</v>
      </c>
      <c r="E39" s="18" t="n">
        <v>43.0535767</v>
      </c>
      <c r="F39" s="20" t="n">
        <v>3.32309545</v>
      </c>
      <c r="G39" s="18" t="n">
        <v>56.38697534</v>
      </c>
      <c r="H39" s="20" t="n">
        <v>3.32035773</v>
      </c>
      <c r="I39" s="18" t="n">
        <v>0</v>
      </c>
      <c r="J39" s="20" t="n">
        <v>0</v>
      </c>
      <c r="K39" s="18" t="n">
        <v>0.55944796</v>
      </c>
      <c r="L39" s="20" t="n">
        <v>0.38599384</v>
      </c>
      <c r="M39" s="18" t="n">
        <v>0</v>
      </c>
      <c r="N39" s="20" t="n">
        <v>0</v>
      </c>
      <c r="O39" s="18" t="n">
        <v>0</v>
      </c>
      <c r="P39" s="20" t="n">
        <v>0</v>
      </c>
      <c r="Q39" s="18" t="n">
        <v>0</v>
      </c>
      <c r="R39" s="20" t="n">
        <v>0</v>
      </c>
    </row>
    <row r="40" spans="1:18">
      <c r="A40" s="15" t="s">
        <v>598</v>
      </c>
      <c r="B40" s="17" t="n">
        <v>6922</v>
      </c>
      <c r="C40" s="18">
        <f>(6190.0/B40*100)</f>
        <v/>
      </c>
      <c r="D40" s="19" t="n">
        <v>732</v>
      </c>
      <c r="E40" s="18" t="n">
        <v>43.50322255</v>
      </c>
      <c r="F40" s="20" t="n">
        <v>3.39779814</v>
      </c>
      <c r="G40" s="18" t="n">
        <v>55.32264745</v>
      </c>
      <c r="H40" s="20" t="n">
        <v>3.42809002</v>
      </c>
      <c r="I40" s="18" t="n">
        <v>0</v>
      </c>
      <c r="J40" s="20" t="n">
        <v>0</v>
      </c>
      <c r="K40" s="18" t="n">
        <v>1.17413</v>
      </c>
      <c r="L40" s="20" t="n">
        <v>0.6956352099999999</v>
      </c>
      <c r="M40" s="18" t="n">
        <v>0</v>
      </c>
      <c r="N40" s="20" t="n">
        <v>0</v>
      </c>
      <c r="O40" s="18" t="n">
        <v>0</v>
      </c>
      <c r="P40" s="20" t="n">
        <v>0</v>
      </c>
      <c r="Q40" s="18" t="n">
        <v>0</v>
      </c>
      <c r="R40" s="20" t="n">
        <v>0</v>
      </c>
    </row>
    <row r="41" spans="1:18">
      <c r="A41" s="15" t="s">
        <v>599</v>
      </c>
      <c r="B41" s="17" t="n">
        <v>2854</v>
      </c>
      <c r="C41" s="18">
        <f>(2554.0/B41*100)</f>
        <v/>
      </c>
      <c r="D41" s="19" t="n">
        <v>300</v>
      </c>
      <c r="E41" s="18" t="n">
        <v>52.56754662</v>
      </c>
      <c r="F41" s="20" t="n">
        <v>2.97133863</v>
      </c>
      <c r="G41" s="18" t="n">
        <v>45.02430949</v>
      </c>
      <c r="H41" s="20" t="n">
        <v>2.98525046</v>
      </c>
      <c r="I41" s="18" t="n">
        <v>0</v>
      </c>
      <c r="J41" s="20" t="n">
        <v>0</v>
      </c>
      <c r="K41" s="18" t="n">
        <v>2.4081439</v>
      </c>
      <c r="L41" s="20" t="n">
        <v>0.93906433</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(11220.0/B46*100)</f>
        <v/>
      </c>
      <c r="D46" s="19" t="n">
        <v>853</v>
      </c>
      <c r="E46" s="18" t="n">
        <v>48.60320348</v>
      </c>
      <c r="F46" s="20" t="n">
        <v>2.15170352</v>
      </c>
      <c r="G46" s="18" t="n">
        <v>45.54566579</v>
      </c>
      <c r="H46" s="20" t="n">
        <v>2.10841467</v>
      </c>
      <c r="I46" s="18" t="n">
        <v>0</v>
      </c>
      <c r="J46" s="20" t="n">
        <v>0</v>
      </c>
      <c r="K46" s="18" t="n">
        <v>5.85113073</v>
      </c>
      <c r="L46" s="20" t="n">
        <v>1.27060104</v>
      </c>
      <c r="M46" s="18" t="n">
        <v>0</v>
      </c>
      <c r="N46" s="20" t="n">
        <v>0</v>
      </c>
      <c r="O46" s="18" t="n">
        <v>0</v>
      </c>
      <c r="P46" s="20" t="n">
        <v>0</v>
      </c>
      <c r="Q46" s="18" t="n">
        <v>0</v>
      </c>
      <c r="R46" s="20" t="n">
        <v>0</v>
      </c>
    </row>
    <row r="47" spans="1:18">
      <c r="A47" s="15" t="s">
        <v>606</v>
      </c>
      <c r="B47" s="17" t="n">
        <v>2823</v>
      </c>
      <c r="C47" s="18">
        <f>(2533.0/B47*100)</f>
        <v/>
      </c>
      <c r="D47" s="19" t="n">
        <v>290</v>
      </c>
      <c r="E47" s="18" t="n">
        <v>57.92199867</v>
      </c>
      <c r="F47" s="20" t="n">
        <v>2.92673995</v>
      </c>
      <c r="G47" s="18" t="n">
        <v>37.30529409</v>
      </c>
      <c r="H47" s="20" t="n">
        <v>2.78781717</v>
      </c>
      <c r="I47" s="18" t="n">
        <v>0</v>
      </c>
      <c r="J47" s="20" t="n">
        <v>0</v>
      </c>
      <c r="K47" s="18" t="n">
        <v>4.77270724</v>
      </c>
      <c r="L47" s="20" t="n">
        <v>1.41654516</v>
      </c>
      <c r="M47" s="18" t="n">
        <v>0</v>
      </c>
      <c r="N47" s="20" t="n">
        <v>0</v>
      </c>
      <c r="O47" s="18" t="n">
        <v>0</v>
      </c>
      <c r="P47" s="20" t="n">
        <v>0</v>
      </c>
      <c r="Q47" s="18" t="n">
        <v>0</v>
      </c>
      <c r="R47" s="20" t="n">
        <v>0</v>
      </c>
    </row>
    <row r="48" spans="1:18">
      <c r="A48" s="15" t="s">
        <v>607</v>
      </c>
      <c r="B48" s="17" t="n">
        <v>4682</v>
      </c>
      <c r="C48" s="18">
        <f>(4195.0/B48*100)</f>
        <v/>
      </c>
      <c r="D48" s="19" t="n">
        <v>487</v>
      </c>
      <c r="E48" s="18" t="n">
        <v>30.75801516</v>
      </c>
      <c r="F48" s="20" t="n">
        <v>3.10408545</v>
      </c>
      <c r="G48" s="18" t="n">
        <v>67.82824033999999</v>
      </c>
      <c r="H48" s="20" t="n">
        <v>3.2436607</v>
      </c>
      <c r="I48" s="18" t="n">
        <v>0</v>
      </c>
      <c r="J48" s="20" t="n">
        <v>0</v>
      </c>
      <c r="K48" s="18" t="n">
        <v>1.4137445</v>
      </c>
      <c r="L48" s="20" t="n">
        <v>0.78173987</v>
      </c>
      <c r="M48" s="18" t="n">
        <v>0</v>
      </c>
      <c r="N48" s="20" t="n">
        <v>0</v>
      </c>
      <c r="O48" s="18" t="n">
        <v>0</v>
      </c>
      <c r="P48" s="20" t="n">
        <v>0</v>
      </c>
      <c r="Q48" s="18" t="n">
        <v>0</v>
      </c>
      <c r="R48" s="20" t="n">
        <v>0</v>
      </c>
    </row>
    <row r="49" spans="1:18">
      <c r="A49" s="15" t="s">
        <v>608</v>
      </c>
      <c r="B49" s="17" t="n">
        <v>6158</v>
      </c>
      <c r="C49" s="18">
        <f>(5524.0/B49*100)</f>
        <v/>
      </c>
      <c r="D49" s="19" t="n">
        <v>634</v>
      </c>
      <c r="E49" s="18" t="n">
        <v>42.0928072</v>
      </c>
      <c r="F49" s="20" t="n">
        <v>2.42392874</v>
      </c>
      <c r="G49" s="18" t="n">
        <v>54.31762521</v>
      </c>
      <c r="H49" s="20" t="n">
        <v>2.31869483</v>
      </c>
      <c r="I49" s="18" t="n">
        <v>0</v>
      </c>
      <c r="J49" s="20" t="n">
        <v>0</v>
      </c>
      <c r="K49" s="18" t="n">
        <v>3.5895676</v>
      </c>
      <c r="L49" s="20" t="n">
        <v>0.95088438</v>
      </c>
      <c r="M49" s="18" t="n">
        <v>0</v>
      </c>
      <c r="N49" s="20" t="n">
        <v>0</v>
      </c>
      <c r="O49" s="18" t="n">
        <v>0</v>
      </c>
      <c r="P49" s="20" t="n">
        <v>0</v>
      </c>
      <c r="Q49" s="18" t="n">
        <v>0</v>
      </c>
      <c r="R49" s="20" t="n">
        <v>0</v>
      </c>
    </row>
    <row r="50" spans="1:18">
      <c r="A50" s="15" t="s">
        <v>609</v>
      </c>
      <c r="B50" s="17" t="n">
        <v>3494</v>
      </c>
      <c r="C50" s="18">
        <f>(2857.0/B50*100)</f>
        <v/>
      </c>
      <c r="D50" s="19" t="n">
        <v>637</v>
      </c>
      <c r="E50" s="18" t="n">
        <v>51.96720467</v>
      </c>
      <c r="F50" s="20" t="n">
        <v>2.21546013</v>
      </c>
      <c r="G50" s="18" t="n">
        <v>47.24940511</v>
      </c>
      <c r="H50" s="20" t="n">
        <v>2.19527409</v>
      </c>
      <c r="I50" s="18" t="n">
        <v>0</v>
      </c>
      <c r="J50" s="20" t="n">
        <v>0</v>
      </c>
      <c r="K50" s="18" t="n">
        <v>0.78339022</v>
      </c>
      <c r="L50" s="20" t="n">
        <v>0.35475324</v>
      </c>
      <c r="M50" s="18" t="n">
        <v>0</v>
      </c>
      <c r="N50" s="20" t="n">
        <v>0</v>
      </c>
      <c r="O50" s="18" t="n">
        <v>0</v>
      </c>
      <c r="P50" s="20" t="n">
        <v>0</v>
      </c>
      <c r="Q50" s="18" t="n">
        <v>0</v>
      </c>
      <c r="R50" s="20" t="n">
        <v>0</v>
      </c>
    </row>
    <row r="51" spans="1:18">
      <c r="A51" s="15" t="s">
        <v>610</v>
      </c>
      <c r="B51" s="17" t="n">
        <v>3013</v>
      </c>
      <c r="C51" s="18">
        <f>(2706.0/B51*100)</f>
        <v/>
      </c>
      <c r="D51" s="19" t="n">
        <v>307</v>
      </c>
      <c r="E51" s="18" t="n">
        <v>51.04020214</v>
      </c>
      <c r="F51" s="20" t="n">
        <v>3.19858209</v>
      </c>
      <c r="G51" s="18" t="n">
        <v>48.27049171</v>
      </c>
      <c r="H51" s="20" t="n">
        <v>3.13468033</v>
      </c>
      <c r="I51" s="18" t="n">
        <v>0</v>
      </c>
      <c r="J51" s="20" t="n">
        <v>0</v>
      </c>
      <c r="K51" s="18" t="n">
        <v>0.68930615</v>
      </c>
      <c r="L51" s="20" t="n">
        <v>0.47747631</v>
      </c>
      <c r="M51" s="18" t="n">
        <v>0</v>
      </c>
      <c r="N51" s="20" t="n">
        <v>0</v>
      </c>
      <c r="O51" s="18" t="n">
        <v>0</v>
      </c>
      <c r="P51" s="20" t="n">
        <v>0</v>
      </c>
      <c r="Q51" s="18" t="n">
        <v>0</v>
      </c>
      <c r="R51" s="20" t="n">
        <v>0</v>
      </c>
    </row>
    <row r="52" spans="1:18">
      <c r="A52" s="15" t="s">
        <v>611</v>
      </c>
      <c r="B52" s="17" t="n">
        <v>2760</v>
      </c>
      <c r="C52" s="18">
        <f>(2475.0/B52*100)</f>
        <v/>
      </c>
      <c r="D52" s="19" t="n">
        <v>285</v>
      </c>
      <c r="E52" s="18" t="n">
        <v>52.00907558</v>
      </c>
      <c r="F52" s="20" t="n">
        <v>2.94561166</v>
      </c>
      <c r="G52" s="18" t="n">
        <v>46.94198141</v>
      </c>
      <c r="H52" s="20" t="n">
        <v>3.00321741</v>
      </c>
      <c r="I52" s="18" t="n">
        <v>0</v>
      </c>
      <c r="J52" s="20" t="n">
        <v>0</v>
      </c>
      <c r="K52" s="18" t="n">
        <v>1.04894302</v>
      </c>
      <c r="L52" s="20" t="n">
        <v>0.61919541</v>
      </c>
      <c r="M52" s="18" t="n">
        <v>0</v>
      </c>
      <c r="N52" s="20" t="n">
        <v>0</v>
      </c>
      <c r="O52" s="18" t="n">
        <v>0</v>
      </c>
      <c r="P52" s="20" t="n">
        <v>0</v>
      </c>
      <c r="Q52" s="18" t="n">
        <v>0</v>
      </c>
      <c r="R52" s="20" t="n">
        <v>0</v>
      </c>
    </row>
    <row r="53" spans="1:18">
      <c r="A53" s="15" t="s">
        <v>612</v>
      </c>
      <c r="B53" s="17" t="n">
        <v>2474</v>
      </c>
      <c r="C53" s="18">
        <f>(2187.0/B53*100)</f>
        <v/>
      </c>
      <c r="D53" s="19" t="n">
        <v>287</v>
      </c>
      <c r="E53" s="18" t="n">
        <v>51.40069019</v>
      </c>
      <c r="F53" s="20" t="n">
        <v>3.02758678</v>
      </c>
      <c r="G53" s="18" t="n">
        <v>19.05211659</v>
      </c>
      <c r="H53" s="20" t="n">
        <v>2.79758085</v>
      </c>
      <c r="I53" s="18" t="n">
        <v>0</v>
      </c>
      <c r="J53" s="20" t="n">
        <v>0</v>
      </c>
      <c r="K53" s="18" t="n">
        <v>29.54719322</v>
      </c>
      <c r="L53" s="20" t="n">
        <v>2.5929597</v>
      </c>
      <c r="M53" s="18" t="n">
        <v>0</v>
      </c>
      <c r="N53" s="20" t="n">
        <v>0</v>
      </c>
      <c r="O53" s="18" t="n">
        <v>0</v>
      </c>
      <c r="P53" s="20" t="n">
        <v>0</v>
      </c>
      <c r="Q53" s="18" t="n">
        <v>0</v>
      </c>
      <c r="R53" s="20" t="n">
        <v>0</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(2399.0/B55*100)</f>
        <v/>
      </c>
      <c r="D55" s="19" t="n">
        <v>276</v>
      </c>
      <c r="E55" s="18" t="n">
        <v>15.54678332</v>
      </c>
      <c r="F55" s="20" t="n">
        <v>2.44227331</v>
      </c>
      <c r="G55" s="18" t="n">
        <v>84.09881901</v>
      </c>
      <c r="H55" s="20" t="n">
        <v>2.46052497</v>
      </c>
      <c r="I55" s="18" t="n">
        <v>0</v>
      </c>
      <c r="J55" s="20" t="n">
        <v>0</v>
      </c>
      <c r="K55" s="18" t="n">
        <v>0.35439768</v>
      </c>
      <c r="L55" s="20" t="n">
        <v>0.31921262</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(2843.0/B61*100)</f>
        <v/>
      </c>
      <c r="D61" s="19" t="n">
        <v>358</v>
      </c>
      <c r="E61" s="18" t="n">
        <v>41.27905316</v>
      </c>
      <c r="F61" s="20" t="n">
        <v>3.10869178</v>
      </c>
      <c r="G61" s="18" t="n">
        <v>58.34686608</v>
      </c>
      <c r="H61" s="20" t="n">
        <v>3.12337598</v>
      </c>
      <c r="I61" s="18" t="n">
        <v>0</v>
      </c>
      <c r="J61" s="20" t="n">
        <v>0</v>
      </c>
      <c r="K61" s="18" t="n">
        <v>0.37408077</v>
      </c>
      <c r="L61" s="20" t="n">
        <v>0.22894246</v>
      </c>
      <c r="M61" s="18" t="n">
        <v>0</v>
      </c>
      <c r="N61" s="20" t="n">
        <v>0</v>
      </c>
      <c r="O61" s="18" t="n">
        <v>0</v>
      </c>
      <c r="P61" s="20" t="n">
        <v>0</v>
      </c>
      <c r="Q61" s="18" t="n">
        <v>0</v>
      </c>
      <c r="R61" s="20" t="n">
        <v>0</v>
      </c>
    </row>
    <row r="62" spans="1:18">
      <c r="A62" s="15" t="s">
        <v>622</v>
      </c>
      <c r="B62" s="17" t="n">
        <v>2230</v>
      </c>
      <c r="C62" s="18">
        <f>(2019.0/B62*100)</f>
        <v/>
      </c>
      <c r="D62" s="19" t="n">
        <v>211</v>
      </c>
      <c r="E62" s="18" t="n">
        <v>18.03661161</v>
      </c>
      <c r="F62" s="20" t="n">
        <v>2.78547394</v>
      </c>
      <c r="G62" s="18" t="n">
        <v>81.96338839000001</v>
      </c>
      <c r="H62" s="20" t="n">
        <v>2.78547394</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(2480.0/B67*100)</f>
        <v/>
      </c>
      <c r="D67" s="19" t="n">
        <v>291</v>
      </c>
      <c r="E67" s="18" t="n">
        <v>68.43981234</v>
      </c>
      <c r="F67" s="20" t="n">
        <v>2.57670121</v>
      </c>
      <c r="G67" s="18" t="n">
        <v>27.94610253</v>
      </c>
      <c r="H67" s="20" t="n">
        <v>2.49494969</v>
      </c>
      <c r="I67" s="18" t="n">
        <v>0</v>
      </c>
      <c r="J67" s="20" t="n">
        <v>0</v>
      </c>
      <c r="K67" s="18" t="n">
        <v>3.61408512</v>
      </c>
      <c r="L67" s="20" t="n">
        <v>1.0623015</v>
      </c>
      <c r="M67" s="18" t="n">
        <v>0</v>
      </c>
      <c r="N67" s="20" t="n">
        <v>0</v>
      </c>
      <c r="O67" s="18" t="n">
        <v>0</v>
      </c>
      <c r="P67" s="20" t="n">
        <v>0</v>
      </c>
      <c r="Q67" s="18" t="n">
        <v>0</v>
      </c>
      <c r="R67" s="20" t="n">
        <v>0</v>
      </c>
    </row>
    <row r="68" spans="1:18">
      <c r="A68" s="15" t="s">
        <v>628</v>
      </c>
      <c r="B68" s="17" t="n">
        <v>3460</v>
      </c>
      <c r="C68" s="18">
        <f>(3189.0/B68*100)</f>
        <v/>
      </c>
      <c r="D68" s="19" t="n">
        <v>271</v>
      </c>
      <c r="E68" s="18" t="n">
        <v>58.9353603</v>
      </c>
      <c r="F68" s="20" t="n">
        <v>3.42596653</v>
      </c>
      <c r="G68" s="18" t="n">
        <v>39.27729147</v>
      </c>
      <c r="H68" s="20" t="n">
        <v>3.29891392</v>
      </c>
      <c r="I68" s="18" t="n">
        <v>0</v>
      </c>
      <c r="J68" s="20" t="n">
        <v>0</v>
      </c>
      <c r="K68" s="18" t="n">
        <v>1.78734823</v>
      </c>
      <c r="L68" s="20" t="n">
        <v>0.79564452</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(5344.0/B70*100)</f>
        <v/>
      </c>
      <c r="D70" s="19" t="n">
        <v>690</v>
      </c>
      <c r="E70" s="18" t="n">
        <v>59.09267042</v>
      </c>
      <c r="F70" s="20" t="n">
        <v>1.93456243</v>
      </c>
      <c r="G70" s="18" t="n">
        <v>36.1188328</v>
      </c>
      <c r="H70" s="20" t="n">
        <v>1.93239127</v>
      </c>
      <c r="I70" s="18" t="n">
        <v>0</v>
      </c>
      <c r="J70" s="20" t="n">
        <v>0</v>
      </c>
      <c r="K70" s="18" t="n">
        <v>4.78849679</v>
      </c>
      <c r="L70" s="20" t="n">
        <v>0.76298303</v>
      </c>
      <c r="M70" s="18" t="n">
        <v>0</v>
      </c>
      <c r="N70" s="20" t="n">
        <v>0</v>
      </c>
      <c r="O70" s="18" t="n">
        <v>0</v>
      </c>
      <c r="P70" s="20" t="n">
        <v>0</v>
      </c>
      <c r="Q70" s="18" t="n">
        <v>0</v>
      </c>
      <c r="R70" s="20" t="n">
        <v>0</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(2820.0/B72*100)</f>
        <v/>
      </c>
      <c r="D72" s="19" t="n">
        <v>287</v>
      </c>
      <c r="E72" s="18" t="n">
        <v>48.82376315</v>
      </c>
      <c r="F72" s="20" t="n">
        <v>3.79058714</v>
      </c>
      <c r="G72" s="18" t="n">
        <v>49.97765393</v>
      </c>
      <c r="H72" s="20" t="n">
        <v>3.67794619</v>
      </c>
      <c r="I72" s="18" t="n">
        <v>0</v>
      </c>
      <c r="J72" s="20" t="n">
        <v>0</v>
      </c>
      <c r="K72" s="18" t="n">
        <v>1.19858291</v>
      </c>
      <c r="L72" s="20" t="n">
        <v>0.66347482</v>
      </c>
      <c r="M72" s="18" t="n">
        <v>0</v>
      </c>
      <c r="N72" s="20" t="n">
        <v>0</v>
      </c>
      <c r="O72" s="18" t="n">
        <v>0</v>
      </c>
      <c r="P72" s="20" t="n">
        <v>0</v>
      </c>
      <c r="Q72" s="18" t="n">
        <v>0</v>
      </c>
      <c r="R72" s="20" t="n">
        <v>0</v>
      </c>
    </row>
    <row r="73" spans="1:18">
      <c r="A73" s="15" t="s">
        <v>633</v>
      </c>
      <c r="B73" s="17" t="n">
        <v>2973</v>
      </c>
      <c r="C73" s="18">
        <f>(2629.0/B73*100)</f>
        <v/>
      </c>
      <c r="D73" s="19" t="n">
        <v>344</v>
      </c>
      <c r="E73" s="18" t="n">
        <v>36.31908593</v>
      </c>
      <c r="F73" s="20" t="n">
        <v>2.42306873</v>
      </c>
      <c r="G73" s="18" t="n">
        <v>62.66653181</v>
      </c>
      <c r="H73" s="20" t="n">
        <v>2.51543449</v>
      </c>
      <c r="I73" s="18" t="n">
        <v>0</v>
      </c>
      <c r="J73" s="20" t="n">
        <v>0</v>
      </c>
      <c r="K73" s="18" t="n">
        <v>1.01438226</v>
      </c>
      <c r="L73" s="20" t="n">
        <v>0.5868749599999999</v>
      </c>
      <c r="M73" s="18" t="n">
        <v>0</v>
      </c>
      <c r="N73" s="20" t="n">
        <v>0</v>
      </c>
      <c r="O73" s="18" t="n">
        <v>0</v>
      </c>
      <c r="P73" s="20" t="n">
        <v>0</v>
      </c>
      <c r="Q73" s="18" t="n">
        <v>0</v>
      </c>
      <c r="R73" s="20" t="n">
        <v>0</v>
      </c>
    </row>
    <row r="74" spans="1:18">
      <c r="A74" s="15" t="s">
        <v>634</v>
      </c>
      <c r="B74" s="17" t="n">
        <v>3819</v>
      </c>
      <c r="C74" s="18">
        <f>(3417.0/B74*100)</f>
        <v/>
      </c>
      <c r="D74" s="19" t="n">
        <v>402</v>
      </c>
      <c r="E74" s="18" t="n">
        <v>31.47819572</v>
      </c>
      <c r="F74" s="20" t="n">
        <v>2.41612877</v>
      </c>
      <c r="G74" s="18" t="n">
        <v>68.3346603</v>
      </c>
      <c r="H74" s="20" t="n">
        <v>2.44698981</v>
      </c>
      <c r="I74" s="18" t="n">
        <v>0</v>
      </c>
      <c r="J74" s="20" t="n">
        <v>0</v>
      </c>
      <c r="K74" s="18" t="n">
        <v>0.18714398</v>
      </c>
      <c r="L74" s="20" t="n">
        <v>0.187771</v>
      </c>
      <c r="M74" s="18" t="n">
        <v>0</v>
      </c>
      <c r="N74" s="20" t="n">
        <v>0</v>
      </c>
      <c r="O74" s="18" t="n">
        <v>0</v>
      </c>
      <c r="P74" s="20" t="n">
        <v>0</v>
      </c>
      <c r="Q74" s="18" t="n">
        <v>0</v>
      </c>
      <c r="R74" s="20" t="n">
        <v>0</v>
      </c>
    </row>
    <row r="75" spans="1:18">
      <c r="A75" s="15" t="s">
        <v>635</v>
      </c>
      <c r="B75" s="17" t="n">
        <v>4652</v>
      </c>
      <c r="C75" s="18">
        <f>(4180.0/B75*100)</f>
        <v/>
      </c>
      <c r="D75" s="19" t="n">
        <v>472</v>
      </c>
      <c r="E75" s="18" t="n">
        <v>40.81569664</v>
      </c>
      <c r="F75" s="20" t="n">
        <v>3.06285356</v>
      </c>
      <c r="G75" s="18" t="n">
        <v>58.86883469</v>
      </c>
      <c r="H75" s="20" t="n">
        <v>3.11731321</v>
      </c>
      <c r="I75" s="18" t="n">
        <v>0</v>
      </c>
      <c r="J75" s="20" t="n">
        <v>0</v>
      </c>
      <c r="K75" s="18" t="n">
        <v>0.31546867</v>
      </c>
      <c r="L75" s="20" t="n">
        <v>0.31304404</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(2690.0/B77*100)</f>
        <v/>
      </c>
      <c r="D77" s="19" t="n">
        <v>279</v>
      </c>
      <c r="E77" s="18" t="n">
        <v>60.12088287</v>
      </c>
      <c r="F77" s="20" t="n">
        <v>3.16886168</v>
      </c>
      <c r="G77" s="18" t="n">
        <v>27.88285381</v>
      </c>
      <c r="H77" s="20" t="n">
        <v>2.8045462</v>
      </c>
      <c r="I77" s="18" t="n">
        <v>0</v>
      </c>
      <c r="J77" s="20" t="n">
        <v>0</v>
      </c>
      <c r="K77" s="18" t="n">
        <v>11.99626332</v>
      </c>
      <c r="L77" s="20" t="n">
        <v>2.30206701</v>
      </c>
      <c r="M77" s="18" t="n">
        <v>0</v>
      </c>
      <c r="N77" s="20" t="n">
        <v>0</v>
      </c>
      <c r="O77" s="18" t="n">
        <v>0</v>
      </c>
      <c r="P77" s="20" t="n">
        <v>0</v>
      </c>
      <c r="Q77" s="18" t="n">
        <v>0</v>
      </c>
      <c r="R77" s="20" t="n">
        <v>0</v>
      </c>
    </row>
    <row r="78" spans="1:18">
      <c r="A78" s="15" t="s">
        <v>638</v>
      </c>
      <c r="B78" s="17" t="n">
        <v>7115</v>
      </c>
      <c r="C78" s="18">
        <f>(6363.0/B78*100)</f>
        <v/>
      </c>
      <c r="D78" s="19" t="n">
        <v>752</v>
      </c>
      <c r="E78" s="18" t="n">
        <v>52.91945774</v>
      </c>
      <c r="F78" s="20" t="n">
        <v>2.30009239</v>
      </c>
      <c r="G78" s="18" t="n">
        <v>44.22007279</v>
      </c>
      <c r="H78" s="20" t="n">
        <v>2.36931686</v>
      </c>
      <c r="I78" s="18" t="n">
        <v>0</v>
      </c>
      <c r="J78" s="20" t="n">
        <v>0</v>
      </c>
      <c r="K78" s="18" t="n">
        <v>2.86046947</v>
      </c>
      <c r="L78" s="20" t="n">
        <v>0.6208261900000001</v>
      </c>
      <c r="M78" s="18" t="n">
        <v>0</v>
      </c>
      <c r="N78" s="20" t="n">
        <v>0</v>
      </c>
      <c r="O78" s="18" t="n">
        <v>0</v>
      </c>
      <c r="P78" s="20" t="n">
        <v>0</v>
      </c>
      <c r="Q78" s="18" t="n">
        <v>0</v>
      </c>
      <c r="R78" s="20" t="n">
        <v>0</v>
      </c>
    </row>
    <row r="79" spans="1:18">
      <c r="A79" s="15" t="s">
        <v>639</v>
      </c>
      <c r="B79" s="17" t="n">
        <v>3154</v>
      </c>
      <c r="C79" s="18">
        <f>(2831.0/B79*100)</f>
        <v/>
      </c>
      <c r="D79" s="19" t="n">
        <v>323</v>
      </c>
      <c r="E79" s="18" t="n">
        <v>48.29205365</v>
      </c>
      <c r="F79" s="20" t="n">
        <v>2.9179541</v>
      </c>
      <c r="G79" s="18" t="n">
        <v>47.26073934</v>
      </c>
      <c r="H79" s="20" t="n">
        <v>3.0125693</v>
      </c>
      <c r="I79" s="18" t="n">
        <v>0</v>
      </c>
      <c r="J79" s="20" t="n">
        <v>0</v>
      </c>
      <c r="K79" s="18" t="n">
        <v>4.44720701</v>
      </c>
      <c r="L79" s="20" t="n">
        <v>1.14748324</v>
      </c>
      <c r="M79" s="18" t="n">
        <v>0</v>
      </c>
      <c r="N79" s="20" t="n">
        <v>0</v>
      </c>
      <c r="O79" s="18" t="n">
        <v>0</v>
      </c>
      <c r="P79" s="20" t="n">
        <v>0</v>
      </c>
      <c r="Q79" s="18" t="n">
        <v>0</v>
      </c>
      <c r="R79" s="20" t="n">
        <v>0</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(14271.0/B82*100)</f>
        <v/>
      </c>
      <c r="D82" s="19" t="n">
        <v>1690</v>
      </c>
      <c r="E82" s="18" t="n">
        <v>35.18979619</v>
      </c>
      <c r="F82" s="20" t="n">
        <v>1.85498095</v>
      </c>
      <c r="G82" s="18" t="n">
        <v>63.89904883</v>
      </c>
      <c r="H82" s="20" t="n">
        <v>1.88311584</v>
      </c>
      <c r="I82" s="18" t="n">
        <v>0</v>
      </c>
      <c r="J82" s="20" t="n">
        <v>0</v>
      </c>
      <c r="K82" s="18" t="n">
        <v>0.91115499</v>
      </c>
      <c r="L82" s="20" t="n">
        <v>0.27941944</v>
      </c>
      <c r="M82" s="18" t="n">
        <v>0</v>
      </c>
      <c r="N82" s="20" t="n">
        <v>0</v>
      </c>
      <c r="O82" s="18" t="n">
        <v>0</v>
      </c>
      <c r="P82" s="20" t="n">
        <v>0</v>
      </c>
      <c r="Q82" s="18" t="n">
        <v>0</v>
      </c>
      <c r="R82" s="20" t="n">
        <v>0</v>
      </c>
    </row>
    <row r="83" spans="1:18">
      <c r="A83" s="15" t="s">
        <v>643</v>
      </c>
      <c r="B83" s="17" t="n">
        <v>808</v>
      </c>
      <c r="C83" s="18">
        <f>(713.0/B83*100)</f>
        <v/>
      </c>
      <c r="D83" s="19" t="n">
        <v>95</v>
      </c>
      <c r="E83" s="18" t="n">
        <v>31.22627725</v>
      </c>
      <c r="F83" s="20" t="n">
        <v>4.24828417</v>
      </c>
      <c r="G83" s="18" t="n">
        <v>67.466523</v>
      </c>
      <c r="H83" s="20" t="n">
        <v>4.44923819</v>
      </c>
      <c r="I83" s="18" t="n">
        <v>0</v>
      </c>
      <c r="J83" s="20" t="n">
        <v>0</v>
      </c>
      <c r="K83" s="18" t="n">
        <v>1.30719975</v>
      </c>
      <c r="L83" s="20" t="n">
        <v>1.23256301</v>
      </c>
      <c r="M83" s="18" t="n">
        <v>0</v>
      </c>
      <c r="N83" s="20" t="n">
        <v>0</v>
      </c>
      <c r="O83" s="18" t="n">
        <v>0</v>
      </c>
      <c r="P83" s="20" t="n">
        <v>0</v>
      </c>
      <c r="Q83" s="18" t="n">
        <v>0</v>
      </c>
      <c r="R83" s="20" t="n">
        <v>0</v>
      </c>
    </row>
    <row r="84" spans="1:18">
      <c r="A84" s="23" t="s">
        <v>644</v>
      </c>
      <c r="B84" s="24" t="n">
        <v>938</v>
      </c>
      <c r="C84" s="25">
        <f>(828.0/B84*100)</f>
        <v/>
      </c>
      <c r="D84" s="19" t="n">
        <v>110</v>
      </c>
      <c r="E84" s="18" t="n">
        <v>49.16544609</v>
      </c>
      <c r="F84" s="20" t="n">
        <v>5.43695645</v>
      </c>
      <c r="G84" s="18" t="n">
        <v>50.83455391</v>
      </c>
      <c r="H84" s="20" t="n">
        <v>5.43695645</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(6376.0/B7*100)</f>
        <v/>
      </c>
      <c r="D7" s="19" t="n">
        <v>787</v>
      </c>
      <c r="E7" s="18" t="n">
        <v>26.86612634</v>
      </c>
      <c r="F7" s="20" t="n">
        <v>1.83226673</v>
      </c>
      <c r="G7" s="18" t="n">
        <v>71.14692929</v>
      </c>
      <c r="H7" s="20" t="n">
        <v>1.90059624</v>
      </c>
      <c r="I7" s="18" t="n">
        <v>0</v>
      </c>
      <c r="J7" s="20" t="n">
        <v>0</v>
      </c>
      <c r="K7" s="18" t="n">
        <v>0.02219524</v>
      </c>
      <c r="L7" s="20" t="n">
        <v>0.02249163</v>
      </c>
      <c r="M7" s="18" t="n">
        <v>0</v>
      </c>
      <c r="N7" s="20" t="n">
        <v>0</v>
      </c>
      <c r="O7" s="18" t="n">
        <v>0</v>
      </c>
      <c r="P7" s="20" t="n">
        <v>0</v>
      </c>
      <c r="Q7" s="18" t="n">
        <v>1.96474912</v>
      </c>
      <c r="R7" s="20" t="n">
        <v>0.60177937</v>
      </c>
    </row>
    <row r="8" spans="1:18">
      <c r="A8" s="15" t="s">
        <v>566</v>
      </c>
      <c r="B8" s="17" t="n">
        <v>3443</v>
      </c>
      <c r="C8" s="18">
        <f>(3051.0/B8*100)</f>
        <v/>
      </c>
      <c r="D8" s="19" t="n">
        <v>392</v>
      </c>
      <c r="E8" s="18" t="n">
        <v>31.24711224</v>
      </c>
      <c r="F8" s="20" t="n">
        <v>2.86656887</v>
      </c>
      <c r="G8" s="18" t="n">
        <v>67.97176152999999</v>
      </c>
      <c r="H8" s="20" t="n">
        <v>2.89727339</v>
      </c>
      <c r="I8" s="18" t="n">
        <v>0</v>
      </c>
      <c r="J8" s="20" t="n">
        <v>0</v>
      </c>
      <c r="K8" s="18" t="n">
        <v>0</v>
      </c>
      <c r="L8" s="20" t="n">
        <v>0</v>
      </c>
      <c r="M8" s="18" t="n">
        <v>0</v>
      </c>
      <c r="N8" s="20" t="n">
        <v>0</v>
      </c>
      <c r="O8" s="18" t="n">
        <v>0</v>
      </c>
      <c r="P8" s="20" t="n">
        <v>0</v>
      </c>
      <c r="Q8" s="18" t="n">
        <v>0.78112623</v>
      </c>
      <c r="R8" s="20" t="n">
        <v>0.44811149</v>
      </c>
    </row>
    <row r="9" spans="1:18">
      <c r="A9" s="15" t="s">
        <v>567</v>
      </c>
      <c r="B9" s="17" t="n">
        <v>4752</v>
      </c>
      <c r="C9" s="18">
        <f>(4156.0/B9*100)</f>
        <v/>
      </c>
      <c r="D9" s="19" t="n">
        <v>596</v>
      </c>
      <c r="E9" s="18" t="n">
        <v>34.98496043</v>
      </c>
      <c r="F9" s="20" t="n">
        <v>2.28977305</v>
      </c>
      <c r="G9" s="18" t="n">
        <v>62.12089666</v>
      </c>
      <c r="H9" s="20" t="n">
        <v>2.41011853</v>
      </c>
      <c r="I9" s="18" t="n">
        <v>0</v>
      </c>
      <c r="J9" s="20" t="n">
        <v>0</v>
      </c>
      <c r="K9" s="18" t="n">
        <v>0.2077859</v>
      </c>
      <c r="L9" s="20" t="n">
        <v>0.12519763</v>
      </c>
      <c r="M9" s="18" t="n">
        <v>0</v>
      </c>
      <c r="N9" s="20" t="n">
        <v>0</v>
      </c>
      <c r="O9" s="18" t="n">
        <v>0</v>
      </c>
      <c r="P9" s="20" t="n">
        <v>0</v>
      </c>
      <c r="Q9" s="18" t="n">
        <v>2.68635702</v>
      </c>
      <c r="R9" s="20" t="n">
        <v>0.64116248</v>
      </c>
    </row>
    <row r="10" spans="1:18">
      <c r="A10" s="15" t="s">
        <v>568</v>
      </c>
      <c r="B10" s="17" t="n">
        <v>10022</v>
      </c>
      <c r="C10" s="18">
        <f>(8942.0/B10*100)</f>
        <v/>
      </c>
      <c r="D10" s="19" t="n">
        <v>1080</v>
      </c>
      <c r="E10" s="18" t="n">
        <v>24.10896294</v>
      </c>
      <c r="F10" s="20" t="n">
        <v>1.78905834</v>
      </c>
      <c r="G10" s="18" t="n">
        <v>74.75247421</v>
      </c>
      <c r="H10" s="20" t="n">
        <v>1.85491835</v>
      </c>
      <c r="I10" s="18" t="n">
        <v>0</v>
      </c>
      <c r="J10" s="20" t="n">
        <v>0</v>
      </c>
      <c r="K10" s="18" t="n">
        <v>0.4191523</v>
      </c>
      <c r="L10" s="20" t="n">
        <v>0.29549306</v>
      </c>
      <c r="M10" s="18" t="n">
        <v>0</v>
      </c>
      <c r="N10" s="20" t="n">
        <v>0</v>
      </c>
      <c r="O10" s="18" t="n">
        <v>0</v>
      </c>
      <c r="P10" s="20" t="n">
        <v>0</v>
      </c>
      <c r="Q10" s="18" t="n">
        <v>0.71941056</v>
      </c>
      <c r="R10" s="20" t="n">
        <v>0.38400495</v>
      </c>
    </row>
    <row r="11" spans="1:18">
      <c r="A11" s="15" t="s">
        <v>569</v>
      </c>
      <c r="B11" s="17" t="n">
        <v>3500</v>
      </c>
      <c r="C11" s="18">
        <f>(3115.0/B11*100)</f>
        <v/>
      </c>
      <c r="D11" s="19" t="n">
        <v>385</v>
      </c>
      <c r="E11" s="18" t="n">
        <v>40.02298262</v>
      </c>
      <c r="F11" s="20" t="n">
        <v>2.85941049</v>
      </c>
      <c r="G11" s="18" t="n">
        <v>57.61581095</v>
      </c>
      <c r="H11" s="20" t="n">
        <v>2.84549388</v>
      </c>
      <c r="I11" s="18" t="n">
        <v>0</v>
      </c>
      <c r="J11" s="20" t="n">
        <v>0</v>
      </c>
      <c r="K11" s="18" t="n">
        <v>0.5710565</v>
      </c>
      <c r="L11" s="20" t="n">
        <v>0.32145123</v>
      </c>
      <c r="M11" s="18" t="n">
        <v>0</v>
      </c>
      <c r="N11" s="20" t="n">
        <v>0</v>
      </c>
      <c r="O11" s="18" t="n">
        <v>0</v>
      </c>
      <c r="P11" s="20" t="n">
        <v>0</v>
      </c>
      <c r="Q11" s="18" t="n">
        <v>1.79014994</v>
      </c>
      <c r="R11" s="20" t="n">
        <v>0.82715143</v>
      </c>
    </row>
    <row r="12" spans="1:18">
      <c r="A12" s="15" t="s">
        <v>570</v>
      </c>
      <c r="B12" s="17" t="n">
        <v>3422</v>
      </c>
      <c r="C12" s="18">
        <f>(2998.0/B12*100)</f>
        <v/>
      </c>
      <c r="D12" s="19" t="n">
        <v>424</v>
      </c>
      <c r="E12" s="18" t="n">
        <v>29.01307522</v>
      </c>
      <c r="F12" s="20" t="n">
        <v>2.93511923</v>
      </c>
      <c r="G12" s="18" t="n">
        <v>69.8929886</v>
      </c>
      <c r="H12" s="20" t="n">
        <v>3.00016281</v>
      </c>
      <c r="I12" s="18" t="n">
        <v>0</v>
      </c>
      <c r="J12" s="20" t="n">
        <v>0</v>
      </c>
      <c r="K12" s="18" t="n">
        <v>0</v>
      </c>
      <c r="L12" s="20" t="n">
        <v>0</v>
      </c>
      <c r="M12" s="18" t="n">
        <v>0</v>
      </c>
      <c r="N12" s="20" t="n">
        <v>0</v>
      </c>
      <c r="O12" s="18" t="n">
        <v>0</v>
      </c>
      <c r="P12" s="20" t="n">
        <v>0</v>
      </c>
      <c r="Q12" s="18" t="n">
        <v>1.09393618</v>
      </c>
      <c r="R12" s="20" t="n">
        <v>0.51694321</v>
      </c>
    </row>
    <row r="13" spans="1:18">
      <c r="A13" s="15" t="s">
        <v>571</v>
      </c>
      <c r="B13" s="17" t="n">
        <v>3602</v>
      </c>
      <c r="C13" s="18">
        <f>(3087.0/B13*100)</f>
        <v/>
      </c>
      <c r="D13" s="19" t="n">
        <v>515</v>
      </c>
      <c r="E13" s="18" t="n">
        <v>44.33032089</v>
      </c>
      <c r="F13" s="20" t="n">
        <v>2.56917846</v>
      </c>
      <c r="G13" s="18" t="n">
        <v>53.33229075</v>
      </c>
      <c r="H13" s="20" t="n">
        <v>2.75623378</v>
      </c>
      <c r="I13" s="18" t="n">
        <v>0</v>
      </c>
      <c r="J13" s="20" t="n">
        <v>0</v>
      </c>
      <c r="K13" s="18" t="n">
        <v>0.77091424</v>
      </c>
      <c r="L13" s="20" t="n">
        <v>0.37355482</v>
      </c>
      <c r="M13" s="18" t="n">
        <v>0</v>
      </c>
      <c r="N13" s="20" t="n">
        <v>0</v>
      </c>
      <c r="O13" s="18" t="n">
        <v>0</v>
      </c>
      <c r="P13" s="20" t="n">
        <v>0</v>
      </c>
      <c r="Q13" s="18" t="n">
        <v>1.56647412</v>
      </c>
      <c r="R13" s="20" t="n">
        <v>0.61264557</v>
      </c>
    </row>
    <row r="14" spans="1:18">
      <c r="A14" s="15" t="s">
        <v>572</v>
      </c>
      <c r="B14" s="17" t="n">
        <v>2788</v>
      </c>
      <c r="C14" s="18">
        <f>(2490.0/B14*100)</f>
        <v/>
      </c>
      <c r="D14" s="19" t="n">
        <v>298</v>
      </c>
      <c r="E14" s="18" t="n">
        <v>29.95020326</v>
      </c>
      <c r="F14" s="20" t="n">
        <v>2.91099563</v>
      </c>
      <c r="G14" s="18" t="n">
        <v>69.52493224</v>
      </c>
      <c r="H14" s="20" t="n">
        <v>2.89002069</v>
      </c>
      <c r="I14" s="18" t="n">
        <v>0</v>
      </c>
      <c r="J14" s="20" t="n">
        <v>0</v>
      </c>
      <c r="K14" s="18" t="n">
        <v>0</v>
      </c>
      <c r="L14" s="20" t="n">
        <v>0</v>
      </c>
      <c r="M14" s="18" t="n">
        <v>0</v>
      </c>
      <c r="N14" s="20" t="n">
        <v>0</v>
      </c>
      <c r="O14" s="18" t="n">
        <v>0</v>
      </c>
      <c r="P14" s="20" t="n">
        <v>0</v>
      </c>
      <c r="Q14" s="18" t="n">
        <v>0.5248645</v>
      </c>
      <c r="R14" s="20" t="n">
        <v>0.3709684</v>
      </c>
    </row>
    <row r="15" spans="1:18">
      <c r="A15" s="15" t="s">
        <v>573</v>
      </c>
      <c r="B15" s="17" t="n">
        <v>2863</v>
      </c>
      <c r="C15" s="18">
        <f>(2532.0/B15*100)</f>
        <v/>
      </c>
      <c r="D15" s="19" t="n">
        <v>331</v>
      </c>
      <c r="E15" s="18" t="n">
        <v>26.16348449</v>
      </c>
      <c r="F15" s="20" t="n">
        <v>3.13061527</v>
      </c>
      <c r="G15" s="18" t="n">
        <v>72.34938685</v>
      </c>
      <c r="H15" s="20" t="n">
        <v>3.30073914</v>
      </c>
      <c r="I15" s="18" t="n">
        <v>0</v>
      </c>
      <c r="J15" s="20" t="n">
        <v>0</v>
      </c>
      <c r="K15" s="18" t="n">
        <v>0.63085105</v>
      </c>
      <c r="L15" s="20" t="n">
        <v>0.65923565</v>
      </c>
      <c r="M15" s="18" t="n">
        <v>0</v>
      </c>
      <c r="N15" s="20" t="n">
        <v>0</v>
      </c>
      <c r="O15" s="18" t="n">
        <v>0</v>
      </c>
      <c r="P15" s="20" t="n">
        <v>0</v>
      </c>
      <c r="Q15" s="18" t="n">
        <v>0.85627762</v>
      </c>
      <c r="R15" s="20" t="n">
        <v>0.5048984399999999</v>
      </c>
    </row>
    <row r="16" spans="1:18">
      <c r="A16" s="15" t="s">
        <v>574</v>
      </c>
      <c r="B16" s="17" t="n">
        <v>3111</v>
      </c>
      <c r="C16" s="18">
        <f>(2792.0/B16*100)</f>
        <v/>
      </c>
      <c r="D16" s="19" t="n">
        <v>319</v>
      </c>
      <c r="E16" s="18" t="n">
        <v>33.55916076</v>
      </c>
      <c r="F16" s="20" t="n">
        <v>2.52809546</v>
      </c>
      <c r="G16" s="18" t="n">
        <v>62.37294037</v>
      </c>
      <c r="H16" s="20" t="n">
        <v>2.23939576</v>
      </c>
      <c r="I16" s="18" t="n">
        <v>0</v>
      </c>
      <c r="J16" s="20" t="n">
        <v>0</v>
      </c>
      <c r="K16" s="18" t="n">
        <v>0.27245486</v>
      </c>
      <c r="L16" s="20" t="n">
        <v>0.27757293</v>
      </c>
      <c r="M16" s="18" t="n">
        <v>0</v>
      </c>
      <c r="N16" s="20" t="n">
        <v>0</v>
      </c>
      <c r="O16" s="18" t="n">
        <v>0</v>
      </c>
      <c r="P16" s="20" t="n">
        <v>0</v>
      </c>
      <c r="Q16" s="18" t="n">
        <v>3.79544401</v>
      </c>
      <c r="R16" s="20" t="n">
        <v>1.23356942</v>
      </c>
    </row>
    <row r="17" spans="1:18">
      <c r="A17" s="15" t="s">
        <v>575</v>
      </c>
      <c r="B17" s="17" t="n">
        <v>3197</v>
      </c>
      <c r="C17" s="18">
        <f>(2774.0/B17*100)</f>
        <v/>
      </c>
      <c r="D17" s="19" t="n">
        <v>423</v>
      </c>
      <c r="E17" s="18" t="n">
        <v>30.36690452</v>
      </c>
      <c r="F17" s="20" t="n">
        <v>2.92776233</v>
      </c>
      <c r="G17" s="18" t="n">
        <v>67.41101582</v>
      </c>
      <c r="H17" s="20" t="n">
        <v>2.95452461</v>
      </c>
      <c r="I17" s="18" t="n">
        <v>0</v>
      </c>
      <c r="J17" s="20" t="n">
        <v>0</v>
      </c>
      <c r="K17" s="18" t="n">
        <v>0.35235391</v>
      </c>
      <c r="L17" s="20" t="n">
        <v>0.36632789</v>
      </c>
      <c r="M17" s="18" t="n">
        <v>0</v>
      </c>
      <c r="N17" s="20" t="n">
        <v>0</v>
      </c>
      <c r="O17" s="18" t="n">
        <v>0</v>
      </c>
      <c r="P17" s="20" t="n">
        <v>0</v>
      </c>
      <c r="Q17" s="18" t="n">
        <v>1.86972575</v>
      </c>
      <c r="R17" s="20" t="n">
        <v>0.68243685</v>
      </c>
    </row>
    <row r="18" spans="1:18">
      <c r="A18" s="15" t="s">
        <v>576</v>
      </c>
      <c r="B18" s="17" t="n">
        <v>2706</v>
      </c>
      <c r="C18" s="18">
        <f>(2424.0/B18*100)</f>
        <v/>
      </c>
      <c r="D18" s="19" t="n">
        <v>282</v>
      </c>
      <c r="E18" s="18" t="n">
        <v>29.26018232</v>
      </c>
      <c r="F18" s="20" t="n">
        <v>2.90251074</v>
      </c>
      <c r="G18" s="18" t="n">
        <v>68.63580751000001</v>
      </c>
      <c r="H18" s="20" t="n">
        <v>2.81796642</v>
      </c>
      <c r="I18" s="18" t="n">
        <v>0</v>
      </c>
      <c r="J18" s="20" t="n">
        <v>0</v>
      </c>
      <c r="K18" s="18" t="n">
        <v>0.29345298</v>
      </c>
      <c r="L18" s="20" t="n">
        <v>0.29015193</v>
      </c>
      <c r="M18" s="18" t="n">
        <v>0</v>
      </c>
      <c r="N18" s="20" t="n">
        <v>0</v>
      </c>
      <c r="O18" s="18" t="n">
        <v>0</v>
      </c>
      <c r="P18" s="20" t="n">
        <v>0</v>
      </c>
      <c r="Q18" s="18" t="n">
        <v>1.81055719</v>
      </c>
      <c r="R18" s="20" t="n">
        <v>1.0131285</v>
      </c>
    </row>
    <row r="19" spans="1:18">
      <c r="A19" s="15" t="s">
        <v>577</v>
      </c>
      <c r="B19" s="17" t="n">
        <v>2850</v>
      </c>
      <c r="C19" s="18">
        <f>(2532.0/B19*100)</f>
        <v/>
      </c>
      <c r="D19" s="19" t="n">
        <v>318</v>
      </c>
      <c r="E19" s="18" t="n">
        <v>45.46385577</v>
      </c>
      <c r="F19" s="20" t="n">
        <v>3.09049939</v>
      </c>
      <c r="G19" s="18" t="n">
        <v>53.50629385</v>
      </c>
      <c r="H19" s="20" t="n">
        <v>2.99815101</v>
      </c>
      <c r="I19" s="18" t="n">
        <v>0</v>
      </c>
      <c r="J19" s="20" t="n">
        <v>0</v>
      </c>
      <c r="K19" s="18" t="n">
        <v>0</v>
      </c>
      <c r="L19" s="20" t="n">
        <v>0</v>
      </c>
      <c r="M19" s="18" t="n">
        <v>0</v>
      </c>
      <c r="N19" s="20" t="n">
        <v>0</v>
      </c>
      <c r="O19" s="18" t="n">
        <v>0</v>
      </c>
      <c r="P19" s="20" t="n">
        <v>0</v>
      </c>
      <c r="Q19" s="18" t="n">
        <v>1.02985039</v>
      </c>
      <c r="R19" s="20" t="n">
        <v>0.76871848</v>
      </c>
    </row>
    <row r="20" spans="1:18">
      <c r="A20" s="15" t="s">
        <v>578</v>
      </c>
      <c r="B20" s="17" t="n">
        <v>1741</v>
      </c>
      <c r="C20" s="18">
        <f>(1555.0/B20*100)</f>
        <v/>
      </c>
      <c r="D20" s="19" t="n">
        <v>186</v>
      </c>
      <c r="E20" s="18" t="n">
        <v>43.06288158</v>
      </c>
      <c r="F20" s="20" t="n">
        <v>3.29721089</v>
      </c>
      <c r="G20" s="18" t="n">
        <v>52.94273285</v>
      </c>
      <c r="H20" s="20" t="n">
        <v>3.4366208</v>
      </c>
      <c r="I20" s="18" t="n">
        <v>0</v>
      </c>
      <c r="J20" s="20" t="n">
        <v>0</v>
      </c>
      <c r="K20" s="18" t="n">
        <v>0</v>
      </c>
      <c r="L20" s="20" t="n">
        <v>0</v>
      </c>
      <c r="M20" s="18" t="n">
        <v>0</v>
      </c>
      <c r="N20" s="20" t="n">
        <v>0</v>
      </c>
      <c r="O20" s="18" t="n">
        <v>0</v>
      </c>
      <c r="P20" s="20" t="n">
        <v>0</v>
      </c>
      <c r="Q20" s="18" t="n">
        <v>3.99438557</v>
      </c>
      <c r="R20" s="20" t="n">
        <v>1.50444535</v>
      </c>
    </row>
    <row r="21" spans="1:18">
      <c r="A21" s="15" t="s">
        <v>579</v>
      </c>
      <c r="B21" s="17" t="n">
        <v>2833</v>
      </c>
      <c r="C21" s="18">
        <f>(2516.0/B21*100)</f>
        <v/>
      </c>
      <c r="D21" s="19" t="n">
        <v>317</v>
      </c>
      <c r="E21" s="18" t="n">
        <v>17.72411369</v>
      </c>
      <c r="F21" s="20" t="n">
        <v>2.19499907</v>
      </c>
      <c r="G21" s="18" t="n">
        <v>81.74346573</v>
      </c>
      <c r="H21" s="20" t="n">
        <v>2.2527612</v>
      </c>
      <c r="I21" s="18" t="n">
        <v>0</v>
      </c>
      <c r="J21" s="20" t="n">
        <v>0</v>
      </c>
      <c r="K21" s="18" t="n">
        <v>0</v>
      </c>
      <c r="L21" s="20" t="n">
        <v>0</v>
      </c>
      <c r="M21" s="18" t="n">
        <v>0</v>
      </c>
      <c r="N21" s="20" t="n">
        <v>0</v>
      </c>
      <c r="O21" s="18" t="n">
        <v>0</v>
      </c>
      <c r="P21" s="20" t="n">
        <v>0</v>
      </c>
      <c r="Q21" s="18" t="n">
        <v>0.53242057</v>
      </c>
      <c r="R21" s="20" t="n">
        <v>0.37575182</v>
      </c>
    </row>
    <row r="22" spans="1:18">
      <c r="A22" s="15" t="s">
        <v>580</v>
      </c>
      <c r="B22" s="17" t="n">
        <v>3667</v>
      </c>
      <c r="C22" s="18">
        <f>(3236.0/B22*100)</f>
        <v/>
      </c>
      <c r="D22" s="19" t="n">
        <v>431</v>
      </c>
      <c r="E22" s="18" t="n">
        <v>32.66008021</v>
      </c>
      <c r="F22" s="20" t="n">
        <v>2.5679909</v>
      </c>
      <c r="G22" s="18" t="n">
        <v>64.60720113000001</v>
      </c>
      <c r="H22" s="20" t="n">
        <v>2.80080997</v>
      </c>
      <c r="I22" s="18" t="n">
        <v>0</v>
      </c>
      <c r="J22" s="20" t="n">
        <v>0</v>
      </c>
      <c r="K22" s="18" t="n">
        <v>0.90353747</v>
      </c>
      <c r="L22" s="20" t="n">
        <v>0.57441541</v>
      </c>
      <c r="M22" s="18" t="n">
        <v>0</v>
      </c>
      <c r="N22" s="20" t="n">
        <v>0</v>
      </c>
      <c r="O22" s="18" t="n">
        <v>0</v>
      </c>
      <c r="P22" s="20" t="n">
        <v>0</v>
      </c>
      <c r="Q22" s="18" t="n">
        <v>1.8291812</v>
      </c>
      <c r="R22" s="20" t="n">
        <v>0.72079421</v>
      </c>
    </row>
    <row r="23" spans="1:18">
      <c r="A23" s="15" t="s">
        <v>581</v>
      </c>
      <c r="B23" s="17" t="n">
        <v>5792</v>
      </c>
      <c r="C23" s="18">
        <f>(5159.0/B23*100)</f>
        <v/>
      </c>
      <c r="D23" s="19" t="n">
        <v>633</v>
      </c>
      <c r="E23" s="18" t="n">
        <v>26.94358213</v>
      </c>
      <c r="F23" s="20" t="n">
        <v>2.23090012</v>
      </c>
      <c r="G23" s="18" t="n">
        <v>71.26153699</v>
      </c>
      <c r="H23" s="20" t="n">
        <v>2.3257088</v>
      </c>
      <c r="I23" s="18" t="n">
        <v>0</v>
      </c>
      <c r="J23" s="20" t="n">
        <v>0</v>
      </c>
      <c r="K23" s="18" t="n">
        <v>0</v>
      </c>
      <c r="L23" s="20" t="n">
        <v>0</v>
      </c>
      <c r="M23" s="18" t="n">
        <v>0</v>
      </c>
      <c r="N23" s="20" t="n">
        <v>0</v>
      </c>
      <c r="O23" s="18" t="n">
        <v>0</v>
      </c>
      <c r="P23" s="20" t="n">
        <v>0</v>
      </c>
      <c r="Q23" s="18" t="n">
        <v>1.79488087</v>
      </c>
      <c r="R23" s="20" t="n">
        <v>0.71438634</v>
      </c>
    </row>
    <row r="24" spans="1:18">
      <c r="A24" s="15" t="s">
        <v>582</v>
      </c>
      <c r="B24" s="17" t="n">
        <v>3309</v>
      </c>
      <c r="C24" s="18">
        <f>(2925.0/B24*100)</f>
        <v/>
      </c>
      <c r="D24" s="19" t="n">
        <v>384</v>
      </c>
      <c r="E24" s="18" t="n">
        <v>23.15185631</v>
      </c>
      <c r="F24" s="20" t="n">
        <v>2.02745373</v>
      </c>
      <c r="G24" s="18" t="n">
        <v>74.97732755</v>
      </c>
      <c r="H24" s="20" t="n">
        <v>2.13075399</v>
      </c>
      <c r="I24" s="18" t="n">
        <v>0</v>
      </c>
      <c r="J24" s="20" t="n">
        <v>0</v>
      </c>
      <c r="K24" s="18" t="n">
        <v>0.23562327</v>
      </c>
      <c r="L24" s="20" t="n">
        <v>0.23424939</v>
      </c>
      <c r="M24" s="18" t="n">
        <v>0</v>
      </c>
      <c r="N24" s="20" t="n">
        <v>0</v>
      </c>
      <c r="O24" s="18" t="n">
        <v>0</v>
      </c>
      <c r="P24" s="20" t="n">
        <v>0</v>
      </c>
      <c r="Q24" s="18" t="n">
        <v>1.63519288</v>
      </c>
      <c r="R24" s="20" t="n">
        <v>0.66511245</v>
      </c>
    </row>
    <row r="25" spans="1:18">
      <c r="A25" s="15" t="s">
        <v>583</v>
      </c>
      <c r="B25" s="17" t="n">
        <v>2669</v>
      </c>
      <c r="C25" s="18">
        <f>(2381.0/B25*100)</f>
        <v/>
      </c>
      <c r="D25" s="19" t="n">
        <v>288</v>
      </c>
      <c r="E25" s="18" t="n">
        <v>36.78557899</v>
      </c>
      <c r="F25" s="20" t="n">
        <v>2.8459475</v>
      </c>
      <c r="G25" s="18" t="n">
        <v>62.57408596</v>
      </c>
      <c r="H25" s="20" t="n">
        <v>2.8742812</v>
      </c>
      <c r="I25" s="18" t="n">
        <v>0</v>
      </c>
      <c r="J25" s="20" t="n">
        <v>0</v>
      </c>
      <c r="K25" s="18" t="n">
        <v>0.30372124</v>
      </c>
      <c r="L25" s="20" t="n">
        <v>0.30159766</v>
      </c>
      <c r="M25" s="18" t="n">
        <v>0</v>
      </c>
      <c r="N25" s="20" t="n">
        <v>0</v>
      </c>
      <c r="O25" s="18" t="n">
        <v>0</v>
      </c>
      <c r="P25" s="20" t="n">
        <v>0</v>
      </c>
      <c r="Q25" s="18" t="n">
        <v>0.33661381</v>
      </c>
      <c r="R25" s="20" t="n">
        <v>0.33395783</v>
      </c>
    </row>
    <row r="26" spans="1:18">
      <c r="A26" s="15" t="s">
        <v>584</v>
      </c>
      <c r="B26" s="17" t="n">
        <v>2419</v>
      </c>
      <c r="C26" s="18">
        <f>(2147.0/B26*100)</f>
        <v/>
      </c>
      <c r="D26" s="19" t="n">
        <v>272</v>
      </c>
      <c r="E26" s="18" t="n">
        <v>30.11794961</v>
      </c>
      <c r="F26" s="20" t="n">
        <v>3.26156747</v>
      </c>
      <c r="G26" s="18" t="n">
        <v>68.67769056</v>
      </c>
      <c r="H26" s="20" t="n">
        <v>3.31672807</v>
      </c>
      <c r="I26" s="18" t="n">
        <v>0</v>
      </c>
      <c r="J26" s="20" t="n">
        <v>0</v>
      </c>
      <c r="K26" s="18" t="n">
        <v>0</v>
      </c>
      <c r="L26" s="20" t="n">
        <v>0</v>
      </c>
      <c r="M26" s="18" t="n">
        <v>0</v>
      </c>
      <c r="N26" s="20" t="n">
        <v>0</v>
      </c>
      <c r="O26" s="18" t="n">
        <v>0</v>
      </c>
      <c r="P26" s="20" t="n">
        <v>0</v>
      </c>
      <c r="Q26" s="18" t="n">
        <v>1.20435983</v>
      </c>
      <c r="R26" s="20" t="n">
        <v>0.48939888</v>
      </c>
    </row>
    <row r="27" spans="1:18">
      <c r="A27" s="15" t="s">
        <v>585</v>
      </c>
      <c r="B27" s="17" t="n">
        <v>2683</v>
      </c>
      <c r="C27" s="18">
        <f>(2378.0/B27*100)</f>
        <v/>
      </c>
      <c r="D27" s="19" t="n">
        <v>305</v>
      </c>
      <c r="E27" s="18" t="n">
        <v>30.36265701</v>
      </c>
      <c r="F27" s="20" t="n">
        <v>2.77685471</v>
      </c>
      <c r="G27" s="18" t="n">
        <v>68.32752231000001</v>
      </c>
      <c r="H27" s="20" t="n">
        <v>2.85000856</v>
      </c>
      <c r="I27" s="18" t="n">
        <v>0</v>
      </c>
      <c r="J27" s="20" t="n">
        <v>0</v>
      </c>
      <c r="K27" s="18" t="n">
        <v>0</v>
      </c>
      <c r="L27" s="20" t="n">
        <v>0</v>
      </c>
      <c r="M27" s="18" t="n">
        <v>0</v>
      </c>
      <c r="N27" s="20" t="n">
        <v>0</v>
      </c>
      <c r="O27" s="18" t="n">
        <v>0</v>
      </c>
      <c r="P27" s="20" t="n">
        <v>0</v>
      </c>
      <c r="Q27" s="18" t="n">
        <v>1.30982068</v>
      </c>
      <c r="R27" s="20" t="n">
        <v>0.66681335</v>
      </c>
    </row>
    <row r="28" spans="1:18">
      <c r="A28" s="15" t="s">
        <v>586</v>
      </c>
      <c r="B28" s="17" t="n">
        <v>3803</v>
      </c>
      <c r="C28" s="18">
        <f>(3419.0/B28*100)</f>
        <v/>
      </c>
      <c r="D28" s="19" t="n">
        <v>384</v>
      </c>
      <c r="E28" s="18" t="n">
        <v>43.65927311</v>
      </c>
      <c r="F28" s="20" t="n">
        <v>2.83376626</v>
      </c>
      <c r="G28" s="18" t="n">
        <v>54.45350801</v>
      </c>
      <c r="H28" s="20" t="n">
        <v>2.77715431</v>
      </c>
      <c r="I28" s="18" t="n">
        <v>0</v>
      </c>
      <c r="J28" s="20" t="n">
        <v>0</v>
      </c>
      <c r="K28" s="18" t="n">
        <v>0.29120829</v>
      </c>
      <c r="L28" s="20" t="n">
        <v>0.29285052</v>
      </c>
      <c r="M28" s="18" t="n">
        <v>0</v>
      </c>
      <c r="N28" s="20" t="n">
        <v>0</v>
      </c>
      <c r="O28" s="18" t="n">
        <v>0</v>
      </c>
      <c r="P28" s="20" t="n">
        <v>0</v>
      </c>
      <c r="Q28" s="18" t="n">
        <v>1.59601059</v>
      </c>
      <c r="R28" s="20" t="n">
        <v>0.60942498</v>
      </c>
    </row>
    <row r="29" spans="1:18">
      <c r="A29" s="15" t="s">
        <v>587</v>
      </c>
      <c r="B29" s="17" t="n">
        <v>2700</v>
      </c>
      <c r="C29" s="18">
        <f>(2333.0/B29*100)</f>
        <v/>
      </c>
      <c r="D29" s="19" t="n">
        <v>367</v>
      </c>
      <c r="E29" s="18" t="n">
        <v>31.52727682</v>
      </c>
      <c r="F29" s="20" t="n">
        <v>1.97372487</v>
      </c>
      <c r="G29" s="18" t="n">
        <v>66.3011379</v>
      </c>
      <c r="H29" s="20" t="n">
        <v>2.1368204</v>
      </c>
      <c r="I29" s="18" t="n">
        <v>0</v>
      </c>
      <c r="J29" s="20" t="n">
        <v>0</v>
      </c>
      <c r="K29" s="18" t="n">
        <v>0.28379265</v>
      </c>
      <c r="L29" s="20" t="n">
        <v>0.2821812</v>
      </c>
      <c r="M29" s="18" t="n">
        <v>0</v>
      </c>
      <c r="N29" s="20" t="n">
        <v>0</v>
      </c>
      <c r="O29" s="18" t="n">
        <v>0</v>
      </c>
      <c r="P29" s="20" t="n">
        <v>0</v>
      </c>
      <c r="Q29" s="18" t="n">
        <v>1.88779263</v>
      </c>
      <c r="R29" s="20" t="n">
        <v>0.78153534</v>
      </c>
    </row>
    <row r="30" spans="1:18">
      <c r="A30" s="15" t="s">
        <v>588</v>
      </c>
      <c r="B30" s="17" t="n">
        <v>2257</v>
      </c>
      <c r="C30" s="18">
        <f>(2023.0/B30*100)</f>
        <v/>
      </c>
      <c r="D30" s="19" t="n">
        <v>234</v>
      </c>
      <c r="E30" s="18" t="n">
        <v>33.13864953</v>
      </c>
      <c r="F30" s="20" t="n">
        <v>3.09717717</v>
      </c>
      <c r="G30" s="18" t="n">
        <v>65.16953828</v>
      </c>
      <c r="H30" s="20" t="n">
        <v>3.15622227</v>
      </c>
      <c r="I30" s="18" t="n">
        <v>0</v>
      </c>
      <c r="J30" s="20" t="n">
        <v>0</v>
      </c>
      <c r="K30" s="18" t="n">
        <v>0</v>
      </c>
      <c r="L30" s="20" t="n">
        <v>0</v>
      </c>
      <c r="M30" s="18" t="n">
        <v>0</v>
      </c>
      <c r="N30" s="20" t="n">
        <v>0</v>
      </c>
      <c r="O30" s="18" t="n">
        <v>0</v>
      </c>
      <c r="P30" s="20" t="n">
        <v>0</v>
      </c>
      <c r="Q30" s="18" t="n">
        <v>1.69181219</v>
      </c>
      <c r="R30" s="20" t="n">
        <v>0.8494268</v>
      </c>
    </row>
    <row r="31" spans="1:18">
      <c r="A31" s="15" t="s">
        <v>589</v>
      </c>
      <c r="B31" s="17" t="n">
        <v>2706</v>
      </c>
      <c r="C31" s="18">
        <f>(2407.0/B31*100)</f>
        <v/>
      </c>
      <c r="D31" s="19" t="n">
        <v>299</v>
      </c>
      <c r="E31" s="18" t="n">
        <v>29.753297</v>
      </c>
      <c r="F31" s="20" t="n">
        <v>2.64664583</v>
      </c>
      <c r="G31" s="18" t="n">
        <v>68.23664912</v>
      </c>
      <c r="H31" s="20" t="n">
        <v>2.6270681</v>
      </c>
      <c r="I31" s="18" t="n">
        <v>0</v>
      </c>
      <c r="J31" s="20" t="n">
        <v>0</v>
      </c>
      <c r="K31" s="18" t="n">
        <v>0.31836732</v>
      </c>
      <c r="L31" s="20" t="n">
        <v>0.30729349</v>
      </c>
      <c r="M31" s="18" t="n">
        <v>0</v>
      </c>
      <c r="N31" s="20" t="n">
        <v>0</v>
      </c>
      <c r="O31" s="18" t="n">
        <v>0</v>
      </c>
      <c r="P31" s="20" t="n">
        <v>0</v>
      </c>
      <c r="Q31" s="18" t="n">
        <v>1.69168656</v>
      </c>
      <c r="R31" s="20" t="n">
        <v>0.77251919</v>
      </c>
    </row>
    <row r="32" spans="1:18">
      <c r="A32" s="15" t="s">
        <v>590</v>
      </c>
      <c r="B32" s="17" t="n">
        <v>2209</v>
      </c>
      <c r="C32" s="18">
        <f>(1960.0/B32*100)</f>
        <v/>
      </c>
      <c r="D32" s="19" t="n">
        <v>249</v>
      </c>
      <c r="E32" s="18" t="n">
        <v>24.94726234</v>
      </c>
      <c r="F32" s="20" t="n">
        <v>2.71199862</v>
      </c>
      <c r="G32" s="18" t="n">
        <v>73.60961818</v>
      </c>
      <c r="H32" s="20" t="n">
        <v>2.84401794</v>
      </c>
      <c r="I32" s="18" t="n">
        <v>0</v>
      </c>
      <c r="J32" s="20" t="n">
        <v>0</v>
      </c>
      <c r="K32" s="18" t="n">
        <v>0.32957884</v>
      </c>
      <c r="L32" s="20" t="n">
        <v>0.33166898</v>
      </c>
      <c r="M32" s="18" t="n">
        <v>0</v>
      </c>
      <c r="N32" s="20" t="n">
        <v>0</v>
      </c>
      <c r="O32" s="18" t="n">
        <v>0</v>
      </c>
      <c r="P32" s="20" t="n">
        <v>0</v>
      </c>
      <c r="Q32" s="18" t="n">
        <v>1.11354065</v>
      </c>
      <c r="R32" s="20" t="n">
        <v>0.63604956</v>
      </c>
    </row>
    <row r="33" spans="1:18">
      <c r="A33" s="15" t="s">
        <v>591</v>
      </c>
      <c r="B33" s="17" t="n">
        <v>3651</v>
      </c>
      <c r="C33" s="18">
        <f>(3250.0/B33*100)</f>
        <v/>
      </c>
      <c r="D33" s="19" t="n">
        <v>401</v>
      </c>
      <c r="E33" s="18" t="n">
        <v>26.21475973</v>
      </c>
      <c r="F33" s="20" t="n">
        <v>2.55775162</v>
      </c>
      <c r="G33" s="18" t="n">
        <v>73.34277964</v>
      </c>
      <c r="H33" s="20" t="n">
        <v>2.54898371</v>
      </c>
      <c r="I33" s="18" t="n">
        <v>0</v>
      </c>
      <c r="J33" s="20" t="n">
        <v>0</v>
      </c>
      <c r="K33" s="18" t="n">
        <v>0.32521234</v>
      </c>
      <c r="L33" s="20" t="n">
        <v>0.36318395</v>
      </c>
      <c r="M33" s="18" t="n">
        <v>0</v>
      </c>
      <c r="N33" s="20" t="n">
        <v>0</v>
      </c>
      <c r="O33" s="18" t="n">
        <v>0</v>
      </c>
      <c r="P33" s="20" t="n">
        <v>0</v>
      </c>
      <c r="Q33" s="18" t="n">
        <v>0.1172483</v>
      </c>
      <c r="R33" s="20" t="n">
        <v>0.07246453999999999</v>
      </c>
    </row>
    <row r="34" spans="1:18">
      <c r="A34" s="15" t="s">
        <v>592</v>
      </c>
      <c r="B34" s="17" t="n">
        <v>3035</v>
      </c>
      <c r="C34" s="18">
        <f>(2650.0/B34*100)</f>
        <v/>
      </c>
      <c r="D34" s="19" t="n">
        <v>385</v>
      </c>
      <c r="E34" s="18" t="n">
        <v>36.71081188</v>
      </c>
      <c r="F34" s="20" t="n">
        <v>3.38318788</v>
      </c>
      <c r="G34" s="18" t="n">
        <v>61.83583153</v>
      </c>
      <c r="H34" s="20" t="n">
        <v>3.45787729</v>
      </c>
      <c r="I34" s="18" t="n">
        <v>0</v>
      </c>
      <c r="J34" s="20" t="n">
        <v>0</v>
      </c>
      <c r="K34" s="18" t="n">
        <v>0</v>
      </c>
      <c r="L34" s="20" t="n">
        <v>0</v>
      </c>
      <c r="M34" s="18" t="n">
        <v>0</v>
      </c>
      <c r="N34" s="20" t="n">
        <v>0</v>
      </c>
      <c r="O34" s="18" t="n">
        <v>0</v>
      </c>
      <c r="P34" s="20" t="n">
        <v>0</v>
      </c>
      <c r="Q34" s="18" t="n">
        <v>1.45335659</v>
      </c>
      <c r="R34" s="20" t="n">
        <v>0.6478900399999999</v>
      </c>
    </row>
    <row r="35" spans="1:18">
      <c r="A35" s="15" t="s">
        <v>593</v>
      </c>
      <c r="B35" s="17" t="n">
        <v>2901</v>
      </c>
      <c r="C35" s="18">
        <f>(2551.0/B35*100)</f>
        <v/>
      </c>
      <c r="D35" s="19" t="n">
        <v>350</v>
      </c>
      <c r="E35" s="18" t="n">
        <v>38.81296697</v>
      </c>
      <c r="F35" s="20" t="n">
        <v>3.29159425</v>
      </c>
      <c r="G35" s="18" t="n">
        <v>61.0736449</v>
      </c>
      <c r="H35" s="20" t="n">
        <v>3.30202159</v>
      </c>
      <c r="I35" s="18" t="n">
        <v>0</v>
      </c>
      <c r="J35" s="20" t="n">
        <v>0</v>
      </c>
      <c r="K35" s="18" t="n">
        <v>0</v>
      </c>
      <c r="L35" s="20" t="n">
        <v>0</v>
      </c>
      <c r="M35" s="18" t="n">
        <v>0</v>
      </c>
      <c r="N35" s="20" t="n">
        <v>0</v>
      </c>
      <c r="O35" s="18" t="n">
        <v>0</v>
      </c>
      <c r="P35" s="20" t="n">
        <v>0</v>
      </c>
      <c r="Q35" s="18" t="n">
        <v>0.11338812</v>
      </c>
      <c r="R35" s="20" t="n">
        <v>0.11231079</v>
      </c>
    </row>
    <row r="36" spans="1:18">
      <c r="A36" s="15" t="s">
        <v>594</v>
      </c>
      <c r="B36" s="17" t="n">
        <v>3404</v>
      </c>
      <c r="C36" s="18">
        <f>(3050.0/B36*100)</f>
        <v/>
      </c>
      <c r="D36" s="19" t="n">
        <v>354</v>
      </c>
      <c r="E36" s="18" t="n">
        <v>20.34406236</v>
      </c>
      <c r="F36" s="20" t="n">
        <v>2.25992673</v>
      </c>
      <c r="G36" s="18" t="n">
        <v>78.6512965</v>
      </c>
      <c r="H36" s="20" t="n">
        <v>2.26664349</v>
      </c>
      <c r="I36" s="18" t="n">
        <v>0</v>
      </c>
      <c r="J36" s="20" t="n">
        <v>0</v>
      </c>
      <c r="K36" s="18" t="n">
        <v>0</v>
      </c>
      <c r="L36" s="20" t="n">
        <v>0</v>
      </c>
      <c r="M36" s="18" t="n">
        <v>0</v>
      </c>
      <c r="N36" s="20" t="n">
        <v>0</v>
      </c>
      <c r="O36" s="18" t="n">
        <v>0</v>
      </c>
      <c r="P36" s="20" t="n">
        <v>0</v>
      </c>
      <c r="Q36" s="18" t="n">
        <v>1.00464114</v>
      </c>
      <c r="R36" s="20" t="n">
        <v>0.5498471700000001</v>
      </c>
    </row>
    <row r="37" spans="1:18">
      <c r="A37" s="15" t="s">
        <v>595</v>
      </c>
      <c r="B37" s="17" t="n">
        <v>2731</v>
      </c>
      <c r="C37" s="18">
        <f>(2442.0/B37*100)</f>
        <v/>
      </c>
      <c r="D37" s="19" t="n">
        <v>289</v>
      </c>
      <c r="E37" s="18" t="n">
        <v>34.62345844</v>
      </c>
      <c r="F37" s="20" t="n">
        <v>2.80517838</v>
      </c>
      <c r="G37" s="18" t="n">
        <v>62.81464034</v>
      </c>
      <c r="H37" s="20" t="n">
        <v>2.68512969</v>
      </c>
      <c r="I37" s="18" t="n">
        <v>0</v>
      </c>
      <c r="J37" s="20" t="n">
        <v>0</v>
      </c>
      <c r="K37" s="18" t="n">
        <v>0.39505173</v>
      </c>
      <c r="L37" s="20" t="n">
        <v>0.39240474</v>
      </c>
      <c r="M37" s="18" t="n">
        <v>0</v>
      </c>
      <c r="N37" s="20" t="n">
        <v>0</v>
      </c>
      <c r="O37" s="18" t="n">
        <v>0</v>
      </c>
      <c r="P37" s="20" t="n">
        <v>0</v>
      </c>
      <c r="Q37" s="18" t="n">
        <v>2.16684948</v>
      </c>
      <c r="R37" s="20" t="n">
        <v>0.78176525</v>
      </c>
    </row>
    <row r="38" spans="1:18">
      <c r="A38" s="15" t="s">
        <v>596</v>
      </c>
      <c r="B38" s="17" t="n">
        <v>2807</v>
      </c>
      <c r="C38" s="18">
        <f>(2503.0/B38*100)</f>
        <v/>
      </c>
      <c r="D38" s="19" t="n">
        <v>304</v>
      </c>
      <c r="E38" s="18" t="n">
        <v>28.84167478</v>
      </c>
      <c r="F38" s="20" t="n">
        <v>2.5584052</v>
      </c>
      <c r="G38" s="18" t="n">
        <v>70.50228824</v>
      </c>
      <c r="H38" s="20" t="n">
        <v>2.54663244</v>
      </c>
      <c r="I38" s="18" t="n">
        <v>0</v>
      </c>
      <c r="J38" s="20" t="n">
        <v>0</v>
      </c>
      <c r="K38" s="18" t="n">
        <v>0</v>
      </c>
      <c r="L38" s="20" t="n">
        <v>0</v>
      </c>
      <c r="M38" s="18" t="n">
        <v>0</v>
      </c>
      <c r="N38" s="20" t="n">
        <v>0</v>
      </c>
      <c r="O38" s="18" t="n">
        <v>0</v>
      </c>
      <c r="P38" s="20" t="n">
        <v>0</v>
      </c>
      <c r="Q38" s="18" t="n">
        <v>0.65603698</v>
      </c>
      <c r="R38" s="20" t="n">
        <v>0.49808078</v>
      </c>
    </row>
    <row r="39" spans="1:18">
      <c r="A39" s="15" t="s">
        <v>597</v>
      </c>
      <c r="B39" s="17" t="n">
        <v>2938</v>
      </c>
      <c r="C39" s="18">
        <f>(2591.0/B39*100)</f>
        <v/>
      </c>
      <c r="D39" s="19" t="n">
        <v>347</v>
      </c>
      <c r="E39" s="18" t="n">
        <v>33.89060276</v>
      </c>
      <c r="F39" s="20" t="n">
        <v>3.17593802</v>
      </c>
      <c r="G39" s="18" t="n">
        <v>65.79101833999999</v>
      </c>
      <c r="H39" s="20" t="n">
        <v>3.13781916</v>
      </c>
      <c r="I39" s="18" t="n">
        <v>0</v>
      </c>
      <c r="J39" s="20" t="n">
        <v>0</v>
      </c>
      <c r="K39" s="18" t="n">
        <v>0</v>
      </c>
      <c r="L39" s="20" t="n">
        <v>0</v>
      </c>
      <c r="M39" s="18" t="n">
        <v>0</v>
      </c>
      <c r="N39" s="20" t="n">
        <v>0</v>
      </c>
      <c r="O39" s="18" t="n">
        <v>0</v>
      </c>
      <c r="P39" s="20" t="n">
        <v>0</v>
      </c>
      <c r="Q39" s="18" t="n">
        <v>0.3183789</v>
      </c>
      <c r="R39" s="20" t="n">
        <v>0.31966463</v>
      </c>
    </row>
    <row r="40" spans="1:18">
      <c r="A40" s="15" t="s">
        <v>598</v>
      </c>
      <c r="B40" s="17" t="n">
        <v>6922</v>
      </c>
      <c r="C40" s="18">
        <f>(6192.0/B40*100)</f>
        <v/>
      </c>
      <c r="D40" s="19" t="n">
        <v>730</v>
      </c>
      <c r="E40" s="18" t="n">
        <v>25.42133144</v>
      </c>
      <c r="F40" s="20" t="n">
        <v>2.59129519</v>
      </c>
      <c r="G40" s="18" t="n">
        <v>74.06414940000001</v>
      </c>
      <c r="H40" s="20" t="n">
        <v>2.5578992</v>
      </c>
      <c r="I40" s="18" t="n">
        <v>0</v>
      </c>
      <c r="J40" s="20" t="n">
        <v>0</v>
      </c>
      <c r="K40" s="18" t="n">
        <v>0</v>
      </c>
      <c r="L40" s="20" t="n">
        <v>0</v>
      </c>
      <c r="M40" s="18" t="n">
        <v>0</v>
      </c>
      <c r="N40" s="20" t="n">
        <v>0</v>
      </c>
      <c r="O40" s="18" t="n">
        <v>0</v>
      </c>
      <c r="P40" s="20" t="n">
        <v>0</v>
      </c>
      <c r="Q40" s="18" t="n">
        <v>0.51451915</v>
      </c>
      <c r="R40" s="20" t="n">
        <v>0.2782286</v>
      </c>
    </row>
    <row r="41" spans="1:18">
      <c r="A41" s="15" t="s">
        <v>599</v>
      </c>
      <c r="B41" s="17" t="n">
        <v>2854</v>
      </c>
      <c r="C41" s="18">
        <f>(2540.0/B41*100)</f>
        <v/>
      </c>
      <c r="D41" s="19" t="n">
        <v>314</v>
      </c>
      <c r="E41" s="18" t="n">
        <v>35.75715252</v>
      </c>
      <c r="F41" s="20" t="n">
        <v>2.8883861</v>
      </c>
      <c r="G41" s="18" t="n">
        <v>63.98109981</v>
      </c>
      <c r="H41" s="20" t="n">
        <v>2.92874334</v>
      </c>
      <c r="I41" s="18" t="n">
        <v>0</v>
      </c>
      <c r="J41" s="20" t="n">
        <v>0</v>
      </c>
      <c r="K41" s="18" t="n">
        <v>0</v>
      </c>
      <c r="L41" s="20" t="n">
        <v>0</v>
      </c>
      <c r="M41" s="18" t="n">
        <v>0</v>
      </c>
      <c r="N41" s="20" t="n">
        <v>0</v>
      </c>
      <c r="O41" s="18" t="n">
        <v>0</v>
      </c>
      <c r="P41" s="20" t="n">
        <v>0</v>
      </c>
      <c r="Q41" s="18" t="n">
        <v>0.26174767</v>
      </c>
      <c r="R41" s="20" t="n">
        <v>0.2609495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(10832.0/B46*100)</f>
        <v/>
      </c>
      <c r="D46" s="19" t="n">
        <v>1241</v>
      </c>
      <c r="E46" s="18" t="n">
        <v>50.02711818</v>
      </c>
      <c r="F46" s="20" t="n">
        <v>1.72194516</v>
      </c>
      <c r="G46" s="18" t="n">
        <v>45.78273362</v>
      </c>
      <c r="H46" s="20" t="n">
        <v>1.74518795</v>
      </c>
      <c r="I46" s="18" t="n">
        <v>0</v>
      </c>
      <c r="J46" s="20" t="n">
        <v>0</v>
      </c>
      <c r="K46" s="18" t="n">
        <v>0.27009367</v>
      </c>
      <c r="L46" s="20" t="n">
        <v>0.14490387</v>
      </c>
      <c r="M46" s="18" t="n">
        <v>0</v>
      </c>
      <c r="N46" s="20" t="n">
        <v>0</v>
      </c>
      <c r="O46" s="18" t="n">
        <v>0</v>
      </c>
      <c r="P46" s="20" t="n">
        <v>0</v>
      </c>
      <c r="Q46" s="18" t="n">
        <v>3.92005453</v>
      </c>
      <c r="R46" s="20" t="n">
        <v>0.7844269</v>
      </c>
    </row>
    <row r="47" spans="1:18">
      <c r="A47" s="15" t="s">
        <v>606</v>
      </c>
      <c r="B47" s="17" t="n">
        <v>2823</v>
      </c>
      <c r="C47" s="18">
        <f>(2506.0/B47*100)</f>
        <v/>
      </c>
      <c r="D47" s="19" t="n">
        <v>317</v>
      </c>
      <c r="E47" s="18" t="n">
        <v>25.88925964</v>
      </c>
      <c r="F47" s="20" t="n">
        <v>2.3165242</v>
      </c>
      <c r="G47" s="18" t="n">
        <v>71.88847507</v>
      </c>
      <c r="H47" s="20" t="n">
        <v>2.44952366</v>
      </c>
      <c r="I47" s="18" t="n">
        <v>0</v>
      </c>
      <c r="J47" s="20" t="n">
        <v>0</v>
      </c>
      <c r="K47" s="18" t="n">
        <v>0.30962172</v>
      </c>
      <c r="L47" s="20" t="n">
        <v>0.31354075</v>
      </c>
      <c r="M47" s="18" t="n">
        <v>0</v>
      </c>
      <c r="N47" s="20" t="n">
        <v>0</v>
      </c>
      <c r="O47" s="18" t="n">
        <v>0</v>
      </c>
      <c r="P47" s="20" t="n">
        <v>0</v>
      </c>
      <c r="Q47" s="18" t="n">
        <v>1.91264358</v>
      </c>
      <c r="R47" s="20" t="n">
        <v>0.71791335</v>
      </c>
    </row>
    <row r="48" spans="1:18">
      <c r="A48" s="15" t="s">
        <v>607</v>
      </c>
      <c r="B48" s="17" t="n">
        <v>4682</v>
      </c>
      <c r="C48" s="18">
        <f>(4154.0/B48*100)</f>
        <v/>
      </c>
      <c r="D48" s="19" t="n">
        <v>528</v>
      </c>
      <c r="E48" s="18" t="n">
        <v>23.5593053</v>
      </c>
      <c r="F48" s="20" t="n">
        <v>2.75000893</v>
      </c>
      <c r="G48" s="18" t="n">
        <v>74.88861047</v>
      </c>
      <c r="H48" s="20" t="n">
        <v>2.8645167</v>
      </c>
      <c r="I48" s="18" t="n">
        <v>0</v>
      </c>
      <c r="J48" s="20" t="n">
        <v>0</v>
      </c>
      <c r="K48" s="18" t="n">
        <v>1.15827901</v>
      </c>
      <c r="L48" s="20" t="n">
        <v>0.821618</v>
      </c>
      <c r="M48" s="18" t="n">
        <v>0</v>
      </c>
      <c r="N48" s="20" t="n">
        <v>0</v>
      </c>
      <c r="O48" s="18" t="n">
        <v>0</v>
      </c>
      <c r="P48" s="20" t="n">
        <v>0</v>
      </c>
      <c r="Q48" s="18" t="n">
        <v>0.39380523</v>
      </c>
      <c r="R48" s="20" t="n">
        <v>0.32427979</v>
      </c>
    </row>
    <row r="49" spans="1:18">
      <c r="A49" s="15" t="s">
        <v>608</v>
      </c>
      <c r="B49" s="17" t="n">
        <v>6158</v>
      </c>
      <c r="C49" s="18">
        <f>(5471.0/B49*100)</f>
        <v/>
      </c>
      <c r="D49" s="19" t="n">
        <v>687</v>
      </c>
      <c r="E49" s="18" t="n">
        <v>43.12831818</v>
      </c>
      <c r="F49" s="20" t="n">
        <v>2.65034148</v>
      </c>
      <c r="G49" s="18" t="n">
        <v>55.69345128</v>
      </c>
      <c r="H49" s="20" t="n">
        <v>2.70885023</v>
      </c>
      <c r="I49" s="18" t="n">
        <v>0</v>
      </c>
      <c r="J49" s="20" t="n">
        <v>0</v>
      </c>
      <c r="K49" s="18" t="n">
        <v>0.56443818</v>
      </c>
      <c r="L49" s="20" t="n">
        <v>0.41488092</v>
      </c>
      <c r="M49" s="18" t="n">
        <v>0</v>
      </c>
      <c r="N49" s="20" t="n">
        <v>0</v>
      </c>
      <c r="O49" s="18" t="n">
        <v>0</v>
      </c>
      <c r="P49" s="20" t="n">
        <v>0</v>
      </c>
      <c r="Q49" s="18" t="n">
        <v>0.61379237</v>
      </c>
      <c r="R49" s="20" t="n">
        <v>0.32237785</v>
      </c>
    </row>
    <row r="50" spans="1:18">
      <c r="A50" s="15" t="s">
        <v>609</v>
      </c>
      <c r="B50" s="17" t="n">
        <v>3494</v>
      </c>
      <c r="C50" s="18">
        <f>(2811.0/B50*100)</f>
        <v/>
      </c>
      <c r="D50" s="19" t="n">
        <v>683</v>
      </c>
      <c r="E50" s="18" t="n">
        <v>47.25593679</v>
      </c>
      <c r="F50" s="20" t="n">
        <v>2.16732085</v>
      </c>
      <c r="G50" s="18" t="n">
        <v>51.84978845</v>
      </c>
      <c r="H50" s="20" t="n">
        <v>2.20069146</v>
      </c>
      <c r="I50" s="18" t="n">
        <v>0</v>
      </c>
      <c r="J50" s="20" t="n">
        <v>0</v>
      </c>
      <c r="K50" s="18" t="n">
        <v>0.20616116</v>
      </c>
      <c r="L50" s="20" t="n">
        <v>0.20231265</v>
      </c>
      <c r="M50" s="18" t="n">
        <v>0</v>
      </c>
      <c r="N50" s="20" t="n">
        <v>0</v>
      </c>
      <c r="O50" s="18" t="n">
        <v>0</v>
      </c>
      <c r="P50" s="20" t="n">
        <v>0</v>
      </c>
      <c r="Q50" s="18" t="n">
        <v>0.6881136</v>
      </c>
      <c r="R50" s="20" t="n">
        <v>0.29480734</v>
      </c>
    </row>
    <row r="51" spans="1:18">
      <c r="A51" s="15" t="s">
        <v>610</v>
      </c>
      <c r="B51" s="17" t="n">
        <v>3013</v>
      </c>
      <c r="C51" s="18">
        <f>(2672.0/B51*100)</f>
        <v/>
      </c>
      <c r="D51" s="19" t="n">
        <v>341</v>
      </c>
      <c r="E51" s="18" t="n">
        <v>27.06053564</v>
      </c>
      <c r="F51" s="20" t="n">
        <v>2.59358785</v>
      </c>
      <c r="G51" s="18" t="n">
        <v>69.81373536</v>
      </c>
      <c r="H51" s="20" t="n">
        <v>2.39305516</v>
      </c>
      <c r="I51" s="18" t="n">
        <v>0</v>
      </c>
      <c r="J51" s="20" t="n">
        <v>0</v>
      </c>
      <c r="K51" s="18" t="n">
        <v>0</v>
      </c>
      <c r="L51" s="20" t="n">
        <v>0</v>
      </c>
      <c r="M51" s="18" t="n">
        <v>0</v>
      </c>
      <c r="N51" s="20" t="n">
        <v>0</v>
      </c>
      <c r="O51" s="18" t="n">
        <v>0</v>
      </c>
      <c r="P51" s="20" t="n">
        <v>0</v>
      </c>
      <c r="Q51" s="18" t="n">
        <v>3.125729</v>
      </c>
      <c r="R51" s="20" t="n">
        <v>1.0164567</v>
      </c>
    </row>
    <row r="52" spans="1:18">
      <c r="A52" s="15" t="s">
        <v>611</v>
      </c>
      <c r="B52" s="17" t="n">
        <v>2760</v>
      </c>
      <c r="C52" s="18">
        <f>(2462.0/B52*100)</f>
        <v/>
      </c>
      <c r="D52" s="19" t="n">
        <v>298</v>
      </c>
      <c r="E52" s="18" t="n">
        <v>31.27350254</v>
      </c>
      <c r="F52" s="20" t="n">
        <v>2.90992666</v>
      </c>
      <c r="G52" s="18" t="n">
        <v>66.09371333</v>
      </c>
      <c r="H52" s="20" t="n">
        <v>2.83535115</v>
      </c>
      <c r="I52" s="18" t="n">
        <v>0</v>
      </c>
      <c r="J52" s="20" t="n">
        <v>0</v>
      </c>
      <c r="K52" s="18" t="n">
        <v>0</v>
      </c>
      <c r="L52" s="20" t="n">
        <v>0</v>
      </c>
      <c r="M52" s="18" t="n">
        <v>0</v>
      </c>
      <c r="N52" s="20" t="n">
        <v>0</v>
      </c>
      <c r="O52" s="18" t="n">
        <v>0</v>
      </c>
      <c r="P52" s="20" t="n">
        <v>0</v>
      </c>
      <c r="Q52" s="18" t="n">
        <v>2.63278413</v>
      </c>
      <c r="R52" s="20" t="n">
        <v>0.94234076</v>
      </c>
    </row>
    <row r="53" spans="1:18">
      <c r="A53" s="15" t="s">
        <v>612</v>
      </c>
      <c r="B53" s="17" t="n">
        <v>2474</v>
      </c>
      <c r="C53" s="18">
        <f>(2219.0/B53*100)</f>
        <v/>
      </c>
      <c r="D53" s="19" t="n">
        <v>255</v>
      </c>
      <c r="E53" s="18" t="n">
        <v>52.7455057</v>
      </c>
      <c r="F53" s="20" t="n">
        <v>3.34214086</v>
      </c>
      <c r="G53" s="18" t="n">
        <v>35.0449295</v>
      </c>
      <c r="H53" s="20" t="n">
        <v>3.32329582</v>
      </c>
      <c r="I53" s="18" t="n">
        <v>0</v>
      </c>
      <c r="J53" s="20" t="n">
        <v>0</v>
      </c>
      <c r="K53" s="18" t="n">
        <v>6.93380062</v>
      </c>
      <c r="L53" s="20" t="n">
        <v>1.47913723</v>
      </c>
      <c r="M53" s="18" t="n">
        <v>0</v>
      </c>
      <c r="N53" s="20" t="n">
        <v>0</v>
      </c>
      <c r="O53" s="18" t="n">
        <v>0</v>
      </c>
      <c r="P53" s="20" t="n">
        <v>0</v>
      </c>
      <c r="Q53" s="18" t="n">
        <v>5.27576418</v>
      </c>
      <c r="R53" s="20" t="n">
        <v>1.50630801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(2362.0/B55*100)</f>
        <v/>
      </c>
      <c r="D55" s="19" t="n">
        <v>313</v>
      </c>
      <c r="E55" s="18" t="n">
        <v>23.04580065</v>
      </c>
      <c r="F55" s="20" t="n">
        <v>2.3693054</v>
      </c>
      <c r="G55" s="18" t="n">
        <v>75.42517751</v>
      </c>
      <c r="H55" s="20" t="n">
        <v>2.33406698</v>
      </c>
      <c r="I55" s="18" t="n">
        <v>0</v>
      </c>
      <c r="J55" s="20" t="n">
        <v>0</v>
      </c>
      <c r="K55" s="18" t="n">
        <v>0.34386573</v>
      </c>
      <c r="L55" s="20" t="n">
        <v>0.34071811</v>
      </c>
      <c r="M55" s="18" t="n">
        <v>0</v>
      </c>
      <c r="N55" s="20" t="n">
        <v>0</v>
      </c>
      <c r="O55" s="18" t="n">
        <v>0</v>
      </c>
      <c r="P55" s="20" t="n">
        <v>0</v>
      </c>
      <c r="Q55" s="18" t="n">
        <v>1.18515611</v>
      </c>
      <c r="R55" s="20" t="n">
        <v>0.58058159</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(2855.0/B61*100)</f>
        <v/>
      </c>
      <c r="D61" s="19" t="n">
        <v>346</v>
      </c>
      <c r="E61" s="18" t="n">
        <v>39.09501693</v>
      </c>
      <c r="F61" s="20" t="n">
        <v>2.87702164</v>
      </c>
      <c r="G61" s="18" t="n">
        <v>60.4597316</v>
      </c>
      <c r="H61" s="20" t="n">
        <v>2.91323953</v>
      </c>
      <c r="I61" s="18" t="n">
        <v>0</v>
      </c>
      <c r="J61" s="20" t="n">
        <v>0</v>
      </c>
      <c r="K61" s="18" t="n">
        <v>0</v>
      </c>
      <c r="L61" s="20" t="n">
        <v>0</v>
      </c>
      <c r="M61" s="18" t="n">
        <v>0</v>
      </c>
      <c r="N61" s="20" t="n">
        <v>0</v>
      </c>
      <c r="O61" s="18" t="n">
        <v>0</v>
      </c>
      <c r="P61" s="20" t="n">
        <v>0</v>
      </c>
      <c r="Q61" s="18" t="n">
        <v>0.44525147</v>
      </c>
      <c r="R61" s="20" t="n">
        <v>0.34723157</v>
      </c>
    </row>
    <row r="62" spans="1:18">
      <c r="A62" s="15" t="s">
        <v>622</v>
      </c>
      <c r="B62" s="17" t="n">
        <v>2230</v>
      </c>
      <c r="C62" s="18">
        <f>(2010.0/B62*100)</f>
        <v/>
      </c>
      <c r="D62" s="19" t="n">
        <v>220</v>
      </c>
      <c r="E62" s="18" t="n">
        <v>26.86022303</v>
      </c>
      <c r="F62" s="20" t="n">
        <v>3.10021001</v>
      </c>
      <c r="G62" s="18" t="n">
        <v>72.6826061</v>
      </c>
      <c r="H62" s="20" t="n">
        <v>3.18780226</v>
      </c>
      <c r="I62" s="18" t="n">
        <v>0</v>
      </c>
      <c r="J62" s="20" t="n">
        <v>0</v>
      </c>
      <c r="K62" s="18" t="n">
        <v>0</v>
      </c>
      <c r="L62" s="20" t="n">
        <v>0</v>
      </c>
      <c r="M62" s="18" t="n">
        <v>0</v>
      </c>
      <c r="N62" s="20" t="n">
        <v>0</v>
      </c>
      <c r="O62" s="18" t="n">
        <v>0</v>
      </c>
      <c r="P62" s="20" t="n">
        <v>0</v>
      </c>
      <c r="Q62" s="18" t="n">
        <v>0.45717088</v>
      </c>
      <c r="R62" s="20" t="n">
        <v>0.45730893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(2465.0/B67*100)</f>
        <v/>
      </c>
      <c r="D67" s="19" t="n">
        <v>306</v>
      </c>
      <c r="E67" s="18" t="n">
        <v>47.61603</v>
      </c>
      <c r="F67" s="20" t="n">
        <v>2.92248147</v>
      </c>
      <c r="G67" s="18" t="n">
        <v>46.1539111</v>
      </c>
      <c r="H67" s="20" t="n">
        <v>2.94914368</v>
      </c>
      <c r="I67" s="18" t="n">
        <v>0</v>
      </c>
      <c r="J67" s="20" t="n">
        <v>0</v>
      </c>
      <c r="K67" s="18" t="n">
        <v>0.5571237</v>
      </c>
      <c r="L67" s="20" t="n">
        <v>0.39560869</v>
      </c>
      <c r="M67" s="18" t="n">
        <v>0</v>
      </c>
      <c r="N67" s="20" t="n">
        <v>0</v>
      </c>
      <c r="O67" s="18" t="n">
        <v>0</v>
      </c>
      <c r="P67" s="20" t="n">
        <v>0</v>
      </c>
      <c r="Q67" s="18" t="n">
        <v>5.67293519</v>
      </c>
      <c r="R67" s="20" t="n">
        <v>1.19300104</v>
      </c>
    </row>
    <row r="68" spans="1:18">
      <c r="A68" s="15" t="s">
        <v>628</v>
      </c>
      <c r="B68" s="17" t="n">
        <v>3460</v>
      </c>
      <c r="C68" s="18">
        <f>(3079.0/B68*100)</f>
        <v/>
      </c>
      <c r="D68" s="19" t="n">
        <v>381</v>
      </c>
      <c r="E68" s="18" t="n">
        <v>42.41149117</v>
      </c>
      <c r="F68" s="20" t="n">
        <v>2.94044315</v>
      </c>
      <c r="G68" s="18" t="n">
        <v>55.36387988</v>
      </c>
      <c r="H68" s="20" t="n">
        <v>2.93160151</v>
      </c>
      <c r="I68" s="18" t="n">
        <v>0</v>
      </c>
      <c r="J68" s="20" t="n">
        <v>0</v>
      </c>
      <c r="K68" s="18" t="n">
        <v>0</v>
      </c>
      <c r="L68" s="20" t="n">
        <v>0</v>
      </c>
      <c r="M68" s="18" t="n">
        <v>0</v>
      </c>
      <c r="N68" s="20" t="n">
        <v>0</v>
      </c>
      <c r="O68" s="18" t="n">
        <v>0</v>
      </c>
      <c r="P68" s="20" t="n">
        <v>0</v>
      </c>
      <c r="Q68" s="18" t="n">
        <v>2.22462895</v>
      </c>
      <c r="R68" s="20" t="n">
        <v>0.73974046</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(5383.0/B70*100)</f>
        <v/>
      </c>
      <c r="D70" s="19" t="n">
        <v>651</v>
      </c>
      <c r="E70" s="18" t="n">
        <v>26.73197389</v>
      </c>
      <c r="F70" s="20" t="n">
        <v>1.6428083</v>
      </c>
      <c r="G70" s="18" t="n">
        <v>71.26159439</v>
      </c>
      <c r="H70" s="20" t="n">
        <v>1.64008826</v>
      </c>
      <c r="I70" s="18" t="n">
        <v>0</v>
      </c>
      <c r="J70" s="20" t="n">
        <v>0</v>
      </c>
      <c r="K70" s="18" t="n">
        <v>1.40550066</v>
      </c>
      <c r="L70" s="20" t="n">
        <v>0.47134775</v>
      </c>
      <c r="M70" s="18" t="n">
        <v>0</v>
      </c>
      <c r="N70" s="20" t="n">
        <v>0</v>
      </c>
      <c r="O70" s="18" t="n">
        <v>0</v>
      </c>
      <c r="P70" s="20" t="n">
        <v>0</v>
      </c>
      <c r="Q70" s="18" t="n">
        <v>0.60093107</v>
      </c>
      <c r="R70" s="20" t="n">
        <v>0.3346677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(2752.0/B72*100)</f>
        <v/>
      </c>
      <c r="D72" s="19" t="n">
        <v>355</v>
      </c>
      <c r="E72" s="18" t="n">
        <v>30.96853197</v>
      </c>
      <c r="F72" s="20" t="n">
        <v>3.56641928</v>
      </c>
      <c r="G72" s="18" t="n">
        <v>68.17442884</v>
      </c>
      <c r="H72" s="20" t="n">
        <v>3.55894226</v>
      </c>
      <c r="I72" s="18" t="n">
        <v>0</v>
      </c>
      <c r="J72" s="20" t="n">
        <v>0</v>
      </c>
      <c r="K72" s="18" t="n">
        <v>0</v>
      </c>
      <c r="L72" s="20" t="n">
        <v>0</v>
      </c>
      <c r="M72" s="18" t="n">
        <v>0</v>
      </c>
      <c r="N72" s="20" t="n">
        <v>0</v>
      </c>
      <c r="O72" s="18" t="n">
        <v>0</v>
      </c>
      <c r="P72" s="20" t="n">
        <v>0</v>
      </c>
      <c r="Q72" s="18" t="n">
        <v>0.85703918</v>
      </c>
      <c r="R72" s="20" t="n">
        <v>0.45181778</v>
      </c>
    </row>
    <row r="73" spans="1:18">
      <c r="A73" s="15" t="s">
        <v>633</v>
      </c>
      <c r="B73" s="17" t="n">
        <v>2973</v>
      </c>
      <c r="C73" s="18">
        <f>(2676.0/B73*100)</f>
        <v/>
      </c>
      <c r="D73" s="19" t="n">
        <v>297</v>
      </c>
      <c r="E73" s="18" t="n">
        <v>18.31280722</v>
      </c>
      <c r="F73" s="20" t="n">
        <v>2.36408031</v>
      </c>
      <c r="G73" s="18" t="n">
        <v>81.68719278</v>
      </c>
      <c r="H73" s="20" t="n">
        <v>2.36408031</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(3411.0/B74*100)</f>
        <v/>
      </c>
      <c r="D74" s="19" t="n">
        <v>408</v>
      </c>
      <c r="E74" s="18" t="n">
        <v>25.28688472</v>
      </c>
      <c r="F74" s="20" t="n">
        <v>2.93125261</v>
      </c>
      <c r="G74" s="18" t="n">
        <v>74.40087379000001</v>
      </c>
      <c r="H74" s="20" t="n">
        <v>2.89114171</v>
      </c>
      <c r="I74" s="18" t="n">
        <v>0</v>
      </c>
      <c r="J74" s="20" t="n">
        <v>0</v>
      </c>
      <c r="K74" s="18" t="n">
        <v>0</v>
      </c>
      <c r="L74" s="20" t="n">
        <v>0</v>
      </c>
      <c r="M74" s="18" t="n">
        <v>0</v>
      </c>
      <c r="N74" s="20" t="n">
        <v>0</v>
      </c>
      <c r="O74" s="18" t="n">
        <v>0</v>
      </c>
      <c r="P74" s="20" t="n">
        <v>0</v>
      </c>
      <c r="Q74" s="18" t="n">
        <v>0.31224149</v>
      </c>
      <c r="R74" s="20" t="n">
        <v>0.31094495</v>
      </c>
    </row>
    <row r="75" spans="1:18">
      <c r="A75" s="15" t="s">
        <v>635</v>
      </c>
      <c r="B75" s="17" t="n">
        <v>4652</v>
      </c>
      <c r="C75" s="18">
        <f>(4147.0/B75*100)</f>
        <v/>
      </c>
      <c r="D75" s="19" t="n">
        <v>505</v>
      </c>
      <c r="E75" s="18" t="n">
        <v>39.03815848</v>
      </c>
      <c r="F75" s="20" t="n">
        <v>2.5678042</v>
      </c>
      <c r="G75" s="18" t="n">
        <v>60.14575386</v>
      </c>
      <c r="H75" s="20" t="n">
        <v>2.62941668</v>
      </c>
      <c r="I75" s="18" t="n">
        <v>0</v>
      </c>
      <c r="J75" s="20" t="n">
        <v>0</v>
      </c>
      <c r="K75" s="18" t="n">
        <v>0.26339119</v>
      </c>
      <c r="L75" s="20" t="n">
        <v>0.26403674</v>
      </c>
      <c r="M75" s="18" t="n">
        <v>0</v>
      </c>
      <c r="N75" s="20" t="n">
        <v>0</v>
      </c>
      <c r="O75" s="18" t="n">
        <v>0</v>
      </c>
      <c r="P75" s="20" t="n">
        <v>0</v>
      </c>
      <c r="Q75" s="18" t="n">
        <v>0.55269647</v>
      </c>
      <c r="R75" s="20" t="n">
        <v>0.38213804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(2657.0/B77*100)</f>
        <v/>
      </c>
      <c r="D77" s="19" t="n">
        <v>312</v>
      </c>
      <c r="E77" s="18" t="n">
        <v>36.70688594</v>
      </c>
      <c r="F77" s="20" t="n">
        <v>2.4757446</v>
      </c>
      <c r="G77" s="18" t="n">
        <v>59.52964826</v>
      </c>
      <c r="H77" s="20" t="n">
        <v>2.48527845</v>
      </c>
      <c r="I77" s="18" t="n">
        <v>0</v>
      </c>
      <c r="J77" s="20" t="n">
        <v>0</v>
      </c>
      <c r="K77" s="18" t="n">
        <v>1.68248798</v>
      </c>
      <c r="L77" s="20" t="n">
        <v>0.70139289</v>
      </c>
      <c r="M77" s="18" t="n">
        <v>0</v>
      </c>
      <c r="N77" s="20" t="n">
        <v>0</v>
      </c>
      <c r="O77" s="18" t="n">
        <v>0</v>
      </c>
      <c r="P77" s="20" t="n">
        <v>0</v>
      </c>
      <c r="Q77" s="18" t="n">
        <v>2.08097782</v>
      </c>
      <c r="R77" s="20" t="n">
        <v>0.82265616</v>
      </c>
    </row>
    <row r="78" spans="1:18">
      <c r="A78" s="15" t="s">
        <v>638</v>
      </c>
      <c r="B78" s="17" t="n">
        <v>7115</v>
      </c>
      <c r="C78" s="18">
        <f>(6294.0/B78*100)</f>
        <v/>
      </c>
      <c r="D78" s="19" t="n">
        <v>821</v>
      </c>
      <c r="E78" s="18" t="n">
        <v>27.75240064</v>
      </c>
      <c r="F78" s="20" t="n">
        <v>1.866449</v>
      </c>
      <c r="G78" s="18" t="n">
        <v>70.76048849999999</v>
      </c>
      <c r="H78" s="20" t="n">
        <v>1.79164085</v>
      </c>
      <c r="I78" s="18" t="n">
        <v>0</v>
      </c>
      <c r="J78" s="20" t="n">
        <v>0</v>
      </c>
      <c r="K78" s="18" t="n">
        <v>0.33972664</v>
      </c>
      <c r="L78" s="20" t="n">
        <v>0.19572709</v>
      </c>
      <c r="M78" s="18" t="n">
        <v>0</v>
      </c>
      <c r="N78" s="20" t="n">
        <v>0</v>
      </c>
      <c r="O78" s="18" t="n">
        <v>0</v>
      </c>
      <c r="P78" s="20" t="n">
        <v>0</v>
      </c>
      <c r="Q78" s="18" t="n">
        <v>1.14738422</v>
      </c>
      <c r="R78" s="20" t="n">
        <v>0.44675664</v>
      </c>
    </row>
    <row r="79" spans="1:18">
      <c r="A79" s="15" t="s">
        <v>639</v>
      </c>
      <c r="B79" s="17" t="n">
        <v>3154</v>
      </c>
      <c r="C79" s="18">
        <f>(2809.0/B79*100)</f>
        <v/>
      </c>
      <c r="D79" s="19" t="n">
        <v>345</v>
      </c>
      <c r="E79" s="18" t="n">
        <v>35.4969146</v>
      </c>
      <c r="F79" s="20" t="n">
        <v>3.00281306</v>
      </c>
      <c r="G79" s="18" t="n">
        <v>60.41017614</v>
      </c>
      <c r="H79" s="20" t="n">
        <v>3.0677013</v>
      </c>
      <c r="I79" s="18" t="n">
        <v>0</v>
      </c>
      <c r="J79" s="20" t="n">
        <v>0</v>
      </c>
      <c r="K79" s="18" t="n">
        <v>0.93213167</v>
      </c>
      <c r="L79" s="20" t="n">
        <v>0.50588525</v>
      </c>
      <c r="M79" s="18" t="n">
        <v>0</v>
      </c>
      <c r="N79" s="20" t="n">
        <v>0</v>
      </c>
      <c r="O79" s="18" t="n">
        <v>0</v>
      </c>
      <c r="P79" s="20" t="n">
        <v>0</v>
      </c>
      <c r="Q79" s="18" t="n">
        <v>3.1607776</v>
      </c>
      <c r="R79" s="20" t="n">
        <v>1.15863749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(14226.0/B82*100)</f>
        <v/>
      </c>
      <c r="D82" s="19" t="n">
        <v>1735</v>
      </c>
      <c r="E82" s="18" t="n">
        <v>21.78983423</v>
      </c>
      <c r="F82" s="20" t="n">
        <v>1.70661416</v>
      </c>
      <c r="G82" s="18" t="n">
        <v>77.29641013</v>
      </c>
      <c r="H82" s="20" t="n">
        <v>1.73236493</v>
      </c>
      <c r="I82" s="18" t="n">
        <v>0</v>
      </c>
      <c r="J82" s="20" t="n">
        <v>0</v>
      </c>
      <c r="K82" s="18" t="n">
        <v>0.02462872</v>
      </c>
      <c r="L82" s="20" t="n">
        <v>0.02468253</v>
      </c>
      <c r="M82" s="18" t="n">
        <v>0</v>
      </c>
      <c r="N82" s="20" t="n">
        <v>0</v>
      </c>
      <c r="O82" s="18" t="n">
        <v>0</v>
      </c>
      <c r="P82" s="20" t="n">
        <v>0</v>
      </c>
      <c r="Q82" s="18" t="n">
        <v>0.88912692</v>
      </c>
      <c r="R82" s="20" t="n">
        <v>0.28011598</v>
      </c>
    </row>
    <row r="83" spans="1:18">
      <c r="A83" s="15" t="s">
        <v>643</v>
      </c>
      <c r="B83" s="17" t="n">
        <v>808</v>
      </c>
      <c r="C83" s="18">
        <f>(700.0/B83*100)</f>
        <v/>
      </c>
      <c r="D83" s="19" t="n">
        <v>108</v>
      </c>
      <c r="E83" s="18" t="n">
        <v>24.86814316</v>
      </c>
      <c r="F83" s="20" t="n">
        <v>4.97776723</v>
      </c>
      <c r="G83" s="18" t="n">
        <v>74.13322441</v>
      </c>
      <c r="H83" s="20" t="n">
        <v>5.15372204</v>
      </c>
      <c r="I83" s="18" t="n">
        <v>0</v>
      </c>
      <c r="J83" s="20" t="n">
        <v>0</v>
      </c>
      <c r="K83" s="18" t="n">
        <v>0</v>
      </c>
      <c r="L83" s="20" t="n">
        <v>0</v>
      </c>
      <c r="M83" s="18" t="n">
        <v>0</v>
      </c>
      <c r="N83" s="20" t="n">
        <v>0</v>
      </c>
      <c r="O83" s="18" t="n">
        <v>0</v>
      </c>
      <c r="P83" s="20" t="n">
        <v>0</v>
      </c>
      <c r="Q83" s="18" t="n">
        <v>0.99863243</v>
      </c>
      <c r="R83" s="20" t="n">
        <v>0.94607583</v>
      </c>
    </row>
    <row r="84" spans="1:18">
      <c r="A84" s="23" t="s">
        <v>644</v>
      </c>
      <c r="B84" s="24" t="n">
        <v>938</v>
      </c>
      <c r="C84" s="25">
        <f>(824.0/B84*100)</f>
        <v/>
      </c>
      <c r="D84" s="19" t="n">
        <v>114</v>
      </c>
      <c r="E84" s="18" t="n">
        <v>36.66398665</v>
      </c>
      <c r="F84" s="20" t="n">
        <v>4.71990563</v>
      </c>
      <c r="G84" s="18" t="n">
        <v>62.53909867</v>
      </c>
      <c r="H84" s="20" t="n">
        <v>4.55678549</v>
      </c>
      <c r="I84" s="18" t="n">
        <v>0</v>
      </c>
      <c r="J84" s="20" t="n">
        <v>0</v>
      </c>
      <c r="K84" s="18" t="n">
        <v>0</v>
      </c>
      <c r="L84" s="20" t="n">
        <v>0</v>
      </c>
      <c r="M84" s="18" t="n">
        <v>0</v>
      </c>
      <c r="N84" s="20" t="n">
        <v>0</v>
      </c>
      <c r="O84" s="18" t="n">
        <v>0</v>
      </c>
      <c r="P84" s="20" t="n">
        <v>0</v>
      </c>
      <c r="Q84" s="18" t="n">
        <v>0.79691468</v>
      </c>
      <c r="R84" s="20" t="n">
        <v>0.74976798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(6376.0/B7*100)</f>
        <v/>
      </c>
      <c r="D7" s="19" t="n">
        <v>787</v>
      </c>
      <c r="E7" s="18" t="n">
        <v>27.01954624</v>
      </c>
      <c r="F7" s="20" t="n">
        <v>2.02553919</v>
      </c>
      <c r="G7" s="18" t="n">
        <v>71.13328668</v>
      </c>
      <c r="H7" s="20" t="n">
        <v>2.03025342</v>
      </c>
      <c r="I7" s="18" t="n">
        <v>0</v>
      </c>
      <c r="J7" s="20" t="n">
        <v>0</v>
      </c>
      <c r="K7" s="18" t="n">
        <v>0.03857334</v>
      </c>
      <c r="L7" s="20" t="n">
        <v>0.02874657</v>
      </c>
      <c r="M7" s="18" t="n">
        <v>0</v>
      </c>
      <c r="N7" s="20" t="n">
        <v>0</v>
      </c>
      <c r="O7" s="18" t="n">
        <v>0</v>
      </c>
      <c r="P7" s="20" t="n">
        <v>0</v>
      </c>
      <c r="Q7" s="18" t="n">
        <v>1.80859375</v>
      </c>
      <c r="R7" s="20" t="n">
        <v>0.57971401</v>
      </c>
    </row>
    <row r="8" spans="1:18">
      <c r="A8" s="15" t="s">
        <v>566</v>
      </c>
      <c r="B8" s="17" t="n">
        <v>3443</v>
      </c>
      <c r="C8" s="18">
        <f>(3051.0/B8*100)</f>
        <v/>
      </c>
      <c r="D8" s="19" t="n">
        <v>392</v>
      </c>
      <c r="E8" s="18" t="n">
        <v>23.24405344</v>
      </c>
      <c r="F8" s="20" t="n">
        <v>2.67836871</v>
      </c>
      <c r="G8" s="18" t="n">
        <v>75.83630107</v>
      </c>
      <c r="H8" s="20" t="n">
        <v>2.86265837</v>
      </c>
      <c r="I8" s="18" t="n">
        <v>0</v>
      </c>
      <c r="J8" s="20" t="n">
        <v>0</v>
      </c>
      <c r="K8" s="18" t="n">
        <v>0</v>
      </c>
      <c r="L8" s="20" t="n">
        <v>0</v>
      </c>
      <c r="M8" s="18" t="n">
        <v>0</v>
      </c>
      <c r="N8" s="20" t="n">
        <v>0</v>
      </c>
      <c r="O8" s="18" t="n">
        <v>0</v>
      </c>
      <c r="P8" s="20" t="n">
        <v>0</v>
      </c>
      <c r="Q8" s="18" t="n">
        <v>0.9196455</v>
      </c>
      <c r="R8" s="20" t="n">
        <v>0.50011747</v>
      </c>
    </row>
    <row r="9" spans="1:18">
      <c r="A9" s="15" t="s">
        <v>567</v>
      </c>
      <c r="B9" s="17" t="n">
        <v>4752</v>
      </c>
      <c r="C9" s="18">
        <f>(4156.0/B9*100)</f>
        <v/>
      </c>
      <c r="D9" s="19" t="n">
        <v>596</v>
      </c>
      <c r="E9" s="18" t="n">
        <v>40.0956513</v>
      </c>
      <c r="F9" s="20" t="n">
        <v>1.99298081</v>
      </c>
      <c r="G9" s="18" t="n">
        <v>58.00142111</v>
      </c>
      <c r="H9" s="20" t="n">
        <v>2.15499693</v>
      </c>
      <c r="I9" s="18" t="n">
        <v>0</v>
      </c>
      <c r="J9" s="20" t="n">
        <v>0</v>
      </c>
      <c r="K9" s="18" t="n">
        <v>0.39008758</v>
      </c>
      <c r="L9" s="20" t="n">
        <v>0.21873846</v>
      </c>
      <c r="M9" s="18" t="n">
        <v>0</v>
      </c>
      <c r="N9" s="20" t="n">
        <v>0</v>
      </c>
      <c r="O9" s="18" t="n">
        <v>0</v>
      </c>
      <c r="P9" s="20" t="n">
        <v>0</v>
      </c>
      <c r="Q9" s="18" t="n">
        <v>1.51284001</v>
      </c>
      <c r="R9" s="20" t="n">
        <v>0.3745915</v>
      </c>
    </row>
    <row r="10" spans="1:18">
      <c r="A10" s="15" t="s">
        <v>568</v>
      </c>
      <c r="B10" s="17" t="n">
        <v>10022</v>
      </c>
      <c r="C10" s="18">
        <f>(8944.0/B10*100)</f>
        <v/>
      </c>
      <c r="D10" s="19" t="n">
        <v>1078</v>
      </c>
      <c r="E10" s="18" t="n">
        <v>20.66578403</v>
      </c>
      <c r="F10" s="20" t="n">
        <v>1.6718381</v>
      </c>
      <c r="G10" s="18" t="n">
        <v>78.50435041999999</v>
      </c>
      <c r="H10" s="20" t="n">
        <v>1.6800922</v>
      </c>
      <c r="I10" s="18" t="n">
        <v>0</v>
      </c>
      <c r="J10" s="20" t="n">
        <v>0</v>
      </c>
      <c r="K10" s="18" t="n">
        <v>0.41942711</v>
      </c>
      <c r="L10" s="20" t="n">
        <v>0.29568385</v>
      </c>
      <c r="M10" s="18" t="n">
        <v>0</v>
      </c>
      <c r="N10" s="20" t="n">
        <v>0</v>
      </c>
      <c r="O10" s="18" t="n">
        <v>0</v>
      </c>
      <c r="P10" s="20" t="n">
        <v>0</v>
      </c>
      <c r="Q10" s="18" t="n">
        <v>0.41043843</v>
      </c>
      <c r="R10" s="20" t="n">
        <v>0.31353503</v>
      </c>
    </row>
    <row r="11" spans="1:18">
      <c r="A11" s="15" t="s">
        <v>569</v>
      </c>
      <c r="B11" s="17" t="n">
        <v>3500</v>
      </c>
      <c r="C11" s="18">
        <f>(3115.0/B11*100)</f>
        <v/>
      </c>
      <c r="D11" s="19" t="n">
        <v>385</v>
      </c>
      <c r="E11" s="18" t="n">
        <v>44.12902127</v>
      </c>
      <c r="F11" s="20" t="n">
        <v>2.67143468</v>
      </c>
      <c r="G11" s="18" t="n">
        <v>54.07281941</v>
      </c>
      <c r="H11" s="20" t="n">
        <v>2.64797553</v>
      </c>
      <c r="I11" s="18" t="n">
        <v>0</v>
      </c>
      <c r="J11" s="20" t="n">
        <v>0</v>
      </c>
      <c r="K11" s="18" t="n">
        <v>0.5710565</v>
      </c>
      <c r="L11" s="20" t="n">
        <v>0.32145123</v>
      </c>
      <c r="M11" s="18" t="n">
        <v>0</v>
      </c>
      <c r="N11" s="20" t="n">
        <v>0</v>
      </c>
      <c r="O11" s="18" t="n">
        <v>0</v>
      </c>
      <c r="P11" s="20" t="n">
        <v>0</v>
      </c>
      <c r="Q11" s="18" t="n">
        <v>1.22710282</v>
      </c>
      <c r="R11" s="20" t="n">
        <v>0.71587174</v>
      </c>
    </row>
    <row r="12" spans="1:18">
      <c r="A12" s="15" t="s">
        <v>570</v>
      </c>
      <c r="B12" s="17" t="n">
        <v>3422</v>
      </c>
      <c r="C12" s="18">
        <f>(2998.0/B12*100)</f>
        <v/>
      </c>
      <c r="D12" s="19" t="n">
        <v>424</v>
      </c>
      <c r="E12" s="18" t="n">
        <v>28.19403372</v>
      </c>
      <c r="F12" s="20" t="n">
        <v>2.46403011</v>
      </c>
      <c r="G12" s="18" t="n">
        <v>71.80596628000001</v>
      </c>
      <c r="H12" s="20" t="n">
        <v>2.46403011</v>
      </c>
      <c r="I12" s="18" t="n">
        <v>0</v>
      </c>
      <c r="J12" s="20" t="n">
        <v>0</v>
      </c>
      <c r="K12" s="18" t="n">
        <v>0</v>
      </c>
      <c r="L12" s="20" t="n">
        <v>0</v>
      </c>
      <c r="M12" s="18" t="n">
        <v>0</v>
      </c>
      <c r="N12" s="20" t="n">
        <v>0</v>
      </c>
      <c r="O12" s="18" t="n">
        <v>0</v>
      </c>
      <c r="P12" s="20" t="n">
        <v>0</v>
      </c>
      <c r="Q12" s="18" t="n">
        <v>0</v>
      </c>
      <c r="R12" s="20" t="n">
        <v>0</v>
      </c>
    </row>
    <row r="13" spans="1:18">
      <c r="A13" s="15" t="s">
        <v>571</v>
      </c>
      <c r="B13" s="17" t="n">
        <v>3602</v>
      </c>
      <c r="C13" s="18">
        <f>(3088.0/B13*100)</f>
        <v/>
      </c>
      <c r="D13" s="19" t="n">
        <v>514</v>
      </c>
      <c r="E13" s="18" t="n">
        <v>31.04946585</v>
      </c>
      <c r="F13" s="20" t="n">
        <v>2.26912914</v>
      </c>
      <c r="G13" s="18" t="n">
        <v>66.51571582</v>
      </c>
      <c r="H13" s="20" t="n">
        <v>2.29110999</v>
      </c>
      <c r="I13" s="18" t="n">
        <v>0</v>
      </c>
      <c r="J13" s="20" t="n">
        <v>0</v>
      </c>
      <c r="K13" s="18" t="n">
        <v>0.77176932</v>
      </c>
      <c r="L13" s="20" t="n">
        <v>0.37375</v>
      </c>
      <c r="M13" s="18" t="n">
        <v>0</v>
      </c>
      <c r="N13" s="20" t="n">
        <v>0</v>
      </c>
      <c r="O13" s="18" t="n">
        <v>0</v>
      </c>
      <c r="P13" s="20" t="n">
        <v>0</v>
      </c>
      <c r="Q13" s="18" t="n">
        <v>1.66304902</v>
      </c>
      <c r="R13" s="20" t="n">
        <v>0.69319425</v>
      </c>
    </row>
    <row r="14" spans="1:18">
      <c r="A14" s="15" t="s">
        <v>572</v>
      </c>
      <c r="B14" s="17" t="n">
        <v>2788</v>
      </c>
      <c r="C14" s="18">
        <f>(2490.0/B14*100)</f>
        <v/>
      </c>
      <c r="D14" s="19" t="n">
        <v>298</v>
      </c>
      <c r="E14" s="18" t="n">
        <v>27.57273107</v>
      </c>
      <c r="F14" s="20" t="n">
        <v>2.80673207</v>
      </c>
      <c r="G14" s="18" t="n">
        <v>72.42726893</v>
      </c>
      <c r="H14" s="20" t="n">
        <v>2.80673207</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(2532.0/B15*100)</f>
        <v/>
      </c>
      <c r="D15" s="19" t="n">
        <v>331</v>
      </c>
      <c r="E15" s="18" t="n">
        <v>17.12121905</v>
      </c>
      <c r="F15" s="20" t="n">
        <v>2.34232276</v>
      </c>
      <c r="G15" s="18" t="n">
        <v>81.39719509</v>
      </c>
      <c r="H15" s="20" t="n">
        <v>2.58179505</v>
      </c>
      <c r="I15" s="18" t="n">
        <v>0</v>
      </c>
      <c r="J15" s="20" t="n">
        <v>0</v>
      </c>
      <c r="K15" s="18" t="n">
        <v>0.63085105</v>
      </c>
      <c r="L15" s="20" t="n">
        <v>0.65923565</v>
      </c>
      <c r="M15" s="18" t="n">
        <v>0</v>
      </c>
      <c r="N15" s="20" t="n">
        <v>0</v>
      </c>
      <c r="O15" s="18" t="n">
        <v>0</v>
      </c>
      <c r="P15" s="20" t="n">
        <v>0</v>
      </c>
      <c r="Q15" s="18" t="n">
        <v>0.85073481</v>
      </c>
      <c r="R15" s="20" t="n">
        <v>0.4841351</v>
      </c>
    </row>
    <row r="16" spans="1:18">
      <c r="A16" s="15" t="s">
        <v>574</v>
      </c>
      <c r="B16" s="17" t="n">
        <v>3111</v>
      </c>
      <c r="C16" s="18">
        <f>(2792.0/B16*100)</f>
        <v/>
      </c>
      <c r="D16" s="19" t="n">
        <v>319</v>
      </c>
      <c r="E16" s="18" t="n">
        <v>35.21303933</v>
      </c>
      <c r="F16" s="20" t="n">
        <v>3.13569002</v>
      </c>
      <c r="G16" s="18" t="n">
        <v>63.98287608</v>
      </c>
      <c r="H16" s="20" t="n">
        <v>2.90077214</v>
      </c>
      <c r="I16" s="18" t="n">
        <v>0</v>
      </c>
      <c r="J16" s="20" t="n">
        <v>0</v>
      </c>
      <c r="K16" s="18" t="n">
        <v>0.27245486</v>
      </c>
      <c r="L16" s="20" t="n">
        <v>0.27757293</v>
      </c>
      <c r="M16" s="18" t="n">
        <v>0</v>
      </c>
      <c r="N16" s="20" t="n">
        <v>0</v>
      </c>
      <c r="O16" s="18" t="n">
        <v>0</v>
      </c>
      <c r="P16" s="20" t="n">
        <v>0</v>
      </c>
      <c r="Q16" s="18" t="n">
        <v>0.53162972</v>
      </c>
      <c r="R16" s="20" t="n">
        <v>0.64975535</v>
      </c>
    </row>
    <row r="17" spans="1:18">
      <c r="A17" s="15" t="s">
        <v>575</v>
      </c>
      <c r="B17" s="17" t="n">
        <v>3197</v>
      </c>
      <c r="C17" s="18">
        <f>(2774.0/B17*100)</f>
        <v/>
      </c>
      <c r="D17" s="19" t="n">
        <v>423</v>
      </c>
      <c r="E17" s="18" t="n">
        <v>22.79104942</v>
      </c>
      <c r="F17" s="20" t="n">
        <v>2.24348439</v>
      </c>
      <c r="G17" s="18" t="n">
        <v>75.88811025</v>
      </c>
      <c r="H17" s="20" t="n">
        <v>2.32847403</v>
      </c>
      <c r="I17" s="18" t="n">
        <v>0</v>
      </c>
      <c r="J17" s="20" t="n">
        <v>0</v>
      </c>
      <c r="K17" s="18" t="n">
        <v>0.60372636</v>
      </c>
      <c r="L17" s="20" t="n">
        <v>0.38241592</v>
      </c>
      <c r="M17" s="18" t="n">
        <v>0</v>
      </c>
      <c r="N17" s="20" t="n">
        <v>0</v>
      </c>
      <c r="O17" s="18" t="n">
        <v>0</v>
      </c>
      <c r="P17" s="20" t="n">
        <v>0</v>
      </c>
      <c r="Q17" s="18" t="n">
        <v>0.71711397</v>
      </c>
      <c r="R17" s="20" t="n">
        <v>0.40691704</v>
      </c>
    </row>
    <row r="18" spans="1:18">
      <c r="A18" s="15" t="s">
        <v>576</v>
      </c>
      <c r="B18" s="17" t="n">
        <v>2706</v>
      </c>
      <c r="C18" s="18">
        <f>(2424.0/B18*100)</f>
        <v/>
      </c>
      <c r="D18" s="19" t="n">
        <v>282</v>
      </c>
      <c r="E18" s="18" t="n">
        <v>58.57065676</v>
      </c>
      <c r="F18" s="20" t="n">
        <v>3.21393039</v>
      </c>
      <c r="G18" s="18" t="n">
        <v>38.42968754</v>
      </c>
      <c r="H18" s="20" t="n">
        <v>2.9429268</v>
      </c>
      <c r="I18" s="18" t="n">
        <v>0</v>
      </c>
      <c r="J18" s="20" t="n">
        <v>0</v>
      </c>
      <c r="K18" s="18" t="n">
        <v>0.29345298</v>
      </c>
      <c r="L18" s="20" t="n">
        <v>0.29015193</v>
      </c>
      <c r="M18" s="18" t="n">
        <v>0</v>
      </c>
      <c r="N18" s="20" t="n">
        <v>0</v>
      </c>
      <c r="O18" s="18" t="n">
        <v>0</v>
      </c>
      <c r="P18" s="20" t="n">
        <v>0</v>
      </c>
      <c r="Q18" s="18" t="n">
        <v>2.70620272</v>
      </c>
      <c r="R18" s="20" t="n">
        <v>1.24424176</v>
      </c>
    </row>
    <row r="19" spans="1:18">
      <c r="A19" s="15" t="s">
        <v>577</v>
      </c>
      <c r="B19" s="17" t="n">
        <v>2850</v>
      </c>
      <c r="C19" s="18">
        <f>(2532.0/B19*100)</f>
        <v/>
      </c>
      <c r="D19" s="19" t="n">
        <v>318</v>
      </c>
      <c r="E19" s="18" t="n">
        <v>68.37583801</v>
      </c>
      <c r="F19" s="20" t="n">
        <v>2.96712694</v>
      </c>
      <c r="G19" s="18" t="n">
        <v>31.39183512</v>
      </c>
      <c r="H19" s="20" t="n">
        <v>2.98862231</v>
      </c>
      <c r="I19" s="18" t="n">
        <v>0</v>
      </c>
      <c r="J19" s="20" t="n">
        <v>0</v>
      </c>
      <c r="K19" s="18" t="n">
        <v>0</v>
      </c>
      <c r="L19" s="20" t="n">
        <v>0</v>
      </c>
      <c r="M19" s="18" t="n">
        <v>0</v>
      </c>
      <c r="N19" s="20" t="n">
        <v>0</v>
      </c>
      <c r="O19" s="18" t="n">
        <v>0</v>
      </c>
      <c r="P19" s="20" t="n">
        <v>0</v>
      </c>
      <c r="Q19" s="18" t="n">
        <v>0.23232687</v>
      </c>
      <c r="R19" s="20" t="n">
        <v>0.23321276</v>
      </c>
    </row>
    <row r="20" spans="1:18">
      <c r="A20" s="15" t="s">
        <v>578</v>
      </c>
      <c r="B20" s="17" t="n">
        <v>1741</v>
      </c>
      <c r="C20" s="18">
        <f>(1555.0/B20*100)</f>
        <v/>
      </c>
      <c r="D20" s="19" t="n">
        <v>186</v>
      </c>
      <c r="E20" s="18" t="n">
        <v>32.00876106</v>
      </c>
      <c r="F20" s="20" t="n">
        <v>3.70138953</v>
      </c>
      <c r="G20" s="18" t="n">
        <v>65.91145815</v>
      </c>
      <c r="H20" s="20" t="n">
        <v>3.61993319</v>
      </c>
      <c r="I20" s="18" t="n">
        <v>0</v>
      </c>
      <c r="J20" s="20" t="n">
        <v>0</v>
      </c>
      <c r="K20" s="18" t="n">
        <v>0.6228449700000001</v>
      </c>
      <c r="L20" s="20" t="n">
        <v>0.60654285</v>
      </c>
      <c r="M20" s="18" t="n">
        <v>0</v>
      </c>
      <c r="N20" s="20" t="n">
        <v>0</v>
      </c>
      <c r="O20" s="18" t="n">
        <v>0</v>
      </c>
      <c r="P20" s="20" t="n">
        <v>0</v>
      </c>
      <c r="Q20" s="18" t="n">
        <v>1.45693583</v>
      </c>
      <c r="R20" s="20" t="n">
        <v>1.03531075</v>
      </c>
    </row>
    <row r="21" spans="1:18">
      <c r="A21" s="15" t="s">
        <v>579</v>
      </c>
      <c r="B21" s="17" t="n">
        <v>2833</v>
      </c>
      <c r="C21" s="18">
        <f>(2516.0/B21*100)</f>
        <v/>
      </c>
      <c r="D21" s="19" t="n">
        <v>317</v>
      </c>
      <c r="E21" s="18" t="n">
        <v>20.57105797</v>
      </c>
      <c r="F21" s="20" t="n">
        <v>2.31580043</v>
      </c>
      <c r="G21" s="18" t="n">
        <v>79.42894203</v>
      </c>
      <c r="H21" s="20" t="n">
        <v>2.31580043</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(3236.0/B22*100)</f>
        <v/>
      </c>
      <c r="D22" s="19" t="n">
        <v>431</v>
      </c>
      <c r="E22" s="18" t="n">
        <v>54.06434875</v>
      </c>
      <c r="F22" s="20" t="n">
        <v>2.3452758</v>
      </c>
      <c r="G22" s="18" t="n">
        <v>42.34850086</v>
      </c>
      <c r="H22" s="20" t="n">
        <v>2.39074279</v>
      </c>
      <c r="I22" s="18" t="n">
        <v>0</v>
      </c>
      <c r="J22" s="20" t="n">
        <v>0</v>
      </c>
      <c r="K22" s="18" t="n">
        <v>0.90353747</v>
      </c>
      <c r="L22" s="20" t="n">
        <v>0.57441541</v>
      </c>
      <c r="M22" s="18" t="n">
        <v>0</v>
      </c>
      <c r="N22" s="20" t="n">
        <v>0</v>
      </c>
      <c r="O22" s="18" t="n">
        <v>0</v>
      </c>
      <c r="P22" s="20" t="n">
        <v>0</v>
      </c>
      <c r="Q22" s="18" t="n">
        <v>2.68361293</v>
      </c>
      <c r="R22" s="20" t="n">
        <v>0.76061007</v>
      </c>
    </row>
    <row r="23" spans="1:18">
      <c r="A23" s="15" t="s">
        <v>581</v>
      </c>
      <c r="B23" s="17" t="n">
        <v>5792</v>
      </c>
      <c r="C23" s="18">
        <f>(5159.0/B23*100)</f>
        <v/>
      </c>
      <c r="D23" s="19" t="n">
        <v>633</v>
      </c>
      <c r="E23" s="18" t="n">
        <v>27.1788711</v>
      </c>
      <c r="F23" s="20" t="n">
        <v>2.45829381</v>
      </c>
      <c r="G23" s="18" t="n">
        <v>72.04965178</v>
      </c>
      <c r="H23" s="20" t="n">
        <v>2.49253328</v>
      </c>
      <c r="I23" s="18" t="n">
        <v>0</v>
      </c>
      <c r="J23" s="20" t="n">
        <v>0</v>
      </c>
      <c r="K23" s="18" t="n">
        <v>0</v>
      </c>
      <c r="L23" s="20" t="n">
        <v>0</v>
      </c>
      <c r="M23" s="18" t="n">
        <v>0</v>
      </c>
      <c r="N23" s="20" t="n">
        <v>0</v>
      </c>
      <c r="O23" s="18" t="n">
        <v>0</v>
      </c>
      <c r="P23" s="20" t="n">
        <v>0</v>
      </c>
      <c r="Q23" s="18" t="n">
        <v>0.77147712</v>
      </c>
      <c r="R23" s="20" t="n">
        <v>0.50477063</v>
      </c>
    </row>
    <row r="24" spans="1:18">
      <c r="A24" s="15" t="s">
        <v>582</v>
      </c>
      <c r="B24" s="17" t="n">
        <v>3309</v>
      </c>
      <c r="C24" s="18">
        <f>(2925.0/B24*100)</f>
        <v/>
      </c>
      <c r="D24" s="19" t="n">
        <v>384</v>
      </c>
      <c r="E24" s="18" t="n">
        <v>29.92417166</v>
      </c>
      <c r="F24" s="20" t="n">
        <v>2.356855</v>
      </c>
      <c r="G24" s="18" t="n">
        <v>68.46985803</v>
      </c>
      <c r="H24" s="20" t="n">
        <v>2.57320972</v>
      </c>
      <c r="I24" s="18" t="n">
        <v>0</v>
      </c>
      <c r="J24" s="20" t="n">
        <v>0</v>
      </c>
      <c r="K24" s="18" t="n">
        <v>0.23562327</v>
      </c>
      <c r="L24" s="20" t="n">
        <v>0.23424939</v>
      </c>
      <c r="M24" s="18" t="n">
        <v>0</v>
      </c>
      <c r="N24" s="20" t="n">
        <v>0</v>
      </c>
      <c r="O24" s="18" t="n">
        <v>0</v>
      </c>
      <c r="P24" s="20" t="n">
        <v>0</v>
      </c>
      <c r="Q24" s="18" t="n">
        <v>1.37034704</v>
      </c>
      <c r="R24" s="20" t="n">
        <v>0.61330112</v>
      </c>
    </row>
    <row r="25" spans="1:18">
      <c r="A25" s="15" t="s">
        <v>583</v>
      </c>
      <c r="B25" s="17" t="n">
        <v>2669</v>
      </c>
      <c r="C25" s="18">
        <f>(2381.0/B25*100)</f>
        <v/>
      </c>
      <c r="D25" s="19" t="n">
        <v>288</v>
      </c>
      <c r="E25" s="18" t="n">
        <v>24.47157196</v>
      </c>
      <c r="F25" s="20" t="n">
        <v>2.55193095</v>
      </c>
      <c r="G25" s="18" t="n">
        <v>74.61592433</v>
      </c>
      <c r="H25" s="20" t="n">
        <v>2.46704061</v>
      </c>
      <c r="I25" s="18" t="n">
        <v>0</v>
      </c>
      <c r="J25" s="20" t="n">
        <v>0</v>
      </c>
      <c r="K25" s="18" t="n">
        <v>0.30372124</v>
      </c>
      <c r="L25" s="20" t="n">
        <v>0.30159766</v>
      </c>
      <c r="M25" s="18" t="n">
        <v>0</v>
      </c>
      <c r="N25" s="20" t="n">
        <v>0</v>
      </c>
      <c r="O25" s="18" t="n">
        <v>0</v>
      </c>
      <c r="P25" s="20" t="n">
        <v>0</v>
      </c>
      <c r="Q25" s="18" t="n">
        <v>0.60878247</v>
      </c>
      <c r="R25" s="20" t="n">
        <v>0.39320809</v>
      </c>
    </row>
    <row r="26" spans="1:18">
      <c r="A26" s="15" t="s">
        <v>584</v>
      </c>
      <c r="B26" s="17" t="n">
        <v>2419</v>
      </c>
      <c r="C26" s="18">
        <f>(2147.0/B26*100)</f>
        <v/>
      </c>
      <c r="D26" s="19" t="n">
        <v>272</v>
      </c>
      <c r="E26" s="18" t="n">
        <v>55.08850165</v>
      </c>
      <c r="F26" s="20" t="n">
        <v>3.40246629</v>
      </c>
      <c r="G26" s="18" t="n">
        <v>43.70585546</v>
      </c>
      <c r="H26" s="20" t="n">
        <v>3.44127178</v>
      </c>
      <c r="I26" s="18" t="n">
        <v>0</v>
      </c>
      <c r="J26" s="20" t="n">
        <v>0</v>
      </c>
      <c r="K26" s="18" t="n">
        <v>0</v>
      </c>
      <c r="L26" s="20" t="n">
        <v>0</v>
      </c>
      <c r="M26" s="18" t="n">
        <v>0</v>
      </c>
      <c r="N26" s="20" t="n">
        <v>0</v>
      </c>
      <c r="O26" s="18" t="n">
        <v>0</v>
      </c>
      <c r="P26" s="20" t="n">
        <v>0</v>
      </c>
      <c r="Q26" s="18" t="n">
        <v>1.20564289</v>
      </c>
      <c r="R26" s="20" t="n">
        <v>0.49035029</v>
      </c>
    </row>
    <row r="27" spans="1:18">
      <c r="A27" s="15" t="s">
        <v>585</v>
      </c>
      <c r="B27" s="17" t="n">
        <v>2683</v>
      </c>
      <c r="C27" s="18">
        <f>(2378.0/B27*100)</f>
        <v/>
      </c>
      <c r="D27" s="19" t="n">
        <v>305</v>
      </c>
      <c r="E27" s="18" t="n">
        <v>23.39602367</v>
      </c>
      <c r="F27" s="20" t="n">
        <v>2.45246511</v>
      </c>
      <c r="G27" s="18" t="n">
        <v>76.26905841</v>
      </c>
      <c r="H27" s="20" t="n">
        <v>2.4599988</v>
      </c>
      <c r="I27" s="18" t="n">
        <v>0</v>
      </c>
      <c r="J27" s="20" t="n">
        <v>0</v>
      </c>
      <c r="K27" s="18" t="n">
        <v>0</v>
      </c>
      <c r="L27" s="20" t="n">
        <v>0</v>
      </c>
      <c r="M27" s="18" t="n">
        <v>0</v>
      </c>
      <c r="N27" s="20" t="n">
        <v>0</v>
      </c>
      <c r="O27" s="18" t="n">
        <v>0</v>
      </c>
      <c r="P27" s="20" t="n">
        <v>0</v>
      </c>
      <c r="Q27" s="18" t="n">
        <v>0.33491793</v>
      </c>
      <c r="R27" s="20" t="n">
        <v>0.33582641</v>
      </c>
    </row>
    <row r="28" spans="1:18">
      <c r="A28" s="15" t="s">
        <v>586</v>
      </c>
      <c r="B28" s="17" t="n">
        <v>3803</v>
      </c>
      <c r="C28" s="18">
        <f>(3420.0/B28*100)</f>
        <v/>
      </c>
      <c r="D28" s="19" t="n">
        <v>383</v>
      </c>
      <c r="E28" s="18" t="n">
        <v>61.31369906</v>
      </c>
      <c r="F28" s="20" t="n">
        <v>3.02927175</v>
      </c>
      <c r="G28" s="18" t="n">
        <v>37.47412345</v>
      </c>
      <c r="H28" s="20" t="n">
        <v>3.00390302</v>
      </c>
      <c r="I28" s="18" t="n">
        <v>0</v>
      </c>
      <c r="J28" s="20" t="n">
        <v>0</v>
      </c>
      <c r="K28" s="18" t="n">
        <v>0.56450996</v>
      </c>
      <c r="L28" s="20" t="n">
        <v>0.40117285</v>
      </c>
      <c r="M28" s="18" t="n">
        <v>0</v>
      </c>
      <c r="N28" s="20" t="n">
        <v>0</v>
      </c>
      <c r="O28" s="18" t="n">
        <v>0</v>
      </c>
      <c r="P28" s="20" t="n">
        <v>0</v>
      </c>
      <c r="Q28" s="18" t="n">
        <v>0.64766753</v>
      </c>
      <c r="R28" s="20" t="n">
        <v>0.39018692</v>
      </c>
    </row>
    <row r="29" spans="1:18">
      <c r="A29" s="15" t="s">
        <v>587</v>
      </c>
      <c r="B29" s="17" t="n">
        <v>2700</v>
      </c>
      <c r="C29" s="18">
        <f>(2333.0/B29*100)</f>
        <v/>
      </c>
      <c r="D29" s="19" t="n">
        <v>367</v>
      </c>
      <c r="E29" s="18" t="n">
        <v>16.9214709</v>
      </c>
      <c r="F29" s="20" t="n">
        <v>2.03707007</v>
      </c>
      <c r="G29" s="18" t="n">
        <v>81.50088629</v>
      </c>
      <c r="H29" s="20" t="n">
        <v>2.05709389</v>
      </c>
      <c r="I29" s="18" t="n">
        <v>0</v>
      </c>
      <c r="J29" s="20" t="n">
        <v>0</v>
      </c>
      <c r="K29" s="18" t="n">
        <v>0.28379265</v>
      </c>
      <c r="L29" s="20" t="n">
        <v>0.2821812</v>
      </c>
      <c r="M29" s="18" t="n">
        <v>0</v>
      </c>
      <c r="N29" s="20" t="n">
        <v>0</v>
      </c>
      <c r="O29" s="18" t="n">
        <v>0</v>
      </c>
      <c r="P29" s="20" t="n">
        <v>0</v>
      </c>
      <c r="Q29" s="18" t="n">
        <v>1.29385016</v>
      </c>
      <c r="R29" s="20" t="n">
        <v>0.66464273</v>
      </c>
    </row>
    <row r="30" spans="1:18">
      <c r="A30" s="15" t="s">
        <v>588</v>
      </c>
      <c r="B30" s="17" t="n">
        <v>2257</v>
      </c>
      <c r="C30" s="18">
        <f>(2023.0/B30*100)</f>
        <v/>
      </c>
      <c r="D30" s="19" t="n">
        <v>234</v>
      </c>
      <c r="E30" s="18" t="n">
        <v>28.86302658</v>
      </c>
      <c r="F30" s="20" t="n">
        <v>2.45958235</v>
      </c>
      <c r="G30" s="18" t="n">
        <v>69.66729174</v>
      </c>
      <c r="H30" s="20" t="n">
        <v>2.63659122</v>
      </c>
      <c r="I30" s="18" t="n">
        <v>0</v>
      </c>
      <c r="J30" s="20" t="n">
        <v>0</v>
      </c>
      <c r="K30" s="18" t="n">
        <v>0</v>
      </c>
      <c r="L30" s="20" t="n">
        <v>0</v>
      </c>
      <c r="M30" s="18" t="n">
        <v>0</v>
      </c>
      <c r="N30" s="20" t="n">
        <v>0</v>
      </c>
      <c r="O30" s="18" t="n">
        <v>0</v>
      </c>
      <c r="P30" s="20" t="n">
        <v>0</v>
      </c>
      <c r="Q30" s="18" t="n">
        <v>1.46968167</v>
      </c>
      <c r="R30" s="20" t="n">
        <v>0.86915049</v>
      </c>
    </row>
    <row r="31" spans="1:18">
      <c r="A31" s="15" t="s">
        <v>589</v>
      </c>
      <c r="B31" s="17" t="n">
        <v>2706</v>
      </c>
      <c r="C31" s="18">
        <f>(2407.0/B31*100)</f>
        <v/>
      </c>
      <c r="D31" s="19" t="n">
        <v>299</v>
      </c>
      <c r="E31" s="18" t="n">
        <v>30.77467329</v>
      </c>
      <c r="F31" s="20" t="n">
        <v>2.2769566</v>
      </c>
      <c r="G31" s="18" t="n">
        <v>67.20744529</v>
      </c>
      <c r="H31" s="20" t="n">
        <v>2.34951876</v>
      </c>
      <c r="I31" s="18" t="n">
        <v>0</v>
      </c>
      <c r="J31" s="20" t="n">
        <v>0</v>
      </c>
      <c r="K31" s="18" t="n">
        <v>0.64656788</v>
      </c>
      <c r="L31" s="20" t="n">
        <v>0.4563776</v>
      </c>
      <c r="M31" s="18" t="n">
        <v>0</v>
      </c>
      <c r="N31" s="20" t="n">
        <v>0</v>
      </c>
      <c r="O31" s="18" t="n">
        <v>0</v>
      </c>
      <c r="P31" s="20" t="n">
        <v>0</v>
      </c>
      <c r="Q31" s="18" t="n">
        <v>1.37131353</v>
      </c>
      <c r="R31" s="20" t="n">
        <v>0.68049671</v>
      </c>
    </row>
    <row r="32" spans="1:18">
      <c r="A32" s="15" t="s">
        <v>590</v>
      </c>
      <c r="B32" s="17" t="n">
        <v>2209</v>
      </c>
      <c r="C32" s="18">
        <f>(1960.0/B32*100)</f>
        <v/>
      </c>
      <c r="D32" s="19" t="n">
        <v>249</v>
      </c>
      <c r="E32" s="18" t="n">
        <v>20.51430423</v>
      </c>
      <c r="F32" s="20" t="n">
        <v>2.7881949</v>
      </c>
      <c r="G32" s="18" t="n">
        <v>77.94257852</v>
      </c>
      <c r="H32" s="20" t="n">
        <v>2.89599795</v>
      </c>
      <c r="I32" s="18" t="n">
        <v>0</v>
      </c>
      <c r="J32" s="20" t="n">
        <v>0</v>
      </c>
      <c r="K32" s="18" t="n">
        <v>0.32957884</v>
      </c>
      <c r="L32" s="20" t="n">
        <v>0.33166898</v>
      </c>
      <c r="M32" s="18" t="n">
        <v>0</v>
      </c>
      <c r="N32" s="20" t="n">
        <v>0</v>
      </c>
      <c r="O32" s="18" t="n">
        <v>0</v>
      </c>
      <c r="P32" s="20" t="n">
        <v>0</v>
      </c>
      <c r="Q32" s="18" t="n">
        <v>1.21353841</v>
      </c>
      <c r="R32" s="20" t="n">
        <v>0.68673174</v>
      </c>
    </row>
    <row r="33" spans="1:18">
      <c r="A33" s="15" t="s">
        <v>591</v>
      </c>
      <c r="B33" s="17" t="n">
        <v>3651</v>
      </c>
      <c r="C33" s="18">
        <f>(3250.0/B33*100)</f>
        <v/>
      </c>
      <c r="D33" s="19" t="n">
        <v>401</v>
      </c>
      <c r="E33" s="18" t="n">
        <v>27.5862087</v>
      </c>
      <c r="F33" s="20" t="n">
        <v>2.62656991</v>
      </c>
      <c r="G33" s="18" t="n">
        <v>72.02670679000001</v>
      </c>
      <c r="H33" s="20" t="n">
        <v>2.54809177</v>
      </c>
      <c r="I33" s="18" t="n">
        <v>0</v>
      </c>
      <c r="J33" s="20" t="n">
        <v>0</v>
      </c>
      <c r="K33" s="18" t="n">
        <v>0.32521234</v>
      </c>
      <c r="L33" s="20" t="n">
        <v>0.36318395</v>
      </c>
      <c r="M33" s="18" t="n">
        <v>0</v>
      </c>
      <c r="N33" s="20" t="n">
        <v>0</v>
      </c>
      <c r="O33" s="18" t="n">
        <v>0</v>
      </c>
      <c r="P33" s="20" t="n">
        <v>0</v>
      </c>
      <c r="Q33" s="18" t="n">
        <v>0.06187218</v>
      </c>
      <c r="R33" s="20" t="n">
        <v>0.06224615</v>
      </c>
    </row>
    <row r="34" spans="1:18">
      <c r="A34" s="15" t="s">
        <v>592</v>
      </c>
      <c r="B34" s="17" t="n">
        <v>3035</v>
      </c>
      <c r="C34" s="18">
        <f>(2651.0/B34*100)</f>
        <v/>
      </c>
      <c r="D34" s="19" t="n">
        <v>384</v>
      </c>
      <c r="E34" s="18" t="n">
        <v>44.2683368</v>
      </c>
      <c r="F34" s="20" t="n">
        <v>2.89839267</v>
      </c>
      <c r="G34" s="18" t="n">
        <v>55.0871496</v>
      </c>
      <c r="H34" s="20" t="n">
        <v>2.93097798</v>
      </c>
      <c r="I34" s="18" t="n">
        <v>0</v>
      </c>
      <c r="J34" s="20" t="n">
        <v>0</v>
      </c>
      <c r="K34" s="18" t="n">
        <v>0</v>
      </c>
      <c r="L34" s="20" t="n">
        <v>0</v>
      </c>
      <c r="M34" s="18" t="n">
        <v>0</v>
      </c>
      <c r="N34" s="20" t="n">
        <v>0</v>
      </c>
      <c r="O34" s="18" t="n">
        <v>0</v>
      </c>
      <c r="P34" s="20" t="n">
        <v>0</v>
      </c>
      <c r="Q34" s="18" t="n">
        <v>0.6445136</v>
      </c>
      <c r="R34" s="20" t="n">
        <v>0.38474309</v>
      </c>
    </row>
    <row r="35" spans="1:18">
      <c r="A35" s="15" t="s">
        <v>593</v>
      </c>
      <c r="B35" s="17" t="n">
        <v>2901</v>
      </c>
      <c r="C35" s="18">
        <f>(2552.0/B35*100)</f>
        <v/>
      </c>
      <c r="D35" s="19" t="n">
        <v>349</v>
      </c>
      <c r="E35" s="18" t="n">
        <v>31.14594327</v>
      </c>
      <c r="F35" s="20" t="n">
        <v>3.07960311</v>
      </c>
      <c r="G35" s="18" t="n">
        <v>68.46776967</v>
      </c>
      <c r="H35" s="20" t="n">
        <v>3.08003547</v>
      </c>
      <c r="I35" s="18" t="n">
        <v>0</v>
      </c>
      <c r="J35" s="20" t="n">
        <v>0</v>
      </c>
      <c r="K35" s="18" t="n">
        <v>0</v>
      </c>
      <c r="L35" s="20" t="n">
        <v>0</v>
      </c>
      <c r="M35" s="18" t="n">
        <v>0</v>
      </c>
      <c r="N35" s="20" t="n">
        <v>0</v>
      </c>
      <c r="O35" s="18" t="n">
        <v>0</v>
      </c>
      <c r="P35" s="20" t="n">
        <v>0</v>
      </c>
      <c r="Q35" s="18" t="n">
        <v>0.38628706</v>
      </c>
      <c r="R35" s="20" t="n">
        <v>0.2267854</v>
      </c>
    </row>
    <row r="36" spans="1:18">
      <c r="A36" s="15" t="s">
        <v>594</v>
      </c>
      <c r="B36" s="17" t="n">
        <v>3404</v>
      </c>
      <c r="C36" s="18">
        <f>(3051.0/B36*100)</f>
        <v/>
      </c>
      <c r="D36" s="19" t="n">
        <v>353</v>
      </c>
      <c r="E36" s="18" t="n">
        <v>25.52319623</v>
      </c>
      <c r="F36" s="20" t="n">
        <v>2.33720907</v>
      </c>
      <c r="G36" s="18" t="n">
        <v>74.19435494</v>
      </c>
      <c r="H36" s="20" t="n">
        <v>2.30146414</v>
      </c>
      <c r="I36" s="18" t="n">
        <v>0</v>
      </c>
      <c r="J36" s="20" t="n">
        <v>0</v>
      </c>
      <c r="K36" s="18" t="n">
        <v>0</v>
      </c>
      <c r="L36" s="20" t="n">
        <v>0</v>
      </c>
      <c r="M36" s="18" t="n">
        <v>0</v>
      </c>
      <c r="N36" s="20" t="n">
        <v>0</v>
      </c>
      <c r="O36" s="18" t="n">
        <v>0</v>
      </c>
      <c r="P36" s="20" t="n">
        <v>0</v>
      </c>
      <c r="Q36" s="18" t="n">
        <v>0.28244883</v>
      </c>
      <c r="R36" s="20" t="n">
        <v>0.28731097</v>
      </c>
    </row>
    <row r="37" spans="1:18">
      <c r="A37" s="15" t="s">
        <v>595</v>
      </c>
      <c r="B37" s="17" t="n">
        <v>2731</v>
      </c>
      <c r="C37" s="18">
        <f>(2442.0/B37*100)</f>
        <v/>
      </c>
      <c r="D37" s="19" t="n">
        <v>289</v>
      </c>
      <c r="E37" s="18" t="n">
        <v>25.13016926</v>
      </c>
      <c r="F37" s="20" t="n">
        <v>2.71087446</v>
      </c>
      <c r="G37" s="18" t="n">
        <v>72.86687504</v>
      </c>
      <c r="H37" s="20" t="n">
        <v>2.6959191</v>
      </c>
      <c r="I37" s="18" t="n">
        <v>0</v>
      </c>
      <c r="J37" s="20" t="n">
        <v>0</v>
      </c>
      <c r="K37" s="18" t="n">
        <v>0.39505173</v>
      </c>
      <c r="L37" s="20" t="n">
        <v>0.39240474</v>
      </c>
      <c r="M37" s="18" t="n">
        <v>0</v>
      </c>
      <c r="N37" s="20" t="n">
        <v>0</v>
      </c>
      <c r="O37" s="18" t="n">
        <v>0</v>
      </c>
      <c r="P37" s="20" t="n">
        <v>0</v>
      </c>
      <c r="Q37" s="18" t="n">
        <v>1.60790397</v>
      </c>
      <c r="R37" s="20" t="n">
        <v>0.69378874</v>
      </c>
    </row>
    <row r="38" spans="1:18">
      <c r="A38" s="15" t="s">
        <v>596</v>
      </c>
      <c r="B38" s="17" t="n">
        <v>2807</v>
      </c>
      <c r="C38" s="18">
        <f>(2503.0/B38*100)</f>
        <v/>
      </c>
      <c r="D38" s="19" t="n">
        <v>304</v>
      </c>
      <c r="E38" s="18" t="n">
        <v>21.04395312</v>
      </c>
      <c r="F38" s="20" t="n">
        <v>2.4960142</v>
      </c>
      <c r="G38" s="18" t="n">
        <v>78.95604688</v>
      </c>
      <c r="H38" s="20" t="n">
        <v>2.4960142</v>
      </c>
      <c r="I38" s="18" t="n">
        <v>0</v>
      </c>
      <c r="J38" s="20" t="n">
        <v>0</v>
      </c>
      <c r="K38" s="18" t="n">
        <v>0</v>
      </c>
      <c r="L38" s="20" t="n">
        <v>0</v>
      </c>
      <c r="M38" s="18" t="n">
        <v>0</v>
      </c>
      <c r="N38" s="20" t="n">
        <v>0</v>
      </c>
      <c r="O38" s="18" t="n">
        <v>0</v>
      </c>
      <c r="P38" s="20" t="n">
        <v>0</v>
      </c>
      <c r="Q38" s="18" t="n">
        <v>0</v>
      </c>
      <c r="R38" s="20" t="n">
        <v>0</v>
      </c>
    </row>
    <row r="39" spans="1:18">
      <c r="A39" s="15" t="s">
        <v>597</v>
      </c>
      <c r="B39" s="17" t="n">
        <v>2938</v>
      </c>
      <c r="C39" s="18">
        <f>(2591.0/B39*100)</f>
        <v/>
      </c>
      <c r="D39" s="19" t="n">
        <v>347</v>
      </c>
      <c r="E39" s="18" t="n">
        <v>27.98040328</v>
      </c>
      <c r="F39" s="20" t="n">
        <v>2.35466228</v>
      </c>
      <c r="G39" s="18" t="n">
        <v>71.34678581999999</v>
      </c>
      <c r="H39" s="20" t="n">
        <v>2.46495046</v>
      </c>
      <c r="I39" s="18" t="n">
        <v>0</v>
      </c>
      <c r="J39" s="20" t="n">
        <v>0</v>
      </c>
      <c r="K39" s="18" t="n">
        <v>0</v>
      </c>
      <c r="L39" s="20" t="n">
        <v>0</v>
      </c>
      <c r="M39" s="18" t="n">
        <v>0</v>
      </c>
      <c r="N39" s="20" t="n">
        <v>0</v>
      </c>
      <c r="O39" s="18" t="n">
        <v>0</v>
      </c>
      <c r="P39" s="20" t="n">
        <v>0</v>
      </c>
      <c r="Q39" s="18" t="n">
        <v>0.6728109</v>
      </c>
      <c r="R39" s="20" t="n">
        <v>0.5913718100000001</v>
      </c>
    </row>
    <row r="40" spans="1:18">
      <c r="A40" s="15" t="s">
        <v>598</v>
      </c>
      <c r="B40" s="17" t="n">
        <v>6922</v>
      </c>
      <c r="C40" s="18">
        <f>(6192.0/B40*100)</f>
        <v/>
      </c>
      <c r="D40" s="19" t="n">
        <v>730</v>
      </c>
      <c r="E40" s="18" t="n">
        <v>22.92034256</v>
      </c>
      <c r="F40" s="20" t="n">
        <v>2.46508135</v>
      </c>
      <c r="G40" s="18" t="n">
        <v>76.97875188</v>
      </c>
      <c r="H40" s="20" t="n">
        <v>2.46474636</v>
      </c>
      <c r="I40" s="18" t="n">
        <v>0</v>
      </c>
      <c r="J40" s="20" t="n">
        <v>0</v>
      </c>
      <c r="K40" s="18" t="n">
        <v>0.04952892</v>
      </c>
      <c r="L40" s="20" t="n">
        <v>0.0481047</v>
      </c>
      <c r="M40" s="18" t="n">
        <v>0</v>
      </c>
      <c r="N40" s="20" t="n">
        <v>0</v>
      </c>
      <c r="O40" s="18" t="n">
        <v>0</v>
      </c>
      <c r="P40" s="20" t="n">
        <v>0</v>
      </c>
      <c r="Q40" s="18" t="n">
        <v>0.05137664</v>
      </c>
      <c r="R40" s="20" t="n">
        <v>0.03984045</v>
      </c>
    </row>
    <row r="41" spans="1:18">
      <c r="A41" s="15" t="s">
        <v>599</v>
      </c>
      <c r="B41" s="17" t="n">
        <v>2854</v>
      </c>
      <c r="C41" s="18">
        <f>(2540.0/B41*100)</f>
        <v/>
      </c>
      <c r="D41" s="19" t="n">
        <v>314</v>
      </c>
      <c r="E41" s="18" t="n">
        <v>32.92049735</v>
      </c>
      <c r="F41" s="20" t="n">
        <v>2.69613297</v>
      </c>
      <c r="G41" s="18" t="n">
        <v>66.76943776</v>
      </c>
      <c r="H41" s="20" t="n">
        <v>2.71460897</v>
      </c>
      <c r="I41" s="18" t="n">
        <v>0</v>
      </c>
      <c r="J41" s="20" t="n">
        <v>0</v>
      </c>
      <c r="K41" s="18" t="n">
        <v>0</v>
      </c>
      <c r="L41" s="20" t="n">
        <v>0</v>
      </c>
      <c r="M41" s="18" t="n">
        <v>0</v>
      </c>
      <c r="N41" s="20" t="n">
        <v>0</v>
      </c>
      <c r="O41" s="18" t="n">
        <v>0</v>
      </c>
      <c r="P41" s="20" t="n">
        <v>0</v>
      </c>
      <c r="Q41" s="18" t="n">
        <v>0.31006489</v>
      </c>
      <c r="R41" s="20" t="n">
        <v>0.33124942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(10839.0/B46*100)</f>
        <v/>
      </c>
      <c r="D46" s="19" t="n">
        <v>1234</v>
      </c>
      <c r="E46" s="18" t="n">
        <v>43.45377289</v>
      </c>
      <c r="F46" s="20" t="n">
        <v>1.73700431</v>
      </c>
      <c r="G46" s="18" t="n">
        <v>54.53193864</v>
      </c>
      <c r="H46" s="20" t="n">
        <v>1.82839764</v>
      </c>
      <c r="I46" s="18" t="n">
        <v>0</v>
      </c>
      <c r="J46" s="20" t="n">
        <v>0</v>
      </c>
      <c r="K46" s="18" t="n">
        <v>0.28064601</v>
      </c>
      <c r="L46" s="20" t="n">
        <v>0.14605065</v>
      </c>
      <c r="M46" s="18" t="n">
        <v>0</v>
      </c>
      <c r="N46" s="20" t="n">
        <v>0</v>
      </c>
      <c r="O46" s="18" t="n">
        <v>0</v>
      </c>
      <c r="P46" s="20" t="n">
        <v>0</v>
      </c>
      <c r="Q46" s="18" t="n">
        <v>1.73364245</v>
      </c>
      <c r="R46" s="20" t="n">
        <v>0.46864583</v>
      </c>
    </row>
    <row r="47" spans="1:18">
      <c r="A47" s="15" t="s">
        <v>606</v>
      </c>
      <c r="B47" s="17" t="n">
        <v>2823</v>
      </c>
      <c r="C47" s="18">
        <f>(2506.0/B47*100)</f>
        <v/>
      </c>
      <c r="D47" s="19" t="n">
        <v>317</v>
      </c>
      <c r="E47" s="18" t="n">
        <v>27.84220067</v>
      </c>
      <c r="F47" s="20" t="n">
        <v>2.8186622</v>
      </c>
      <c r="G47" s="18" t="n">
        <v>69.71105727</v>
      </c>
      <c r="H47" s="20" t="n">
        <v>2.98320177</v>
      </c>
      <c r="I47" s="18" t="n">
        <v>0</v>
      </c>
      <c r="J47" s="20" t="n">
        <v>0</v>
      </c>
      <c r="K47" s="18" t="n">
        <v>0.60334941</v>
      </c>
      <c r="L47" s="20" t="n">
        <v>0.42893846</v>
      </c>
      <c r="M47" s="18" t="n">
        <v>0</v>
      </c>
      <c r="N47" s="20" t="n">
        <v>0</v>
      </c>
      <c r="O47" s="18" t="n">
        <v>0</v>
      </c>
      <c r="P47" s="20" t="n">
        <v>0</v>
      </c>
      <c r="Q47" s="18" t="n">
        <v>1.84339266</v>
      </c>
      <c r="R47" s="20" t="n">
        <v>0.71436855</v>
      </c>
    </row>
    <row r="48" spans="1:18">
      <c r="A48" s="15" t="s">
        <v>607</v>
      </c>
      <c r="B48" s="17" t="n">
        <v>4682</v>
      </c>
      <c r="C48" s="18">
        <f>(4154.0/B48*100)</f>
        <v/>
      </c>
      <c r="D48" s="19" t="n">
        <v>528</v>
      </c>
      <c r="E48" s="18" t="n">
        <v>55.59685711</v>
      </c>
      <c r="F48" s="20" t="n">
        <v>2.81352404</v>
      </c>
      <c r="G48" s="18" t="n">
        <v>42.93327587</v>
      </c>
      <c r="H48" s="20" t="n">
        <v>2.84135914</v>
      </c>
      <c r="I48" s="18" t="n">
        <v>0</v>
      </c>
      <c r="J48" s="20" t="n">
        <v>0</v>
      </c>
      <c r="K48" s="18" t="n">
        <v>1.15827901</v>
      </c>
      <c r="L48" s="20" t="n">
        <v>0.821618</v>
      </c>
      <c r="M48" s="18" t="n">
        <v>0</v>
      </c>
      <c r="N48" s="20" t="n">
        <v>0</v>
      </c>
      <c r="O48" s="18" t="n">
        <v>0</v>
      </c>
      <c r="P48" s="20" t="n">
        <v>0</v>
      </c>
      <c r="Q48" s="18" t="n">
        <v>0.31158802</v>
      </c>
      <c r="R48" s="20" t="n">
        <v>0.3140746</v>
      </c>
    </row>
    <row r="49" spans="1:18">
      <c r="A49" s="15" t="s">
        <v>608</v>
      </c>
      <c r="B49" s="17" t="n">
        <v>6158</v>
      </c>
      <c r="C49" s="18">
        <f>(5471.0/B49*100)</f>
        <v/>
      </c>
      <c r="D49" s="19" t="n">
        <v>687</v>
      </c>
      <c r="E49" s="18" t="n">
        <v>50.27155978</v>
      </c>
      <c r="F49" s="20" t="n">
        <v>2.32916796</v>
      </c>
      <c r="G49" s="18" t="n">
        <v>48.01276944</v>
      </c>
      <c r="H49" s="20" t="n">
        <v>2.32596128</v>
      </c>
      <c r="I49" s="18" t="n">
        <v>0</v>
      </c>
      <c r="J49" s="20" t="n">
        <v>0</v>
      </c>
      <c r="K49" s="18" t="n">
        <v>0.70565858</v>
      </c>
      <c r="L49" s="20" t="n">
        <v>0.461272</v>
      </c>
      <c r="M49" s="18" t="n">
        <v>0</v>
      </c>
      <c r="N49" s="20" t="n">
        <v>0</v>
      </c>
      <c r="O49" s="18" t="n">
        <v>0</v>
      </c>
      <c r="P49" s="20" t="n">
        <v>0</v>
      </c>
      <c r="Q49" s="18" t="n">
        <v>1.0100122</v>
      </c>
      <c r="R49" s="20" t="n">
        <v>0.44994922</v>
      </c>
    </row>
    <row r="50" spans="1:18">
      <c r="A50" s="15" t="s">
        <v>609</v>
      </c>
      <c r="B50" s="17" t="n">
        <v>3494</v>
      </c>
      <c r="C50" s="18">
        <f>(2813.0/B50*100)</f>
        <v/>
      </c>
      <c r="D50" s="19" t="n">
        <v>681</v>
      </c>
      <c r="E50" s="18" t="n">
        <v>45.1682137</v>
      </c>
      <c r="F50" s="20" t="n">
        <v>2.00489001</v>
      </c>
      <c r="G50" s="18" t="n">
        <v>53.77013044</v>
      </c>
      <c r="H50" s="20" t="n">
        <v>2.08628641</v>
      </c>
      <c r="I50" s="18" t="n">
        <v>0</v>
      </c>
      <c r="J50" s="20" t="n">
        <v>0</v>
      </c>
      <c r="K50" s="18" t="n">
        <v>0.20680417</v>
      </c>
      <c r="L50" s="20" t="n">
        <v>0.20289963</v>
      </c>
      <c r="M50" s="18" t="n">
        <v>0</v>
      </c>
      <c r="N50" s="20" t="n">
        <v>0</v>
      </c>
      <c r="O50" s="18" t="n">
        <v>0</v>
      </c>
      <c r="P50" s="20" t="n">
        <v>0</v>
      </c>
      <c r="Q50" s="18" t="n">
        <v>0.8548516900000001</v>
      </c>
      <c r="R50" s="20" t="n">
        <v>0.41004477</v>
      </c>
    </row>
    <row r="51" spans="1:18">
      <c r="A51" s="15" t="s">
        <v>610</v>
      </c>
      <c r="B51" s="17" t="n">
        <v>3013</v>
      </c>
      <c r="C51" s="18">
        <f>(2672.0/B51*100)</f>
        <v/>
      </c>
      <c r="D51" s="19" t="n">
        <v>341</v>
      </c>
      <c r="E51" s="18" t="n">
        <v>27.38327191</v>
      </c>
      <c r="F51" s="20" t="n">
        <v>2.73703096</v>
      </c>
      <c r="G51" s="18" t="n">
        <v>71.38601556</v>
      </c>
      <c r="H51" s="20" t="n">
        <v>2.99186283</v>
      </c>
      <c r="I51" s="18" t="n">
        <v>0</v>
      </c>
      <c r="J51" s="20" t="n">
        <v>0</v>
      </c>
      <c r="K51" s="18" t="n">
        <v>0</v>
      </c>
      <c r="L51" s="20" t="n">
        <v>0</v>
      </c>
      <c r="M51" s="18" t="n">
        <v>0</v>
      </c>
      <c r="N51" s="20" t="n">
        <v>0</v>
      </c>
      <c r="O51" s="18" t="n">
        <v>0</v>
      </c>
      <c r="P51" s="20" t="n">
        <v>0</v>
      </c>
      <c r="Q51" s="18" t="n">
        <v>1.23071253</v>
      </c>
      <c r="R51" s="20" t="n">
        <v>0.63435941</v>
      </c>
    </row>
    <row r="52" spans="1:18">
      <c r="A52" s="15" t="s">
        <v>611</v>
      </c>
      <c r="B52" s="17" t="n">
        <v>2760</v>
      </c>
      <c r="C52" s="18">
        <f>(2462.0/B52*100)</f>
        <v/>
      </c>
      <c r="D52" s="19" t="n">
        <v>298</v>
      </c>
      <c r="E52" s="18" t="n">
        <v>38.19381404</v>
      </c>
      <c r="F52" s="20" t="n">
        <v>2.98908381</v>
      </c>
      <c r="G52" s="18" t="n">
        <v>59.54031213</v>
      </c>
      <c r="H52" s="20" t="n">
        <v>2.89983916</v>
      </c>
      <c r="I52" s="18" t="n">
        <v>0</v>
      </c>
      <c r="J52" s="20" t="n">
        <v>0</v>
      </c>
      <c r="K52" s="18" t="n">
        <v>0</v>
      </c>
      <c r="L52" s="20" t="n">
        <v>0</v>
      </c>
      <c r="M52" s="18" t="n">
        <v>0</v>
      </c>
      <c r="N52" s="20" t="n">
        <v>0</v>
      </c>
      <c r="O52" s="18" t="n">
        <v>0</v>
      </c>
      <c r="P52" s="20" t="n">
        <v>0</v>
      </c>
      <c r="Q52" s="18" t="n">
        <v>2.26587383</v>
      </c>
      <c r="R52" s="20" t="n">
        <v>0.86650644</v>
      </c>
    </row>
    <row r="53" spans="1:18">
      <c r="A53" s="15" t="s">
        <v>612</v>
      </c>
      <c r="B53" s="17" t="n">
        <v>2474</v>
      </c>
      <c r="C53" s="18">
        <f>(2218.0/B53*100)</f>
        <v/>
      </c>
      <c r="D53" s="19" t="n">
        <v>256</v>
      </c>
      <c r="E53" s="18" t="n">
        <v>58.40192931</v>
      </c>
      <c r="F53" s="20" t="n">
        <v>3.41635012</v>
      </c>
      <c r="G53" s="18" t="n">
        <v>31.42736178</v>
      </c>
      <c r="H53" s="20" t="n">
        <v>3.17348561</v>
      </c>
      <c r="I53" s="18" t="n">
        <v>0</v>
      </c>
      <c r="J53" s="20" t="n">
        <v>0</v>
      </c>
      <c r="K53" s="18" t="n">
        <v>7.62129587</v>
      </c>
      <c r="L53" s="20" t="n">
        <v>1.73575765</v>
      </c>
      <c r="M53" s="18" t="n">
        <v>0</v>
      </c>
      <c r="N53" s="20" t="n">
        <v>0</v>
      </c>
      <c r="O53" s="18" t="n">
        <v>0</v>
      </c>
      <c r="P53" s="20" t="n">
        <v>0</v>
      </c>
      <c r="Q53" s="18" t="n">
        <v>2.54941304</v>
      </c>
      <c r="R53" s="20" t="n">
        <v>1.03866629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(2362.0/B55*100)</f>
        <v/>
      </c>
      <c r="D55" s="19" t="n">
        <v>313</v>
      </c>
      <c r="E55" s="18" t="n">
        <v>37.26759395</v>
      </c>
      <c r="F55" s="20" t="n">
        <v>2.90448338</v>
      </c>
      <c r="G55" s="18" t="n">
        <v>61.75670287</v>
      </c>
      <c r="H55" s="20" t="n">
        <v>2.9769827</v>
      </c>
      <c r="I55" s="18" t="n">
        <v>0</v>
      </c>
      <c r="J55" s="20" t="n">
        <v>0</v>
      </c>
      <c r="K55" s="18" t="n">
        <v>0.34386573</v>
      </c>
      <c r="L55" s="20" t="n">
        <v>0.34071811</v>
      </c>
      <c r="M55" s="18" t="n">
        <v>0</v>
      </c>
      <c r="N55" s="20" t="n">
        <v>0</v>
      </c>
      <c r="O55" s="18" t="n">
        <v>0</v>
      </c>
      <c r="P55" s="20" t="n">
        <v>0</v>
      </c>
      <c r="Q55" s="18" t="n">
        <v>0.63183745</v>
      </c>
      <c r="R55" s="20" t="n">
        <v>0.43786484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(2855.0/B61*100)</f>
        <v/>
      </c>
      <c r="D61" s="19" t="n">
        <v>346</v>
      </c>
      <c r="E61" s="18" t="n">
        <v>64.92409058</v>
      </c>
      <c r="F61" s="20" t="n">
        <v>2.52247673</v>
      </c>
      <c r="G61" s="18" t="n">
        <v>34.74581073</v>
      </c>
      <c r="H61" s="20" t="n">
        <v>2.53389052</v>
      </c>
      <c r="I61" s="18" t="n">
        <v>0</v>
      </c>
      <c r="J61" s="20" t="n">
        <v>0</v>
      </c>
      <c r="K61" s="18" t="n">
        <v>0</v>
      </c>
      <c r="L61" s="20" t="n">
        <v>0</v>
      </c>
      <c r="M61" s="18" t="n">
        <v>0</v>
      </c>
      <c r="N61" s="20" t="n">
        <v>0</v>
      </c>
      <c r="O61" s="18" t="n">
        <v>0</v>
      </c>
      <c r="P61" s="20" t="n">
        <v>0</v>
      </c>
      <c r="Q61" s="18" t="n">
        <v>0.33009869</v>
      </c>
      <c r="R61" s="20" t="n">
        <v>0.32010801</v>
      </c>
    </row>
    <row r="62" spans="1:18">
      <c r="A62" s="15" t="s">
        <v>622</v>
      </c>
      <c r="B62" s="17" t="n">
        <v>2230</v>
      </c>
      <c r="C62" s="18">
        <f>(2010.0/B62*100)</f>
        <v/>
      </c>
      <c r="D62" s="19" t="n">
        <v>220</v>
      </c>
      <c r="E62" s="18" t="n">
        <v>42.73742508</v>
      </c>
      <c r="F62" s="20" t="n">
        <v>3.09665342</v>
      </c>
      <c r="G62" s="18" t="n">
        <v>56.80540405</v>
      </c>
      <c r="H62" s="20" t="n">
        <v>3.16207861</v>
      </c>
      <c r="I62" s="18" t="n">
        <v>0</v>
      </c>
      <c r="J62" s="20" t="n">
        <v>0</v>
      </c>
      <c r="K62" s="18" t="n">
        <v>0</v>
      </c>
      <c r="L62" s="20" t="n">
        <v>0</v>
      </c>
      <c r="M62" s="18" t="n">
        <v>0</v>
      </c>
      <c r="N62" s="20" t="n">
        <v>0</v>
      </c>
      <c r="O62" s="18" t="n">
        <v>0</v>
      </c>
      <c r="P62" s="20" t="n">
        <v>0</v>
      </c>
      <c r="Q62" s="18" t="n">
        <v>0.45717088</v>
      </c>
      <c r="R62" s="20" t="n">
        <v>0.45730893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(2465.0/B67*100)</f>
        <v/>
      </c>
      <c r="D67" s="19" t="n">
        <v>306</v>
      </c>
      <c r="E67" s="18" t="n">
        <v>34.2660275</v>
      </c>
      <c r="F67" s="20" t="n">
        <v>2.55022203</v>
      </c>
      <c r="G67" s="18" t="n">
        <v>62.28767577</v>
      </c>
      <c r="H67" s="20" t="n">
        <v>2.70260128</v>
      </c>
      <c r="I67" s="18" t="n">
        <v>0</v>
      </c>
      <c r="J67" s="20" t="n">
        <v>0</v>
      </c>
      <c r="K67" s="18" t="n">
        <v>0.5571237</v>
      </c>
      <c r="L67" s="20" t="n">
        <v>0.39560869</v>
      </c>
      <c r="M67" s="18" t="n">
        <v>0</v>
      </c>
      <c r="N67" s="20" t="n">
        <v>0</v>
      </c>
      <c r="O67" s="18" t="n">
        <v>0</v>
      </c>
      <c r="P67" s="20" t="n">
        <v>0</v>
      </c>
      <c r="Q67" s="18" t="n">
        <v>2.88917302</v>
      </c>
      <c r="R67" s="20" t="n">
        <v>0.89438741</v>
      </c>
    </row>
    <row r="68" spans="1:18">
      <c r="A68" s="15" t="s">
        <v>628</v>
      </c>
      <c r="B68" s="17" t="n">
        <v>3460</v>
      </c>
      <c r="C68" s="18">
        <f>(3082.0/B68*100)</f>
        <v/>
      </c>
      <c r="D68" s="19" t="n">
        <v>378</v>
      </c>
      <c r="E68" s="18" t="n">
        <v>52.01475242</v>
      </c>
      <c r="F68" s="20" t="n">
        <v>2.47878798</v>
      </c>
      <c r="G68" s="18" t="n">
        <v>46.79629807</v>
      </c>
      <c r="H68" s="20" t="n">
        <v>2.46233126</v>
      </c>
      <c r="I68" s="18" t="n">
        <v>0</v>
      </c>
      <c r="J68" s="20" t="n">
        <v>0</v>
      </c>
      <c r="K68" s="18" t="n">
        <v>0</v>
      </c>
      <c r="L68" s="20" t="n">
        <v>0</v>
      </c>
      <c r="M68" s="18" t="n">
        <v>0</v>
      </c>
      <c r="N68" s="20" t="n">
        <v>0</v>
      </c>
      <c r="O68" s="18" t="n">
        <v>0</v>
      </c>
      <c r="P68" s="20" t="n">
        <v>0</v>
      </c>
      <c r="Q68" s="18" t="n">
        <v>1.18894951</v>
      </c>
      <c r="R68" s="20" t="n">
        <v>0.53567697</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(5383.0/B70*100)</f>
        <v/>
      </c>
      <c r="D70" s="19" t="n">
        <v>651</v>
      </c>
      <c r="E70" s="18" t="n">
        <v>35.83694613</v>
      </c>
      <c r="F70" s="20" t="n">
        <v>1.67052167</v>
      </c>
      <c r="G70" s="18" t="n">
        <v>62.14742146</v>
      </c>
      <c r="H70" s="20" t="n">
        <v>1.67204412</v>
      </c>
      <c r="I70" s="18" t="n">
        <v>0</v>
      </c>
      <c r="J70" s="20" t="n">
        <v>0</v>
      </c>
      <c r="K70" s="18" t="n">
        <v>1.55200846</v>
      </c>
      <c r="L70" s="20" t="n">
        <v>0.49251784</v>
      </c>
      <c r="M70" s="18" t="n">
        <v>0</v>
      </c>
      <c r="N70" s="20" t="n">
        <v>0</v>
      </c>
      <c r="O70" s="18" t="n">
        <v>0</v>
      </c>
      <c r="P70" s="20" t="n">
        <v>0</v>
      </c>
      <c r="Q70" s="18" t="n">
        <v>0.46362395</v>
      </c>
      <c r="R70" s="20" t="n">
        <v>0.27039817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(2752.0/B72*100)</f>
        <v/>
      </c>
      <c r="D72" s="19" t="n">
        <v>355</v>
      </c>
      <c r="E72" s="18" t="n">
        <v>45.59003454</v>
      </c>
      <c r="F72" s="20" t="n">
        <v>2.67099956</v>
      </c>
      <c r="G72" s="18" t="n">
        <v>54.09386817</v>
      </c>
      <c r="H72" s="20" t="n">
        <v>2.681988</v>
      </c>
      <c r="I72" s="18" t="n">
        <v>0</v>
      </c>
      <c r="J72" s="20" t="n">
        <v>0</v>
      </c>
      <c r="K72" s="18" t="n">
        <v>0</v>
      </c>
      <c r="L72" s="20" t="n">
        <v>0</v>
      </c>
      <c r="M72" s="18" t="n">
        <v>0</v>
      </c>
      <c r="N72" s="20" t="n">
        <v>0</v>
      </c>
      <c r="O72" s="18" t="n">
        <v>0</v>
      </c>
      <c r="P72" s="20" t="n">
        <v>0</v>
      </c>
      <c r="Q72" s="18" t="n">
        <v>0.31609729</v>
      </c>
      <c r="R72" s="20" t="n">
        <v>0.2128306</v>
      </c>
    </row>
    <row r="73" spans="1:18">
      <c r="A73" s="15" t="s">
        <v>633</v>
      </c>
      <c r="B73" s="17" t="n">
        <v>2973</v>
      </c>
      <c r="C73" s="18">
        <f>(2676.0/B73*100)</f>
        <v/>
      </c>
      <c r="D73" s="19" t="n">
        <v>297</v>
      </c>
      <c r="E73" s="18" t="n">
        <v>12.00911334</v>
      </c>
      <c r="F73" s="20" t="n">
        <v>1.90673225</v>
      </c>
      <c r="G73" s="18" t="n">
        <v>87.58427973000001</v>
      </c>
      <c r="H73" s="20" t="n">
        <v>1.86714237</v>
      </c>
      <c r="I73" s="18" t="n">
        <v>0</v>
      </c>
      <c r="J73" s="20" t="n">
        <v>0</v>
      </c>
      <c r="K73" s="18" t="n">
        <v>0</v>
      </c>
      <c r="L73" s="20" t="n">
        <v>0</v>
      </c>
      <c r="M73" s="18" t="n">
        <v>0</v>
      </c>
      <c r="N73" s="20" t="n">
        <v>0</v>
      </c>
      <c r="O73" s="18" t="n">
        <v>0</v>
      </c>
      <c r="P73" s="20" t="n">
        <v>0</v>
      </c>
      <c r="Q73" s="18" t="n">
        <v>0.40660693</v>
      </c>
      <c r="R73" s="20" t="n">
        <v>0.40822535</v>
      </c>
    </row>
    <row r="74" spans="1:18">
      <c r="A74" s="15" t="s">
        <v>634</v>
      </c>
      <c r="B74" s="17" t="n">
        <v>3819</v>
      </c>
      <c r="C74" s="18">
        <f>(3411.0/B74*100)</f>
        <v/>
      </c>
      <c r="D74" s="19" t="n">
        <v>408</v>
      </c>
      <c r="E74" s="18" t="n">
        <v>53.00501302</v>
      </c>
      <c r="F74" s="20" t="n">
        <v>2.83982541</v>
      </c>
      <c r="G74" s="18" t="n">
        <v>46.37026232</v>
      </c>
      <c r="H74" s="20" t="n">
        <v>2.87725034</v>
      </c>
      <c r="I74" s="18" t="n">
        <v>0</v>
      </c>
      <c r="J74" s="20" t="n">
        <v>0</v>
      </c>
      <c r="K74" s="18" t="n">
        <v>0</v>
      </c>
      <c r="L74" s="20" t="n">
        <v>0</v>
      </c>
      <c r="M74" s="18" t="n">
        <v>0</v>
      </c>
      <c r="N74" s="20" t="n">
        <v>0</v>
      </c>
      <c r="O74" s="18" t="n">
        <v>0</v>
      </c>
      <c r="P74" s="20" t="n">
        <v>0</v>
      </c>
      <c r="Q74" s="18" t="n">
        <v>0.62472467</v>
      </c>
      <c r="R74" s="20" t="n">
        <v>0.45283958</v>
      </c>
    </row>
    <row r="75" spans="1:18">
      <c r="A75" s="15" t="s">
        <v>635</v>
      </c>
      <c r="B75" s="17" t="n">
        <v>4652</v>
      </c>
      <c r="C75" s="18">
        <f>(4149.0/B75*100)</f>
        <v/>
      </c>
      <c r="D75" s="19" t="n">
        <v>503</v>
      </c>
      <c r="E75" s="18" t="n">
        <v>43.58265778</v>
      </c>
      <c r="F75" s="20" t="n">
        <v>2.45447324</v>
      </c>
      <c r="G75" s="18" t="n">
        <v>55.86751699</v>
      </c>
      <c r="H75" s="20" t="n">
        <v>2.52376469</v>
      </c>
      <c r="I75" s="18" t="n">
        <v>0</v>
      </c>
      <c r="J75" s="20" t="n">
        <v>0</v>
      </c>
      <c r="K75" s="18" t="n">
        <v>0.26514414</v>
      </c>
      <c r="L75" s="20" t="n">
        <v>0.26578755</v>
      </c>
      <c r="M75" s="18" t="n">
        <v>0</v>
      </c>
      <c r="N75" s="20" t="n">
        <v>0</v>
      </c>
      <c r="O75" s="18" t="n">
        <v>0</v>
      </c>
      <c r="P75" s="20" t="n">
        <v>0</v>
      </c>
      <c r="Q75" s="18" t="n">
        <v>0.28468109</v>
      </c>
      <c r="R75" s="20" t="n">
        <v>0.26808097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(2657.0/B77*100)</f>
        <v/>
      </c>
      <c r="D77" s="19" t="n">
        <v>312</v>
      </c>
      <c r="E77" s="18" t="n">
        <v>34.71172818</v>
      </c>
      <c r="F77" s="20" t="n">
        <v>2.77760099</v>
      </c>
      <c r="G77" s="18" t="n">
        <v>60.94648916</v>
      </c>
      <c r="H77" s="20" t="n">
        <v>2.83880161</v>
      </c>
      <c r="I77" s="18" t="n">
        <v>0</v>
      </c>
      <c r="J77" s="20" t="n">
        <v>0</v>
      </c>
      <c r="K77" s="18" t="n">
        <v>2.33664197</v>
      </c>
      <c r="L77" s="20" t="n">
        <v>0.82112518</v>
      </c>
      <c r="M77" s="18" t="n">
        <v>0</v>
      </c>
      <c r="N77" s="20" t="n">
        <v>0</v>
      </c>
      <c r="O77" s="18" t="n">
        <v>0</v>
      </c>
      <c r="P77" s="20" t="n">
        <v>0</v>
      </c>
      <c r="Q77" s="18" t="n">
        <v>2.00514069</v>
      </c>
      <c r="R77" s="20" t="n">
        <v>0.81530204</v>
      </c>
    </row>
    <row r="78" spans="1:18">
      <c r="A78" s="15" t="s">
        <v>638</v>
      </c>
      <c r="B78" s="17" t="n">
        <v>7115</v>
      </c>
      <c r="C78" s="18">
        <f>(6294.0/B78*100)</f>
        <v/>
      </c>
      <c r="D78" s="19" t="n">
        <v>821</v>
      </c>
      <c r="E78" s="18" t="n">
        <v>34.53829052</v>
      </c>
      <c r="F78" s="20" t="n">
        <v>2.42629295</v>
      </c>
      <c r="G78" s="18" t="n">
        <v>64.46596533</v>
      </c>
      <c r="H78" s="20" t="n">
        <v>2.36044762</v>
      </c>
      <c r="I78" s="18" t="n">
        <v>0</v>
      </c>
      <c r="J78" s="20" t="n">
        <v>0</v>
      </c>
      <c r="K78" s="18" t="n">
        <v>0.33972664</v>
      </c>
      <c r="L78" s="20" t="n">
        <v>0.19572709</v>
      </c>
      <c r="M78" s="18" t="n">
        <v>0</v>
      </c>
      <c r="N78" s="20" t="n">
        <v>0</v>
      </c>
      <c r="O78" s="18" t="n">
        <v>0</v>
      </c>
      <c r="P78" s="20" t="n">
        <v>0</v>
      </c>
      <c r="Q78" s="18" t="n">
        <v>0.65601751</v>
      </c>
      <c r="R78" s="20" t="n">
        <v>0.29419916</v>
      </c>
    </row>
    <row r="79" spans="1:18">
      <c r="A79" s="15" t="s">
        <v>639</v>
      </c>
      <c r="B79" s="17" t="n">
        <v>3154</v>
      </c>
      <c r="C79" s="18">
        <f>(2809.0/B79*100)</f>
        <v/>
      </c>
      <c r="D79" s="19" t="n">
        <v>345</v>
      </c>
      <c r="E79" s="18" t="n">
        <v>38.32768776</v>
      </c>
      <c r="F79" s="20" t="n">
        <v>3.028735</v>
      </c>
      <c r="G79" s="18" t="n">
        <v>58.49682811</v>
      </c>
      <c r="H79" s="20" t="n">
        <v>2.91794036</v>
      </c>
      <c r="I79" s="18" t="n">
        <v>0</v>
      </c>
      <c r="J79" s="20" t="n">
        <v>0</v>
      </c>
      <c r="K79" s="18" t="n">
        <v>0.93213167</v>
      </c>
      <c r="L79" s="20" t="n">
        <v>0.50588525</v>
      </c>
      <c r="M79" s="18" t="n">
        <v>0</v>
      </c>
      <c r="N79" s="20" t="n">
        <v>0</v>
      </c>
      <c r="O79" s="18" t="n">
        <v>0</v>
      </c>
      <c r="P79" s="20" t="n">
        <v>0</v>
      </c>
      <c r="Q79" s="18" t="n">
        <v>2.24335247</v>
      </c>
      <c r="R79" s="20" t="n">
        <v>0.85388791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(14227.0/B82*100)</f>
        <v/>
      </c>
      <c r="D82" s="19" t="n">
        <v>1734</v>
      </c>
      <c r="E82" s="18" t="n">
        <v>26.03606466</v>
      </c>
      <c r="F82" s="20" t="n">
        <v>1.46941012</v>
      </c>
      <c r="G82" s="18" t="n">
        <v>73.40144201</v>
      </c>
      <c r="H82" s="20" t="n">
        <v>1.43020895</v>
      </c>
      <c r="I82" s="18" t="n">
        <v>0</v>
      </c>
      <c r="J82" s="20" t="n">
        <v>0</v>
      </c>
      <c r="K82" s="18" t="n">
        <v>0.02466667</v>
      </c>
      <c r="L82" s="20" t="n">
        <v>0.02472066</v>
      </c>
      <c r="M82" s="18" t="n">
        <v>0</v>
      </c>
      <c r="N82" s="20" t="n">
        <v>0</v>
      </c>
      <c r="O82" s="18" t="n">
        <v>0</v>
      </c>
      <c r="P82" s="20" t="n">
        <v>0</v>
      </c>
      <c r="Q82" s="18" t="n">
        <v>0.53782665</v>
      </c>
      <c r="R82" s="20" t="n">
        <v>0.19208284</v>
      </c>
    </row>
    <row r="83" spans="1:18">
      <c r="A83" s="15" t="s">
        <v>643</v>
      </c>
      <c r="B83" s="17" t="n">
        <v>808</v>
      </c>
      <c r="C83" s="18">
        <f>(700.0/B83*100)</f>
        <v/>
      </c>
      <c r="D83" s="19" t="n">
        <v>108</v>
      </c>
      <c r="E83" s="18" t="n">
        <v>15.78403822</v>
      </c>
      <c r="F83" s="20" t="n">
        <v>4.06889959</v>
      </c>
      <c r="G83" s="18" t="n">
        <v>84.21596178</v>
      </c>
      <c r="H83" s="20" t="n">
        <v>4.06889959</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(824.0/B84*100)</f>
        <v/>
      </c>
      <c r="D84" s="19" t="n">
        <v>114</v>
      </c>
      <c r="E84" s="18" t="n">
        <v>37.67327667</v>
      </c>
      <c r="F84" s="20" t="n">
        <v>4.36931884</v>
      </c>
      <c r="G84" s="18" t="n">
        <v>61.52980865</v>
      </c>
      <c r="H84" s="20" t="n">
        <v>4.43852322</v>
      </c>
      <c r="I84" s="18" t="n">
        <v>0</v>
      </c>
      <c r="J84" s="20" t="n">
        <v>0</v>
      </c>
      <c r="K84" s="18" t="n">
        <v>0</v>
      </c>
      <c r="L84" s="20" t="n">
        <v>0</v>
      </c>
      <c r="M84" s="18" t="n">
        <v>0</v>
      </c>
      <c r="N84" s="20" t="n">
        <v>0</v>
      </c>
      <c r="O84" s="18" t="n">
        <v>0</v>
      </c>
      <c r="P84" s="20" t="n">
        <v>0</v>
      </c>
      <c r="Q84" s="18" t="n">
        <v>0.79691468</v>
      </c>
      <c r="R84" s="20" t="n">
        <v>0.74976798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(6376.0/B7*100)</f>
        <v/>
      </c>
      <c r="D7" s="19" t="n">
        <v>787</v>
      </c>
      <c r="E7" s="18" t="n">
        <v>50.31951834</v>
      </c>
      <c r="F7" s="20" t="n">
        <v>2.58136207</v>
      </c>
      <c r="G7" s="18" t="n">
        <v>47.94299806</v>
      </c>
      <c r="H7" s="20" t="n">
        <v>2.52733616</v>
      </c>
      <c r="I7" s="18" t="n">
        <v>0</v>
      </c>
      <c r="J7" s="20" t="n">
        <v>0</v>
      </c>
      <c r="K7" s="18" t="n">
        <v>0.03857334</v>
      </c>
      <c r="L7" s="20" t="n">
        <v>0.02874657</v>
      </c>
      <c r="M7" s="18" t="n">
        <v>0</v>
      </c>
      <c r="N7" s="20" t="n">
        <v>0</v>
      </c>
      <c r="O7" s="18" t="n">
        <v>0</v>
      </c>
      <c r="P7" s="20" t="n">
        <v>0</v>
      </c>
      <c r="Q7" s="18" t="n">
        <v>1.69891026</v>
      </c>
      <c r="R7" s="20" t="n">
        <v>0.50369277</v>
      </c>
    </row>
    <row r="8" spans="1:18">
      <c r="A8" s="15" t="s">
        <v>566</v>
      </c>
      <c r="B8" s="17" t="n">
        <v>3443</v>
      </c>
      <c r="C8" s="18">
        <f>(3051.0/B8*100)</f>
        <v/>
      </c>
      <c r="D8" s="19" t="n">
        <v>392</v>
      </c>
      <c r="E8" s="18" t="n">
        <v>29.03569454</v>
      </c>
      <c r="F8" s="20" t="n">
        <v>3.28480443</v>
      </c>
      <c r="G8" s="18" t="n">
        <v>69.70828561</v>
      </c>
      <c r="H8" s="20" t="n">
        <v>3.40486852</v>
      </c>
      <c r="I8" s="18" t="n">
        <v>0</v>
      </c>
      <c r="J8" s="20" t="n">
        <v>0</v>
      </c>
      <c r="K8" s="18" t="n">
        <v>0</v>
      </c>
      <c r="L8" s="20" t="n">
        <v>0</v>
      </c>
      <c r="M8" s="18" t="n">
        <v>0</v>
      </c>
      <c r="N8" s="20" t="n">
        <v>0</v>
      </c>
      <c r="O8" s="18" t="n">
        <v>0</v>
      </c>
      <c r="P8" s="20" t="n">
        <v>0</v>
      </c>
      <c r="Q8" s="18" t="n">
        <v>1.25601985</v>
      </c>
      <c r="R8" s="20" t="n">
        <v>0.58091277</v>
      </c>
    </row>
    <row r="9" spans="1:18">
      <c r="A9" s="15" t="s">
        <v>567</v>
      </c>
      <c r="B9" s="17" t="n">
        <v>4752</v>
      </c>
      <c r="C9" s="18">
        <f>(4156.0/B9*100)</f>
        <v/>
      </c>
      <c r="D9" s="19" t="n">
        <v>596</v>
      </c>
      <c r="E9" s="18" t="n">
        <v>48.40930889</v>
      </c>
      <c r="F9" s="20" t="n">
        <v>2.23830526</v>
      </c>
      <c r="G9" s="18" t="n">
        <v>48.42102587</v>
      </c>
      <c r="H9" s="20" t="n">
        <v>1.99622541</v>
      </c>
      <c r="I9" s="18" t="n">
        <v>0</v>
      </c>
      <c r="J9" s="20" t="n">
        <v>0</v>
      </c>
      <c r="K9" s="18" t="n">
        <v>0.39008758</v>
      </c>
      <c r="L9" s="20" t="n">
        <v>0.21873846</v>
      </c>
      <c r="M9" s="18" t="n">
        <v>0</v>
      </c>
      <c r="N9" s="20" t="n">
        <v>0</v>
      </c>
      <c r="O9" s="18" t="n">
        <v>0</v>
      </c>
      <c r="P9" s="20" t="n">
        <v>0</v>
      </c>
      <c r="Q9" s="18" t="n">
        <v>2.77957766</v>
      </c>
      <c r="R9" s="20" t="n">
        <v>0.67551895</v>
      </c>
    </row>
    <row r="10" spans="1:18">
      <c r="A10" s="15" t="s">
        <v>568</v>
      </c>
      <c r="B10" s="17" t="n">
        <v>10022</v>
      </c>
      <c r="C10" s="18">
        <f>(8944.0/B10*100)</f>
        <v/>
      </c>
      <c r="D10" s="19" t="n">
        <v>1078</v>
      </c>
      <c r="E10" s="18" t="n">
        <v>46.00250252</v>
      </c>
      <c r="F10" s="20" t="n">
        <v>2.23621328</v>
      </c>
      <c r="G10" s="18" t="n">
        <v>53.09383359</v>
      </c>
      <c r="H10" s="20" t="n">
        <v>2.20982389</v>
      </c>
      <c r="I10" s="18" t="n">
        <v>0</v>
      </c>
      <c r="J10" s="20" t="n">
        <v>0</v>
      </c>
      <c r="K10" s="18" t="n">
        <v>0.41942711</v>
      </c>
      <c r="L10" s="20" t="n">
        <v>0.29568385</v>
      </c>
      <c r="M10" s="18" t="n">
        <v>0</v>
      </c>
      <c r="N10" s="20" t="n">
        <v>0</v>
      </c>
      <c r="O10" s="18" t="n">
        <v>0</v>
      </c>
      <c r="P10" s="20" t="n">
        <v>0</v>
      </c>
      <c r="Q10" s="18" t="n">
        <v>0.48423677</v>
      </c>
      <c r="R10" s="20" t="n">
        <v>0.24307938</v>
      </c>
    </row>
    <row r="11" spans="1:18">
      <c r="A11" s="15" t="s">
        <v>569</v>
      </c>
      <c r="B11" s="17" t="n">
        <v>3500</v>
      </c>
      <c r="C11" s="18">
        <f>(3116.0/B11*100)</f>
        <v/>
      </c>
      <c r="D11" s="19" t="n">
        <v>384</v>
      </c>
      <c r="E11" s="18" t="n">
        <v>49.24626682</v>
      </c>
      <c r="F11" s="20" t="n">
        <v>3.01021792</v>
      </c>
      <c r="G11" s="18" t="n">
        <v>47.68354954</v>
      </c>
      <c r="H11" s="20" t="n">
        <v>2.88919234</v>
      </c>
      <c r="I11" s="18" t="n">
        <v>0</v>
      </c>
      <c r="J11" s="20" t="n">
        <v>0</v>
      </c>
      <c r="K11" s="18" t="n">
        <v>0.57258858</v>
      </c>
      <c r="L11" s="20" t="n">
        <v>0.32234634</v>
      </c>
      <c r="M11" s="18" t="n">
        <v>0</v>
      </c>
      <c r="N11" s="20" t="n">
        <v>0</v>
      </c>
      <c r="O11" s="18" t="n">
        <v>0</v>
      </c>
      <c r="P11" s="20" t="n">
        <v>0</v>
      </c>
      <c r="Q11" s="18" t="n">
        <v>2.49759506</v>
      </c>
      <c r="R11" s="20" t="n">
        <v>0.91141208</v>
      </c>
    </row>
    <row r="12" spans="1:18">
      <c r="A12" s="15" t="s">
        <v>570</v>
      </c>
      <c r="B12" s="17" t="n">
        <v>3422</v>
      </c>
      <c r="C12" s="18">
        <f>(2998.0/B12*100)</f>
        <v/>
      </c>
      <c r="D12" s="19" t="n">
        <v>424</v>
      </c>
      <c r="E12" s="18" t="n">
        <v>27.74749681</v>
      </c>
      <c r="F12" s="20" t="n">
        <v>2.37187194</v>
      </c>
      <c r="G12" s="18" t="n">
        <v>71.24786408999999</v>
      </c>
      <c r="H12" s="20" t="n">
        <v>2.48348103</v>
      </c>
      <c r="I12" s="18" t="n">
        <v>0</v>
      </c>
      <c r="J12" s="20" t="n">
        <v>0</v>
      </c>
      <c r="K12" s="18" t="n">
        <v>0</v>
      </c>
      <c r="L12" s="20" t="n">
        <v>0</v>
      </c>
      <c r="M12" s="18" t="n">
        <v>0</v>
      </c>
      <c r="N12" s="20" t="n">
        <v>0</v>
      </c>
      <c r="O12" s="18" t="n">
        <v>0</v>
      </c>
      <c r="P12" s="20" t="n">
        <v>0</v>
      </c>
      <c r="Q12" s="18" t="n">
        <v>1.00463911</v>
      </c>
      <c r="R12" s="20" t="n">
        <v>0.60147594</v>
      </c>
    </row>
    <row r="13" spans="1:18">
      <c r="A13" s="15" t="s">
        <v>571</v>
      </c>
      <c r="B13" s="17" t="n">
        <v>3602</v>
      </c>
      <c r="C13" s="18">
        <f>(3088.0/B13*100)</f>
        <v/>
      </c>
      <c r="D13" s="19" t="n">
        <v>514</v>
      </c>
      <c r="E13" s="18" t="n">
        <v>43.07741267</v>
      </c>
      <c r="F13" s="20" t="n">
        <v>2.15815861</v>
      </c>
      <c r="G13" s="18" t="n">
        <v>53.81247134</v>
      </c>
      <c r="H13" s="20" t="n">
        <v>2.3037292</v>
      </c>
      <c r="I13" s="18" t="n">
        <v>0</v>
      </c>
      <c r="J13" s="20" t="n">
        <v>0</v>
      </c>
      <c r="K13" s="18" t="n">
        <v>1.12413665</v>
      </c>
      <c r="L13" s="20" t="n">
        <v>0.48798418</v>
      </c>
      <c r="M13" s="18" t="n">
        <v>0</v>
      </c>
      <c r="N13" s="20" t="n">
        <v>0</v>
      </c>
      <c r="O13" s="18" t="n">
        <v>0</v>
      </c>
      <c r="P13" s="20" t="n">
        <v>0</v>
      </c>
      <c r="Q13" s="18" t="n">
        <v>1.98597935</v>
      </c>
      <c r="R13" s="20" t="n">
        <v>0.76324741</v>
      </c>
    </row>
    <row r="14" spans="1:18">
      <c r="A14" s="15" t="s">
        <v>572</v>
      </c>
      <c r="B14" s="17" t="n">
        <v>2788</v>
      </c>
      <c r="C14" s="18">
        <f>(2490.0/B14*100)</f>
        <v/>
      </c>
      <c r="D14" s="19" t="n">
        <v>298</v>
      </c>
      <c r="E14" s="18" t="n">
        <v>26.72334146</v>
      </c>
      <c r="F14" s="20" t="n">
        <v>2.55705403</v>
      </c>
      <c r="G14" s="18" t="n">
        <v>73.01741265</v>
      </c>
      <c r="H14" s="20" t="n">
        <v>2.60520848</v>
      </c>
      <c r="I14" s="18" t="n">
        <v>0</v>
      </c>
      <c r="J14" s="20" t="n">
        <v>0</v>
      </c>
      <c r="K14" s="18" t="n">
        <v>0</v>
      </c>
      <c r="L14" s="20" t="n">
        <v>0</v>
      </c>
      <c r="M14" s="18" t="n">
        <v>0</v>
      </c>
      <c r="N14" s="20" t="n">
        <v>0</v>
      </c>
      <c r="O14" s="18" t="n">
        <v>0</v>
      </c>
      <c r="P14" s="20" t="n">
        <v>0</v>
      </c>
      <c r="Q14" s="18" t="n">
        <v>0.25924589</v>
      </c>
      <c r="R14" s="20" t="n">
        <v>0.26139303</v>
      </c>
    </row>
    <row r="15" spans="1:18">
      <c r="A15" s="15" t="s">
        <v>573</v>
      </c>
      <c r="B15" s="17" t="n">
        <v>2863</v>
      </c>
      <c r="C15" s="18">
        <f>(2532.0/B15*100)</f>
        <v/>
      </c>
      <c r="D15" s="19" t="n">
        <v>331</v>
      </c>
      <c r="E15" s="18" t="n">
        <v>29.27346262</v>
      </c>
      <c r="F15" s="20" t="n">
        <v>2.72515465</v>
      </c>
      <c r="G15" s="18" t="n">
        <v>69.24226413</v>
      </c>
      <c r="H15" s="20" t="n">
        <v>2.97643779</v>
      </c>
      <c r="I15" s="18" t="n">
        <v>0</v>
      </c>
      <c r="J15" s="20" t="n">
        <v>0</v>
      </c>
      <c r="K15" s="18" t="n">
        <v>0.63085105</v>
      </c>
      <c r="L15" s="20" t="n">
        <v>0.65923565</v>
      </c>
      <c r="M15" s="18" t="n">
        <v>0</v>
      </c>
      <c r="N15" s="20" t="n">
        <v>0</v>
      </c>
      <c r="O15" s="18" t="n">
        <v>0</v>
      </c>
      <c r="P15" s="20" t="n">
        <v>0</v>
      </c>
      <c r="Q15" s="18" t="n">
        <v>0.8534222</v>
      </c>
      <c r="R15" s="20" t="n">
        <v>0.4927123</v>
      </c>
    </row>
    <row r="16" spans="1:18">
      <c r="A16" s="15" t="s">
        <v>574</v>
      </c>
      <c r="B16" s="17" t="n">
        <v>3111</v>
      </c>
      <c r="C16" s="18">
        <f>(2792.0/B16*100)</f>
        <v/>
      </c>
      <c r="D16" s="19" t="n">
        <v>319</v>
      </c>
      <c r="E16" s="18" t="n">
        <v>39.22275606</v>
      </c>
      <c r="F16" s="20" t="n">
        <v>2.7993285</v>
      </c>
      <c r="G16" s="18" t="n">
        <v>58.26796825</v>
      </c>
      <c r="H16" s="20" t="n">
        <v>2.98450143</v>
      </c>
      <c r="I16" s="18" t="n">
        <v>0</v>
      </c>
      <c r="J16" s="20" t="n">
        <v>0</v>
      </c>
      <c r="K16" s="18" t="n">
        <v>0.27245486</v>
      </c>
      <c r="L16" s="20" t="n">
        <v>0.27757293</v>
      </c>
      <c r="M16" s="18" t="n">
        <v>0</v>
      </c>
      <c r="N16" s="20" t="n">
        <v>0</v>
      </c>
      <c r="O16" s="18" t="n">
        <v>0</v>
      </c>
      <c r="P16" s="20" t="n">
        <v>0</v>
      </c>
      <c r="Q16" s="18" t="n">
        <v>2.23682083</v>
      </c>
      <c r="R16" s="20" t="n">
        <v>1.18784845</v>
      </c>
    </row>
    <row r="17" spans="1:18">
      <c r="A17" s="15" t="s">
        <v>575</v>
      </c>
      <c r="B17" s="17" t="n">
        <v>3197</v>
      </c>
      <c r="C17" s="18">
        <f>(2774.0/B17*100)</f>
        <v/>
      </c>
      <c r="D17" s="19" t="n">
        <v>423</v>
      </c>
      <c r="E17" s="18" t="n">
        <v>31.35366524</v>
      </c>
      <c r="F17" s="20" t="n">
        <v>2.47139201</v>
      </c>
      <c r="G17" s="18" t="n">
        <v>67.05696374</v>
      </c>
      <c r="H17" s="20" t="n">
        <v>2.53352551</v>
      </c>
      <c r="I17" s="18" t="n">
        <v>0</v>
      </c>
      <c r="J17" s="20" t="n">
        <v>0</v>
      </c>
      <c r="K17" s="18" t="n">
        <v>0.60372636</v>
      </c>
      <c r="L17" s="20" t="n">
        <v>0.38241592</v>
      </c>
      <c r="M17" s="18" t="n">
        <v>0</v>
      </c>
      <c r="N17" s="20" t="n">
        <v>0</v>
      </c>
      <c r="O17" s="18" t="n">
        <v>0</v>
      </c>
      <c r="P17" s="20" t="n">
        <v>0</v>
      </c>
      <c r="Q17" s="18" t="n">
        <v>0.98564466</v>
      </c>
      <c r="R17" s="20" t="n">
        <v>0.62995105</v>
      </c>
    </row>
    <row r="18" spans="1:18">
      <c r="A18" s="15" t="s">
        <v>576</v>
      </c>
      <c r="B18" s="17" t="n">
        <v>2706</v>
      </c>
      <c r="C18" s="18">
        <f>(2424.0/B18*100)</f>
        <v/>
      </c>
      <c r="D18" s="19" t="n">
        <v>282</v>
      </c>
      <c r="E18" s="18" t="n">
        <v>40.70726096</v>
      </c>
      <c r="F18" s="20" t="n">
        <v>3.54201629</v>
      </c>
      <c r="G18" s="18" t="n">
        <v>57.04089527</v>
      </c>
      <c r="H18" s="20" t="n">
        <v>3.65326527</v>
      </c>
      <c r="I18" s="18" t="n">
        <v>0</v>
      </c>
      <c r="J18" s="20" t="n">
        <v>0</v>
      </c>
      <c r="K18" s="18" t="n">
        <v>0.29345298</v>
      </c>
      <c r="L18" s="20" t="n">
        <v>0.29015193</v>
      </c>
      <c r="M18" s="18" t="n">
        <v>0</v>
      </c>
      <c r="N18" s="20" t="n">
        <v>0</v>
      </c>
      <c r="O18" s="18" t="n">
        <v>0</v>
      </c>
      <c r="P18" s="20" t="n">
        <v>0</v>
      </c>
      <c r="Q18" s="18" t="n">
        <v>1.95839079</v>
      </c>
      <c r="R18" s="20" t="n">
        <v>1.18914265</v>
      </c>
    </row>
    <row r="19" spans="1:18">
      <c r="A19" s="15" t="s">
        <v>577</v>
      </c>
      <c r="B19" s="17" t="n">
        <v>2850</v>
      </c>
      <c r="C19" s="18">
        <f>(2532.0/B19*100)</f>
        <v/>
      </c>
      <c r="D19" s="19" t="n">
        <v>318</v>
      </c>
      <c r="E19" s="18" t="n">
        <v>44.44890965</v>
      </c>
      <c r="F19" s="20" t="n">
        <v>2.64911289</v>
      </c>
      <c r="G19" s="18" t="n">
        <v>55.55109035</v>
      </c>
      <c r="H19" s="20" t="n">
        <v>2.64911289</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(1555.0/B20*100)</f>
        <v/>
      </c>
      <c r="D20" s="19" t="n">
        <v>186</v>
      </c>
      <c r="E20" s="18" t="n">
        <v>50.72001002</v>
      </c>
      <c r="F20" s="20" t="n">
        <v>3.85751067</v>
      </c>
      <c r="G20" s="18" t="n">
        <v>44.9463139</v>
      </c>
      <c r="H20" s="20" t="n">
        <v>3.89993136</v>
      </c>
      <c r="I20" s="18" t="n">
        <v>0</v>
      </c>
      <c r="J20" s="20" t="n">
        <v>0</v>
      </c>
      <c r="K20" s="18" t="n">
        <v>0.6228449700000001</v>
      </c>
      <c r="L20" s="20" t="n">
        <v>0.60654285</v>
      </c>
      <c r="M20" s="18" t="n">
        <v>0</v>
      </c>
      <c r="N20" s="20" t="n">
        <v>0</v>
      </c>
      <c r="O20" s="18" t="n">
        <v>0</v>
      </c>
      <c r="P20" s="20" t="n">
        <v>0</v>
      </c>
      <c r="Q20" s="18" t="n">
        <v>3.71083111</v>
      </c>
      <c r="R20" s="20" t="n">
        <v>1.52234082</v>
      </c>
    </row>
    <row r="21" spans="1:18">
      <c r="A21" s="15" t="s">
        <v>579</v>
      </c>
      <c r="B21" s="17" t="n">
        <v>2833</v>
      </c>
      <c r="C21" s="18">
        <f>(2516.0/B21*100)</f>
        <v/>
      </c>
      <c r="D21" s="19" t="n">
        <v>317</v>
      </c>
      <c r="E21" s="18" t="n">
        <v>61.09424775</v>
      </c>
      <c r="F21" s="20" t="n">
        <v>2.63092805</v>
      </c>
      <c r="G21" s="18" t="n">
        <v>37.95248629</v>
      </c>
      <c r="H21" s="20" t="n">
        <v>2.64202135</v>
      </c>
      <c r="I21" s="18" t="n">
        <v>0</v>
      </c>
      <c r="J21" s="20" t="n">
        <v>0</v>
      </c>
      <c r="K21" s="18" t="n">
        <v>0</v>
      </c>
      <c r="L21" s="20" t="n">
        <v>0</v>
      </c>
      <c r="M21" s="18" t="n">
        <v>0</v>
      </c>
      <c r="N21" s="20" t="n">
        <v>0</v>
      </c>
      <c r="O21" s="18" t="n">
        <v>0</v>
      </c>
      <c r="P21" s="20" t="n">
        <v>0</v>
      </c>
      <c r="Q21" s="18" t="n">
        <v>0.95326596</v>
      </c>
      <c r="R21" s="20" t="n">
        <v>0.54431233</v>
      </c>
    </row>
    <row r="22" spans="1:18">
      <c r="A22" s="15" t="s">
        <v>580</v>
      </c>
      <c r="B22" s="17" t="n">
        <v>3667</v>
      </c>
      <c r="C22" s="18">
        <f>(3237.0/B22*100)</f>
        <v/>
      </c>
      <c r="D22" s="19" t="n">
        <v>430</v>
      </c>
      <c r="E22" s="18" t="n">
        <v>41.91614769</v>
      </c>
      <c r="F22" s="20" t="n">
        <v>2.93425986</v>
      </c>
      <c r="G22" s="18" t="n">
        <v>53.8719341</v>
      </c>
      <c r="H22" s="20" t="n">
        <v>3.14845694</v>
      </c>
      <c r="I22" s="18" t="n">
        <v>0</v>
      </c>
      <c r="J22" s="20" t="n">
        <v>0</v>
      </c>
      <c r="K22" s="18" t="n">
        <v>0.90565949</v>
      </c>
      <c r="L22" s="20" t="n">
        <v>0.5766377499999999</v>
      </c>
      <c r="M22" s="18" t="n">
        <v>0</v>
      </c>
      <c r="N22" s="20" t="n">
        <v>0</v>
      </c>
      <c r="O22" s="18" t="n">
        <v>0</v>
      </c>
      <c r="P22" s="20" t="n">
        <v>0</v>
      </c>
      <c r="Q22" s="18" t="n">
        <v>3.30625872</v>
      </c>
      <c r="R22" s="20" t="n">
        <v>0.97773085</v>
      </c>
    </row>
    <row r="23" spans="1:18">
      <c r="A23" s="15" t="s">
        <v>581</v>
      </c>
      <c r="B23" s="17" t="n">
        <v>5792</v>
      </c>
      <c r="C23" s="18">
        <f>(5159.0/B23*100)</f>
        <v/>
      </c>
      <c r="D23" s="19" t="n">
        <v>633</v>
      </c>
      <c r="E23" s="18" t="n">
        <v>33.16018208</v>
      </c>
      <c r="F23" s="20" t="n">
        <v>2.67804804</v>
      </c>
      <c r="G23" s="18" t="n">
        <v>64.17164489</v>
      </c>
      <c r="H23" s="20" t="n">
        <v>2.92462888</v>
      </c>
      <c r="I23" s="18" t="n">
        <v>0</v>
      </c>
      <c r="J23" s="20" t="n">
        <v>0</v>
      </c>
      <c r="K23" s="18" t="n">
        <v>0</v>
      </c>
      <c r="L23" s="20" t="n">
        <v>0</v>
      </c>
      <c r="M23" s="18" t="n">
        <v>0</v>
      </c>
      <c r="N23" s="20" t="n">
        <v>0</v>
      </c>
      <c r="O23" s="18" t="n">
        <v>0</v>
      </c>
      <c r="P23" s="20" t="n">
        <v>0</v>
      </c>
      <c r="Q23" s="18" t="n">
        <v>2.66817303</v>
      </c>
      <c r="R23" s="20" t="n">
        <v>0.92106689</v>
      </c>
    </row>
    <row r="24" spans="1:18">
      <c r="A24" s="15" t="s">
        <v>582</v>
      </c>
      <c r="B24" s="17" t="n">
        <v>3309</v>
      </c>
      <c r="C24" s="18">
        <f>(2925.0/B24*100)</f>
        <v/>
      </c>
      <c r="D24" s="19" t="n">
        <v>384</v>
      </c>
      <c r="E24" s="18" t="n">
        <v>34.77439044</v>
      </c>
      <c r="F24" s="20" t="n">
        <v>3.29316625</v>
      </c>
      <c r="G24" s="18" t="n">
        <v>63.35150909</v>
      </c>
      <c r="H24" s="20" t="n">
        <v>3.28735356</v>
      </c>
      <c r="I24" s="18" t="n">
        <v>0</v>
      </c>
      <c r="J24" s="20" t="n">
        <v>0</v>
      </c>
      <c r="K24" s="18" t="n">
        <v>0.23562327</v>
      </c>
      <c r="L24" s="20" t="n">
        <v>0.23424939</v>
      </c>
      <c r="M24" s="18" t="n">
        <v>0</v>
      </c>
      <c r="N24" s="20" t="n">
        <v>0</v>
      </c>
      <c r="O24" s="18" t="n">
        <v>0</v>
      </c>
      <c r="P24" s="20" t="n">
        <v>0</v>
      </c>
      <c r="Q24" s="18" t="n">
        <v>1.6384772</v>
      </c>
      <c r="R24" s="20" t="n">
        <v>0.66640339</v>
      </c>
    </row>
    <row r="25" spans="1:18">
      <c r="A25" s="15" t="s">
        <v>583</v>
      </c>
      <c r="B25" s="17" t="n">
        <v>2669</v>
      </c>
      <c r="C25" s="18">
        <f>(2381.0/B25*100)</f>
        <v/>
      </c>
      <c r="D25" s="19" t="n">
        <v>288</v>
      </c>
      <c r="E25" s="18" t="n">
        <v>35.40530154</v>
      </c>
      <c r="F25" s="20" t="n">
        <v>3.18297356</v>
      </c>
      <c r="G25" s="18" t="n">
        <v>63.92378472</v>
      </c>
      <c r="H25" s="20" t="n">
        <v>3.09712381</v>
      </c>
      <c r="I25" s="18" t="n">
        <v>0</v>
      </c>
      <c r="J25" s="20" t="n">
        <v>0</v>
      </c>
      <c r="K25" s="18" t="n">
        <v>0.30372124</v>
      </c>
      <c r="L25" s="20" t="n">
        <v>0.30159766</v>
      </c>
      <c r="M25" s="18" t="n">
        <v>0</v>
      </c>
      <c r="N25" s="20" t="n">
        <v>0</v>
      </c>
      <c r="O25" s="18" t="n">
        <v>0</v>
      </c>
      <c r="P25" s="20" t="n">
        <v>0</v>
      </c>
      <c r="Q25" s="18" t="n">
        <v>0.3671925</v>
      </c>
      <c r="R25" s="20" t="n">
        <v>0.36495725</v>
      </c>
    </row>
    <row r="26" spans="1:18">
      <c r="A26" s="15" t="s">
        <v>584</v>
      </c>
      <c r="B26" s="17" t="n">
        <v>2419</v>
      </c>
      <c r="C26" s="18">
        <f>(2147.0/B26*100)</f>
        <v/>
      </c>
      <c r="D26" s="19" t="n">
        <v>272</v>
      </c>
      <c r="E26" s="18" t="n">
        <v>36.64589708</v>
      </c>
      <c r="F26" s="20" t="n">
        <v>2.95464541</v>
      </c>
      <c r="G26" s="18" t="n">
        <v>61.88825309</v>
      </c>
      <c r="H26" s="20" t="n">
        <v>2.98289124</v>
      </c>
      <c r="I26" s="18" t="n">
        <v>0</v>
      </c>
      <c r="J26" s="20" t="n">
        <v>0</v>
      </c>
      <c r="K26" s="18" t="n">
        <v>0</v>
      </c>
      <c r="L26" s="20" t="n">
        <v>0</v>
      </c>
      <c r="M26" s="18" t="n">
        <v>0</v>
      </c>
      <c r="N26" s="20" t="n">
        <v>0</v>
      </c>
      <c r="O26" s="18" t="n">
        <v>0</v>
      </c>
      <c r="P26" s="20" t="n">
        <v>0</v>
      </c>
      <c r="Q26" s="18" t="n">
        <v>1.46584983</v>
      </c>
      <c r="R26" s="20" t="n">
        <v>0.57125828</v>
      </c>
    </row>
    <row r="27" spans="1:18">
      <c r="A27" s="15" t="s">
        <v>585</v>
      </c>
      <c r="B27" s="17" t="n">
        <v>2683</v>
      </c>
      <c r="C27" s="18">
        <f>(2379.0/B27*100)</f>
        <v/>
      </c>
      <c r="D27" s="19" t="n">
        <v>304</v>
      </c>
      <c r="E27" s="18" t="n">
        <v>38.79993342</v>
      </c>
      <c r="F27" s="20" t="n">
        <v>2.99615785</v>
      </c>
      <c r="G27" s="18" t="n">
        <v>58.90054089</v>
      </c>
      <c r="H27" s="20" t="n">
        <v>3.01184247</v>
      </c>
      <c r="I27" s="18" t="n">
        <v>0</v>
      </c>
      <c r="J27" s="20" t="n">
        <v>0</v>
      </c>
      <c r="K27" s="18" t="n">
        <v>0</v>
      </c>
      <c r="L27" s="20" t="n">
        <v>0</v>
      </c>
      <c r="M27" s="18" t="n">
        <v>0</v>
      </c>
      <c r="N27" s="20" t="n">
        <v>0</v>
      </c>
      <c r="O27" s="18" t="n">
        <v>0</v>
      </c>
      <c r="P27" s="20" t="n">
        <v>0</v>
      </c>
      <c r="Q27" s="18" t="n">
        <v>2.29952569</v>
      </c>
      <c r="R27" s="20" t="n">
        <v>0.86476997</v>
      </c>
    </row>
    <row r="28" spans="1:18">
      <c r="A28" s="15" t="s">
        <v>586</v>
      </c>
      <c r="B28" s="17" t="n">
        <v>3803</v>
      </c>
      <c r="C28" s="18">
        <f>(3420.0/B28*100)</f>
        <v/>
      </c>
      <c r="D28" s="19" t="n">
        <v>383</v>
      </c>
      <c r="E28" s="18" t="n">
        <v>60.79005888</v>
      </c>
      <c r="F28" s="20" t="n">
        <v>2.92763854</v>
      </c>
      <c r="G28" s="18" t="n">
        <v>37.319557</v>
      </c>
      <c r="H28" s="20" t="n">
        <v>2.8015588</v>
      </c>
      <c r="I28" s="18" t="n">
        <v>0</v>
      </c>
      <c r="J28" s="20" t="n">
        <v>0</v>
      </c>
      <c r="K28" s="18" t="n">
        <v>0.56450996</v>
      </c>
      <c r="L28" s="20" t="n">
        <v>0.40117285</v>
      </c>
      <c r="M28" s="18" t="n">
        <v>0</v>
      </c>
      <c r="N28" s="20" t="n">
        <v>0</v>
      </c>
      <c r="O28" s="18" t="n">
        <v>0</v>
      </c>
      <c r="P28" s="20" t="n">
        <v>0</v>
      </c>
      <c r="Q28" s="18" t="n">
        <v>1.32587416</v>
      </c>
      <c r="R28" s="20" t="n">
        <v>0.6056884300000001</v>
      </c>
    </row>
    <row r="29" spans="1:18">
      <c r="A29" s="15" t="s">
        <v>587</v>
      </c>
      <c r="B29" s="17" t="n">
        <v>2700</v>
      </c>
      <c r="C29" s="18">
        <f>(2333.0/B29*100)</f>
        <v/>
      </c>
      <c r="D29" s="19" t="n">
        <v>367</v>
      </c>
      <c r="E29" s="18" t="n">
        <v>43.68727791</v>
      </c>
      <c r="F29" s="20" t="n">
        <v>2.2721535</v>
      </c>
      <c r="G29" s="18" t="n">
        <v>54.68858497</v>
      </c>
      <c r="H29" s="20" t="n">
        <v>2.24431164</v>
      </c>
      <c r="I29" s="18" t="n">
        <v>0</v>
      </c>
      <c r="J29" s="20" t="n">
        <v>0</v>
      </c>
      <c r="K29" s="18" t="n">
        <v>0.56758531</v>
      </c>
      <c r="L29" s="20" t="n">
        <v>0.5643624</v>
      </c>
      <c r="M29" s="18" t="n">
        <v>0</v>
      </c>
      <c r="N29" s="20" t="n">
        <v>0</v>
      </c>
      <c r="O29" s="18" t="n">
        <v>0</v>
      </c>
      <c r="P29" s="20" t="n">
        <v>0</v>
      </c>
      <c r="Q29" s="18" t="n">
        <v>1.05655181</v>
      </c>
      <c r="R29" s="20" t="n">
        <v>0.53124872</v>
      </c>
    </row>
    <row r="30" spans="1:18">
      <c r="A30" s="15" t="s">
        <v>588</v>
      </c>
      <c r="B30" s="17" t="n">
        <v>2257</v>
      </c>
      <c r="C30" s="18">
        <f>(2023.0/B30*100)</f>
        <v/>
      </c>
      <c r="D30" s="19" t="n">
        <v>234</v>
      </c>
      <c r="E30" s="18" t="n">
        <v>45.3047792</v>
      </c>
      <c r="F30" s="20" t="n">
        <v>3.03713006</v>
      </c>
      <c r="G30" s="18" t="n">
        <v>53.11957579</v>
      </c>
      <c r="H30" s="20" t="n">
        <v>3.11049488</v>
      </c>
      <c r="I30" s="18" t="n">
        <v>0</v>
      </c>
      <c r="J30" s="20" t="n">
        <v>0</v>
      </c>
      <c r="K30" s="18" t="n">
        <v>0</v>
      </c>
      <c r="L30" s="20" t="n">
        <v>0</v>
      </c>
      <c r="M30" s="18" t="n">
        <v>0</v>
      </c>
      <c r="N30" s="20" t="n">
        <v>0</v>
      </c>
      <c r="O30" s="18" t="n">
        <v>0</v>
      </c>
      <c r="P30" s="20" t="n">
        <v>0</v>
      </c>
      <c r="Q30" s="18" t="n">
        <v>1.57564501</v>
      </c>
      <c r="R30" s="20" t="n">
        <v>0.84878133</v>
      </c>
    </row>
    <row r="31" spans="1:18">
      <c r="A31" s="15" t="s">
        <v>589</v>
      </c>
      <c r="B31" s="17" t="n">
        <v>2706</v>
      </c>
      <c r="C31" s="18">
        <f>(2407.0/B31*100)</f>
        <v/>
      </c>
      <c r="D31" s="19" t="n">
        <v>299</v>
      </c>
      <c r="E31" s="18" t="n">
        <v>47.77058567</v>
      </c>
      <c r="F31" s="20" t="n">
        <v>2.97457873</v>
      </c>
      <c r="G31" s="18" t="n">
        <v>49.918306</v>
      </c>
      <c r="H31" s="20" t="n">
        <v>2.78105772</v>
      </c>
      <c r="I31" s="18" t="n">
        <v>0</v>
      </c>
      <c r="J31" s="20" t="n">
        <v>0</v>
      </c>
      <c r="K31" s="18" t="n">
        <v>0.64656788</v>
      </c>
      <c r="L31" s="20" t="n">
        <v>0.4563776</v>
      </c>
      <c r="M31" s="18" t="n">
        <v>0</v>
      </c>
      <c r="N31" s="20" t="n">
        <v>0</v>
      </c>
      <c r="O31" s="18" t="n">
        <v>0</v>
      </c>
      <c r="P31" s="20" t="n">
        <v>0</v>
      </c>
      <c r="Q31" s="18" t="n">
        <v>1.66454044</v>
      </c>
      <c r="R31" s="20" t="n">
        <v>0.73041135</v>
      </c>
    </row>
    <row r="32" spans="1:18">
      <c r="A32" s="15" t="s">
        <v>590</v>
      </c>
      <c r="B32" s="17" t="n">
        <v>2209</v>
      </c>
      <c r="C32" s="18">
        <f>(1960.0/B32*100)</f>
        <v/>
      </c>
      <c r="D32" s="19" t="n">
        <v>249</v>
      </c>
      <c r="E32" s="18" t="n">
        <v>33.96675367</v>
      </c>
      <c r="F32" s="20" t="n">
        <v>3.05572467</v>
      </c>
      <c r="G32" s="18" t="n">
        <v>64.92241667</v>
      </c>
      <c r="H32" s="20" t="n">
        <v>3.08426033</v>
      </c>
      <c r="I32" s="18" t="n">
        <v>0</v>
      </c>
      <c r="J32" s="20" t="n">
        <v>0</v>
      </c>
      <c r="K32" s="18" t="n">
        <v>0.32957884</v>
      </c>
      <c r="L32" s="20" t="n">
        <v>0.33166898</v>
      </c>
      <c r="M32" s="18" t="n">
        <v>0</v>
      </c>
      <c r="N32" s="20" t="n">
        <v>0</v>
      </c>
      <c r="O32" s="18" t="n">
        <v>0</v>
      </c>
      <c r="P32" s="20" t="n">
        <v>0</v>
      </c>
      <c r="Q32" s="18" t="n">
        <v>0.78125082</v>
      </c>
      <c r="R32" s="20" t="n">
        <v>0.54558979</v>
      </c>
    </row>
    <row r="33" spans="1:18">
      <c r="A33" s="15" t="s">
        <v>591</v>
      </c>
      <c r="B33" s="17" t="n">
        <v>3651</v>
      </c>
      <c r="C33" s="18">
        <f>(3252.0/B33*100)</f>
        <v/>
      </c>
      <c r="D33" s="19" t="n">
        <v>399</v>
      </c>
      <c r="E33" s="18" t="n">
        <v>34.82345523</v>
      </c>
      <c r="F33" s="20" t="n">
        <v>2.97991898</v>
      </c>
      <c r="G33" s="18" t="n">
        <v>63.59527663</v>
      </c>
      <c r="H33" s="20" t="n">
        <v>2.87794473</v>
      </c>
      <c r="I33" s="18" t="n">
        <v>0</v>
      </c>
      <c r="J33" s="20" t="n">
        <v>0</v>
      </c>
      <c r="K33" s="18" t="n">
        <v>0.32732555</v>
      </c>
      <c r="L33" s="20" t="n">
        <v>0.36557929</v>
      </c>
      <c r="M33" s="18" t="n">
        <v>0</v>
      </c>
      <c r="N33" s="20" t="n">
        <v>0</v>
      </c>
      <c r="O33" s="18" t="n">
        <v>0</v>
      </c>
      <c r="P33" s="20" t="n">
        <v>0</v>
      </c>
      <c r="Q33" s="18" t="n">
        <v>1.25394259</v>
      </c>
      <c r="R33" s="20" t="n">
        <v>0.6702269</v>
      </c>
    </row>
    <row r="34" spans="1:18">
      <c r="A34" s="15" t="s">
        <v>592</v>
      </c>
      <c r="B34" s="17" t="n">
        <v>3035</v>
      </c>
      <c r="C34" s="18">
        <f>(2651.0/B34*100)</f>
        <v/>
      </c>
      <c r="D34" s="19" t="n">
        <v>384</v>
      </c>
      <c r="E34" s="18" t="n">
        <v>47.36111282</v>
      </c>
      <c r="F34" s="20" t="n">
        <v>2.69725893</v>
      </c>
      <c r="G34" s="18" t="n">
        <v>51.5126238</v>
      </c>
      <c r="H34" s="20" t="n">
        <v>2.75621191</v>
      </c>
      <c r="I34" s="18" t="n">
        <v>0</v>
      </c>
      <c r="J34" s="20" t="n">
        <v>0</v>
      </c>
      <c r="K34" s="18" t="n">
        <v>0</v>
      </c>
      <c r="L34" s="20" t="n">
        <v>0</v>
      </c>
      <c r="M34" s="18" t="n">
        <v>0</v>
      </c>
      <c r="N34" s="20" t="n">
        <v>0</v>
      </c>
      <c r="O34" s="18" t="n">
        <v>0</v>
      </c>
      <c r="P34" s="20" t="n">
        <v>0</v>
      </c>
      <c r="Q34" s="18" t="n">
        <v>1.12626338</v>
      </c>
      <c r="R34" s="20" t="n">
        <v>0.857787</v>
      </c>
    </row>
    <row r="35" spans="1:18">
      <c r="A35" s="15" t="s">
        <v>593</v>
      </c>
      <c r="B35" s="17" t="n">
        <v>2901</v>
      </c>
      <c r="C35" s="18">
        <f>(2551.0/B35*100)</f>
        <v/>
      </c>
      <c r="D35" s="19" t="n">
        <v>350</v>
      </c>
      <c r="E35" s="18" t="n">
        <v>26.7884765</v>
      </c>
      <c r="F35" s="20" t="n">
        <v>3.00816992</v>
      </c>
      <c r="G35" s="18" t="n">
        <v>72.39707704</v>
      </c>
      <c r="H35" s="20" t="n">
        <v>3.06329507</v>
      </c>
      <c r="I35" s="18" t="n">
        <v>0</v>
      </c>
      <c r="J35" s="20" t="n">
        <v>0</v>
      </c>
      <c r="K35" s="18" t="n">
        <v>0</v>
      </c>
      <c r="L35" s="20" t="n">
        <v>0</v>
      </c>
      <c r="M35" s="18" t="n">
        <v>0</v>
      </c>
      <c r="N35" s="20" t="n">
        <v>0</v>
      </c>
      <c r="O35" s="18" t="n">
        <v>0</v>
      </c>
      <c r="P35" s="20" t="n">
        <v>0</v>
      </c>
      <c r="Q35" s="18" t="n">
        <v>0.81444646</v>
      </c>
      <c r="R35" s="20" t="n">
        <v>0.57751534</v>
      </c>
    </row>
    <row r="36" spans="1:18">
      <c r="A36" s="15" t="s">
        <v>594</v>
      </c>
      <c r="B36" s="17" t="n">
        <v>3404</v>
      </c>
      <c r="C36" s="18">
        <f>(3051.0/B36*100)</f>
        <v/>
      </c>
      <c r="D36" s="19" t="n">
        <v>353</v>
      </c>
      <c r="E36" s="18" t="n">
        <v>45.82029916</v>
      </c>
      <c r="F36" s="20" t="n">
        <v>2.93039695</v>
      </c>
      <c r="G36" s="18" t="n">
        <v>53.21960312</v>
      </c>
      <c r="H36" s="20" t="n">
        <v>2.87451787</v>
      </c>
      <c r="I36" s="18" t="n">
        <v>0</v>
      </c>
      <c r="J36" s="20" t="n">
        <v>0</v>
      </c>
      <c r="K36" s="18" t="n">
        <v>0</v>
      </c>
      <c r="L36" s="20" t="n">
        <v>0</v>
      </c>
      <c r="M36" s="18" t="n">
        <v>0</v>
      </c>
      <c r="N36" s="20" t="n">
        <v>0</v>
      </c>
      <c r="O36" s="18" t="n">
        <v>0</v>
      </c>
      <c r="P36" s="20" t="n">
        <v>0</v>
      </c>
      <c r="Q36" s="18" t="n">
        <v>0.96009772</v>
      </c>
      <c r="R36" s="20" t="n">
        <v>0.66319002</v>
      </c>
    </row>
    <row r="37" spans="1:18">
      <c r="A37" s="15" t="s">
        <v>595</v>
      </c>
      <c r="B37" s="17" t="n">
        <v>2731</v>
      </c>
      <c r="C37" s="18">
        <f>(2443.0/B37*100)</f>
        <v/>
      </c>
      <c r="D37" s="19" t="n">
        <v>288</v>
      </c>
      <c r="E37" s="18" t="n">
        <v>46.98379878</v>
      </c>
      <c r="F37" s="20" t="n">
        <v>3.42260887</v>
      </c>
      <c r="G37" s="18" t="n">
        <v>51.24325496</v>
      </c>
      <c r="H37" s="20" t="n">
        <v>3.40269288</v>
      </c>
      <c r="I37" s="18" t="n">
        <v>0</v>
      </c>
      <c r="J37" s="20" t="n">
        <v>0</v>
      </c>
      <c r="K37" s="18" t="n">
        <v>0.39652841</v>
      </c>
      <c r="L37" s="20" t="n">
        <v>0.39385196</v>
      </c>
      <c r="M37" s="18" t="n">
        <v>0</v>
      </c>
      <c r="N37" s="20" t="n">
        <v>0</v>
      </c>
      <c r="O37" s="18" t="n">
        <v>0</v>
      </c>
      <c r="P37" s="20" t="n">
        <v>0</v>
      </c>
      <c r="Q37" s="18" t="n">
        <v>1.37641785</v>
      </c>
      <c r="R37" s="20" t="n">
        <v>0.66712308</v>
      </c>
    </row>
    <row r="38" spans="1:18">
      <c r="A38" s="15" t="s">
        <v>596</v>
      </c>
      <c r="B38" s="17" t="n">
        <v>2807</v>
      </c>
      <c r="C38" s="18">
        <f>(2503.0/B38*100)</f>
        <v/>
      </c>
      <c r="D38" s="19" t="n">
        <v>304</v>
      </c>
      <c r="E38" s="18" t="n">
        <v>32.50911011</v>
      </c>
      <c r="F38" s="20" t="n">
        <v>3.57312001</v>
      </c>
      <c r="G38" s="18" t="n">
        <v>65.94497114000001</v>
      </c>
      <c r="H38" s="20" t="n">
        <v>3.48214447</v>
      </c>
      <c r="I38" s="18" t="n">
        <v>0</v>
      </c>
      <c r="J38" s="20" t="n">
        <v>0</v>
      </c>
      <c r="K38" s="18" t="n">
        <v>0</v>
      </c>
      <c r="L38" s="20" t="n">
        <v>0</v>
      </c>
      <c r="M38" s="18" t="n">
        <v>0</v>
      </c>
      <c r="N38" s="20" t="n">
        <v>0</v>
      </c>
      <c r="O38" s="18" t="n">
        <v>0</v>
      </c>
      <c r="P38" s="20" t="n">
        <v>0</v>
      </c>
      <c r="Q38" s="18" t="n">
        <v>1.54591875</v>
      </c>
      <c r="R38" s="20" t="n">
        <v>0.89346757</v>
      </c>
    </row>
    <row r="39" spans="1:18">
      <c r="A39" s="15" t="s">
        <v>597</v>
      </c>
      <c r="B39" s="17" t="n">
        <v>2938</v>
      </c>
      <c r="C39" s="18">
        <f>(2591.0/B39*100)</f>
        <v/>
      </c>
      <c r="D39" s="19" t="n">
        <v>347</v>
      </c>
      <c r="E39" s="18" t="n">
        <v>50.28377354</v>
      </c>
      <c r="F39" s="20" t="n">
        <v>3.454134</v>
      </c>
      <c r="G39" s="18" t="n">
        <v>49.39784756</v>
      </c>
      <c r="H39" s="20" t="n">
        <v>3.41412328</v>
      </c>
      <c r="I39" s="18" t="n">
        <v>0</v>
      </c>
      <c r="J39" s="20" t="n">
        <v>0</v>
      </c>
      <c r="K39" s="18" t="n">
        <v>0</v>
      </c>
      <c r="L39" s="20" t="n">
        <v>0</v>
      </c>
      <c r="M39" s="18" t="n">
        <v>0</v>
      </c>
      <c r="N39" s="20" t="n">
        <v>0</v>
      </c>
      <c r="O39" s="18" t="n">
        <v>0</v>
      </c>
      <c r="P39" s="20" t="n">
        <v>0</v>
      </c>
      <c r="Q39" s="18" t="n">
        <v>0.3183789</v>
      </c>
      <c r="R39" s="20" t="n">
        <v>0.31966463</v>
      </c>
    </row>
    <row r="40" spans="1:18">
      <c r="A40" s="15" t="s">
        <v>598</v>
      </c>
      <c r="B40" s="17" t="n">
        <v>6922</v>
      </c>
      <c r="C40" s="18">
        <f>(6192.0/B40*100)</f>
        <v/>
      </c>
      <c r="D40" s="19" t="n">
        <v>730</v>
      </c>
      <c r="E40" s="18" t="n">
        <v>53.97044223</v>
      </c>
      <c r="F40" s="20" t="n">
        <v>2.96929294</v>
      </c>
      <c r="G40" s="18" t="n">
        <v>45.42826046</v>
      </c>
      <c r="H40" s="20" t="n">
        <v>3.00278856</v>
      </c>
      <c r="I40" s="18" t="n">
        <v>0</v>
      </c>
      <c r="J40" s="20" t="n">
        <v>0</v>
      </c>
      <c r="K40" s="18" t="n">
        <v>0.04952892</v>
      </c>
      <c r="L40" s="20" t="n">
        <v>0.0481047</v>
      </c>
      <c r="M40" s="18" t="n">
        <v>0</v>
      </c>
      <c r="N40" s="20" t="n">
        <v>0</v>
      </c>
      <c r="O40" s="18" t="n">
        <v>0</v>
      </c>
      <c r="P40" s="20" t="n">
        <v>0</v>
      </c>
      <c r="Q40" s="18" t="n">
        <v>0.55176839</v>
      </c>
      <c r="R40" s="20" t="n">
        <v>0.26862247</v>
      </c>
    </row>
    <row r="41" spans="1:18">
      <c r="A41" s="15" t="s">
        <v>599</v>
      </c>
      <c r="B41" s="17" t="n">
        <v>2854</v>
      </c>
      <c r="C41" s="18">
        <f>(2540.0/B41*100)</f>
        <v/>
      </c>
      <c r="D41" s="19" t="n">
        <v>314</v>
      </c>
      <c r="E41" s="18" t="n">
        <v>56.11705968</v>
      </c>
      <c r="F41" s="20" t="n">
        <v>2.90066083</v>
      </c>
      <c r="G41" s="18" t="n">
        <v>42.50921943</v>
      </c>
      <c r="H41" s="20" t="n">
        <v>2.94940698</v>
      </c>
      <c r="I41" s="18" t="n">
        <v>0</v>
      </c>
      <c r="J41" s="20" t="n">
        <v>0</v>
      </c>
      <c r="K41" s="18" t="n">
        <v>0</v>
      </c>
      <c r="L41" s="20" t="n">
        <v>0</v>
      </c>
      <c r="M41" s="18" t="n">
        <v>0</v>
      </c>
      <c r="N41" s="20" t="n">
        <v>0</v>
      </c>
      <c r="O41" s="18" t="n">
        <v>0</v>
      </c>
      <c r="P41" s="20" t="n">
        <v>0</v>
      </c>
      <c r="Q41" s="18" t="n">
        <v>1.3737209</v>
      </c>
      <c r="R41" s="20" t="n">
        <v>0.67287542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(10862.0/B46*100)</f>
        <v/>
      </c>
      <c r="D46" s="19" t="n">
        <v>1211</v>
      </c>
      <c r="E46" s="18" t="n">
        <v>56.05712414</v>
      </c>
      <c r="F46" s="20" t="n">
        <v>1.88789312</v>
      </c>
      <c r="G46" s="18" t="n">
        <v>41.58514583</v>
      </c>
      <c r="H46" s="20" t="n">
        <v>1.92069176</v>
      </c>
      <c r="I46" s="18" t="n">
        <v>0</v>
      </c>
      <c r="J46" s="20" t="n">
        <v>0</v>
      </c>
      <c r="K46" s="18" t="n">
        <v>0.28453981</v>
      </c>
      <c r="L46" s="20" t="n">
        <v>0.14810305</v>
      </c>
      <c r="M46" s="18" t="n">
        <v>0</v>
      </c>
      <c r="N46" s="20" t="n">
        <v>0</v>
      </c>
      <c r="O46" s="18" t="n">
        <v>0</v>
      </c>
      <c r="P46" s="20" t="n">
        <v>0</v>
      </c>
      <c r="Q46" s="18" t="n">
        <v>2.07319022</v>
      </c>
      <c r="R46" s="20" t="n">
        <v>0.50912555</v>
      </c>
    </row>
    <row r="47" spans="1:18">
      <c r="A47" s="15" t="s">
        <v>606</v>
      </c>
      <c r="B47" s="17" t="n">
        <v>2823</v>
      </c>
      <c r="C47" s="18">
        <f>(2506.0/B47*100)</f>
        <v/>
      </c>
      <c r="D47" s="19" t="n">
        <v>317</v>
      </c>
      <c r="E47" s="18" t="n">
        <v>40.73344655</v>
      </c>
      <c r="F47" s="20" t="n">
        <v>2.67591072</v>
      </c>
      <c r="G47" s="18" t="n">
        <v>55.5308821</v>
      </c>
      <c r="H47" s="20" t="n">
        <v>2.77022249</v>
      </c>
      <c r="I47" s="18" t="n">
        <v>0</v>
      </c>
      <c r="J47" s="20" t="n">
        <v>0</v>
      </c>
      <c r="K47" s="18" t="n">
        <v>0.60334941</v>
      </c>
      <c r="L47" s="20" t="n">
        <v>0.42893846</v>
      </c>
      <c r="M47" s="18" t="n">
        <v>0</v>
      </c>
      <c r="N47" s="20" t="n">
        <v>0</v>
      </c>
      <c r="O47" s="18" t="n">
        <v>0</v>
      </c>
      <c r="P47" s="20" t="n">
        <v>0</v>
      </c>
      <c r="Q47" s="18" t="n">
        <v>3.13232194</v>
      </c>
      <c r="R47" s="20" t="n">
        <v>0.9103603</v>
      </c>
    </row>
    <row r="48" spans="1:18">
      <c r="A48" s="15" t="s">
        <v>607</v>
      </c>
      <c r="B48" s="17" t="n">
        <v>4682</v>
      </c>
      <c r="C48" s="18">
        <f>(4154.0/B48*100)</f>
        <v/>
      </c>
      <c r="D48" s="19" t="n">
        <v>528</v>
      </c>
      <c r="E48" s="18" t="n">
        <v>28.81068802</v>
      </c>
      <c r="F48" s="20" t="n">
        <v>2.53202516</v>
      </c>
      <c r="G48" s="18" t="n">
        <v>69.74795204999999</v>
      </c>
      <c r="H48" s="20" t="n">
        <v>2.74570032</v>
      </c>
      <c r="I48" s="18" t="n">
        <v>0</v>
      </c>
      <c r="J48" s="20" t="n">
        <v>0</v>
      </c>
      <c r="K48" s="18" t="n">
        <v>1.15827901</v>
      </c>
      <c r="L48" s="20" t="n">
        <v>0.821618</v>
      </c>
      <c r="M48" s="18" t="n">
        <v>0</v>
      </c>
      <c r="N48" s="20" t="n">
        <v>0</v>
      </c>
      <c r="O48" s="18" t="n">
        <v>0</v>
      </c>
      <c r="P48" s="20" t="n">
        <v>0</v>
      </c>
      <c r="Q48" s="18" t="n">
        <v>0.28308092</v>
      </c>
      <c r="R48" s="20" t="n">
        <v>0.28417919</v>
      </c>
    </row>
    <row r="49" spans="1:18">
      <c r="A49" s="15" t="s">
        <v>608</v>
      </c>
      <c r="B49" s="17" t="n">
        <v>6158</v>
      </c>
      <c r="C49" s="18">
        <f>(5471.0/B49*100)</f>
        <v/>
      </c>
      <c r="D49" s="19" t="n">
        <v>687</v>
      </c>
      <c r="E49" s="18" t="n">
        <v>52.8461762</v>
      </c>
      <c r="F49" s="20" t="n">
        <v>2.41160898</v>
      </c>
      <c r="G49" s="18" t="n">
        <v>45.64189647</v>
      </c>
      <c r="H49" s="20" t="n">
        <v>2.44008578</v>
      </c>
      <c r="I49" s="18" t="n">
        <v>0</v>
      </c>
      <c r="J49" s="20" t="n">
        <v>0</v>
      </c>
      <c r="K49" s="18" t="n">
        <v>0.9606749</v>
      </c>
      <c r="L49" s="20" t="n">
        <v>0.52442799</v>
      </c>
      <c r="M49" s="18" t="n">
        <v>0</v>
      </c>
      <c r="N49" s="20" t="n">
        <v>0</v>
      </c>
      <c r="O49" s="18" t="n">
        <v>0</v>
      </c>
      <c r="P49" s="20" t="n">
        <v>0</v>
      </c>
      <c r="Q49" s="18" t="n">
        <v>0.55125243</v>
      </c>
      <c r="R49" s="20" t="n">
        <v>0.35018417</v>
      </c>
    </row>
    <row r="50" spans="1:18">
      <c r="A50" s="15" t="s">
        <v>609</v>
      </c>
      <c r="B50" s="17" t="n">
        <v>3494</v>
      </c>
      <c r="C50" s="18">
        <f>(2814.0/B50*100)</f>
        <v/>
      </c>
      <c r="D50" s="19" t="n">
        <v>680</v>
      </c>
      <c r="E50" s="18" t="n">
        <v>59.88413672</v>
      </c>
      <c r="F50" s="20" t="n">
        <v>2.24315239</v>
      </c>
      <c r="G50" s="18" t="n">
        <v>39.19478284</v>
      </c>
      <c r="H50" s="20" t="n">
        <v>2.29142565</v>
      </c>
      <c r="I50" s="18" t="n">
        <v>0</v>
      </c>
      <c r="J50" s="20" t="n">
        <v>0</v>
      </c>
      <c r="K50" s="18" t="n">
        <v>0.20710408</v>
      </c>
      <c r="L50" s="20" t="n">
        <v>0.20319794</v>
      </c>
      <c r="M50" s="18" t="n">
        <v>0</v>
      </c>
      <c r="N50" s="20" t="n">
        <v>0</v>
      </c>
      <c r="O50" s="18" t="n">
        <v>0</v>
      </c>
      <c r="P50" s="20" t="n">
        <v>0</v>
      </c>
      <c r="Q50" s="18" t="n">
        <v>0.71397636</v>
      </c>
      <c r="R50" s="20" t="n">
        <v>0.33373694</v>
      </c>
    </row>
    <row r="51" spans="1:18">
      <c r="A51" s="15" t="s">
        <v>610</v>
      </c>
      <c r="B51" s="17" t="n">
        <v>3013</v>
      </c>
      <c r="C51" s="18">
        <f>(2672.0/B51*100)</f>
        <v/>
      </c>
      <c r="D51" s="19" t="n">
        <v>341</v>
      </c>
      <c r="E51" s="18" t="n">
        <v>32.55467511</v>
      </c>
      <c r="F51" s="20" t="n">
        <v>2.74769344</v>
      </c>
      <c r="G51" s="18" t="n">
        <v>65.29446032</v>
      </c>
      <c r="H51" s="20" t="n">
        <v>2.72777861</v>
      </c>
      <c r="I51" s="18" t="n">
        <v>0</v>
      </c>
      <c r="J51" s="20" t="n">
        <v>0</v>
      </c>
      <c r="K51" s="18" t="n">
        <v>0</v>
      </c>
      <c r="L51" s="20" t="n">
        <v>0</v>
      </c>
      <c r="M51" s="18" t="n">
        <v>0</v>
      </c>
      <c r="N51" s="20" t="n">
        <v>0</v>
      </c>
      <c r="O51" s="18" t="n">
        <v>0</v>
      </c>
      <c r="P51" s="20" t="n">
        <v>0</v>
      </c>
      <c r="Q51" s="18" t="n">
        <v>2.15086456</v>
      </c>
      <c r="R51" s="20" t="n">
        <v>0.8112075399999999</v>
      </c>
    </row>
    <row r="52" spans="1:18">
      <c r="A52" s="15" t="s">
        <v>611</v>
      </c>
      <c r="B52" s="17" t="n">
        <v>2760</v>
      </c>
      <c r="C52" s="18">
        <f>(2462.0/B52*100)</f>
        <v/>
      </c>
      <c r="D52" s="19" t="n">
        <v>298</v>
      </c>
      <c r="E52" s="18" t="n">
        <v>52.02414487</v>
      </c>
      <c r="F52" s="20" t="n">
        <v>2.70424272</v>
      </c>
      <c r="G52" s="18" t="n">
        <v>45.71629661</v>
      </c>
      <c r="H52" s="20" t="n">
        <v>2.82826302</v>
      </c>
      <c r="I52" s="18" t="n">
        <v>0</v>
      </c>
      <c r="J52" s="20" t="n">
        <v>0</v>
      </c>
      <c r="K52" s="18" t="n">
        <v>0</v>
      </c>
      <c r="L52" s="20" t="n">
        <v>0</v>
      </c>
      <c r="M52" s="18" t="n">
        <v>0</v>
      </c>
      <c r="N52" s="20" t="n">
        <v>0</v>
      </c>
      <c r="O52" s="18" t="n">
        <v>0</v>
      </c>
      <c r="P52" s="20" t="n">
        <v>0</v>
      </c>
      <c r="Q52" s="18" t="n">
        <v>2.25955851</v>
      </c>
      <c r="R52" s="20" t="n">
        <v>0.86317122</v>
      </c>
    </row>
    <row r="53" spans="1:18">
      <c r="A53" s="15" t="s">
        <v>612</v>
      </c>
      <c r="B53" s="17" t="n">
        <v>2474</v>
      </c>
      <c r="C53" s="18">
        <f>(2218.0/B53*100)</f>
        <v/>
      </c>
      <c r="D53" s="19" t="n">
        <v>256</v>
      </c>
      <c r="E53" s="18" t="n">
        <v>53.80152097</v>
      </c>
      <c r="F53" s="20" t="n">
        <v>3.43335726</v>
      </c>
      <c r="G53" s="18" t="n">
        <v>33.30122615</v>
      </c>
      <c r="H53" s="20" t="n">
        <v>3.23410846</v>
      </c>
      <c r="I53" s="18" t="n">
        <v>0</v>
      </c>
      <c r="J53" s="20" t="n">
        <v>0</v>
      </c>
      <c r="K53" s="18" t="n">
        <v>8.521542200000001</v>
      </c>
      <c r="L53" s="20" t="n">
        <v>2.02104219</v>
      </c>
      <c r="M53" s="18" t="n">
        <v>0</v>
      </c>
      <c r="N53" s="20" t="n">
        <v>0</v>
      </c>
      <c r="O53" s="18" t="n">
        <v>0</v>
      </c>
      <c r="P53" s="20" t="n">
        <v>0</v>
      </c>
      <c r="Q53" s="18" t="n">
        <v>4.37571068</v>
      </c>
      <c r="R53" s="20" t="n">
        <v>1.2263434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(2362.0/B55*100)</f>
        <v/>
      </c>
      <c r="D55" s="19" t="n">
        <v>313</v>
      </c>
      <c r="E55" s="18" t="n">
        <v>30.86802708</v>
      </c>
      <c r="F55" s="20" t="n">
        <v>3.27054207</v>
      </c>
      <c r="G55" s="18" t="n">
        <v>68.15626975000001</v>
      </c>
      <c r="H55" s="20" t="n">
        <v>3.25153852</v>
      </c>
      <c r="I55" s="18" t="n">
        <v>0</v>
      </c>
      <c r="J55" s="20" t="n">
        <v>0</v>
      </c>
      <c r="K55" s="18" t="n">
        <v>0.34386573</v>
      </c>
      <c r="L55" s="20" t="n">
        <v>0.34071811</v>
      </c>
      <c r="M55" s="18" t="n">
        <v>0</v>
      </c>
      <c r="N55" s="20" t="n">
        <v>0</v>
      </c>
      <c r="O55" s="18" t="n">
        <v>0</v>
      </c>
      <c r="P55" s="20" t="n">
        <v>0</v>
      </c>
      <c r="Q55" s="18" t="n">
        <v>0.63183745</v>
      </c>
      <c r="R55" s="20" t="n">
        <v>0.43786484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(2855.0/B61*100)</f>
        <v/>
      </c>
      <c r="D61" s="19" t="n">
        <v>346</v>
      </c>
      <c r="E61" s="18" t="n">
        <v>25.85150564</v>
      </c>
      <c r="F61" s="20" t="n">
        <v>2.56213357</v>
      </c>
      <c r="G61" s="18" t="n">
        <v>73.79605087</v>
      </c>
      <c r="H61" s="20" t="n">
        <v>2.50642299</v>
      </c>
      <c r="I61" s="18" t="n">
        <v>0</v>
      </c>
      <c r="J61" s="20" t="n">
        <v>0</v>
      </c>
      <c r="K61" s="18" t="n">
        <v>0</v>
      </c>
      <c r="L61" s="20" t="n">
        <v>0</v>
      </c>
      <c r="M61" s="18" t="n">
        <v>0</v>
      </c>
      <c r="N61" s="20" t="n">
        <v>0</v>
      </c>
      <c r="O61" s="18" t="n">
        <v>0</v>
      </c>
      <c r="P61" s="20" t="n">
        <v>0</v>
      </c>
      <c r="Q61" s="18" t="n">
        <v>0.35244349</v>
      </c>
      <c r="R61" s="20" t="n">
        <v>0.39469632</v>
      </c>
    </row>
    <row r="62" spans="1:18">
      <c r="A62" s="15" t="s">
        <v>622</v>
      </c>
      <c r="B62" s="17" t="n">
        <v>2230</v>
      </c>
      <c r="C62" s="18">
        <f>(2011.0/B62*100)</f>
        <v/>
      </c>
      <c r="D62" s="19" t="n">
        <v>219</v>
      </c>
      <c r="E62" s="18" t="n">
        <v>21.90243629</v>
      </c>
      <c r="F62" s="20" t="n">
        <v>2.66589893</v>
      </c>
      <c r="G62" s="18" t="n">
        <v>77.63825215</v>
      </c>
      <c r="H62" s="20" t="n">
        <v>2.60316271</v>
      </c>
      <c r="I62" s="18" t="n">
        <v>0</v>
      </c>
      <c r="J62" s="20" t="n">
        <v>0</v>
      </c>
      <c r="K62" s="18" t="n">
        <v>0</v>
      </c>
      <c r="L62" s="20" t="n">
        <v>0</v>
      </c>
      <c r="M62" s="18" t="n">
        <v>0</v>
      </c>
      <c r="N62" s="20" t="n">
        <v>0</v>
      </c>
      <c r="O62" s="18" t="n">
        <v>0</v>
      </c>
      <c r="P62" s="20" t="n">
        <v>0</v>
      </c>
      <c r="Q62" s="18" t="n">
        <v>0.45931156</v>
      </c>
      <c r="R62" s="20" t="n">
        <v>0.4594257</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(2465.0/B67*100)</f>
        <v/>
      </c>
      <c r="D67" s="19" t="n">
        <v>306</v>
      </c>
      <c r="E67" s="18" t="n">
        <v>52.15108329</v>
      </c>
      <c r="F67" s="20" t="n">
        <v>2.76889428</v>
      </c>
      <c r="G67" s="18" t="n">
        <v>43.02998692</v>
      </c>
      <c r="H67" s="20" t="n">
        <v>2.71953164</v>
      </c>
      <c r="I67" s="18" t="n">
        <v>0</v>
      </c>
      <c r="J67" s="20" t="n">
        <v>0</v>
      </c>
      <c r="K67" s="18" t="n">
        <v>0.5571237</v>
      </c>
      <c r="L67" s="20" t="n">
        <v>0.39560869</v>
      </c>
      <c r="M67" s="18" t="n">
        <v>0</v>
      </c>
      <c r="N67" s="20" t="n">
        <v>0</v>
      </c>
      <c r="O67" s="18" t="n">
        <v>0</v>
      </c>
      <c r="P67" s="20" t="n">
        <v>0</v>
      </c>
      <c r="Q67" s="18" t="n">
        <v>4.26180609</v>
      </c>
      <c r="R67" s="20" t="n">
        <v>1.21652351</v>
      </c>
    </row>
    <row r="68" spans="1:18">
      <c r="A68" s="15" t="s">
        <v>628</v>
      </c>
      <c r="B68" s="17" t="n">
        <v>3460</v>
      </c>
      <c r="C68" s="18">
        <f>(3085.0/B68*100)</f>
        <v/>
      </c>
      <c r="D68" s="19" t="n">
        <v>375</v>
      </c>
      <c r="E68" s="18" t="n">
        <v>62.18635762</v>
      </c>
      <c r="F68" s="20" t="n">
        <v>2.22897904</v>
      </c>
      <c r="G68" s="18" t="n">
        <v>36.16527231</v>
      </c>
      <c r="H68" s="20" t="n">
        <v>2.34444477</v>
      </c>
      <c r="I68" s="18" t="n">
        <v>0</v>
      </c>
      <c r="J68" s="20" t="n">
        <v>0</v>
      </c>
      <c r="K68" s="18" t="n">
        <v>0</v>
      </c>
      <c r="L68" s="20" t="n">
        <v>0</v>
      </c>
      <c r="M68" s="18" t="n">
        <v>0</v>
      </c>
      <c r="N68" s="20" t="n">
        <v>0</v>
      </c>
      <c r="O68" s="18" t="n">
        <v>0</v>
      </c>
      <c r="P68" s="20" t="n">
        <v>0</v>
      </c>
      <c r="Q68" s="18" t="n">
        <v>1.64837006</v>
      </c>
      <c r="R68" s="20" t="n">
        <v>0.62836947</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(5383.0/B70*100)</f>
        <v/>
      </c>
      <c r="D70" s="19" t="n">
        <v>651</v>
      </c>
      <c r="E70" s="18" t="n">
        <v>58.60811519</v>
      </c>
      <c r="F70" s="20" t="n">
        <v>2.09600647</v>
      </c>
      <c r="G70" s="18" t="n">
        <v>39.07065616</v>
      </c>
      <c r="H70" s="20" t="n">
        <v>2.16500416</v>
      </c>
      <c r="I70" s="18" t="n">
        <v>0</v>
      </c>
      <c r="J70" s="20" t="n">
        <v>0</v>
      </c>
      <c r="K70" s="18" t="n">
        <v>1.55200846</v>
      </c>
      <c r="L70" s="20" t="n">
        <v>0.49251784</v>
      </c>
      <c r="M70" s="18" t="n">
        <v>0</v>
      </c>
      <c r="N70" s="20" t="n">
        <v>0</v>
      </c>
      <c r="O70" s="18" t="n">
        <v>0</v>
      </c>
      <c r="P70" s="20" t="n">
        <v>0</v>
      </c>
      <c r="Q70" s="18" t="n">
        <v>0.76922019</v>
      </c>
      <c r="R70" s="20" t="n">
        <v>0.34437896</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(2753.0/B72*100)</f>
        <v/>
      </c>
      <c r="D72" s="19" t="n">
        <v>354</v>
      </c>
      <c r="E72" s="18" t="n">
        <v>25.55422071</v>
      </c>
      <c r="F72" s="20" t="n">
        <v>2.69918311</v>
      </c>
      <c r="G72" s="18" t="n">
        <v>74.12735917000001</v>
      </c>
      <c r="H72" s="20" t="n">
        <v>2.67705316</v>
      </c>
      <c r="I72" s="18" t="n">
        <v>0</v>
      </c>
      <c r="J72" s="20" t="n">
        <v>0</v>
      </c>
      <c r="K72" s="18" t="n">
        <v>0</v>
      </c>
      <c r="L72" s="20" t="n">
        <v>0</v>
      </c>
      <c r="M72" s="18" t="n">
        <v>0</v>
      </c>
      <c r="N72" s="20" t="n">
        <v>0</v>
      </c>
      <c r="O72" s="18" t="n">
        <v>0</v>
      </c>
      <c r="P72" s="20" t="n">
        <v>0</v>
      </c>
      <c r="Q72" s="18" t="n">
        <v>0.31842012</v>
      </c>
      <c r="R72" s="20" t="n">
        <v>0.21436071</v>
      </c>
    </row>
    <row r="73" spans="1:18">
      <c r="A73" s="15" t="s">
        <v>633</v>
      </c>
      <c r="B73" s="17" t="n">
        <v>2973</v>
      </c>
      <c r="C73" s="18">
        <f>(2676.0/B73*100)</f>
        <v/>
      </c>
      <c r="D73" s="19" t="n">
        <v>297</v>
      </c>
      <c r="E73" s="18" t="n">
        <v>42.96807569</v>
      </c>
      <c r="F73" s="20" t="n">
        <v>2.80274495</v>
      </c>
      <c r="G73" s="18" t="n">
        <v>57.03192431</v>
      </c>
      <c r="H73" s="20" t="n">
        <v>2.80274495</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(3411.0/B74*100)</f>
        <v/>
      </c>
      <c r="D74" s="19" t="n">
        <v>408</v>
      </c>
      <c r="E74" s="18" t="n">
        <v>26.95680333</v>
      </c>
      <c r="F74" s="20" t="n">
        <v>2.22231014</v>
      </c>
      <c r="G74" s="18" t="n">
        <v>72.8652992</v>
      </c>
      <c r="H74" s="20" t="n">
        <v>2.22992796</v>
      </c>
      <c r="I74" s="18" t="n">
        <v>0</v>
      </c>
      <c r="J74" s="20" t="n">
        <v>0</v>
      </c>
      <c r="K74" s="18" t="n">
        <v>0</v>
      </c>
      <c r="L74" s="20" t="n">
        <v>0</v>
      </c>
      <c r="M74" s="18" t="n">
        <v>0</v>
      </c>
      <c r="N74" s="20" t="n">
        <v>0</v>
      </c>
      <c r="O74" s="18" t="n">
        <v>0</v>
      </c>
      <c r="P74" s="20" t="n">
        <v>0</v>
      </c>
      <c r="Q74" s="18" t="n">
        <v>0.17789747</v>
      </c>
      <c r="R74" s="20" t="n">
        <v>0.18032246</v>
      </c>
    </row>
    <row r="75" spans="1:18">
      <c r="A75" s="15" t="s">
        <v>635</v>
      </c>
      <c r="B75" s="17" t="n">
        <v>4652</v>
      </c>
      <c r="C75" s="18">
        <f>(4151.0/B75*100)</f>
        <v/>
      </c>
      <c r="D75" s="19" t="n">
        <v>501</v>
      </c>
      <c r="E75" s="18" t="n">
        <v>78.66366046</v>
      </c>
      <c r="F75" s="20" t="n">
        <v>1.87260319</v>
      </c>
      <c r="G75" s="18" t="n">
        <v>20.7676329</v>
      </c>
      <c r="H75" s="20" t="n">
        <v>1.90378522</v>
      </c>
      <c r="I75" s="18" t="n">
        <v>0</v>
      </c>
      <c r="J75" s="20" t="n">
        <v>0</v>
      </c>
      <c r="K75" s="18" t="n">
        <v>0.26654626</v>
      </c>
      <c r="L75" s="20" t="n">
        <v>0.2671845</v>
      </c>
      <c r="M75" s="18" t="n">
        <v>0</v>
      </c>
      <c r="N75" s="20" t="n">
        <v>0</v>
      </c>
      <c r="O75" s="18" t="n">
        <v>0</v>
      </c>
      <c r="P75" s="20" t="n">
        <v>0</v>
      </c>
      <c r="Q75" s="18" t="n">
        <v>0.30216037</v>
      </c>
      <c r="R75" s="20" t="n">
        <v>0.27659812</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(2659.0/B77*100)</f>
        <v/>
      </c>
      <c r="D77" s="19" t="n">
        <v>310</v>
      </c>
      <c r="E77" s="18" t="n">
        <v>75.26755267</v>
      </c>
      <c r="F77" s="20" t="n">
        <v>2.41240917</v>
      </c>
      <c r="G77" s="18" t="n">
        <v>21.06655234</v>
      </c>
      <c r="H77" s="20" t="n">
        <v>2.325895</v>
      </c>
      <c r="I77" s="18" t="n">
        <v>0</v>
      </c>
      <c r="J77" s="20" t="n">
        <v>0</v>
      </c>
      <c r="K77" s="18" t="n">
        <v>2.35223289</v>
      </c>
      <c r="L77" s="20" t="n">
        <v>0.82638009</v>
      </c>
      <c r="M77" s="18" t="n">
        <v>0</v>
      </c>
      <c r="N77" s="20" t="n">
        <v>0</v>
      </c>
      <c r="O77" s="18" t="n">
        <v>0</v>
      </c>
      <c r="P77" s="20" t="n">
        <v>0</v>
      </c>
      <c r="Q77" s="18" t="n">
        <v>1.3136621</v>
      </c>
      <c r="R77" s="20" t="n">
        <v>0.58193222</v>
      </c>
    </row>
    <row r="78" spans="1:18">
      <c r="A78" s="15" t="s">
        <v>638</v>
      </c>
      <c r="B78" s="17" t="n">
        <v>7115</v>
      </c>
      <c r="C78" s="18">
        <f>(6294.0/B78*100)</f>
        <v/>
      </c>
      <c r="D78" s="19" t="n">
        <v>821</v>
      </c>
      <c r="E78" s="18" t="n">
        <v>51.28638405</v>
      </c>
      <c r="F78" s="20" t="n">
        <v>2.04249939</v>
      </c>
      <c r="G78" s="18" t="n">
        <v>46.37721531</v>
      </c>
      <c r="H78" s="20" t="n">
        <v>1.62048336</v>
      </c>
      <c r="I78" s="18" t="n">
        <v>0</v>
      </c>
      <c r="J78" s="20" t="n">
        <v>0</v>
      </c>
      <c r="K78" s="18" t="n">
        <v>0.33972664</v>
      </c>
      <c r="L78" s="20" t="n">
        <v>0.19572709</v>
      </c>
      <c r="M78" s="18" t="n">
        <v>0</v>
      </c>
      <c r="N78" s="20" t="n">
        <v>0</v>
      </c>
      <c r="O78" s="18" t="n">
        <v>0</v>
      </c>
      <c r="P78" s="20" t="n">
        <v>0</v>
      </c>
      <c r="Q78" s="18" t="n">
        <v>1.99667401</v>
      </c>
      <c r="R78" s="20" t="n">
        <v>1.12739135</v>
      </c>
    </row>
    <row r="79" spans="1:18">
      <c r="A79" s="15" t="s">
        <v>639</v>
      </c>
      <c r="B79" s="17" t="n">
        <v>3154</v>
      </c>
      <c r="C79" s="18">
        <f>(2809.0/B79*100)</f>
        <v/>
      </c>
      <c r="D79" s="19" t="n">
        <v>345</v>
      </c>
      <c r="E79" s="18" t="n">
        <v>55.7607094</v>
      </c>
      <c r="F79" s="20" t="n">
        <v>2.65096974</v>
      </c>
      <c r="G79" s="18" t="n">
        <v>38.28472896</v>
      </c>
      <c r="H79" s="20" t="n">
        <v>2.77101552</v>
      </c>
      <c r="I79" s="18" t="n">
        <v>0</v>
      </c>
      <c r="J79" s="20" t="n">
        <v>0</v>
      </c>
      <c r="K79" s="18" t="n">
        <v>0.93213167</v>
      </c>
      <c r="L79" s="20" t="n">
        <v>0.50588525</v>
      </c>
      <c r="M79" s="18" t="n">
        <v>0</v>
      </c>
      <c r="N79" s="20" t="n">
        <v>0</v>
      </c>
      <c r="O79" s="18" t="n">
        <v>0</v>
      </c>
      <c r="P79" s="20" t="n">
        <v>0</v>
      </c>
      <c r="Q79" s="18" t="n">
        <v>5.02242997</v>
      </c>
      <c r="R79" s="20" t="n">
        <v>1.23991071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(14228.0/B82*100)</f>
        <v/>
      </c>
      <c r="D82" s="19" t="n">
        <v>1733</v>
      </c>
      <c r="E82" s="18" t="n">
        <v>43.30587693</v>
      </c>
      <c r="F82" s="20" t="n">
        <v>1.69599543</v>
      </c>
      <c r="G82" s="18" t="n">
        <v>55.97898248</v>
      </c>
      <c r="H82" s="20" t="n">
        <v>1.70157079</v>
      </c>
      <c r="I82" s="18" t="n">
        <v>0</v>
      </c>
      <c r="J82" s="20" t="n">
        <v>0</v>
      </c>
      <c r="K82" s="18" t="n">
        <v>0.02467767</v>
      </c>
      <c r="L82" s="20" t="n">
        <v>0.02473188</v>
      </c>
      <c r="M82" s="18" t="n">
        <v>0</v>
      </c>
      <c r="N82" s="20" t="n">
        <v>0</v>
      </c>
      <c r="O82" s="18" t="n">
        <v>0</v>
      </c>
      <c r="P82" s="20" t="n">
        <v>0</v>
      </c>
      <c r="Q82" s="18" t="n">
        <v>0.69046293</v>
      </c>
      <c r="R82" s="20" t="n">
        <v>0.19556905</v>
      </c>
    </row>
    <row r="83" spans="1:18">
      <c r="A83" s="15" t="s">
        <v>643</v>
      </c>
      <c r="B83" s="17" t="n">
        <v>808</v>
      </c>
      <c r="C83" s="18">
        <f>(700.0/B83*100)</f>
        <v/>
      </c>
      <c r="D83" s="19" t="n">
        <v>108</v>
      </c>
      <c r="E83" s="18" t="n">
        <v>49.19881901</v>
      </c>
      <c r="F83" s="20" t="n">
        <v>5.29672451</v>
      </c>
      <c r="G83" s="18" t="n">
        <v>49.98833338</v>
      </c>
      <c r="H83" s="20" t="n">
        <v>5.09204349</v>
      </c>
      <c r="I83" s="18" t="n">
        <v>0</v>
      </c>
      <c r="J83" s="20" t="n">
        <v>0</v>
      </c>
      <c r="K83" s="18" t="n">
        <v>0</v>
      </c>
      <c r="L83" s="20" t="n">
        <v>0</v>
      </c>
      <c r="M83" s="18" t="n">
        <v>0</v>
      </c>
      <c r="N83" s="20" t="n">
        <v>0</v>
      </c>
      <c r="O83" s="18" t="n">
        <v>0</v>
      </c>
      <c r="P83" s="20" t="n">
        <v>0</v>
      </c>
      <c r="Q83" s="18" t="n">
        <v>0.8128476100000001</v>
      </c>
      <c r="R83" s="20" t="n">
        <v>0.76713616</v>
      </c>
    </row>
    <row r="84" spans="1:18">
      <c r="A84" s="23" t="s">
        <v>644</v>
      </c>
      <c r="B84" s="24" t="n">
        <v>938</v>
      </c>
      <c r="C84" s="25">
        <f>(824.0/B84*100)</f>
        <v/>
      </c>
      <c r="D84" s="19" t="n">
        <v>114</v>
      </c>
      <c r="E84" s="18" t="n">
        <v>50.71406224</v>
      </c>
      <c r="F84" s="20" t="n">
        <v>5.02641144</v>
      </c>
      <c r="G84" s="18" t="n">
        <v>47.31249801</v>
      </c>
      <c r="H84" s="20" t="n">
        <v>5.08178196</v>
      </c>
      <c r="I84" s="18" t="n">
        <v>0</v>
      </c>
      <c r="J84" s="20" t="n">
        <v>0</v>
      </c>
      <c r="K84" s="18" t="n">
        <v>0</v>
      </c>
      <c r="L84" s="20" t="n">
        <v>0</v>
      </c>
      <c r="M84" s="18" t="n">
        <v>0</v>
      </c>
      <c r="N84" s="20" t="n">
        <v>0</v>
      </c>
      <c r="O84" s="18" t="n">
        <v>0</v>
      </c>
      <c r="P84" s="20" t="n">
        <v>0</v>
      </c>
      <c r="Q84" s="18" t="n">
        <v>1.97343975</v>
      </c>
      <c r="R84" s="20" t="n">
        <v>1.35704332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(6380.0/B7*100)</f>
        <v/>
      </c>
      <c r="D7" s="19" t="n">
        <v>783</v>
      </c>
      <c r="E7" s="18" t="n">
        <v>51.84318637</v>
      </c>
      <c r="F7" s="20" t="n">
        <v>2.11724911</v>
      </c>
      <c r="G7" s="18" t="n">
        <v>47.80831395</v>
      </c>
      <c r="H7" s="20" t="n">
        <v>2.15004564</v>
      </c>
      <c r="I7" s="18" t="n">
        <v>0</v>
      </c>
      <c r="J7" s="20" t="n">
        <v>0</v>
      </c>
      <c r="K7" s="18" t="n">
        <v>0.03872748</v>
      </c>
      <c r="L7" s="20" t="n">
        <v>0.02885549</v>
      </c>
      <c r="M7" s="18" t="n">
        <v>0</v>
      </c>
      <c r="N7" s="20" t="n">
        <v>0</v>
      </c>
      <c r="O7" s="18" t="n">
        <v>0</v>
      </c>
      <c r="P7" s="20" t="n">
        <v>0</v>
      </c>
      <c r="Q7" s="18" t="n">
        <v>0.3097722</v>
      </c>
      <c r="R7" s="20" t="n">
        <v>0.252985</v>
      </c>
    </row>
    <row r="8" spans="1:18">
      <c r="A8" s="15" t="s">
        <v>566</v>
      </c>
      <c r="B8" s="17" t="n">
        <v>3443</v>
      </c>
      <c r="C8" s="18">
        <f>(3058.0/B8*100)</f>
        <v/>
      </c>
      <c r="D8" s="19" t="n">
        <v>385</v>
      </c>
      <c r="E8" s="18" t="n">
        <v>58.97362391</v>
      </c>
      <c r="F8" s="20" t="n">
        <v>2.67347125</v>
      </c>
      <c r="G8" s="18" t="n">
        <v>41.02637609</v>
      </c>
      <c r="H8" s="20" t="n">
        <v>2.67347125</v>
      </c>
      <c r="I8" s="18" t="n">
        <v>0</v>
      </c>
      <c r="J8" s="20" t="n">
        <v>0</v>
      </c>
      <c r="K8" s="18" t="n">
        <v>0</v>
      </c>
      <c r="L8" s="20" t="n">
        <v>0</v>
      </c>
      <c r="M8" s="18" t="n">
        <v>0</v>
      </c>
      <c r="N8" s="20" t="n">
        <v>0</v>
      </c>
      <c r="O8" s="18" t="n">
        <v>0</v>
      </c>
      <c r="P8" s="20" t="n">
        <v>0</v>
      </c>
      <c r="Q8" s="18" t="n">
        <v>0</v>
      </c>
      <c r="R8" s="20" t="n">
        <v>0</v>
      </c>
    </row>
    <row r="9" spans="1:18">
      <c r="A9" s="15" t="s">
        <v>567</v>
      </c>
      <c r="B9" s="17" t="n">
        <v>4752</v>
      </c>
      <c r="C9" s="18">
        <f>(4239.0/B9*100)</f>
        <v/>
      </c>
      <c r="D9" s="19" t="n">
        <v>513</v>
      </c>
      <c r="E9" s="18" t="n">
        <v>57.83807558</v>
      </c>
      <c r="F9" s="20" t="n">
        <v>1.9218351</v>
      </c>
      <c r="G9" s="18" t="n">
        <v>41.951925</v>
      </c>
      <c r="H9" s="20" t="n">
        <v>1.91032242</v>
      </c>
      <c r="I9" s="18" t="n">
        <v>0</v>
      </c>
      <c r="J9" s="20" t="n">
        <v>0</v>
      </c>
      <c r="K9" s="18" t="n">
        <v>0.20999942</v>
      </c>
      <c r="L9" s="20" t="n">
        <v>0.20860917</v>
      </c>
      <c r="M9" s="18" t="n">
        <v>0</v>
      </c>
      <c r="N9" s="20" t="n">
        <v>0</v>
      </c>
      <c r="O9" s="18" t="n">
        <v>0</v>
      </c>
      <c r="P9" s="20" t="n">
        <v>0</v>
      </c>
      <c r="Q9" s="18" t="n">
        <v>0</v>
      </c>
      <c r="R9" s="20" t="n">
        <v>0</v>
      </c>
    </row>
    <row r="10" spans="1:18">
      <c r="A10" s="15" t="s">
        <v>568</v>
      </c>
      <c r="B10" s="17" t="n">
        <v>10022</v>
      </c>
      <c r="C10" s="18">
        <f>(8947.0/B10*100)</f>
        <v/>
      </c>
      <c r="D10" s="19" t="n">
        <v>1075</v>
      </c>
      <c r="E10" s="18" t="n">
        <v>55.6081111</v>
      </c>
      <c r="F10" s="20" t="n">
        <v>2.10761079</v>
      </c>
      <c r="G10" s="18" t="n">
        <v>43.97186732</v>
      </c>
      <c r="H10" s="20" t="n">
        <v>2.05535611</v>
      </c>
      <c r="I10" s="18" t="n">
        <v>0</v>
      </c>
      <c r="J10" s="20" t="n">
        <v>0</v>
      </c>
      <c r="K10" s="18" t="n">
        <v>0.42002158</v>
      </c>
      <c r="L10" s="20" t="n">
        <v>0.29609238</v>
      </c>
      <c r="M10" s="18" t="n">
        <v>0</v>
      </c>
      <c r="N10" s="20" t="n">
        <v>0</v>
      </c>
      <c r="O10" s="18" t="n">
        <v>0</v>
      </c>
      <c r="P10" s="20" t="n">
        <v>0</v>
      </c>
      <c r="Q10" s="18" t="n">
        <v>0</v>
      </c>
      <c r="R10" s="20" t="n">
        <v>0</v>
      </c>
    </row>
    <row r="11" spans="1:18">
      <c r="A11" s="15" t="s">
        <v>569</v>
      </c>
      <c r="B11" s="17" t="n">
        <v>3500</v>
      </c>
      <c r="C11" s="18">
        <f>(3117.0/B11*100)</f>
        <v/>
      </c>
      <c r="D11" s="19" t="n">
        <v>383</v>
      </c>
      <c r="E11" s="18" t="n">
        <v>65.26895344</v>
      </c>
      <c r="F11" s="20" t="n">
        <v>2.67218087</v>
      </c>
      <c r="G11" s="18" t="n">
        <v>33.21500797</v>
      </c>
      <c r="H11" s="20" t="n">
        <v>2.5713698</v>
      </c>
      <c r="I11" s="18" t="n">
        <v>0</v>
      </c>
      <c r="J11" s="20" t="n">
        <v>0</v>
      </c>
      <c r="K11" s="18" t="n">
        <v>0.57396953</v>
      </c>
      <c r="L11" s="20" t="n">
        <v>0.32314095</v>
      </c>
      <c r="M11" s="18" t="n">
        <v>0</v>
      </c>
      <c r="N11" s="20" t="n">
        <v>0</v>
      </c>
      <c r="O11" s="18" t="n">
        <v>0</v>
      </c>
      <c r="P11" s="20" t="n">
        <v>0</v>
      </c>
      <c r="Q11" s="18" t="n">
        <v>0.94206906</v>
      </c>
      <c r="R11" s="20" t="n">
        <v>0.51828639</v>
      </c>
    </row>
    <row r="12" spans="1:18">
      <c r="A12" s="15" t="s">
        <v>570</v>
      </c>
      <c r="B12" s="17" t="n">
        <v>3422</v>
      </c>
      <c r="C12" s="18">
        <f>(3037.0/B12*100)</f>
        <v/>
      </c>
      <c r="D12" s="19" t="n">
        <v>385</v>
      </c>
      <c r="E12" s="18" t="n">
        <v>56.06644147</v>
      </c>
      <c r="F12" s="20" t="n">
        <v>2.86167416</v>
      </c>
      <c r="G12" s="18" t="n">
        <v>43.66960342</v>
      </c>
      <c r="H12" s="20" t="n">
        <v>2.8495693</v>
      </c>
      <c r="I12" s="18" t="n">
        <v>0</v>
      </c>
      <c r="J12" s="20" t="n">
        <v>0</v>
      </c>
      <c r="K12" s="18" t="n">
        <v>0</v>
      </c>
      <c r="L12" s="20" t="n">
        <v>0</v>
      </c>
      <c r="M12" s="18" t="n">
        <v>0</v>
      </c>
      <c r="N12" s="20" t="n">
        <v>0</v>
      </c>
      <c r="O12" s="18" t="n">
        <v>0</v>
      </c>
      <c r="P12" s="20" t="n">
        <v>0</v>
      </c>
      <c r="Q12" s="18" t="n">
        <v>0.26395511</v>
      </c>
      <c r="R12" s="20" t="n">
        <v>0.2656664</v>
      </c>
    </row>
    <row r="13" spans="1:18">
      <c r="A13" s="15" t="s">
        <v>571</v>
      </c>
      <c r="B13" s="17" t="n">
        <v>3602</v>
      </c>
      <c r="C13" s="18">
        <f>(3234.0/B13*100)</f>
        <v/>
      </c>
      <c r="D13" s="19" t="n">
        <v>368</v>
      </c>
      <c r="E13" s="18" t="n">
        <v>57.00698899</v>
      </c>
      <c r="F13" s="20" t="n">
        <v>3.09090516</v>
      </c>
      <c r="G13" s="18" t="n">
        <v>42.99301101</v>
      </c>
      <c r="H13" s="20" t="n">
        <v>3.09090516</v>
      </c>
      <c r="I13" s="18" t="n">
        <v>0</v>
      </c>
      <c r="J13" s="20" t="n">
        <v>0</v>
      </c>
      <c r="K13" s="18" t="n">
        <v>0</v>
      </c>
      <c r="L13" s="20" t="n">
        <v>0</v>
      </c>
      <c r="M13" s="18" t="n">
        <v>0</v>
      </c>
      <c r="N13" s="20" t="n">
        <v>0</v>
      </c>
      <c r="O13" s="18" t="n">
        <v>0</v>
      </c>
      <c r="P13" s="20" t="n">
        <v>0</v>
      </c>
      <c r="Q13" s="18" t="n">
        <v>0</v>
      </c>
      <c r="R13" s="20" t="n">
        <v>0</v>
      </c>
    </row>
    <row r="14" spans="1:18">
      <c r="A14" s="15" t="s">
        <v>572</v>
      </c>
      <c r="B14" s="17" t="n">
        <v>2788</v>
      </c>
      <c r="C14" s="18">
        <f>(2490.0/B14*100)</f>
        <v/>
      </c>
      <c r="D14" s="19" t="n">
        <v>298</v>
      </c>
      <c r="E14" s="18" t="n">
        <v>64.55588263</v>
      </c>
      <c r="F14" s="20" t="n">
        <v>3.0904865</v>
      </c>
      <c r="G14" s="18" t="n">
        <v>35.44411737</v>
      </c>
      <c r="H14" s="20" t="n">
        <v>3.0904865</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(2543.0/B15*100)</f>
        <v/>
      </c>
      <c r="D15" s="19" t="n">
        <v>320</v>
      </c>
      <c r="E15" s="18" t="n">
        <v>47.39257611</v>
      </c>
      <c r="F15" s="20" t="n">
        <v>2.48459636</v>
      </c>
      <c r="G15" s="18" t="n">
        <v>51.97250539</v>
      </c>
      <c r="H15" s="20" t="n">
        <v>2.5226435</v>
      </c>
      <c r="I15" s="18" t="n">
        <v>0</v>
      </c>
      <c r="J15" s="20" t="n">
        <v>0</v>
      </c>
      <c r="K15" s="18" t="n">
        <v>0</v>
      </c>
      <c r="L15" s="20" t="n">
        <v>0</v>
      </c>
      <c r="M15" s="18" t="n">
        <v>0</v>
      </c>
      <c r="N15" s="20" t="n">
        <v>0</v>
      </c>
      <c r="O15" s="18" t="n">
        <v>0</v>
      </c>
      <c r="P15" s="20" t="n">
        <v>0</v>
      </c>
      <c r="Q15" s="18" t="n">
        <v>0.6349185000000001</v>
      </c>
      <c r="R15" s="20" t="n">
        <v>0.44353529</v>
      </c>
    </row>
    <row r="16" spans="1:18">
      <c r="A16" s="15" t="s">
        <v>574</v>
      </c>
      <c r="B16" s="17" t="n">
        <v>3111</v>
      </c>
      <c r="C16" s="18">
        <f>(2793.0/B16*100)</f>
        <v/>
      </c>
      <c r="D16" s="19" t="n">
        <v>318</v>
      </c>
      <c r="E16" s="18" t="n">
        <v>59.24901579</v>
      </c>
      <c r="F16" s="20" t="n">
        <v>2.77850094</v>
      </c>
      <c r="G16" s="18" t="n">
        <v>40.20126359</v>
      </c>
      <c r="H16" s="20" t="n">
        <v>2.82718593</v>
      </c>
      <c r="I16" s="18" t="n">
        <v>0</v>
      </c>
      <c r="J16" s="20" t="n">
        <v>0</v>
      </c>
      <c r="K16" s="18" t="n">
        <v>0.27318355</v>
      </c>
      <c r="L16" s="20" t="n">
        <v>0.27831975</v>
      </c>
      <c r="M16" s="18" t="n">
        <v>0</v>
      </c>
      <c r="N16" s="20" t="n">
        <v>0</v>
      </c>
      <c r="O16" s="18" t="n">
        <v>0</v>
      </c>
      <c r="P16" s="20" t="n">
        <v>0</v>
      </c>
      <c r="Q16" s="18" t="n">
        <v>0.27653706</v>
      </c>
      <c r="R16" s="20" t="n">
        <v>0.28291675</v>
      </c>
    </row>
    <row r="17" spans="1:18">
      <c r="A17" s="15" t="s">
        <v>575</v>
      </c>
      <c r="B17" s="17" t="n">
        <v>3197</v>
      </c>
      <c r="C17" s="18">
        <f>(2825.0/B17*100)</f>
        <v/>
      </c>
      <c r="D17" s="19" t="n">
        <v>372</v>
      </c>
      <c r="E17" s="18" t="n">
        <v>56.95609537</v>
      </c>
      <c r="F17" s="20" t="n">
        <v>2.50370661</v>
      </c>
      <c r="G17" s="18" t="n">
        <v>42.6419849</v>
      </c>
      <c r="H17" s="20" t="n">
        <v>2.56900866</v>
      </c>
      <c r="I17" s="18" t="n">
        <v>0</v>
      </c>
      <c r="J17" s="20" t="n">
        <v>0</v>
      </c>
      <c r="K17" s="18" t="n">
        <v>0.40191973</v>
      </c>
      <c r="L17" s="20" t="n">
        <v>0.41744643</v>
      </c>
      <c r="M17" s="18" t="n">
        <v>0</v>
      </c>
      <c r="N17" s="20" t="n">
        <v>0</v>
      </c>
      <c r="O17" s="18" t="n">
        <v>0</v>
      </c>
      <c r="P17" s="20" t="n">
        <v>0</v>
      </c>
      <c r="Q17" s="18" t="n">
        <v>0</v>
      </c>
      <c r="R17" s="20" t="n">
        <v>0</v>
      </c>
    </row>
    <row r="18" spans="1:18">
      <c r="A18" s="15" t="s">
        <v>576</v>
      </c>
      <c r="B18" s="17" t="n">
        <v>2706</v>
      </c>
      <c r="C18" s="18">
        <f>(2426.0/B18*100)</f>
        <v/>
      </c>
      <c r="D18" s="19" t="n">
        <v>280</v>
      </c>
      <c r="E18" s="18" t="n">
        <v>80.16221373</v>
      </c>
      <c r="F18" s="20" t="n">
        <v>2.11134204</v>
      </c>
      <c r="G18" s="18" t="n">
        <v>18.96925821</v>
      </c>
      <c r="H18" s="20" t="n">
        <v>2.06388597</v>
      </c>
      <c r="I18" s="18" t="n">
        <v>0</v>
      </c>
      <c r="J18" s="20" t="n">
        <v>0</v>
      </c>
      <c r="K18" s="18" t="n">
        <v>0.57222599</v>
      </c>
      <c r="L18" s="20" t="n">
        <v>0.40131192</v>
      </c>
      <c r="M18" s="18" t="n">
        <v>0</v>
      </c>
      <c r="N18" s="20" t="n">
        <v>0</v>
      </c>
      <c r="O18" s="18" t="n">
        <v>0</v>
      </c>
      <c r="P18" s="20" t="n">
        <v>0</v>
      </c>
      <c r="Q18" s="18" t="n">
        <v>0.29630207</v>
      </c>
      <c r="R18" s="20" t="n">
        <v>0.29297622</v>
      </c>
    </row>
    <row r="19" spans="1:18">
      <c r="A19" s="15" t="s">
        <v>577</v>
      </c>
      <c r="B19" s="17" t="n">
        <v>2850</v>
      </c>
      <c r="C19" s="18">
        <f>(2533.0/B19*100)</f>
        <v/>
      </c>
      <c r="D19" s="19" t="n">
        <v>317</v>
      </c>
      <c r="E19" s="18" t="n">
        <v>67.05330212</v>
      </c>
      <c r="F19" s="20" t="n">
        <v>2.92789655</v>
      </c>
      <c r="G19" s="18" t="n">
        <v>31.95745574</v>
      </c>
      <c r="H19" s="20" t="n">
        <v>2.73921754</v>
      </c>
      <c r="I19" s="18" t="n">
        <v>0</v>
      </c>
      <c r="J19" s="20" t="n">
        <v>0</v>
      </c>
      <c r="K19" s="18" t="n">
        <v>0</v>
      </c>
      <c r="L19" s="20" t="n">
        <v>0</v>
      </c>
      <c r="M19" s="18" t="n">
        <v>0</v>
      </c>
      <c r="N19" s="20" t="n">
        <v>0</v>
      </c>
      <c r="O19" s="18" t="n">
        <v>0</v>
      </c>
      <c r="P19" s="20" t="n">
        <v>0</v>
      </c>
      <c r="Q19" s="18" t="n">
        <v>0.98924214</v>
      </c>
      <c r="R19" s="20" t="n">
        <v>0.79594847</v>
      </c>
    </row>
    <row r="20" spans="1:18">
      <c r="A20" s="15" t="s">
        <v>578</v>
      </c>
      <c r="B20" s="17" t="n">
        <v>1741</v>
      </c>
      <c r="C20" s="18">
        <f>(1555.0/B20*100)</f>
        <v/>
      </c>
      <c r="D20" s="19" t="n">
        <v>186</v>
      </c>
      <c r="E20" s="18" t="n">
        <v>68.19310702</v>
      </c>
      <c r="F20" s="20" t="n">
        <v>3.26165745</v>
      </c>
      <c r="G20" s="18" t="n">
        <v>30.67144855</v>
      </c>
      <c r="H20" s="20" t="n">
        <v>3.4108889</v>
      </c>
      <c r="I20" s="18" t="n">
        <v>0</v>
      </c>
      <c r="J20" s="20" t="n">
        <v>0</v>
      </c>
      <c r="K20" s="18" t="n">
        <v>0.6228449700000001</v>
      </c>
      <c r="L20" s="20" t="n">
        <v>0.60654285</v>
      </c>
      <c r="M20" s="18" t="n">
        <v>0</v>
      </c>
      <c r="N20" s="20" t="n">
        <v>0</v>
      </c>
      <c r="O20" s="18" t="n">
        <v>0</v>
      </c>
      <c r="P20" s="20" t="n">
        <v>0</v>
      </c>
      <c r="Q20" s="18" t="n">
        <v>0.5125994699999999</v>
      </c>
      <c r="R20" s="20" t="n">
        <v>0.51293559</v>
      </c>
    </row>
    <row r="21" spans="1:18">
      <c r="A21" s="15" t="s">
        <v>579</v>
      </c>
      <c r="B21" s="17" t="n">
        <v>2833</v>
      </c>
      <c r="C21" s="18">
        <f>(2516.0/B21*100)</f>
        <v/>
      </c>
      <c r="D21" s="19" t="n">
        <v>317</v>
      </c>
      <c r="E21" s="18" t="n">
        <v>53.55519945</v>
      </c>
      <c r="F21" s="20" t="n">
        <v>2.91826279</v>
      </c>
      <c r="G21" s="18" t="n">
        <v>46.44480055</v>
      </c>
      <c r="H21" s="20" t="n">
        <v>2.91826279</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(3239.0/B22*100)</f>
        <v/>
      </c>
      <c r="D22" s="19" t="n">
        <v>428</v>
      </c>
      <c r="E22" s="18" t="n">
        <v>75.18810006</v>
      </c>
      <c r="F22" s="20" t="n">
        <v>2.16947338</v>
      </c>
      <c r="G22" s="18" t="n">
        <v>23.45664559</v>
      </c>
      <c r="H22" s="20" t="n">
        <v>2.08750326</v>
      </c>
      <c r="I22" s="18" t="n">
        <v>0</v>
      </c>
      <c r="J22" s="20" t="n">
        <v>0</v>
      </c>
      <c r="K22" s="18" t="n">
        <v>0.90967213</v>
      </c>
      <c r="L22" s="20" t="n">
        <v>0.57888963</v>
      </c>
      <c r="M22" s="18" t="n">
        <v>0</v>
      </c>
      <c r="N22" s="20" t="n">
        <v>0</v>
      </c>
      <c r="O22" s="18" t="n">
        <v>0</v>
      </c>
      <c r="P22" s="20" t="n">
        <v>0</v>
      </c>
      <c r="Q22" s="18" t="n">
        <v>0.44558222</v>
      </c>
      <c r="R22" s="20" t="n">
        <v>0.27321002</v>
      </c>
    </row>
    <row r="23" spans="1:18">
      <c r="A23" s="15" t="s">
        <v>581</v>
      </c>
      <c r="B23" s="17" t="n">
        <v>5792</v>
      </c>
      <c r="C23" s="18">
        <f>(5160.0/B23*100)</f>
        <v/>
      </c>
      <c r="D23" s="19" t="n">
        <v>632</v>
      </c>
      <c r="E23" s="18" t="n">
        <v>64.5979529</v>
      </c>
      <c r="F23" s="20" t="n">
        <v>2.19237782</v>
      </c>
      <c r="G23" s="18" t="n">
        <v>34.77680973</v>
      </c>
      <c r="H23" s="20" t="n">
        <v>2.24192417</v>
      </c>
      <c r="I23" s="18" t="n">
        <v>0</v>
      </c>
      <c r="J23" s="20" t="n">
        <v>0</v>
      </c>
      <c r="K23" s="18" t="n">
        <v>0</v>
      </c>
      <c r="L23" s="20" t="n">
        <v>0</v>
      </c>
      <c r="M23" s="18" t="n">
        <v>0</v>
      </c>
      <c r="N23" s="20" t="n">
        <v>0</v>
      </c>
      <c r="O23" s="18" t="n">
        <v>0</v>
      </c>
      <c r="P23" s="20" t="n">
        <v>0</v>
      </c>
      <c r="Q23" s="18" t="n">
        <v>0.62523737</v>
      </c>
      <c r="R23" s="20" t="n">
        <v>0.43882125</v>
      </c>
    </row>
    <row r="24" spans="1:18">
      <c r="A24" s="15" t="s">
        <v>582</v>
      </c>
      <c r="B24" s="17" t="n">
        <v>3309</v>
      </c>
      <c r="C24" s="18">
        <f>(2924.0/B24*100)</f>
        <v/>
      </c>
      <c r="D24" s="19" t="n">
        <v>385</v>
      </c>
      <c r="E24" s="18" t="n">
        <v>55.42821199</v>
      </c>
      <c r="F24" s="20" t="n">
        <v>2.70102259</v>
      </c>
      <c r="G24" s="18" t="n">
        <v>44.06972528</v>
      </c>
      <c r="H24" s="20" t="n">
        <v>2.75982738</v>
      </c>
      <c r="I24" s="18" t="n">
        <v>0</v>
      </c>
      <c r="J24" s="20" t="n">
        <v>0</v>
      </c>
      <c r="K24" s="18" t="n">
        <v>0.23499984</v>
      </c>
      <c r="L24" s="20" t="n">
        <v>0.23362643</v>
      </c>
      <c r="M24" s="18" t="n">
        <v>0</v>
      </c>
      <c r="N24" s="20" t="n">
        <v>0</v>
      </c>
      <c r="O24" s="18" t="n">
        <v>0</v>
      </c>
      <c r="P24" s="20" t="n">
        <v>0</v>
      </c>
      <c r="Q24" s="18" t="n">
        <v>0.2670629</v>
      </c>
      <c r="R24" s="20" t="n">
        <v>0.2702347</v>
      </c>
    </row>
    <row r="25" spans="1:18">
      <c r="A25" s="15" t="s">
        <v>583</v>
      </c>
      <c r="B25" s="17" t="n">
        <v>2669</v>
      </c>
      <c r="C25" s="18">
        <f>(2381.0/B25*100)</f>
        <v/>
      </c>
      <c r="D25" s="19" t="n">
        <v>288</v>
      </c>
      <c r="E25" s="18" t="n">
        <v>63.38491643</v>
      </c>
      <c r="F25" s="20" t="n">
        <v>3.02413637</v>
      </c>
      <c r="G25" s="18" t="n">
        <v>36.31136234</v>
      </c>
      <c r="H25" s="20" t="n">
        <v>3.04362598</v>
      </c>
      <c r="I25" s="18" t="n">
        <v>0</v>
      </c>
      <c r="J25" s="20" t="n">
        <v>0</v>
      </c>
      <c r="K25" s="18" t="n">
        <v>0.30372124</v>
      </c>
      <c r="L25" s="20" t="n">
        <v>0.30159766</v>
      </c>
      <c r="M25" s="18" t="n">
        <v>0</v>
      </c>
      <c r="N25" s="20" t="n">
        <v>0</v>
      </c>
      <c r="O25" s="18" t="n">
        <v>0</v>
      </c>
      <c r="P25" s="20" t="n">
        <v>0</v>
      </c>
      <c r="Q25" s="18" t="n">
        <v>0</v>
      </c>
      <c r="R25" s="20" t="n">
        <v>0</v>
      </c>
    </row>
    <row r="26" spans="1:18">
      <c r="A26" s="15" t="s">
        <v>584</v>
      </c>
      <c r="B26" s="17" t="n">
        <v>2419</v>
      </c>
      <c r="C26" s="18">
        <f>(2149.0/B26*100)</f>
        <v/>
      </c>
      <c r="D26" s="19" t="n">
        <v>270</v>
      </c>
      <c r="E26" s="18" t="n">
        <v>59.23801764</v>
      </c>
      <c r="F26" s="20" t="n">
        <v>3.33408714</v>
      </c>
      <c r="G26" s="18" t="n">
        <v>40.76198236</v>
      </c>
      <c r="H26" s="20" t="n">
        <v>3.33408714</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(2380.0/B27*100)</f>
        <v/>
      </c>
      <c r="D27" s="19" t="n">
        <v>303</v>
      </c>
      <c r="E27" s="18" t="n">
        <v>63.80362149</v>
      </c>
      <c r="F27" s="20" t="n">
        <v>2.78724819</v>
      </c>
      <c r="G27" s="18" t="n">
        <v>35.86932407</v>
      </c>
      <c r="H27" s="20" t="n">
        <v>2.74834656</v>
      </c>
      <c r="I27" s="18" t="n">
        <v>0</v>
      </c>
      <c r="J27" s="20" t="n">
        <v>0</v>
      </c>
      <c r="K27" s="18" t="n">
        <v>0</v>
      </c>
      <c r="L27" s="20" t="n">
        <v>0</v>
      </c>
      <c r="M27" s="18" t="n">
        <v>0</v>
      </c>
      <c r="N27" s="20" t="n">
        <v>0</v>
      </c>
      <c r="O27" s="18" t="n">
        <v>0</v>
      </c>
      <c r="P27" s="20" t="n">
        <v>0</v>
      </c>
      <c r="Q27" s="18" t="n">
        <v>0.32705444</v>
      </c>
      <c r="R27" s="20" t="n">
        <v>0.32446259</v>
      </c>
    </row>
    <row r="28" spans="1:18">
      <c r="A28" s="15" t="s">
        <v>586</v>
      </c>
      <c r="B28" s="17" t="n">
        <v>3803</v>
      </c>
      <c r="C28" s="18">
        <f>(3423.0/B28*100)</f>
        <v/>
      </c>
      <c r="D28" s="19" t="n">
        <v>380</v>
      </c>
      <c r="E28" s="18" t="n">
        <v>65.99549469999999</v>
      </c>
      <c r="F28" s="20" t="n">
        <v>2.87748757</v>
      </c>
      <c r="G28" s="18" t="n">
        <v>33.09552549</v>
      </c>
      <c r="H28" s="20" t="n">
        <v>2.79143978</v>
      </c>
      <c r="I28" s="18" t="n">
        <v>0</v>
      </c>
      <c r="J28" s="20" t="n">
        <v>0</v>
      </c>
      <c r="K28" s="18" t="n">
        <v>0.56899396</v>
      </c>
      <c r="L28" s="20" t="n">
        <v>0.40437302</v>
      </c>
      <c r="M28" s="18" t="n">
        <v>0</v>
      </c>
      <c r="N28" s="20" t="n">
        <v>0</v>
      </c>
      <c r="O28" s="18" t="n">
        <v>0</v>
      </c>
      <c r="P28" s="20" t="n">
        <v>0</v>
      </c>
      <c r="Q28" s="18" t="n">
        <v>0.33998585</v>
      </c>
      <c r="R28" s="20" t="n">
        <v>0.2330386</v>
      </c>
    </row>
    <row r="29" spans="1:18">
      <c r="A29" s="15" t="s">
        <v>587</v>
      </c>
      <c r="B29" s="17" t="n">
        <v>2700</v>
      </c>
      <c r="C29" s="18">
        <f>(2388.0/B29*100)</f>
        <v/>
      </c>
      <c r="D29" s="19" t="n">
        <v>312</v>
      </c>
      <c r="E29" s="18" t="n">
        <v>54.50451936</v>
      </c>
      <c r="F29" s="20" t="n">
        <v>2.78040024</v>
      </c>
      <c r="G29" s="18" t="n">
        <v>45.49548064</v>
      </c>
      <c r="H29" s="20" t="n">
        <v>2.78040024</v>
      </c>
      <c r="I29" s="18" t="n">
        <v>0</v>
      </c>
      <c r="J29" s="20" t="n">
        <v>0</v>
      </c>
      <c r="K29" s="18" t="n">
        <v>0</v>
      </c>
      <c r="L29" s="20" t="n">
        <v>0</v>
      </c>
      <c r="M29" s="18" t="n">
        <v>0</v>
      </c>
      <c r="N29" s="20" t="n">
        <v>0</v>
      </c>
      <c r="O29" s="18" t="n">
        <v>0</v>
      </c>
      <c r="P29" s="20" t="n">
        <v>0</v>
      </c>
      <c r="Q29" s="18" t="n">
        <v>0</v>
      </c>
      <c r="R29" s="20" t="n">
        <v>0</v>
      </c>
    </row>
    <row r="30" spans="1:18">
      <c r="A30" s="15" t="s">
        <v>588</v>
      </c>
      <c r="B30" s="17" t="n">
        <v>2257</v>
      </c>
      <c r="C30" s="18">
        <f>(2024.0/B30*100)</f>
        <v/>
      </c>
      <c r="D30" s="19" t="n">
        <v>233</v>
      </c>
      <c r="E30" s="18" t="n">
        <v>55.14381723</v>
      </c>
      <c r="F30" s="20" t="n">
        <v>2.92038409</v>
      </c>
      <c r="G30" s="18" t="n">
        <v>44.27659315</v>
      </c>
      <c r="H30" s="20" t="n">
        <v>2.80682717</v>
      </c>
      <c r="I30" s="18" t="n">
        <v>0</v>
      </c>
      <c r="J30" s="20" t="n">
        <v>0</v>
      </c>
      <c r="K30" s="18" t="n">
        <v>0</v>
      </c>
      <c r="L30" s="20" t="n">
        <v>0</v>
      </c>
      <c r="M30" s="18" t="n">
        <v>0</v>
      </c>
      <c r="N30" s="20" t="n">
        <v>0</v>
      </c>
      <c r="O30" s="18" t="n">
        <v>0</v>
      </c>
      <c r="P30" s="20" t="n">
        <v>0</v>
      </c>
      <c r="Q30" s="18" t="n">
        <v>0.57958963</v>
      </c>
      <c r="R30" s="20" t="n">
        <v>0.58672757</v>
      </c>
    </row>
    <row r="31" spans="1:18">
      <c r="A31" s="15" t="s">
        <v>589</v>
      </c>
      <c r="B31" s="17" t="n">
        <v>2706</v>
      </c>
      <c r="C31" s="18">
        <f>(2407.0/B31*100)</f>
        <v/>
      </c>
      <c r="D31" s="19" t="n">
        <v>299</v>
      </c>
      <c r="E31" s="18" t="n">
        <v>52.93375876</v>
      </c>
      <c r="F31" s="20" t="n">
        <v>2.57818071</v>
      </c>
      <c r="G31" s="18" t="n">
        <v>45.70942999</v>
      </c>
      <c r="H31" s="20" t="n">
        <v>2.59168063</v>
      </c>
      <c r="I31" s="18" t="n">
        <v>0</v>
      </c>
      <c r="J31" s="20" t="n">
        <v>0</v>
      </c>
      <c r="K31" s="18" t="n">
        <v>0.64656788</v>
      </c>
      <c r="L31" s="20" t="n">
        <v>0.4563776</v>
      </c>
      <c r="M31" s="18" t="n">
        <v>0</v>
      </c>
      <c r="N31" s="20" t="n">
        <v>0</v>
      </c>
      <c r="O31" s="18" t="n">
        <v>0</v>
      </c>
      <c r="P31" s="20" t="n">
        <v>0</v>
      </c>
      <c r="Q31" s="18" t="n">
        <v>0.71024337</v>
      </c>
      <c r="R31" s="20" t="n">
        <v>0.5073855</v>
      </c>
    </row>
    <row r="32" spans="1:18">
      <c r="A32" s="15" t="s">
        <v>590</v>
      </c>
      <c r="B32" s="17" t="n">
        <v>2209</v>
      </c>
      <c r="C32" s="18">
        <f>(1960.0/B32*100)</f>
        <v/>
      </c>
      <c r="D32" s="19" t="n">
        <v>249</v>
      </c>
      <c r="E32" s="18" t="n">
        <v>84.93328843</v>
      </c>
      <c r="F32" s="20" t="n">
        <v>2.85568707</v>
      </c>
      <c r="G32" s="18" t="n">
        <v>14.29695958</v>
      </c>
      <c r="H32" s="20" t="n">
        <v>2.84222575</v>
      </c>
      <c r="I32" s="18" t="n">
        <v>0</v>
      </c>
      <c r="J32" s="20" t="n">
        <v>0</v>
      </c>
      <c r="K32" s="18" t="n">
        <v>0.32957884</v>
      </c>
      <c r="L32" s="20" t="n">
        <v>0.33166898</v>
      </c>
      <c r="M32" s="18" t="n">
        <v>0</v>
      </c>
      <c r="N32" s="20" t="n">
        <v>0</v>
      </c>
      <c r="O32" s="18" t="n">
        <v>0</v>
      </c>
      <c r="P32" s="20" t="n">
        <v>0</v>
      </c>
      <c r="Q32" s="18" t="n">
        <v>0.44017315</v>
      </c>
      <c r="R32" s="20" t="n">
        <v>0.41041834</v>
      </c>
    </row>
    <row r="33" spans="1:18">
      <c r="A33" s="15" t="s">
        <v>591</v>
      </c>
      <c r="B33" s="17" t="n">
        <v>3651</v>
      </c>
      <c r="C33" s="18">
        <f>(3255.0/B33*100)</f>
        <v/>
      </c>
      <c r="D33" s="19" t="n">
        <v>396</v>
      </c>
      <c r="E33" s="18" t="n">
        <v>48.90267911</v>
      </c>
      <c r="F33" s="20" t="n">
        <v>2.68256142</v>
      </c>
      <c r="G33" s="18" t="n">
        <v>50.7667789</v>
      </c>
      <c r="H33" s="20" t="n">
        <v>2.75109673</v>
      </c>
      <c r="I33" s="18" t="n">
        <v>0</v>
      </c>
      <c r="J33" s="20" t="n">
        <v>0</v>
      </c>
      <c r="K33" s="18" t="n">
        <v>0.33054199</v>
      </c>
      <c r="L33" s="20" t="n">
        <v>0.36740197</v>
      </c>
      <c r="M33" s="18" t="n">
        <v>0</v>
      </c>
      <c r="N33" s="20" t="n">
        <v>0</v>
      </c>
      <c r="O33" s="18" t="n">
        <v>0</v>
      </c>
      <c r="P33" s="20" t="n">
        <v>0</v>
      </c>
      <c r="Q33" s="18" t="n">
        <v>0</v>
      </c>
      <c r="R33" s="20" t="n">
        <v>0</v>
      </c>
    </row>
    <row r="34" spans="1:18">
      <c r="A34" s="15" t="s">
        <v>592</v>
      </c>
      <c r="B34" s="17" t="n">
        <v>3035</v>
      </c>
      <c r="C34" s="18">
        <f>(2716.0/B34*100)</f>
        <v/>
      </c>
      <c r="D34" s="19" t="n">
        <v>319</v>
      </c>
      <c r="E34" s="18" t="n">
        <v>69.62506085</v>
      </c>
      <c r="F34" s="20" t="n">
        <v>2.95974831</v>
      </c>
      <c r="G34" s="18" t="n">
        <v>30.06570458</v>
      </c>
      <c r="H34" s="20" t="n">
        <v>2.90652524</v>
      </c>
      <c r="I34" s="18" t="n">
        <v>0</v>
      </c>
      <c r="J34" s="20" t="n">
        <v>0</v>
      </c>
      <c r="K34" s="18" t="n">
        <v>0</v>
      </c>
      <c r="L34" s="20" t="n">
        <v>0</v>
      </c>
      <c r="M34" s="18" t="n">
        <v>0</v>
      </c>
      <c r="N34" s="20" t="n">
        <v>0</v>
      </c>
      <c r="O34" s="18" t="n">
        <v>0</v>
      </c>
      <c r="P34" s="20" t="n">
        <v>0</v>
      </c>
      <c r="Q34" s="18" t="n">
        <v>0.30923458</v>
      </c>
      <c r="R34" s="20" t="n">
        <v>0.31261191</v>
      </c>
    </row>
    <row r="35" spans="1:18">
      <c r="A35" s="15" t="s">
        <v>593</v>
      </c>
      <c r="B35" s="17" t="n">
        <v>2901</v>
      </c>
      <c r="C35" s="18">
        <f>(2586.0/B35*100)</f>
        <v/>
      </c>
      <c r="D35" s="19" t="n">
        <v>315</v>
      </c>
      <c r="E35" s="18" t="n">
        <v>63.36064757</v>
      </c>
      <c r="F35" s="20" t="n">
        <v>3.40242253</v>
      </c>
      <c r="G35" s="18" t="n">
        <v>36.63935243</v>
      </c>
      <c r="H35" s="20" t="n">
        <v>3.40242253</v>
      </c>
      <c r="I35" s="18" t="n">
        <v>0</v>
      </c>
      <c r="J35" s="20" t="n">
        <v>0</v>
      </c>
      <c r="K35" s="18" t="n">
        <v>0</v>
      </c>
      <c r="L35" s="20" t="n">
        <v>0</v>
      </c>
      <c r="M35" s="18" t="n">
        <v>0</v>
      </c>
      <c r="N35" s="20" t="n">
        <v>0</v>
      </c>
      <c r="O35" s="18" t="n">
        <v>0</v>
      </c>
      <c r="P35" s="20" t="n">
        <v>0</v>
      </c>
      <c r="Q35" s="18" t="n">
        <v>0</v>
      </c>
      <c r="R35" s="20" t="n">
        <v>0</v>
      </c>
    </row>
    <row r="36" spans="1:18">
      <c r="A36" s="15" t="s">
        <v>594</v>
      </c>
      <c r="B36" s="17" t="n">
        <v>3404</v>
      </c>
      <c r="C36" s="18">
        <f>(3051.0/B36*100)</f>
        <v/>
      </c>
      <c r="D36" s="19" t="n">
        <v>353</v>
      </c>
      <c r="E36" s="18" t="n">
        <v>75.9777768</v>
      </c>
      <c r="F36" s="20" t="n">
        <v>2.27619362</v>
      </c>
      <c r="G36" s="18" t="n">
        <v>24.0222232</v>
      </c>
      <c r="H36" s="20" t="n">
        <v>2.27619362</v>
      </c>
      <c r="I36" s="18" t="n">
        <v>0</v>
      </c>
      <c r="J36" s="20" t="n">
        <v>0</v>
      </c>
      <c r="K36" s="18" t="n">
        <v>0</v>
      </c>
      <c r="L36" s="20" t="n">
        <v>0</v>
      </c>
      <c r="M36" s="18" t="n">
        <v>0</v>
      </c>
      <c r="N36" s="20" t="n">
        <v>0</v>
      </c>
      <c r="O36" s="18" t="n">
        <v>0</v>
      </c>
      <c r="P36" s="20" t="n">
        <v>0</v>
      </c>
      <c r="Q36" s="18" t="n">
        <v>0</v>
      </c>
      <c r="R36" s="20" t="n">
        <v>0</v>
      </c>
    </row>
    <row r="37" spans="1:18">
      <c r="A37" s="15" t="s">
        <v>595</v>
      </c>
      <c r="B37" s="17" t="n">
        <v>2731</v>
      </c>
      <c r="C37" s="18">
        <f>(2445.0/B37*100)</f>
        <v/>
      </c>
      <c r="D37" s="19" t="n">
        <v>286</v>
      </c>
      <c r="E37" s="18" t="n">
        <v>72.26141791000001</v>
      </c>
      <c r="F37" s="20" t="n">
        <v>2.81821003</v>
      </c>
      <c r="G37" s="18" t="n">
        <v>27.02494957</v>
      </c>
      <c r="H37" s="20" t="n">
        <v>2.75262737</v>
      </c>
      <c r="I37" s="18" t="n">
        <v>0</v>
      </c>
      <c r="J37" s="20" t="n">
        <v>0</v>
      </c>
      <c r="K37" s="18" t="n">
        <v>0.39934021</v>
      </c>
      <c r="L37" s="20" t="n">
        <v>0.39667908</v>
      </c>
      <c r="M37" s="18" t="n">
        <v>0</v>
      </c>
      <c r="N37" s="20" t="n">
        <v>0</v>
      </c>
      <c r="O37" s="18" t="n">
        <v>0</v>
      </c>
      <c r="P37" s="20" t="n">
        <v>0</v>
      </c>
      <c r="Q37" s="18" t="n">
        <v>0.31429231</v>
      </c>
      <c r="R37" s="20" t="n">
        <v>0.31140601</v>
      </c>
    </row>
    <row r="38" spans="1:18">
      <c r="A38" s="15" t="s">
        <v>596</v>
      </c>
      <c r="B38" s="17" t="n">
        <v>2807</v>
      </c>
      <c r="C38" s="18">
        <f>(2504.0/B38*100)</f>
        <v/>
      </c>
      <c r="D38" s="19" t="n">
        <v>303</v>
      </c>
      <c r="E38" s="18" t="n">
        <v>69.15460052</v>
      </c>
      <c r="F38" s="20" t="n">
        <v>3.32002426</v>
      </c>
      <c r="G38" s="18" t="n">
        <v>30.84539948</v>
      </c>
      <c r="H38" s="20" t="n">
        <v>3.32002426</v>
      </c>
      <c r="I38" s="18" t="n">
        <v>0</v>
      </c>
      <c r="J38" s="20" t="n">
        <v>0</v>
      </c>
      <c r="K38" s="18" t="n">
        <v>0</v>
      </c>
      <c r="L38" s="20" t="n">
        <v>0</v>
      </c>
      <c r="M38" s="18" t="n">
        <v>0</v>
      </c>
      <c r="N38" s="20" t="n">
        <v>0</v>
      </c>
      <c r="O38" s="18" t="n">
        <v>0</v>
      </c>
      <c r="P38" s="20" t="n">
        <v>0</v>
      </c>
      <c r="Q38" s="18" t="n">
        <v>0</v>
      </c>
      <c r="R38" s="20" t="n">
        <v>0</v>
      </c>
    </row>
    <row r="39" spans="1:18">
      <c r="A39" s="15" t="s">
        <v>597</v>
      </c>
      <c r="B39" s="17" t="n">
        <v>2938</v>
      </c>
      <c r="C39" s="18">
        <f>(2591.0/B39*100)</f>
        <v/>
      </c>
      <c r="D39" s="19" t="n">
        <v>347</v>
      </c>
      <c r="E39" s="18" t="n">
        <v>68.15651206</v>
      </c>
      <c r="F39" s="20" t="n">
        <v>3.04033618</v>
      </c>
      <c r="G39" s="18" t="n">
        <v>31.52510904</v>
      </c>
      <c r="H39" s="20" t="n">
        <v>3.06048912</v>
      </c>
      <c r="I39" s="18" t="n">
        <v>0</v>
      </c>
      <c r="J39" s="20" t="n">
        <v>0</v>
      </c>
      <c r="K39" s="18" t="n">
        <v>0</v>
      </c>
      <c r="L39" s="20" t="n">
        <v>0</v>
      </c>
      <c r="M39" s="18" t="n">
        <v>0</v>
      </c>
      <c r="N39" s="20" t="n">
        <v>0</v>
      </c>
      <c r="O39" s="18" t="n">
        <v>0</v>
      </c>
      <c r="P39" s="20" t="n">
        <v>0</v>
      </c>
      <c r="Q39" s="18" t="n">
        <v>0.3183789</v>
      </c>
      <c r="R39" s="20" t="n">
        <v>0.31966463</v>
      </c>
    </row>
    <row r="40" spans="1:18">
      <c r="A40" s="15" t="s">
        <v>598</v>
      </c>
      <c r="B40" s="17" t="n">
        <v>6922</v>
      </c>
      <c r="C40" s="18">
        <f>(6192.0/B40*100)</f>
        <v/>
      </c>
      <c r="D40" s="19" t="n">
        <v>730</v>
      </c>
      <c r="E40" s="18" t="n">
        <v>60.76489025</v>
      </c>
      <c r="F40" s="20" t="n">
        <v>2.98585105</v>
      </c>
      <c r="G40" s="18" t="n">
        <v>39.08386772</v>
      </c>
      <c r="H40" s="20" t="n">
        <v>2.97439087</v>
      </c>
      <c r="I40" s="18" t="n">
        <v>0</v>
      </c>
      <c r="J40" s="20" t="n">
        <v>0</v>
      </c>
      <c r="K40" s="18" t="n">
        <v>0.04952892</v>
      </c>
      <c r="L40" s="20" t="n">
        <v>0.0481047</v>
      </c>
      <c r="M40" s="18" t="n">
        <v>0</v>
      </c>
      <c r="N40" s="20" t="n">
        <v>0</v>
      </c>
      <c r="O40" s="18" t="n">
        <v>0</v>
      </c>
      <c r="P40" s="20" t="n">
        <v>0</v>
      </c>
      <c r="Q40" s="18" t="n">
        <v>0.10171311</v>
      </c>
      <c r="R40" s="20" t="n">
        <v>0.07215766999999999</v>
      </c>
    </row>
    <row r="41" spans="1:18">
      <c r="A41" s="15" t="s">
        <v>599</v>
      </c>
      <c r="B41" s="17" t="n">
        <v>2854</v>
      </c>
      <c r="C41" s="18">
        <f>(2552.0/B41*100)</f>
        <v/>
      </c>
      <c r="D41" s="19" t="n">
        <v>302</v>
      </c>
      <c r="E41" s="18" t="n">
        <v>63.18334984</v>
      </c>
      <c r="F41" s="20" t="n">
        <v>2.85866683</v>
      </c>
      <c r="G41" s="18" t="n">
        <v>36.81665016</v>
      </c>
      <c r="H41" s="20" t="n">
        <v>2.85866683</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(10888.0/B46*100)</f>
        <v/>
      </c>
      <c r="D46" s="19" t="n">
        <v>1185</v>
      </c>
      <c r="E46" s="18" t="n">
        <v>74.75147492000001</v>
      </c>
      <c r="F46" s="20" t="n">
        <v>1.5016415</v>
      </c>
      <c r="G46" s="18" t="n">
        <v>23.09028513</v>
      </c>
      <c r="H46" s="20" t="n">
        <v>1.37995751</v>
      </c>
      <c r="I46" s="18" t="n">
        <v>0</v>
      </c>
      <c r="J46" s="20" t="n">
        <v>0</v>
      </c>
      <c r="K46" s="18" t="n">
        <v>1.00311825</v>
      </c>
      <c r="L46" s="20" t="n">
        <v>0.48972345</v>
      </c>
      <c r="M46" s="18" t="n">
        <v>0</v>
      </c>
      <c r="N46" s="20" t="n">
        <v>0</v>
      </c>
      <c r="O46" s="18" t="n">
        <v>0</v>
      </c>
      <c r="P46" s="20" t="n">
        <v>0</v>
      </c>
      <c r="Q46" s="18" t="n">
        <v>1.1551217</v>
      </c>
      <c r="R46" s="20" t="n">
        <v>0.38004171</v>
      </c>
    </row>
    <row r="47" spans="1:18">
      <c r="A47" s="15" t="s">
        <v>606</v>
      </c>
      <c r="B47" s="17" t="n">
        <v>2823</v>
      </c>
      <c r="C47" s="18">
        <f>(2506.0/B47*100)</f>
        <v/>
      </c>
      <c r="D47" s="19" t="n">
        <v>317</v>
      </c>
      <c r="E47" s="18" t="n">
        <v>78.1246077</v>
      </c>
      <c r="F47" s="20" t="n">
        <v>2.43048677</v>
      </c>
      <c r="G47" s="18" t="n">
        <v>20.32525756</v>
      </c>
      <c r="H47" s="20" t="n">
        <v>2.39238633</v>
      </c>
      <c r="I47" s="18" t="n">
        <v>0</v>
      </c>
      <c r="J47" s="20" t="n">
        <v>0</v>
      </c>
      <c r="K47" s="18" t="n">
        <v>0.60334941</v>
      </c>
      <c r="L47" s="20" t="n">
        <v>0.42893846</v>
      </c>
      <c r="M47" s="18" t="n">
        <v>0</v>
      </c>
      <c r="N47" s="20" t="n">
        <v>0</v>
      </c>
      <c r="O47" s="18" t="n">
        <v>0</v>
      </c>
      <c r="P47" s="20" t="n">
        <v>0</v>
      </c>
      <c r="Q47" s="18" t="n">
        <v>0.94678534</v>
      </c>
      <c r="R47" s="20" t="n">
        <v>0.48595315</v>
      </c>
    </row>
    <row r="48" spans="1:18">
      <c r="A48" s="15" t="s">
        <v>607</v>
      </c>
      <c r="B48" s="17" t="n">
        <v>4682</v>
      </c>
      <c r="C48" s="18">
        <f>(4155.0/B48*100)</f>
        <v/>
      </c>
      <c r="D48" s="19" t="n">
        <v>527</v>
      </c>
      <c r="E48" s="18" t="n">
        <v>78.64592177</v>
      </c>
      <c r="F48" s="20" t="n">
        <v>2.73232866</v>
      </c>
      <c r="G48" s="18" t="n">
        <v>19.66957958</v>
      </c>
      <c r="H48" s="20" t="n">
        <v>2.44020312</v>
      </c>
      <c r="I48" s="18" t="n">
        <v>0</v>
      </c>
      <c r="J48" s="20" t="n">
        <v>0</v>
      </c>
      <c r="K48" s="18" t="n">
        <v>1.47158334</v>
      </c>
      <c r="L48" s="20" t="n">
        <v>0.88041155</v>
      </c>
      <c r="M48" s="18" t="n">
        <v>0</v>
      </c>
      <c r="N48" s="20" t="n">
        <v>0</v>
      </c>
      <c r="O48" s="18" t="n">
        <v>0</v>
      </c>
      <c r="P48" s="20" t="n">
        <v>0</v>
      </c>
      <c r="Q48" s="18" t="n">
        <v>0.21291531</v>
      </c>
      <c r="R48" s="20" t="n">
        <v>0.21415693</v>
      </c>
    </row>
    <row r="49" spans="1:18">
      <c r="A49" s="15" t="s">
        <v>608</v>
      </c>
      <c r="B49" s="17" t="n">
        <v>6158</v>
      </c>
      <c r="C49" s="18">
        <f>(5474.0/B49*100)</f>
        <v/>
      </c>
      <c r="D49" s="19" t="n">
        <v>684</v>
      </c>
      <c r="E49" s="18" t="n">
        <v>67.48866369</v>
      </c>
      <c r="F49" s="20" t="n">
        <v>2.65951526</v>
      </c>
      <c r="G49" s="18" t="n">
        <v>31.54853726</v>
      </c>
      <c r="H49" s="20" t="n">
        <v>2.68896607</v>
      </c>
      <c r="I49" s="18" t="n">
        <v>0</v>
      </c>
      <c r="J49" s="20" t="n">
        <v>0</v>
      </c>
      <c r="K49" s="18" t="n">
        <v>0.96279906</v>
      </c>
      <c r="L49" s="20" t="n">
        <v>0.52563713</v>
      </c>
      <c r="M49" s="18" t="n">
        <v>0</v>
      </c>
      <c r="N49" s="20" t="n">
        <v>0</v>
      </c>
      <c r="O49" s="18" t="n">
        <v>0</v>
      </c>
      <c r="P49" s="20" t="n">
        <v>0</v>
      </c>
      <c r="Q49" s="18" t="n">
        <v>0</v>
      </c>
      <c r="R49" s="20" t="n">
        <v>0</v>
      </c>
    </row>
    <row r="50" spans="1:18">
      <c r="A50" s="15" t="s">
        <v>609</v>
      </c>
      <c r="B50" s="17" t="n">
        <v>3494</v>
      </c>
      <c r="C50" s="18">
        <f>(3142.0/B50*100)</f>
        <v/>
      </c>
      <c r="D50" s="19" t="n">
        <v>352</v>
      </c>
      <c r="E50" s="18" t="n">
        <v>83.42789378000001</v>
      </c>
      <c r="F50" s="20" t="n">
        <v>1.9765482</v>
      </c>
      <c r="G50" s="18" t="n">
        <v>15.47751211</v>
      </c>
      <c r="H50" s="20" t="n">
        <v>2.04869763</v>
      </c>
      <c r="I50" s="18" t="n">
        <v>0</v>
      </c>
      <c r="J50" s="20" t="n">
        <v>0</v>
      </c>
      <c r="K50" s="18" t="n">
        <v>0.70722984</v>
      </c>
      <c r="L50" s="20" t="n">
        <v>0.4928023</v>
      </c>
      <c r="M50" s="18" t="n">
        <v>0</v>
      </c>
      <c r="N50" s="20" t="n">
        <v>0</v>
      </c>
      <c r="O50" s="18" t="n">
        <v>0</v>
      </c>
      <c r="P50" s="20" t="n">
        <v>0</v>
      </c>
      <c r="Q50" s="18" t="n">
        <v>0.38736427</v>
      </c>
      <c r="R50" s="20" t="n">
        <v>0.28229573</v>
      </c>
    </row>
    <row r="51" spans="1:18">
      <c r="A51" s="15" t="s">
        <v>610</v>
      </c>
      <c r="B51" s="17" t="n">
        <v>3013</v>
      </c>
      <c r="C51" s="18">
        <f>(2672.0/B51*100)</f>
        <v/>
      </c>
      <c r="D51" s="19" t="n">
        <v>341</v>
      </c>
      <c r="E51" s="18" t="n">
        <v>61.41999843</v>
      </c>
      <c r="F51" s="20" t="n">
        <v>2.80375043</v>
      </c>
      <c r="G51" s="18" t="n">
        <v>37.48178538</v>
      </c>
      <c r="H51" s="20" t="n">
        <v>2.60742161</v>
      </c>
      <c r="I51" s="18" t="n">
        <v>0</v>
      </c>
      <c r="J51" s="20" t="n">
        <v>0</v>
      </c>
      <c r="K51" s="18" t="n">
        <v>0</v>
      </c>
      <c r="L51" s="20" t="n">
        <v>0</v>
      </c>
      <c r="M51" s="18" t="n">
        <v>0</v>
      </c>
      <c r="N51" s="20" t="n">
        <v>0</v>
      </c>
      <c r="O51" s="18" t="n">
        <v>0</v>
      </c>
      <c r="P51" s="20" t="n">
        <v>0</v>
      </c>
      <c r="Q51" s="18" t="n">
        <v>1.09821619</v>
      </c>
      <c r="R51" s="20" t="n">
        <v>0.583803</v>
      </c>
    </row>
    <row r="52" spans="1:18">
      <c r="A52" s="15" t="s">
        <v>611</v>
      </c>
      <c r="B52" s="17" t="n">
        <v>2760</v>
      </c>
      <c r="C52" s="18">
        <f>(2463.0/B52*100)</f>
        <v/>
      </c>
      <c r="D52" s="19" t="n">
        <v>297</v>
      </c>
      <c r="E52" s="18" t="n">
        <v>79.48415468</v>
      </c>
      <c r="F52" s="20" t="n">
        <v>2.57079821</v>
      </c>
      <c r="G52" s="18" t="n">
        <v>18.65041068</v>
      </c>
      <c r="H52" s="20" t="n">
        <v>2.3242646</v>
      </c>
      <c r="I52" s="18" t="n">
        <v>0</v>
      </c>
      <c r="J52" s="20" t="n">
        <v>0</v>
      </c>
      <c r="K52" s="18" t="n">
        <v>0</v>
      </c>
      <c r="L52" s="20" t="n">
        <v>0</v>
      </c>
      <c r="M52" s="18" t="n">
        <v>0</v>
      </c>
      <c r="N52" s="20" t="n">
        <v>0</v>
      </c>
      <c r="O52" s="18" t="n">
        <v>0</v>
      </c>
      <c r="P52" s="20" t="n">
        <v>0</v>
      </c>
      <c r="Q52" s="18" t="n">
        <v>1.86543463</v>
      </c>
      <c r="R52" s="20" t="n">
        <v>0.87669065</v>
      </c>
    </row>
    <row r="53" spans="1:18">
      <c r="A53" s="15" t="s">
        <v>612</v>
      </c>
      <c r="B53" s="17" t="n">
        <v>2474</v>
      </c>
      <c r="C53" s="18">
        <f>(2219.0/B53*100)</f>
        <v/>
      </c>
      <c r="D53" s="19" t="n">
        <v>255</v>
      </c>
      <c r="E53" s="18" t="n">
        <v>71.70735971000001</v>
      </c>
      <c r="F53" s="20" t="n">
        <v>3.2747148</v>
      </c>
      <c r="G53" s="18" t="n">
        <v>15.26089728</v>
      </c>
      <c r="H53" s="20" t="n">
        <v>2.53978199</v>
      </c>
      <c r="I53" s="18" t="n">
        <v>0</v>
      </c>
      <c r="J53" s="20" t="n">
        <v>0</v>
      </c>
      <c r="K53" s="18" t="n">
        <v>9.698328330000001</v>
      </c>
      <c r="L53" s="20" t="n">
        <v>2.18421023</v>
      </c>
      <c r="M53" s="18" t="n">
        <v>0</v>
      </c>
      <c r="N53" s="20" t="n">
        <v>0</v>
      </c>
      <c r="O53" s="18" t="n">
        <v>0</v>
      </c>
      <c r="P53" s="20" t="n">
        <v>0</v>
      </c>
      <c r="Q53" s="18" t="n">
        <v>3.33341468</v>
      </c>
      <c r="R53" s="20" t="n">
        <v>1.12561235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(2362.0/B55*100)</f>
        <v/>
      </c>
      <c r="D55" s="19" t="n">
        <v>313</v>
      </c>
      <c r="E55" s="18" t="n">
        <v>59.23195317</v>
      </c>
      <c r="F55" s="20" t="n">
        <v>2.92597704</v>
      </c>
      <c r="G55" s="18" t="n">
        <v>39.51973472</v>
      </c>
      <c r="H55" s="20" t="n">
        <v>2.8537608</v>
      </c>
      <c r="I55" s="18" t="n">
        <v>0</v>
      </c>
      <c r="J55" s="20" t="n">
        <v>0</v>
      </c>
      <c r="K55" s="18" t="n">
        <v>0.34386573</v>
      </c>
      <c r="L55" s="20" t="n">
        <v>0.34071811</v>
      </c>
      <c r="M55" s="18" t="n">
        <v>0</v>
      </c>
      <c r="N55" s="20" t="n">
        <v>0</v>
      </c>
      <c r="O55" s="18" t="n">
        <v>0</v>
      </c>
      <c r="P55" s="20" t="n">
        <v>0</v>
      </c>
      <c r="Q55" s="18" t="n">
        <v>0.90444638</v>
      </c>
      <c r="R55" s="20" t="n">
        <v>0.50970616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(2855.0/B61*100)</f>
        <v/>
      </c>
      <c r="D61" s="19" t="n">
        <v>346</v>
      </c>
      <c r="E61" s="18" t="n">
        <v>72.33972482999999</v>
      </c>
      <c r="F61" s="20" t="n">
        <v>2.91479358</v>
      </c>
      <c r="G61" s="18" t="n">
        <v>27.13124482</v>
      </c>
      <c r="H61" s="20" t="n">
        <v>2.90485355</v>
      </c>
      <c r="I61" s="18" t="n">
        <v>0</v>
      </c>
      <c r="J61" s="20" t="n">
        <v>0</v>
      </c>
      <c r="K61" s="18" t="n">
        <v>0</v>
      </c>
      <c r="L61" s="20" t="n">
        <v>0</v>
      </c>
      <c r="M61" s="18" t="n">
        <v>0</v>
      </c>
      <c r="N61" s="20" t="n">
        <v>0</v>
      </c>
      <c r="O61" s="18" t="n">
        <v>0</v>
      </c>
      <c r="P61" s="20" t="n">
        <v>0</v>
      </c>
      <c r="Q61" s="18" t="n">
        <v>0.52903036</v>
      </c>
      <c r="R61" s="20" t="n">
        <v>0.45731714</v>
      </c>
    </row>
    <row r="62" spans="1:18">
      <c r="A62" s="15" t="s">
        <v>622</v>
      </c>
      <c r="B62" s="17" t="n">
        <v>2230</v>
      </c>
      <c r="C62" s="18">
        <f>(2011.0/B62*100)</f>
        <v/>
      </c>
      <c r="D62" s="19" t="n">
        <v>219</v>
      </c>
      <c r="E62" s="18" t="n">
        <v>65.80884333</v>
      </c>
      <c r="F62" s="20" t="n">
        <v>2.99749366</v>
      </c>
      <c r="G62" s="18" t="n">
        <v>34.19115667</v>
      </c>
      <c r="H62" s="20" t="n">
        <v>2.99749366</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(2468.0/B67*100)</f>
        <v/>
      </c>
      <c r="D67" s="19" t="n">
        <v>303</v>
      </c>
      <c r="E67" s="18" t="n">
        <v>75.33407708</v>
      </c>
      <c r="F67" s="20" t="n">
        <v>2.67488651</v>
      </c>
      <c r="G67" s="18" t="n">
        <v>21.43082361</v>
      </c>
      <c r="H67" s="20" t="n">
        <v>2.65660343</v>
      </c>
      <c r="I67" s="18" t="n">
        <v>0</v>
      </c>
      <c r="J67" s="20" t="n">
        <v>0</v>
      </c>
      <c r="K67" s="18" t="n">
        <v>0.5628216</v>
      </c>
      <c r="L67" s="20" t="n">
        <v>0.39965661</v>
      </c>
      <c r="M67" s="18" t="n">
        <v>0</v>
      </c>
      <c r="N67" s="20" t="n">
        <v>0</v>
      </c>
      <c r="O67" s="18" t="n">
        <v>0</v>
      </c>
      <c r="P67" s="20" t="n">
        <v>0</v>
      </c>
      <c r="Q67" s="18" t="n">
        <v>2.6722777</v>
      </c>
      <c r="R67" s="20" t="n">
        <v>0.94607747</v>
      </c>
    </row>
    <row r="68" spans="1:18">
      <c r="A68" s="15" t="s">
        <v>628</v>
      </c>
      <c r="B68" s="17" t="n">
        <v>3460</v>
      </c>
      <c r="C68" s="18">
        <f>(3089.0/B68*100)</f>
        <v/>
      </c>
      <c r="D68" s="19" t="n">
        <v>371</v>
      </c>
      <c r="E68" s="18" t="n">
        <v>72.4069525</v>
      </c>
      <c r="F68" s="20" t="n">
        <v>2.30463391</v>
      </c>
      <c r="G68" s="18" t="n">
        <v>27.35428645</v>
      </c>
      <c r="H68" s="20" t="n">
        <v>2.27922308</v>
      </c>
      <c r="I68" s="18" t="n">
        <v>0</v>
      </c>
      <c r="J68" s="20" t="n">
        <v>0</v>
      </c>
      <c r="K68" s="18" t="n">
        <v>0</v>
      </c>
      <c r="L68" s="20" t="n">
        <v>0</v>
      </c>
      <c r="M68" s="18" t="n">
        <v>0</v>
      </c>
      <c r="N68" s="20" t="n">
        <v>0</v>
      </c>
      <c r="O68" s="18" t="n">
        <v>0</v>
      </c>
      <c r="P68" s="20" t="n">
        <v>0</v>
      </c>
      <c r="Q68" s="18" t="n">
        <v>0.23876105</v>
      </c>
      <c r="R68" s="20" t="n">
        <v>0.23700561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(5384.0/B70*100)</f>
        <v/>
      </c>
      <c r="D70" s="19" t="n">
        <v>650</v>
      </c>
      <c r="E70" s="18" t="n">
        <v>78.61260689</v>
      </c>
      <c r="F70" s="20" t="n">
        <v>1.40807291</v>
      </c>
      <c r="G70" s="18" t="n">
        <v>19.8323616</v>
      </c>
      <c r="H70" s="20" t="n">
        <v>1.4199733</v>
      </c>
      <c r="I70" s="18" t="n">
        <v>0</v>
      </c>
      <c r="J70" s="20" t="n">
        <v>0</v>
      </c>
      <c r="K70" s="18" t="n">
        <v>1.55503151</v>
      </c>
      <c r="L70" s="20" t="n">
        <v>0.49339345</v>
      </c>
      <c r="M70" s="18" t="n">
        <v>0</v>
      </c>
      <c r="N70" s="20" t="n">
        <v>0</v>
      </c>
      <c r="O70" s="18" t="n">
        <v>0</v>
      </c>
      <c r="P70" s="20" t="n">
        <v>0</v>
      </c>
      <c r="Q70" s="18" t="n">
        <v>0</v>
      </c>
      <c r="R70" s="20" t="n">
        <v>0</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(2756.0/B72*100)</f>
        <v/>
      </c>
      <c r="D72" s="19" t="n">
        <v>351</v>
      </c>
      <c r="E72" s="18" t="n">
        <v>78.89869235</v>
      </c>
      <c r="F72" s="20" t="n">
        <v>2.64981513</v>
      </c>
      <c r="G72" s="18" t="n">
        <v>20.87652395</v>
      </c>
      <c r="H72" s="20" t="n">
        <v>2.64684291</v>
      </c>
      <c r="I72" s="18" t="n">
        <v>0</v>
      </c>
      <c r="J72" s="20" t="n">
        <v>0</v>
      </c>
      <c r="K72" s="18" t="n">
        <v>0</v>
      </c>
      <c r="L72" s="20" t="n">
        <v>0</v>
      </c>
      <c r="M72" s="18" t="n">
        <v>0</v>
      </c>
      <c r="N72" s="20" t="n">
        <v>0</v>
      </c>
      <c r="O72" s="18" t="n">
        <v>0</v>
      </c>
      <c r="P72" s="20" t="n">
        <v>0</v>
      </c>
      <c r="Q72" s="18" t="n">
        <v>0.2247837</v>
      </c>
      <c r="R72" s="20" t="n">
        <v>0.21741915</v>
      </c>
    </row>
    <row r="73" spans="1:18">
      <c r="A73" s="15" t="s">
        <v>633</v>
      </c>
      <c r="B73" s="17" t="n">
        <v>2973</v>
      </c>
      <c r="C73" s="18">
        <f>(2676.0/B73*100)</f>
        <v/>
      </c>
      <c r="D73" s="19" t="n">
        <v>297</v>
      </c>
      <c r="E73" s="18" t="n">
        <v>57.04855498</v>
      </c>
      <c r="F73" s="20" t="n">
        <v>2.68229799</v>
      </c>
      <c r="G73" s="18" t="n">
        <v>42.71617722</v>
      </c>
      <c r="H73" s="20" t="n">
        <v>2.65548881</v>
      </c>
      <c r="I73" s="18" t="n">
        <v>0</v>
      </c>
      <c r="J73" s="20" t="n">
        <v>0</v>
      </c>
      <c r="K73" s="18" t="n">
        <v>0</v>
      </c>
      <c r="L73" s="20" t="n">
        <v>0</v>
      </c>
      <c r="M73" s="18" t="n">
        <v>0</v>
      </c>
      <c r="N73" s="20" t="n">
        <v>0</v>
      </c>
      <c r="O73" s="18" t="n">
        <v>0</v>
      </c>
      <c r="P73" s="20" t="n">
        <v>0</v>
      </c>
      <c r="Q73" s="18" t="n">
        <v>0.2352678</v>
      </c>
      <c r="R73" s="20" t="n">
        <v>0.2379402</v>
      </c>
    </row>
    <row r="74" spans="1:18">
      <c r="A74" s="15" t="s">
        <v>634</v>
      </c>
      <c r="B74" s="17" t="n">
        <v>3819</v>
      </c>
      <c r="C74" s="18">
        <f>(3411.0/B74*100)</f>
        <v/>
      </c>
      <c r="D74" s="19" t="n">
        <v>408</v>
      </c>
      <c r="E74" s="18" t="n">
        <v>78.18353721</v>
      </c>
      <c r="F74" s="20" t="n">
        <v>2.053975</v>
      </c>
      <c r="G74" s="18" t="n">
        <v>21.81646279</v>
      </c>
      <c r="H74" s="20" t="n">
        <v>2.053975</v>
      </c>
      <c r="I74" s="18" t="n">
        <v>0</v>
      </c>
      <c r="J74" s="20" t="n">
        <v>0</v>
      </c>
      <c r="K74" s="18" t="n">
        <v>0</v>
      </c>
      <c r="L74" s="20" t="n">
        <v>0</v>
      </c>
      <c r="M74" s="18" t="n">
        <v>0</v>
      </c>
      <c r="N74" s="20" t="n">
        <v>0</v>
      </c>
      <c r="O74" s="18" t="n">
        <v>0</v>
      </c>
      <c r="P74" s="20" t="n">
        <v>0</v>
      </c>
      <c r="Q74" s="18" t="n">
        <v>0</v>
      </c>
      <c r="R74" s="20" t="n">
        <v>0</v>
      </c>
    </row>
    <row r="75" spans="1:18">
      <c r="A75" s="15" t="s">
        <v>635</v>
      </c>
      <c r="B75" s="17" t="n">
        <v>4652</v>
      </c>
      <c r="C75" s="18">
        <f>(4153.0/B75*100)</f>
        <v/>
      </c>
      <c r="D75" s="19" t="n">
        <v>499</v>
      </c>
      <c r="E75" s="18" t="n">
        <v>70.35241141</v>
      </c>
      <c r="F75" s="20" t="n">
        <v>2.25329413</v>
      </c>
      <c r="G75" s="18" t="n">
        <v>29.36869699</v>
      </c>
      <c r="H75" s="20" t="n">
        <v>2.31462744</v>
      </c>
      <c r="I75" s="18" t="n">
        <v>0</v>
      </c>
      <c r="J75" s="20" t="n">
        <v>0</v>
      </c>
      <c r="K75" s="18" t="n">
        <v>0.26754148</v>
      </c>
      <c r="L75" s="20" t="n">
        <v>0.26816998</v>
      </c>
      <c r="M75" s="18" t="n">
        <v>0</v>
      </c>
      <c r="N75" s="20" t="n">
        <v>0</v>
      </c>
      <c r="O75" s="18" t="n">
        <v>0</v>
      </c>
      <c r="P75" s="20" t="n">
        <v>0</v>
      </c>
      <c r="Q75" s="18" t="n">
        <v>0.01135011</v>
      </c>
      <c r="R75" s="20" t="n">
        <v>0.01129631</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(2659.0/B77*100)</f>
        <v/>
      </c>
      <c r="D77" s="19" t="n">
        <v>310</v>
      </c>
      <c r="E77" s="18" t="n">
        <v>78.86546521</v>
      </c>
      <c r="F77" s="20" t="n">
        <v>2.02349003</v>
      </c>
      <c r="G77" s="18" t="n">
        <v>17.37824057</v>
      </c>
      <c r="H77" s="20" t="n">
        <v>1.77297865</v>
      </c>
      <c r="I77" s="18" t="n">
        <v>0</v>
      </c>
      <c r="J77" s="20" t="n">
        <v>0</v>
      </c>
      <c r="K77" s="18" t="n">
        <v>3.07890805</v>
      </c>
      <c r="L77" s="20" t="n">
        <v>0.93061952</v>
      </c>
      <c r="M77" s="18" t="n">
        <v>0</v>
      </c>
      <c r="N77" s="20" t="n">
        <v>0</v>
      </c>
      <c r="O77" s="18" t="n">
        <v>0</v>
      </c>
      <c r="P77" s="20" t="n">
        <v>0</v>
      </c>
      <c r="Q77" s="18" t="n">
        <v>0.67738617</v>
      </c>
      <c r="R77" s="20" t="n">
        <v>0.42275092</v>
      </c>
    </row>
    <row r="78" spans="1:18">
      <c r="A78" s="15" t="s">
        <v>638</v>
      </c>
      <c r="B78" s="17" t="n">
        <v>7115</v>
      </c>
      <c r="C78" s="18">
        <f>(6294.0/B78*100)</f>
        <v/>
      </c>
      <c r="D78" s="19" t="n">
        <v>821</v>
      </c>
      <c r="E78" s="18" t="n">
        <v>73.58432010999999</v>
      </c>
      <c r="F78" s="20" t="n">
        <v>1.97005735</v>
      </c>
      <c r="G78" s="18" t="n">
        <v>25.67907019</v>
      </c>
      <c r="H78" s="20" t="n">
        <v>1.90728064</v>
      </c>
      <c r="I78" s="18" t="n">
        <v>0</v>
      </c>
      <c r="J78" s="20" t="n">
        <v>0</v>
      </c>
      <c r="K78" s="18" t="n">
        <v>0.42320263</v>
      </c>
      <c r="L78" s="20" t="n">
        <v>0.21262325</v>
      </c>
      <c r="M78" s="18" t="n">
        <v>0</v>
      </c>
      <c r="N78" s="20" t="n">
        <v>0</v>
      </c>
      <c r="O78" s="18" t="n">
        <v>0</v>
      </c>
      <c r="P78" s="20" t="n">
        <v>0</v>
      </c>
      <c r="Q78" s="18" t="n">
        <v>0.31340707</v>
      </c>
      <c r="R78" s="20" t="n">
        <v>0.19843624</v>
      </c>
    </row>
    <row r="79" spans="1:18">
      <c r="A79" s="15" t="s">
        <v>639</v>
      </c>
      <c r="B79" s="17" t="n">
        <v>3154</v>
      </c>
      <c r="C79" s="18">
        <f>(2812.0/B79*100)</f>
        <v/>
      </c>
      <c r="D79" s="19" t="n">
        <v>342</v>
      </c>
      <c r="E79" s="18" t="n">
        <v>68.40014748</v>
      </c>
      <c r="F79" s="20" t="n">
        <v>2.99470381</v>
      </c>
      <c r="G79" s="18" t="n">
        <v>27.23886116</v>
      </c>
      <c r="H79" s="20" t="n">
        <v>2.85392926</v>
      </c>
      <c r="I79" s="18" t="n">
        <v>0</v>
      </c>
      <c r="J79" s="20" t="n">
        <v>0</v>
      </c>
      <c r="K79" s="18" t="n">
        <v>0.93967588</v>
      </c>
      <c r="L79" s="20" t="n">
        <v>0.50972267</v>
      </c>
      <c r="M79" s="18" t="n">
        <v>0</v>
      </c>
      <c r="N79" s="20" t="n">
        <v>0</v>
      </c>
      <c r="O79" s="18" t="n">
        <v>0</v>
      </c>
      <c r="P79" s="20" t="n">
        <v>0</v>
      </c>
      <c r="Q79" s="18" t="n">
        <v>3.42131548</v>
      </c>
      <c r="R79" s="20" t="n">
        <v>1.33850064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(14231.0/B82*100)</f>
        <v/>
      </c>
      <c r="D82" s="19" t="n">
        <v>1730</v>
      </c>
      <c r="E82" s="18" t="n">
        <v>74.05832658</v>
      </c>
      <c r="F82" s="20" t="n">
        <v>1.48713489</v>
      </c>
      <c r="G82" s="18" t="n">
        <v>25.58649114</v>
      </c>
      <c r="H82" s="20" t="n">
        <v>1.466395</v>
      </c>
      <c r="I82" s="18" t="n">
        <v>0</v>
      </c>
      <c r="J82" s="20" t="n">
        <v>0</v>
      </c>
      <c r="K82" s="18" t="n">
        <v>0.23363598</v>
      </c>
      <c r="L82" s="20" t="n">
        <v>0.21918303</v>
      </c>
      <c r="M82" s="18" t="n">
        <v>0</v>
      </c>
      <c r="N82" s="20" t="n">
        <v>0</v>
      </c>
      <c r="O82" s="18" t="n">
        <v>0</v>
      </c>
      <c r="P82" s="20" t="n">
        <v>0</v>
      </c>
      <c r="Q82" s="18" t="n">
        <v>0.1215463</v>
      </c>
      <c r="R82" s="20" t="n">
        <v>0.07321951</v>
      </c>
    </row>
    <row r="83" spans="1:18">
      <c r="A83" s="15" t="s">
        <v>643</v>
      </c>
      <c r="B83" s="17" t="n">
        <v>808</v>
      </c>
      <c r="C83" s="18">
        <f>(712.0/B83*100)</f>
        <v/>
      </c>
      <c r="D83" s="19" t="n">
        <v>96</v>
      </c>
      <c r="E83" s="18" t="n">
        <v>52.35121571</v>
      </c>
      <c r="F83" s="20" t="n">
        <v>6.20688455</v>
      </c>
      <c r="G83" s="18" t="n">
        <v>47.64878429</v>
      </c>
      <c r="H83" s="20" t="n">
        <v>6.20688455</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(843.0/B84*100)</f>
        <v/>
      </c>
      <c r="D84" s="19" t="n">
        <v>95</v>
      </c>
      <c r="E84" s="18" t="n">
        <v>64.65730976</v>
      </c>
      <c r="F84" s="20" t="n">
        <v>5.92318862</v>
      </c>
      <c r="G84" s="18" t="n">
        <v>35.34269024</v>
      </c>
      <c r="H84" s="20" t="n">
        <v>5.92318862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(6380.0/B7*100)</f>
        <v/>
      </c>
      <c r="D7" s="19" t="n">
        <v>783</v>
      </c>
      <c r="E7" s="18" t="n">
        <v>43.83663282</v>
      </c>
      <c r="F7" s="20" t="n">
        <v>2.0862594</v>
      </c>
      <c r="G7" s="18" t="n">
        <v>55.07724982</v>
      </c>
      <c r="H7" s="20" t="n">
        <v>2.09094138</v>
      </c>
      <c r="I7" s="18" t="n">
        <v>0</v>
      </c>
      <c r="J7" s="20" t="n">
        <v>0</v>
      </c>
      <c r="K7" s="18" t="n">
        <v>0.27460858</v>
      </c>
      <c r="L7" s="20" t="n">
        <v>0.21294985</v>
      </c>
      <c r="M7" s="18" t="n">
        <v>0</v>
      </c>
      <c r="N7" s="20" t="n">
        <v>0</v>
      </c>
      <c r="O7" s="18" t="n">
        <v>0</v>
      </c>
      <c r="P7" s="20" t="n">
        <v>0</v>
      </c>
      <c r="Q7" s="18" t="n">
        <v>0.81150879</v>
      </c>
      <c r="R7" s="20" t="n">
        <v>0.39698043</v>
      </c>
    </row>
    <row r="8" spans="1:18">
      <c r="A8" s="15" t="s">
        <v>566</v>
      </c>
      <c r="B8" s="17" t="n">
        <v>3443</v>
      </c>
      <c r="C8" s="18">
        <f>(3059.0/B8*100)</f>
        <v/>
      </c>
      <c r="D8" s="19" t="n">
        <v>384</v>
      </c>
      <c r="E8" s="18" t="n">
        <v>63.41517165</v>
      </c>
      <c r="F8" s="20" t="n">
        <v>2.38398817</v>
      </c>
      <c r="G8" s="18" t="n">
        <v>36.58482835</v>
      </c>
      <c r="H8" s="20" t="n">
        <v>2.38398817</v>
      </c>
      <c r="I8" s="18" t="n">
        <v>0</v>
      </c>
      <c r="J8" s="20" t="n">
        <v>0</v>
      </c>
      <c r="K8" s="18" t="n">
        <v>0</v>
      </c>
      <c r="L8" s="20" t="n">
        <v>0</v>
      </c>
      <c r="M8" s="18" t="n">
        <v>0</v>
      </c>
      <c r="N8" s="20" t="n">
        <v>0</v>
      </c>
      <c r="O8" s="18" t="n">
        <v>0</v>
      </c>
      <c r="P8" s="20" t="n">
        <v>0</v>
      </c>
      <c r="Q8" s="18" t="n">
        <v>0</v>
      </c>
      <c r="R8" s="20" t="n">
        <v>0</v>
      </c>
    </row>
    <row r="9" spans="1:18">
      <c r="A9" s="15" t="s">
        <v>567</v>
      </c>
      <c r="B9" s="17" t="n">
        <v>4752</v>
      </c>
      <c r="C9" s="18">
        <f>(4239.0/B9*100)</f>
        <v/>
      </c>
      <c r="D9" s="19" t="n">
        <v>513</v>
      </c>
      <c r="E9" s="18" t="n">
        <v>48.22700637</v>
      </c>
      <c r="F9" s="20" t="n">
        <v>2.19247784</v>
      </c>
      <c r="G9" s="18" t="n">
        <v>50.85865361</v>
      </c>
      <c r="H9" s="20" t="n">
        <v>2.14728748</v>
      </c>
      <c r="I9" s="18" t="n">
        <v>0</v>
      </c>
      <c r="J9" s="20" t="n">
        <v>0</v>
      </c>
      <c r="K9" s="18" t="n">
        <v>0.39036705</v>
      </c>
      <c r="L9" s="20" t="n">
        <v>0.30090292</v>
      </c>
      <c r="M9" s="18" t="n">
        <v>0</v>
      </c>
      <c r="N9" s="20" t="n">
        <v>0</v>
      </c>
      <c r="O9" s="18" t="n">
        <v>0</v>
      </c>
      <c r="P9" s="20" t="n">
        <v>0</v>
      </c>
      <c r="Q9" s="18" t="n">
        <v>0.52397297</v>
      </c>
      <c r="R9" s="20" t="n">
        <v>0.33085736</v>
      </c>
    </row>
    <row r="10" spans="1:18">
      <c r="A10" s="15" t="s">
        <v>568</v>
      </c>
      <c r="B10" s="17" t="n">
        <v>10022</v>
      </c>
      <c r="C10" s="18">
        <f>(8947.0/B10*100)</f>
        <v/>
      </c>
      <c r="D10" s="19" t="n">
        <v>1075</v>
      </c>
      <c r="E10" s="18" t="n">
        <v>37.3317229</v>
      </c>
      <c r="F10" s="20" t="n">
        <v>1.87865499</v>
      </c>
      <c r="G10" s="18" t="n">
        <v>62.12915987</v>
      </c>
      <c r="H10" s="20" t="n">
        <v>1.84680377</v>
      </c>
      <c r="I10" s="18" t="n">
        <v>0</v>
      </c>
      <c r="J10" s="20" t="n">
        <v>0</v>
      </c>
      <c r="K10" s="18" t="n">
        <v>0.42002158</v>
      </c>
      <c r="L10" s="20" t="n">
        <v>0.29609238</v>
      </c>
      <c r="M10" s="18" t="n">
        <v>0</v>
      </c>
      <c r="N10" s="20" t="n">
        <v>0</v>
      </c>
      <c r="O10" s="18" t="n">
        <v>0</v>
      </c>
      <c r="P10" s="20" t="n">
        <v>0</v>
      </c>
      <c r="Q10" s="18" t="n">
        <v>0.11909566</v>
      </c>
      <c r="R10" s="20" t="n">
        <v>0.09017143</v>
      </c>
    </row>
    <row r="11" spans="1:18">
      <c r="A11" s="15" t="s">
        <v>569</v>
      </c>
      <c r="B11" s="17" t="n">
        <v>3500</v>
      </c>
      <c r="C11" s="18">
        <f>(3117.0/B11*100)</f>
        <v/>
      </c>
      <c r="D11" s="19" t="n">
        <v>383</v>
      </c>
      <c r="E11" s="18" t="n">
        <v>75.92003707000001</v>
      </c>
      <c r="F11" s="20" t="n">
        <v>2.39847964</v>
      </c>
      <c r="G11" s="18" t="n">
        <v>21.64295328</v>
      </c>
      <c r="H11" s="20" t="n">
        <v>2.49289577</v>
      </c>
      <c r="I11" s="18" t="n">
        <v>0</v>
      </c>
      <c r="J11" s="20" t="n">
        <v>0</v>
      </c>
      <c r="K11" s="18" t="n">
        <v>0.57396953</v>
      </c>
      <c r="L11" s="20" t="n">
        <v>0.32314095</v>
      </c>
      <c r="M11" s="18" t="n">
        <v>0</v>
      </c>
      <c r="N11" s="20" t="n">
        <v>0</v>
      </c>
      <c r="O11" s="18" t="n">
        <v>0</v>
      </c>
      <c r="P11" s="20" t="n">
        <v>0</v>
      </c>
      <c r="Q11" s="18" t="n">
        <v>1.86304012</v>
      </c>
      <c r="R11" s="20" t="n">
        <v>0.66922971</v>
      </c>
    </row>
    <row r="12" spans="1:18">
      <c r="A12" s="15" t="s">
        <v>570</v>
      </c>
      <c r="B12" s="17" t="n">
        <v>3422</v>
      </c>
      <c r="C12" s="18">
        <f>(3037.0/B12*100)</f>
        <v/>
      </c>
      <c r="D12" s="19" t="n">
        <v>385</v>
      </c>
      <c r="E12" s="18" t="n">
        <v>51.54074131</v>
      </c>
      <c r="F12" s="20" t="n">
        <v>2.69772828</v>
      </c>
      <c r="G12" s="18" t="n">
        <v>47.92249422</v>
      </c>
      <c r="H12" s="20" t="n">
        <v>2.6712301</v>
      </c>
      <c r="I12" s="18" t="n">
        <v>0</v>
      </c>
      <c r="J12" s="20" t="n">
        <v>0</v>
      </c>
      <c r="K12" s="18" t="n">
        <v>0</v>
      </c>
      <c r="L12" s="20" t="n">
        <v>0</v>
      </c>
      <c r="M12" s="18" t="n">
        <v>0</v>
      </c>
      <c r="N12" s="20" t="n">
        <v>0</v>
      </c>
      <c r="O12" s="18" t="n">
        <v>0</v>
      </c>
      <c r="P12" s="20" t="n">
        <v>0</v>
      </c>
      <c r="Q12" s="18" t="n">
        <v>0.53676447</v>
      </c>
      <c r="R12" s="20" t="n">
        <v>0.38725313</v>
      </c>
    </row>
    <row r="13" spans="1:18">
      <c r="A13" s="15" t="s">
        <v>571</v>
      </c>
      <c r="B13" s="17" t="n">
        <v>3602</v>
      </c>
      <c r="C13" s="18">
        <f>(3234.0/B13*100)</f>
        <v/>
      </c>
      <c r="D13" s="19" t="n">
        <v>368</v>
      </c>
      <c r="E13" s="18" t="n">
        <v>60.54221021</v>
      </c>
      <c r="F13" s="20" t="n">
        <v>2.57002422</v>
      </c>
      <c r="G13" s="18" t="n">
        <v>39.45778979</v>
      </c>
      <c r="H13" s="20" t="n">
        <v>2.57002422</v>
      </c>
      <c r="I13" s="18" t="n">
        <v>0</v>
      </c>
      <c r="J13" s="20" t="n">
        <v>0</v>
      </c>
      <c r="K13" s="18" t="n">
        <v>0</v>
      </c>
      <c r="L13" s="20" t="n">
        <v>0</v>
      </c>
      <c r="M13" s="18" t="n">
        <v>0</v>
      </c>
      <c r="N13" s="20" t="n">
        <v>0</v>
      </c>
      <c r="O13" s="18" t="n">
        <v>0</v>
      </c>
      <c r="P13" s="20" t="n">
        <v>0</v>
      </c>
      <c r="Q13" s="18" t="n">
        <v>0</v>
      </c>
      <c r="R13" s="20" t="n">
        <v>0</v>
      </c>
    </row>
    <row r="14" spans="1:18">
      <c r="A14" s="15" t="s">
        <v>572</v>
      </c>
      <c r="B14" s="17" t="n">
        <v>2788</v>
      </c>
      <c r="C14" s="18">
        <f>(2492.0/B14*100)</f>
        <v/>
      </c>
      <c r="D14" s="19" t="n">
        <v>296</v>
      </c>
      <c r="E14" s="18" t="n">
        <v>56.61536292</v>
      </c>
      <c r="F14" s="20" t="n">
        <v>3.0895255</v>
      </c>
      <c r="G14" s="18" t="n">
        <v>43.12736441</v>
      </c>
      <c r="H14" s="20" t="n">
        <v>3.04243087</v>
      </c>
      <c r="I14" s="18" t="n">
        <v>0</v>
      </c>
      <c r="J14" s="20" t="n">
        <v>0</v>
      </c>
      <c r="K14" s="18" t="n">
        <v>0.25727267</v>
      </c>
      <c r="L14" s="20" t="n">
        <v>0.26731621</v>
      </c>
      <c r="M14" s="18" t="n">
        <v>0</v>
      </c>
      <c r="N14" s="20" t="n">
        <v>0</v>
      </c>
      <c r="O14" s="18" t="n">
        <v>0</v>
      </c>
      <c r="P14" s="20" t="n">
        <v>0</v>
      </c>
      <c r="Q14" s="18" t="n">
        <v>0</v>
      </c>
      <c r="R14" s="20" t="n">
        <v>0</v>
      </c>
    </row>
    <row r="15" spans="1:18">
      <c r="A15" s="15" t="s">
        <v>573</v>
      </c>
      <c r="B15" s="17" t="n">
        <v>2863</v>
      </c>
      <c r="C15" s="18">
        <f>(2544.0/B15*100)</f>
        <v/>
      </c>
      <c r="D15" s="19" t="n">
        <v>319</v>
      </c>
      <c r="E15" s="18" t="n">
        <v>61.95947365</v>
      </c>
      <c r="F15" s="20" t="n">
        <v>2.72871854</v>
      </c>
      <c r="G15" s="18" t="n">
        <v>37.44053866</v>
      </c>
      <c r="H15" s="20" t="n">
        <v>2.78328381</v>
      </c>
      <c r="I15" s="18" t="n">
        <v>0</v>
      </c>
      <c r="J15" s="20" t="n">
        <v>0</v>
      </c>
      <c r="K15" s="18" t="n">
        <v>0</v>
      </c>
      <c r="L15" s="20" t="n">
        <v>0</v>
      </c>
      <c r="M15" s="18" t="n">
        <v>0</v>
      </c>
      <c r="N15" s="20" t="n">
        <v>0</v>
      </c>
      <c r="O15" s="18" t="n">
        <v>0</v>
      </c>
      <c r="P15" s="20" t="n">
        <v>0</v>
      </c>
      <c r="Q15" s="18" t="n">
        <v>0.59998769</v>
      </c>
      <c r="R15" s="20" t="n">
        <v>0.42715675</v>
      </c>
    </row>
    <row r="16" spans="1:18">
      <c r="A16" s="15" t="s">
        <v>574</v>
      </c>
      <c r="B16" s="17" t="n">
        <v>3111</v>
      </c>
      <c r="C16" s="18">
        <f>(2794.0/B16*100)</f>
        <v/>
      </c>
      <c r="D16" s="19" t="n">
        <v>317</v>
      </c>
      <c r="E16" s="18" t="n">
        <v>52.70533257</v>
      </c>
      <c r="F16" s="20" t="n">
        <v>2.7715197</v>
      </c>
      <c r="G16" s="18" t="n">
        <v>45.84428004</v>
      </c>
      <c r="H16" s="20" t="n">
        <v>2.52707684</v>
      </c>
      <c r="I16" s="18" t="n">
        <v>0</v>
      </c>
      <c r="J16" s="20" t="n">
        <v>0</v>
      </c>
      <c r="K16" s="18" t="n">
        <v>1.17302992</v>
      </c>
      <c r="L16" s="20" t="n">
        <v>0.82482852</v>
      </c>
      <c r="M16" s="18" t="n">
        <v>0</v>
      </c>
      <c r="N16" s="20" t="n">
        <v>0</v>
      </c>
      <c r="O16" s="18" t="n">
        <v>0</v>
      </c>
      <c r="P16" s="20" t="n">
        <v>0</v>
      </c>
      <c r="Q16" s="18" t="n">
        <v>0.27735746</v>
      </c>
      <c r="R16" s="20" t="n">
        <v>0.28375898</v>
      </c>
    </row>
    <row r="17" spans="1:18">
      <c r="A17" s="15" t="s">
        <v>575</v>
      </c>
      <c r="B17" s="17" t="n">
        <v>3197</v>
      </c>
      <c r="C17" s="18">
        <f>(2825.0/B17*100)</f>
        <v/>
      </c>
      <c r="D17" s="19" t="n">
        <v>372</v>
      </c>
      <c r="E17" s="18" t="n">
        <v>51.99910923</v>
      </c>
      <c r="F17" s="20" t="n">
        <v>2.84719207</v>
      </c>
      <c r="G17" s="18" t="n">
        <v>47.59897104</v>
      </c>
      <c r="H17" s="20" t="n">
        <v>2.84771227</v>
      </c>
      <c r="I17" s="18" t="n">
        <v>0</v>
      </c>
      <c r="J17" s="20" t="n">
        <v>0</v>
      </c>
      <c r="K17" s="18" t="n">
        <v>0.40191973</v>
      </c>
      <c r="L17" s="20" t="n">
        <v>0.41744643</v>
      </c>
      <c r="M17" s="18" t="n">
        <v>0</v>
      </c>
      <c r="N17" s="20" t="n">
        <v>0</v>
      </c>
      <c r="O17" s="18" t="n">
        <v>0</v>
      </c>
      <c r="P17" s="20" t="n">
        <v>0</v>
      </c>
      <c r="Q17" s="18" t="n">
        <v>0</v>
      </c>
      <c r="R17" s="20" t="n">
        <v>0</v>
      </c>
    </row>
    <row r="18" spans="1:18">
      <c r="A18" s="15" t="s">
        <v>576</v>
      </c>
      <c r="B18" s="17" t="n">
        <v>2706</v>
      </c>
      <c r="C18" s="18">
        <f>(2426.0/B18*100)</f>
        <v/>
      </c>
      <c r="D18" s="19" t="n">
        <v>280</v>
      </c>
      <c r="E18" s="18" t="n">
        <v>74.27593496999999</v>
      </c>
      <c r="F18" s="20" t="n">
        <v>2.78575394</v>
      </c>
      <c r="G18" s="18" t="n">
        <v>23.83464431</v>
      </c>
      <c r="H18" s="20" t="n">
        <v>2.82286578</v>
      </c>
      <c r="I18" s="18" t="n">
        <v>0</v>
      </c>
      <c r="J18" s="20" t="n">
        <v>0</v>
      </c>
      <c r="K18" s="18" t="n">
        <v>0.92120413</v>
      </c>
      <c r="L18" s="20" t="n">
        <v>0.52931887</v>
      </c>
      <c r="M18" s="18" t="n">
        <v>0</v>
      </c>
      <c r="N18" s="20" t="n">
        <v>0</v>
      </c>
      <c r="O18" s="18" t="n">
        <v>0</v>
      </c>
      <c r="P18" s="20" t="n">
        <v>0</v>
      </c>
      <c r="Q18" s="18" t="n">
        <v>0.96821659</v>
      </c>
      <c r="R18" s="20" t="n">
        <v>0.69387215</v>
      </c>
    </row>
    <row r="19" spans="1:18">
      <c r="A19" s="15" t="s">
        <v>577</v>
      </c>
      <c r="B19" s="17" t="n">
        <v>2850</v>
      </c>
      <c r="C19" s="18">
        <f>(2533.0/B19*100)</f>
        <v/>
      </c>
      <c r="D19" s="19" t="n">
        <v>317</v>
      </c>
      <c r="E19" s="18" t="n">
        <v>63.49590759</v>
      </c>
      <c r="F19" s="20" t="n">
        <v>2.67495127</v>
      </c>
      <c r="G19" s="18" t="n">
        <v>36.50409241</v>
      </c>
      <c r="H19" s="20" t="n">
        <v>2.67495127</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(1557.0/B20*100)</f>
        <v/>
      </c>
      <c r="D20" s="19" t="n">
        <v>184</v>
      </c>
      <c r="E20" s="18" t="n">
        <v>72.46457461999999</v>
      </c>
      <c r="F20" s="20" t="n">
        <v>3.17726987</v>
      </c>
      <c r="G20" s="18" t="n">
        <v>26.38456374</v>
      </c>
      <c r="H20" s="20" t="n">
        <v>2.95298469</v>
      </c>
      <c r="I20" s="18" t="n">
        <v>0</v>
      </c>
      <c r="J20" s="20" t="n">
        <v>0</v>
      </c>
      <c r="K20" s="18" t="n">
        <v>0.63130204</v>
      </c>
      <c r="L20" s="20" t="n">
        <v>0.61492833</v>
      </c>
      <c r="M20" s="18" t="n">
        <v>0</v>
      </c>
      <c r="N20" s="20" t="n">
        <v>0</v>
      </c>
      <c r="O20" s="18" t="n">
        <v>0</v>
      </c>
      <c r="P20" s="20" t="n">
        <v>0</v>
      </c>
      <c r="Q20" s="18" t="n">
        <v>0.5195596099999999</v>
      </c>
      <c r="R20" s="20" t="n">
        <v>0.5186103</v>
      </c>
    </row>
    <row r="21" spans="1:18">
      <c r="A21" s="15" t="s">
        <v>579</v>
      </c>
      <c r="B21" s="17" t="n">
        <v>2833</v>
      </c>
      <c r="C21" s="18">
        <f>(2516.0/B21*100)</f>
        <v/>
      </c>
      <c r="D21" s="19" t="n">
        <v>317</v>
      </c>
      <c r="E21" s="18" t="n">
        <v>50.6717361</v>
      </c>
      <c r="F21" s="20" t="n">
        <v>2.8469996</v>
      </c>
      <c r="G21" s="18" t="n">
        <v>49.3282639</v>
      </c>
      <c r="H21" s="20" t="n">
        <v>2.8469996</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(3240.0/B22*100)</f>
        <v/>
      </c>
      <c r="D22" s="19" t="n">
        <v>427</v>
      </c>
      <c r="E22" s="18" t="n">
        <v>54.26736434</v>
      </c>
      <c r="F22" s="20" t="n">
        <v>2.18229519</v>
      </c>
      <c r="G22" s="18" t="n">
        <v>43.94763529</v>
      </c>
      <c r="H22" s="20" t="n">
        <v>2.41428106</v>
      </c>
      <c r="I22" s="18" t="n">
        <v>0</v>
      </c>
      <c r="J22" s="20" t="n">
        <v>0</v>
      </c>
      <c r="K22" s="18" t="n">
        <v>0.91155981</v>
      </c>
      <c r="L22" s="20" t="n">
        <v>0.58006466</v>
      </c>
      <c r="M22" s="18" t="n">
        <v>0</v>
      </c>
      <c r="N22" s="20" t="n">
        <v>0</v>
      </c>
      <c r="O22" s="18" t="n">
        <v>0</v>
      </c>
      <c r="P22" s="20" t="n">
        <v>0</v>
      </c>
      <c r="Q22" s="18" t="n">
        <v>0.87344055</v>
      </c>
      <c r="R22" s="20" t="n">
        <v>0.52067758</v>
      </c>
    </row>
    <row r="23" spans="1:18">
      <c r="A23" s="15" t="s">
        <v>581</v>
      </c>
      <c r="B23" s="17" t="n">
        <v>5792</v>
      </c>
      <c r="C23" s="18">
        <f>(5160.0/B23*100)</f>
        <v/>
      </c>
      <c r="D23" s="19" t="n">
        <v>632</v>
      </c>
      <c r="E23" s="18" t="n">
        <v>60.16703997</v>
      </c>
      <c r="F23" s="20" t="n">
        <v>2.58105412</v>
      </c>
      <c r="G23" s="18" t="n">
        <v>38.88771748</v>
      </c>
      <c r="H23" s="20" t="n">
        <v>2.61380965</v>
      </c>
      <c r="I23" s="18" t="n">
        <v>0</v>
      </c>
      <c r="J23" s="20" t="n">
        <v>0</v>
      </c>
      <c r="K23" s="18" t="n">
        <v>0.28201819</v>
      </c>
      <c r="L23" s="20" t="n">
        <v>0.29123166</v>
      </c>
      <c r="M23" s="18" t="n">
        <v>0</v>
      </c>
      <c r="N23" s="20" t="n">
        <v>0</v>
      </c>
      <c r="O23" s="18" t="n">
        <v>0</v>
      </c>
      <c r="P23" s="20" t="n">
        <v>0</v>
      </c>
      <c r="Q23" s="18" t="n">
        <v>0.66322436</v>
      </c>
      <c r="R23" s="20" t="n">
        <v>0.45041845</v>
      </c>
    </row>
    <row r="24" spans="1:18">
      <c r="A24" s="15" t="s">
        <v>582</v>
      </c>
      <c r="B24" s="17" t="n">
        <v>3309</v>
      </c>
      <c r="C24" s="18">
        <f>(2924.0/B24*100)</f>
        <v/>
      </c>
      <c r="D24" s="19" t="n">
        <v>385</v>
      </c>
      <c r="E24" s="18" t="n">
        <v>48.46515785</v>
      </c>
      <c r="F24" s="20" t="n">
        <v>2.86662732</v>
      </c>
      <c r="G24" s="18" t="n">
        <v>50.74734744</v>
      </c>
      <c r="H24" s="20" t="n">
        <v>2.86247177</v>
      </c>
      <c r="I24" s="18" t="n">
        <v>0</v>
      </c>
      <c r="J24" s="20" t="n">
        <v>0</v>
      </c>
      <c r="K24" s="18" t="n">
        <v>0.23499984</v>
      </c>
      <c r="L24" s="20" t="n">
        <v>0.23362643</v>
      </c>
      <c r="M24" s="18" t="n">
        <v>0</v>
      </c>
      <c r="N24" s="20" t="n">
        <v>0</v>
      </c>
      <c r="O24" s="18" t="n">
        <v>0</v>
      </c>
      <c r="P24" s="20" t="n">
        <v>0</v>
      </c>
      <c r="Q24" s="18" t="n">
        <v>0.55249487</v>
      </c>
      <c r="R24" s="20" t="n">
        <v>0.39400397</v>
      </c>
    </row>
    <row r="25" spans="1:18">
      <c r="A25" s="15" t="s">
        <v>583</v>
      </c>
      <c r="B25" s="17" t="n">
        <v>2669</v>
      </c>
      <c r="C25" s="18">
        <f>(2381.0/B25*100)</f>
        <v/>
      </c>
      <c r="D25" s="19" t="n">
        <v>288</v>
      </c>
      <c r="E25" s="18" t="n">
        <v>58.93061081</v>
      </c>
      <c r="F25" s="20" t="n">
        <v>3.09844613</v>
      </c>
      <c r="G25" s="18" t="n">
        <v>40.76566795</v>
      </c>
      <c r="H25" s="20" t="n">
        <v>3.05635471</v>
      </c>
      <c r="I25" s="18" t="n">
        <v>0</v>
      </c>
      <c r="J25" s="20" t="n">
        <v>0</v>
      </c>
      <c r="K25" s="18" t="n">
        <v>0.30372124</v>
      </c>
      <c r="L25" s="20" t="n">
        <v>0.30159766</v>
      </c>
      <c r="M25" s="18" t="n">
        <v>0</v>
      </c>
      <c r="N25" s="20" t="n">
        <v>0</v>
      </c>
      <c r="O25" s="18" t="n">
        <v>0</v>
      </c>
      <c r="P25" s="20" t="n">
        <v>0</v>
      </c>
      <c r="Q25" s="18" t="n">
        <v>0</v>
      </c>
      <c r="R25" s="20" t="n">
        <v>0</v>
      </c>
    </row>
    <row r="26" spans="1:18">
      <c r="A26" s="15" t="s">
        <v>584</v>
      </c>
      <c r="B26" s="17" t="n">
        <v>2419</v>
      </c>
      <c r="C26" s="18">
        <f>(2149.0/B26*100)</f>
        <v/>
      </c>
      <c r="D26" s="19" t="n">
        <v>270</v>
      </c>
      <c r="E26" s="18" t="n">
        <v>49.90217135</v>
      </c>
      <c r="F26" s="20" t="n">
        <v>3.04933851</v>
      </c>
      <c r="G26" s="18" t="n">
        <v>50.09782865</v>
      </c>
      <c r="H26" s="20" t="n">
        <v>3.04933851</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(2379.0/B27*100)</f>
        <v/>
      </c>
      <c r="D27" s="19" t="n">
        <v>304</v>
      </c>
      <c r="E27" s="18" t="n">
        <v>62.16498136</v>
      </c>
      <c r="F27" s="20" t="n">
        <v>2.59082968</v>
      </c>
      <c r="G27" s="18" t="n">
        <v>36.85764265</v>
      </c>
      <c r="H27" s="20" t="n">
        <v>2.57746561</v>
      </c>
      <c r="I27" s="18" t="n">
        <v>0</v>
      </c>
      <c r="J27" s="20" t="n">
        <v>0</v>
      </c>
      <c r="K27" s="18" t="n">
        <v>0</v>
      </c>
      <c r="L27" s="20" t="n">
        <v>0</v>
      </c>
      <c r="M27" s="18" t="n">
        <v>0</v>
      </c>
      <c r="N27" s="20" t="n">
        <v>0</v>
      </c>
      <c r="O27" s="18" t="n">
        <v>0</v>
      </c>
      <c r="P27" s="20" t="n">
        <v>0</v>
      </c>
      <c r="Q27" s="18" t="n">
        <v>0.97737599</v>
      </c>
      <c r="R27" s="20" t="n">
        <v>0.56733002</v>
      </c>
    </row>
    <row r="28" spans="1:18">
      <c r="A28" s="15" t="s">
        <v>586</v>
      </c>
      <c r="B28" s="17" t="n">
        <v>3803</v>
      </c>
      <c r="C28" s="18">
        <f>(3425.0/B28*100)</f>
        <v/>
      </c>
      <c r="D28" s="19" t="n">
        <v>378</v>
      </c>
      <c r="E28" s="18" t="n">
        <v>78.63260984</v>
      </c>
      <c r="F28" s="20" t="n">
        <v>2.39293721</v>
      </c>
      <c r="G28" s="18" t="n">
        <v>20.79559742</v>
      </c>
      <c r="H28" s="20" t="n">
        <v>2.3656547</v>
      </c>
      <c r="I28" s="18" t="n">
        <v>0</v>
      </c>
      <c r="J28" s="20" t="n">
        <v>0</v>
      </c>
      <c r="K28" s="18" t="n">
        <v>0.57179273</v>
      </c>
      <c r="L28" s="20" t="n">
        <v>0.40639011</v>
      </c>
      <c r="M28" s="18" t="n">
        <v>0</v>
      </c>
      <c r="N28" s="20" t="n">
        <v>0</v>
      </c>
      <c r="O28" s="18" t="n">
        <v>0</v>
      </c>
      <c r="P28" s="20" t="n">
        <v>0</v>
      </c>
      <c r="Q28" s="18" t="n">
        <v>0</v>
      </c>
      <c r="R28" s="20" t="n">
        <v>0</v>
      </c>
    </row>
    <row r="29" spans="1:18">
      <c r="A29" s="15" t="s">
        <v>587</v>
      </c>
      <c r="B29" s="17" t="n">
        <v>2700</v>
      </c>
      <c r="C29" s="18">
        <f>(2388.0/B29*100)</f>
        <v/>
      </c>
      <c r="D29" s="19" t="n">
        <v>312</v>
      </c>
      <c r="E29" s="18" t="n">
        <v>47.35490725</v>
      </c>
      <c r="F29" s="20" t="n">
        <v>3.49911286</v>
      </c>
      <c r="G29" s="18" t="n">
        <v>52.36601446</v>
      </c>
      <c r="H29" s="20" t="n">
        <v>3.4913702</v>
      </c>
      <c r="I29" s="18" t="n">
        <v>0</v>
      </c>
      <c r="J29" s="20" t="n">
        <v>0</v>
      </c>
      <c r="K29" s="18" t="n">
        <v>0</v>
      </c>
      <c r="L29" s="20" t="n">
        <v>0</v>
      </c>
      <c r="M29" s="18" t="n">
        <v>0</v>
      </c>
      <c r="N29" s="20" t="n">
        <v>0</v>
      </c>
      <c r="O29" s="18" t="n">
        <v>0</v>
      </c>
      <c r="P29" s="20" t="n">
        <v>0</v>
      </c>
      <c r="Q29" s="18" t="n">
        <v>0.27907829</v>
      </c>
      <c r="R29" s="20" t="n">
        <v>0.27841057</v>
      </c>
    </row>
    <row r="30" spans="1:18">
      <c r="A30" s="15" t="s">
        <v>588</v>
      </c>
      <c r="B30" s="17" t="n">
        <v>2257</v>
      </c>
      <c r="C30" s="18">
        <f>(2025.0/B30*100)</f>
        <v/>
      </c>
      <c r="D30" s="19" t="n">
        <v>232</v>
      </c>
      <c r="E30" s="18" t="n">
        <v>46.53996704</v>
      </c>
      <c r="F30" s="20" t="n">
        <v>3.60406798</v>
      </c>
      <c r="G30" s="18" t="n">
        <v>52.87798218</v>
      </c>
      <c r="H30" s="20" t="n">
        <v>3.63628359</v>
      </c>
      <c r="I30" s="18" t="n">
        <v>0</v>
      </c>
      <c r="J30" s="20" t="n">
        <v>0</v>
      </c>
      <c r="K30" s="18" t="n">
        <v>0</v>
      </c>
      <c r="L30" s="20" t="n">
        <v>0</v>
      </c>
      <c r="M30" s="18" t="n">
        <v>0</v>
      </c>
      <c r="N30" s="20" t="n">
        <v>0</v>
      </c>
      <c r="O30" s="18" t="n">
        <v>0</v>
      </c>
      <c r="P30" s="20" t="n">
        <v>0</v>
      </c>
      <c r="Q30" s="18" t="n">
        <v>0.58205078</v>
      </c>
      <c r="R30" s="20" t="n">
        <v>0.58912434</v>
      </c>
    </row>
    <row r="31" spans="1:18">
      <c r="A31" s="15" t="s">
        <v>589</v>
      </c>
      <c r="B31" s="17" t="n">
        <v>2706</v>
      </c>
      <c r="C31" s="18">
        <f>(2407.0/B31*100)</f>
        <v/>
      </c>
      <c r="D31" s="19" t="n">
        <v>299</v>
      </c>
      <c r="E31" s="18" t="n">
        <v>54.81378475</v>
      </c>
      <c r="F31" s="20" t="n">
        <v>3.11500297</v>
      </c>
      <c r="G31" s="18" t="n">
        <v>44.20716393</v>
      </c>
      <c r="H31" s="20" t="n">
        <v>3.08264889</v>
      </c>
      <c r="I31" s="18" t="n">
        <v>0</v>
      </c>
      <c r="J31" s="20" t="n">
        <v>0</v>
      </c>
      <c r="K31" s="18" t="n">
        <v>0.64656788</v>
      </c>
      <c r="L31" s="20" t="n">
        <v>0.4563776</v>
      </c>
      <c r="M31" s="18" t="n">
        <v>0</v>
      </c>
      <c r="N31" s="20" t="n">
        <v>0</v>
      </c>
      <c r="O31" s="18" t="n">
        <v>0</v>
      </c>
      <c r="P31" s="20" t="n">
        <v>0</v>
      </c>
      <c r="Q31" s="18" t="n">
        <v>0.33248344</v>
      </c>
      <c r="R31" s="20" t="n">
        <v>0.3333168</v>
      </c>
    </row>
    <row r="32" spans="1:18">
      <c r="A32" s="15" t="s">
        <v>590</v>
      </c>
      <c r="B32" s="17" t="n">
        <v>2209</v>
      </c>
      <c r="C32" s="18">
        <f>(1960.0/B32*100)</f>
        <v/>
      </c>
      <c r="D32" s="19" t="n">
        <v>249</v>
      </c>
      <c r="E32" s="18" t="n">
        <v>54.67196402</v>
      </c>
      <c r="F32" s="20" t="n">
        <v>2.91424801</v>
      </c>
      <c r="G32" s="18" t="n">
        <v>44.55828398</v>
      </c>
      <c r="H32" s="20" t="n">
        <v>2.93955781</v>
      </c>
      <c r="I32" s="18" t="n">
        <v>0</v>
      </c>
      <c r="J32" s="20" t="n">
        <v>0</v>
      </c>
      <c r="K32" s="18" t="n">
        <v>0.32957884</v>
      </c>
      <c r="L32" s="20" t="n">
        <v>0.33166898</v>
      </c>
      <c r="M32" s="18" t="n">
        <v>0</v>
      </c>
      <c r="N32" s="20" t="n">
        <v>0</v>
      </c>
      <c r="O32" s="18" t="n">
        <v>0</v>
      </c>
      <c r="P32" s="20" t="n">
        <v>0</v>
      </c>
      <c r="Q32" s="18" t="n">
        <v>0.44017315</v>
      </c>
      <c r="R32" s="20" t="n">
        <v>0.41041834</v>
      </c>
    </row>
    <row r="33" spans="1:18">
      <c r="A33" s="15" t="s">
        <v>591</v>
      </c>
      <c r="B33" s="17" t="n">
        <v>3651</v>
      </c>
      <c r="C33" s="18">
        <f>(3257.0/B33*100)</f>
        <v/>
      </c>
      <c r="D33" s="19" t="n">
        <v>394</v>
      </c>
      <c r="E33" s="18" t="n">
        <v>44.70604519</v>
      </c>
      <c r="F33" s="20" t="n">
        <v>3.22534178</v>
      </c>
      <c r="G33" s="18" t="n">
        <v>54.96112698</v>
      </c>
      <c r="H33" s="20" t="n">
        <v>3.21339197</v>
      </c>
      <c r="I33" s="18" t="n">
        <v>0</v>
      </c>
      <c r="J33" s="20" t="n">
        <v>0</v>
      </c>
      <c r="K33" s="18" t="n">
        <v>0.33282784</v>
      </c>
      <c r="L33" s="20" t="n">
        <v>0.36995357</v>
      </c>
      <c r="M33" s="18" t="n">
        <v>0</v>
      </c>
      <c r="N33" s="20" t="n">
        <v>0</v>
      </c>
      <c r="O33" s="18" t="n">
        <v>0</v>
      </c>
      <c r="P33" s="20" t="n">
        <v>0</v>
      </c>
      <c r="Q33" s="18" t="n">
        <v>0</v>
      </c>
      <c r="R33" s="20" t="n">
        <v>0</v>
      </c>
    </row>
    <row r="34" spans="1:18">
      <c r="A34" s="15" t="s">
        <v>592</v>
      </c>
      <c r="B34" s="17" t="n">
        <v>3035</v>
      </c>
      <c r="C34" s="18">
        <f>(2718.0/B34*100)</f>
        <v/>
      </c>
      <c r="D34" s="19" t="n">
        <v>317</v>
      </c>
      <c r="E34" s="18" t="n">
        <v>54.52843422</v>
      </c>
      <c r="F34" s="20" t="n">
        <v>2.74953895</v>
      </c>
      <c r="G34" s="18" t="n">
        <v>45.47156578</v>
      </c>
      <c r="H34" s="20" t="n">
        <v>2.74953895</v>
      </c>
      <c r="I34" s="18" t="n">
        <v>0</v>
      </c>
      <c r="J34" s="20" t="n">
        <v>0</v>
      </c>
      <c r="K34" s="18" t="n">
        <v>0</v>
      </c>
      <c r="L34" s="20" t="n">
        <v>0</v>
      </c>
      <c r="M34" s="18" t="n">
        <v>0</v>
      </c>
      <c r="N34" s="20" t="n">
        <v>0</v>
      </c>
      <c r="O34" s="18" t="n">
        <v>0</v>
      </c>
      <c r="P34" s="20" t="n">
        <v>0</v>
      </c>
      <c r="Q34" s="18" t="n">
        <v>0</v>
      </c>
      <c r="R34" s="20" t="n">
        <v>0</v>
      </c>
    </row>
    <row r="35" spans="1:18">
      <c r="A35" s="15" t="s">
        <v>593</v>
      </c>
      <c r="B35" s="17" t="n">
        <v>2901</v>
      </c>
      <c r="C35" s="18">
        <f>(2586.0/B35*100)</f>
        <v/>
      </c>
      <c r="D35" s="19" t="n">
        <v>315</v>
      </c>
      <c r="E35" s="18" t="n">
        <v>48.71485465</v>
      </c>
      <c r="F35" s="20" t="n">
        <v>3.26641043</v>
      </c>
      <c r="G35" s="18" t="n">
        <v>51.15555475</v>
      </c>
      <c r="H35" s="20" t="n">
        <v>3.26643663</v>
      </c>
      <c r="I35" s="18" t="n">
        <v>0</v>
      </c>
      <c r="J35" s="20" t="n">
        <v>0</v>
      </c>
      <c r="K35" s="18" t="n">
        <v>0</v>
      </c>
      <c r="L35" s="20" t="n">
        <v>0</v>
      </c>
      <c r="M35" s="18" t="n">
        <v>0</v>
      </c>
      <c r="N35" s="20" t="n">
        <v>0</v>
      </c>
      <c r="O35" s="18" t="n">
        <v>0</v>
      </c>
      <c r="P35" s="20" t="n">
        <v>0</v>
      </c>
      <c r="Q35" s="18" t="n">
        <v>0.1295906</v>
      </c>
      <c r="R35" s="20" t="n">
        <v>0.13003249</v>
      </c>
    </row>
    <row r="36" spans="1:18">
      <c r="A36" s="15" t="s">
        <v>594</v>
      </c>
      <c r="B36" s="17" t="n">
        <v>3404</v>
      </c>
      <c r="C36" s="18">
        <f>(3051.0/B36*100)</f>
        <v/>
      </c>
      <c r="D36" s="19" t="n">
        <v>353</v>
      </c>
      <c r="E36" s="18" t="n">
        <v>63.99182734</v>
      </c>
      <c r="F36" s="20" t="n">
        <v>2.44672162</v>
      </c>
      <c r="G36" s="18" t="n">
        <v>35.60312011</v>
      </c>
      <c r="H36" s="20" t="n">
        <v>2.36148693</v>
      </c>
      <c r="I36" s="18" t="n">
        <v>0</v>
      </c>
      <c r="J36" s="20" t="n">
        <v>0</v>
      </c>
      <c r="K36" s="18" t="n">
        <v>0</v>
      </c>
      <c r="L36" s="20" t="n">
        <v>0</v>
      </c>
      <c r="M36" s="18" t="n">
        <v>0</v>
      </c>
      <c r="N36" s="20" t="n">
        <v>0</v>
      </c>
      <c r="O36" s="18" t="n">
        <v>0</v>
      </c>
      <c r="P36" s="20" t="n">
        <v>0</v>
      </c>
      <c r="Q36" s="18" t="n">
        <v>0.40505256</v>
      </c>
      <c r="R36" s="20" t="n">
        <v>0.39497917</v>
      </c>
    </row>
    <row r="37" spans="1:18">
      <c r="A37" s="15" t="s">
        <v>595</v>
      </c>
      <c r="B37" s="17" t="n">
        <v>2731</v>
      </c>
      <c r="C37" s="18">
        <f>(2446.0/B37*100)</f>
        <v/>
      </c>
      <c r="D37" s="19" t="n">
        <v>285</v>
      </c>
      <c r="E37" s="18" t="n">
        <v>59.08073433</v>
      </c>
      <c r="F37" s="20" t="n">
        <v>2.41435295</v>
      </c>
      <c r="G37" s="18" t="n">
        <v>40.20286043</v>
      </c>
      <c r="H37" s="20" t="n">
        <v>2.28393322</v>
      </c>
      <c r="I37" s="18" t="n">
        <v>0</v>
      </c>
      <c r="J37" s="20" t="n">
        <v>0</v>
      </c>
      <c r="K37" s="18" t="n">
        <v>0.40089179</v>
      </c>
      <c r="L37" s="20" t="n">
        <v>0.39819717</v>
      </c>
      <c r="M37" s="18" t="n">
        <v>0</v>
      </c>
      <c r="N37" s="20" t="n">
        <v>0</v>
      </c>
      <c r="O37" s="18" t="n">
        <v>0</v>
      </c>
      <c r="P37" s="20" t="n">
        <v>0</v>
      </c>
      <c r="Q37" s="18" t="n">
        <v>0.31551345</v>
      </c>
      <c r="R37" s="20" t="n">
        <v>0.31259102</v>
      </c>
    </row>
    <row r="38" spans="1:18">
      <c r="A38" s="15" t="s">
        <v>596</v>
      </c>
      <c r="B38" s="17" t="n">
        <v>2807</v>
      </c>
      <c r="C38" s="18">
        <f>(2505.0/B38*100)</f>
        <v/>
      </c>
      <c r="D38" s="19" t="n">
        <v>302</v>
      </c>
      <c r="E38" s="18" t="n">
        <v>58.66447998</v>
      </c>
      <c r="F38" s="20" t="n">
        <v>2.95917675</v>
      </c>
      <c r="G38" s="18" t="n">
        <v>41.33552002</v>
      </c>
      <c r="H38" s="20" t="n">
        <v>2.95917675</v>
      </c>
      <c r="I38" s="18" t="n">
        <v>0</v>
      </c>
      <c r="J38" s="20" t="n">
        <v>0</v>
      </c>
      <c r="K38" s="18" t="n">
        <v>0</v>
      </c>
      <c r="L38" s="20" t="n">
        <v>0</v>
      </c>
      <c r="M38" s="18" t="n">
        <v>0</v>
      </c>
      <c r="N38" s="20" t="n">
        <v>0</v>
      </c>
      <c r="O38" s="18" t="n">
        <v>0</v>
      </c>
      <c r="P38" s="20" t="n">
        <v>0</v>
      </c>
      <c r="Q38" s="18" t="n">
        <v>0</v>
      </c>
      <c r="R38" s="20" t="n">
        <v>0</v>
      </c>
    </row>
    <row r="39" spans="1:18">
      <c r="A39" s="15" t="s">
        <v>597</v>
      </c>
      <c r="B39" s="17" t="n">
        <v>2938</v>
      </c>
      <c r="C39" s="18">
        <f>(2591.0/B39*100)</f>
        <v/>
      </c>
      <c r="D39" s="19" t="n">
        <v>347</v>
      </c>
      <c r="E39" s="18" t="n">
        <v>59.36837443</v>
      </c>
      <c r="F39" s="20" t="n">
        <v>2.93957312</v>
      </c>
      <c r="G39" s="18" t="n">
        <v>40.31324667</v>
      </c>
      <c r="H39" s="20" t="n">
        <v>2.96342066</v>
      </c>
      <c r="I39" s="18" t="n">
        <v>0</v>
      </c>
      <c r="J39" s="20" t="n">
        <v>0</v>
      </c>
      <c r="K39" s="18" t="n">
        <v>0</v>
      </c>
      <c r="L39" s="20" t="n">
        <v>0</v>
      </c>
      <c r="M39" s="18" t="n">
        <v>0</v>
      </c>
      <c r="N39" s="20" t="n">
        <v>0</v>
      </c>
      <c r="O39" s="18" t="n">
        <v>0</v>
      </c>
      <c r="P39" s="20" t="n">
        <v>0</v>
      </c>
      <c r="Q39" s="18" t="n">
        <v>0.3183789</v>
      </c>
      <c r="R39" s="20" t="n">
        <v>0.31966463</v>
      </c>
    </row>
    <row r="40" spans="1:18">
      <c r="A40" s="15" t="s">
        <v>598</v>
      </c>
      <c r="B40" s="17" t="n">
        <v>6922</v>
      </c>
      <c r="C40" s="18">
        <f>(6193.0/B40*100)</f>
        <v/>
      </c>
      <c r="D40" s="19" t="n">
        <v>729</v>
      </c>
      <c r="E40" s="18" t="n">
        <v>47.08857414</v>
      </c>
      <c r="F40" s="20" t="n">
        <v>2.73416316</v>
      </c>
      <c r="G40" s="18" t="n">
        <v>52.07287159</v>
      </c>
      <c r="H40" s="20" t="n">
        <v>2.74599133</v>
      </c>
      <c r="I40" s="18" t="n">
        <v>0</v>
      </c>
      <c r="J40" s="20" t="n">
        <v>0</v>
      </c>
      <c r="K40" s="18" t="n">
        <v>0.43505855</v>
      </c>
      <c r="L40" s="20" t="n">
        <v>0.37077129</v>
      </c>
      <c r="M40" s="18" t="n">
        <v>0</v>
      </c>
      <c r="N40" s="20" t="n">
        <v>0</v>
      </c>
      <c r="O40" s="18" t="n">
        <v>0</v>
      </c>
      <c r="P40" s="20" t="n">
        <v>0</v>
      </c>
      <c r="Q40" s="18" t="n">
        <v>0.40349572</v>
      </c>
      <c r="R40" s="20" t="n">
        <v>0.25598774</v>
      </c>
    </row>
    <row r="41" spans="1:18">
      <c r="A41" s="15" t="s">
        <v>599</v>
      </c>
      <c r="B41" s="17" t="n">
        <v>2854</v>
      </c>
      <c r="C41" s="18">
        <f>(2551.0/B41*100)</f>
        <v/>
      </c>
      <c r="D41" s="19" t="n">
        <v>303</v>
      </c>
      <c r="E41" s="18" t="n">
        <v>55.05888391</v>
      </c>
      <c r="F41" s="20" t="n">
        <v>3.27841348</v>
      </c>
      <c r="G41" s="18" t="n">
        <v>44.94111609</v>
      </c>
      <c r="H41" s="20" t="n">
        <v>3.27841348</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(10897.0/B46*100)</f>
        <v/>
      </c>
      <c r="D46" s="19" t="n">
        <v>1176</v>
      </c>
      <c r="E46" s="18" t="n">
        <v>75.33933622000001</v>
      </c>
      <c r="F46" s="20" t="n">
        <v>1.50173547</v>
      </c>
      <c r="G46" s="18" t="n">
        <v>21.62273823</v>
      </c>
      <c r="H46" s="20" t="n">
        <v>1.57602474</v>
      </c>
      <c r="I46" s="18" t="n">
        <v>0</v>
      </c>
      <c r="J46" s="20" t="n">
        <v>0</v>
      </c>
      <c r="K46" s="18" t="n">
        <v>1.11829366</v>
      </c>
      <c r="L46" s="20" t="n">
        <v>0.50252958</v>
      </c>
      <c r="M46" s="18" t="n">
        <v>0</v>
      </c>
      <c r="N46" s="20" t="n">
        <v>0</v>
      </c>
      <c r="O46" s="18" t="n">
        <v>0</v>
      </c>
      <c r="P46" s="20" t="n">
        <v>0</v>
      </c>
      <c r="Q46" s="18" t="n">
        <v>1.91963188</v>
      </c>
      <c r="R46" s="20" t="n">
        <v>0.59600788</v>
      </c>
    </row>
    <row r="47" spans="1:18">
      <c r="A47" s="15" t="s">
        <v>606</v>
      </c>
      <c r="B47" s="17" t="n">
        <v>2823</v>
      </c>
      <c r="C47" s="18">
        <f>(2507.0/B47*100)</f>
        <v/>
      </c>
      <c r="D47" s="19" t="n">
        <v>316</v>
      </c>
      <c r="E47" s="18" t="n">
        <v>64.05939236</v>
      </c>
      <c r="F47" s="20" t="n">
        <v>2.67095561</v>
      </c>
      <c r="G47" s="18" t="n">
        <v>34.07407784</v>
      </c>
      <c r="H47" s="20" t="n">
        <v>2.67956164</v>
      </c>
      <c r="I47" s="18" t="n">
        <v>0</v>
      </c>
      <c r="J47" s="20" t="n">
        <v>0</v>
      </c>
      <c r="K47" s="18" t="n">
        <v>0.60531731</v>
      </c>
      <c r="L47" s="20" t="n">
        <v>0.43030317</v>
      </c>
      <c r="M47" s="18" t="n">
        <v>0</v>
      </c>
      <c r="N47" s="20" t="n">
        <v>0</v>
      </c>
      <c r="O47" s="18" t="n">
        <v>0</v>
      </c>
      <c r="P47" s="20" t="n">
        <v>0</v>
      </c>
      <c r="Q47" s="18" t="n">
        <v>1.26121249</v>
      </c>
      <c r="R47" s="20" t="n">
        <v>0.56611647</v>
      </c>
    </row>
    <row r="48" spans="1:18">
      <c r="A48" s="15" t="s">
        <v>607</v>
      </c>
      <c r="B48" s="17" t="n">
        <v>4682</v>
      </c>
      <c r="C48" s="18">
        <f>(4155.0/B48*100)</f>
        <v/>
      </c>
      <c r="D48" s="19" t="n">
        <v>527</v>
      </c>
      <c r="E48" s="18" t="n">
        <v>58.76720579</v>
      </c>
      <c r="F48" s="20" t="n">
        <v>2.97399274</v>
      </c>
      <c r="G48" s="18" t="n">
        <v>38.92686756</v>
      </c>
      <c r="H48" s="20" t="n">
        <v>3.00255682</v>
      </c>
      <c r="I48" s="18" t="n">
        <v>0</v>
      </c>
      <c r="J48" s="20" t="n">
        <v>0</v>
      </c>
      <c r="K48" s="18" t="n">
        <v>1.78229734</v>
      </c>
      <c r="L48" s="20" t="n">
        <v>0.93628874</v>
      </c>
      <c r="M48" s="18" t="n">
        <v>0</v>
      </c>
      <c r="N48" s="20" t="n">
        <v>0</v>
      </c>
      <c r="O48" s="18" t="n">
        <v>0</v>
      </c>
      <c r="P48" s="20" t="n">
        <v>0</v>
      </c>
      <c r="Q48" s="18" t="n">
        <v>0.52362932</v>
      </c>
      <c r="R48" s="20" t="n">
        <v>0.37854407</v>
      </c>
    </row>
    <row r="49" spans="1:18">
      <c r="A49" s="15" t="s">
        <v>608</v>
      </c>
      <c r="B49" s="17" t="n">
        <v>6158</v>
      </c>
      <c r="C49" s="18">
        <f>(5476.0/B49*100)</f>
        <v/>
      </c>
      <c r="D49" s="19" t="n">
        <v>682</v>
      </c>
      <c r="E49" s="18" t="n">
        <v>71.39498585</v>
      </c>
      <c r="F49" s="20" t="n">
        <v>2.22664738</v>
      </c>
      <c r="G49" s="18" t="n">
        <v>27.44421306</v>
      </c>
      <c r="H49" s="20" t="n">
        <v>2.18382872</v>
      </c>
      <c r="I49" s="18" t="n">
        <v>0</v>
      </c>
      <c r="J49" s="20" t="n">
        <v>0</v>
      </c>
      <c r="K49" s="18" t="n">
        <v>1.00124787</v>
      </c>
      <c r="L49" s="20" t="n">
        <v>0.52634134</v>
      </c>
      <c r="M49" s="18" t="n">
        <v>0</v>
      </c>
      <c r="N49" s="20" t="n">
        <v>0</v>
      </c>
      <c r="O49" s="18" t="n">
        <v>0</v>
      </c>
      <c r="P49" s="20" t="n">
        <v>0</v>
      </c>
      <c r="Q49" s="18" t="n">
        <v>0.15955321</v>
      </c>
      <c r="R49" s="20" t="n">
        <v>0.12405663</v>
      </c>
    </row>
    <row r="50" spans="1:18">
      <c r="A50" s="15" t="s">
        <v>609</v>
      </c>
      <c r="B50" s="17" t="n">
        <v>3494</v>
      </c>
      <c r="C50" s="18">
        <f>(3143.0/B50*100)</f>
        <v/>
      </c>
      <c r="D50" s="19" t="n">
        <v>351</v>
      </c>
      <c r="E50" s="18" t="n">
        <v>83.92304706</v>
      </c>
      <c r="F50" s="20" t="n">
        <v>2.29892796</v>
      </c>
      <c r="G50" s="18" t="n">
        <v>15.15063215</v>
      </c>
      <c r="H50" s="20" t="n">
        <v>2.3436199</v>
      </c>
      <c r="I50" s="18" t="n">
        <v>0</v>
      </c>
      <c r="J50" s="20" t="n">
        <v>0</v>
      </c>
      <c r="K50" s="18" t="n">
        <v>0.70995849</v>
      </c>
      <c r="L50" s="20" t="n">
        <v>0.49471669</v>
      </c>
      <c r="M50" s="18" t="n">
        <v>0</v>
      </c>
      <c r="N50" s="20" t="n">
        <v>0</v>
      </c>
      <c r="O50" s="18" t="n">
        <v>0</v>
      </c>
      <c r="P50" s="20" t="n">
        <v>0</v>
      </c>
      <c r="Q50" s="18" t="n">
        <v>0.2163623</v>
      </c>
      <c r="R50" s="20" t="n">
        <v>0.20859104</v>
      </c>
    </row>
    <row r="51" spans="1:18">
      <c r="A51" s="15" t="s">
        <v>610</v>
      </c>
      <c r="B51" s="17" t="n">
        <v>3013</v>
      </c>
      <c r="C51" s="18">
        <f>(2672.0/B51*100)</f>
        <v/>
      </c>
      <c r="D51" s="19" t="n">
        <v>341</v>
      </c>
      <c r="E51" s="18" t="n">
        <v>54.91626329</v>
      </c>
      <c r="F51" s="20" t="n">
        <v>2.97120765</v>
      </c>
      <c r="G51" s="18" t="n">
        <v>43.82886697</v>
      </c>
      <c r="H51" s="20" t="n">
        <v>3.15816704</v>
      </c>
      <c r="I51" s="18" t="n">
        <v>0</v>
      </c>
      <c r="J51" s="20" t="n">
        <v>0</v>
      </c>
      <c r="K51" s="18" t="n">
        <v>0.55704719</v>
      </c>
      <c r="L51" s="20" t="n">
        <v>0.39356436</v>
      </c>
      <c r="M51" s="18" t="n">
        <v>0</v>
      </c>
      <c r="N51" s="20" t="n">
        <v>0</v>
      </c>
      <c r="O51" s="18" t="n">
        <v>0</v>
      </c>
      <c r="P51" s="20" t="n">
        <v>0</v>
      </c>
      <c r="Q51" s="18" t="n">
        <v>0.69782254</v>
      </c>
      <c r="R51" s="20" t="n">
        <v>0.49256104</v>
      </c>
    </row>
    <row r="52" spans="1:18">
      <c r="A52" s="15" t="s">
        <v>611</v>
      </c>
      <c r="B52" s="17" t="n">
        <v>2760</v>
      </c>
      <c r="C52" s="18">
        <f>(2463.0/B52*100)</f>
        <v/>
      </c>
      <c r="D52" s="19" t="n">
        <v>297</v>
      </c>
      <c r="E52" s="18" t="n">
        <v>68.83219124999999</v>
      </c>
      <c r="F52" s="20" t="n">
        <v>2.79030408</v>
      </c>
      <c r="G52" s="18" t="n">
        <v>29.45323646</v>
      </c>
      <c r="H52" s="20" t="n">
        <v>2.63914072</v>
      </c>
      <c r="I52" s="18" t="n">
        <v>0</v>
      </c>
      <c r="J52" s="20" t="n">
        <v>0</v>
      </c>
      <c r="K52" s="18" t="n">
        <v>0</v>
      </c>
      <c r="L52" s="20" t="n">
        <v>0</v>
      </c>
      <c r="M52" s="18" t="n">
        <v>0</v>
      </c>
      <c r="N52" s="20" t="n">
        <v>0</v>
      </c>
      <c r="O52" s="18" t="n">
        <v>0</v>
      </c>
      <c r="P52" s="20" t="n">
        <v>0</v>
      </c>
      <c r="Q52" s="18" t="n">
        <v>1.71457228</v>
      </c>
      <c r="R52" s="20" t="n">
        <v>0.76972313</v>
      </c>
    </row>
    <row r="53" spans="1:18">
      <c r="A53" s="15" t="s">
        <v>612</v>
      </c>
      <c r="B53" s="17" t="n">
        <v>2474</v>
      </c>
      <c r="C53" s="18">
        <f>(2220.0/B53*100)</f>
        <v/>
      </c>
      <c r="D53" s="19" t="n">
        <v>254</v>
      </c>
      <c r="E53" s="18" t="n">
        <v>78.76316819</v>
      </c>
      <c r="F53" s="20" t="n">
        <v>2.54544849</v>
      </c>
      <c r="G53" s="18" t="n">
        <v>6.64241077</v>
      </c>
      <c r="H53" s="20" t="n">
        <v>1.5966168</v>
      </c>
      <c r="I53" s="18" t="n">
        <v>0</v>
      </c>
      <c r="J53" s="20" t="n">
        <v>0</v>
      </c>
      <c r="K53" s="18" t="n">
        <v>11.62046643</v>
      </c>
      <c r="L53" s="20" t="n">
        <v>2.33459731</v>
      </c>
      <c r="M53" s="18" t="n">
        <v>0</v>
      </c>
      <c r="N53" s="20" t="n">
        <v>0</v>
      </c>
      <c r="O53" s="18" t="n">
        <v>0</v>
      </c>
      <c r="P53" s="20" t="n">
        <v>0</v>
      </c>
      <c r="Q53" s="18" t="n">
        <v>2.97395461</v>
      </c>
      <c r="R53" s="20" t="n">
        <v>1.24091079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(2362.0/B55*100)</f>
        <v/>
      </c>
      <c r="D55" s="19" t="n">
        <v>313</v>
      </c>
      <c r="E55" s="18" t="n">
        <v>61.62175536</v>
      </c>
      <c r="F55" s="20" t="n">
        <v>3.1403706</v>
      </c>
      <c r="G55" s="18" t="n">
        <v>37.02668923</v>
      </c>
      <c r="H55" s="20" t="n">
        <v>3.13035598</v>
      </c>
      <c r="I55" s="18" t="n">
        <v>0</v>
      </c>
      <c r="J55" s="20" t="n">
        <v>0</v>
      </c>
      <c r="K55" s="18" t="n">
        <v>0.34386573</v>
      </c>
      <c r="L55" s="20" t="n">
        <v>0.34071811</v>
      </c>
      <c r="M55" s="18" t="n">
        <v>0</v>
      </c>
      <c r="N55" s="20" t="n">
        <v>0</v>
      </c>
      <c r="O55" s="18" t="n">
        <v>0</v>
      </c>
      <c r="P55" s="20" t="n">
        <v>0</v>
      </c>
      <c r="Q55" s="18" t="n">
        <v>1.00768968</v>
      </c>
      <c r="R55" s="20" t="n">
        <v>0.31101092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(2855.0/B61*100)</f>
        <v/>
      </c>
      <c r="D61" s="19" t="n">
        <v>346</v>
      </c>
      <c r="E61" s="18" t="n">
        <v>70.18216563</v>
      </c>
      <c r="F61" s="20" t="n">
        <v>2.65670862</v>
      </c>
      <c r="G61" s="18" t="n">
        <v>29.36575418</v>
      </c>
      <c r="H61" s="20" t="n">
        <v>2.63054866</v>
      </c>
      <c r="I61" s="18" t="n">
        <v>0</v>
      </c>
      <c r="J61" s="20" t="n">
        <v>0</v>
      </c>
      <c r="K61" s="18" t="n">
        <v>0</v>
      </c>
      <c r="L61" s="20" t="n">
        <v>0</v>
      </c>
      <c r="M61" s="18" t="n">
        <v>0</v>
      </c>
      <c r="N61" s="20" t="n">
        <v>0</v>
      </c>
      <c r="O61" s="18" t="n">
        <v>0</v>
      </c>
      <c r="P61" s="20" t="n">
        <v>0</v>
      </c>
      <c r="Q61" s="18" t="n">
        <v>0.45208018</v>
      </c>
      <c r="R61" s="20" t="n">
        <v>0.45141968</v>
      </c>
    </row>
    <row r="62" spans="1:18">
      <c r="A62" s="15" t="s">
        <v>622</v>
      </c>
      <c r="B62" s="17" t="n">
        <v>2230</v>
      </c>
      <c r="C62" s="18">
        <f>(2011.0/B62*100)</f>
        <v/>
      </c>
      <c r="D62" s="19" t="n">
        <v>219</v>
      </c>
      <c r="E62" s="18" t="n">
        <v>57.54102157</v>
      </c>
      <c r="F62" s="20" t="n">
        <v>2.80466257</v>
      </c>
      <c r="G62" s="18" t="n">
        <v>42.45897843</v>
      </c>
      <c r="H62" s="20" t="n">
        <v>2.80466257</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(2468.0/B67*100)</f>
        <v/>
      </c>
      <c r="D67" s="19" t="n">
        <v>303</v>
      </c>
      <c r="E67" s="18" t="n">
        <v>66.17284230999999</v>
      </c>
      <c r="F67" s="20" t="n">
        <v>2.79907446</v>
      </c>
      <c r="G67" s="18" t="n">
        <v>30.37329269</v>
      </c>
      <c r="H67" s="20" t="n">
        <v>2.70776683</v>
      </c>
      <c r="I67" s="18" t="n">
        <v>0</v>
      </c>
      <c r="J67" s="20" t="n">
        <v>0</v>
      </c>
      <c r="K67" s="18" t="n">
        <v>1.15470053</v>
      </c>
      <c r="L67" s="20" t="n">
        <v>0.57896822</v>
      </c>
      <c r="M67" s="18" t="n">
        <v>0</v>
      </c>
      <c r="N67" s="20" t="n">
        <v>0</v>
      </c>
      <c r="O67" s="18" t="n">
        <v>0</v>
      </c>
      <c r="P67" s="20" t="n">
        <v>0</v>
      </c>
      <c r="Q67" s="18" t="n">
        <v>2.29916447</v>
      </c>
      <c r="R67" s="20" t="n">
        <v>0.78120293</v>
      </c>
    </row>
    <row r="68" spans="1:18">
      <c r="A68" s="15" t="s">
        <v>628</v>
      </c>
      <c r="B68" s="17" t="n">
        <v>3460</v>
      </c>
      <c r="C68" s="18">
        <f>(3093.0/B68*100)</f>
        <v/>
      </c>
      <c r="D68" s="19" t="n">
        <v>367</v>
      </c>
      <c r="E68" s="18" t="n">
        <v>83.13528002</v>
      </c>
      <c r="F68" s="20" t="n">
        <v>1.72293436</v>
      </c>
      <c r="G68" s="18" t="n">
        <v>16.65015282</v>
      </c>
      <c r="H68" s="20" t="n">
        <v>1.71313706</v>
      </c>
      <c r="I68" s="18" t="n">
        <v>0</v>
      </c>
      <c r="J68" s="20" t="n">
        <v>0</v>
      </c>
      <c r="K68" s="18" t="n">
        <v>0</v>
      </c>
      <c r="L68" s="20" t="n">
        <v>0</v>
      </c>
      <c r="M68" s="18" t="n">
        <v>0</v>
      </c>
      <c r="N68" s="20" t="n">
        <v>0</v>
      </c>
      <c r="O68" s="18" t="n">
        <v>0</v>
      </c>
      <c r="P68" s="20" t="n">
        <v>0</v>
      </c>
      <c r="Q68" s="18" t="n">
        <v>0.21456716</v>
      </c>
      <c r="R68" s="20" t="n">
        <v>0.2151988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(5384.0/B70*100)</f>
        <v/>
      </c>
      <c r="D70" s="19" t="n">
        <v>650</v>
      </c>
      <c r="E70" s="18" t="n">
        <v>79.47897141</v>
      </c>
      <c r="F70" s="20" t="n">
        <v>1.50887787</v>
      </c>
      <c r="G70" s="18" t="n">
        <v>18.66443398</v>
      </c>
      <c r="H70" s="20" t="n">
        <v>1.46418791</v>
      </c>
      <c r="I70" s="18" t="n">
        <v>0</v>
      </c>
      <c r="J70" s="20" t="n">
        <v>0</v>
      </c>
      <c r="K70" s="18" t="n">
        <v>1.8565946</v>
      </c>
      <c r="L70" s="20" t="n">
        <v>0.53518873</v>
      </c>
      <c r="M70" s="18" t="n">
        <v>0</v>
      </c>
      <c r="N70" s="20" t="n">
        <v>0</v>
      </c>
      <c r="O70" s="18" t="n">
        <v>0</v>
      </c>
      <c r="P70" s="20" t="n">
        <v>0</v>
      </c>
      <c r="Q70" s="18" t="n">
        <v>0</v>
      </c>
      <c r="R70" s="20" t="n">
        <v>0</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(2757.0/B72*100)</f>
        <v/>
      </c>
      <c r="D72" s="19" t="n">
        <v>350</v>
      </c>
      <c r="E72" s="18" t="n">
        <v>59.86960153</v>
      </c>
      <c r="F72" s="20" t="n">
        <v>3.07812318</v>
      </c>
      <c r="G72" s="18" t="n">
        <v>39.05983678</v>
      </c>
      <c r="H72" s="20" t="n">
        <v>2.78022376</v>
      </c>
      <c r="I72" s="18" t="n">
        <v>0</v>
      </c>
      <c r="J72" s="20" t="n">
        <v>0</v>
      </c>
      <c r="K72" s="18" t="n">
        <v>0</v>
      </c>
      <c r="L72" s="20" t="n">
        <v>0</v>
      </c>
      <c r="M72" s="18" t="n">
        <v>0</v>
      </c>
      <c r="N72" s="20" t="n">
        <v>0</v>
      </c>
      <c r="O72" s="18" t="n">
        <v>0</v>
      </c>
      <c r="P72" s="20" t="n">
        <v>0</v>
      </c>
      <c r="Q72" s="18" t="n">
        <v>1.07056169</v>
      </c>
      <c r="R72" s="20" t="n">
        <v>1.27777061</v>
      </c>
    </row>
    <row r="73" spans="1:18">
      <c r="A73" s="15" t="s">
        <v>633</v>
      </c>
      <c r="B73" s="17" t="n">
        <v>2973</v>
      </c>
      <c r="C73" s="18">
        <f>(2677.0/B73*100)</f>
        <v/>
      </c>
      <c r="D73" s="19" t="n">
        <v>296</v>
      </c>
      <c r="E73" s="18" t="n">
        <v>44.62253825</v>
      </c>
      <c r="F73" s="20" t="n">
        <v>2.65380063</v>
      </c>
      <c r="G73" s="18" t="n">
        <v>55.37746175</v>
      </c>
      <c r="H73" s="20" t="n">
        <v>2.65380063</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(3411.0/B74*100)</f>
        <v/>
      </c>
      <c r="D74" s="19" t="n">
        <v>408</v>
      </c>
      <c r="E74" s="18" t="n">
        <v>60.14104176</v>
      </c>
      <c r="F74" s="20" t="n">
        <v>2.66401385</v>
      </c>
      <c r="G74" s="18" t="n">
        <v>39.85895824</v>
      </c>
      <c r="H74" s="20" t="n">
        <v>2.66401385</v>
      </c>
      <c r="I74" s="18" t="n">
        <v>0</v>
      </c>
      <c r="J74" s="20" t="n">
        <v>0</v>
      </c>
      <c r="K74" s="18" t="n">
        <v>0</v>
      </c>
      <c r="L74" s="20" t="n">
        <v>0</v>
      </c>
      <c r="M74" s="18" t="n">
        <v>0</v>
      </c>
      <c r="N74" s="20" t="n">
        <v>0</v>
      </c>
      <c r="O74" s="18" t="n">
        <v>0</v>
      </c>
      <c r="P74" s="20" t="n">
        <v>0</v>
      </c>
      <c r="Q74" s="18" t="n">
        <v>0</v>
      </c>
      <c r="R74" s="20" t="n">
        <v>0</v>
      </c>
    </row>
    <row r="75" spans="1:18">
      <c r="A75" s="15" t="s">
        <v>635</v>
      </c>
      <c r="B75" s="17" t="n">
        <v>4652</v>
      </c>
      <c r="C75" s="18">
        <f>(4154.0/B75*100)</f>
        <v/>
      </c>
      <c r="D75" s="19" t="n">
        <v>498</v>
      </c>
      <c r="E75" s="18" t="n">
        <v>69.91299006</v>
      </c>
      <c r="F75" s="20" t="n">
        <v>2.243953</v>
      </c>
      <c r="G75" s="18" t="n">
        <v>29.54568617</v>
      </c>
      <c r="H75" s="20" t="n">
        <v>2.27726627</v>
      </c>
      <c r="I75" s="18" t="n">
        <v>0</v>
      </c>
      <c r="J75" s="20" t="n">
        <v>0</v>
      </c>
      <c r="K75" s="18" t="n">
        <v>0.26826039</v>
      </c>
      <c r="L75" s="20" t="n">
        <v>0.26890507</v>
      </c>
      <c r="M75" s="18" t="n">
        <v>0</v>
      </c>
      <c r="N75" s="20" t="n">
        <v>0</v>
      </c>
      <c r="O75" s="18" t="n">
        <v>0</v>
      </c>
      <c r="P75" s="20" t="n">
        <v>0</v>
      </c>
      <c r="Q75" s="18" t="n">
        <v>0.27306338</v>
      </c>
      <c r="R75" s="20" t="n">
        <v>0.27105389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(2659.0/B77*100)</f>
        <v/>
      </c>
      <c r="D77" s="19" t="n">
        <v>310</v>
      </c>
      <c r="E77" s="18" t="n">
        <v>78.45201552</v>
      </c>
      <c r="F77" s="20" t="n">
        <v>2.45884532</v>
      </c>
      <c r="G77" s="18" t="n">
        <v>17.65937223</v>
      </c>
      <c r="H77" s="20" t="n">
        <v>2.20676644</v>
      </c>
      <c r="I77" s="18" t="n">
        <v>0</v>
      </c>
      <c r="J77" s="20" t="n">
        <v>0</v>
      </c>
      <c r="K77" s="18" t="n">
        <v>3.36543384</v>
      </c>
      <c r="L77" s="20" t="n">
        <v>0.96057654</v>
      </c>
      <c r="M77" s="18" t="n">
        <v>0</v>
      </c>
      <c r="N77" s="20" t="n">
        <v>0</v>
      </c>
      <c r="O77" s="18" t="n">
        <v>0</v>
      </c>
      <c r="P77" s="20" t="n">
        <v>0</v>
      </c>
      <c r="Q77" s="18" t="n">
        <v>0.52317841</v>
      </c>
      <c r="R77" s="20" t="n">
        <v>0.52553542</v>
      </c>
    </row>
    <row r="78" spans="1:18">
      <c r="A78" s="15" t="s">
        <v>638</v>
      </c>
      <c r="B78" s="17" t="n">
        <v>7115</v>
      </c>
      <c r="C78" s="18">
        <f>(6296.0/B78*100)</f>
        <v/>
      </c>
      <c r="D78" s="19" t="n">
        <v>819</v>
      </c>
      <c r="E78" s="18" t="n">
        <v>71.57281664999999</v>
      </c>
      <c r="F78" s="20" t="n">
        <v>2.05530481</v>
      </c>
      <c r="G78" s="18" t="n">
        <v>27.14427068</v>
      </c>
      <c r="H78" s="20" t="n">
        <v>2.02852231</v>
      </c>
      <c r="I78" s="18" t="n">
        <v>0</v>
      </c>
      <c r="J78" s="20" t="n">
        <v>0</v>
      </c>
      <c r="K78" s="18" t="n">
        <v>0.4592998</v>
      </c>
      <c r="L78" s="20" t="n">
        <v>0.21518455</v>
      </c>
      <c r="M78" s="18" t="n">
        <v>0</v>
      </c>
      <c r="N78" s="20" t="n">
        <v>0</v>
      </c>
      <c r="O78" s="18" t="n">
        <v>0</v>
      </c>
      <c r="P78" s="20" t="n">
        <v>0</v>
      </c>
      <c r="Q78" s="18" t="n">
        <v>0.8236128700000001</v>
      </c>
      <c r="R78" s="20" t="n">
        <v>0.36657918</v>
      </c>
    </row>
    <row r="79" spans="1:18">
      <c r="A79" s="15" t="s">
        <v>639</v>
      </c>
      <c r="B79" s="17" t="n">
        <v>3154</v>
      </c>
      <c r="C79" s="18">
        <f>(2814.0/B79*100)</f>
        <v/>
      </c>
      <c r="D79" s="19" t="n">
        <v>340</v>
      </c>
      <c r="E79" s="18" t="n">
        <v>71.4220071</v>
      </c>
      <c r="F79" s="20" t="n">
        <v>2.37210153</v>
      </c>
      <c r="G79" s="18" t="n">
        <v>23.47876781</v>
      </c>
      <c r="H79" s="20" t="n">
        <v>2.11583375</v>
      </c>
      <c r="I79" s="18" t="n">
        <v>0</v>
      </c>
      <c r="J79" s="20" t="n">
        <v>0</v>
      </c>
      <c r="K79" s="18" t="n">
        <v>0.94567024</v>
      </c>
      <c r="L79" s="20" t="n">
        <v>0.51145989</v>
      </c>
      <c r="M79" s="18" t="n">
        <v>0</v>
      </c>
      <c r="N79" s="20" t="n">
        <v>0</v>
      </c>
      <c r="O79" s="18" t="n">
        <v>0</v>
      </c>
      <c r="P79" s="20" t="n">
        <v>0</v>
      </c>
      <c r="Q79" s="18" t="n">
        <v>4.15355485</v>
      </c>
      <c r="R79" s="20" t="n">
        <v>1.40273668</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(14234.0/B82*100)</f>
        <v/>
      </c>
      <c r="D82" s="19" t="n">
        <v>1727</v>
      </c>
      <c r="E82" s="18" t="n">
        <v>61.94380309</v>
      </c>
      <c r="F82" s="20" t="n">
        <v>1.64345945</v>
      </c>
      <c r="G82" s="18" t="n">
        <v>37.32377843</v>
      </c>
      <c r="H82" s="20" t="n">
        <v>1.64502038</v>
      </c>
      <c r="I82" s="18" t="n">
        <v>0</v>
      </c>
      <c r="J82" s="20" t="n">
        <v>0</v>
      </c>
      <c r="K82" s="18" t="n">
        <v>0.25891318</v>
      </c>
      <c r="L82" s="20" t="n">
        <v>0.22089268</v>
      </c>
      <c r="M82" s="18" t="n">
        <v>0</v>
      </c>
      <c r="N82" s="20" t="n">
        <v>0</v>
      </c>
      <c r="O82" s="18" t="n">
        <v>0</v>
      </c>
      <c r="P82" s="20" t="n">
        <v>0</v>
      </c>
      <c r="Q82" s="18" t="n">
        <v>0.47350531</v>
      </c>
      <c r="R82" s="20" t="n">
        <v>0.24119095</v>
      </c>
    </row>
    <row r="83" spans="1:18">
      <c r="A83" s="15" t="s">
        <v>643</v>
      </c>
      <c r="B83" s="17" t="n">
        <v>808</v>
      </c>
      <c r="C83" s="18">
        <f>(712.0/B83*100)</f>
        <v/>
      </c>
      <c r="D83" s="19" t="n">
        <v>96</v>
      </c>
      <c r="E83" s="18" t="n">
        <v>37.107001</v>
      </c>
      <c r="F83" s="20" t="n">
        <v>5.72212918</v>
      </c>
      <c r="G83" s="18" t="n">
        <v>62.892999</v>
      </c>
      <c r="H83" s="20" t="n">
        <v>5.72212918</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(843.0/B84*100)</f>
        <v/>
      </c>
      <c r="D84" s="19" t="n">
        <v>95</v>
      </c>
      <c r="E84" s="18" t="n">
        <v>46.21673015</v>
      </c>
      <c r="F84" s="20" t="n">
        <v>5.69991305</v>
      </c>
      <c r="G84" s="18" t="n">
        <v>53.78326985</v>
      </c>
      <c r="H84" s="20" t="n">
        <v>5.69991305</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(6381.0/B7*100)</f>
        <v/>
      </c>
      <c r="D7" s="19" t="n">
        <v>782</v>
      </c>
      <c r="E7" s="18" t="n">
        <v>37.94707504</v>
      </c>
      <c r="F7" s="20" t="n">
        <v>1.87063498</v>
      </c>
      <c r="G7" s="18" t="n">
        <v>61.06869844</v>
      </c>
      <c r="H7" s="20" t="n">
        <v>1.90102685</v>
      </c>
      <c r="I7" s="18" t="n">
        <v>0</v>
      </c>
      <c r="J7" s="20" t="n">
        <v>0</v>
      </c>
      <c r="K7" s="18" t="n">
        <v>0.27587427</v>
      </c>
      <c r="L7" s="20" t="n">
        <v>0.21392361</v>
      </c>
      <c r="M7" s="18" t="n">
        <v>0</v>
      </c>
      <c r="N7" s="20" t="n">
        <v>0</v>
      </c>
      <c r="O7" s="18" t="n">
        <v>0</v>
      </c>
      <c r="P7" s="20" t="n">
        <v>0</v>
      </c>
      <c r="Q7" s="18" t="n">
        <v>0.70835225</v>
      </c>
      <c r="R7" s="20" t="n">
        <v>0.38474072</v>
      </c>
    </row>
    <row r="8" spans="1:18">
      <c r="A8" s="15" t="s">
        <v>566</v>
      </c>
      <c r="B8" s="17" t="n">
        <v>3443</v>
      </c>
      <c r="C8" s="18">
        <f>(3059.0/B8*100)</f>
        <v/>
      </c>
      <c r="D8" s="19" t="n">
        <v>384</v>
      </c>
      <c r="E8" s="18" t="n">
        <v>46.10124141</v>
      </c>
      <c r="F8" s="20" t="n">
        <v>2.79235196</v>
      </c>
      <c r="G8" s="18" t="n">
        <v>53.24824744</v>
      </c>
      <c r="H8" s="20" t="n">
        <v>2.84554639</v>
      </c>
      <c r="I8" s="18" t="n">
        <v>0</v>
      </c>
      <c r="J8" s="20" t="n">
        <v>0</v>
      </c>
      <c r="K8" s="18" t="n">
        <v>0</v>
      </c>
      <c r="L8" s="20" t="n">
        <v>0</v>
      </c>
      <c r="M8" s="18" t="n">
        <v>0</v>
      </c>
      <c r="N8" s="20" t="n">
        <v>0</v>
      </c>
      <c r="O8" s="18" t="n">
        <v>0</v>
      </c>
      <c r="P8" s="20" t="n">
        <v>0</v>
      </c>
      <c r="Q8" s="18" t="n">
        <v>0.65051115</v>
      </c>
      <c r="R8" s="20" t="n">
        <v>0.5770837</v>
      </c>
    </row>
    <row r="9" spans="1:18">
      <c r="A9" s="15" t="s">
        <v>567</v>
      </c>
      <c r="B9" s="17" t="n">
        <v>4752</v>
      </c>
      <c r="C9" s="18">
        <f>(4240.0/B9*100)</f>
        <v/>
      </c>
      <c r="D9" s="19" t="n">
        <v>512</v>
      </c>
      <c r="E9" s="18" t="n">
        <v>46.24981032</v>
      </c>
      <c r="F9" s="20" t="n">
        <v>2.47636282</v>
      </c>
      <c r="G9" s="18" t="n">
        <v>52.83421396</v>
      </c>
      <c r="H9" s="20" t="n">
        <v>2.50837657</v>
      </c>
      <c r="I9" s="18" t="n">
        <v>0</v>
      </c>
      <c r="J9" s="20" t="n">
        <v>0</v>
      </c>
      <c r="K9" s="18" t="n">
        <v>0.3910654</v>
      </c>
      <c r="L9" s="20" t="n">
        <v>0.30143987</v>
      </c>
      <c r="M9" s="18" t="n">
        <v>0</v>
      </c>
      <c r="N9" s="20" t="n">
        <v>0</v>
      </c>
      <c r="O9" s="18" t="n">
        <v>0</v>
      </c>
      <c r="P9" s="20" t="n">
        <v>0</v>
      </c>
      <c r="Q9" s="18" t="n">
        <v>0.52491032</v>
      </c>
      <c r="R9" s="20" t="n">
        <v>0.3314738</v>
      </c>
    </row>
    <row r="10" spans="1:18">
      <c r="A10" s="15" t="s">
        <v>568</v>
      </c>
      <c r="B10" s="17" t="n">
        <v>10022</v>
      </c>
      <c r="C10" s="18">
        <f>(8947.0/B10*100)</f>
        <v/>
      </c>
      <c r="D10" s="19" t="n">
        <v>1075</v>
      </c>
      <c r="E10" s="18" t="n">
        <v>31.7393909</v>
      </c>
      <c r="F10" s="20" t="n">
        <v>2.00816814</v>
      </c>
      <c r="G10" s="18" t="n">
        <v>67.70055029</v>
      </c>
      <c r="H10" s="20" t="n">
        <v>1.95671346</v>
      </c>
      <c r="I10" s="18" t="n">
        <v>0</v>
      </c>
      <c r="J10" s="20" t="n">
        <v>0</v>
      </c>
      <c r="K10" s="18" t="n">
        <v>0.42002158</v>
      </c>
      <c r="L10" s="20" t="n">
        <v>0.29609238</v>
      </c>
      <c r="M10" s="18" t="n">
        <v>0</v>
      </c>
      <c r="N10" s="20" t="n">
        <v>0</v>
      </c>
      <c r="O10" s="18" t="n">
        <v>0</v>
      </c>
      <c r="P10" s="20" t="n">
        <v>0</v>
      </c>
      <c r="Q10" s="18" t="n">
        <v>0.14003724</v>
      </c>
      <c r="R10" s="20" t="n">
        <v>0.09208408999999999</v>
      </c>
    </row>
    <row r="11" spans="1:18">
      <c r="A11" s="15" t="s">
        <v>569</v>
      </c>
      <c r="B11" s="17" t="n">
        <v>3500</v>
      </c>
      <c r="C11" s="18">
        <f>(3117.0/B11*100)</f>
        <v/>
      </c>
      <c r="D11" s="19" t="n">
        <v>383</v>
      </c>
      <c r="E11" s="18" t="n">
        <v>50.10383454</v>
      </c>
      <c r="F11" s="20" t="n">
        <v>3.51416938</v>
      </c>
      <c r="G11" s="18" t="n">
        <v>48.12498428</v>
      </c>
      <c r="H11" s="20" t="n">
        <v>3.51640399</v>
      </c>
      <c r="I11" s="18" t="n">
        <v>0</v>
      </c>
      <c r="J11" s="20" t="n">
        <v>0</v>
      </c>
      <c r="K11" s="18" t="n">
        <v>0.9131814700000001</v>
      </c>
      <c r="L11" s="20" t="n">
        <v>0.47017462</v>
      </c>
      <c r="M11" s="18" t="n">
        <v>0</v>
      </c>
      <c r="N11" s="20" t="n">
        <v>0</v>
      </c>
      <c r="O11" s="18" t="n">
        <v>0</v>
      </c>
      <c r="P11" s="20" t="n">
        <v>0</v>
      </c>
      <c r="Q11" s="18" t="n">
        <v>0.85799972</v>
      </c>
      <c r="R11" s="20" t="n">
        <v>0.42606089</v>
      </c>
    </row>
    <row r="12" spans="1:18">
      <c r="A12" s="15" t="s">
        <v>570</v>
      </c>
      <c r="B12" s="17" t="n">
        <v>3422</v>
      </c>
      <c r="C12" s="18">
        <f>(3037.0/B12*100)</f>
        <v/>
      </c>
      <c r="D12" s="19" t="n">
        <v>385</v>
      </c>
      <c r="E12" s="18" t="n">
        <v>39.94292354</v>
      </c>
      <c r="F12" s="20" t="n">
        <v>3.10073986</v>
      </c>
      <c r="G12" s="18" t="n">
        <v>59.35826103</v>
      </c>
      <c r="H12" s="20" t="n">
        <v>3.11350277</v>
      </c>
      <c r="I12" s="18" t="n">
        <v>0</v>
      </c>
      <c r="J12" s="20" t="n">
        <v>0</v>
      </c>
      <c r="K12" s="18" t="n">
        <v>0.41607931</v>
      </c>
      <c r="L12" s="20" t="n">
        <v>0.32026903</v>
      </c>
      <c r="M12" s="18" t="n">
        <v>0</v>
      </c>
      <c r="N12" s="20" t="n">
        <v>0</v>
      </c>
      <c r="O12" s="18" t="n">
        <v>0</v>
      </c>
      <c r="P12" s="20" t="n">
        <v>0</v>
      </c>
      <c r="Q12" s="18" t="n">
        <v>0.28273612</v>
      </c>
      <c r="R12" s="20" t="n">
        <v>0.31548442</v>
      </c>
    </row>
    <row r="13" spans="1:18">
      <c r="A13" s="15" t="s">
        <v>571</v>
      </c>
      <c r="B13" s="17" t="n">
        <v>3602</v>
      </c>
      <c r="C13" s="18">
        <f>(3234.0/B13*100)</f>
        <v/>
      </c>
      <c r="D13" s="19" t="n">
        <v>368</v>
      </c>
      <c r="E13" s="18" t="n">
        <v>33.75023084</v>
      </c>
      <c r="F13" s="20" t="n">
        <v>3.16584983</v>
      </c>
      <c r="G13" s="18" t="n">
        <v>66.24976916</v>
      </c>
      <c r="H13" s="20" t="n">
        <v>3.16584983</v>
      </c>
      <c r="I13" s="18" t="n">
        <v>0</v>
      </c>
      <c r="J13" s="20" t="n">
        <v>0</v>
      </c>
      <c r="K13" s="18" t="n">
        <v>0</v>
      </c>
      <c r="L13" s="20" t="n">
        <v>0</v>
      </c>
      <c r="M13" s="18" t="n">
        <v>0</v>
      </c>
      <c r="N13" s="20" t="n">
        <v>0</v>
      </c>
      <c r="O13" s="18" t="n">
        <v>0</v>
      </c>
      <c r="P13" s="20" t="n">
        <v>0</v>
      </c>
      <c r="Q13" s="18" t="n">
        <v>0</v>
      </c>
      <c r="R13" s="20" t="n">
        <v>0</v>
      </c>
    </row>
    <row r="14" spans="1:18">
      <c r="A14" s="15" t="s">
        <v>572</v>
      </c>
      <c r="B14" s="17" t="n">
        <v>2788</v>
      </c>
      <c r="C14" s="18">
        <f>(2492.0/B14*100)</f>
        <v/>
      </c>
      <c r="D14" s="19" t="n">
        <v>296</v>
      </c>
      <c r="E14" s="18" t="n">
        <v>36.19267037</v>
      </c>
      <c r="F14" s="20" t="n">
        <v>3.07144001</v>
      </c>
      <c r="G14" s="18" t="n">
        <v>63.55005696</v>
      </c>
      <c r="H14" s="20" t="n">
        <v>3.0624836</v>
      </c>
      <c r="I14" s="18" t="n">
        <v>0</v>
      </c>
      <c r="J14" s="20" t="n">
        <v>0</v>
      </c>
      <c r="K14" s="18" t="n">
        <v>0.25727267</v>
      </c>
      <c r="L14" s="20" t="n">
        <v>0.26731621</v>
      </c>
      <c r="M14" s="18" t="n">
        <v>0</v>
      </c>
      <c r="N14" s="20" t="n">
        <v>0</v>
      </c>
      <c r="O14" s="18" t="n">
        <v>0</v>
      </c>
      <c r="P14" s="20" t="n">
        <v>0</v>
      </c>
      <c r="Q14" s="18" t="n">
        <v>0</v>
      </c>
      <c r="R14" s="20" t="n">
        <v>0</v>
      </c>
    </row>
    <row r="15" spans="1:18">
      <c r="A15" s="15" t="s">
        <v>573</v>
      </c>
      <c r="B15" s="17" t="n">
        <v>2863</v>
      </c>
      <c r="C15" s="18">
        <f>(2544.0/B15*100)</f>
        <v/>
      </c>
      <c r="D15" s="19" t="n">
        <v>319</v>
      </c>
      <c r="E15" s="18" t="n">
        <v>33.69097429</v>
      </c>
      <c r="F15" s="20" t="n">
        <v>2.77139424</v>
      </c>
      <c r="G15" s="18" t="n">
        <v>65.67191063999999</v>
      </c>
      <c r="H15" s="20" t="n">
        <v>2.59061369</v>
      </c>
      <c r="I15" s="18" t="n">
        <v>0</v>
      </c>
      <c r="J15" s="20" t="n">
        <v>0</v>
      </c>
      <c r="K15" s="18" t="n">
        <v>0</v>
      </c>
      <c r="L15" s="20" t="n">
        <v>0</v>
      </c>
      <c r="M15" s="18" t="n">
        <v>0</v>
      </c>
      <c r="N15" s="20" t="n">
        <v>0</v>
      </c>
      <c r="O15" s="18" t="n">
        <v>0</v>
      </c>
      <c r="P15" s="20" t="n">
        <v>0</v>
      </c>
      <c r="Q15" s="18" t="n">
        <v>0.63711507</v>
      </c>
      <c r="R15" s="20" t="n">
        <v>0.44504724</v>
      </c>
    </row>
    <row r="16" spans="1:18">
      <c r="A16" s="15" t="s">
        <v>574</v>
      </c>
      <c r="B16" s="17" t="n">
        <v>3111</v>
      </c>
      <c r="C16" s="18">
        <f>(2795.0/B16*100)</f>
        <v/>
      </c>
      <c r="D16" s="19" t="n">
        <v>316</v>
      </c>
      <c r="E16" s="18" t="n">
        <v>43.82676496</v>
      </c>
      <c r="F16" s="20" t="n">
        <v>2.846222</v>
      </c>
      <c r="G16" s="18" t="n">
        <v>54.10922999</v>
      </c>
      <c r="H16" s="20" t="n">
        <v>2.76323253</v>
      </c>
      <c r="I16" s="18" t="n">
        <v>0</v>
      </c>
      <c r="J16" s="20" t="n">
        <v>0</v>
      </c>
      <c r="K16" s="18" t="n">
        <v>1.49406354</v>
      </c>
      <c r="L16" s="20" t="n">
        <v>0.87423649</v>
      </c>
      <c r="M16" s="18" t="n">
        <v>0</v>
      </c>
      <c r="N16" s="20" t="n">
        <v>0</v>
      </c>
      <c r="O16" s="18" t="n">
        <v>0</v>
      </c>
      <c r="P16" s="20" t="n">
        <v>0</v>
      </c>
      <c r="Q16" s="18" t="n">
        <v>0.56994151</v>
      </c>
      <c r="R16" s="20" t="n">
        <v>0.39239515</v>
      </c>
    </row>
    <row r="17" spans="1:18">
      <c r="A17" s="15" t="s">
        <v>575</v>
      </c>
      <c r="B17" s="17" t="n">
        <v>3197</v>
      </c>
      <c r="C17" s="18">
        <f>(2826.0/B17*100)</f>
        <v/>
      </c>
      <c r="D17" s="19" t="n">
        <v>371</v>
      </c>
      <c r="E17" s="18" t="n">
        <v>45.73808321</v>
      </c>
      <c r="F17" s="20" t="n">
        <v>2.67573223</v>
      </c>
      <c r="G17" s="18" t="n">
        <v>53.63471758</v>
      </c>
      <c r="H17" s="20" t="n">
        <v>2.64014849</v>
      </c>
      <c r="I17" s="18" t="n">
        <v>0</v>
      </c>
      <c r="J17" s="20" t="n">
        <v>0</v>
      </c>
      <c r="K17" s="18" t="n">
        <v>0.4027888</v>
      </c>
      <c r="L17" s="20" t="n">
        <v>0.41833038</v>
      </c>
      <c r="M17" s="18" t="n">
        <v>0</v>
      </c>
      <c r="N17" s="20" t="n">
        <v>0</v>
      </c>
      <c r="O17" s="18" t="n">
        <v>0</v>
      </c>
      <c r="P17" s="20" t="n">
        <v>0</v>
      </c>
      <c r="Q17" s="18" t="n">
        <v>0.22441041</v>
      </c>
      <c r="R17" s="20" t="n">
        <v>0.22273799</v>
      </c>
    </row>
    <row r="18" spans="1:18">
      <c r="A18" s="15" t="s">
        <v>576</v>
      </c>
      <c r="B18" s="17" t="n">
        <v>2706</v>
      </c>
      <c r="C18" s="18">
        <f>(2426.0/B18*100)</f>
        <v/>
      </c>
      <c r="D18" s="19" t="n">
        <v>280</v>
      </c>
      <c r="E18" s="18" t="n">
        <v>70.51334134</v>
      </c>
      <c r="F18" s="20" t="n">
        <v>2.43908394</v>
      </c>
      <c r="G18" s="18" t="n">
        <v>27.89354002</v>
      </c>
      <c r="H18" s="20" t="n">
        <v>2.38112202</v>
      </c>
      <c r="I18" s="18" t="n">
        <v>0</v>
      </c>
      <c r="J18" s="20" t="n">
        <v>0</v>
      </c>
      <c r="K18" s="18" t="n">
        <v>0.92120413</v>
      </c>
      <c r="L18" s="20" t="n">
        <v>0.52931887</v>
      </c>
      <c r="M18" s="18" t="n">
        <v>0</v>
      </c>
      <c r="N18" s="20" t="n">
        <v>0</v>
      </c>
      <c r="O18" s="18" t="n">
        <v>0</v>
      </c>
      <c r="P18" s="20" t="n">
        <v>0</v>
      </c>
      <c r="Q18" s="18" t="n">
        <v>0.67191452</v>
      </c>
      <c r="R18" s="20" t="n">
        <v>0.47531548</v>
      </c>
    </row>
    <row r="19" spans="1:18">
      <c r="A19" s="15" t="s">
        <v>577</v>
      </c>
      <c r="B19" s="17" t="n">
        <v>2850</v>
      </c>
      <c r="C19" s="18">
        <f>(2534.0/B19*100)</f>
        <v/>
      </c>
      <c r="D19" s="19" t="n">
        <v>316</v>
      </c>
      <c r="E19" s="18" t="n">
        <v>47.11471048</v>
      </c>
      <c r="F19" s="20" t="n">
        <v>2.61469096</v>
      </c>
      <c r="G19" s="18" t="n">
        <v>52.88528952</v>
      </c>
      <c r="H19" s="20" t="n">
        <v>2.61469096</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(1558.0/B20*100)</f>
        <v/>
      </c>
      <c r="D20" s="19" t="n">
        <v>183</v>
      </c>
      <c r="E20" s="18" t="n">
        <v>49.84045166</v>
      </c>
      <c r="F20" s="20" t="n">
        <v>3.05602198</v>
      </c>
      <c r="G20" s="18" t="n">
        <v>48.40760439</v>
      </c>
      <c r="H20" s="20" t="n">
        <v>3.01972541</v>
      </c>
      <c r="I20" s="18" t="n">
        <v>0</v>
      </c>
      <c r="J20" s="20" t="n">
        <v>0</v>
      </c>
      <c r="K20" s="18" t="n">
        <v>0.63572685</v>
      </c>
      <c r="L20" s="20" t="n">
        <v>0.61932048</v>
      </c>
      <c r="M20" s="18" t="n">
        <v>0</v>
      </c>
      <c r="N20" s="20" t="n">
        <v>0</v>
      </c>
      <c r="O20" s="18" t="n">
        <v>0</v>
      </c>
      <c r="P20" s="20" t="n">
        <v>0</v>
      </c>
      <c r="Q20" s="18" t="n">
        <v>1.1162171</v>
      </c>
      <c r="R20" s="20" t="n">
        <v>0.77828088</v>
      </c>
    </row>
    <row r="21" spans="1:18">
      <c r="A21" s="15" t="s">
        <v>579</v>
      </c>
      <c r="B21" s="17" t="n">
        <v>2833</v>
      </c>
      <c r="C21" s="18">
        <f>(2516.0/B21*100)</f>
        <v/>
      </c>
      <c r="D21" s="19" t="n">
        <v>317</v>
      </c>
      <c r="E21" s="18" t="n">
        <v>37.61675207</v>
      </c>
      <c r="F21" s="20" t="n">
        <v>2.58668903</v>
      </c>
      <c r="G21" s="18" t="n">
        <v>62.38324793</v>
      </c>
      <c r="H21" s="20" t="n">
        <v>2.58668903</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(3241.0/B22*100)</f>
        <v/>
      </c>
      <c r="D22" s="19" t="n">
        <v>426</v>
      </c>
      <c r="E22" s="18" t="n">
        <v>52.29964098</v>
      </c>
      <c r="F22" s="20" t="n">
        <v>2.46457271</v>
      </c>
      <c r="G22" s="18" t="n">
        <v>45.19897725</v>
      </c>
      <c r="H22" s="20" t="n">
        <v>2.48481345</v>
      </c>
      <c r="I22" s="18" t="n">
        <v>0</v>
      </c>
      <c r="J22" s="20" t="n">
        <v>0</v>
      </c>
      <c r="K22" s="18" t="n">
        <v>1.57006349</v>
      </c>
      <c r="L22" s="20" t="n">
        <v>0.69576217</v>
      </c>
      <c r="M22" s="18" t="n">
        <v>0</v>
      </c>
      <c r="N22" s="20" t="n">
        <v>0</v>
      </c>
      <c r="O22" s="18" t="n">
        <v>0</v>
      </c>
      <c r="P22" s="20" t="n">
        <v>0</v>
      </c>
      <c r="Q22" s="18" t="n">
        <v>0.9313182800000001</v>
      </c>
      <c r="R22" s="20" t="n">
        <v>0.54382177</v>
      </c>
    </row>
    <row r="23" spans="1:18">
      <c r="A23" s="15" t="s">
        <v>581</v>
      </c>
      <c r="B23" s="17" t="n">
        <v>5792</v>
      </c>
      <c r="C23" s="18">
        <f>(5160.0/B23*100)</f>
        <v/>
      </c>
      <c r="D23" s="19" t="n">
        <v>632</v>
      </c>
      <c r="E23" s="18" t="n">
        <v>50.77384879</v>
      </c>
      <c r="F23" s="20" t="n">
        <v>2.71610974</v>
      </c>
      <c r="G23" s="18" t="n">
        <v>48.32720442</v>
      </c>
      <c r="H23" s="20" t="n">
        <v>2.75218232</v>
      </c>
      <c r="I23" s="18" t="n">
        <v>0</v>
      </c>
      <c r="J23" s="20" t="n">
        <v>0</v>
      </c>
      <c r="K23" s="18" t="n">
        <v>0.63468853</v>
      </c>
      <c r="L23" s="20" t="n">
        <v>0.47847849</v>
      </c>
      <c r="M23" s="18" t="n">
        <v>0</v>
      </c>
      <c r="N23" s="20" t="n">
        <v>0</v>
      </c>
      <c r="O23" s="18" t="n">
        <v>0</v>
      </c>
      <c r="P23" s="20" t="n">
        <v>0</v>
      </c>
      <c r="Q23" s="18" t="n">
        <v>0.26425825</v>
      </c>
      <c r="R23" s="20" t="n">
        <v>0.18741344</v>
      </c>
    </row>
    <row r="24" spans="1:18">
      <c r="A24" s="15" t="s">
        <v>582</v>
      </c>
      <c r="B24" s="17" t="n">
        <v>3309</v>
      </c>
      <c r="C24" s="18">
        <f>(2924.0/B24*100)</f>
        <v/>
      </c>
      <c r="D24" s="19" t="n">
        <v>385</v>
      </c>
      <c r="E24" s="18" t="n">
        <v>32.04148713</v>
      </c>
      <c r="F24" s="20" t="n">
        <v>2.14667877</v>
      </c>
      <c r="G24" s="18" t="n">
        <v>67.42019381999999</v>
      </c>
      <c r="H24" s="20" t="n">
        <v>2.19682184</v>
      </c>
      <c r="I24" s="18" t="n">
        <v>0</v>
      </c>
      <c r="J24" s="20" t="n">
        <v>0</v>
      </c>
      <c r="K24" s="18" t="n">
        <v>0.23499984</v>
      </c>
      <c r="L24" s="20" t="n">
        <v>0.23362643</v>
      </c>
      <c r="M24" s="18" t="n">
        <v>0</v>
      </c>
      <c r="N24" s="20" t="n">
        <v>0</v>
      </c>
      <c r="O24" s="18" t="n">
        <v>0</v>
      </c>
      <c r="P24" s="20" t="n">
        <v>0</v>
      </c>
      <c r="Q24" s="18" t="n">
        <v>0.30331922</v>
      </c>
      <c r="R24" s="20" t="n">
        <v>0.30387878</v>
      </c>
    </row>
    <row r="25" spans="1:18">
      <c r="A25" s="15" t="s">
        <v>583</v>
      </c>
      <c r="B25" s="17" t="n">
        <v>2669</v>
      </c>
      <c r="C25" s="18">
        <f>(2381.0/B25*100)</f>
        <v/>
      </c>
      <c r="D25" s="19" t="n">
        <v>288</v>
      </c>
      <c r="E25" s="18" t="n">
        <v>36.15474093</v>
      </c>
      <c r="F25" s="20" t="n">
        <v>3.081105</v>
      </c>
      <c r="G25" s="18" t="n">
        <v>63.54153783</v>
      </c>
      <c r="H25" s="20" t="n">
        <v>3.06629865</v>
      </c>
      <c r="I25" s="18" t="n">
        <v>0</v>
      </c>
      <c r="J25" s="20" t="n">
        <v>0</v>
      </c>
      <c r="K25" s="18" t="n">
        <v>0.30372124</v>
      </c>
      <c r="L25" s="20" t="n">
        <v>0.30159766</v>
      </c>
      <c r="M25" s="18" t="n">
        <v>0</v>
      </c>
      <c r="N25" s="20" t="n">
        <v>0</v>
      </c>
      <c r="O25" s="18" t="n">
        <v>0</v>
      </c>
      <c r="P25" s="20" t="n">
        <v>0</v>
      </c>
      <c r="Q25" s="18" t="n">
        <v>0</v>
      </c>
      <c r="R25" s="20" t="n">
        <v>0</v>
      </c>
    </row>
    <row r="26" spans="1:18">
      <c r="A26" s="15" t="s">
        <v>584</v>
      </c>
      <c r="B26" s="17" t="n">
        <v>2419</v>
      </c>
      <c r="C26" s="18">
        <f>(2149.0/B26*100)</f>
        <v/>
      </c>
      <c r="D26" s="19" t="n">
        <v>270</v>
      </c>
      <c r="E26" s="18" t="n">
        <v>41.0838</v>
      </c>
      <c r="F26" s="20" t="n">
        <v>3.18017316</v>
      </c>
      <c r="G26" s="18" t="n">
        <v>58.9162</v>
      </c>
      <c r="H26" s="20" t="n">
        <v>3.18017316</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(2380.0/B27*100)</f>
        <v/>
      </c>
      <c r="D27" s="19" t="n">
        <v>303</v>
      </c>
      <c r="E27" s="18" t="n">
        <v>45.94457407</v>
      </c>
      <c r="F27" s="20" t="n">
        <v>2.80660462</v>
      </c>
      <c r="G27" s="18" t="n">
        <v>52.74505512</v>
      </c>
      <c r="H27" s="20" t="n">
        <v>2.88912866</v>
      </c>
      <c r="I27" s="18" t="n">
        <v>0</v>
      </c>
      <c r="J27" s="20" t="n">
        <v>0</v>
      </c>
      <c r="K27" s="18" t="n">
        <v>0.31734484</v>
      </c>
      <c r="L27" s="20" t="n">
        <v>0.31598509</v>
      </c>
      <c r="M27" s="18" t="n">
        <v>0</v>
      </c>
      <c r="N27" s="20" t="n">
        <v>0</v>
      </c>
      <c r="O27" s="18" t="n">
        <v>0</v>
      </c>
      <c r="P27" s="20" t="n">
        <v>0</v>
      </c>
      <c r="Q27" s="18" t="n">
        <v>0.99302597</v>
      </c>
      <c r="R27" s="20" t="n">
        <v>0.57342395</v>
      </c>
    </row>
    <row r="28" spans="1:18">
      <c r="A28" s="15" t="s">
        <v>586</v>
      </c>
      <c r="B28" s="17" t="n">
        <v>3803</v>
      </c>
      <c r="C28" s="18">
        <f>(3427.0/B28*100)</f>
        <v/>
      </c>
      <c r="D28" s="19" t="n">
        <v>376</v>
      </c>
      <c r="E28" s="18" t="n">
        <v>62.17775197</v>
      </c>
      <c r="F28" s="20" t="n">
        <v>2.92673065</v>
      </c>
      <c r="G28" s="18" t="n">
        <v>37.24771071</v>
      </c>
      <c r="H28" s="20" t="n">
        <v>2.96485683</v>
      </c>
      <c r="I28" s="18" t="n">
        <v>0</v>
      </c>
      <c r="J28" s="20" t="n">
        <v>0</v>
      </c>
      <c r="K28" s="18" t="n">
        <v>0.57453732</v>
      </c>
      <c r="L28" s="20" t="n">
        <v>0.4083895</v>
      </c>
      <c r="M28" s="18" t="n">
        <v>0</v>
      </c>
      <c r="N28" s="20" t="n">
        <v>0</v>
      </c>
      <c r="O28" s="18" t="n">
        <v>0</v>
      </c>
      <c r="P28" s="20" t="n">
        <v>0</v>
      </c>
      <c r="Q28" s="18" t="n">
        <v>0</v>
      </c>
      <c r="R28" s="20" t="n">
        <v>0</v>
      </c>
    </row>
    <row r="29" spans="1:18">
      <c r="A29" s="15" t="s">
        <v>587</v>
      </c>
      <c r="B29" s="17" t="n">
        <v>2700</v>
      </c>
      <c r="C29" s="18">
        <f>(2388.0/B29*100)</f>
        <v/>
      </c>
      <c r="D29" s="19" t="n">
        <v>312</v>
      </c>
      <c r="E29" s="18" t="n">
        <v>34.36546496</v>
      </c>
      <c r="F29" s="20" t="n">
        <v>2.65621556</v>
      </c>
      <c r="G29" s="18" t="n">
        <v>64.83787353</v>
      </c>
      <c r="H29" s="20" t="n">
        <v>2.66302263</v>
      </c>
      <c r="I29" s="18" t="n">
        <v>0</v>
      </c>
      <c r="J29" s="20" t="n">
        <v>0</v>
      </c>
      <c r="K29" s="18" t="n">
        <v>0</v>
      </c>
      <c r="L29" s="20" t="n">
        <v>0</v>
      </c>
      <c r="M29" s="18" t="n">
        <v>0</v>
      </c>
      <c r="N29" s="20" t="n">
        <v>0</v>
      </c>
      <c r="O29" s="18" t="n">
        <v>0</v>
      </c>
      <c r="P29" s="20" t="n">
        <v>0</v>
      </c>
      <c r="Q29" s="18" t="n">
        <v>0.79666151</v>
      </c>
      <c r="R29" s="20" t="n">
        <v>0.10527258</v>
      </c>
    </row>
    <row r="30" spans="1:18">
      <c r="A30" s="15" t="s">
        <v>588</v>
      </c>
      <c r="B30" s="17" t="n">
        <v>2257</v>
      </c>
      <c r="C30" s="18">
        <f>(2026.0/B30*100)</f>
        <v/>
      </c>
      <c r="D30" s="19" t="n">
        <v>231</v>
      </c>
      <c r="E30" s="18" t="n">
        <v>38.94289282</v>
      </c>
      <c r="F30" s="20" t="n">
        <v>3.18302284</v>
      </c>
      <c r="G30" s="18" t="n">
        <v>59.51131196</v>
      </c>
      <c r="H30" s="20" t="n">
        <v>3.0033108</v>
      </c>
      <c r="I30" s="18" t="n">
        <v>0</v>
      </c>
      <c r="J30" s="20" t="n">
        <v>0</v>
      </c>
      <c r="K30" s="18" t="n">
        <v>0</v>
      </c>
      <c r="L30" s="20" t="n">
        <v>0</v>
      </c>
      <c r="M30" s="18" t="n">
        <v>0</v>
      </c>
      <c r="N30" s="20" t="n">
        <v>0</v>
      </c>
      <c r="O30" s="18" t="n">
        <v>0</v>
      </c>
      <c r="P30" s="20" t="n">
        <v>0</v>
      </c>
      <c r="Q30" s="18" t="n">
        <v>1.54579521</v>
      </c>
      <c r="R30" s="20" t="n">
        <v>0.88561681</v>
      </c>
    </row>
    <row r="31" spans="1:18">
      <c r="A31" s="15" t="s">
        <v>589</v>
      </c>
      <c r="B31" s="17" t="n">
        <v>2706</v>
      </c>
      <c r="C31" s="18">
        <f>(2407.0/B31*100)</f>
        <v/>
      </c>
      <c r="D31" s="19" t="n">
        <v>299</v>
      </c>
      <c r="E31" s="18" t="n">
        <v>42.51431288</v>
      </c>
      <c r="F31" s="20" t="n">
        <v>2.70346699</v>
      </c>
      <c r="G31" s="18" t="n">
        <v>56.19090052</v>
      </c>
      <c r="H31" s="20" t="n">
        <v>2.69360152</v>
      </c>
      <c r="I31" s="18" t="n">
        <v>0</v>
      </c>
      <c r="J31" s="20" t="n">
        <v>0</v>
      </c>
      <c r="K31" s="18" t="n">
        <v>0.64656788</v>
      </c>
      <c r="L31" s="20" t="n">
        <v>0.4563776</v>
      </c>
      <c r="M31" s="18" t="n">
        <v>0</v>
      </c>
      <c r="N31" s="20" t="n">
        <v>0</v>
      </c>
      <c r="O31" s="18" t="n">
        <v>0</v>
      </c>
      <c r="P31" s="20" t="n">
        <v>0</v>
      </c>
      <c r="Q31" s="18" t="n">
        <v>0.64821871</v>
      </c>
      <c r="R31" s="20" t="n">
        <v>0.44534353</v>
      </c>
    </row>
    <row r="32" spans="1:18">
      <c r="A32" s="15" t="s">
        <v>590</v>
      </c>
      <c r="B32" s="17" t="n">
        <v>2209</v>
      </c>
      <c r="C32" s="18">
        <f>(1960.0/B32*100)</f>
        <v/>
      </c>
      <c r="D32" s="19" t="n">
        <v>249</v>
      </c>
      <c r="E32" s="18" t="n">
        <v>39.15062947</v>
      </c>
      <c r="F32" s="20" t="n">
        <v>3.28657856</v>
      </c>
      <c r="G32" s="18" t="n">
        <v>60.51979169</v>
      </c>
      <c r="H32" s="20" t="n">
        <v>3.30880822</v>
      </c>
      <c r="I32" s="18" t="n">
        <v>0</v>
      </c>
      <c r="J32" s="20" t="n">
        <v>0</v>
      </c>
      <c r="K32" s="18" t="n">
        <v>0.32957884</v>
      </c>
      <c r="L32" s="20" t="n">
        <v>0.33166898</v>
      </c>
      <c r="M32" s="18" t="n">
        <v>0</v>
      </c>
      <c r="N32" s="20" t="n">
        <v>0</v>
      </c>
      <c r="O32" s="18" t="n">
        <v>0</v>
      </c>
      <c r="P32" s="20" t="n">
        <v>0</v>
      </c>
      <c r="Q32" s="18" t="n">
        <v>0</v>
      </c>
      <c r="R32" s="20" t="n">
        <v>0</v>
      </c>
    </row>
    <row r="33" spans="1:18">
      <c r="A33" s="15" t="s">
        <v>591</v>
      </c>
      <c r="B33" s="17" t="n">
        <v>3651</v>
      </c>
      <c r="C33" s="18">
        <f>(3258.0/B33*100)</f>
        <v/>
      </c>
      <c r="D33" s="19" t="n">
        <v>393</v>
      </c>
      <c r="E33" s="18" t="n">
        <v>42.24985357</v>
      </c>
      <c r="F33" s="20" t="n">
        <v>3.45304334</v>
      </c>
      <c r="G33" s="18" t="n">
        <v>57.4163746</v>
      </c>
      <c r="H33" s="20" t="n">
        <v>3.43271868</v>
      </c>
      <c r="I33" s="18" t="n">
        <v>0</v>
      </c>
      <c r="J33" s="20" t="n">
        <v>0</v>
      </c>
      <c r="K33" s="18" t="n">
        <v>0.33377182</v>
      </c>
      <c r="L33" s="20" t="n">
        <v>0.37097073</v>
      </c>
      <c r="M33" s="18" t="n">
        <v>0</v>
      </c>
      <c r="N33" s="20" t="n">
        <v>0</v>
      </c>
      <c r="O33" s="18" t="n">
        <v>0</v>
      </c>
      <c r="P33" s="20" t="n">
        <v>0</v>
      </c>
      <c r="Q33" s="18" t="n">
        <v>0</v>
      </c>
      <c r="R33" s="20" t="n">
        <v>0</v>
      </c>
    </row>
    <row r="34" spans="1:18">
      <c r="A34" s="15" t="s">
        <v>592</v>
      </c>
      <c r="B34" s="17" t="n">
        <v>3035</v>
      </c>
      <c r="C34" s="18">
        <f>(2718.0/B34*100)</f>
        <v/>
      </c>
      <c r="D34" s="19" t="n">
        <v>317</v>
      </c>
      <c r="E34" s="18" t="n">
        <v>54.1246902</v>
      </c>
      <c r="F34" s="20" t="n">
        <v>2.94561851</v>
      </c>
      <c r="G34" s="18" t="n">
        <v>45.8753098</v>
      </c>
      <c r="H34" s="20" t="n">
        <v>2.94561851</v>
      </c>
      <c r="I34" s="18" t="n">
        <v>0</v>
      </c>
      <c r="J34" s="20" t="n">
        <v>0</v>
      </c>
      <c r="K34" s="18" t="n">
        <v>0</v>
      </c>
      <c r="L34" s="20" t="n">
        <v>0</v>
      </c>
      <c r="M34" s="18" t="n">
        <v>0</v>
      </c>
      <c r="N34" s="20" t="n">
        <v>0</v>
      </c>
      <c r="O34" s="18" t="n">
        <v>0</v>
      </c>
      <c r="P34" s="20" t="n">
        <v>0</v>
      </c>
      <c r="Q34" s="18" t="n">
        <v>0</v>
      </c>
      <c r="R34" s="20" t="n">
        <v>0</v>
      </c>
    </row>
    <row r="35" spans="1:18">
      <c r="A35" s="15" t="s">
        <v>593</v>
      </c>
      <c r="B35" s="17" t="n">
        <v>2901</v>
      </c>
      <c r="C35" s="18">
        <f>(2586.0/B35*100)</f>
        <v/>
      </c>
      <c r="D35" s="19" t="n">
        <v>315</v>
      </c>
      <c r="E35" s="18" t="n">
        <v>38.62054519</v>
      </c>
      <c r="F35" s="20" t="n">
        <v>3.61400853</v>
      </c>
      <c r="G35" s="18" t="n">
        <v>61.37945481</v>
      </c>
      <c r="H35" s="20" t="n">
        <v>3.61400853</v>
      </c>
      <c r="I35" s="18" t="n">
        <v>0</v>
      </c>
      <c r="J35" s="20" t="n">
        <v>0</v>
      </c>
      <c r="K35" s="18" t="n">
        <v>0</v>
      </c>
      <c r="L35" s="20" t="n">
        <v>0</v>
      </c>
      <c r="M35" s="18" t="n">
        <v>0</v>
      </c>
      <c r="N35" s="20" t="n">
        <v>0</v>
      </c>
      <c r="O35" s="18" t="n">
        <v>0</v>
      </c>
      <c r="P35" s="20" t="n">
        <v>0</v>
      </c>
      <c r="Q35" s="18" t="n">
        <v>0</v>
      </c>
      <c r="R35" s="20" t="n">
        <v>0</v>
      </c>
    </row>
    <row r="36" spans="1:18">
      <c r="A36" s="15" t="s">
        <v>594</v>
      </c>
      <c r="B36" s="17" t="n">
        <v>3404</v>
      </c>
      <c r="C36" s="18">
        <f>(3052.0/B36*100)</f>
        <v/>
      </c>
      <c r="D36" s="19" t="n">
        <v>352</v>
      </c>
      <c r="E36" s="18" t="n">
        <v>46.45422511</v>
      </c>
      <c r="F36" s="20" t="n">
        <v>2.63458429</v>
      </c>
      <c r="G36" s="18" t="n">
        <v>53.54577489</v>
      </c>
      <c r="H36" s="20" t="n">
        <v>2.63458429</v>
      </c>
      <c r="I36" s="18" t="n">
        <v>0</v>
      </c>
      <c r="J36" s="20" t="n">
        <v>0</v>
      </c>
      <c r="K36" s="18" t="n">
        <v>0</v>
      </c>
      <c r="L36" s="20" t="n">
        <v>0</v>
      </c>
      <c r="M36" s="18" t="n">
        <v>0</v>
      </c>
      <c r="N36" s="20" t="n">
        <v>0</v>
      </c>
      <c r="O36" s="18" t="n">
        <v>0</v>
      </c>
      <c r="P36" s="20" t="n">
        <v>0</v>
      </c>
      <c r="Q36" s="18" t="n">
        <v>0</v>
      </c>
      <c r="R36" s="20" t="n">
        <v>0</v>
      </c>
    </row>
    <row r="37" spans="1:18">
      <c r="A37" s="15" t="s">
        <v>595</v>
      </c>
      <c r="B37" s="17" t="n">
        <v>2731</v>
      </c>
      <c r="C37" s="18">
        <f>(2447.0/B37*100)</f>
        <v/>
      </c>
      <c r="D37" s="19" t="n">
        <v>284</v>
      </c>
      <c r="E37" s="18" t="n">
        <v>32.95311112</v>
      </c>
      <c r="F37" s="20" t="n">
        <v>2.88587864</v>
      </c>
      <c r="G37" s="18" t="n">
        <v>65.89142583</v>
      </c>
      <c r="H37" s="20" t="n">
        <v>2.87040806</v>
      </c>
      <c r="I37" s="18" t="n">
        <v>0</v>
      </c>
      <c r="J37" s="20" t="n">
        <v>0</v>
      </c>
      <c r="K37" s="18" t="n">
        <v>0.40242725</v>
      </c>
      <c r="L37" s="20" t="n">
        <v>0.39974018</v>
      </c>
      <c r="M37" s="18" t="n">
        <v>0</v>
      </c>
      <c r="N37" s="20" t="n">
        <v>0</v>
      </c>
      <c r="O37" s="18" t="n">
        <v>0</v>
      </c>
      <c r="P37" s="20" t="n">
        <v>0</v>
      </c>
      <c r="Q37" s="18" t="n">
        <v>0.7530358</v>
      </c>
      <c r="R37" s="20" t="n">
        <v>0.52128821</v>
      </c>
    </row>
    <row r="38" spans="1:18">
      <c r="A38" s="15" t="s">
        <v>596</v>
      </c>
      <c r="B38" s="17" t="n">
        <v>2807</v>
      </c>
      <c r="C38" s="18">
        <f>(2505.0/B38*100)</f>
        <v/>
      </c>
      <c r="D38" s="19" t="n">
        <v>302</v>
      </c>
      <c r="E38" s="18" t="n">
        <v>40.74370455</v>
      </c>
      <c r="F38" s="20" t="n">
        <v>3.25490413</v>
      </c>
      <c r="G38" s="18" t="n">
        <v>58.93018979</v>
      </c>
      <c r="H38" s="20" t="n">
        <v>3.24660027</v>
      </c>
      <c r="I38" s="18" t="n">
        <v>0</v>
      </c>
      <c r="J38" s="20" t="n">
        <v>0</v>
      </c>
      <c r="K38" s="18" t="n">
        <v>0</v>
      </c>
      <c r="L38" s="20" t="n">
        <v>0</v>
      </c>
      <c r="M38" s="18" t="n">
        <v>0</v>
      </c>
      <c r="N38" s="20" t="n">
        <v>0</v>
      </c>
      <c r="O38" s="18" t="n">
        <v>0</v>
      </c>
      <c r="P38" s="20" t="n">
        <v>0</v>
      </c>
      <c r="Q38" s="18" t="n">
        <v>0.32610566</v>
      </c>
      <c r="R38" s="20" t="n">
        <v>0.32275611</v>
      </c>
    </row>
    <row r="39" spans="1:18">
      <c r="A39" s="15" t="s">
        <v>597</v>
      </c>
      <c r="B39" s="17" t="n">
        <v>2938</v>
      </c>
      <c r="C39" s="18">
        <f>(2591.0/B39*100)</f>
        <v/>
      </c>
      <c r="D39" s="19" t="n">
        <v>347</v>
      </c>
      <c r="E39" s="18" t="n">
        <v>48.71450066</v>
      </c>
      <c r="F39" s="20" t="n">
        <v>2.44162118</v>
      </c>
      <c r="G39" s="18" t="n">
        <v>50.96712044</v>
      </c>
      <c r="H39" s="20" t="n">
        <v>2.41475025</v>
      </c>
      <c r="I39" s="18" t="n">
        <v>0</v>
      </c>
      <c r="J39" s="20" t="n">
        <v>0</v>
      </c>
      <c r="K39" s="18" t="n">
        <v>0</v>
      </c>
      <c r="L39" s="20" t="n">
        <v>0</v>
      </c>
      <c r="M39" s="18" t="n">
        <v>0</v>
      </c>
      <c r="N39" s="20" t="n">
        <v>0</v>
      </c>
      <c r="O39" s="18" t="n">
        <v>0</v>
      </c>
      <c r="P39" s="20" t="n">
        <v>0</v>
      </c>
      <c r="Q39" s="18" t="n">
        <v>0.3183789</v>
      </c>
      <c r="R39" s="20" t="n">
        <v>0.31966463</v>
      </c>
    </row>
    <row r="40" spans="1:18">
      <c r="A40" s="15" t="s">
        <v>598</v>
      </c>
      <c r="B40" s="17" t="n">
        <v>6922</v>
      </c>
      <c r="C40" s="18">
        <f>(6194.0/B40*100)</f>
        <v/>
      </c>
      <c r="D40" s="19" t="n">
        <v>728</v>
      </c>
      <c r="E40" s="18" t="n">
        <v>36.46735459</v>
      </c>
      <c r="F40" s="20" t="n">
        <v>2.46128397</v>
      </c>
      <c r="G40" s="18" t="n">
        <v>62.99517576</v>
      </c>
      <c r="H40" s="20" t="n">
        <v>2.515101</v>
      </c>
      <c r="I40" s="18" t="n">
        <v>0</v>
      </c>
      <c r="J40" s="20" t="n">
        <v>0</v>
      </c>
      <c r="K40" s="18" t="n">
        <v>0.43598995</v>
      </c>
      <c r="L40" s="20" t="n">
        <v>0.37158269</v>
      </c>
      <c r="M40" s="18" t="n">
        <v>0</v>
      </c>
      <c r="N40" s="20" t="n">
        <v>0</v>
      </c>
      <c r="O40" s="18" t="n">
        <v>0</v>
      </c>
      <c r="P40" s="20" t="n">
        <v>0</v>
      </c>
      <c r="Q40" s="18" t="n">
        <v>0.1014797</v>
      </c>
      <c r="R40" s="20" t="n">
        <v>0.06369495</v>
      </c>
    </row>
    <row r="41" spans="1:18">
      <c r="A41" s="15" t="s">
        <v>599</v>
      </c>
      <c r="B41" s="17" t="n">
        <v>2854</v>
      </c>
      <c r="C41" s="18">
        <f>(2552.0/B41*100)</f>
        <v/>
      </c>
      <c r="D41" s="19" t="n">
        <v>302</v>
      </c>
      <c r="E41" s="18" t="n">
        <v>45.5194499</v>
      </c>
      <c r="F41" s="20" t="n">
        <v>2.67741529</v>
      </c>
      <c r="G41" s="18" t="n">
        <v>54.4805501</v>
      </c>
      <c r="H41" s="20" t="n">
        <v>2.67741529</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(10916.0/B46*100)</f>
        <v/>
      </c>
      <c r="D46" s="19" t="n">
        <v>1157</v>
      </c>
      <c r="E46" s="18" t="n">
        <v>68.40792372999999</v>
      </c>
      <c r="F46" s="20" t="n">
        <v>1.93899976</v>
      </c>
      <c r="G46" s="18" t="n">
        <v>29.05169074</v>
      </c>
      <c r="H46" s="20" t="n">
        <v>1.84204619</v>
      </c>
      <c r="I46" s="18" t="n">
        <v>0</v>
      </c>
      <c r="J46" s="20" t="n">
        <v>0</v>
      </c>
      <c r="K46" s="18" t="n">
        <v>1.13090996</v>
      </c>
      <c r="L46" s="20" t="n">
        <v>0.506702</v>
      </c>
      <c r="M46" s="18" t="n">
        <v>0</v>
      </c>
      <c r="N46" s="20" t="n">
        <v>0</v>
      </c>
      <c r="O46" s="18" t="n">
        <v>0</v>
      </c>
      <c r="P46" s="20" t="n">
        <v>0</v>
      </c>
      <c r="Q46" s="18" t="n">
        <v>1.40947557</v>
      </c>
      <c r="R46" s="20" t="n">
        <v>0.47695051</v>
      </c>
    </row>
    <row r="47" spans="1:18">
      <c r="A47" s="15" t="s">
        <v>606</v>
      </c>
      <c r="B47" s="17" t="n">
        <v>2823</v>
      </c>
      <c r="C47" s="18">
        <f>(2507.0/B47*100)</f>
        <v/>
      </c>
      <c r="D47" s="19" t="n">
        <v>316</v>
      </c>
      <c r="E47" s="18" t="n">
        <v>51.8618103</v>
      </c>
      <c r="F47" s="20" t="n">
        <v>3.16418609</v>
      </c>
      <c r="G47" s="18" t="n">
        <v>46.2716599</v>
      </c>
      <c r="H47" s="20" t="n">
        <v>3.27713054</v>
      </c>
      <c r="I47" s="18" t="n">
        <v>0</v>
      </c>
      <c r="J47" s="20" t="n">
        <v>0</v>
      </c>
      <c r="K47" s="18" t="n">
        <v>0.60531731</v>
      </c>
      <c r="L47" s="20" t="n">
        <v>0.43030317</v>
      </c>
      <c r="M47" s="18" t="n">
        <v>0</v>
      </c>
      <c r="N47" s="20" t="n">
        <v>0</v>
      </c>
      <c r="O47" s="18" t="n">
        <v>0</v>
      </c>
      <c r="P47" s="20" t="n">
        <v>0</v>
      </c>
      <c r="Q47" s="18" t="n">
        <v>1.26121249</v>
      </c>
      <c r="R47" s="20" t="n">
        <v>0.56611647</v>
      </c>
    </row>
    <row r="48" spans="1:18">
      <c r="A48" s="15" t="s">
        <v>607</v>
      </c>
      <c r="B48" s="17" t="n">
        <v>4682</v>
      </c>
      <c r="C48" s="18">
        <f>(4155.0/B48*100)</f>
        <v/>
      </c>
      <c r="D48" s="19" t="n">
        <v>527</v>
      </c>
      <c r="E48" s="18" t="n">
        <v>47.92135716</v>
      </c>
      <c r="F48" s="20" t="n">
        <v>3.1173961</v>
      </c>
      <c r="G48" s="18" t="n">
        <v>50.08343019</v>
      </c>
      <c r="H48" s="20" t="n">
        <v>3.34869193</v>
      </c>
      <c r="I48" s="18" t="n">
        <v>0</v>
      </c>
      <c r="J48" s="20" t="n">
        <v>0</v>
      </c>
      <c r="K48" s="18" t="n">
        <v>1.78229734</v>
      </c>
      <c r="L48" s="20" t="n">
        <v>0.93628874</v>
      </c>
      <c r="M48" s="18" t="n">
        <v>0</v>
      </c>
      <c r="N48" s="20" t="n">
        <v>0</v>
      </c>
      <c r="O48" s="18" t="n">
        <v>0</v>
      </c>
      <c r="P48" s="20" t="n">
        <v>0</v>
      </c>
      <c r="Q48" s="18" t="n">
        <v>0.21291531</v>
      </c>
      <c r="R48" s="20" t="n">
        <v>0.21415693</v>
      </c>
    </row>
    <row r="49" spans="1:18">
      <c r="A49" s="15" t="s">
        <v>608</v>
      </c>
      <c r="B49" s="17" t="n">
        <v>6158</v>
      </c>
      <c r="C49" s="18">
        <f>(5478.0/B49*100)</f>
        <v/>
      </c>
      <c r="D49" s="19" t="n">
        <v>680</v>
      </c>
      <c r="E49" s="18" t="n">
        <v>65.68245435</v>
      </c>
      <c r="F49" s="20" t="n">
        <v>2.31477524</v>
      </c>
      <c r="G49" s="18" t="n">
        <v>33.30908049</v>
      </c>
      <c r="H49" s="20" t="n">
        <v>2.33303602</v>
      </c>
      <c r="I49" s="18" t="n">
        <v>0</v>
      </c>
      <c r="J49" s="20" t="n">
        <v>0</v>
      </c>
      <c r="K49" s="18" t="n">
        <v>1.00405219</v>
      </c>
      <c r="L49" s="20" t="n">
        <v>0.52778108</v>
      </c>
      <c r="M49" s="18" t="n">
        <v>0</v>
      </c>
      <c r="N49" s="20" t="n">
        <v>0</v>
      </c>
      <c r="O49" s="18" t="n">
        <v>0</v>
      </c>
      <c r="P49" s="20" t="n">
        <v>0</v>
      </c>
      <c r="Q49" s="18" t="n">
        <v>0.00441296</v>
      </c>
      <c r="R49" s="20" t="n">
        <v>0.00447799</v>
      </c>
    </row>
    <row r="50" spans="1:18">
      <c r="A50" s="15" t="s">
        <v>609</v>
      </c>
      <c r="B50" s="17" t="n">
        <v>3494</v>
      </c>
      <c r="C50" s="18">
        <f>(3145.0/B50*100)</f>
        <v/>
      </c>
      <c r="D50" s="19" t="n">
        <v>349</v>
      </c>
      <c r="E50" s="18" t="n">
        <v>66.15466222000001</v>
      </c>
      <c r="F50" s="20" t="n">
        <v>3.60812555</v>
      </c>
      <c r="G50" s="18" t="n">
        <v>32.88760395</v>
      </c>
      <c r="H50" s="20" t="n">
        <v>3.54938938</v>
      </c>
      <c r="I50" s="18" t="n">
        <v>0</v>
      </c>
      <c r="J50" s="20" t="n">
        <v>0</v>
      </c>
      <c r="K50" s="18" t="n">
        <v>0.95773382</v>
      </c>
      <c r="L50" s="20" t="n">
        <v>0.55294141</v>
      </c>
      <c r="M50" s="18" t="n">
        <v>0</v>
      </c>
      <c r="N50" s="20" t="n">
        <v>0</v>
      </c>
      <c r="O50" s="18" t="n">
        <v>0</v>
      </c>
      <c r="P50" s="20" t="n">
        <v>0</v>
      </c>
      <c r="Q50" s="18" t="n">
        <v>0</v>
      </c>
      <c r="R50" s="20" t="n">
        <v>0</v>
      </c>
    </row>
    <row r="51" spans="1:18">
      <c r="A51" s="15" t="s">
        <v>610</v>
      </c>
      <c r="B51" s="17" t="n">
        <v>3013</v>
      </c>
      <c r="C51" s="18">
        <f>(2672.0/B51*100)</f>
        <v/>
      </c>
      <c r="D51" s="19" t="n">
        <v>341</v>
      </c>
      <c r="E51" s="18" t="n">
        <v>40.61955093</v>
      </c>
      <c r="F51" s="20" t="n">
        <v>2.6848261</v>
      </c>
      <c r="G51" s="18" t="n">
        <v>58.41804255</v>
      </c>
      <c r="H51" s="20" t="n">
        <v>2.74893929</v>
      </c>
      <c r="I51" s="18" t="n">
        <v>0</v>
      </c>
      <c r="J51" s="20" t="n">
        <v>0</v>
      </c>
      <c r="K51" s="18" t="n">
        <v>0.55704719</v>
      </c>
      <c r="L51" s="20" t="n">
        <v>0.39356436</v>
      </c>
      <c r="M51" s="18" t="n">
        <v>0</v>
      </c>
      <c r="N51" s="20" t="n">
        <v>0</v>
      </c>
      <c r="O51" s="18" t="n">
        <v>0</v>
      </c>
      <c r="P51" s="20" t="n">
        <v>0</v>
      </c>
      <c r="Q51" s="18" t="n">
        <v>0.40535933</v>
      </c>
      <c r="R51" s="20" t="n">
        <v>0.40058791</v>
      </c>
    </row>
    <row r="52" spans="1:18">
      <c r="A52" s="15" t="s">
        <v>611</v>
      </c>
      <c r="B52" s="17" t="n">
        <v>2760</v>
      </c>
      <c r="C52" s="18">
        <f>(2463.0/B52*100)</f>
        <v/>
      </c>
      <c r="D52" s="19" t="n">
        <v>297</v>
      </c>
      <c r="E52" s="18" t="n">
        <v>70.08035108999999</v>
      </c>
      <c r="F52" s="20" t="n">
        <v>2.74725137</v>
      </c>
      <c r="G52" s="18" t="n">
        <v>28.54729602</v>
      </c>
      <c r="H52" s="20" t="n">
        <v>2.84129758</v>
      </c>
      <c r="I52" s="18" t="n">
        <v>0</v>
      </c>
      <c r="J52" s="20" t="n">
        <v>0</v>
      </c>
      <c r="K52" s="18" t="n">
        <v>0</v>
      </c>
      <c r="L52" s="20" t="n">
        <v>0</v>
      </c>
      <c r="M52" s="18" t="n">
        <v>0</v>
      </c>
      <c r="N52" s="20" t="n">
        <v>0</v>
      </c>
      <c r="O52" s="18" t="n">
        <v>0</v>
      </c>
      <c r="P52" s="20" t="n">
        <v>0</v>
      </c>
      <c r="Q52" s="18" t="n">
        <v>1.37235289</v>
      </c>
      <c r="R52" s="20" t="n">
        <v>0.6967863</v>
      </c>
    </row>
    <row r="53" spans="1:18">
      <c r="A53" s="15" t="s">
        <v>612</v>
      </c>
      <c r="B53" s="17" t="n">
        <v>2474</v>
      </c>
      <c r="C53" s="18">
        <f>(2220.0/B53*100)</f>
        <v/>
      </c>
      <c r="D53" s="19" t="n">
        <v>254</v>
      </c>
      <c r="E53" s="18" t="n">
        <v>64.74091231</v>
      </c>
      <c r="F53" s="20" t="n">
        <v>2.50399992</v>
      </c>
      <c r="G53" s="18" t="n">
        <v>20.44955366</v>
      </c>
      <c r="H53" s="20" t="n">
        <v>2.32470485</v>
      </c>
      <c r="I53" s="18" t="n">
        <v>0</v>
      </c>
      <c r="J53" s="20" t="n">
        <v>0</v>
      </c>
      <c r="K53" s="18" t="n">
        <v>12.24121426</v>
      </c>
      <c r="L53" s="20" t="n">
        <v>2.36838357</v>
      </c>
      <c r="M53" s="18" t="n">
        <v>0</v>
      </c>
      <c r="N53" s="20" t="n">
        <v>0</v>
      </c>
      <c r="O53" s="18" t="n">
        <v>0</v>
      </c>
      <c r="P53" s="20" t="n">
        <v>0</v>
      </c>
      <c r="Q53" s="18" t="n">
        <v>2.56831977</v>
      </c>
      <c r="R53" s="20" t="n">
        <v>1.1064689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(2362.0/B55*100)</f>
        <v/>
      </c>
      <c r="D55" s="19" t="n">
        <v>313</v>
      </c>
      <c r="E55" s="18" t="n">
        <v>39.7033734</v>
      </c>
      <c r="F55" s="20" t="n">
        <v>2.88800172</v>
      </c>
      <c r="G55" s="18" t="n">
        <v>58.94507119</v>
      </c>
      <c r="H55" s="20" t="n">
        <v>2.94247054</v>
      </c>
      <c r="I55" s="18" t="n">
        <v>0</v>
      </c>
      <c r="J55" s="20" t="n">
        <v>0</v>
      </c>
      <c r="K55" s="18" t="n">
        <v>0.34386573</v>
      </c>
      <c r="L55" s="20" t="n">
        <v>0.34071811</v>
      </c>
      <c r="M55" s="18" t="n">
        <v>0</v>
      </c>
      <c r="N55" s="20" t="n">
        <v>0</v>
      </c>
      <c r="O55" s="18" t="n">
        <v>0</v>
      </c>
      <c r="P55" s="20" t="n">
        <v>0</v>
      </c>
      <c r="Q55" s="18" t="n">
        <v>1.00768968</v>
      </c>
      <c r="R55" s="20" t="n">
        <v>0.31101092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(2855.0/B61*100)</f>
        <v/>
      </c>
      <c r="D61" s="19" t="n">
        <v>346</v>
      </c>
      <c r="E61" s="18" t="n">
        <v>38.51168574</v>
      </c>
      <c r="F61" s="20" t="n">
        <v>3.21570899</v>
      </c>
      <c r="G61" s="18" t="n">
        <v>60.68425221</v>
      </c>
      <c r="H61" s="20" t="n">
        <v>3.23828214</v>
      </c>
      <c r="I61" s="18" t="n">
        <v>0</v>
      </c>
      <c r="J61" s="20" t="n">
        <v>0</v>
      </c>
      <c r="K61" s="18" t="n">
        <v>0</v>
      </c>
      <c r="L61" s="20" t="n">
        <v>0</v>
      </c>
      <c r="M61" s="18" t="n">
        <v>0</v>
      </c>
      <c r="N61" s="20" t="n">
        <v>0</v>
      </c>
      <c r="O61" s="18" t="n">
        <v>0</v>
      </c>
      <c r="P61" s="20" t="n">
        <v>0</v>
      </c>
      <c r="Q61" s="18" t="n">
        <v>0.80406206</v>
      </c>
      <c r="R61" s="20" t="n">
        <v>0.49029967</v>
      </c>
    </row>
    <row r="62" spans="1:18">
      <c r="A62" s="15" t="s">
        <v>622</v>
      </c>
      <c r="B62" s="17" t="n">
        <v>2230</v>
      </c>
      <c r="C62" s="18">
        <f>(2012.0/B62*100)</f>
        <v/>
      </c>
      <c r="D62" s="19" t="n">
        <v>218</v>
      </c>
      <c r="E62" s="18" t="n">
        <v>40.76327998</v>
      </c>
      <c r="F62" s="20" t="n">
        <v>3.49889574</v>
      </c>
      <c r="G62" s="18" t="n">
        <v>59.23672002</v>
      </c>
      <c r="H62" s="20" t="n">
        <v>3.49889574</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(2468.0/B67*100)</f>
        <v/>
      </c>
      <c r="D67" s="19" t="n">
        <v>303</v>
      </c>
      <c r="E67" s="18" t="n">
        <v>61.42503565</v>
      </c>
      <c r="F67" s="20" t="n">
        <v>2.91510732</v>
      </c>
      <c r="G67" s="18" t="n">
        <v>35.19726407</v>
      </c>
      <c r="H67" s="20" t="n">
        <v>2.83692677</v>
      </c>
      <c r="I67" s="18" t="n">
        <v>0</v>
      </c>
      <c r="J67" s="20" t="n">
        <v>0</v>
      </c>
      <c r="K67" s="18" t="n">
        <v>1.15470053</v>
      </c>
      <c r="L67" s="20" t="n">
        <v>0.57896822</v>
      </c>
      <c r="M67" s="18" t="n">
        <v>0</v>
      </c>
      <c r="N67" s="20" t="n">
        <v>0</v>
      </c>
      <c r="O67" s="18" t="n">
        <v>0</v>
      </c>
      <c r="P67" s="20" t="n">
        <v>0</v>
      </c>
      <c r="Q67" s="18" t="n">
        <v>2.22299975</v>
      </c>
      <c r="R67" s="20" t="n">
        <v>0.8245676</v>
      </c>
    </row>
    <row r="68" spans="1:18">
      <c r="A68" s="15" t="s">
        <v>628</v>
      </c>
      <c r="B68" s="17" t="n">
        <v>3460</v>
      </c>
      <c r="C68" s="18">
        <f>(3097.0/B68*100)</f>
        <v/>
      </c>
      <c r="D68" s="19" t="n">
        <v>363</v>
      </c>
      <c r="E68" s="18" t="n">
        <v>61.9078853</v>
      </c>
      <c r="F68" s="20" t="n">
        <v>2.73831511</v>
      </c>
      <c r="G68" s="18" t="n">
        <v>37.76341872</v>
      </c>
      <c r="H68" s="20" t="n">
        <v>2.73743273</v>
      </c>
      <c r="I68" s="18" t="n">
        <v>0</v>
      </c>
      <c r="J68" s="20" t="n">
        <v>0</v>
      </c>
      <c r="K68" s="18" t="n">
        <v>0</v>
      </c>
      <c r="L68" s="20" t="n">
        <v>0</v>
      </c>
      <c r="M68" s="18" t="n">
        <v>0</v>
      </c>
      <c r="N68" s="20" t="n">
        <v>0</v>
      </c>
      <c r="O68" s="18" t="n">
        <v>0</v>
      </c>
      <c r="P68" s="20" t="n">
        <v>0</v>
      </c>
      <c r="Q68" s="18" t="n">
        <v>0.32869598</v>
      </c>
      <c r="R68" s="20" t="n">
        <v>0.32901485</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(5384.0/B70*100)</f>
        <v/>
      </c>
      <c r="D70" s="19" t="n">
        <v>650</v>
      </c>
      <c r="E70" s="18" t="n">
        <v>64.90518768</v>
      </c>
      <c r="F70" s="20" t="n">
        <v>1.83766358</v>
      </c>
      <c r="G70" s="18" t="n">
        <v>33.23821772</v>
      </c>
      <c r="H70" s="20" t="n">
        <v>1.72386085</v>
      </c>
      <c r="I70" s="18" t="n">
        <v>0</v>
      </c>
      <c r="J70" s="20" t="n">
        <v>0</v>
      </c>
      <c r="K70" s="18" t="n">
        <v>1.8565946</v>
      </c>
      <c r="L70" s="20" t="n">
        <v>0.53518873</v>
      </c>
      <c r="M70" s="18" t="n">
        <v>0</v>
      </c>
      <c r="N70" s="20" t="n">
        <v>0</v>
      </c>
      <c r="O70" s="18" t="n">
        <v>0</v>
      </c>
      <c r="P70" s="20" t="n">
        <v>0</v>
      </c>
      <c r="Q70" s="18" t="n">
        <v>0</v>
      </c>
      <c r="R70" s="20" t="n">
        <v>0</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(2759.0/B72*100)</f>
        <v/>
      </c>
      <c r="D72" s="19" t="n">
        <v>348</v>
      </c>
      <c r="E72" s="18" t="n">
        <v>31.02457967</v>
      </c>
      <c r="F72" s="20" t="n">
        <v>2.76410005</v>
      </c>
      <c r="G72" s="18" t="n">
        <v>66.9026764</v>
      </c>
      <c r="H72" s="20" t="n">
        <v>2.62367838</v>
      </c>
      <c r="I72" s="18" t="n">
        <v>0</v>
      </c>
      <c r="J72" s="20" t="n">
        <v>0</v>
      </c>
      <c r="K72" s="18" t="n">
        <v>0</v>
      </c>
      <c r="L72" s="20" t="n">
        <v>0</v>
      </c>
      <c r="M72" s="18" t="n">
        <v>0</v>
      </c>
      <c r="N72" s="20" t="n">
        <v>0</v>
      </c>
      <c r="O72" s="18" t="n">
        <v>0</v>
      </c>
      <c r="P72" s="20" t="n">
        <v>0</v>
      </c>
      <c r="Q72" s="18" t="n">
        <v>2.07274393</v>
      </c>
      <c r="R72" s="20" t="n">
        <v>1.35920862</v>
      </c>
    </row>
    <row r="73" spans="1:18">
      <c r="A73" s="15" t="s">
        <v>633</v>
      </c>
      <c r="B73" s="17" t="n">
        <v>2973</v>
      </c>
      <c r="C73" s="18">
        <f>(2677.0/B73*100)</f>
        <v/>
      </c>
      <c r="D73" s="19" t="n">
        <v>296</v>
      </c>
      <c r="E73" s="18" t="n">
        <v>32.27747958</v>
      </c>
      <c r="F73" s="20" t="n">
        <v>3.16644753</v>
      </c>
      <c r="G73" s="18" t="n">
        <v>67.33682435</v>
      </c>
      <c r="H73" s="20" t="n">
        <v>3.19272862</v>
      </c>
      <c r="I73" s="18" t="n">
        <v>0</v>
      </c>
      <c r="J73" s="20" t="n">
        <v>0</v>
      </c>
      <c r="K73" s="18" t="n">
        <v>0</v>
      </c>
      <c r="L73" s="20" t="n">
        <v>0</v>
      </c>
      <c r="M73" s="18" t="n">
        <v>0</v>
      </c>
      <c r="N73" s="20" t="n">
        <v>0</v>
      </c>
      <c r="O73" s="18" t="n">
        <v>0</v>
      </c>
      <c r="P73" s="20" t="n">
        <v>0</v>
      </c>
      <c r="Q73" s="18" t="n">
        <v>0.38569607</v>
      </c>
      <c r="R73" s="20" t="n">
        <v>0.36056924</v>
      </c>
    </row>
    <row r="74" spans="1:18">
      <c r="A74" s="15" t="s">
        <v>634</v>
      </c>
      <c r="B74" s="17" t="n">
        <v>3819</v>
      </c>
      <c r="C74" s="18">
        <f>(3411.0/B74*100)</f>
        <v/>
      </c>
      <c r="D74" s="19" t="n">
        <v>408</v>
      </c>
      <c r="E74" s="18" t="n">
        <v>42.4925802</v>
      </c>
      <c r="F74" s="20" t="n">
        <v>2.72117881</v>
      </c>
      <c r="G74" s="18" t="n">
        <v>57.16503164</v>
      </c>
      <c r="H74" s="20" t="n">
        <v>2.72624271</v>
      </c>
      <c r="I74" s="18" t="n">
        <v>0</v>
      </c>
      <c r="J74" s="20" t="n">
        <v>0</v>
      </c>
      <c r="K74" s="18" t="n">
        <v>0</v>
      </c>
      <c r="L74" s="20" t="n">
        <v>0</v>
      </c>
      <c r="M74" s="18" t="n">
        <v>0</v>
      </c>
      <c r="N74" s="20" t="n">
        <v>0</v>
      </c>
      <c r="O74" s="18" t="n">
        <v>0</v>
      </c>
      <c r="P74" s="20" t="n">
        <v>0</v>
      </c>
      <c r="Q74" s="18" t="n">
        <v>0.34238816</v>
      </c>
      <c r="R74" s="20" t="n">
        <v>0.3446598</v>
      </c>
    </row>
    <row r="75" spans="1:18">
      <c r="A75" s="15" t="s">
        <v>635</v>
      </c>
      <c r="B75" s="17" t="n">
        <v>4652</v>
      </c>
      <c r="C75" s="18">
        <f>(4157.0/B75*100)</f>
        <v/>
      </c>
      <c r="D75" s="19" t="n">
        <v>495</v>
      </c>
      <c r="E75" s="18" t="n">
        <v>61.61848443</v>
      </c>
      <c r="F75" s="20" t="n">
        <v>2.42935525</v>
      </c>
      <c r="G75" s="18" t="n">
        <v>38.11152695</v>
      </c>
      <c r="H75" s="20" t="n">
        <v>2.41713046</v>
      </c>
      <c r="I75" s="18" t="n">
        <v>0</v>
      </c>
      <c r="J75" s="20" t="n">
        <v>0</v>
      </c>
      <c r="K75" s="18" t="n">
        <v>0.26998862</v>
      </c>
      <c r="L75" s="20" t="n">
        <v>0.27062301</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(2659.0/B77*100)</f>
        <v/>
      </c>
      <c r="D77" s="19" t="n">
        <v>310</v>
      </c>
      <c r="E77" s="18" t="n">
        <v>73.56470308</v>
      </c>
      <c r="F77" s="20" t="n">
        <v>2.64262987</v>
      </c>
      <c r="G77" s="18" t="n">
        <v>21.61966283</v>
      </c>
      <c r="H77" s="20" t="n">
        <v>2.27830446</v>
      </c>
      <c r="I77" s="18" t="n">
        <v>0</v>
      </c>
      <c r="J77" s="20" t="n">
        <v>0</v>
      </c>
      <c r="K77" s="18" t="n">
        <v>3.65494152</v>
      </c>
      <c r="L77" s="20" t="n">
        <v>1.07576129</v>
      </c>
      <c r="M77" s="18" t="n">
        <v>0</v>
      </c>
      <c r="N77" s="20" t="n">
        <v>0</v>
      </c>
      <c r="O77" s="18" t="n">
        <v>0</v>
      </c>
      <c r="P77" s="20" t="n">
        <v>0</v>
      </c>
      <c r="Q77" s="18" t="n">
        <v>1.16069257</v>
      </c>
      <c r="R77" s="20" t="n">
        <v>0.68330859</v>
      </c>
    </row>
    <row r="78" spans="1:18">
      <c r="A78" s="15" t="s">
        <v>638</v>
      </c>
      <c r="B78" s="17" t="n">
        <v>7115</v>
      </c>
      <c r="C78" s="18">
        <f>(6296.0/B78*100)</f>
        <v/>
      </c>
      <c r="D78" s="19" t="n">
        <v>819</v>
      </c>
      <c r="E78" s="18" t="n">
        <v>56.99803242</v>
      </c>
      <c r="F78" s="20" t="n">
        <v>2.29774891</v>
      </c>
      <c r="G78" s="18" t="n">
        <v>41.88996156</v>
      </c>
      <c r="H78" s="20" t="n">
        <v>2.23624617</v>
      </c>
      <c r="I78" s="18" t="n">
        <v>0</v>
      </c>
      <c r="J78" s="20" t="n">
        <v>0</v>
      </c>
      <c r="K78" s="18" t="n">
        <v>0.4592998</v>
      </c>
      <c r="L78" s="20" t="n">
        <v>0.21518455</v>
      </c>
      <c r="M78" s="18" t="n">
        <v>0</v>
      </c>
      <c r="N78" s="20" t="n">
        <v>0</v>
      </c>
      <c r="O78" s="18" t="n">
        <v>0</v>
      </c>
      <c r="P78" s="20" t="n">
        <v>0</v>
      </c>
      <c r="Q78" s="18" t="n">
        <v>0.65270622</v>
      </c>
      <c r="R78" s="20" t="n">
        <v>0.31508243</v>
      </c>
    </row>
    <row r="79" spans="1:18">
      <c r="A79" s="15" t="s">
        <v>639</v>
      </c>
      <c r="B79" s="17" t="n">
        <v>3154</v>
      </c>
      <c r="C79" s="18">
        <f>(2815.0/B79*100)</f>
        <v/>
      </c>
      <c r="D79" s="19" t="n">
        <v>339</v>
      </c>
      <c r="E79" s="18" t="n">
        <v>59.21380768</v>
      </c>
      <c r="F79" s="20" t="n">
        <v>2.64208655</v>
      </c>
      <c r="G79" s="18" t="n">
        <v>36.13535223</v>
      </c>
      <c r="H79" s="20" t="n">
        <v>2.79672997</v>
      </c>
      <c r="I79" s="18" t="n">
        <v>0</v>
      </c>
      <c r="J79" s="20" t="n">
        <v>0</v>
      </c>
      <c r="K79" s="18" t="n">
        <v>0.94857682</v>
      </c>
      <c r="L79" s="20" t="n">
        <v>0.51313217</v>
      </c>
      <c r="M79" s="18" t="n">
        <v>0</v>
      </c>
      <c r="N79" s="20" t="n">
        <v>0</v>
      </c>
      <c r="O79" s="18" t="n">
        <v>0</v>
      </c>
      <c r="P79" s="20" t="n">
        <v>0</v>
      </c>
      <c r="Q79" s="18" t="n">
        <v>3.70226328</v>
      </c>
      <c r="R79" s="20" t="n">
        <v>1.30050332</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(14235.0/B82*100)</f>
        <v/>
      </c>
      <c r="D82" s="19" t="n">
        <v>1726</v>
      </c>
      <c r="E82" s="18" t="n">
        <v>44.04218518</v>
      </c>
      <c r="F82" s="20" t="n">
        <v>1.80703454</v>
      </c>
      <c r="G82" s="18" t="n">
        <v>55.42157682</v>
      </c>
      <c r="H82" s="20" t="n">
        <v>1.82754941</v>
      </c>
      <c r="I82" s="18" t="n">
        <v>0</v>
      </c>
      <c r="J82" s="20" t="n">
        <v>0</v>
      </c>
      <c r="K82" s="18" t="n">
        <v>0.30424856</v>
      </c>
      <c r="L82" s="20" t="n">
        <v>0.2263515</v>
      </c>
      <c r="M82" s="18" t="n">
        <v>0</v>
      </c>
      <c r="N82" s="20" t="n">
        <v>0</v>
      </c>
      <c r="O82" s="18" t="n">
        <v>0</v>
      </c>
      <c r="P82" s="20" t="n">
        <v>0</v>
      </c>
      <c r="Q82" s="18" t="n">
        <v>0.23198944</v>
      </c>
      <c r="R82" s="20" t="n">
        <v>0.13447129</v>
      </c>
    </row>
    <row r="83" spans="1:18">
      <c r="A83" s="15" t="s">
        <v>643</v>
      </c>
      <c r="B83" s="17" t="n">
        <v>808</v>
      </c>
      <c r="C83" s="18">
        <f>(712.0/B83*100)</f>
        <v/>
      </c>
      <c r="D83" s="19" t="n">
        <v>96</v>
      </c>
      <c r="E83" s="18" t="n">
        <v>36.8134773</v>
      </c>
      <c r="F83" s="20" t="n">
        <v>3.97518581</v>
      </c>
      <c r="G83" s="18" t="n">
        <v>63.1865227</v>
      </c>
      <c r="H83" s="20" t="n">
        <v>3.97518581</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(843.0/B84*100)</f>
        <v/>
      </c>
      <c r="D84" s="19" t="n">
        <v>95</v>
      </c>
      <c r="E84" s="18" t="n">
        <v>45.38011716</v>
      </c>
      <c r="F84" s="20" t="n">
        <v>4.6315757</v>
      </c>
      <c r="G84" s="18" t="n">
        <v>54.61988284</v>
      </c>
      <c r="H84" s="20" t="n">
        <v>4.6315757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(6383.0/B7*100)</f>
        <v/>
      </c>
      <c r="D7" s="19" t="n">
        <v>780</v>
      </c>
      <c r="E7" s="18" t="n">
        <v>48.35231375</v>
      </c>
      <c r="F7" s="20" t="n">
        <v>1.87824353</v>
      </c>
      <c r="G7" s="18" t="n">
        <v>39.15272714</v>
      </c>
      <c r="H7" s="20" t="n">
        <v>2.20284844</v>
      </c>
      <c r="I7" s="18" t="n">
        <v>0</v>
      </c>
      <c r="J7" s="20" t="n">
        <v>0</v>
      </c>
      <c r="K7" s="18" t="n">
        <v>0.30877757</v>
      </c>
      <c r="L7" s="20" t="n">
        <v>0.21700144</v>
      </c>
      <c r="M7" s="18" t="n">
        <v>0.01703027</v>
      </c>
      <c r="N7" s="20" t="n">
        <v>0.01701532</v>
      </c>
      <c r="O7" s="18" t="n">
        <v>0</v>
      </c>
      <c r="P7" s="20" t="n">
        <v>0</v>
      </c>
      <c r="Q7" s="18" t="n">
        <v>12.16915126</v>
      </c>
      <c r="R7" s="20" t="n">
        <v>1.38592065</v>
      </c>
    </row>
    <row r="8" spans="1:18">
      <c r="A8" s="15" t="s">
        <v>566</v>
      </c>
      <c r="B8" s="17" t="n">
        <v>3443</v>
      </c>
      <c r="C8" s="18">
        <f>(3059.0/B8*100)</f>
        <v/>
      </c>
      <c r="D8" s="19" t="n">
        <v>384</v>
      </c>
      <c r="E8" s="18" t="n">
        <v>49.29704878</v>
      </c>
      <c r="F8" s="20" t="n">
        <v>2.85069821</v>
      </c>
      <c r="G8" s="18" t="n">
        <v>34.61953508</v>
      </c>
      <c r="H8" s="20" t="n">
        <v>3.09667903</v>
      </c>
      <c r="I8" s="18" t="n">
        <v>0</v>
      </c>
      <c r="J8" s="20" t="n">
        <v>0</v>
      </c>
      <c r="K8" s="18" t="n">
        <v>0</v>
      </c>
      <c r="L8" s="20" t="n">
        <v>0</v>
      </c>
      <c r="M8" s="18" t="n">
        <v>0</v>
      </c>
      <c r="N8" s="20" t="n">
        <v>0</v>
      </c>
      <c r="O8" s="18" t="n">
        <v>0</v>
      </c>
      <c r="P8" s="20" t="n">
        <v>0</v>
      </c>
      <c r="Q8" s="18" t="n">
        <v>16.08341614</v>
      </c>
      <c r="R8" s="20" t="n">
        <v>2.17633684</v>
      </c>
    </row>
    <row r="9" spans="1:18">
      <c r="A9" s="15" t="s">
        <v>567</v>
      </c>
      <c r="B9" s="17" t="n">
        <v>4752</v>
      </c>
      <c r="C9" s="18">
        <f>(4242.0/B9*100)</f>
        <v/>
      </c>
      <c r="D9" s="19" t="n">
        <v>510</v>
      </c>
      <c r="E9" s="18" t="n">
        <v>57.19605553</v>
      </c>
      <c r="F9" s="20" t="n">
        <v>2.15137963</v>
      </c>
      <c r="G9" s="18" t="n">
        <v>28.96198917</v>
      </c>
      <c r="H9" s="20" t="n">
        <v>1.99112084</v>
      </c>
      <c r="I9" s="18" t="n">
        <v>0</v>
      </c>
      <c r="J9" s="20" t="n">
        <v>0</v>
      </c>
      <c r="K9" s="18" t="n">
        <v>0.90917604</v>
      </c>
      <c r="L9" s="20" t="n">
        <v>0.52316343</v>
      </c>
      <c r="M9" s="18" t="n">
        <v>0.12903285</v>
      </c>
      <c r="N9" s="20" t="n">
        <v>0.11523886</v>
      </c>
      <c r="O9" s="18" t="n">
        <v>0</v>
      </c>
      <c r="P9" s="20" t="n">
        <v>0</v>
      </c>
      <c r="Q9" s="18" t="n">
        <v>12.8037464</v>
      </c>
      <c r="R9" s="20" t="n">
        <v>1.63243424</v>
      </c>
    </row>
    <row r="10" spans="1:18">
      <c r="A10" s="15" t="s">
        <v>568</v>
      </c>
      <c r="B10" s="17" t="n">
        <v>10022</v>
      </c>
      <c r="C10" s="18">
        <f>(8949.0/B10*100)</f>
        <v/>
      </c>
      <c r="D10" s="19" t="n">
        <v>1073</v>
      </c>
      <c r="E10" s="18" t="n">
        <v>47.36267982</v>
      </c>
      <c r="F10" s="20" t="n">
        <v>2.18675563</v>
      </c>
      <c r="G10" s="18" t="n">
        <v>45.29908528</v>
      </c>
      <c r="H10" s="20" t="n">
        <v>2.29850979</v>
      </c>
      <c r="I10" s="18" t="n">
        <v>0</v>
      </c>
      <c r="J10" s="20" t="n">
        <v>0</v>
      </c>
      <c r="K10" s="18" t="n">
        <v>0.82043559</v>
      </c>
      <c r="L10" s="20" t="n">
        <v>0.41108838</v>
      </c>
      <c r="M10" s="18" t="n">
        <v>0</v>
      </c>
      <c r="N10" s="20" t="n">
        <v>0</v>
      </c>
      <c r="O10" s="18" t="n">
        <v>0</v>
      </c>
      <c r="P10" s="20" t="n">
        <v>0</v>
      </c>
      <c r="Q10" s="18" t="n">
        <v>6.51779931</v>
      </c>
      <c r="R10" s="20" t="n">
        <v>1.13390996</v>
      </c>
    </row>
    <row r="11" spans="1:18">
      <c r="A11" s="15" t="s">
        <v>569</v>
      </c>
      <c r="B11" s="17" t="n">
        <v>3500</v>
      </c>
      <c r="C11" s="18">
        <f>(3122.0/B11*100)</f>
        <v/>
      </c>
      <c r="D11" s="19" t="n">
        <v>378</v>
      </c>
      <c r="E11" s="18" t="n">
        <v>56.73020696</v>
      </c>
      <c r="F11" s="20" t="n">
        <v>2.9649852</v>
      </c>
      <c r="G11" s="18" t="n">
        <v>24.79672137</v>
      </c>
      <c r="H11" s="20" t="n">
        <v>2.17194719</v>
      </c>
      <c r="I11" s="18" t="n">
        <v>0</v>
      </c>
      <c r="J11" s="20" t="n">
        <v>0</v>
      </c>
      <c r="K11" s="18" t="n">
        <v>0.97091386</v>
      </c>
      <c r="L11" s="20" t="n">
        <v>0.48010248</v>
      </c>
      <c r="M11" s="18" t="n">
        <v>0</v>
      </c>
      <c r="N11" s="20" t="n">
        <v>0</v>
      </c>
      <c r="O11" s="18" t="n">
        <v>0</v>
      </c>
      <c r="P11" s="20" t="n">
        <v>0</v>
      </c>
      <c r="Q11" s="18" t="n">
        <v>17.5021578</v>
      </c>
      <c r="R11" s="20" t="n">
        <v>2.35738893</v>
      </c>
    </row>
    <row r="12" spans="1:18">
      <c r="A12" s="15" t="s">
        <v>570</v>
      </c>
      <c r="B12" s="17" t="n">
        <v>3422</v>
      </c>
      <c r="C12" s="18">
        <f>(3037.0/B12*100)</f>
        <v/>
      </c>
      <c r="D12" s="19" t="n">
        <v>385</v>
      </c>
      <c r="E12" s="18" t="n">
        <v>44.91720201</v>
      </c>
      <c r="F12" s="20" t="n">
        <v>3.11789794</v>
      </c>
      <c r="G12" s="18" t="n">
        <v>32.91150993</v>
      </c>
      <c r="H12" s="20" t="n">
        <v>2.31515022</v>
      </c>
      <c r="I12" s="18" t="n">
        <v>0</v>
      </c>
      <c r="J12" s="20" t="n">
        <v>0</v>
      </c>
      <c r="K12" s="18" t="n">
        <v>0.66528007</v>
      </c>
      <c r="L12" s="20" t="n">
        <v>0.40516421</v>
      </c>
      <c r="M12" s="18" t="n">
        <v>0</v>
      </c>
      <c r="N12" s="20" t="n">
        <v>0</v>
      </c>
      <c r="O12" s="18" t="n">
        <v>0</v>
      </c>
      <c r="P12" s="20" t="n">
        <v>0</v>
      </c>
      <c r="Q12" s="18" t="n">
        <v>21.506008</v>
      </c>
      <c r="R12" s="20" t="n">
        <v>2.44241212</v>
      </c>
    </row>
    <row r="13" spans="1:18">
      <c r="A13" s="15" t="s">
        <v>571</v>
      </c>
      <c r="B13" s="17" t="n">
        <v>3602</v>
      </c>
      <c r="C13" s="18">
        <f>(3236.0/B13*100)</f>
        <v/>
      </c>
      <c r="D13" s="19" t="n">
        <v>366</v>
      </c>
      <c r="E13" s="18" t="n">
        <v>55.03287638</v>
      </c>
      <c r="F13" s="20" t="n">
        <v>2.91482469</v>
      </c>
      <c r="G13" s="18" t="n">
        <v>31.85882036</v>
      </c>
      <c r="H13" s="20" t="n">
        <v>2.54948586</v>
      </c>
      <c r="I13" s="18" t="n">
        <v>0</v>
      </c>
      <c r="J13" s="20" t="n">
        <v>0</v>
      </c>
      <c r="K13" s="18" t="n">
        <v>0.12031901</v>
      </c>
      <c r="L13" s="20" t="n">
        <v>0.12312471</v>
      </c>
      <c r="M13" s="18" t="n">
        <v>0</v>
      </c>
      <c r="N13" s="20" t="n">
        <v>0</v>
      </c>
      <c r="O13" s="18" t="n">
        <v>0</v>
      </c>
      <c r="P13" s="20" t="n">
        <v>0</v>
      </c>
      <c r="Q13" s="18" t="n">
        <v>12.98798425</v>
      </c>
      <c r="R13" s="20" t="n">
        <v>2.14116229</v>
      </c>
    </row>
    <row r="14" spans="1:18">
      <c r="A14" s="15" t="s">
        <v>572</v>
      </c>
      <c r="B14" s="17" t="n">
        <v>2788</v>
      </c>
      <c r="C14" s="18">
        <f>(2492.0/B14*100)</f>
        <v/>
      </c>
      <c r="D14" s="19" t="n">
        <v>296</v>
      </c>
      <c r="E14" s="18" t="n">
        <v>37.9622076</v>
      </c>
      <c r="F14" s="20" t="n">
        <v>3.4871315</v>
      </c>
      <c r="G14" s="18" t="n">
        <v>53.917085</v>
      </c>
      <c r="H14" s="20" t="n">
        <v>3.78866991</v>
      </c>
      <c r="I14" s="18" t="n">
        <v>0</v>
      </c>
      <c r="J14" s="20" t="n">
        <v>0</v>
      </c>
      <c r="K14" s="18" t="n">
        <v>0.25727267</v>
      </c>
      <c r="L14" s="20" t="n">
        <v>0.26731621</v>
      </c>
      <c r="M14" s="18" t="n">
        <v>0</v>
      </c>
      <c r="N14" s="20" t="n">
        <v>0</v>
      </c>
      <c r="O14" s="18" t="n">
        <v>0</v>
      </c>
      <c r="P14" s="20" t="n">
        <v>0</v>
      </c>
      <c r="Q14" s="18" t="n">
        <v>7.86343473</v>
      </c>
      <c r="R14" s="20" t="n">
        <v>1.94941603</v>
      </c>
    </row>
    <row r="15" spans="1:18">
      <c r="A15" s="15" t="s">
        <v>573</v>
      </c>
      <c r="B15" s="17" t="n">
        <v>2863</v>
      </c>
      <c r="C15" s="18">
        <f>(2545.0/B15*100)</f>
        <v/>
      </c>
      <c r="D15" s="19" t="n">
        <v>318</v>
      </c>
      <c r="E15" s="18" t="n">
        <v>44.06537347</v>
      </c>
      <c r="F15" s="20" t="n">
        <v>3.0430743</v>
      </c>
      <c r="G15" s="18" t="n">
        <v>44.00869651</v>
      </c>
      <c r="H15" s="20" t="n">
        <v>3.27613951</v>
      </c>
      <c r="I15" s="18" t="n">
        <v>0</v>
      </c>
      <c r="J15" s="20" t="n">
        <v>0</v>
      </c>
      <c r="K15" s="18" t="n">
        <v>0</v>
      </c>
      <c r="L15" s="20" t="n">
        <v>0</v>
      </c>
      <c r="M15" s="18" t="n">
        <v>0</v>
      </c>
      <c r="N15" s="20" t="n">
        <v>0</v>
      </c>
      <c r="O15" s="18" t="n">
        <v>0</v>
      </c>
      <c r="P15" s="20" t="n">
        <v>0</v>
      </c>
      <c r="Q15" s="18" t="n">
        <v>11.92593002</v>
      </c>
      <c r="R15" s="20" t="n">
        <v>1.63710765</v>
      </c>
    </row>
    <row r="16" spans="1:18">
      <c r="A16" s="15" t="s">
        <v>574</v>
      </c>
      <c r="B16" s="17" t="n">
        <v>3111</v>
      </c>
      <c r="C16" s="18">
        <f>(2795.0/B16*100)</f>
        <v/>
      </c>
      <c r="D16" s="19" t="n">
        <v>316</v>
      </c>
      <c r="E16" s="18" t="n">
        <v>46.38254539</v>
      </c>
      <c r="F16" s="20" t="n">
        <v>3.1871014</v>
      </c>
      <c r="G16" s="18" t="n">
        <v>34.45991167</v>
      </c>
      <c r="H16" s="20" t="n">
        <v>2.6499965</v>
      </c>
      <c r="I16" s="18" t="n">
        <v>0</v>
      </c>
      <c r="J16" s="20" t="n">
        <v>0</v>
      </c>
      <c r="K16" s="18" t="n">
        <v>1.77835133</v>
      </c>
      <c r="L16" s="20" t="n">
        <v>0.91344909</v>
      </c>
      <c r="M16" s="18" t="n">
        <v>0</v>
      </c>
      <c r="N16" s="20" t="n">
        <v>0</v>
      </c>
      <c r="O16" s="18" t="n">
        <v>0</v>
      </c>
      <c r="P16" s="20" t="n">
        <v>0</v>
      </c>
      <c r="Q16" s="18" t="n">
        <v>17.37919161</v>
      </c>
      <c r="R16" s="20" t="n">
        <v>2.26481005</v>
      </c>
    </row>
    <row r="17" spans="1:18">
      <c r="A17" s="15" t="s">
        <v>575</v>
      </c>
      <c r="B17" s="17" t="n">
        <v>3197</v>
      </c>
      <c r="C17" s="18">
        <f>(2826.0/B17*100)</f>
        <v/>
      </c>
      <c r="D17" s="19" t="n">
        <v>371</v>
      </c>
      <c r="E17" s="18" t="n">
        <v>38.31118915</v>
      </c>
      <c r="F17" s="20" t="n">
        <v>2.42143377</v>
      </c>
      <c r="G17" s="18" t="n">
        <v>43.76179133</v>
      </c>
      <c r="H17" s="20" t="n">
        <v>2.59342746</v>
      </c>
      <c r="I17" s="18" t="n">
        <v>0</v>
      </c>
      <c r="J17" s="20" t="n">
        <v>0</v>
      </c>
      <c r="K17" s="18" t="n">
        <v>1.21700515</v>
      </c>
      <c r="L17" s="20" t="n">
        <v>0.93437839</v>
      </c>
      <c r="M17" s="18" t="n">
        <v>0</v>
      </c>
      <c r="N17" s="20" t="n">
        <v>0</v>
      </c>
      <c r="O17" s="18" t="n">
        <v>0</v>
      </c>
      <c r="P17" s="20" t="n">
        <v>0</v>
      </c>
      <c r="Q17" s="18" t="n">
        <v>16.71001437</v>
      </c>
      <c r="R17" s="20" t="n">
        <v>1.93753713</v>
      </c>
    </row>
    <row r="18" spans="1:18">
      <c r="A18" s="15" t="s">
        <v>576</v>
      </c>
      <c r="B18" s="17" t="n">
        <v>2706</v>
      </c>
      <c r="C18" s="18">
        <f>(2427.0/B18*100)</f>
        <v/>
      </c>
      <c r="D18" s="19" t="n">
        <v>279</v>
      </c>
      <c r="E18" s="18" t="n">
        <v>48.6236195</v>
      </c>
      <c r="F18" s="20" t="n">
        <v>3.45512588</v>
      </c>
      <c r="G18" s="18" t="n">
        <v>32.48590346</v>
      </c>
      <c r="H18" s="20" t="n">
        <v>2.90746862</v>
      </c>
      <c r="I18" s="18" t="n">
        <v>0</v>
      </c>
      <c r="J18" s="20" t="n">
        <v>0</v>
      </c>
      <c r="K18" s="18" t="n">
        <v>1.22127348</v>
      </c>
      <c r="L18" s="20" t="n">
        <v>0.73430373</v>
      </c>
      <c r="M18" s="18" t="n">
        <v>0</v>
      </c>
      <c r="N18" s="20" t="n">
        <v>0</v>
      </c>
      <c r="O18" s="18" t="n">
        <v>0</v>
      </c>
      <c r="P18" s="20" t="n">
        <v>0</v>
      </c>
      <c r="Q18" s="18" t="n">
        <v>17.66920356</v>
      </c>
      <c r="R18" s="20" t="n">
        <v>3.28683843</v>
      </c>
    </row>
    <row r="19" spans="1:18">
      <c r="A19" s="15" t="s">
        <v>577</v>
      </c>
      <c r="B19" s="17" t="n">
        <v>2850</v>
      </c>
      <c r="C19" s="18">
        <f>(2534.0/B19*100)</f>
        <v/>
      </c>
      <c r="D19" s="19" t="n">
        <v>316</v>
      </c>
      <c r="E19" s="18" t="n">
        <v>41.61128853</v>
      </c>
      <c r="F19" s="20" t="n">
        <v>2.95992424</v>
      </c>
      <c r="G19" s="18" t="n">
        <v>39.25134774</v>
      </c>
      <c r="H19" s="20" t="n">
        <v>2.78336569</v>
      </c>
      <c r="I19" s="18" t="n">
        <v>0</v>
      </c>
      <c r="J19" s="20" t="n">
        <v>0</v>
      </c>
      <c r="K19" s="18" t="n">
        <v>0</v>
      </c>
      <c r="L19" s="20" t="n">
        <v>0</v>
      </c>
      <c r="M19" s="18" t="n">
        <v>0</v>
      </c>
      <c r="N19" s="20" t="n">
        <v>0</v>
      </c>
      <c r="O19" s="18" t="n">
        <v>0</v>
      </c>
      <c r="P19" s="20" t="n">
        <v>0</v>
      </c>
      <c r="Q19" s="18" t="n">
        <v>19.13736373</v>
      </c>
      <c r="R19" s="20" t="n">
        <v>2.34346464</v>
      </c>
    </row>
    <row r="20" spans="1:18">
      <c r="A20" s="15" t="s">
        <v>578</v>
      </c>
      <c r="B20" s="17" t="n">
        <v>1741</v>
      </c>
      <c r="C20" s="18">
        <f>(1556.0/B20*100)</f>
        <v/>
      </c>
      <c r="D20" s="19" t="n">
        <v>185</v>
      </c>
      <c r="E20" s="18" t="n">
        <v>50.78494445</v>
      </c>
      <c r="F20" s="20" t="n">
        <v>3.62284833</v>
      </c>
      <c r="G20" s="18" t="n">
        <v>19.70732075</v>
      </c>
      <c r="H20" s="20" t="n">
        <v>2.39853376</v>
      </c>
      <c r="I20" s="18" t="n">
        <v>0</v>
      </c>
      <c r="J20" s="20" t="n">
        <v>0</v>
      </c>
      <c r="K20" s="18" t="n">
        <v>0.62604735</v>
      </c>
      <c r="L20" s="20" t="n">
        <v>0.60971846</v>
      </c>
      <c r="M20" s="18" t="n">
        <v>0</v>
      </c>
      <c r="N20" s="20" t="n">
        <v>0</v>
      </c>
      <c r="O20" s="18" t="n">
        <v>0</v>
      </c>
      <c r="P20" s="20" t="n">
        <v>0</v>
      </c>
      <c r="Q20" s="18" t="n">
        <v>28.88168746</v>
      </c>
      <c r="R20" s="20" t="n">
        <v>2.86906204</v>
      </c>
    </row>
    <row r="21" spans="1:18">
      <c r="A21" s="15" t="s">
        <v>579</v>
      </c>
      <c r="B21" s="17" t="n">
        <v>2833</v>
      </c>
      <c r="C21" s="18">
        <f>(2518.0/B21*100)</f>
        <v/>
      </c>
      <c r="D21" s="19" t="n">
        <v>315</v>
      </c>
      <c r="E21" s="18" t="n">
        <v>56.77276439</v>
      </c>
      <c r="F21" s="20" t="n">
        <v>2.65095589</v>
      </c>
      <c r="G21" s="18" t="n">
        <v>34.89347329</v>
      </c>
      <c r="H21" s="20" t="n">
        <v>2.76770361</v>
      </c>
      <c r="I21" s="18" t="n">
        <v>0</v>
      </c>
      <c r="J21" s="20" t="n">
        <v>0</v>
      </c>
      <c r="K21" s="18" t="n">
        <v>0</v>
      </c>
      <c r="L21" s="20" t="n">
        <v>0</v>
      </c>
      <c r="M21" s="18" t="n">
        <v>0</v>
      </c>
      <c r="N21" s="20" t="n">
        <v>0</v>
      </c>
      <c r="O21" s="18" t="n">
        <v>0</v>
      </c>
      <c r="P21" s="20" t="n">
        <v>0</v>
      </c>
      <c r="Q21" s="18" t="n">
        <v>8.333762330000001</v>
      </c>
      <c r="R21" s="20" t="n">
        <v>1.73387436</v>
      </c>
    </row>
    <row r="22" spans="1:18">
      <c r="A22" s="15" t="s">
        <v>580</v>
      </c>
      <c r="B22" s="17" t="n">
        <v>3667</v>
      </c>
      <c r="C22" s="18">
        <f>(3242.0/B22*100)</f>
        <v/>
      </c>
      <c r="D22" s="19" t="n">
        <v>425</v>
      </c>
      <c r="E22" s="18" t="n">
        <v>49.58084629</v>
      </c>
      <c r="F22" s="20" t="n">
        <v>2.993291</v>
      </c>
      <c r="G22" s="18" t="n">
        <v>27.46609292</v>
      </c>
      <c r="H22" s="20" t="n">
        <v>2.76233557</v>
      </c>
      <c r="I22" s="18" t="n">
        <v>0</v>
      </c>
      <c r="J22" s="20" t="n">
        <v>0</v>
      </c>
      <c r="K22" s="18" t="n">
        <v>1.77197769</v>
      </c>
      <c r="L22" s="20" t="n">
        <v>0.72533165</v>
      </c>
      <c r="M22" s="18" t="n">
        <v>0</v>
      </c>
      <c r="N22" s="20" t="n">
        <v>0</v>
      </c>
      <c r="O22" s="18" t="n">
        <v>0</v>
      </c>
      <c r="P22" s="20" t="n">
        <v>0</v>
      </c>
      <c r="Q22" s="18" t="n">
        <v>21.1810831</v>
      </c>
      <c r="R22" s="20" t="n">
        <v>2.17278206</v>
      </c>
    </row>
    <row r="23" spans="1:18">
      <c r="A23" s="15" t="s">
        <v>581</v>
      </c>
      <c r="B23" s="17" t="n">
        <v>5792</v>
      </c>
      <c r="C23" s="18">
        <f>(5160.0/B23*100)</f>
        <v/>
      </c>
      <c r="D23" s="19" t="n">
        <v>632</v>
      </c>
      <c r="E23" s="18" t="n">
        <v>33.83212403</v>
      </c>
      <c r="F23" s="20" t="n">
        <v>3.00370142</v>
      </c>
      <c r="G23" s="18" t="n">
        <v>39.73856279</v>
      </c>
      <c r="H23" s="20" t="n">
        <v>3.26789049</v>
      </c>
      <c r="I23" s="18" t="n">
        <v>0</v>
      </c>
      <c r="J23" s="20" t="n">
        <v>0</v>
      </c>
      <c r="K23" s="18" t="n">
        <v>0.64862276</v>
      </c>
      <c r="L23" s="20" t="n">
        <v>0.47874321</v>
      </c>
      <c r="M23" s="18" t="n">
        <v>0</v>
      </c>
      <c r="N23" s="20" t="n">
        <v>0</v>
      </c>
      <c r="O23" s="18" t="n">
        <v>0</v>
      </c>
      <c r="P23" s="20" t="n">
        <v>0</v>
      </c>
      <c r="Q23" s="18" t="n">
        <v>25.78069042</v>
      </c>
      <c r="R23" s="20" t="n">
        <v>3.108512</v>
      </c>
    </row>
    <row r="24" spans="1:18">
      <c r="A24" s="15" t="s">
        <v>582</v>
      </c>
      <c r="B24" s="17" t="n">
        <v>3309</v>
      </c>
      <c r="C24" s="18">
        <f>(2925.0/B24*100)</f>
        <v/>
      </c>
      <c r="D24" s="19" t="n">
        <v>384</v>
      </c>
      <c r="E24" s="18" t="n">
        <v>39.89492392</v>
      </c>
      <c r="F24" s="20" t="n">
        <v>2.42219363</v>
      </c>
      <c r="G24" s="18" t="n">
        <v>44.84012796</v>
      </c>
      <c r="H24" s="20" t="n">
        <v>3.12294058</v>
      </c>
      <c r="I24" s="18" t="n">
        <v>0</v>
      </c>
      <c r="J24" s="20" t="n">
        <v>0</v>
      </c>
      <c r="K24" s="18" t="n">
        <v>1.0292292</v>
      </c>
      <c r="L24" s="20" t="n">
        <v>0.51463867</v>
      </c>
      <c r="M24" s="18" t="n">
        <v>0</v>
      </c>
      <c r="N24" s="20" t="n">
        <v>0</v>
      </c>
      <c r="O24" s="18" t="n">
        <v>0</v>
      </c>
      <c r="P24" s="20" t="n">
        <v>0</v>
      </c>
      <c r="Q24" s="18" t="n">
        <v>14.23571892</v>
      </c>
      <c r="R24" s="20" t="n">
        <v>2.27059205</v>
      </c>
    </row>
    <row r="25" spans="1:18">
      <c r="A25" s="15" t="s">
        <v>583</v>
      </c>
      <c r="B25" s="17" t="n">
        <v>2669</v>
      </c>
      <c r="C25" s="18">
        <f>(2381.0/B25*100)</f>
        <v/>
      </c>
      <c r="D25" s="19" t="n">
        <v>288</v>
      </c>
      <c r="E25" s="18" t="n">
        <v>39.91163372</v>
      </c>
      <c r="F25" s="20" t="n">
        <v>3.11691422</v>
      </c>
      <c r="G25" s="18" t="n">
        <v>50.19361649</v>
      </c>
      <c r="H25" s="20" t="n">
        <v>3.04859965</v>
      </c>
      <c r="I25" s="18" t="n">
        <v>0</v>
      </c>
      <c r="J25" s="20" t="n">
        <v>0</v>
      </c>
      <c r="K25" s="18" t="n">
        <v>0.30372124</v>
      </c>
      <c r="L25" s="20" t="n">
        <v>0.30159766</v>
      </c>
      <c r="M25" s="18" t="n">
        <v>0</v>
      </c>
      <c r="N25" s="20" t="n">
        <v>0</v>
      </c>
      <c r="O25" s="18" t="n">
        <v>0</v>
      </c>
      <c r="P25" s="20" t="n">
        <v>0</v>
      </c>
      <c r="Q25" s="18" t="n">
        <v>9.591028550000001</v>
      </c>
      <c r="R25" s="20" t="n">
        <v>1.80670181</v>
      </c>
    </row>
    <row r="26" spans="1:18">
      <c r="A26" s="15" t="s">
        <v>584</v>
      </c>
      <c r="B26" s="17" t="n">
        <v>2419</v>
      </c>
      <c r="C26" s="18">
        <f>(2148.0/B26*100)</f>
        <v/>
      </c>
      <c r="D26" s="19" t="n">
        <v>271</v>
      </c>
      <c r="E26" s="18" t="n">
        <v>42.44784622</v>
      </c>
      <c r="F26" s="20" t="n">
        <v>3.18114463</v>
      </c>
      <c r="G26" s="18" t="n">
        <v>45.66029742</v>
      </c>
      <c r="H26" s="20" t="n">
        <v>3.25792334</v>
      </c>
      <c r="I26" s="18" t="n">
        <v>0</v>
      </c>
      <c r="J26" s="20" t="n">
        <v>0</v>
      </c>
      <c r="K26" s="18" t="n">
        <v>0</v>
      </c>
      <c r="L26" s="20" t="n">
        <v>0</v>
      </c>
      <c r="M26" s="18" t="n">
        <v>0</v>
      </c>
      <c r="N26" s="20" t="n">
        <v>0</v>
      </c>
      <c r="O26" s="18" t="n">
        <v>0</v>
      </c>
      <c r="P26" s="20" t="n">
        <v>0</v>
      </c>
      <c r="Q26" s="18" t="n">
        <v>11.89185636</v>
      </c>
      <c r="R26" s="20" t="n">
        <v>2.14641012</v>
      </c>
    </row>
    <row r="27" spans="1:18">
      <c r="A27" s="15" t="s">
        <v>585</v>
      </c>
      <c r="B27" s="17" t="n">
        <v>2683</v>
      </c>
      <c r="C27" s="18">
        <f>(2382.0/B27*100)</f>
        <v/>
      </c>
      <c r="D27" s="19" t="n">
        <v>301</v>
      </c>
      <c r="E27" s="18" t="n">
        <v>48.38581891</v>
      </c>
      <c r="F27" s="20" t="n">
        <v>2.91607561</v>
      </c>
      <c r="G27" s="18" t="n">
        <v>34.9815817</v>
      </c>
      <c r="H27" s="20" t="n">
        <v>3.0885574</v>
      </c>
      <c r="I27" s="18" t="n">
        <v>0</v>
      </c>
      <c r="J27" s="20" t="n">
        <v>0</v>
      </c>
      <c r="K27" s="18" t="n">
        <v>0.31944057</v>
      </c>
      <c r="L27" s="20" t="n">
        <v>0.31805277</v>
      </c>
      <c r="M27" s="18" t="n">
        <v>0</v>
      </c>
      <c r="N27" s="20" t="n">
        <v>0</v>
      </c>
      <c r="O27" s="18" t="n">
        <v>0</v>
      </c>
      <c r="P27" s="20" t="n">
        <v>0</v>
      </c>
      <c r="Q27" s="18" t="n">
        <v>16.31315883</v>
      </c>
      <c r="R27" s="20" t="n">
        <v>1.79671366</v>
      </c>
    </row>
    <row r="28" spans="1:18">
      <c r="A28" s="15" t="s">
        <v>586</v>
      </c>
      <c r="B28" s="17" t="n">
        <v>3803</v>
      </c>
      <c r="C28" s="18">
        <f>(3429.0/B28*100)</f>
        <v/>
      </c>
      <c r="D28" s="19" t="n">
        <v>374</v>
      </c>
      <c r="E28" s="18" t="n">
        <v>75.33141937000001</v>
      </c>
      <c r="F28" s="20" t="n">
        <v>2.27968552</v>
      </c>
      <c r="G28" s="18" t="n">
        <v>16.89810975</v>
      </c>
      <c r="H28" s="20" t="n">
        <v>2.19413287</v>
      </c>
      <c r="I28" s="18" t="n">
        <v>0</v>
      </c>
      <c r="J28" s="20" t="n">
        <v>0</v>
      </c>
      <c r="K28" s="18" t="n">
        <v>0.57837049</v>
      </c>
      <c r="L28" s="20" t="n">
        <v>0.41117965</v>
      </c>
      <c r="M28" s="18" t="n">
        <v>0</v>
      </c>
      <c r="N28" s="20" t="n">
        <v>0</v>
      </c>
      <c r="O28" s="18" t="n">
        <v>0</v>
      </c>
      <c r="P28" s="20" t="n">
        <v>0</v>
      </c>
      <c r="Q28" s="18" t="n">
        <v>7.19210038</v>
      </c>
      <c r="R28" s="20" t="n">
        <v>1.53282008</v>
      </c>
    </row>
    <row r="29" spans="1:18">
      <c r="A29" s="15" t="s">
        <v>587</v>
      </c>
      <c r="B29" s="17" t="n">
        <v>2700</v>
      </c>
      <c r="C29" s="18">
        <f>(2388.0/B29*100)</f>
        <v/>
      </c>
      <c r="D29" s="19" t="n">
        <v>312</v>
      </c>
      <c r="E29" s="18" t="n">
        <v>66.30214943</v>
      </c>
      <c r="F29" s="20" t="n">
        <v>2.32633955</v>
      </c>
      <c r="G29" s="18" t="n">
        <v>28.59006187</v>
      </c>
      <c r="H29" s="20" t="n">
        <v>2.31552606</v>
      </c>
      <c r="I29" s="18" t="n">
        <v>0</v>
      </c>
      <c r="J29" s="20" t="n">
        <v>0</v>
      </c>
      <c r="K29" s="18" t="n">
        <v>0</v>
      </c>
      <c r="L29" s="20" t="n">
        <v>0</v>
      </c>
      <c r="M29" s="18" t="n">
        <v>0</v>
      </c>
      <c r="N29" s="20" t="n">
        <v>0</v>
      </c>
      <c r="O29" s="18" t="n">
        <v>0</v>
      </c>
      <c r="P29" s="20" t="n">
        <v>0</v>
      </c>
      <c r="Q29" s="18" t="n">
        <v>5.1077887</v>
      </c>
      <c r="R29" s="20" t="n">
        <v>1.14556483</v>
      </c>
    </row>
    <row r="30" spans="1:18">
      <c r="A30" s="15" t="s">
        <v>588</v>
      </c>
      <c r="B30" s="17" t="n">
        <v>2257</v>
      </c>
      <c r="C30" s="18">
        <f>(2028.0/B30*100)</f>
        <v/>
      </c>
      <c r="D30" s="19" t="n">
        <v>229</v>
      </c>
      <c r="E30" s="18" t="n">
        <v>41.7135704</v>
      </c>
      <c r="F30" s="20" t="n">
        <v>3.18721045</v>
      </c>
      <c r="G30" s="18" t="n">
        <v>41.7286279</v>
      </c>
      <c r="H30" s="20" t="n">
        <v>3.41473878</v>
      </c>
      <c r="I30" s="18" t="n">
        <v>0</v>
      </c>
      <c r="J30" s="20" t="n">
        <v>0</v>
      </c>
      <c r="K30" s="18" t="n">
        <v>0.51645724</v>
      </c>
      <c r="L30" s="20" t="n">
        <v>0.49267055</v>
      </c>
      <c r="M30" s="18" t="n">
        <v>0.45620879</v>
      </c>
      <c r="N30" s="20" t="n">
        <v>0.41069946</v>
      </c>
      <c r="O30" s="18" t="n">
        <v>0</v>
      </c>
      <c r="P30" s="20" t="n">
        <v>0</v>
      </c>
      <c r="Q30" s="18" t="n">
        <v>15.58513567</v>
      </c>
      <c r="R30" s="20" t="n">
        <v>2.27306234</v>
      </c>
    </row>
    <row r="31" spans="1:18">
      <c r="A31" s="15" t="s">
        <v>589</v>
      </c>
      <c r="B31" s="17" t="n">
        <v>2706</v>
      </c>
      <c r="C31" s="18">
        <f>(2408.0/B31*100)</f>
        <v/>
      </c>
      <c r="D31" s="19" t="n">
        <v>298</v>
      </c>
      <c r="E31" s="18" t="n">
        <v>56.13953286</v>
      </c>
      <c r="F31" s="20" t="n">
        <v>2.6481825</v>
      </c>
      <c r="G31" s="18" t="n">
        <v>21.88077778</v>
      </c>
      <c r="H31" s="20" t="n">
        <v>2.69997467</v>
      </c>
      <c r="I31" s="18" t="n">
        <v>0</v>
      </c>
      <c r="J31" s="20" t="n">
        <v>0</v>
      </c>
      <c r="K31" s="18" t="n">
        <v>0.99342109</v>
      </c>
      <c r="L31" s="20" t="n">
        <v>0.56978235</v>
      </c>
      <c r="M31" s="18" t="n">
        <v>0</v>
      </c>
      <c r="N31" s="20" t="n">
        <v>0</v>
      </c>
      <c r="O31" s="18" t="n">
        <v>0</v>
      </c>
      <c r="P31" s="20" t="n">
        <v>0</v>
      </c>
      <c r="Q31" s="18" t="n">
        <v>20.98626828</v>
      </c>
      <c r="R31" s="20" t="n">
        <v>2.56013461</v>
      </c>
    </row>
    <row r="32" spans="1:18">
      <c r="A32" s="15" t="s">
        <v>590</v>
      </c>
      <c r="B32" s="17" t="n">
        <v>2209</v>
      </c>
      <c r="C32" s="18">
        <f>(1961.0/B32*100)</f>
        <v/>
      </c>
      <c r="D32" s="19" t="n">
        <v>248</v>
      </c>
      <c r="E32" s="18" t="n">
        <v>49.41815155</v>
      </c>
      <c r="F32" s="20" t="n">
        <v>3.23969997</v>
      </c>
      <c r="G32" s="18" t="n">
        <v>30.69843563</v>
      </c>
      <c r="H32" s="20" t="n">
        <v>2.65625718</v>
      </c>
      <c r="I32" s="18" t="n">
        <v>0</v>
      </c>
      <c r="J32" s="20" t="n">
        <v>0</v>
      </c>
      <c r="K32" s="18" t="n">
        <v>0.33076876</v>
      </c>
      <c r="L32" s="20" t="n">
        <v>0.3328804</v>
      </c>
      <c r="M32" s="18" t="n">
        <v>1.7117157</v>
      </c>
      <c r="N32" s="20" t="n">
        <v>1.81313106</v>
      </c>
      <c r="O32" s="18" t="n">
        <v>0</v>
      </c>
      <c r="P32" s="20" t="n">
        <v>0</v>
      </c>
      <c r="Q32" s="18" t="n">
        <v>17.84092836</v>
      </c>
      <c r="R32" s="20" t="n">
        <v>2.51559112</v>
      </c>
    </row>
    <row r="33" spans="1:18">
      <c r="A33" s="15" t="s">
        <v>591</v>
      </c>
      <c r="B33" s="17" t="n">
        <v>3651</v>
      </c>
      <c r="C33" s="18">
        <f>(3259.0/B33*100)</f>
        <v/>
      </c>
      <c r="D33" s="19" t="n">
        <v>392</v>
      </c>
      <c r="E33" s="18" t="n">
        <v>47.28684205</v>
      </c>
      <c r="F33" s="20" t="n">
        <v>2.94976123</v>
      </c>
      <c r="G33" s="18" t="n">
        <v>39.5957112</v>
      </c>
      <c r="H33" s="20" t="n">
        <v>2.8164107</v>
      </c>
      <c r="I33" s="18" t="n">
        <v>0</v>
      </c>
      <c r="J33" s="20" t="n">
        <v>0</v>
      </c>
      <c r="K33" s="18" t="n">
        <v>0.33491978</v>
      </c>
      <c r="L33" s="20" t="n">
        <v>0.37111819</v>
      </c>
      <c r="M33" s="18" t="n">
        <v>0</v>
      </c>
      <c r="N33" s="20" t="n">
        <v>0</v>
      </c>
      <c r="O33" s="18" t="n">
        <v>0</v>
      </c>
      <c r="P33" s="20" t="n">
        <v>0</v>
      </c>
      <c r="Q33" s="18" t="n">
        <v>12.78252697</v>
      </c>
      <c r="R33" s="20" t="n">
        <v>2.03304808</v>
      </c>
    </row>
    <row r="34" spans="1:18">
      <c r="A34" s="15" t="s">
        <v>592</v>
      </c>
      <c r="B34" s="17" t="n">
        <v>3035</v>
      </c>
      <c r="C34" s="18">
        <f>(2720.0/B34*100)</f>
        <v/>
      </c>
      <c r="D34" s="19" t="n">
        <v>315</v>
      </c>
      <c r="E34" s="18" t="n">
        <v>49.94082917</v>
      </c>
      <c r="F34" s="20" t="n">
        <v>2.88354529</v>
      </c>
      <c r="G34" s="18" t="n">
        <v>29.56753583</v>
      </c>
      <c r="H34" s="20" t="n">
        <v>2.26869483</v>
      </c>
      <c r="I34" s="18" t="n">
        <v>0</v>
      </c>
      <c r="J34" s="20" t="n">
        <v>0</v>
      </c>
      <c r="K34" s="18" t="n">
        <v>0</v>
      </c>
      <c r="L34" s="20" t="n">
        <v>0</v>
      </c>
      <c r="M34" s="18" t="n">
        <v>0</v>
      </c>
      <c r="N34" s="20" t="n">
        <v>0</v>
      </c>
      <c r="O34" s="18" t="n">
        <v>0</v>
      </c>
      <c r="P34" s="20" t="n">
        <v>0</v>
      </c>
      <c r="Q34" s="18" t="n">
        <v>20.491635</v>
      </c>
      <c r="R34" s="20" t="n">
        <v>2.42732089</v>
      </c>
    </row>
    <row r="35" spans="1:18">
      <c r="A35" s="15" t="s">
        <v>593</v>
      </c>
      <c r="B35" s="17" t="n">
        <v>2901</v>
      </c>
      <c r="C35" s="18">
        <f>(2586.0/B35*100)</f>
        <v/>
      </c>
      <c r="D35" s="19" t="n">
        <v>315</v>
      </c>
      <c r="E35" s="18" t="n">
        <v>48.88902062</v>
      </c>
      <c r="F35" s="20" t="n">
        <v>3.52239184</v>
      </c>
      <c r="G35" s="18" t="n">
        <v>33.95594293</v>
      </c>
      <c r="H35" s="20" t="n">
        <v>3.42486208</v>
      </c>
      <c r="I35" s="18" t="n">
        <v>0</v>
      </c>
      <c r="J35" s="20" t="n">
        <v>0</v>
      </c>
      <c r="K35" s="18" t="n">
        <v>0</v>
      </c>
      <c r="L35" s="20" t="n">
        <v>0</v>
      </c>
      <c r="M35" s="18" t="n">
        <v>0</v>
      </c>
      <c r="N35" s="20" t="n">
        <v>0</v>
      </c>
      <c r="O35" s="18" t="n">
        <v>0</v>
      </c>
      <c r="P35" s="20" t="n">
        <v>0</v>
      </c>
      <c r="Q35" s="18" t="n">
        <v>17.15503645</v>
      </c>
      <c r="R35" s="20" t="n">
        <v>2.85753568</v>
      </c>
    </row>
    <row r="36" spans="1:18">
      <c r="A36" s="15" t="s">
        <v>594</v>
      </c>
      <c r="B36" s="17" t="n">
        <v>3404</v>
      </c>
      <c r="C36" s="18">
        <f>(3054.0/B36*100)</f>
        <v/>
      </c>
      <c r="D36" s="19" t="n">
        <v>350</v>
      </c>
      <c r="E36" s="18" t="n">
        <v>46.02817588</v>
      </c>
      <c r="F36" s="20" t="n">
        <v>2.59342429</v>
      </c>
      <c r="G36" s="18" t="n">
        <v>42.51869316</v>
      </c>
      <c r="H36" s="20" t="n">
        <v>2.73599278</v>
      </c>
      <c r="I36" s="18" t="n">
        <v>0</v>
      </c>
      <c r="J36" s="20" t="n">
        <v>0</v>
      </c>
      <c r="K36" s="18" t="n">
        <v>0</v>
      </c>
      <c r="L36" s="20" t="n">
        <v>0</v>
      </c>
      <c r="M36" s="18" t="n">
        <v>0</v>
      </c>
      <c r="N36" s="20" t="n">
        <v>0</v>
      </c>
      <c r="O36" s="18" t="n">
        <v>0</v>
      </c>
      <c r="P36" s="20" t="n">
        <v>0</v>
      </c>
      <c r="Q36" s="18" t="n">
        <v>11.45313096</v>
      </c>
      <c r="R36" s="20" t="n">
        <v>1.59241955</v>
      </c>
    </row>
    <row r="37" spans="1:18">
      <c r="A37" s="15" t="s">
        <v>595</v>
      </c>
      <c r="B37" s="17" t="n">
        <v>2731</v>
      </c>
      <c r="C37" s="18">
        <f>(2448.0/B37*100)</f>
        <v/>
      </c>
      <c r="D37" s="19" t="n">
        <v>283</v>
      </c>
      <c r="E37" s="18" t="n">
        <v>50.2297904</v>
      </c>
      <c r="F37" s="20" t="n">
        <v>3.2028736</v>
      </c>
      <c r="G37" s="18" t="n">
        <v>32.23980033</v>
      </c>
      <c r="H37" s="20" t="n">
        <v>3.24467434</v>
      </c>
      <c r="I37" s="18" t="n">
        <v>0</v>
      </c>
      <c r="J37" s="20" t="n">
        <v>0</v>
      </c>
      <c r="K37" s="18" t="n">
        <v>0.72122639</v>
      </c>
      <c r="L37" s="20" t="n">
        <v>0.5093557399999999</v>
      </c>
      <c r="M37" s="18" t="n">
        <v>0</v>
      </c>
      <c r="N37" s="20" t="n">
        <v>0</v>
      </c>
      <c r="O37" s="18" t="n">
        <v>0</v>
      </c>
      <c r="P37" s="20" t="n">
        <v>0</v>
      </c>
      <c r="Q37" s="18" t="n">
        <v>16.80918288</v>
      </c>
      <c r="R37" s="20" t="n">
        <v>2.13201505</v>
      </c>
    </row>
    <row r="38" spans="1:18">
      <c r="A38" s="15" t="s">
        <v>596</v>
      </c>
      <c r="B38" s="17" t="n">
        <v>2807</v>
      </c>
      <c r="C38" s="18">
        <f>(2505.0/B38*100)</f>
        <v/>
      </c>
      <c r="D38" s="19" t="n">
        <v>302</v>
      </c>
      <c r="E38" s="18" t="n">
        <v>42.10889209</v>
      </c>
      <c r="F38" s="20" t="n">
        <v>3.11552643</v>
      </c>
      <c r="G38" s="18" t="n">
        <v>40.92235007</v>
      </c>
      <c r="H38" s="20" t="n">
        <v>3.34566555</v>
      </c>
      <c r="I38" s="18" t="n">
        <v>0</v>
      </c>
      <c r="J38" s="20" t="n">
        <v>0</v>
      </c>
      <c r="K38" s="18" t="n">
        <v>0</v>
      </c>
      <c r="L38" s="20" t="n">
        <v>0</v>
      </c>
      <c r="M38" s="18" t="n">
        <v>4.08150501</v>
      </c>
      <c r="N38" s="20" t="n">
        <v>1.21680033</v>
      </c>
      <c r="O38" s="18" t="n">
        <v>0</v>
      </c>
      <c r="P38" s="20" t="n">
        <v>0</v>
      </c>
      <c r="Q38" s="18" t="n">
        <v>12.88725284</v>
      </c>
      <c r="R38" s="20" t="n">
        <v>2.21413221</v>
      </c>
    </row>
    <row r="39" spans="1:18">
      <c r="A39" s="15" t="s">
        <v>597</v>
      </c>
      <c r="B39" s="17" t="n">
        <v>2938</v>
      </c>
      <c r="C39" s="18">
        <f>(2591.0/B39*100)</f>
        <v/>
      </c>
      <c r="D39" s="19" t="n">
        <v>347</v>
      </c>
      <c r="E39" s="18" t="n">
        <v>60.3535296</v>
      </c>
      <c r="F39" s="20" t="n">
        <v>2.72635597</v>
      </c>
      <c r="G39" s="18" t="n">
        <v>27.22575846</v>
      </c>
      <c r="H39" s="20" t="n">
        <v>2.3399369</v>
      </c>
      <c r="I39" s="18" t="n">
        <v>0</v>
      </c>
      <c r="J39" s="20" t="n">
        <v>0</v>
      </c>
      <c r="K39" s="18" t="n">
        <v>0.26314222</v>
      </c>
      <c r="L39" s="20" t="n">
        <v>0.19900378</v>
      </c>
      <c r="M39" s="18" t="n">
        <v>0</v>
      </c>
      <c r="N39" s="20" t="n">
        <v>0</v>
      </c>
      <c r="O39" s="18" t="n">
        <v>0</v>
      </c>
      <c r="P39" s="20" t="n">
        <v>0</v>
      </c>
      <c r="Q39" s="18" t="n">
        <v>12.15756972</v>
      </c>
      <c r="R39" s="20" t="n">
        <v>2.10149855</v>
      </c>
    </row>
    <row r="40" spans="1:18">
      <c r="A40" s="15" t="s">
        <v>598</v>
      </c>
      <c r="B40" s="17" t="n">
        <v>6922</v>
      </c>
      <c r="C40" s="18">
        <f>(6194.0/B40*100)</f>
        <v/>
      </c>
      <c r="D40" s="19" t="n">
        <v>728</v>
      </c>
      <c r="E40" s="18" t="n">
        <v>44.90944311</v>
      </c>
      <c r="F40" s="20" t="n">
        <v>2.47246593</v>
      </c>
      <c r="G40" s="18" t="n">
        <v>41.51882341</v>
      </c>
      <c r="H40" s="20" t="n">
        <v>2.68587155</v>
      </c>
      <c r="I40" s="18" t="n">
        <v>0</v>
      </c>
      <c r="J40" s="20" t="n">
        <v>0</v>
      </c>
      <c r="K40" s="18" t="n">
        <v>0.45753044</v>
      </c>
      <c r="L40" s="20" t="n">
        <v>0.37194128</v>
      </c>
      <c r="M40" s="18" t="n">
        <v>0</v>
      </c>
      <c r="N40" s="20" t="n">
        <v>0</v>
      </c>
      <c r="O40" s="18" t="n">
        <v>0</v>
      </c>
      <c r="P40" s="20" t="n">
        <v>0</v>
      </c>
      <c r="Q40" s="18" t="n">
        <v>13.11420303</v>
      </c>
      <c r="R40" s="20" t="n">
        <v>1.82498755</v>
      </c>
    </row>
    <row r="41" spans="1:18">
      <c r="A41" s="15" t="s">
        <v>599</v>
      </c>
      <c r="B41" s="17" t="n">
        <v>2854</v>
      </c>
      <c r="C41" s="18">
        <f>(2558.0/B41*100)</f>
        <v/>
      </c>
      <c r="D41" s="19" t="n">
        <v>296</v>
      </c>
      <c r="E41" s="18" t="n">
        <v>66.59161776000001</v>
      </c>
      <c r="F41" s="20" t="n">
        <v>2.64660491</v>
      </c>
      <c r="G41" s="18" t="n">
        <v>29.55299061</v>
      </c>
      <c r="H41" s="20" t="n">
        <v>2.68605111</v>
      </c>
      <c r="I41" s="18" t="n">
        <v>0</v>
      </c>
      <c r="J41" s="20" t="n">
        <v>0</v>
      </c>
      <c r="K41" s="18" t="n">
        <v>0</v>
      </c>
      <c r="L41" s="20" t="n">
        <v>0</v>
      </c>
      <c r="M41" s="18" t="n">
        <v>0</v>
      </c>
      <c r="N41" s="20" t="n">
        <v>0</v>
      </c>
      <c r="O41" s="18" t="n">
        <v>0</v>
      </c>
      <c r="P41" s="20" t="n">
        <v>0</v>
      </c>
      <c r="Q41" s="18" t="n">
        <v>3.85539163</v>
      </c>
      <c r="R41" s="20" t="n">
        <v>1.13095542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(10941.0/B46*100)</f>
        <v/>
      </c>
      <c r="D46" s="19" t="n">
        <v>1132</v>
      </c>
      <c r="E46" s="18" t="n">
        <v>63.57643059</v>
      </c>
      <c r="F46" s="20" t="n">
        <v>1.96544674</v>
      </c>
      <c r="G46" s="18" t="n">
        <v>14.80385031</v>
      </c>
      <c r="H46" s="20" t="n">
        <v>1.55102093</v>
      </c>
      <c r="I46" s="18" t="n">
        <v>0</v>
      </c>
      <c r="J46" s="20" t="n">
        <v>0</v>
      </c>
      <c r="K46" s="18" t="n">
        <v>1.43634348</v>
      </c>
      <c r="L46" s="20" t="n">
        <v>0.66417145</v>
      </c>
      <c r="M46" s="18" t="n">
        <v>0.06456497</v>
      </c>
      <c r="N46" s="20" t="n">
        <v>0.04135622</v>
      </c>
      <c r="O46" s="18" t="n">
        <v>0</v>
      </c>
      <c r="P46" s="20" t="n">
        <v>0</v>
      </c>
      <c r="Q46" s="18" t="n">
        <v>20.11881064</v>
      </c>
      <c r="R46" s="20" t="n">
        <v>1.73684627</v>
      </c>
    </row>
    <row r="47" spans="1:18">
      <c r="A47" s="15" t="s">
        <v>606</v>
      </c>
      <c r="B47" s="17" t="n">
        <v>2823</v>
      </c>
      <c r="C47" s="18">
        <f>(2510.0/B47*100)</f>
        <v/>
      </c>
      <c r="D47" s="19" t="n">
        <v>313</v>
      </c>
      <c r="E47" s="18" t="n">
        <v>39.04566262</v>
      </c>
      <c r="F47" s="20" t="n">
        <v>3.55925618</v>
      </c>
      <c r="G47" s="18" t="n">
        <v>34.93479676</v>
      </c>
      <c r="H47" s="20" t="n">
        <v>3.2699186</v>
      </c>
      <c r="I47" s="18" t="n">
        <v>0</v>
      </c>
      <c r="J47" s="20" t="n">
        <v>0</v>
      </c>
      <c r="K47" s="18" t="n">
        <v>1.17867855</v>
      </c>
      <c r="L47" s="20" t="n">
        <v>0.55685104</v>
      </c>
      <c r="M47" s="18" t="n">
        <v>0</v>
      </c>
      <c r="N47" s="20" t="n">
        <v>0</v>
      </c>
      <c r="O47" s="18" t="n">
        <v>0</v>
      </c>
      <c r="P47" s="20" t="n">
        <v>0</v>
      </c>
      <c r="Q47" s="18" t="n">
        <v>24.84086207</v>
      </c>
      <c r="R47" s="20" t="n">
        <v>2.90917888</v>
      </c>
    </row>
    <row r="48" spans="1:18">
      <c r="A48" s="15" t="s">
        <v>607</v>
      </c>
      <c r="B48" s="17" t="n">
        <v>4682</v>
      </c>
      <c r="C48" s="18">
        <f>(4155.0/B48*100)</f>
        <v/>
      </c>
      <c r="D48" s="19" t="n">
        <v>527</v>
      </c>
      <c r="E48" s="18" t="n">
        <v>44.49831488</v>
      </c>
      <c r="F48" s="20" t="n">
        <v>3.37792189</v>
      </c>
      <c r="G48" s="18" t="n">
        <v>48.03884146</v>
      </c>
      <c r="H48" s="20" t="n">
        <v>3.89652636</v>
      </c>
      <c r="I48" s="18" t="n">
        <v>0</v>
      </c>
      <c r="J48" s="20" t="n">
        <v>0</v>
      </c>
      <c r="K48" s="18" t="n">
        <v>1.78229734</v>
      </c>
      <c r="L48" s="20" t="n">
        <v>0.93628874</v>
      </c>
      <c r="M48" s="18" t="n">
        <v>0</v>
      </c>
      <c r="N48" s="20" t="n">
        <v>0</v>
      </c>
      <c r="O48" s="18" t="n">
        <v>0</v>
      </c>
      <c r="P48" s="20" t="n">
        <v>0</v>
      </c>
      <c r="Q48" s="18" t="n">
        <v>5.68054631</v>
      </c>
      <c r="R48" s="20" t="n">
        <v>1.48822291</v>
      </c>
    </row>
    <row r="49" spans="1:18">
      <c r="A49" s="15" t="s">
        <v>608</v>
      </c>
      <c r="B49" s="17" t="n">
        <v>6158</v>
      </c>
      <c r="C49" s="18">
        <f>(5479.0/B49*100)</f>
        <v/>
      </c>
      <c r="D49" s="19" t="n">
        <v>679</v>
      </c>
      <c r="E49" s="18" t="n">
        <v>65.60314351</v>
      </c>
      <c r="F49" s="20" t="n">
        <v>2.29448248</v>
      </c>
      <c r="G49" s="18" t="n">
        <v>25.9209546</v>
      </c>
      <c r="H49" s="20" t="n">
        <v>2.19452144</v>
      </c>
      <c r="I49" s="18" t="n">
        <v>0</v>
      </c>
      <c r="J49" s="20" t="n">
        <v>0</v>
      </c>
      <c r="K49" s="18" t="n">
        <v>1.75955351</v>
      </c>
      <c r="L49" s="20" t="n">
        <v>0.74099072</v>
      </c>
      <c r="M49" s="18" t="n">
        <v>0.1864737</v>
      </c>
      <c r="N49" s="20" t="n">
        <v>0.11307597</v>
      </c>
      <c r="O49" s="18" t="n">
        <v>0</v>
      </c>
      <c r="P49" s="20" t="n">
        <v>0</v>
      </c>
      <c r="Q49" s="18" t="n">
        <v>6.52987468</v>
      </c>
      <c r="R49" s="20" t="n">
        <v>1.28267833</v>
      </c>
    </row>
    <row r="50" spans="1:18">
      <c r="A50" s="15" t="s">
        <v>609</v>
      </c>
      <c r="B50" s="17" t="n">
        <v>3494</v>
      </c>
      <c r="C50" s="18">
        <f>(3147.0/B50*100)</f>
        <v/>
      </c>
      <c r="D50" s="19" t="n">
        <v>347</v>
      </c>
      <c r="E50" s="18" t="n">
        <v>80.28508963</v>
      </c>
      <c r="F50" s="20" t="n">
        <v>2.13434391</v>
      </c>
      <c r="G50" s="18" t="n">
        <v>9.28890429</v>
      </c>
      <c r="H50" s="20" t="n">
        <v>1.82769279</v>
      </c>
      <c r="I50" s="18" t="n">
        <v>0</v>
      </c>
      <c r="J50" s="20" t="n">
        <v>0</v>
      </c>
      <c r="K50" s="18" t="n">
        <v>0.96353426</v>
      </c>
      <c r="L50" s="20" t="n">
        <v>0.5564785799999999</v>
      </c>
      <c r="M50" s="18" t="n">
        <v>0</v>
      </c>
      <c r="N50" s="20" t="n">
        <v>0</v>
      </c>
      <c r="O50" s="18" t="n">
        <v>0</v>
      </c>
      <c r="P50" s="20" t="n">
        <v>0</v>
      </c>
      <c r="Q50" s="18" t="n">
        <v>9.462471819999999</v>
      </c>
      <c r="R50" s="20" t="n">
        <v>1.52197966</v>
      </c>
    </row>
    <row r="51" spans="1:18">
      <c r="A51" s="15" t="s">
        <v>610</v>
      </c>
      <c r="B51" s="17" t="n">
        <v>3013</v>
      </c>
      <c r="C51" s="18">
        <f>(2672.0/B51*100)</f>
        <v/>
      </c>
      <c r="D51" s="19" t="n">
        <v>341</v>
      </c>
      <c r="E51" s="18" t="n">
        <v>47.47309763</v>
      </c>
      <c r="F51" s="20" t="n">
        <v>3.15477138</v>
      </c>
      <c r="G51" s="18" t="n">
        <v>28.69008417</v>
      </c>
      <c r="H51" s="20" t="n">
        <v>2.84782048</v>
      </c>
      <c r="I51" s="18" t="n">
        <v>0</v>
      </c>
      <c r="J51" s="20" t="n">
        <v>0</v>
      </c>
      <c r="K51" s="18" t="n">
        <v>0.55704719</v>
      </c>
      <c r="L51" s="20" t="n">
        <v>0.39356436</v>
      </c>
      <c r="M51" s="18" t="n">
        <v>0</v>
      </c>
      <c r="N51" s="20" t="n">
        <v>0</v>
      </c>
      <c r="O51" s="18" t="n">
        <v>0</v>
      </c>
      <c r="P51" s="20" t="n">
        <v>0</v>
      </c>
      <c r="Q51" s="18" t="n">
        <v>23.27977101</v>
      </c>
      <c r="R51" s="20" t="n">
        <v>2.72754449</v>
      </c>
    </row>
    <row r="52" spans="1:18">
      <c r="A52" s="15" t="s">
        <v>611</v>
      </c>
      <c r="B52" s="17" t="n">
        <v>2760</v>
      </c>
      <c r="C52" s="18">
        <f>(2464.0/B52*100)</f>
        <v/>
      </c>
      <c r="D52" s="19" t="n">
        <v>296</v>
      </c>
      <c r="E52" s="18" t="n">
        <v>53.17751999</v>
      </c>
      <c r="F52" s="20" t="n">
        <v>2.94519226</v>
      </c>
      <c r="G52" s="18" t="n">
        <v>23.07234977</v>
      </c>
      <c r="H52" s="20" t="n">
        <v>2.49293071</v>
      </c>
      <c r="I52" s="18" t="n">
        <v>0</v>
      </c>
      <c r="J52" s="20" t="n">
        <v>0</v>
      </c>
      <c r="K52" s="18" t="n">
        <v>0.22450057</v>
      </c>
      <c r="L52" s="20" t="n">
        <v>0.22564179</v>
      </c>
      <c r="M52" s="18" t="n">
        <v>0</v>
      </c>
      <c r="N52" s="20" t="n">
        <v>0</v>
      </c>
      <c r="O52" s="18" t="n">
        <v>0</v>
      </c>
      <c r="P52" s="20" t="n">
        <v>0</v>
      </c>
      <c r="Q52" s="18" t="n">
        <v>23.52562967</v>
      </c>
      <c r="R52" s="20" t="n">
        <v>2.14184399</v>
      </c>
    </row>
    <row r="53" spans="1:18">
      <c r="A53" s="15" t="s">
        <v>612</v>
      </c>
      <c r="B53" s="17" t="n">
        <v>2474</v>
      </c>
      <c r="C53" s="18">
        <f>(2219.0/B53*100)</f>
        <v/>
      </c>
      <c r="D53" s="19" t="n">
        <v>255</v>
      </c>
      <c r="E53" s="18" t="n">
        <v>59.20241861</v>
      </c>
      <c r="F53" s="20" t="n">
        <v>3.17784549</v>
      </c>
      <c r="G53" s="18" t="n">
        <v>7.75072792</v>
      </c>
      <c r="H53" s="20" t="n">
        <v>1.75994188</v>
      </c>
      <c r="I53" s="18" t="n">
        <v>0</v>
      </c>
      <c r="J53" s="20" t="n">
        <v>0</v>
      </c>
      <c r="K53" s="18" t="n">
        <v>13.38677771</v>
      </c>
      <c r="L53" s="20" t="n">
        <v>2.48566811</v>
      </c>
      <c r="M53" s="18" t="n">
        <v>1.60217184</v>
      </c>
      <c r="N53" s="20" t="n">
        <v>1.20955212</v>
      </c>
      <c r="O53" s="18" t="n">
        <v>0</v>
      </c>
      <c r="P53" s="20" t="n">
        <v>0</v>
      </c>
      <c r="Q53" s="18" t="n">
        <v>18.05790392</v>
      </c>
      <c r="R53" s="20" t="n">
        <v>2.58615361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(2362.0/B55*100)</f>
        <v/>
      </c>
      <c r="D55" s="19" t="n">
        <v>313</v>
      </c>
      <c r="E55" s="18" t="n">
        <v>46.05320088</v>
      </c>
      <c r="F55" s="20" t="n">
        <v>3.23826208</v>
      </c>
      <c r="G55" s="18" t="n">
        <v>49.5802468</v>
      </c>
      <c r="H55" s="20" t="n">
        <v>3.27309129</v>
      </c>
      <c r="I55" s="18" t="n">
        <v>0</v>
      </c>
      <c r="J55" s="20" t="n">
        <v>0</v>
      </c>
      <c r="K55" s="18" t="n">
        <v>0.34386573</v>
      </c>
      <c r="L55" s="20" t="n">
        <v>0.34071811</v>
      </c>
      <c r="M55" s="18" t="n">
        <v>0</v>
      </c>
      <c r="N55" s="20" t="n">
        <v>0</v>
      </c>
      <c r="O55" s="18" t="n">
        <v>0</v>
      </c>
      <c r="P55" s="20" t="n">
        <v>0</v>
      </c>
      <c r="Q55" s="18" t="n">
        <v>4.02268659</v>
      </c>
      <c r="R55" s="20" t="n">
        <v>1.05084564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(2856.0/B61*100)</f>
        <v/>
      </c>
      <c r="D61" s="19" t="n">
        <v>345</v>
      </c>
      <c r="E61" s="18" t="n">
        <v>43.08635094</v>
      </c>
      <c r="F61" s="20" t="n">
        <v>2.93111505</v>
      </c>
      <c r="G61" s="18" t="n">
        <v>35.48869237</v>
      </c>
      <c r="H61" s="20" t="n">
        <v>3.06073601</v>
      </c>
      <c r="I61" s="18" t="n">
        <v>0</v>
      </c>
      <c r="J61" s="20" t="n">
        <v>0</v>
      </c>
      <c r="K61" s="18" t="n">
        <v>0</v>
      </c>
      <c r="L61" s="20" t="n">
        <v>0</v>
      </c>
      <c r="M61" s="18" t="n">
        <v>0</v>
      </c>
      <c r="N61" s="20" t="n">
        <v>0</v>
      </c>
      <c r="O61" s="18" t="n">
        <v>0</v>
      </c>
      <c r="P61" s="20" t="n">
        <v>0</v>
      </c>
      <c r="Q61" s="18" t="n">
        <v>21.42495669</v>
      </c>
      <c r="R61" s="20" t="n">
        <v>2.38850353</v>
      </c>
    </row>
    <row r="62" spans="1:18">
      <c r="A62" s="15" t="s">
        <v>622</v>
      </c>
      <c r="B62" s="17" t="n">
        <v>2230</v>
      </c>
      <c r="C62" s="18">
        <f>(2015.0/B62*100)</f>
        <v/>
      </c>
      <c r="D62" s="19" t="n">
        <v>215</v>
      </c>
      <c r="E62" s="18" t="n">
        <v>48.40471392</v>
      </c>
      <c r="F62" s="20" t="n">
        <v>3.34143178</v>
      </c>
      <c r="G62" s="18" t="n">
        <v>48.78822862</v>
      </c>
      <c r="H62" s="20" t="n">
        <v>3.58274723</v>
      </c>
      <c r="I62" s="18" t="n">
        <v>0</v>
      </c>
      <c r="J62" s="20" t="n">
        <v>0</v>
      </c>
      <c r="K62" s="18" t="n">
        <v>0</v>
      </c>
      <c r="L62" s="20" t="n">
        <v>0</v>
      </c>
      <c r="M62" s="18" t="n">
        <v>0</v>
      </c>
      <c r="N62" s="20" t="n">
        <v>0</v>
      </c>
      <c r="O62" s="18" t="n">
        <v>0</v>
      </c>
      <c r="P62" s="20" t="n">
        <v>0</v>
      </c>
      <c r="Q62" s="18" t="n">
        <v>2.80705745</v>
      </c>
      <c r="R62" s="20" t="n">
        <v>1.15808798</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(2468.0/B67*100)</f>
        <v/>
      </c>
      <c r="D67" s="19" t="n">
        <v>303</v>
      </c>
      <c r="E67" s="18" t="n">
        <v>31.80211457</v>
      </c>
      <c r="F67" s="20" t="n">
        <v>2.69070271</v>
      </c>
      <c r="G67" s="18" t="n">
        <v>19.97678558</v>
      </c>
      <c r="H67" s="20" t="n">
        <v>2.30101264</v>
      </c>
      <c r="I67" s="18" t="n">
        <v>0</v>
      </c>
      <c r="J67" s="20" t="n">
        <v>0</v>
      </c>
      <c r="K67" s="18" t="n">
        <v>2.82153954</v>
      </c>
      <c r="L67" s="20" t="n">
        <v>0.89942674</v>
      </c>
      <c r="M67" s="18" t="n">
        <v>0.29196976</v>
      </c>
      <c r="N67" s="20" t="n">
        <v>0.29279292</v>
      </c>
      <c r="O67" s="18" t="n">
        <v>0</v>
      </c>
      <c r="P67" s="20" t="n">
        <v>0</v>
      </c>
      <c r="Q67" s="18" t="n">
        <v>45.10759056</v>
      </c>
      <c r="R67" s="20" t="n">
        <v>3.02397156</v>
      </c>
    </row>
    <row r="68" spans="1:18">
      <c r="A68" s="15" t="s">
        <v>628</v>
      </c>
      <c r="B68" s="17" t="n">
        <v>3460</v>
      </c>
      <c r="C68" s="18">
        <f>(3100.0/B68*100)</f>
        <v/>
      </c>
      <c r="D68" s="19" t="n">
        <v>360</v>
      </c>
      <c r="E68" s="18" t="n">
        <v>67.24662171999999</v>
      </c>
      <c r="F68" s="20" t="n">
        <v>2.74959442</v>
      </c>
      <c r="G68" s="18" t="n">
        <v>21.15419319</v>
      </c>
      <c r="H68" s="20" t="n">
        <v>2.33521723</v>
      </c>
      <c r="I68" s="18" t="n">
        <v>0</v>
      </c>
      <c r="J68" s="20" t="n">
        <v>0</v>
      </c>
      <c r="K68" s="18" t="n">
        <v>0</v>
      </c>
      <c r="L68" s="20" t="n">
        <v>0</v>
      </c>
      <c r="M68" s="18" t="n">
        <v>0</v>
      </c>
      <c r="N68" s="20" t="n">
        <v>0</v>
      </c>
      <c r="O68" s="18" t="n">
        <v>0</v>
      </c>
      <c r="P68" s="20" t="n">
        <v>0</v>
      </c>
      <c r="Q68" s="18" t="n">
        <v>11.59918509</v>
      </c>
      <c r="R68" s="20" t="n">
        <v>2.05631898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(5383.0/B70*100)</f>
        <v/>
      </c>
      <c r="D70" s="19" t="n">
        <v>651</v>
      </c>
      <c r="E70" s="18" t="n">
        <v>54.4249581</v>
      </c>
      <c r="F70" s="20" t="n">
        <v>1.99974462</v>
      </c>
      <c r="G70" s="18" t="n">
        <v>32.9130359</v>
      </c>
      <c r="H70" s="20" t="n">
        <v>1.9243768</v>
      </c>
      <c r="I70" s="18" t="n">
        <v>0</v>
      </c>
      <c r="J70" s="20" t="n">
        <v>0</v>
      </c>
      <c r="K70" s="18" t="n">
        <v>2.00790771</v>
      </c>
      <c r="L70" s="20" t="n">
        <v>0.57255477</v>
      </c>
      <c r="M70" s="18" t="n">
        <v>0</v>
      </c>
      <c r="N70" s="20" t="n">
        <v>0</v>
      </c>
      <c r="O70" s="18" t="n">
        <v>0</v>
      </c>
      <c r="P70" s="20" t="n">
        <v>0</v>
      </c>
      <c r="Q70" s="18" t="n">
        <v>10.65409829</v>
      </c>
      <c r="R70" s="20" t="n">
        <v>1.11742657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(2760.0/B72*100)</f>
        <v/>
      </c>
      <c r="D72" s="19" t="n">
        <v>347</v>
      </c>
      <c r="E72" s="18" t="n">
        <v>37.07592189</v>
      </c>
      <c r="F72" s="20" t="n">
        <v>2.36395921</v>
      </c>
      <c r="G72" s="18" t="n">
        <v>42.46775965</v>
      </c>
      <c r="H72" s="20" t="n">
        <v>2.909541</v>
      </c>
      <c r="I72" s="18" t="n">
        <v>0</v>
      </c>
      <c r="J72" s="20" t="n">
        <v>0</v>
      </c>
      <c r="K72" s="18" t="n">
        <v>0.18104711</v>
      </c>
      <c r="L72" s="20" t="n">
        <v>0.18052365</v>
      </c>
      <c r="M72" s="18" t="n">
        <v>0</v>
      </c>
      <c r="N72" s="20" t="n">
        <v>0</v>
      </c>
      <c r="O72" s="18" t="n">
        <v>0</v>
      </c>
      <c r="P72" s="20" t="n">
        <v>0</v>
      </c>
      <c r="Q72" s="18" t="n">
        <v>20.27527135</v>
      </c>
      <c r="R72" s="20" t="n">
        <v>3.5404512</v>
      </c>
    </row>
    <row r="73" spans="1:18">
      <c r="A73" s="15" t="s">
        <v>633</v>
      </c>
      <c r="B73" s="17" t="n">
        <v>2973</v>
      </c>
      <c r="C73" s="18">
        <f>(2678.0/B73*100)</f>
        <v/>
      </c>
      <c r="D73" s="19" t="n">
        <v>295</v>
      </c>
      <c r="E73" s="18" t="n">
        <v>42.3685859</v>
      </c>
      <c r="F73" s="20" t="n">
        <v>2.8486217</v>
      </c>
      <c r="G73" s="18" t="n">
        <v>53.2183688</v>
      </c>
      <c r="H73" s="20" t="n">
        <v>3.18562396</v>
      </c>
      <c r="I73" s="18" t="n">
        <v>0</v>
      </c>
      <c r="J73" s="20" t="n">
        <v>0</v>
      </c>
      <c r="K73" s="18" t="n">
        <v>0</v>
      </c>
      <c r="L73" s="20" t="n">
        <v>0</v>
      </c>
      <c r="M73" s="18" t="n">
        <v>0</v>
      </c>
      <c r="N73" s="20" t="n">
        <v>0</v>
      </c>
      <c r="O73" s="18" t="n">
        <v>0</v>
      </c>
      <c r="P73" s="20" t="n">
        <v>0</v>
      </c>
      <c r="Q73" s="18" t="n">
        <v>4.4130453</v>
      </c>
      <c r="R73" s="20" t="n">
        <v>1.21838448</v>
      </c>
    </row>
    <row r="74" spans="1:18">
      <c r="A74" s="15" t="s">
        <v>634</v>
      </c>
      <c r="B74" s="17" t="n">
        <v>3819</v>
      </c>
      <c r="C74" s="18">
        <f>(3411.0/B74*100)</f>
        <v/>
      </c>
      <c r="D74" s="19" t="n">
        <v>408</v>
      </c>
      <c r="E74" s="18" t="n">
        <v>38.49390859</v>
      </c>
      <c r="F74" s="20" t="n">
        <v>2.36277015</v>
      </c>
      <c r="G74" s="18" t="n">
        <v>52.71069909</v>
      </c>
      <c r="H74" s="20" t="n">
        <v>2.32199571</v>
      </c>
      <c r="I74" s="18" t="n">
        <v>0</v>
      </c>
      <c r="J74" s="20" t="n">
        <v>0</v>
      </c>
      <c r="K74" s="18" t="n">
        <v>0</v>
      </c>
      <c r="L74" s="20" t="n">
        <v>0</v>
      </c>
      <c r="M74" s="18" t="n">
        <v>0</v>
      </c>
      <c r="N74" s="20" t="n">
        <v>0</v>
      </c>
      <c r="O74" s="18" t="n">
        <v>0</v>
      </c>
      <c r="P74" s="20" t="n">
        <v>0</v>
      </c>
      <c r="Q74" s="18" t="n">
        <v>8.795392319999999</v>
      </c>
      <c r="R74" s="20" t="n">
        <v>1.54608624</v>
      </c>
    </row>
    <row r="75" spans="1:18">
      <c r="A75" s="15" t="s">
        <v>635</v>
      </c>
      <c r="B75" s="17" t="n">
        <v>4652</v>
      </c>
      <c r="C75" s="18">
        <f>(4158.0/B75*100)</f>
        <v/>
      </c>
      <c r="D75" s="19" t="n">
        <v>494</v>
      </c>
      <c r="E75" s="18" t="n">
        <v>72.01206473000001</v>
      </c>
      <c r="F75" s="20" t="n">
        <v>2.66855017</v>
      </c>
      <c r="G75" s="18" t="n">
        <v>24.45535443</v>
      </c>
      <c r="H75" s="20" t="n">
        <v>2.67840746</v>
      </c>
      <c r="I75" s="18" t="n">
        <v>0</v>
      </c>
      <c r="J75" s="20" t="n">
        <v>0</v>
      </c>
      <c r="K75" s="18" t="n">
        <v>0.2707885</v>
      </c>
      <c r="L75" s="20" t="n">
        <v>0.27142489</v>
      </c>
      <c r="M75" s="18" t="n">
        <v>0.28750833</v>
      </c>
      <c r="N75" s="20" t="n">
        <v>0.28860884</v>
      </c>
      <c r="O75" s="18" t="n">
        <v>0</v>
      </c>
      <c r="P75" s="20" t="n">
        <v>0</v>
      </c>
      <c r="Q75" s="18" t="n">
        <v>2.97428401</v>
      </c>
      <c r="R75" s="20" t="n">
        <v>0.85007794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(2659.0/B77*100)</f>
        <v/>
      </c>
      <c r="D77" s="19" t="n">
        <v>310</v>
      </c>
      <c r="E77" s="18" t="n">
        <v>49.28696506</v>
      </c>
      <c r="F77" s="20" t="n">
        <v>2.56299782</v>
      </c>
      <c r="G77" s="18" t="n">
        <v>19.09736685</v>
      </c>
      <c r="H77" s="20" t="n">
        <v>2.08899807</v>
      </c>
      <c r="I77" s="18" t="n">
        <v>0</v>
      </c>
      <c r="J77" s="20" t="n">
        <v>0</v>
      </c>
      <c r="K77" s="18" t="n">
        <v>4.63525372</v>
      </c>
      <c r="L77" s="20" t="n">
        <v>1.18405936</v>
      </c>
      <c r="M77" s="18" t="n">
        <v>0.67882357</v>
      </c>
      <c r="N77" s="20" t="n">
        <v>0.48665496</v>
      </c>
      <c r="O77" s="18" t="n">
        <v>0</v>
      </c>
      <c r="P77" s="20" t="n">
        <v>0</v>
      </c>
      <c r="Q77" s="18" t="n">
        <v>26.30159081</v>
      </c>
      <c r="R77" s="20" t="n">
        <v>2.69326977</v>
      </c>
    </row>
    <row r="78" spans="1:18">
      <c r="A78" s="15" t="s">
        <v>638</v>
      </c>
      <c r="B78" s="17" t="n">
        <v>7115</v>
      </c>
      <c r="C78" s="18">
        <f>(6295.0/B78*100)</f>
        <v/>
      </c>
      <c r="D78" s="19" t="n">
        <v>820</v>
      </c>
      <c r="E78" s="18" t="n">
        <v>55.75802232</v>
      </c>
      <c r="F78" s="20" t="n">
        <v>1.93309075</v>
      </c>
      <c r="G78" s="18" t="n">
        <v>36.37486626</v>
      </c>
      <c r="H78" s="20" t="n">
        <v>1.66750486</v>
      </c>
      <c r="I78" s="18" t="n">
        <v>0</v>
      </c>
      <c r="J78" s="20" t="n">
        <v>0</v>
      </c>
      <c r="K78" s="18" t="n">
        <v>0.77575623</v>
      </c>
      <c r="L78" s="20" t="n">
        <v>0.37639504</v>
      </c>
      <c r="M78" s="18" t="n">
        <v>0.20214318</v>
      </c>
      <c r="N78" s="20" t="n">
        <v>0.12360324</v>
      </c>
      <c r="O78" s="18" t="n">
        <v>0</v>
      </c>
      <c r="P78" s="20" t="n">
        <v>0</v>
      </c>
      <c r="Q78" s="18" t="n">
        <v>6.889212</v>
      </c>
      <c r="R78" s="20" t="n">
        <v>1.25438734</v>
      </c>
    </row>
    <row r="79" spans="1:18">
      <c r="A79" s="15" t="s">
        <v>639</v>
      </c>
      <c r="B79" s="17" t="n">
        <v>3154</v>
      </c>
      <c r="C79" s="18">
        <f>(2816.0/B79*100)</f>
        <v/>
      </c>
      <c r="D79" s="19" t="n">
        <v>338</v>
      </c>
      <c r="E79" s="18" t="n">
        <v>44.58602373</v>
      </c>
      <c r="F79" s="20" t="n">
        <v>2.7125512</v>
      </c>
      <c r="G79" s="18" t="n">
        <v>23.25011557</v>
      </c>
      <c r="H79" s="20" t="n">
        <v>2.50020028</v>
      </c>
      <c r="I79" s="18" t="n">
        <v>0</v>
      </c>
      <c r="J79" s="20" t="n">
        <v>0</v>
      </c>
      <c r="K79" s="18" t="n">
        <v>1.93442787</v>
      </c>
      <c r="L79" s="20" t="n">
        <v>0.79627965</v>
      </c>
      <c r="M79" s="18" t="n">
        <v>0</v>
      </c>
      <c r="N79" s="20" t="n">
        <v>0</v>
      </c>
      <c r="O79" s="18" t="n">
        <v>0</v>
      </c>
      <c r="P79" s="20" t="n">
        <v>0</v>
      </c>
      <c r="Q79" s="18" t="n">
        <v>30.22943283</v>
      </c>
      <c r="R79" s="20" t="n">
        <v>2.69715674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(14241.0/B82*100)</f>
        <v/>
      </c>
      <c r="D82" s="19" t="n">
        <v>1720</v>
      </c>
      <c r="E82" s="18" t="n">
        <v>45.53083144</v>
      </c>
      <c r="F82" s="20" t="n">
        <v>1.54614641</v>
      </c>
      <c r="G82" s="18" t="n">
        <v>44.48262702</v>
      </c>
      <c r="H82" s="20" t="n">
        <v>1.59349724</v>
      </c>
      <c r="I82" s="18" t="n">
        <v>0</v>
      </c>
      <c r="J82" s="20" t="n">
        <v>0</v>
      </c>
      <c r="K82" s="18" t="n">
        <v>0.47836426</v>
      </c>
      <c r="L82" s="20" t="n">
        <v>0.23999521</v>
      </c>
      <c r="M82" s="18" t="n">
        <v>0</v>
      </c>
      <c r="N82" s="20" t="n">
        <v>0</v>
      </c>
      <c r="O82" s="18" t="n">
        <v>0</v>
      </c>
      <c r="P82" s="20" t="n">
        <v>0</v>
      </c>
      <c r="Q82" s="18" t="n">
        <v>9.50817728</v>
      </c>
      <c r="R82" s="20" t="n">
        <v>1.03937902</v>
      </c>
    </row>
    <row r="83" spans="1:18">
      <c r="A83" s="15" t="s">
        <v>643</v>
      </c>
      <c r="B83" s="17" t="n">
        <v>808</v>
      </c>
      <c r="C83" s="18">
        <f>(712.0/B83*100)</f>
        <v/>
      </c>
      <c r="D83" s="19" t="n">
        <v>96</v>
      </c>
      <c r="E83" s="18" t="n">
        <v>51.91809351</v>
      </c>
      <c r="F83" s="20" t="n">
        <v>5.20145185</v>
      </c>
      <c r="G83" s="18" t="n">
        <v>46.81553353</v>
      </c>
      <c r="H83" s="20" t="n">
        <v>5.5185579</v>
      </c>
      <c r="I83" s="18" t="n">
        <v>0</v>
      </c>
      <c r="J83" s="20" t="n">
        <v>0</v>
      </c>
      <c r="K83" s="18" t="n">
        <v>0</v>
      </c>
      <c r="L83" s="20" t="n">
        <v>0</v>
      </c>
      <c r="M83" s="18" t="n">
        <v>0</v>
      </c>
      <c r="N83" s="20" t="n">
        <v>0</v>
      </c>
      <c r="O83" s="18" t="n">
        <v>0</v>
      </c>
      <c r="P83" s="20" t="n">
        <v>0</v>
      </c>
      <c r="Q83" s="18" t="n">
        <v>1.26637296</v>
      </c>
      <c r="R83" s="20" t="n">
        <v>1.20898291</v>
      </c>
    </row>
    <row r="84" spans="1:18">
      <c r="A84" s="23" t="s">
        <v>644</v>
      </c>
      <c r="B84" s="24" t="n">
        <v>938</v>
      </c>
      <c r="C84" s="25">
        <f>(843.0/B84*100)</f>
        <v/>
      </c>
      <c r="D84" s="19" t="n">
        <v>95</v>
      </c>
      <c r="E84" s="18" t="n">
        <v>68.08731075999999</v>
      </c>
      <c r="F84" s="20" t="n">
        <v>4.99224442</v>
      </c>
      <c r="G84" s="18" t="n">
        <v>30.81652198</v>
      </c>
      <c r="H84" s="20" t="n">
        <v>4.72514462</v>
      </c>
      <c r="I84" s="18" t="n">
        <v>0</v>
      </c>
      <c r="J84" s="20" t="n">
        <v>0</v>
      </c>
      <c r="K84" s="18" t="n">
        <v>0</v>
      </c>
      <c r="L84" s="20" t="n">
        <v>0</v>
      </c>
      <c r="M84" s="18" t="n">
        <v>0</v>
      </c>
      <c r="N84" s="20" t="n">
        <v>0</v>
      </c>
      <c r="O84" s="18" t="n">
        <v>0</v>
      </c>
      <c r="P84" s="20" t="n">
        <v>0</v>
      </c>
      <c r="Q84" s="18" t="n">
        <v>1.09616726</v>
      </c>
      <c r="R84" s="20" t="n">
        <v>1.10614321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(6393.0/B7*100)</f>
        <v/>
      </c>
      <c r="D7" s="19" t="n">
        <v>770</v>
      </c>
      <c r="E7" s="18" t="n">
        <v>26.13334645</v>
      </c>
      <c r="F7" s="20" t="n">
        <v>2.08429276</v>
      </c>
      <c r="G7" s="18" t="n">
        <v>73.41606731</v>
      </c>
      <c r="H7" s="20" t="n">
        <v>2.09370829</v>
      </c>
      <c r="I7" s="18" t="n">
        <v>0</v>
      </c>
      <c r="J7" s="20" t="n">
        <v>0</v>
      </c>
      <c r="K7" s="18" t="n">
        <v>0.40355954</v>
      </c>
      <c r="L7" s="20" t="n">
        <v>0.23058245</v>
      </c>
      <c r="M7" s="18" t="n">
        <v>0</v>
      </c>
      <c r="N7" s="20" t="n">
        <v>0</v>
      </c>
      <c r="O7" s="18" t="n">
        <v>0</v>
      </c>
      <c r="P7" s="20" t="n">
        <v>0</v>
      </c>
      <c r="Q7" s="18" t="n">
        <v>0.04702669</v>
      </c>
      <c r="R7" s="20" t="n">
        <v>0.04941466</v>
      </c>
    </row>
    <row r="8" spans="1:18">
      <c r="A8" s="15" t="s">
        <v>566</v>
      </c>
      <c r="B8" s="17" t="n">
        <v>3443</v>
      </c>
      <c r="C8" s="18">
        <f>(3059.0/B8*100)</f>
        <v/>
      </c>
      <c r="D8" s="19" t="n">
        <v>384</v>
      </c>
      <c r="E8" s="18" t="n">
        <v>27.06500448</v>
      </c>
      <c r="F8" s="20" t="n">
        <v>3.37849366</v>
      </c>
      <c r="G8" s="18" t="n">
        <v>72.52707048000001</v>
      </c>
      <c r="H8" s="20" t="n">
        <v>3.27752442</v>
      </c>
      <c r="I8" s="18" t="n">
        <v>0</v>
      </c>
      <c r="J8" s="20" t="n">
        <v>0</v>
      </c>
      <c r="K8" s="18" t="n">
        <v>0</v>
      </c>
      <c r="L8" s="20" t="n">
        <v>0</v>
      </c>
      <c r="M8" s="18" t="n">
        <v>0</v>
      </c>
      <c r="N8" s="20" t="n">
        <v>0</v>
      </c>
      <c r="O8" s="18" t="n">
        <v>0</v>
      </c>
      <c r="P8" s="20" t="n">
        <v>0</v>
      </c>
      <c r="Q8" s="18" t="n">
        <v>0.40792503</v>
      </c>
      <c r="R8" s="20" t="n">
        <v>0.36503904</v>
      </c>
    </row>
    <row r="9" spans="1:18">
      <c r="A9" s="15" t="s">
        <v>567</v>
      </c>
      <c r="B9" s="17" t="n">
        <v>4752</v>
      </c>
      <c r="C9" s="18">
        <f>(4249.0/B9*100)</f>
        <v/>
      </c>
      <c r="D9" s="19" t="n">
        <v>503</v>
      </c>
      <c r="E9" s="18" t="n">
        <v>24.01605388</v>
      </c>
      <c r="F9" s="20" t="n">
        <v>1.78253186</v>
      </c>
      <c r="G9" s="18" t="n">
        <v>74.61210972000001</v>
      </c>
      <c r="H9" s="20" t="n">
        <v>1.86905991</v>
      </c>
      <c r="I9" s="18" t="n">
        <v>0</v>
      </c>
      <c r="J9" s="20" t="n">
        <v>0</v>
      </c>
      <c r="K9" s="18" t="n">
        <v>1.15443117</v>
      </c>
      <c r="L9" s="20" t="n">
        <v>0.58535856</v>
      </c>
      <c r="M9" s="18" t="n">
        <v>0</v>
      </c>
      <c r="N9" s="20" t="n">
        <v>0</v>
      </c>
      <c r="O9" s="18" t="n">
        <v>0</v>
      </c>
      <c r="P9" s="20" t="n">
        <v>0</v>
      </c>
      <c r="Q9" s="18" t="n">
        <v>0.21740524</v>
      </c>
      <c r="R9" s="20" t="n">
        <v>0.21783974</v>
      </c>
    </row>
    <row r="10" spans="1:18">
      <c r="A10" s="15" t="s">
        <v>568</v>
      </c>
      <c r="B10" s="17" t="n">
        <v>10022</v>
      </c>
      <c r="C10" s="18">
        <f>(8951.0/B10*100)</f>
        <v/>
      </c>
      <c r="D10" s="19" t="n">
        <v>1071</v>
      </c>
      <c r="E10" s="18" t="n">
        <v>28.86188807</v>
      </c>
      <c r="F10" s="20" t="n">
        <v>2.1012577</v>
      </c>
      <c r="G10" s="18" t="n">
        <v>69.7616238</v>
      </c>
      <c r="H10" s="20" t="n">
        <v>2.22628046</v>
      </c>
      <c r="I10" s="18" t="n">
        <v>0</v>
      </c>
      <c r="J10" s="20" t="n">
        <v>0</v>
      </c>
      <c r="K10" s="18" t="n">
        <v>0.82078187</v>
      </c>
      <c r="L10" s="20" t="n">
        <v>0.41126339</v>
      </c>
      <c r="M10" s="18" t="n">
        <v>0</v>
      </c>
      <c r="N10" s="20" t="n">
        <v>0</v>
      </c>
      <c r="O10" s="18" t="n">
        <v>0</v>
      </c>
      <c r="P10" s="20" t="n">
        <v>0</v>
      </c>
      <c r="Q10" s="18" t="n">
        <v>0.55570626</v>
      </c>
      <c r="R10" s="20" t="n">
        <v>0.22209092</v>
      </c>
    </row>
    <row r="11" spans="1:18">
      <c r="A11" s="15" t="s">
        <v>569</v>
      </c>
      <c r="B11" s="17" t="n">
        <v>3500</v>
      </c>
      <c r="C11" s="18">
        <f>(3124.0/B11*100)</f>
        <v/>
      </c>
      <c r="D11" s="19" t="n">
        <v>376</v>
      </c>
      <c r="E11" s="18" t="n">
        <v>42.28331044</v>
      </c>
      <c r="F11" s="20" t="n">
        <v>2.76633856</v>
      </c>
      <c r="G11" s="18" t="n">
        <v>54.86847535</v>
      </c>
      <c r="H11" s="20" t="n">
        <v>2.7142616</v>
      </c>
      <c r="I11" s="18" t="n">
        <v>0</v>
      </c>
      <c r="J11" s="20" t="n">
        <v>0</v>
      </c>
      <c r="K11" s="18" t="n">
        <v>1.28252442</v>
      </c>
      <c r="L11" s="20" t="n">
        <v>0.59439743</v>
      </c>
      <c r="M11" s="18" t="n">
        <v>0</v>
      </c>
      <c r="N11" s="20" t="n">
        <v>0</v>
      </c>
      <c r="O11" s="18" t="n">
        <v>0</v>
      </c>
      <c r="P11" s="20" t="n">
        <v>0</v>
      </c>
      <c r="Q11" s="18" t="n">
        <v>1.56568979</v>
      </c>
      <c r="R11" s="20" t="n">
        <v>0.64816818</v>
      </c>
    </row>
    <row r="12" spans="1:18">
      <c r="A12" s="15" t="s">
        <v>570</v>
      </c>
      <c r="B12" s="17" t="n">
        <v>3422</v>
      </c>
      <c r="C12" s="18">
        <f>(3038.0/B12*100)</f>
        <v/>
      </c>
      <c r="D12" s="19" t="n">
        <v>384</v>
      </c>
      <c r="E12" s="18" t="n">
        <v>26.56491153</v>
      </c>
      <c r="F12" s="20" t="n">
        <v>2.91392506</v>
      </c>
      <c r="G12" s="18" t="n">
        <v>72.22012204000001</v>
      </c>
      <c r="H12" s="20" t="n">
        <v>2.93636656</v>
      </c>
      <c r="I12" s="18" t="n">
        <v>0</v>
      </c>
      <c r="J12" s="20" t="n">
        <v>0</v>
      </c>
      <c r="K12" s="18" t="n">
        <v>0.6660034500000001</v>
      </c>
      <c r="L12" s="20" t="n">
        <v>0.40560095</v>
      </c>
      <c r="M12" s="18" t="n">
        <v>0</v>
      </c>
      <c r="N12" s="20" t="n">
        <v>0</v>
      </c>
      <c r="O12" s="18" t="n">
        <v>0</v>
      </c>
      <c r="P12" s="20" t="n">
        <v>0</v>
      </c>
      <c r="Q12" s="18" t="n">
        <v>0.54896298</v>
      </c>
      <c r="R12" s="20" t="n">
        <v>0.39846201</v>
      </c>
    </row>
    <row r="13" spans="1:18">
      <c r="A13" s="15" t="s">
        <v>571</v>
      </c>
      <c r="B13" s="17" t="n">
        <v>3602</v>
      </c>
      <c r="C13" s="18">
        <f>(3237.0/B13*100)</f>
        <v/>
      </c>
      <c r="D13" s="19" t="n">
        <v>365</v>
      </c>
      <c r="E13" s="18" t="n">
        <v>27.69497138</v>
      </c>
      <c r="F13" s="20" t="n">
        <v>2.99826365</v>
      </c>
      <c r="G13" s="18" t="n">
        <v>70.91867772000001</v>
      </c>
      <c r="H13" s="20" t="n">
        <v>3.03807159</v>
      </c>
      <c r="I13" s="18" t="n">
        <v>0</v>
      </c>
      <c r="J13" s="20" t="n">
        <v>0</v>
      </c>
      <c r="K13" s="18" t="n">
        <v>0.5058748</v>
      </c>
      <c r="L13" s="20" t="n">
        <v>0.32493132</v>
      </c>
      <c r="M13" s="18" t="n">
        <v>0</v>
      </c>
      <c r="N13" s="20" t="n">
        <v>0</v>
      </c>
      <c r="O13" s="18" t="n">
        <v>0</v>
      </c>
      <c r="P13" s="20" t="n">
        <v>0</v>
      </c>
      <c r="Q13" s="18" t="n">
        <v>0.8804761</v>
      </c>
      <c r="R13" s="20" t="n">
        <v>0.54797924</v>
      </c>
    </row>
    <row r="14" spans="1:18">
      <c r="A14" s="15" t="s">
        <v>572</v>
      </c>
      <c r="B14" s="17" t="n">
        <v>2788</v>
      </c>
      <c r="C14" s="18">
        <f>(2494.0/B14*100)</f>
        <v/>
      </c>
      <c r="D14" s="19" t="n">
        <v>294</v>
      </c>
      <c r="E14" s="18" t="n">
        <v>18.01855331</v>
      </c>
      <c r="F14" s="20" t="n">
        <v>2.55313032</v>
      </c>
      <c r="G14" s="18" t="n">
        <v>81.4413697</v>
      </c>
      <c r="H14" s="20" t="n">
        <v>2.56139088</v>
      </c>
      <c r="I14" s="18" t="n">
        <v>0</v>
      </c>
      <c r="J14" s="20" t="n">
        <v>0</v>
      </c>
      <c r="K14" s="18" t="n">
        <v>0.25903859</v>
      </c>
      <c r="L14" s="20" t="n">
        <v>0.26919326</v>
      </c>
      <c r="M14" s="18" t="n">
        <v>0</v>
      </c>
      <c r="N14" s="20" t="n">
        <v>0</v>
      </c>
      <c r="O14" s="18" t="n">
        <v>0</v>
      </c>
      <c r="P14" s="20" t="n">
        <v>0</v>
      </c>
      <c r="Q14" s="18" t="n">
        <v>0.28103841</v>
      </c>
      <c r="R14" s="20" t="n">
        <v>0.2801136</v>
      </c>
    </row>
    <row r="15" spans="1:18">
      <c r="A15" s="15" t="s">
        <v>573</v>
      </c>
      <c r="B15" s="17" t="n">
        <v>2863</v>
      </c>
      <c r="C15" s="18">
        <f>(2545.0/B15*100)</f>
        <v/>
      </c>
      <c r="D15" s="19" t="n">
        <v>318</v>
      </c>
      <c r="E15" s="18" t="n">
        <v>15.70116263</v>
      </c>
      <c r="F15" s="20" t="n">
        <v>1.69464275</v>
      </c>
      <c r="G15" s="18" t="n">
        <v>84.29883737</v>
      </c>
      <c r="H15" s="20" t="n">
        <v>1.69464275</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(2795.0/B16*100)</f>
        <v/>
      </c>
      <c r="D16" s="19" t="n">
        <v>316</v>
      </c>
      <c r="E16" s="18" t="n">
        <v>24.66589705</v>
      </c>
      <c r="F16" s="20" t="n">
        <v>2.30691632</v>
      </c>
      <c r="G16" s="18" t="n">
        <v>72.34483904</v>
      </c>
      <c r="H16" s="20" t="n">
        <v>2.27648863</v>
      </c>
      <c r="I16" s="18" t="n">
        <v>0</v>
      </c>
      <c r="J16" s="20" t="n">
        <v>0</v>
      </c>
      <c r="K16" s="18" t="n">
        <v>2.06783949</v>
      </c>
      <c r="L16" s="20" t="n">
        <v>0.96708324</v>
      </c>
      <c r="M16" s="18" t="n">
        <v>0</v>
      </c>
      <c r="N16" s="20" t="n">
        <v>0</v>
      </c>
      <c r="O16" s="18" t="n">
        <v>0</v>
      </c>
      <c r="P16" s="20" t="n">
        <v>0</v>
      </c>
      <c r="Q16" s="18" t="n">
        <v>0.92142443</v>
      </c>
      <c r="R16" s="20" t="n">
        <v>0.5113895899999999</v>
      </c>
    </row>
    <row r="17" spans="1:18">
      <c r="A17" s="15" t="s">
        <v>575</v>
      </c>
      <c r="B17" s="17" t="n">
        <v>3197</v>
      </c>
      <c r="C17" s="18">
        <f>(2826.0/B17*100)</f>
        <v/>
      </c>
      <c r="D17" s="19" t="n">
        <v>371</v>
      </c>
      <c r="E17" s="18" t="n">
        <v>21.93898769</v>
      </c>
      <c r="F17" s="20" t="n">
        <v>2.36474221</v>
      </c>
      <c r="G17" s="18" t="n">
        <v>75.96490805000001</v>
      </c>
      <c r="H17" s="20" t="n">
        <v>2.29061618</v>
      </c>
      <c r="I17" s="18" t="n">
        <v>0</v>
      </c>
      <c r="J17" s="20" t="n">
        <v>0</v>
      </c>
      <c r="K17" s="18" t="n">
        <v>1.21700515</v>
      </c>
      <c r="L17" s="20" t="n">
        <v>0.93437839</v>
      </c>
      <c r="M17" s="18" t="n">
        <v>0</v>
      </c>
      <c r="N17" s="20" t="n">
        <v>0</v>
      </c>
      <c r="O17" s="18" t="n">
        <v>0</v>
      </c>
      <c r="P17" s="20" t="n">
        <v>0</v>
      </c>
      <c r="Q17" s="18" t="n">
        <v>0.87909911</v>
      </c>
      <c r="R17" s="20" t="n">
        <v>0.52674015</v>
      </c>
    </row>
    <row r="18" spans="1:18">
      <c r="A18" s="15" t="s">
        <v>576</v>
      </c>
      <c r="B18" s="17" t="n">
        <v>2706</v>
      </c>
      <c r="C18" s="18">
        <f>(2428.0/B18*100)</f>
        <v/>
      </c>
      <c r="D18" s="19" t="n">
        <v>278</v>
      </c>
      <c r="E18" s="18" t="n">
        <v>32.87326202</v>
      </c>
      <c r="F18" s="20" t="n">
        <v>3.10082661</v>
      </c>
      <c r="G18" s="18" t="n">
        <v>65.89880604</v>
      </c>
      <c r="H18" s="20" t="n">
        <v>3.1495151</v>
      </c>
      <c r="I18" s="18" t="n">
        <v>0</v>
      </c>
      <c r="J18" s="20" t="n">
        <v>0</v>
      </c>
      <c r="K18" s="18" t="n">
        <v>1.22793193</v>
      </c>
      <c r="L18" s="20" t="n">
        <v>0.73577638</v>
      </c>
      <c r="M18" s="18" t="n">
        <v>0</v>
      </c>
      <c r="N18" s="20" t="n">
        <v>0</v>
      </c>
      <c r="O18" s="18" t="n">
        <v>0</v>
      </c>
      <c r="P18" s="20" t="n">
        <v>0</v>
      </c>
      <c r="Q18" s="18" t="n">
        <v>0</v>
      </c>
      <c r="R18" s="20" t="n">
        <v>0</v>
      </c>
    </row>
    <row r="19" spans="1:18">
      <c r="A19" s="15" t="s">
        <v>577</v>
      </c>
      <c r="B19" s="17" t="n">
        <v>2850</v>
      </c>
      <c r="C19" s="18">
        <f>(2536.0/B19*100)</f>
        <v/>
      </c>
      <c r="D19" s="19" t="n">
        <v>314</v>
      </c>
      <c r="E19" s="18" t="n">
        <v>24.64825355</v>
      </c>
      <c r="F19" s="20" t="n">
        <v>2.85231678</v>
      </c>
      <c r="G19" s="18" t="n">
        <v>74.75461479000001</v>
      </c>
      <c r="H19" s="20" t="n">
        <v>2.80928873</v>
      </c>
      <c r="I19" s="18" t="n">
        <v>0</v>
      </c>
      <c r="J19" s="20" t="n">
        <v>0</v>
      </c>
      <c r="K19" s="18" t="n">
        <v>0</v>
      </c>
      <c r="L19" s="20" t="n">
        <v>0</v>
      </c>
      <c r="M19" s="18" t="n">
        <v>0</v>
      </c>
      <c r="N19" s="20" t="n">
        <v>0</v>
      </c>
      <c r="O19" s="18" t="n">
        <v>0</v>
      </c>
      <c r="P19" s="20" t="n">
        <v>0</v>
      </c>
      <c r="Q19" s="18" t="n">
        <v>0.59713166</v>
      </c>
      <c r="R19" s="20" t="n">
        <v>0.39629096</v>
      </c>
    </row>
    <row r="20" spans="1:18">
      <c r="A20" s="15" t="s">
        <v>578</v>
      </c>
      <c r="B20" s="17" t="n">
        <v>1741</v>
      </c>
      <c r="C20" s="18">
        <f>(1557.0/B20*100)</f>
        <v/>
      </c>
      <c r="D20" s="19" t="n">
        <v>184</v>
      </c>
      <c r="E20" s="18" t="n">
        <v>36.47600715</v>
      </c>
      <c r="F20" s="20" t="n">
        <v>3.37498863</v>
      </c>
      <c r="G20" s="18" t="n">
        <v>61.19035374</v>
      </c>
      <c r="H20" s="20" t="n">
        <v>3.39295351</v>
      </c>
      <c r="I20" s="18" t="n">
        <v>0</v>
      </c>
      <c r="J20" s="20" t="n">
        <v>0</v>
      </c>
      <c r="K20" s="18" t="n">
        <v>1.16794217</v>
      </c>
      <c r="L20" s="20" t="n">
        <v>0.8141597699999999</v>
      </c>
      <c r="M20" s="18" t="n">
        <v>0</v>
      </c>
      <c r="N20" s="20" t="n">
        <v>0</v>
      </c>
      <c r="O20" s="18" t="n">
        <v>0</v>
      </c>
      <c r="P20" s="20" t="n">
        <v>0</v>
      </c>
      <c r="Q20" s="18" t="n">
        <v>1.16569693</v>
      </c>
      <c r="R20" s="20" t="n">
        <v>0.8061211700000001</v>
      </c>
    </row>
    <row r="21" spans="1:18">
      <c r="A21" s="15" t="s">
        <v>579</v>
      </c>
      <c r="B21" s="17" t="n">
        <v>2833</v>
      </c>
      <c r="C21" s="18">
        <f>(2520.0/B21*100)</f>
        <v/>
      </c>
      <c r="D21" s="19" t="n">
        <v>313</v>
      </c>
      <c r="E21" s="18" t="n">
        <v>31.28760118</v>
      </c>
      <c r="F21" s="20" t="n">
        <v>2.40326367</v>
      </c>
      <c r="G21" s="18" t="n">
        <v>68.07979472</v>
      </c>
      <c r="H21" s="20" t="n">
        <v>2.55574425</v>
      </c>
      <c r="I21" s="18" t="n">
        <v>0</v>
      </c>
      <c r="J21" s="20" t="n">
        <v>0</v>
      </c>
      <c r="K21" s="18" t="n">
        <v>0</v>
      </c>
      <c r="L21" s="20" t="n">
        <v>0</v>
      </c>
      <c r="M21" s="18" t="n">
        <v>0</v>
      </c>
      <c r="N21" s="20" t="n">
        <v>0</v>
      </c>
      <c r="O21" s="18" t="n">
        <v>0</v>
      </c>
      <c r="P21" s="20" t="n">
        <v>0</v>
      </c>
      <c r="Q21" s="18" t="n">
        <v>0.6326041</v>
      </c>
      <c r="R21" s="20" t="n">
        <v>0.43730189</v>
      </c>
    </row>
    <row r="22" spans="1:18">
      <c r="A22" s="15" t="s">
        <v>580</v>
      </c>
      <c r="B22" s="17" t="n">
        <v>3667</v>
      </c>
      <c r="C22" s="18">
        <f>(3244.0/B22*100)</f>
        <v/>
      </c>
      <c r="D22" s="19" t="n">
        <v>423</v>
      </c>
      <c r="E22" s="18" t="n">
        <v>33.38133015</v>
      </c>
      <c r="F22" s="20" t="n">
        <v>2.28296126</v>
      </c>
      <c r="G22" s="18" t="n">
        <v>63.70995637</v>
      </c>
      <c r="H22" s="20" t="n">
        <v>2.41438549</v>
      </c>
      <c r="I22" s="18" t="n">
        <v>0</v>
      </c>
      <c r="J22" s="20" t="n">
        <v>0</v>
      </c>
      <c r="K22" s="18" t="n">
        <v>1.98925594</v>
      </c>
      <c r="L22" s="20" t="n">
        <v>0.75587751</v>
      </c>
      <c r="M22" s="18" t="n">
        <v>0</v>
      </c>
      <c r="N22" s="20" t="n">
        <v>0</v>
      </c>
      <c r="O22" s="18" t="n">
        <v>0</v>
      </c>
      <c r="P22" s="20" t="n">
        <v>0</v>
      </c>
      <c r="Q22" s="18" t="n">
        <v>0.91945754</v>
      </c>
      <c r="R22" s="20" t="n">
        <v>0.42402188</v>
      </c>
    </row>
    <row r="23" spans="1:18">
      <c r="A23" s="15" t="s">
        <v>581</v>
      </c>
      <c r="B23" s="17" t="n">
        <v>5792</v>
      </c>
      <c r="C23" s="18">
        <f>(5162.0/B23*100)</f>
        <v/>
      </c>
      <c r="D23" s="19" t="n">
        <v>630</v>
      </c>
      <c r="E23" s="18" t="n">
        <v>27.68725731</v>
      </c>
      <c r="F23" s="20" t="n">
        <v>2.79442761</v>
      </c>
      <c r="G23" s="18" t="n">
        <v>70.27898285000001</v>
      </c>
      <c r="H23" s="20" t="n">
        <v>3.1086499</v>
      </c>
      <c r="I23" s="18" t="n">
        <v>0</v>
      </c>
      <c r="J23" s="20" t="n">
        <v>0</v>
      </c>
      <c r="K23" s="18" t="n">
        <v>0.65639641</v>
      </c>
      <c r="L23" s="20" t="n">
        <v>0.47901335</v>
      </c>
      <c r="M23" s="18" t="n">
        <v>0</v>
      </c>
      <c r="N23" s="20" t="n">
        <v>0</v>
      </c>
      <c r="O23" s="18" t="n">
        <v>0</v>
      </c>
      <c r="P23" s="20" t="n">
        <v>0</v>
      </c>
      <c r="Q23" s="18" t="n">
        <v>1.37736342</v>
      </c>
      <c r="R23" s="20" t="n">
        <v>0.72325397</v>
      </c>
    </row>
    <row r="24" spans="1:18">
      <c r="A24" s="15" t="s">
        <v>582</v>
      </c>
      <c r="B24" s="17" t="n">
        <v>3309</v>
      </c>
      <c r="C24" s="18">
        <f>(2925.0/B24*100)</f>
        <v/>
      </c>
      <c r="D24" s="19" t="n">
        <v>384</v>
      </c>
      <c r="E24" s="18" t="n">
        <v>28.69699654</v>
      </c>
      <c r="F24" s="20" t="n">
        <v>2.42383964</v>
      </c>
      <c r="G24" s="18" t="n">
        <v>69.47554134000001</v>
      </c>
      <c r="H24" s="20" t="n">
        <v>2.38953749</v>
      </c>
      <c r="I24" s="18" t="n">
        <v>0</v>
      </c>
      <c r="J24" s="20" t="n">
        <v>0</v>
      </c>
      <c r="K24" s="18" t="n">
        <v>1.33323691</v>
      </c>
      <c r="L24" s="20" t="n">
        <v>0.60038512</v>
      </c>
      <c r="M24" s="18" t="n">
        <v>0</v>
      </c>
      <c r="N24" s="20" t="n">
        <v>0</v>
      </c>
      <c r="O24" s="18" t="n">
        <v>0</v>
      </c>
      <c r="P24" s="20" t="n">
        <v>0</v>
      </c>
      <c r="Q24" s="18" t="n">
        <v>0.49422521</v>
      </c>
      <c r="R24" s="20" t="n">
        <v>0.35102342</v>
      </c>
    </row>
    <row r="25" spans="1:18">
      <c r="A25" s="15" t="s">
        <v>583</v>
      </c>
      <c r="B25" s="17" t="n">
        <v>2669</v>
      </c>
      <c r="C25" s="18">
        <f>(2381.0/B25*100)</f>
        <v/>
      </c>
      <c r="D25" s="19" t="n">
        <v>288</v>
      </c>
      <c r="E25" s="18" t="n">
        <v>18.28827797</v>
      </c>
      <c r="F25" s="20" t="n">
        <v>2.49582906</v>
      </c>
      <c r="G25" s="18" t="n">
        <v>81.06080958</v>
      </c>
      <c r="H25" s="20" t="n">
        <v>2.47786832</v>
      </c>
      <c r="I25" s="18" t="n">
        <v>0</v>
      </c>
      <c r="J25" s="20" t="n">
        <v>0</v>
      </c>
      <c r="K25" s="18" t="n">
        <v>0.30372124</v>
      </c>
      <c r="L25" s="20" t="n">
        <v>0.30159766</v>
      </c>
      <c r="M25" s="18" t="n">
        <v>0</v>
      </c>
      <c r="N25" s="20" t="n">
        <v>0</v>
      </c>
      <c r="O25" s="18" t="n">
        <v>0</v>
      </c>
      <c r="P25" s="20" t="n">
        <v>0</v>
      </c>
      <c r="Q25" s="18" t="n">
        <v>0.34719121</v>
      </c>
      <c r="R25" s="20" t="n">
        <v>0.34895826</v>
      </c>
    </row>
    <row r="26" spans="1:18">
      <c r="A26" s="15" t="s">
        <v>584</v>
      </c>
      <c r="B26" s="17" t="n">
        <v>2419</v>
      </c>
      <c r="C26" s="18">
        <f>(2150.0/B26*100)</f>
        <v/>
      </c>
      <c r="D26" s="19" t="n">
        <v>269</v>
      </c>
      <c r="E26" s="18" t="n">
        <v>20.44052972</v>
      </c>
      <c r="F26" s="20" t="n">
        <v>2.59949868</v>
      </c>
      <c r="G26" s="18" t="n">
        <v>79.28703084</v>
      </c>
      <c r="H26" s="20" t="n">
        <v>2.60831427</v>
      </c>
      <c r="I26" s="18" t="n">
        <v>0</v>
      </c>
      <c r="J26" s="20" t="n">
        <v>0</v>
      </c>
      <c r="K26" s="18" t="n">
        <v>0</v>
      </c>
      <c r="L26" s="20" t="n">
        <v>0</v>
      </c>
      <c r="M26" s="18" t="n">
        <v>0</v>
      </c>
      <c r="N26" s="20" t="n">
        <v>0</v>
      </c>
      <c r="O26" s="18" t="n">
        <v>0</v>
      </c>
      <c r="P26" s="20" t="n">
        <v>0</v>
      </c>
      <c r="Q26" s="18" t="n">
        <v>0.27243943</v>
      </c>
      <c r="R26" s="20" t="n">
        <v>0.27097372</v>
      </c>
    </row>
    <row r="27" spans="1:18">
      <c r="A27" s="15" t="s">
        <v>585</v>
      </c>
      <c r="B27" s="17" t="n">
        <v>2683</v>
      </c>
      <c r="C27" s="18">
        <f>(2384.0/B27*100)</f>
        <v/>
      </c>
      <c r="D27" s="19" t="n">
        <v>299</v>
      </c>
      <c r="E27" s="18" t="n">
        <v>34.13208579</v>
      </c>
      <c r="F27" s="20" t="n">
        <v>3.04186367</v>
      </c>
      <c r="G27" s="18" t="n">
        <v>64.84521654</v>
      </c>
      <c r="H27" s="20" t="n">
        <v>3.08156403</v>
      </c>
      <c r="I27" s="18" t="n">
        <v>0</v>
      </c>
      <c r="J27" s="20" t="n">
        <v>0</v>
      </c>
      <c r="K27" s="18" t="n">
        <v>0.68101056</v>
      </c>
      <c r="L27" s="20" t="n">
        <v>0.47843219</v>
      </c>
      <c r="M27" s="18" t="n">
        <v>0</v>
      </c>
      <c r="N27" s="20" t="n">
        <v>0</v>
      </c>
      <c r="O27" s="18" t="n">
        <v>0</v>
      </c>
      <c r="P27" s="20" t="n">
        <v>0</v>
      </c>
      <c r="Q27" s="18" t="n">
        <v>0.34168711</v>
      </c>
      <c r="R27" s="20" t="n">
        <v>0.34798504</v>
      </c>
    </row>
    <row r="28" spans="1:18">
      <c r="A28" s="15" t="s">
        <v>586</v>
      </c>
      <c r="B28" s="17" t="n">
        <v>3803</v>
      </c>
      <c r="C28" s="18">
        <f>(3434.0/B28*100)</f>
        <v/>
      </c>
      <c r="D28" s="19" t="n">
        <v>369</v>
      </c>
      <c r="E28" s="18" t="n">
        <v>37.84101427</v>
      </c>
      <c r="F28" s="20" t="n">
        <v>2.4597002</v>
      </c>
      <c r="G28" s="18" t="n">
        <v>60.78055641</v>
      </c>
      <c r="H28" s="20" t="n">
        <v>2.39164832</v>
      </c>
      <c r="I28" s="18" t="n">
        <v>0</v>
      </c>
      <c r="J28" s="20" t="n">
        <v>0</v>
      </c>
      <c r="K28" s="18" t="n">
        <v>0.76674804</v>
      </c>
      <c r="L28" s="20" t="n">
        <v>0.45378174</v>
      </c>
      <c r="M28" s="18" t="n">
        <v>0</v>
      </c>
      <c r="N28" s="20" t="n">
        <v>0</v>
      </c>
      <c r="O28" s="18" t="n">
        <v>0</v>
      </c>
      <c r="P28" s="20" t="n">
        <v>0</v>
      </c>
      <c r="Q28" s="18" t="n">
        <v>0.61168129</v>
      </c>
      <c r="R28" s="20" t="n">
        <v>0.35907567</v>
      </c>
    </row>
    <row r="29" spans="1:18">
      <c r="A29" s="15" t="s">
        <v>587</v>
      </c>
      <c r="B29" s="17" t="n">
        <v>2700</v>
      </c>
      <c r="C29" s="18">
        <f>(2388.0/B29*100)</f>
        <v/>
      </c>
      <c r="D29" s="19" t="n">
        <v>312</v>
      </c>
      <c r="E29" s="18" t="n">
        <v>25.152336</v>
      </c>
      <c r="F29" s="20" t="n">
        <v>2.35896114</v>
      </c>
      <c r="G29" s="18" t="n">
        <v>74.84766399999999</v>
      </c>
      <c r="H29" s="20" t="n">
        <v>2.35896114</v>
      </c>
      <c r="I29" s="18" t="n">
        <v>0</v>
      </c>
      <c r="J29" s="20" t="n">
        <v>0</v>
      </c>
      <c r="K29" s="18" t="n">
        <v>0</v>
      </c>
      <c r="L29" s="20" t="n">
        <v>0</v>
      </c>
      <c r="M29" s="18" t="n">
        <v>0</v>
      </c>
      <c r="N29" s="20" t="n">
        <v>0</v>
      </c>
      <c r="O29" s="18" t="n">
        <v>0</v>
      </c>
      <c r="P29" s="20" t="n">
        <v>0</v>
      </c>
      <c r="Q29" s="18" t="n">
        <v>0</v>
      </c>
      <c r="R29" s="20" t="n">
        <v>0</v>
      </c>
    </row>
    <row r="30" spans="1:18">
      <c r="A30" s="15" t="s">
        <v>588</v>
      </c>
      <c r="B30" s="17" t="n">
        <v>2257</v>
      </c>
      <c r="C30" s="18">
        <f>(2030.0/B30*100)</f>
        <v/>
      </c>
      <c r="D30" s="19" t="n">
        <v>227</v>
      </c>
      <c r="E30" s="18" t="n">
        <v>29.39085848</v>
      </c>
      <c r="F30" s="20" t="n">
        <v>3.0801213</v>
      </c>
      <c r="G30" s="18" t="n">
        <v>70.08742503000001</v>
      </c>
      <c r="H30" s="20" t="n">
        <v>3.13772168</v>
      </c>
      <c r="I30" s="18" t="n">
        <v>0</v>
      </c>
      <c r="J30" s="20" t="n">
        <v>0</v>
      </c>
      <c r="K30" s="18" t="n">
        <v>0.52171649</v>
      </c>
      <c r="L30" s="20" t="n">
        <v>0.49771429</v>
      </c>
      <c r="M30" s="18" t="n">
        <v>0</v>
      </c>
      <c r="N30" s="20" t="n">
        <v>0</v>
      </c>
      <c r="O30" s="18" t="n">
        <v>0</v>
      </c>
      <c r="P30" s="20" t="n">
        <v>0</v>
      </c>
      <c r="Q30" s="18" t="n">
        <v>0</v>
      </c>
      <c r="R30" s="20" t="n">
        <v>0</v>
      </c>
    </row>
    <row r="31" spans="1:18">
      <c r="A31" s="15" t="s">
        <v>589</v>
      </c>
      <c r="B31" s="17" t="n">
        <v>2706</v>
      </c>
      <c r="C31" s="18">
        <f>(2411.0/B31*100)</f>
        <v/>
      </c>
      <c r="D31" s="19" t="n">
        <v>295</v>
      </c>
      <c r="E31" s="18" t="n">
        <v>24.51644422</v>
      </c>
      <c r="F31" s="20" t="n">
        <v>2.79727767</v>
      </c>
      <c r="G31" s="18" t="n">
        <v>73.77758177</v>
      </c>
      <c r="H31" s="20" t="n">
        <v>2.70461429</v>
      </c>
      <c r="I31" s="18" t="n">
        <v>0</v>
      </c>
      <c r="J31" s="20" t="n">
        <v>0</v>
      </c>
      <c r="K31" s="18" t="n">
        <v>1.38434457</v>
      </c>
      <c r="L31" s="20" t="n">
        <v>0.69226896</v>
      </c>
      <c r="M31" s="18" t="n">
        <v>0</v>
      </c>
      <c r="N31" s="20" t="n">
        <v>0</v>
      </c>
      <c r="O31" s="18" t="n">
        <v>0</v>
      </c>
      <c r="P31" s="20" t="n">
        <v>0</v>
      </c>
      <c r="Q31" s="18" t="n">
        <v>0.32162944</v>
      </c>
      <c r="R31" s="20" t="n">
        <v>0.30888714</v>
      </c>
    </row>
    <row r="32" spans="1:18">
      <c r="A32" s="15" t="s">
        <v>590</v>
      </c>
      <c r="B32" s="17" t="n">
        <v>2209</v>
      </c>
      <c r="C32" s="18">
        <f>(1961.0/B32*100)</f>
        <v/>
      </c>
      <c r="D32" s="19" t="n">
        <v>248</v>
      </c>
      <c r="E32" s="18" t="n">
        <v>39.19212742</v>
      </c>
      <c r="F32" s="20" t="n">
        <v>3.04341812</v>
      </c>
      <c r="G32" s="18" t="n">
        <v>59.79496617</v>
      </c>
      <c r="H32" s="20" t="n">
        <v>3.14444642</v>
      </c>
      <c r="I32" s="18" t="n">
        <v>0</v>
      </c>
      <c r="J32" s="20" t="n">
        <v>0</v>
      </c>
      <c r="K32" s="18" t="n">
        <v>0.33076876</v>
      </c>
      <c r="L32" s="20" t="n">
        <v>0.3328804</v>
      </c>
      <c r="M32" s="18" t="n">
        <v>0</v>
      </c>
      <c r="N32" s="20" t="n">
        <v>0</v>
      </c>
      <c r="O32" s="18" t="n">
        <v>0</v>
      </c>
      <c r="P32" s="20" t="n">
        <v>0</v>
      </c>
      <c r="Q32" s="18" t="n">
        <v>0.68213765</v>
      </c>
      <c r="R32" s="20" t="n">
        <v>0.48176487</v>
      </c>
    </row>
    <row r="33" spans="1:18">
      <c r="A33" s="15" t="s">
        <v>591</v>
      </c>
      <c r="B33" s="17" t="n">
        <v>3651</v>
      </c>
      <c r="C33" s="18">
        <f>(3261.0/B33*100)</f>
        <v/>
      </c>
      <c r="D33" s="19" t="n">
        <v>390</v>
      </c>
      <c r="E33" s="18" t="n">
        <v>28.65046049</v>
      </c>
      <c r="F33" s="20" t="n">
        <v>2.76167703</v>
      </c>
      <c r="G33" s="18" t="n">
        <v>70.75210133</v>
      </c>
      <c r="H33" s="20" t="n">
        <v>2.78546168</v>
      </c>
      <c r="I33" s="18" t="n">
        <v>0</v>
      </c>
      <c r="J33" s="20" t="n">
        <v>0</v>
      </c>
      <c r="K33" s="18" t="n">
        <v>0.33736439</v>
      </c>
      <c r="L33" s="20" t="n">
        <v>0.3737385</v>
      </c>
      <c r="M33" s="18" t="n">
        <v>0</v>
      </c>
      <c r="N33" s="20" t="n">
        <v>0</v>
      </c>
      <c r="O33" s="18" t="n">
        <v>0</v>
      </c>
      <c r="P33" s="20" t="n">
        <v>0</v>
      </c>
      <c r="Q33" s="18" t="n">
        <v>0.26007379</v>
      </c>
      <c r="R33" s="20" t="n">
        <v>0.27497189</v>
      </c>
    </row>
    <row r="34" spans="1:18">
      <c r="A34" s="15" t="s">
        <v>592</v>
      </c>
      <c r="B34" s="17" t="n">
        <v>3035</v>
      </c>
      <c r="C34" s="18">
        <f>(2722.0/B34*100)</f>
        <v/>
      </c>
      <c r="D34" s="19" t="n">
        <v>313</v>
      </c>
      <c r="E34" s="18" t="n">
        <v>31.3443293</v>
      </c>
      <c r="F34" s="20" t="n">
        <v>3.09337815</v>
      </c>
      <c r="G34" s="18" t="n">
        <v>68.15243769999999</v>
      </c>
      <c r="H34" s="20" t="n">
        <v>3.12483244</v>
      </c>
      <c r="I34" s="18" t="n">
        <v>0</v>
      </c>
      <c r="J34" s="20" t="n">
        <v>0</v>
      </c>
      <c r="K34" s="18" t="n">
        <v>0</v>
      </c>
      <c r="L34" s="20" t="n">
        <v>0</v>
      </c>
      <c r="M34" s="18" t="n">
        <v>0</v>
      </c>
      <c r="N34" s="20" t="n">
        <v>0</v>
      </c>
      <c r="O34" s="18" t="n">
        <v>0</v>
      </c>
      <c r="P34" s="20" t="n">
        <v>0</v>
      </c>
      <c r="Q34" s="18" t="n">
        <v>0.503233</v>
      </c>
      <c r="R34" s="20" t="n">
        <v>0.28380073</v>
      </c>
    </row>
    <row r="35" spans="1:18">
      <c r="A35" s="15" t="s">
        <v>593</v>
      </c>
      <c r="B35" s="17" t="n">
        <v>2901</v>
      </c>
      <c r="C35" s="18">
        <f>(2586.0/B35*100)</f>
        <v/>
      </c>
      <c r="D35" s="19" t="n">
        <v>315</v>
      </c>
      <c r="E35" s="18" t="n">
        <v>21.19278094</v>
      </c>
      <c r="F35" s="20" t="n">
        <v>2.23087209</v>
      </c>
      <c r="G35" s="18" t="n">
        <v>77.81328809999999</v>
      </c>
      <c r="H35" s="20" t="n">
        <v>2.26174107</v>
      </c>
      <c r="I35" s="18" t="n">
        <v>0</v>
      </c>
      <c r="J35" s="20" t="n">
        <v>0</v>
      </c>
      <c r="K35" s="18" t="n">
        <v>0</v>
      </c>
      <c r="L35" s="20" t="n">
        <v>0</v>
      </c>
      <c r="M35" s="18" t="n">
        <v>0</v>
      </c>
      <c r="N35" s="20" t="n">
        <v>0</v>
      </c>
      <c r="O35" s="18" t="n">
        <v>0</v>
      </c>
      <c r="P35" s="20" t="n">
        <v>0</v>
      </c>
      <c r="Q35" s="18" t="n">
        <v>0.99393096</v>
      </c>
      <c r="R35" s="20" t="n">
        <v>1.01071515</v>
      </c>
    </row>
    <row r="36" spans="1:18">
      <c r="A36" s="15" t="s">
        <v>594</v>
      </c>
      <c r="B36" s="17" t="n">
        <v>3404</v>
      </c>
      <c r="C36" s="18">
        <f>(3054.0/B36*100)</f>
        <v/>
      </c>
      <c r="D36" s="19" t="n">
        <v>350</v>
      </c>
      <c r="E36" s="18" t="n">
        <v>33.3679632</v>
      </c>
      <c r="F36" s="20" t="n">
        <v>2.8692297</v>
      </c>
      <c r="G36" s="18" t="n">
        <v>65.64147181</v>
      </c>
      <c r="H36" s="20" t="n">
        <v>2.95040658</v>
      </c>
      <c r="I36" s="18" t="n">
        <v>0</v>
      </c>
      <c r="J36" s="20" t="n">
        <v>0</v>
      </c>
      <c r="K36" s="18" t="n">
        <v>0</v>
      </c>
      <c r="L36" s="20" t="n">
        <v>0</v>
      </c>
      <c r="M36" s="18" t="n">
        <v>0</v>
      </c>
      <c r="N36" s="20" t="n">
        <v>0</v>
      </c>
      <c r="O36" s="18" t="n">
        <v>0</v>
      </c>
      <c r="P36" s="20" t="n">
        <v>0</v>
      </c>
      <c r="Q36" s="18" t="n">
        <v>0.99056499</v>
      </c>
      <c r="R36" s="20" t="n">
        <v>0.58438592</v>
      </c>
    </row>
    <row r="37" spans="1:18">
      <c r="A37" s="15" t="s">
        <v>595</v>
      </c>
      <c r="B37" s="17" t="n">
        <v>2731</v>
      </c>
      <c r="C37" s="18">
        <f>(2449.0/B37*100)</f>
        <v/>
      </c>
      <c r="D37" s="19" t="n">
        <v>282</v>
      </c>
      <c r="E37" s="18" t="n">
        <v>23.49334744</v>
      </c>
      <c r="F37" s="20" t="n">
        <v>2.40409856</v>
      </c>
      <c r="G37" s="18" t="n">
        <v>74.75663633000001</v>
      </c>
      <c r="H37" s="20" t="n">
        <v>2.58215658</v>
      </c>
      <c r="I37" s="18" t="n">
        <v>0</v>
      </c>
      <c r="J37" s="20" t="n">
        <v>0</v>
      </c>
      <c r="K37" s="18" t="n">
        <v>1.04592948</v>
      </c>
      <c r="L37" s="20" t="n">
        <v>0.59279245</v>
      </c>
      <c r="M37" s="18" t="n">
        <v>0</v>
      </c>
      <c r="N37" s="20" t="n">
        <v>0</v>
      </c>
      <c r="O37" s="18" t="n">
        <v>0</v>
      </c>
      <c r="P37" s="20" t="n">
        <v>0</v>
      </c>
      <c r="Q37" s="18" t="n">
        <v>0.70408676</v>
      </c>
      <c r="R37" s="20" t="n">
        <v>0.53478062</v>
      </c>
    </row>
    <row r="38" spans="1:18">
      <c r="A38" s="15" t="s">
        <v>596</v>
      </c>
      <c r="B38" s="17" t="n">
        <v>2807</v>
      </c>
      <c r="C38" s="18">
        <f>(2508.0/B38*100)</f>
        <v/>
      </c>
      <c r="D38" s="19" t="n">
        <v>299</v>
      </c>
      <c r="E38" s="18" t="n">
        <v>24.94667077</v>
      </c>
      <c r="F38" s="20" t="n">
        <v>2.60825132</v>
      </c>
      <c r="G38" s="18" t="n">
        <v>74.26525931</v>
      </c>
      <c r="H38" s="20" t="n">
        <v>2.67319329</v>
      </c>
      <c r="I38" s="18" t="n">
        <v>0</v>
      </c>
      <c r="J38" s="20" t="n">
        <v>0</v>
      </c>
      <c r="K38" s="18" t="n">
        <v>0</v>
      </c>
      <c r="L38" s="20" t="n">
        <v>0</v>
      </c>
      <c r="M38" s="18" t="n">
        <v>0</v>
      </c>
      <c r="N38" s="20" t="n">
        <v>0</v>
      </c>
      <c r="O38" s="18" t="n">
        <v>0</v>
      </c>
      <c r="P38" s="20" t="n">
        <v>0</v>
      </c>
      <c r="Q38" s="18" t="n">
        <v>0.78806992</v>
      </c>
      <c r="R38" s="20" t="n">
        <v>0.52098281</v>
      </c>
    </row>
    <row r="39" spans="1:18">
      <c r="A39" s="15" t="s">
        <v>597</v>
      </c>
      <c r="B39" s="17" t="n">
        <v>2938</v>
      </c>
      <c r="C39" s="18">
        <f>(2591.0/B39*100)</f>
        <v/>
      </c>
      <c r="D39" s="19" t="n">
        <v>347</v>
      </c>
      <c r="E39" s="18" t="n">
        <v>39.50662754</v>
      </c>
      <c r="F39" s="20" t="n">
        <v>2.91006419</v>
      </c>
      <c r="G39" s="18" t="n">
        <v>58.21169516</v>
      </c>
      <c r="H39" s="20" t="n">
        <v>2.88250168</v>
      </c>
      <c r="I39" s="18" t="n">
        <v>0</v>
      </c>
      <c r="J39" s="20" t="n">
        <v>0</v>
      </c>
      <c r="K39" s="18" t="n">
        <v>0.26314222</v>
      </c>
      <c r="L39" s="20" t="n">
        <v>0.19900378</v>
      </c>
      <c r="M39" s="18" t="n">
        <v>0</v>
      </c>
      <c r="N39" s="20" t="n">
        <v>0</v>
      </c>
      <c r="O39" s="18" t="n">
        <v>0</v>
      </c>
      <c r="P39" s="20" t="n">
        <v>0</v>
      </c>
      <c r="Q39" s="18" t="n">
        <v>2.01853508</v>
      </c>
      <c r="R39" s="20" t="n">
        <v>0.96904431</v>
      </c>
    </row>
    <row r="40" spans="1:18">
      <c r="A40" s="15" t="s">
        <v>598</v>
      </c>
      <c r="B40" s="17" t="n">
        <v>6922</v>
      </c>
      <c r="C40" s="18">
        <f>(6195.0/B40*100)</f>
        <v/>
      </c>
      <c r="D40" s="19" t="n">
        <v>727</v>
      </c>
      <c r="E40" s="18" t="n">
        <v>26.58034577</v>
      </c>
      <c r="F40" s="20" t="n">
        <v>2.64317217</v>
      </c>
      <c r="G40" s="18" t="n">
        <v>72.52491812</v>
      </c>
      <c r="H40" s="20" t="n">
        <v>2.57346434</v>
      </c>
      <c r="I40" s="18" t="n">
        <v>0</v>
      </c>
      <c r="J40" s="20" t="n">
        <v>0</v>
      </c>
      <c r="K40" s="18" t="n">
        <v>0.45754547</v>
      </c>
      <c r="L40" s="20" t="n">
        <v>0.37195372</v>
      </c>
      <c r="M40" s="18" t="n">
        <v>0</v>
      </c>
      <c r="N40" s="20" t="n">
        <v>0</v>
      </c>
      <c r="O40" s="18" t="n">
        <v>0</v>
      </c>
      <c r="P40" s="20" t="n">
        <v>0</v>
      </c>
      <c r="Q40" s="18" t="n">
        <v>0.43719063</v>
      </c>
      <c r="R40" s="20" t="n">
        <v>0.30560694</v>
      </c>
    </row>
    <row r="41" spans="1:18">
      <c r="A41" s="15" t="s">
        <v>599</v>
      </c>
      <c r="B41" s="17" t="n">
        <v>2854</v>
      </c>
      <c r="C41" s="18">
        <f>(2559.0/B41*100)</f>
        <v/>
      </c>
      <c r="D41" s="19" t="n">
        <v>295</v>
      </c>
      <c r="E41" s="18" t="n">
        <v>34.61340181</v>
      </c>
      <c r="F41" s="20" t="n">
        <v>3.12227498</v>
      </c>
      <c r="G41" s="18" t="n">
        <v>65.14348323</v>
      </c>
      <c r="H41" s="20" t="n">
        <v>3.18338462</v>
      </c>
      <c r="I41" s="18" t="n">
        <v>0</v>
      </c>
      <c r="J41" s="20" t="n">
        <v>0</v>
      </c>
      <c r="K41" s="18" t="n">
        <v>0.24311497</v>
      </c>
      <c r="L41" s="20" t="n">
        <v>0.24581987</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(10984.0/B46*100)</f>
        <v/>
      </c>
      <c r="D46" s="19" t="n">
        <v>1089</v>
      </c>
      <c r="E46" s="18" t="n">
        <v>47.23661129</v>
      </c>
      <c r="F46" s="20" t="n">
        <v>2.21628908</v>
      </c>
      <c r="G46" s="18" t="n">
        <v>49.25040602</v>
      </c>
      <c r="H46" s="20" t="n">
        <v>2.23152035</v>
      </c>
      <c r="I46" s="18" t="n">
        <v>0</v>
      </c>
      <c r="J46" s="20" t="n">
        <v>0</v>
      </c>
      <c r="K46" s="18" t="n">
        <v>1.91155833</v>
      </c>
      <c r="L46" s="20" t="n">
        <v>0.74581065</v>
      </c>
      <c r="M46" s="18" t="n">
        <v>0</v>
      </c>
      <c r="N46" s="20" t="n">
        <v>0</v>
      </c>
      <c r="O46" s="18" t="n">
        <v>0</v>
      </c>
      <c r="P46" s="20" t="n">
        <v>0</v>
      </c>
      <c r="Q46" s="18" t="n">
        <v>1.60142436</v>
      </c>
      <c r="R46" s="20" t="n">
        <v>0.46978804</v>
      </c>
    </row>
    <row r="47" spans="1:18">
      <c r="A47" s="15" t="s">
        <v>606</v>
      </c>
      <c r="B47" s="17" t="n">
        <v>2823</v>
      </c>
      <c r="C47" s="18">
        <f>(2512.0/B47*100)</f>
        <v/>
      </c>
      <c r="D47" s="19" t="n">
        <v>311</v>
      </c>
      <c r="E47" s="18" t="n">
        <v>33.22060914</v>
      </c>
      <c r="F47" s="20" t="n">
        <v>2.75471457</v>
      </c>
      <c r="G47" s="18" t="n">
        <v>64.99196153</v>
      </c>
      <c r="H47" s="20" t="n">
        <v>2.7423622</v>
      </c>
      <c r="I47" s="18" t="n">
        <v>0</v>
      </c>
      <c r="J47" s="20" t="n">
        <v>0</v>
      </c>
      <c r="K47" s="18" t="n">
        <v>1.18594455</v>
      </c>
      <c r="L47" s="20" t="n">
        <v>0.56034226</v>
      </c>
      <c r="M47" s="18" t="n">
        <v>0</v>
      </c>
      <c r="N47" s="20" t="n">
        <v>0</v>
      </c>
      <c r="O47" s="18" t="n">
        <v>0</v>
      </c>
      <c r="P47" s="20" t="n">
        <v>0</v>
      </c>
      <c r="Q47" s="18" t="n">
        <v>0.6014847800000001</v>
      </c>
      <c r="R47" s="20" t="n">
        <v>0.42136702</v>
      </c>
    </row>
    <row r="48" spans="1:18">
      <c r="A48" s="15" t="s">
        <v>607</v>
      </c>
      <c r="B48" s="17" t="n">
        <v>4682</v>
      </c>
      <c r="C48" s="18">
        <f>(4155.0/B48*100)</f>
        <v/>
      </c>
      <c r="D48" s="19" t="n">
        <v>527</v>
      </c>
      <c r="E48" s="18" t="n">
        <v>28.57588086</v>
      </c>
      <c r="F48" s="20" t="n">
        <v>2.29380437</v>
      </c>
      <c r="G48" s="18" t="n">
        <v>69.6418218</v>
      </c>
      <c r="H48" s="20" t="n">
        <v>2.57471637</v>
      </c>
      <c r="I48" s="18" t="n">
        <v>0</v>
      </c>
      <c r="J48" s="20" t="n">
        <v>0</v>
      </c>
      <c r="K48" s="18" t="n">
        <v>1.78229734</v>
      </c>
      <c r="L48" s="20" t="n">
        <v>0.93628874</v>
      </c>
      <c r="M48" s="18" t="n">
        <v>0</v>
      </c>
      <c r="N48" s="20" t="n">
        <v>0</v>
      </c>
      <c r="O48" s="18" t="n">
        <v>0</v>
      </c>
      <c r="P48" s="20" t="n">
        <v>0</v>
      </c>
      <c r="Q48" s="18" t="n">
        <v>0</v>
      </c>
      <c r="R48" s="20" t="n">
        <v>0</v>
      </c>
    </row>
    <row r="49" spans="1:18">
      <c r="A49" s="15" t="s">
        <v>608</v>
      </c>
      <c r="B49" s="17" t="n">
        <v>6158</v>
      </c>
      <c r="C49" s="18">
        <f>(5489.0/B49*100)</f>
        <v/>
      </c>
      <c r="D49" s="19" t="n">
        <v>669</v>
      </c>
      <c r="E49" s="18" t="n">
        <v>41.86260604</v>
      </c>
      <c r="F49" s="20" t="n">
        <v>2.36240042</v>
      </c>
      <c r="G49" s="18" t="n">
        <v>55.22091568</v>
      </c>
      <c r="H49" s="20" t="n">
        <v>2.48555503</v>
      </c>
      <c r="I49" s="18" t="n">
        <v>0</v>
      </c>
      <c r="J49" s="20" t="n">
        <v>0</v>
      </c>
      <c r="K49" s="18" t="n">
        <v>2.22329352</v>
      </c>
      <c r="L49" s="20" t="n">
        <v>0.80262044</v>
      </c>
      <c r="M49" s="18" t="n">
        <v>0</v>
      </c>
      <c r="N49" s="20" t="n">
        <v>0</v>
      </c>
      <c r="O49" s="18" t="n">
        <v>0</v>
      </c>
      <c r="P49" s="20" t="n">
        <v>0</v>
      </c>
      <c r="Q49" s="18" t="n">
        <v>0.69318476</v>
      </c>
      <c r="R49" s="20" t="n">
        <v>0.41567409</v>
      </c>
    </row>
    <row r="50" spans="1:18">
      <c r="A50" s="15" t="s">
        <v>609</v>
      </c>
      <c r="B50" s="17" t="n">
        <v>3494</v>
      </c>
      <c r="C50" s="18">
        <f>(3154.0/B50*100)</f>
        <v/>
      </c>
      <c r="D50" s="19" t="n">
        <v>340</v>
      </c>
      <c r="E50" s="18" t="n">
        <v>39.90823276</v>
      </c>
      <c r="F50" s="20" t="n">
        <v>3.17568712</v>
      </c>
      <c r="G50" s="18" t="n">
        <v>57.79717989</v>
      </c>
      <c r="H50" s="20" t="n">
        <v>3.29295838</v>
      </c>
      <c r="I50" s="18" t="n">
        <v>0</v>
      </c>
      <c r="J50" s="20" t="n">
        <v>0</v>
      </c>
      <c r="K50" s="18" t="n">
        <v>0.98399907</v>
      </c>
      <c r="L50" s="20" t="n">
        <v>0.5675068599999999</v>
      </c>
      <c r="M50" s="18" t="n">
        <v>0</v>
      </c>
      <c r="N50" s="20" t="n">
        <v>0</v>
      </c>
      <c r="O50" s="18" t="n">
        <v>0</v>
      </c>
      <c r="P50" s="20" t="n">
        <v>0</v>
      </c>
      <c r="Q50" s="18" t="n">
        <v>1.31058828</v>
      </c>
      <c r="R50" s="20" t="n">
        <v>0.56925578</v>
      </c>
    </row>
    <row r="51" spans="1:18">
      <c r="A51" s="15" t="s">
        <v>610</v>
      </c>
      <c r="B51" s="17" t="n">
        <v>3013</v>
      </c>
      <c r="C51" s="18">
        <f>(2673.0/B51*100)</f>
        <v/>
      </c>
      <c r="D51" s="19" t="n">
        <v>340</v>
      </c>
      <c r="E51" s="18" t="n">
        <v>30.69697541</v>
      </c>
      <c r="F51" s="20" t="n">
        <v>3.0763518</v>
      </c>
      <c r="G51" s="18" t="n">
        <v>68.33802482</v>
      </c>
      <c r="H51" s="20" t="n">
        <v>3.05046129</v>
      </c>
      <c r="I51" s="18" t="n">
        <v>0</v>
      </c>
      <c r="J51" s="20" t="n">
        <v>0</v>
      </c>
      <c r="K51" s="18" t="n">
        <v>0.5585481799999999</v>
      </c>
      <c r="L51" s="20" t="n">
        <v>0.39452689</v>
      </c>
      <c r="M51" s="18" t="n">
        <v>0</v>
      </c>
      <c r="N51" s="20" t="n">
        <v>0</v>
      </c>
      <c r="O51" s="18" t="n">
        <v>0</v>
      </c>
      <c r="P51" s="20" t="n">
        <v>0</v>
      </c>
      <c r="Q51" s="18" t="n">
        <v>0.40645159</v>
      </c>
      <c r="R51" s="20" t="n">
        <v>0.40167001</v>
      </c>
    </row>
    <row r="52" spans="1:18">
      <c r="A52" s="15" t="s">
        <v>611</v>
      </c>
      <c r="B52" s="17" t="n">
        <v>2760</v>
      </c>
      <c r="C52" s="18">
        <f>(2467.0/B52*100)</f>
        <v/>
      </c>
      <c r="D52" s="19" t="n">
        <v>293</v>
      </c>
      <c r="E52" s="18" t="n">
        <v>36.03399592</v>
      </c>
      <c r="F52" s="20" t="n">
        <v>2.72600828</v>
      </c>
      <c r="G52" s="18" t="n">
        <v>62.85449373</v>
      </c>
      <c r="H52" s="20" t="n">
        <v>2.74458945</v>
      </c>
      <c r="I52" s="18" t="n">
        <v>0</v>
      </c>
      <c r="J52" s="20" t="n">
        <v>0</v>
      </c>
      <c r="K52" s="18" t="n">
        <v>0.59940259</v>
      </c>
      <c r="L52" s="20" t="n">
        <v>0.4353037</v>
      </c>
      <c r="M52" s="18" t="n">
        <v>0</v>
      </c>
      <c r="N52" s="20" t="n">
        <v>0</v>
      </c>
      <c r="O52" s="18" t="n">
        <v>0</v>
      </c>
      <c r="P52" s="20" t="n">
        <v>0</v>
      </c>
      <c r="Q52" s="18" t="n">
        <v>0.51210777</v>
      </c>
      <c r="R52" s="20" t="n">
        <v>0.36565158</v>
      </c>
    </row>
    <row r="53" spans="1:18">
      <c r="A53" s="15" t="s">
        <v>612</v>
      </c>
      <c r="B53" s="17" t="n">
        <v>2474</v>
      </c>
      <c r="C53" s="18">
        <f>(2220.0/B53*100)</f>
        <v/>
      </c>
      <c r="D53" s="19" t="n">
        <v>254</v>
      </c>
      <c r="E53" s="18" t="n">
        <v>48.37628395</v>
      </c>
      <c r="F53" s="20" t="n">
        <v>3.4570259</v>
      </c>
      <c r="G53" s="18" t="n">
        <v>35.28316451</v>
      </c>
      <c r="H53" s="20" t="n">
        <v>3.67373376</v>
      </c>
      <c r="I53" s="18" t="n">
        <v>0</v>
      </c>
      <c r="J53" s="20" t="n">
        <v>0</v>
      </c>
      <c r="K53" s="18" t="n">
        <v>15.69521726</v>
      </c>
      <c r="L53" s="20" t="n">
        <v>2.55823068</v>
      </c>
      <c r="M53" s="18" t="n">
        <v>0</v>
      </c>
      <c r="N53" s="20" t="n">
        <v>0</v>
      </c>
      <c r="O53" s="18" t="n">
        <v>0</v>
      </c>
      <c r="P53" s="20" t="n">
        <v>0</v>
      </c>
      <c r="Q53" s="18" t="n">
        <v>0.64533429</v>
      </c>
      <c r="R53" s="20" t="n">
        <v>0.48743358</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(2363.0/B55*100)</f>
        <v/>
      </c>
      <c r="D55" s="19" t="n">
        <v>312</v>
      </c>
      <c r="E55" s="18" t="n">
        <v>35.0361131</v>
      </c>
      <c r="F55" s="20" t="n">
        <v>2.94284849</v>
      </c>
      <c r="G55" s="18" t="n">
        <v>64.618866</v>
      </c>
      <c r="H55" s="20" t="n">
        <v>2.93143912</v>
      </c>
      <c r="I55" s="18" t="n">
        <v>0</v>
      </c>
      <c r="J55" s="20" t="n">
        <v>0</v>
      </c>
      <c r="K55" s="18" t="n">
        <v>0.3450209</v>
      </c>
      <c r="L55" s="20" t="n">
        <v>0.34183168</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(2858.0/B61*100)</f>
        <v/>
      </c>
      <c r="D61" s="19" t="n">
        <v>343</v>
      </c>
      <c r="E61" s="18" t="n">
        <v>26.98286181</v>
      </c>
      <c r="F61" s="20" t="n">
        <v>2.63406539</v>
      </c>
      <c r="G61" s="18" t="n">
        <v>72.41798606</v>
      </c>
      <c r="H61" s="20" t="n">
        <v>2.58630782</v>
      </c>
      <c r="I61" s="18" t="n">
        <v>0</v>
      </c>
      <c r="J61" s="20" t="n">
        <v>0</v>
      </c>
      <c r="K61" s="18" t="n">
        <v>0</v>
      </c>
      <c r="L61" s="20" t="n">
        <v>0</v>
      </c>
      <c r="M61" s="18" t="n">
        <v>0</v>
      </c>
      <c r="N61" s="20" t="n">
        <v>0</v>
      </c>
      <c r="O61" s="18" t="n">
        <v>0</v>
      </c>
      <c r="P61" s="20" t="n">
        <v>0</v>
      </c>
      <c r="Q61" s="18" t="n">
        <v>0.59915213</v>
      </c>
      <c r="R61" s="20" t="n">
        <v>0.37163789</v>
      </c>
    </row>
    <row r="62" spans="1:18">
      <c r="A62" s="15" t="s">
        <v>622</v>
      </c>
      <c r="B62" s="17" t="n">
        <v>2230</v>
      </c>
      <c r="C62" s="18">
        <f>(2016.0/B62*100)</f>
        <v/>
      </c>
      <c r="D62" s="19" t="n">
        <v>214</v>
      </c>
      <c r="E62" s="18" t="n">
        <v>34.18334159</v>
      </c>
      <c r="F62" s="20" t="n">
        <v>3.56948245</v>
      </c>
      <c r="G62" s="18" t="n">
        <v>65.81665841</v>
      </c>
      <c r="H62" s="20" t="n">
        <v>3.56948245</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(2473.0/B67*100)</f>
        <v/>
      </c>
      <c r="D67" s="19" t="n">
        <v>298</v>
      </c>
      <c r="E67" s="18" t="n">
        <v>39.53052919</v>
      </c>
      <c r="F67" s="20" t="n">
        <v>2.93309923</v>
      </c>
      <c r="G67" s="18" t="n">
        <v>52.74099226</v>
      </c>
      <c r="H67" s="20" t="n">
        <v>3.14049256</v>
      </c>
      <c r="I67" s="18" t="n">
        <v>0</v>
      </c>
      <c r="J67" s="20" t="n">
        <v>0</v>
      </c>
      <c r="K67" s="18" t="n">
        <v>2.86994772</v>
      </c>
      <c r="L67" s="20" t="n">
        <v>0.91431696</v>
      </c>
      <c r="M67" s="18" t="n">
        <v>0</v>
      </c>
      <c r="N67" s="20" t="n">
        <v>0</v>
      </c>
      <c r="O67" s="18" t="n">
        <v>0</v>
      </c>
      <c r="P67" s="20" t="n">
        <v>0</v>
      </c>
      <c r="Q67" s="18" t="n">
        <v>4.85853083</v>
      </c>
      <c r="R67" s="20" t="n">
        <v>1.10912116</v>
      </c>
    </row>
    <row r="68" spans="1:18">
      <c r="A68" s="15" t="s">
        <v>628</v>
      </c>
      <c r="B68" s="17" t="n">
        <v>3460</v>
      </c>
      <c r="C68" s="18">
        <f>(3110.0/B68*100)</f>
        <v/>
      </c>
      <c r="D68" s="19" t="n">
        <v>350</v>
      </c>
      <c r="E68" s="18" t="n">
        <v>46.85309833</v>
      </c>
      <c r="F68" s="20" t="n">
        <v>2.78026764</v>
      </c>
      <c r="G68" s="18" t="n">
        <v>53.14690167</v>
      </c>
      <c r="H68" s="20" t="n">
        <v>2.78026764</v>
      </c>
      <c r="I68" s="18" t="n">
        <v>0</v>
      </c>
      <c r="J68" s="20" t="n">
        <v>0</v>
      </c>
      <c r="K68" s="18" t="n">
        <v>0</v>
      </c>
      <c r="L68" s="20" t="n">
        <v>0</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(5385.0/B70*100)</f>
        <v/>
      </c>
      <c r="D70" s="19" t="n">
        <v>649</v>
      </c>
      <c r="E70" s="18" t="n">
        <v>42.95174082</v>
      </c>
      <c r="F70" s="20" t="n">
        <v>2.07755347</v>
      </c>
      <c r="G70" s="18" t="n">
        <v>54.41882794</v>
      </c>
      <c r="H70" s="20" t="n">
        <v>2.03754944</v>
      </c>
      <c r="I70" s="18" t="n">
        <v>0</v>
      </c>
      <c r="J70" s="20" t="n">
        <v>0</v>
      </c>
      <c r="K70" s="18" t="n">
        <v>2.01392506</v>
      </c>
      <c r="L70" s="20" t="n">
        <v>0.5741383799999999</v>
      </c>
      <c r="M70" s="18" t="n">
        <v>0</v>
      </c>
      <c r="N70" s="20" t="n">
        <v>0</v>
      </c>
      <c r="O70" s="18" t="n">
        <v>0</v>
      </c>
      <c r="P70" s="20" t="n">
        <v>0</v>
      </c>
      <c r="Q70" s="18" t="n">
        <v>0.61550618</v>
      </c>
      <c r="R70" s="20" t="n">
        <v>0.31120215</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(2763.0/B72*100)</f>
        <v/>
      </c>
      <c r="D72" s="19" t="n">
        <v>344</v>
      </c>
      <c r="E72" s="18" t="n">
        <v>20.91084837</v>
      </c>
      <c r="F72" s="20" t="n">
        <v>2.16458055</v>
      </c>
      <c r="G72" s="18" t="n">
        <v>77.61798824</v>
      </c>
      <c r="H72" s="20" t="n">
        <v>2.05234551</v>
      </c>
      <c r="I72" s="18" t="n">
        <v>0</v>
      </c>
      <c r="J72" s="20" t="n">
        <v>0</v>
      </c>
      <c r="K72" s="18" t="n">
        <v>0.18226564</v>
      </c>
      <c r="L72" s="20" t="n">
        <v>0.18171394</v>
      </c>
      <c r="M72" s="18" t="n">
        <v>0</v>
      </c>
      <c r="N72" s="20" t="n">
        <v>0</v>
      </c>
      <c r="O72" s="18" t="n">
        <v>0</v>
      </c>
      <c r="P72" s="20" t="n">
        <v>0</v>
      </c>
      <c r="Q72" s="18" t="n">
        <v>1.28889775</v>
      </c>
      <c r="R72" s="20" t="n">
        <v>1.30655888</v>
      </c>
    </row>
    <row r="73" spans="1:18">
      <c r="A73" s="15" t="s">
        <v>633</v>
      </c>
      <c r="B73" s="17" t="n">
        <v>2973</v>
      </c>
      <c r="C73" s="18">
        <f>(2678.0/B73*100)</f>
        <v/>
      </c>
      <c r="D73" s="19" t="n">
        <v>295</v>
      </c>
      <c r="E73" s="18" t="n">
        <v>21.63267402</v>
      </c>
      <c r="F73" s="20" t="n">
        <v>2.42369177</v>
      </c>
      <c r="G73" s="18" t="n">
        <v>77.9787662</v>
      </c>
      <c r="H73" s="20" t="n">
        <v>2.46968462</v>
      </c>
      <c r="I73" s="18" t="n">
        <v>0</v>
      </c>
      <c r="J73" s="20" t="n">
        <v>0</v>
      </c>
      <c r="K73" s="18" t="n">
        <v>0</v>
      </c>
      <c r="L73" s="20" t="n">
        <v>0</v>
      </c>
      <c r="M73" s="18" t="n">
        <v>0</v>
      </c>
      <c r="N73" s="20" t="n">
        <v>0</v>
      </c>
      <c r="O73" s="18" t="n">
        <v>0</v>
      </c>
      <c r="P73" s="20" t="n">
        <v>0</v>
      </c>
      <c r="Q73" s="18" t="n">
        <v>0.38855978</v>
      </c>
      <c r="R73" s="20" t="n">
        <v>0.39059497</v>
      </c>
    </row>
    <row r="74" spans="1:18">
      <c r="A74" s="15" t="s">
        <v>634</v>
      </c>
      <c r="B74" s="17" t="n">
        <v>3819</v>
      </c>
      <c r="C74" s="18">
        <f>(3411.0/B74*100)</f>
        <v/>
      </c>
      <c r="D74" s="19" t="n">
        <v>408</v>
      </c>
      <c r="E74" s="18" t="n">
        <v>24.50040149</v>
      </c>
      <c r="F74" s="20" t="n">
        <v>2.43186092</v>
      </c>
      <c r="G74" s="18" t="n">
        <v>75.1144422</v>
      </c>
      <c r="H74" s="20" t="n">
        <v>2.38429601</v>
      </c>
      <c r="I74" s="18" t="n">
        <v>0</v>
      </c>
      <c r="J74" s="20" t="n">
        <v>0</v>
      </c>
      <c r="K74" s="18" t="n">
        <v>0</v>
      </c>
      <c r="L74" s="20" t="n">
        <v>0</v>
      </c>
      <c r="M74" s="18" t="n">
        <v>0</v>
      </c>
      <c r="N74" s="20" t="n">
        <v>0</v>
      </c>
      <c r="O74" s="18" t="n">
        <v>0</v>
      </c>
      <c r="P74" s="20" t="n">
        <v>0</v>
      </c>
      <c r="Q74" s="18" t="n">
        <v>0.38515631</v>
      </c>
      <c r="R74" s="20" t="n">
        <v>0.33282783</v>
      </c>
    </row>
    <row r="75" spans="1:18">
      <c r="A75" s="15" t="s">
        <v>635</v>
      </c>
      <c r="B75" s="17" t="n">
        <v>4652</v>
      </c>
      <c r="C75" s="18">
        <f>(4162.0/B75*100)</f>
        <v/>
      </c>
      <c r="D75" s="19" t="n">
        <v>490</v>
      </c>
      <c r="E75" s="18" t="n">
        <v>44.93985313</v>
      </c>
      <c r="F75" s="20" t="n">
        <v>2.88072192</v>
      </c>
      <c r="G75" s="18" t="n">
        <v>54.78691078</v>
      </c>
      <c r="H75" s="20" t="n">
        <v>2.90728874</v>
      </c>
      <c r="I75" s="18" t="n">
        <v>0</v>
      </c>
      <c r="J75" s="20" t="n">
        <v>0</v>
      </c>
      <c r="K75" s="18" t="n">
        <v>0.27323609</v>
      </c>
      <c r="L75" s="20" t="n">
        <v>0.27385373</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(2662.0/B77*100)</f>
        <v/>
      </c>
      <c r="D77" s="19" t="n">
        <v>307</v>
      </c>
      <c r="E77" s="18" t="n">
        <v>42.0828709</v>
      </c>
      <c r="F77" s="20" t="n">
        <v>3.02480551</v>
      </c>
      <c r="G77" s="18" t="n">
        <v>52.28057686</v>
      </c>
      <c r="H77" s="20" t="n">
        <v>2.64792198</v>
      </c>
      <c r="I77" s="18" t="n">
        <v>0</v>
      </c>
      <c r="J77" s="20" t="n">
        <v>0</v>
      </c>
      <c r="K77" s="18" t="n">
        <v>4.68063339</v>
      </c>
      <c r="L77" s="20" t="n">
        <v>1.19900847</v>
      </c>
      <c r="M77" s="18" t="n">
        <v>0</v>
      </c>
      <c r="N77" s="20" t="n">
        <v>0</v>
      </c>
      <c r="O77" s="18" t="n">
        <v>0</v>
      </c>
      <c r="P77" s="20" t="n">
        <v>0</v>
      </c>
      <c r="Q77" s="18" t="n">
        <v>0.95591886</v>
      </c>
      <c r="R77" s="20" t="n">
        <v>0.52961452</v>
      </c>
    </row>
    <row r="78" spans="1:18">
      <c r="A78" s="15" t="s">
        <v>638</v>
      </c>
      <c r="B78" s="17" t="n">
        <v>7115</v>
      </c>
      <c r="C78" s="18">
        <f>(6296.0/B78*100)</f>
        <v/>
      </c>
      <c r="D78" s="19" t="n">
        <v>819</v>
      </c>
      <c r="E78" s="18" t="n">
        <v>37.91845757</v>
      </c>
      <c r="F78" s="20" t="n">
        <v>1.8067313</v>
      </c>
      <c r="G78" s="18" t="n">
        <v>60.33740154</v>
      </c>
      <c r="H78" s="20" t="n">
        <v>1.79039245</v>
      </c>
      <c r="I78" s="18" t="n">
        <v>0</v>
      </c>
      <c r="J78" s="20" t="n">
        <v>0</v>
      </c>
      <c r="K78" s="18" t="n">
        <v>0.85376091</v>
      </c>
      <c r="L78" s="20" t="n">
        <v>0.38164342</v>
      </c>
      <c r="M78" s="18" t="n">
        <v>0</v>
      </c>
      <c r="N78" s="20" t="n">
        <v>0</v>
      </c>
      <c r="O78" s="18" t="n">
        <v>0</v>
      </c>
      <c r="P78" s="20" t="n">
        <v>0</v>
      </c>
      <c r="Q78" s="18" t="n">
        <v>0.89037998</v>
      </c>
      <c r="R78" s="20" t="n">
        <v>0.30786412</v>
      </c>
    </row>
    <row r="79" spans="1:18">
      <c r="A79" s="15" t="s">
        <v>639</v>
      </c>
      <c r="B79" s="17" t="n">
        <v>3154</v>
      </c>
      <c r="C79" s="18">
        <f>(2817.0/B79*100)</f>
        <v/>
      </c>
      <c r="D79" s="19" t="n">
        <v>337</v>
      </c>
      <c r="E79" s="18" t="n">
        <v>43.95449183</v>
      </c>
      <c r="F79" s="20" t="n">
        <v>2.99312435</v>
      </c>
      <c r="G79" s="18" t="n">
        <v>51.75425737</v>
      </c>
      <c r="H79" s="20" t="n">
        <v>2.73486329</v>
      </c>
      <c r="I79" s="18" t="n">
        <v>0</v>
      </c>
      <c r="J79" s="20" t="n">
        <v>0</v>
      </c>
      <c r="K79" s="18" t="n">
        <v>2.19931572</v>
      </c>
      <c r="L79" s="20" t="n">
        <v>0.84621754</v>
      </c>
      <c r="M79" s="18" t="n">
        <v>0</v>
      </c>
      <c r="N79" s="20" t="n">
        <v>0</v>
      </c>
      <c r="O79" s="18" t="n">
        <v>0</v>
      </c>
      <c r="P79" s="20" t="n">
        <v>0</v>
      </c>
      <c r="Q79" s="18" t="n">
        <v>2.09193508</v>
      </c>
      <c r="R79" s="20" t="n">
        <v>0.82533221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(14246.0/B82*100)</f>
        <v/>
      </c>
      <c r="D82" s="19" t="n">
        <v>1715</v>
      </c>
      <c r="E82" s="18" t="n">
        <v>30.49465698</v>
      </c>
      <c r="F82" s="20" t="n">
        <v>1.6183746</v>
      </c>
      <c r="G82" s="18" t="n">
        <v>68.07834346999999</v>
      </c>
      <c r="H82" s="20" t="n">
        <v>1.62467615</v>
      </c>
      <c r="I82" s="18" t="n">
        <v>0</v>
      </c>
      <c r="J82" s="20" t="n">
        <v>0</v>
      </c>
      <c r="K82" s="18" t="n">
        <v>0.60641308</v>
      </c>
      <c r="L82" s="20" t="n">
        <v>0.24367964</v>
      </c>
      <c r="M82" s="18" t="n">
        <v>0</v>
      </c>
      <c r="N82" s="20" t="n">
        <v>0</v>
      </c>
      <c r="O82" s="18" t="n">
        <v>0</v>
      </c>
      <c r="P82" s="20" t="n">
        <v>0</v>
      </c>
      <c r="Q82" s="18" t="n">
        <v>0.82058647</v>
      </c>
      <c r="R82" s="20" t="n">
        <v>0.23435595</v>
      </c>
    </row>
    <row r="83" spans="1:18">
      <c r="A83" s="15" t="s">
        <v>643</v>
      </c>
      <c r="B83" s="17" t="n">
        <v>808</v>
      </c>
      <c r="C83" s="18">
        <f>(712.0/B83*100)</f>
        <v/>
      </c>
      <c r="D83" s="19" t="n">
        <v>96</v>
      </c>
      <c r="E83" s="18" t="n">
        <v>23.65282304</v>
      </c>
      <c r="F83" s="20" t="n">
        <v>4.8654159</v>
      </c>
      <c r="G83" s="18" t="n">
        <v>76.34717696</v>
      </c>
      <c r="H83" s="20" t="n">
        <v>4.8654159</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(843.0/B84*100)</f>
        <v/>
      </c>
      <c r="D84" s="19" t="n">
        <v>95</v>
      </c>
      <c r="E84" s="18" t="n">
        <v>34.15594993</v>
      </c>
      <c r="F84" s="20" t="n">
        <v>5.45276182</v>
      </c>
      <c r="G84" s="18" t="n">
        <v>63.29418459</v>
      </c>
      <c r="H84" s="20" t="n">
        <v>6.35870694</v>
      </c>
      <c r="I84" s="18" t="n">
        <v>0</v>
      </c>
      <c r="J84" s="20" t="n">
        <v>0</v>
      </c>
      <c r="K84" s="18" t="n">
        <v>0</v>
      </c>
      <c r="L84" s="20" t="n">
        <v>0</v>
      </c>
      <c r="M84" s="18" t="n">
        <v>0</v>
      </c>
      <c r="N84" s="20" t="n">
        <v>0</v>
      </c>
      <c r="O84" s="18" t="n">
        <v>0</v>
      </c>
      <c r="P84" s="20" t="n">
        <v>0</v>
      </c>
      <c r="Q84" s="18" t="n">
        <v>2.54986548</v>
      </c>
      <c r="R84" s="20" t="n">
        <v>1.84350292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(6398.0/B7*100)</f>
        <v/>
      </c>
      <c r="D7" s="19" t="n">
        <v>765</v>
      </c>
      <c r="E7" s="18" t="n">
        <v>49.87785179</v>
      </c>
      <c r="F7" s="20" t="n">
        <v>2.09591664</v>
      </c>
      <c r="G7" s="18" t="n">
        <v>37.70887733</v>
      </c>
      <c r="H7" s="20" t="n">
        <v>2.23563125</v>
      </c>
      <c r="I7" s="18" t="n">
        <v>0</v>
      </c>
      <c r="J7" s="20" t="n">
        <v>0</v>
      </c>
      <c r="K7" s="18" t="n">
        <v>0.99841315</v>
      </c>
      <c r="L7" s="20" t="n">
        <v>0.44695488</v>
      </c>
      <c r="M7" s="18" t="n">
        <v>0.01740824</v>
      </c>
      <c r="N7" s="20" t="n">
        <v>0.01739804</v>
      </c>
      <c r="O7" s="18" t="n">
        <v>0</v>
      </c>
      <c r="P7" s="20" t="n">
        <v>0</v>
      </c>
      <c r="Q7" s="18" t="n">
        <v>11.39744949</v>
      </c>
      <c r="R7" s="20" t="n">
        <v>1.18410165</v>
      </c>
    </row>
    <row r="8" spans="1:18">
      <c r="A8" s="15" t="s">
        <v>566</v>
      </c>
      <c r="B8" s="17" t="n">
        <v>3443</v>
      </c>
      <c r="C8" s="18">
        <f>(3061.0/B8*100)</f>
        <v/>
      </c>
      <c r="D8" s="19" t="n">
        <v>382</v>
      </c>
      <c r="E8" s="18" t="n">
        <v>57.91443679</v>
      </c>
      <c r="F8" s="20" t="n">
        <v>2.29145813</v>
      </c>
      <c r="G8" s="18" t="n">
        <v>19.68427106</v>
      </c>
      <c r="H8" s="20" t="n">
        <v>1.90112604</v>
      </c>
      <c r="I8" s="18" t="n">
        <v>0</v>
      </c>
      <c r="J8" s="20" t="n">
        <v>0</v>
      </c>
      <c r="K8" s="18" t="n">
        <v>0.65413431</v>
      </c>
      <c r="L8" s="20" t="n">
        <v>0.58026856</v>
      </c>
      <c r="M8" s="18" t="n">
        <v>0</v>
      </c>
      <c r="N8" s="20" t="n">
        <v>0</v>
      </c>
      <c r="O8" s="18" t="n">
        <v>0</v>
      </c>
      <c r="P8" s="20" t="n">
        <v>0</v>
      </c>
      <c r="Q8" s="18" t="n">
        <v>21.74715785</v>
      </c>
      <c r="R8" s="20" t="n">
        <v>2.11842776</v>
      </c>
    </row>
    <row r="9" spans="1:18">
      <c r="A9" s="15" t="s">
        <v>567</v>
      </c>
      <c r="B9" s="17" t="n">
        <v>4752</v>
      </c>
      <c r="C9" s="18">
        <f>(4254.0/B9*100)</f>
        <v/>
      </c>
      <c r="D9" s="19" t="n">
        <v>498</v>
      </c>
      <c r="E9" s="18" t="n">
        <v>59.37731252</v>
      </c>
      <c r="F9" s="20" t="n">
        <v>2.43312111</v>
      </c>
      <c r="G9" s="18" t="n">
        <v>20.77396127</v>
      </c>
      <c r="H9" s="20" t="n">
        <v>1.93047856</v>
      </c>
      <c r="I9" s="18" t="n">
        <v>0</v>
      </c>
      <c r="J9" s="20" t="n">
        <v>0</v>
      </c>
      <c r="K9" s="18" t="n">
        <v>1.72931033</v>
      </c>
      <c r="L9" s="20" t="n">
        <v>0.72854775</v>
      </c>
      <c r="M9" s="18" t="n">
        <v>0.13217321</v>
      </c>
      <c r="N9" s="20" t="n">
        <v>0.11800105</v>
      </c>
      <c r="O9" s="18" t="n">
        <v>0</v>
      </c>
      <c r="P9" s="20" t="n">
        <v>0</v>
      </c>
      <c r="Q9" s="18" t="n">
        <v>17.98724267</v>
      </c>
      <c r="R9" s="20" t="n">
        <v>1.79103523</v>
      </c>
    </row>
    <row r="10" spans="1:18">
      <c r="A10" s="15" t="s">
        <v>568</v>
      </c>
      <c r="B10" s="17" t="n">
        <v>10022</v>
      </c>
      <c r="C10" s="18">
        <f>(8956.0/B10*100)</f>
        <v/>
      </c>
      <c r="D10" s="19" t="n">
        <v>1066</v>
      </c>
      <c r="E10" s="18" t="n">
        <v>46.96760978</v>
      </c>
      <c r="F10" s="20" t="n">
        <v>1.95614213</v>
      </c>
      <c r="G10" s="18" t="n">
        <v>43.2101748</v>
      </c>
      <c r="H10" s="20" t="n">
        <v>1.93292885</v>
      </c>
      <c r="I10" s="18" t="n">
        <v>0</v>
      </c>
      <c r="J10" s="20" t="n">
        <v>0</v>
      </c>
      <c r="K10" s="18" t="n">
        <v>1.26825917</v>
      </c>
      <c r="L10" s="20" t="n">
        <v>0.48556301</v>
      </c>
      <c r="M10" s="18" t="n">
        <v>0</v>
      </c>
      <c r="N10" s="20" t="n">
        <v>0</v>
      </c>
      <c r="O10" s="18" t="n">
        <v>0</v>
      </c>
      <c r="P10" s="20" t="n">
        <v>0</v>
      </c>
      <c r="Q10" s="18" t="n">
        <v>8.553956250000001</v>
      </c>
      <c r="R10" s="20" t="n">
        <v>1.26734442</v>
      </c>
    </row>
    <row r="11" spans="1:18">
      <c r="A11" s="15" t="s">
        <v>569</v>
      </c>
      <c r="B11" s="17" t="n">
        <v>3500</v>
      </c>
      <c r="C11" s="18">
        <f>(3128.0/B11*100)</f>
        <v/>
      </c>
      <c r="D11" s="19" t="n">
        <v>372</v>
      </c>
      <c r="E11" s="18" t="n">
        <v>58.56606651</v>
      </c>
      <c r="F11" s="20" t="n">
        <v>2.65637406</v>
      </c>
      <c r="G11" s="18" t="n">
        <v>21.26571291</v>
      </c>
      <c r="H11" s="20" t="n">
        <v>1.96278601</v>
      </c>
      <c r="I11" s="18" t="n">
        <v>0</v>
      </c>
      <c r="J11" s="20" t="n">
        <v>0</v>
      </c>
      <c r="K11" s="18" t="n">
        <v>1.53093848</v>
      </c>
      <c r="L11" s="20" t="n">
        <v>0.60899591</v>
      </c>
      <c r="M11" s="18" t="n">
        <v>0</v>
      </c>
      <c r="N11" s="20" t="n">
        <v>0</v>
      </c>
      <c r="O11" s="18" t="n">
        <v>0</v>
      </c>
      <c r="P11" s="20" t="n">
        <v>0</v>
      </c>
      <c r="Q11" s="18" t="n">
        <v>18.63728211</v>
      </c>
      <c r="R11" s="20" t="n">
        <v>2.33438262</v>
      </c>
    </row>
    <row r="12" spans="1:18">
      <c r="A12" s="15" t="s">
        <v>570</v>
      </c>
      <c r="B12" s="17" t="n">
        <v>3422</v>
      </c>
      <c r="C12" s="18">
        <f>(3043.0/B12*100)</f>
        <v/>
      </c>
      <c r="D12" s="19" t="n">
        <v>379</v>
      </c>
      <c r="E12" s="18" t="n">
        <v>57.54266374</v>
      </c>
      <c r="F12" s="20" t="n">
        <v>2.95188192</v>
      </c>
      <c r="G12" s="18" t="n">
        <v>14.82172953</v>
      </c>
      <c r="H12" s="20" t="n">
        <v>2.13314115</v>
      </c>
      <c r="I12" s="18" t="n">
        <v>0</v>
      </c>
      <c r="J12" s="20" t="n">
        <v>0</v>
      </c>
      <c r="K12" s="18" t="n">
        <v>1.69995983</v>
      </c>
      <c r="L12" s="20" t="n">
        <v>0.6067631</v>
      </c>
      <c r="M12" s="18" t="n">
        <v>0</v>
      </c>
      <c r="N12" s="20" t="n">
        <v>0</v>
      </c>
      <c r="O12" s="18" t="n">
        <v>0</v>
      </c>
      <c r="P12" s="20" t="n">
        <v>0</v>
      </c>
      <c r="Q12" s="18" t="n">
        <v>25.93564691</v>
      </c>
      <c r="R12" s="20" t="n">
        <v>2.53907791</v>
      </c>
    </row>
    <row r="13" spans="1:18">
      <c r="A13" s="15" t="s">
        <v>571</v>
      </c>
      <c r="B13" s="17" t="n">
        <v>3602</v>
      </c>
      <c r="C13" s="18">
        <f>(3241.0/B13*100)</f>
        <v/>
      </c>
      <c r="D13" s="19" t="n">
        <v>361</v>
      </c>
      <c r="E13" s="18" t="n">
        <v>58.62773806</v>
      </c>
      <c r="F13" s="20" t="n">
        <v>3.21744706</v>
      </c>
      <c r="G13" s="18" t="n">
        <v>27.42482319</v>
      </c>
      <c r="H13" s="20" t="n">
        <v>2.58096434</v>
      </c>
      <c r="I13" s="18" t="n">
        <v>0</v>
      </c>
      <c r="J13" s="20" t="n">
        <v>0</v>
      </c>
      <c r="K13" s="18" t="n">
        <v>0.6313595</v>
      </c>
      <c r="L13" s="20" t="n">
        <v>0.34034639</v>
      </c>
      <c r="M13" s="18" t="n">
        <v>0</v>
      </c>
      <c r="N13" s="20" t="n">
        <v>0</v>
      </c>
      <c r="O13" s="18" t="n">
        <v>0</v>
      </c>
      <c r="P13" s="20" t="n">
        <v>0</v>
      </c>
      <c r="Q13" s="18" t="n">
        <v>13.31607926</v>
      </c>
      <c r="R13" s="20" t="n">
        <v>2.06567901</v>
      </c>
    </row>
    <row r="14" spans="1:18">
      <c r="A14" s="15" t="s">
        <v>572</v>
      </c>
      <c r="B14" s="17" t="n">
        <v>2788</v>
      </c>
      <c r="C14" s="18">
        <f>(2495.0/B14*100)</f>
        <v/>
      </c>
      <c r="D14" s="19" t="n">
        <v>293</v>
      </c>
      <c r="E14" s="18" t="n">
        <v>31.97389358</v>
      </c>
      <c r="F14" s="20" t="n">
        <v>2.71681181</v>
      </c>
      <c r="G14" s="18" t="n">
        <v>56.57584633</v>
      </c>
      <c r="H14" s="20" t="n">
        <v>3.15883476</v>
      </c>
      <c r="I14" s="18" t="n">
        <v>0</v>
      </c>
      <c r="J14" s="20" t="n">
        <v>0</v>
      </c>
      <c r="K14" s="18" t="n">
        <v>0.5434011399999999</v>
      </c>
      <c r="L14" s="20" t="n">
        <v>0.38855903</v>
      </c>
      <c r="M14" s="18" t="n">
        <v>0</v>
      </c>
      <c r="N14" s="20" t="n">
        <v>0</v>
      </c>
      <c r="O14" s="18" t="n">
        <v>0</v>
      </c>
      <c r="P14" s="20" t="n">
        <v>0</v>
      </c>
      <c r="Q14" s="18" t="n">
        <v>10.90685894</v>
      </c>
      <c r="R14" s="20" t="n">
        <v>2.11130001</v>
      </c>
    </row>
    <row r="15" spans="1:18">
      <c r="A15" s="15" t="s">
        <v>573</v>
      </c>
      <c r="B15" s="17" t="n">
        <v>2863</v>
      </c>
      <c r="C15" s="18">
        <f>(2547.0/B15*100)</f>
        <v/>
      </c>
      <c r="D15" s="19" t="n">
        <v>316</v>
      </c>
      <c r="E15" s="18" t="n">
        <v>44.89942616</v>
      </c>
      <c r="F15" s="20" t="n">
        <v>2.40600927</v>
      </c>
      <c r="G15" s="18" t="n">
        <v>44.03497247</v>
      </c>
      <c r="H15" s="20" t="n">
        <v>2.65702337</v>
      </c>
      <c r="I15" s="18" t="n">
        <v>0</v>
      </c>
      <c r="J15" s="20" t="n">
        <v>0</v>
      </c>
      <c r="K15" s="18" t="n">
        <v>0</v>
      </c>
      <c r="L15" s="20" t="n">
        <v>0</v>
      </c>
      <c r="M15" s="18" t="n">
        <v>0</v>
      </c>
      <c r="N15" s="20" t="n">
        <v>0</v>
      </c>
      <c r="O15" s="18" t="n">
        <v>0</v>
      </c>
      <c r="P15" s="20" t="n">
        <v>0</v>
      </c>
      <c r="Q15" s="18" t="n">
        <v>11.06560137</v>
      </c>
      <c r="R15" s="20" t="n">
        <v>1.72259136</v>
      </c>
    </row>
    <row r="16" spans="1:18">
      <c r="A16" s="15" t="s">
        <v>574</v>
      </c>
      <c r="B16" s="17" t="n">
        <v>3111</v>
      </c>
      <c r="C16" s="18">
        <f>(2798.0/B16*100)</f>
        <v/>
      </c>
      <c r="D16" s="19" t="n">
        <v>313</v>
      </c>
      <c r="E16" s="18" t="n">
        <v>53.3340321</v>
      </c>
      <c r="F16" s="20" t="n">
        <v>2.97923067</v>
      </c>
      <c r="G16" s="18" t="n">
        <v>23.46737615</v>
      </c>
      <c r="H16" s="20" t="n">
        <v>2.26693739</v>
      </c>
      <c r="I16" s="18" t="n">
        <v>0</v>
      </c>
      <c r="J16" s="20" t="n">
        <v>0</v>
      </c>
      <c r="K16" s="18" t="n">
        <v>2.69163995</v>
      </c>
      <c r="L16" s="20" t="n">
        <v>1.15261571</v>
      </c>
      <c r="M16" s="18" t="n">
        <v>0</v>
      </c>
      <c r="N16" s="20" t="n">
        <v>0</v>
      </c>
      <c r="O16" s="18" t="n">
        <v>0</v>
      </c>
      <c r="P16" s="20" t="n">
        <v>0</v>
      </c>
      <c r="Q16" s="18" t="n">
        <v>20.5069518</v>
      </c>
      <c r="R16" s="20" t="n">
        <v>2.35249409</v>
      </c>
    </row>
    <row r="17" spans="1:18">
      <c r="A17" s="15" t="s">
        <v>575</v>
      </c>
      <c r="B17" s="17" t="n">
        <v>3197</v>
      </c>
      <c r="C17" s="18">
        <f>(2829.0/B17*100)</f>
        <v/>
      </c>
      <c r="D17" s="19" t="n">
        <v>368</v>
      </c>
      <c r="E17" s="18" t="n">
        <v>51.70232772</v>
      </c>
      <c r="F17" s="20" t="n">
        <v>2.98114979</v>
      </c>
      <c r="G17" s="18" t="n">
        <v>23.96896936</v>
      </c>
      <c r="H17" s="20" t="n">
        <v>2.36694549</v>
      </c>
      <c r="I17" s="18" t="n">
        <v>0</v>
      </c>
      <c r="J17" s="20" t="n">
        <v>0</v>
      </c>
      <c r="K17" s="18" t="n">
        <v>1.74517046</v>
      </c>
      <c r="L17" s="20" t="n">
        <v>0.97972367</v>
      </c>
      <c r="M17" s="18" t="n">
        <v>0</v>
      </c>
      <c r="N17" s="20" t="n">
        <v>0</v>
      </c>
      <c r="O17" s="18" t="n">
        <v>0</v>
      </c>
      <c r="P17" s="20" t="n">
        <v>0</v>
      </c>
      <c r="Q17" s="18" t="n">
        <v>22.58353246</v>
      </c>
      <c r="R17" s="20" t="n">
        <v>2.42237741</v>
      </c>
    </row>
    <row r="18" spans="1:18">
      <c r="A18" s="15" t="s">
        <v>576</v>
      </c>
      <c r="B18" s="17" t="n">
        <v>2706</v>
      </c>
      <c r="C18" s="18">
        <f>(2429.0/B18*100)</f>
        <v/>
      </c>
      <c r="D18" s="19" t="n">
        <v>277</v>
      </c>
      <c r="E18" s="18" t="n">
        <v>48.81459278</v>
      </c>
      <c r="F18" s="20" t="n">
        <v>3.40419251</v>
      </c>
      <c r="G18" s="18" t="n">
        <v>36.13274791</v>
      </c>
      <c r="H18" s="20" t="n">
        <v>2.92698915</v>
      </c>
      <c r="I18" s="18" t="n">
        <v>0</v>
      </c>
      <c r="J18" s="20" t="n">
        <v>0</v>
      </c>
      <c r="K18" s="18" t="n">
        <v>1.8939164</v>
      </c>
      <c r="L18" s="20" t="n">
        <v>0.97343474</v>
      </c>
      <c r="M18" s="18" t="n">
        <v>0</v>
      </c>
      <c r="N18" s="20" t="n">
        <v>0</v>
      </c>
      <c r="O18" s="18" t="n">
        <v>0</v>
      </c>
      <c r="P18" s="20" t="n">
        <v>0</v>
      </c>
      <c r="Q18" s="18" t="n">
        <v>13.15874291</v>
      </c>
      <c r="R18" s="20" t="n">
        <v>3.00387334</v>
      </c>
    </row>
    <row r="19" spans="1:18">
      <c r="A19" s="15" t="s">
        <v>577</v>
      </c>
      <c r="B19" s="17" t="n">
        <v>2850</v>
      </c>
      <c r="C19" s="18">
        <f>(2541.0/B19*100)</f>
        <v/>
      </c>
      <c r="D19" s="19" t="n">
        <v>309</v>
      </c>
      <c r="E19" s="18" t="n">
        <v>32.3657041</v>
      </c>
      <c r="F19" s="20" t="n">
        <v>2.7245109</v>
      </c>
      <c r="G19" s="18" t="n">
        <v>42.51406834</v>
      </c>
      <c r="H19" s="20" t="n">
        <v>3.11641914</v>
      </c>
      <c r="I19" s="18" t="n">
        <v>0</v>
      </c>
      <c r="J19" s="20" t="n">
        <v>0</v>
      </c>
      <c r="K19" s="18" t="n">
        <v>1.4186705</v>
      </c>
      <c r="L19" s="20" t="n">
        <v>0.16709944</v>
      </c>
      <c r="M19" s="18" t="n">
        <v>0</v>
      </c>
      <c r="N19" s="20" t="n">
        <v>0</v>
      </c>
      <c r="O19" s="18" t="n">
        <v>0</v>
      </c>
      <c r="P19" s="20" t="n">
        <v>0</v>
      </c>
      <c r="Q19" s="18" t="n">
        <v>23.70155707</v>
      </c>
      <c r="R19" s="20" t="n">
        <v>2.71861085</v>
      </c>
    </row>
    <row r="20" spans="1:18">
      <c r="A20" s="15" t="s">
        <v>578</v>
      </c>
      <c r="B20" s="17" t="n">
        <v>1741</v>
      </c>
      <c r="C20" s="18">
        <f>(1557.0/B20*100)</f>
        <v/>
      </c>
      <c r="D20" s="19" t="n">
        <v>184</v>
      </c>
      <c r="E20" s="18" t="n">
        <v>53.97802428</v>
      </c>
      <c r="F20" s="20" t="n">
        <v>3.81325479</v>
      </c>
      <c r="G20" s="18" t="n">
        <v>17.35668689</v>
      </c>
      <c r="H20" s="20" t="n">
        <v>2.86527355</v>
      </c>
      <c r="I20" s="18" t="n">
        <v>0</v>
      </c>
      <c r="J20" s="20" t="n">
        <v>0</v>
      </c>
      <c r="K20" s="18" t="n">
        <v>3.15610466</v>
      </c>
      <c r="L20" s="20" t="n">
        <v>1.3988833</v>
      </c>
      <c r="M20" s="18" t="n">
        <v>0</v>
      </c>
      <c r="N20" s="20" t="n">
        <v>0</v>
      </c>
      <c r="O20" s="18" t="n">
        <v>0</v>
      </c>
      <c r="P20" s="20" t="n">
        <v>0</v>
      </c>
      <c r="Q20" s="18" t="n">
        <v>25.50918417</v>
      </c>
      <c r="R20" s="20" t="n">
        <v>3.3832146</v>
      </c>
    </row>
    <row r="21" spans="1:18">
      <c r="A21" s="15" t="s">
        <v>579</v>
      </c>
      <c r="B21" s="17" t="n">
        <v>2833</v>
      </c>
      <c r="C21" s="18">
        <f>(2521.0/B21*100)</f>
        <v/>
      </c>
      <c r="D21" s="19" t="n">
        <v>312</v>
      </c>
      <c r="E21" s="18" t="n">
        <v>48.16049087</v>
      </c>
      <c r="F21" s="20" t="n">
        <v>3.19911051</v>
      </c>
      <c r="G21" s="18" t="n">
        <v>38.18618096</v>
      </c>
      <c r="H21" s="20" t="n">
        <v>3.30510211</v>
      </c>
      <c r="I21" s="18" t="n">
        <v>0</v>
      </c>
      <c r="J21" s="20" t="n">
        <v>0</v>
      </c>
      <c r="K21" s="18" t="n">
        <v>0</v>
      </c>
      <c r="L21" s="20" t="n">
        <v>0</v>
      </c>
      <c r="M21" s="18" t="n">
        <v>0</v>
      </c>
      <c r="N21" s="20" t="n">
        <v>0</v>
      </c>
      <c r="O21" s="18" t="n">
        <v>0</v>
      </c>
      <c r="P21" s="20" t="n">
        <v>0</v>
      </c>
      <c r="Q21" s="18" t="n">
        <v>13.65332817</v>
      </c>
      <c r="R21" s="20" t="n">
        <v>2.1091353</v>
      </c>
    </row>
    <row r="22" spans="1:18">
      <c r="A22" s="15" t="s">
        <v>580</v>
      </c>
      <c r="B22" s="17" t="n">
        <v>3667</v>
      </c>
      <c r="C22" s="18">
        <f>(3247.0/B22*100)</f>
        <v/>
      </c>
      <c r="D22" s="19" t="n">
        <v>420</v>
      </c>
      <c r="E22" s="18" t="n">
        <v>54.52326491</v>
      </c>
      <c r="F22" s="20" t="n">
        <v>2.83866672</v>
      </c>
      <c r="G22" s="18" t="n">
        <v>27.19304314</v>
      </c>
      <c r="H22" s="20" t="n">
        <v>2.42226025</v>
      </c>
      <c r="I22" s="18" t="n">
        <v>0</v>
      </c>
      <c r="J22" s="20" t="n">
        <v>0</v>
      </c>
      <c r="K22" s="18" t="n">
        <v>3.10344481</v>
      </c>
      <c r="L22" s="20" t="n">
        <v>0.84924445</v>
      </c>
      <c r="M22" s="18" t="n">
        <v>0</v>
      </c>
      <c r="N22" s="20" t="n">
        <v>0</v>
      </c>
      <c r="O22" s="18" t="n">
        <v>0</v>
      </c>
      <c r="P22" s="20" t="n">
        <v>0</v>
      </c>
      <c r="Q22" s="18" t="n">
        <v>15.18024715</v>
      </c>
      <c r="R22" s="20" t="n">
        <v>2.24744752</v>
      </c>
    </row>
    <row r="23" spans="1:18">
      <c r="A23" s="15" t="s">
        <v>581</v>
      </c>
      <c r="B23" s="17" t="n">
        <v>5792</v>
      </c>
      <c r="C23" s="18">
        <f>(5163.0/B23*100)</f>
        <v/>
      </c>
      <c r="D23" s="19" t="n">
        <v>629</v>
      </c>
      <c r="E23" s="18" t="n">
        <v>41.77589009</v>
      </c>
      <c r="F23" s="20" t="n">
        <v>2.53819356</v>
      </c>
      <c r="G23" s="18" t="n">
        <v>28.34443875</v>
      </c>
      <c r="H23" s="20" t="n">
        <v>2.60872213</v>
      </c>
      <c r="I23" s="18" t="n">
        <v>0</v>
      </c>
      <c r="J23" s="20" t="n">
        <v>0</v>
      </c>
      <c r="K23" s="18" t="n">
        <v>1.5186578</v>
      </c>
      <c r="L23" s="20" t="n">
        <v>0.68785261</v>
      </c>
      <c r="M23" s="18" t="n">
        <v>0</v>
      </c>
      <c r="N23" s="20" t="n">
        <v>0</v>
      </c>
      <c r="O23" s="18" t="n">
        <v>0</v>
      </c>
      <c r="P23" s="20" t="n">
        <v>0</v>
      </c>
      <c r="Q23" s="18" t="n">
        <v>28.36101336</v>
      </c>
      <c r="R23" s="20" t="n">
        <v>2.60391768</v>
      </c>
    </row>
    <row r="24" spans="1:18">
      <c r="A24" s="15" t="s">
        <v>582</v>
      </c>
      <c r="B24" s="17" t="n">
        <v>3309</v>
      </c>
      <c r="C24" s="18">
        <f>(2926.0/B24*100)</f>
        <v/>
      </c>
      <c r="D24" s="19" t="n">
        <v>383</v>
      </c>
      <c r="E24" s="18" t="n">
        <v>39.71246033</v>
      </c>
      <c r="F24" s="20" t="n">
        <v>2.16130732</v>
      </c>
      <c r="G24" s="18" t="n">
        <v>46.86852922</v>
      </c>
      <c r="H24" s="20" t="n">
        <v>2.84518114</v>
      </c>
      <c r="I24" s="18" t="n">
        <v>0</v>
      </c>
      <c r="J24" s="20" t="n">
        <v>0</v>
      </c>
      <c r="K24" s="18" t="n">
        <v>1.89388363</v>
      </c>
      <c r="L24" s="20" t="n">
        <v>0.83875751</v>
      </c>
      <c r="M24" s="18" t="n">
        <v>0</v>
      </c>
      <c r="N24" s="20" t="n">
        <v>0</v>
      </c>
      <c r="O24" s="18" t="n">
        <v>0</v>
      </c>
      <c r="P24" s="20" t="n">
        <v>0</v>
      </c>
      <c r="Q24" s="18" t="n">
        <v>11.52512681</v>
      </c>
      <c r="R24" s="20" t="n">
        <v>2.01895857</v>
      </c>
    </row>
    <row r="25" spans="1:18">
      <c r="A25" s="15" t="s">
        <v>583</v>
      </c>
      <c r="B25" s="17" t="n">
        <v>2669</v>
      </c>
      <c r="C25" s="18">
        <f>(2381.0/B25*100)</f>
        <v/>
      </c>
      <c r="D25" s="19" t="n">
        <v>288</v>
      </c>
      <c r="E25" s="18" t="n">
        <v>37.92128743</v>
      </c>
      <c r="F25" s="20" t="n">
        <v>3.14910167</v>
      </c>
      <c r="G25" s="18" t="n">
        <v>50.20222011</v>
      </c>
      <c r="H25" s="20" t="n">
        <v>3.38050217</v>
      </c>
      <c r="I25" s="18" t="n">
        <v>0</v>
      </c>
      <c r="J25" s="20" t="n">
        <v>0</v>
      </c>
      <c r="K25" s="18" t="n">
        <v>0.67998197</v>
      </c>
      <c r="L25" s="20" t="n">
        <v>0.48409764</v>
      </c>
      <c r="M25" s="18" t="n">
        <v>0</v>
      </c>
      <c r="N25" s="20" t="n">
        <v>0</v>
      </c>
      <c r="O25" s="18" t="n">
        <v>0</v>
      </c>
      <c r="P25" s="20" t="n">
        <v>0</v>
      </c>
      <c r="Q25" s="18" t="n">
        <v>11.19651049</v>
      </c>
      <c r="R25" s="20" t="n">
        <v>1.77071624</v>
      </c>
    </row>
    <row r="26" spans="1:18">
      <c r="A26" s="15" t="s">
        <v>584</v>
      </c>
      <c r="B26" s="17" t="n">
        <v>2419</v>
      </c>
      <c r="C26" s="18">
        <f>(2150.0/B26*100)</f>
        <v/>
      </c>
      <c r="D26" s="19" t="n">
        <v>269</v>
      </c>
      <c r="E26" s="18" t="n">
        <v>52.39638726</v>
      </c>
      <c r="F26" s="20" t="n">
        <v>3.34161198</v>
      </c>
      <c r="G26" s="18" t="n">
        <v>31.41319002</v>
      </c>
      <c r="H26" s="20" t="n">
        <v>2.80111255</v>
      </c>
      <c r="I26" s="18" t="n">
        <v>0</v>
      </c>
      <c r="J26" s="20" t="n">
        <v>0</v>
      </c>
      <c r="K26" s="18" t="n">
        <v>0.27777847</v>
      </c>
      <c r="L26" s="20" t="n">
        <v>0.27767312</v>
      </c>
      <c r="M26" s="18" t="n">
        <v>0</v>
      </c>
      <c r="N26" s="20" t="n">
        <v>0</v>
      </c>
      <c r="O26" s="18" t="n">
        <v>0</v>
      </c>
      <c r="P26" s="20" t="n">
        <v>0</v>
      </c>
      <c r="Q26" s="18" t="n">
        <v>15.91264424</v>
      </c>
      <c r="R26" s="20" t="n">
        <v>2.55126821</v>
      </c>
    </row>
    <row r="27" spans="1:18">
      <c r="A27" s="15" t="s">
        <v>585</v>
      </c>
      <c r="B27" s="17" t="n">
        <v>2683</v>
      </c>
      <c r="C27" s="18">
        <f>(2389.0/B27*100)</f>
        <v/>
      </c>
      <c r="D27" s="19" t="n">
        <v>294</v>
      </c>
      <c r="E27" s="18" t="n">
        <v>51.61636811</v>
      </c>
      <c r="F27" s="20" t="n">
        <v>2.5074609</v>
      </c>
      <c r="G27" s="18" t="n">
        <v>25.56622071</v>
      </c>
      <c r="H27" s="20" t="n">
        <v>2.74582189</v>
      </c>
      <c r="I27" s="18" t="n">
        <v>0</v>
      </c>
      <c r="J27" s="20" t="n">
        <v>0</v>
      </c>
      <c r="K27" s="18" t="n">
        <v>1.02531474</v>
      </c>
      <c r="L27" s="20" t="n">
        <v>0.58579746</v>
      </c>
      <c r="M27" s="18" t="n">
        <v>0</v>
      </c>
      <c r="N27" s="20" t="n">
        <v>0</v>
      </c>
      <c r="O27" s="18" t="n">
        <v>0</v>
      </c>
      <c r="P27" s="20" t="n">
        <v>0</v>
      </c>
      <c r="Q27" s="18" t="n">
        <v>21.79209644</v>
      </c>
      <c r="R27" s="20" t="n">
        <v>2.71527673</v>
      </c>
    </row>
    <row r="28" spans="1:18">
      <c r="A28" s="15" t="s">
        <v>586</v>
      </c>
      <c r="B28" s="17" t="n">
        <v>3803</v>
      </c>
      <c r="C28" s="18">
        <f>(3441.0/B28*100)</f>
        <v/>
      </c>
      <c r="D28" s="19" t="n">
        <v>362</v>
      </c>
      <c r="E28" s="18" t="n">
        <v>68.05672559999999</v>
      </c>
      <c r="F28" s="20" t="n">
        <v>2.8833864</v>
      </c>
      <c r="G28" s="18" t="n">
        <v>27.47617678</v>
      </c>
      <c r="H28" s="20" t="n">
        <v>2.77893416</v>
      </c>
      <c r="I28" s="18" t="n">
        <v>0</v>
      </c>
      <c r="J28" s="20" t="n">
        <v>0</v>
      </c>
      <c r="K28" s="18" t="n">
        <v>0.783424</v>
      </c>
      <c r="L28" s="20" t="n">
        <v>0.46496574</v>
      </c>
      <c r="M28" s="18" t="n">
        <v>0</v>
      </c>
      <c r="N28" s="20" t="n">
        <v>0</v>
      </c>
      <c r="O28" s="18" t="n">
        <v>0</v>
      </c>
      <c r="P28" s="20" t="n">
        <v>0</v>
      </c>
      <c r="Q28" s="18" t="n">
        <v>3.68367362</v>
      </c>
      <c r="R28" s="20" t="n">
        <v>1.06838511</v>
      </c>
    </row>
    <row r="29" spans="1:18">
      <c r="A29" s="15" t="s">
        <v>587</v>
      </c>
      <c r="B29" s="17" t="n">
        <v>2700</v>
      </c>
      <c r="C29" s="18">
        <f>(2388.0/B29*100)</f>
        <v/>
      </c>
      <c r="D29" s="19" t="n">
        <v>312</v>
      </c>
      <c r="E29" s="18" t="n">
        <v>63.459077</v>
      </c>
      <c r="F29" s="20" t="n">
        <v>2.30110461</v>
      </c>
      <c r="G29" s="18" t="n">
        <v>28.04379422</v>
      </c>
      <c r="H29" s="20" t="n">
        <v>1.99800091</v>
      </c>
      <c r="I29" s="18" t="n">
        <v>0</v>
      </c>
      <c r="J29" s="20" t="n">
        <v>0</v>
      </c>
      <c r="K29" s="18" t="n">
        <v>0.33971367</v>
      </c>
      <c r="L29" s="20" t="n">
        <v>0.33080428</v>
      </c>
      <c r="M29" s="18" t="n">
        <v>0</v>
      </c>
      <c r="N29" s="20" t="n">
        <v>0</v>
      </c>
      <c r="O29" s="18" t="n">
        <v>0</v>
      </c>
      <c r="P29" s="20" t="n">
        <v>0</v>
      </c>
      <c r="Q29" s="18" t="n">
        <v>8.157415110000001</v>
      </c>
      <c r="R29" s="20" t="n">
        <v>1.51207017</v>
      </c>
    </row>
    <row r="30" spans="1:18">
      <c r="A30" s="15" t="s">
        <v>588</v>
      </c>
      <c r="B30" s="17" t="n">
        <v>2257</v>
      </c>
      <c r="C30" s="18">
        <f>(2034.0/B30*100)</f>
        <v/>
      </c>
      <c r="D30" s="19" t="n">
        <v>223</v>
      </c>
      <c r="E30" s="18" t="n">
        <v>51.17898164</v>
      </c>
      <c r="F30" s="20" t="n">
        <v>3.28581731</v>
      </c>
      <c r="G30" s="18" t="n">
        <v>31.80912079</v>
      </c>
      <c r="H30" s="20" t="n">
        <v>3.44928513</v>
      </c>
      <c r="I30" s="18" t="n">
        <v>0</v>
      </c>
      <c r="J30" s="20" t="n">
        <v>0</v>
      </c>
      <c r="K30" s="18" t="n">
        <v>1.62215007</v>
      </c>
      <c r="L30" s="20" t="n">
        <v>0.88681491</v>
      </c>
      <c r="M30" s="18" t="n">
        <v>0</v>
      </c>
      <c r="N30" s="20" t="n">
        <v>0</v>
      </c>
      <c r="O30" s="18" t="n">
        <v>0</v>
      </c>
      <c r="P30" s="20" t="n">
        <v>0</v>
      </c>
      <c r="Q30" s="18" t="n">
        <v>15.3897475</v>
      </c>
      <c r="R30" s="20" t="n">
        <v>2.31999701</v>
      </c>
    </row>
    <row r="31" spans="1:18">
      <c r="A31" s="15" t="s">
        <v>589</v>
      </c>
      <c r="B31" s="17" t="n">
        <v>2706</v>
      </c>
      <c r="C31" s="18">
        <f>(2416.0/B31*100)</f>
        <v/>
      </c>
      <c r="D31" s="19" t="n">
        <v>290</v>
      </c>
      <c r="E31" s="18" t="n">
        <v>63.57804098</v>
      </c>
      <c r="F31" s="20" t="n">
        <v>2.42088049</v>
      </c>
      <c r="G31" s="18" t="n">
        <v>18.32986074</v>
      </c>
      <c r="H31" s="20" t="n">
        <v>2.3649017</v>
      </c>
      <c r="I31" s="18" t="n">
        <v>0</v>
      </c>
      <c r="J31" s="20" t="n">
        <v>0</v>
      </c>
      <c r="K31" s="18" t="n">
        <v>3.40855087</v>
      </c>
      <c r="L31" s="20" t="n">
        <v>0.85104803</v>
      </c>
      <c r="M31" s="18" t="n">
        <v>0</v>
      </c>
      <c r="N31" s="20" t="n">
        <v>0</v>
      </c>
      <c r="O31" s="18" t="n">
        <v>0</v>
      </c>
      <c r="P31" s="20" t="n">
        <v>0</v>
      </c>
      <c r="Q31" s="18" t="n">
        <v>14.68354741</v>
      </c>
      <c r="R31" s="20" t="n">
        <v>1.91097128</v>
      </c>
    </row>
    <row r="32" spans="1:18">
      <c r="A32" s="15" t="s">
        <v>590</v>
      </c>
      <c r="B32" s="17" t="n">
        <v>2209</v>
      </c>
      <c r="C32" s="18">
        <f>(1961.0/B32*100)</f>
        <v/>
      </c>
      <c r="D32" s="19" t="n">
        <v>248</v>
      </c>
      <c r="E32" s="18" t="n">
        <v>38.16504938</v>
      </c>
      <c r="F32" s="20" t="n">
        <v>3.09002607</v>
      </c>
      <c r="G32" s="18" t="n">
        <v>40.8104197</v>
      </c>
      <c r="H32" s="20" t="n">
        <v>3.37848007</v>
      </c>
      <c r="I32" s="18" t="n">
        <v>0</v>
      </c>
      <c r="J32" s="20" t="n">
        <v>0</v>
      </c>
      <c r="K32" s="18" t="n">
        <v>0.71690794</v>
      </c>
      <c r="L32" s="20" t="n">
        <v>0.50744555</v>
      </c>
      <c r="M32" s="18" t="n">
        <v>1.7117157</v>
      </c>
      <c r="N32" s="20" t="n">
        <v>1.81313106</v>
      </c>
      <c r="O32" s="18" t="n">
        <v>0</v>
      </c>
      <c r="P32" s="20" t="n">
        <v>0</v>
      </c>
      <c r="Q32" s="18" t="n">
        <v>18.59590728</v>
      </c>
      <c r="R32" s="20" t="n">
        <v>2.59712708</v>
      </c>
    </row>
    <row r="33" spans="1:18">
      <c r="A33" s="15" t="s">
        <v>591</v>
      </c>
      <c r="B33" s="17" t="n">
        <v>3651</v>
      </c>
      <c r="C33" s="18">
        <f>(3266.0/B33*100)</f>
        <v/>
      </c>
      <c r="D33" s="19" t="n">
        <v>385</v>
      </c>
      <c r="E33" s="18" t="n">
        <v>53.35284252</v>
      </c>
      <c r="F33" s="20" t="n">
        <v>2.94943044</v>
      </c>
      <c r="G33" s="18" t="n">
        <v>31.22718962</v>
      </c>
      <c r="H33" s="20" t="n">
        <v>2.73144399</v>
      </c>
      <c r="I33" s="18" t="n">
        <v>0</v>
      </c>
      <c r="J33" s="20" t="n">
        <v>0</v>
      </c>
      <c r="K33" s="18" t="n">
        <v>1.04885065</v>
      </c>
      <c r="L33" s="20" t="n">
        <v>0.56648652</v>
      </c>
      <c r="M33" s="18" t="n">
        <v>0</v>
      </c>
      <c r="N33" s="20" t="n">
        <v>0</v>
      </c>
      <c r="O33" s="18" t="n">
        <v>0</v>
      </c>
      <c r="P33" s="20" t="n">
        <v>0</v>
      </c>
      <c r="Q33" s="18" t="n">
        <v>14.3711172</v>
      </c>
      <c r="R33" s="20" t="n">
        <v>2.06386097</v>
      </c>
    </row>
    <row r="34" spans="1:18">
      <c r="A34" s="15" t="s">
        <v>592</v>
      </c>
      <c r="B34" s="17" t="n">
        <v>3035</v>
      </c>
      <c r="C34" s="18">
        <f>(2726.0/B34*100)</f>
        <v/>
      </c>
      <c r="D34" s="19" t="n">
        <v>309</v>
      </c>
      <c r="E34" s="18" t="n">
        <v>57.59854343</v>
      </c>
      <c r="F34" s="20" t="n">
        <v>3.25040222</v>
      </c>
      <c r="G34" s="18" t="n">
        <v>20.64462051</v>
      </c>
      <c r="H34" s="20" t="n">
        <v>2.61667942</v>
      </c>
      <c r="I34" s="18" t="n">
        <v>0</v>
      </c>
      <c r="J34" s="20" t="n">
        <v>0</v>
      </c>
      <c r="K34" s="18" t="n">
        <v>0</v>
      </c>
      <c r="L34" s="20" t="n">
        <v>0</v>
      </c>
      <c r="M34" s="18" t="n">
        <v>0</v>
      </c>
      <c r="N34" s="20" t="n">
        <v>0</v>
      </c>
      <c r="O34" s="18" t="n">
        <v>0</v>
      </c>
      <c r="P34" s="20" t="n">
        <v>0</v>
      </c>
      <c r="Q34" s="18" t="n">
        <v>21.75683606</v>
      </c>
      <c r="R34" s="20" t="n">
        <v>2.63823668</v>
      </c>
    </row>
    <row r="35" spans="1:18">
      <c r="A35" s="15" t="s">
        <v>593</v>
      </c>
      <c r="B35" s="17" t="n">
        <v>2901</v>
      </c>
      <c r="C35" s="18">
        <f>(2586.0/B35*100)</f>
        <v/>
      </c>
      <c r="D35" s="19" t="n">
        <v>315</v>
      </c>
      <c r="E35" s="18" t="n">
        <v>40.22063736</v>
      </c>
      <c r="F35" s="20" t="n">
        <v>3.15198326</v>
      </c>
      <c r="G35" s="18" t="n">
        <v>47.96128507</v>
      </c>
      <c r="H35" s="20" t="n">
        <v>3.29521382</v>
      </c>
      <c r="I35" s="18" t="n">
        <v>0</v>
      </c>
      <c r="J35" s="20" t="n">
        <v>0</v>
      </c>
      <c r="K35" s="18" t="n">
        <v>1.30847078</v>
      </c>
      <c r="L35" s="20" t="n">
        <v>1.05867751</v>
      </c>
      <c r="M35" s="18" t="n">
        <v>0</v>
      </c>
      <c r="N35" s="20" t="n">
        <v>0</v>
      </c>
      <c r="O35" s="18" t="n">
        <v>0</v>
      </c>
      <c r="P35" s="20" t="n">
        <v>0</v>
      </c>
      <c r="Q35" s="18" t="n">
        <v>10.50960679</v>
      </c>
      <c r="R35" s="20" t="n">
        <v>1.93280771</v>
      </c>
    </row>
    <row r="36" spans="1:18">
      <c r="A36" s="15" t="s">
        <v>594</v>
      </c>
      <c r="B36" s="17" t="n">
        <v>3404</v>
      </c>
      <c r="C36" s="18">
        <f>(3058.0/B36*100)</f>
        <v/>
      </c>
      <c r="D36" s="19" t="n">
        <v>346</v>
      </c>
      <c r="E36" s="18" t="n">
        <v>49.97033522</v>
      </c>
      <c r="F36" s="20" t="n">
        <v>2.46012493</v>
      </c>
      <c r="G36" s="18" t="n">
        <v>32.5540287</v>
      </c>
      <c r="H36" s="20" t="n">
        <v>2.40481159</v>
      </c>
      <c r="I36" s="18" t="n">
        <v>0</v>
      </c>
      <c r="J36" s="20" t="n">
        <v>0</v>
      </c>
      <c r="K36" s="18" t="n">
        <v>0.38396888</v>
      </c>
      <c r="L36" s="20" t="n">
        <v>0.31263683</v>
      </c>
      <c r="M36" s="18" t="n">
        <v>0</v>
      </c>
      <c r="N36" s="20" t="n">
        <v>0</v>
      </c>
      <c r="O36" s="18" t="n">
        <v>0</v>
      </c>
      <c r="P36" s="20" t="n">
        <v>0</v>
      </c>
      <c r="Q36" s="18" t="n">
        <v>17.09166721</v>
      </c>
      <c r="R36" s="20" t="n">
        <v>2.01337696</v>
      </c>
    </row>
    <row r="37" spans="1:18">
      <c r="A37" s="15" t="s">
        <v>595</v>
      </c>
      <c r="B37" s="17" t="n">
        <v>2731</v>
      </c>
      <c r="C37" s="18">
        <f>(2450.0/B37*100)</f>
        <v/>
      </c>
      <c r="D37" s="19" t="n">
        <v>281</v>
      </c>
      <c r="E37" s="18" t="n">
        <v>44.06272479</v>
      </c>
      <c r="F37" s="20" t="n">
        <v>3.11305895</v>
      </c>
      <c r="G37" s="18" t="n">
        <v>28.49486438</v>
      </c>
      <c r="H37" s="20" t="n">
        <v>2.67819541</v>
      </c>
      <c r="I37" s="18" t="n">
        <v>0</v>
      </c>
      <c r="J37" s="20" t="n">
        <v>0</v>
      </c>
      <c r="K37" s="18" t="n">
        <v>2.00255182</v>
      </c>
      <c r="L37" s="20" t="n">
        <v>0.79663761</v>
      </c>
      <c r="M37" s="18" t="n">
        <v>0</v>
      </c>
      <c r="N37" s="20" t="n">
        <v>0</v>
      </c>
      <c r="O37" s="18" t="n">
        <v>0</v>
      </c>
      <c r="P37" s="20" t="n">
        <v>0</v>
      </c>
      <c r="Q37" s="18" t="n">
        <v>25.43985902</v>
      </c>
      <c r="R37" s="20" t="n">
        <v>2.93024143</v>
      </c>
    </row>
    <row r="38" spans="1:18">
      <c r="A38" s="15" t="s">
        <v>596</v>
      </c>
      <c r="B38" s="17" t="n">
        <v>2807</v>
      </c>
      <c r="C38" s="18">
        <f>(2508.0/B38*100)</f>
        <v/>
      </c>
      <c r="D38" s="19" t="n">
        <v>299</v>
      </c>
      <c r="E38" s="18" t="n">
        <v>42.36779067</v>
      </c>
      <c r="F38" s="20" t="n">
        <v>3.62976179</v>
      </c>
      <c r="G38" s="18" t="n">
        <v>37.29050415</v>
      </c>
      <c r="H38" s="20" t="n">
        <v>3.34980848</v>
      </c>
      <c r="I38" s="18" t="n">
        <v>0</v>
      </c>
      <c r="J38" s="20" t="n">
        <v>0</v>
      </c>
      <c r="K38" s="18" t="n">
        <v>1.27681239</v>
      </c>
      <c r="L38" s="20" t="n">
        <v>0.67353824</v>
      </c>
      <c r="M38" s="18" t="n">
        <v>4.52426077</v>
      </c>
      <c r="N38" s="20" t="n">
        <v>1.55422622</v>
      </c>
      <c r="O38" s="18" t="n">
        <v>0</v>
      </c>
      <c r="P38" s="20" t="n">
        <v>0</v>
      </c>
      <c r="Q38" s="18" t="n">
        <v>14.54063201</v>
      </c>
      <c r="R38" s="20" t="n">
        <v>2.4978073</v>
      </c>
    </row>
    <row r="39" spans="1:18">
      <c r="A39" s="15" t="s">
        <v>597</v>
      </c>
      <c r="B39" s="17" t="n">
        <v>2938</v>
      </c>
      <c r="C39" s="18">
        <f>(2591.0/B39*100)</f>
        <v/>
      </c>
      <c r="D39" s="19" t="n">
        <v>347</v>
      </c>
      <c r="E39" s="18" t="n">
        <v>60.91346371</v>
      </c>
      <c r="F39" s="20" t="n">
        <v>2.60192058</v>
      </c>
      <c r="G39" s="18" t="n">
        <v>21.76221207</v>
      </c>
      <c r="H39" s="20" t="n">
        <v>2.06266378</v>
      </c>
      <c r="I39" s="18" t="n">
        <v>0</v>
      </c>
      <c r="J39" s="20" t="n">
        <v>0</v>
      </c>
      <c r="K39" s="18" t="n">
        <v>0.44063774</v>
      </c>
      <c r="L39" s="20" t="n">
        <v>0.36784582</v>
      </c>
      <c r="M39" s="18" t="n">
        <v>0</v>
      </c>
      <c r="N39" s="20" t="n">
        <v>0</v>
      </c>
      <c r="O39" s="18" t="n">
        <v>0</v>
      </c>
      <c r="P39" s="20" t="n">
        <v>0</v>
      </c>
      <c r="Q39" s="18" t="n">
        <v>16.88368648</v>
      </c>
      <c r="R39" s="20" t="n">
        <v>1.97830755</v>
      </c>
    </row>
    <row r="40" spans="1:18">
      <c r="A40" s="15" t="s">
        <v>598</v>
      </c>
      <c r="B40" s="17" t="n">
        <v>6922</v>
      </c>
      <c r="C40" s="18">
        <f>(6197.0/B40*100)</f>
        <v/>
      </c>
      <c r="D40" s="19" t="n">
        <v>725</v>
      </c>
      <c r="E40" s="18" t="n">
        <v>38.90004121</v>
      </c>
      <c r="F40" s="20" t="n">
        <v>2.85037079</v>
      </c>
      <c r="G40" s="18" t="n">
        <v>46.26624492</v>
      </c>
      <c r="H40" s="20" t="n">
        <v>2.83854567</v>
      </c>
      <c r="I40" s="18" t="n">
        <v>0</v>
      </c>
      <c r="J40" s="20" t="n">
        <v>0</v>
      </c>
      <c r="K40" s="18" t="n">
        <v>0.5850288</v>
      </c>
      <c r="L40" s="20" t="n">
        <v>0.38221873</v>
      </c>
      <c r="M40" s="18" t="n">
        <v>0</v>
      </c>
      <c r="N40" s="20" t="n">
        <v>0</v>
      </c>
      <c r="O40" s="18" t="n">
        <v>0</v>
      </c>
      <c r="P40" s="20" t="n">
        <v>0</v>
      </c>
      <c r="Q40" s="18" t="n">
        <v>14.24868507</v>
      </c>
      <c r="R40" s="20" t="n">
        <v>1.78532982</v>
      </c>
    </row>
    <row r="41" spans="1:18">
      <c r="A41" s="15" t="s">
        <v>599</v>
      </c>
      <c r="B41" s="17" t="n">
        <v>2854</v>
      </c>
      <c r="C41" s="18">
        <f>(2562.0/B41*100)</f>
        <v/>
      </c>
      <c r="D41" s="19" t="n">
        <v>292</v>
      </c>
      <c r="E41" s="18" t="n">
        <v>61.37389415</v>
      </c>
      <c r="F41" s="20" t="n">
        <v>3.11123407</v>
      </c>
      <c r="G41" s="18" t="n">
        <v>32.63083046</v>
      </c>
      <c r="H41" s="20" t="n">
        <v>3.13185083</v>
      </c>
      <c r="I41" s="18" t="n">
        <v>0</v>
      </c>
      <c r="J41" s="20" t="n">
        <v>0</v>
      </c>
      <c r="K41" s="18" t="n">
        <v>1.22285066</v>
      </c>
      <c r="L41" s="20" t="n">
        <v>0.62120464</v>
      </c>
      <c r="M41" s="18" t="n">
        <v>0</v>
      </c>
      <c r="N41" s="20" t="n">
        <v>0</v>
      </c>
      <c r="O41" s="18" t="n">
        <v>0</v>
      </c>
      <c r="P41" s="20" t="n">
        <v>0</v>
      </c>
      <c r="Q41" s="18" t="n">
        <v>4.77242473</v>
      </c>
      <c r="R41" s="20" t="n">
        <v>1.27047813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(11026.0/B46*100)</f>
        <v/>
      </c>
      <c r="D46" s="19" t="n">
        <v>1047</v>
      </c>
      <c r="E46" s="18" t="n">
        <v>65.08856000999999</v>
      </c>
      <c r="F46" s="20" t="n">
        <v>2.13315805</v>
      </c>
      <c r="G46" s="18" t="n">
        <v>9.351285600000001</v>
      </c>
      <c r="H46" s="20" t="n">
        <v>1.26264446</v>
      </c>
      <c r="I46" s="18" t="n">
        <v>0</v>
      </c>
      <c r="J46" s="20" t="n">
        <v>0</v>
      </c>
      <c r="K46" s="18" t="n">
        <v>2.687022</v>
      </c>
      <c r="L46" s="20" t="n">
        <v>0.8191306</v>
      </c>
      <c r="M46" s="18" t="n">
        <v>0.04543007</v>
      </c>
      <c r="N46" s="20" t="n">
        <v>0.03675168</v>
      </c>
      <c r="O46" s="18" t="n">
        <v>0</v>
      </c>
      <c r="P46" s="20" t="n">
        <v>0</v>
      </c>
      <c r="Q46" s="18" t="n">
        <v>22.82770231</v>
      </c>
      <c r="R46" s="20" t="n">
        <v>1.81076711</v>
      </c>
    </row>
    <row r="47" spans="1:18">
      <c r="A47" s="15" t="s">
        <v>606</v>
      </c>
      <c r="B47" s="17" t="n">
        <v>2823</v>
      </c>
      <c r="C47" s="18">
        <f>(2515.0/B47*100)</f>
        <v/>
      </c>
      <c r="D47" s="19" t="n">
        <v>308</v>
      </c>
      <c r="E47" s="18" t="n">
        <v>35.76682306</v>
      </c>
      <c r="F47" s="20" t="n">
        <v>2.87240073</v>
      </c>
      <c r="G47" s="18" t="n">
        <v>34.30145474</v>
      </c>
      <c r="H47" s="20" t="n">
        <v>2.65004637</v>
      </c>
      <c r="I47" s="18" t="n">
        <v>0</v>
      </c>
      <c r="J47" s="20" t="n">
        <v>0</v>
      </c>
      <c r="K47" s="18" t="n">
        <v>2.08375915</v>
      </c>
      <c r="L47" s="20" t="n">
        <v>0.76840829</v>
      </c>
      <c r="M47" s="18" t="n">
        <v>0</v>
      </c>
      <c r="N47" s="20" t="n">
        <v>0</v>
      </c>
      <c r="O47" s="18" t="n">
        <v>0</v>
      </c>
      <c r="P47" s="20" t="n">
        <v>0</v>
      </c>
      <c r="Q47" s="18" t="n">
        <v>27.84796305</v>
      </c>
      <c r="R47" s="20" t="n">
        <v>2.61513066</v>
      </c>
    </row>
    <row r="48" spans="1:18">
      <c r="A48" s="15" t="s">
        <v>607</v>
      </c>
      <c r="B48" s="17" t="n">
        <v>4682</v>
      </c>
      <c r="C48" s="18">
        <f>(4157.0/B48*100)</f>
        <v/>
      </c>
      <c r="D48" s="19" t="n">
        <v>525</v>
      </c>
      <c r="E48" s="18" t="n">
        <v>29.1015789</v>
      </c>
      <c r="F48" s="20" t="n">
        <v>2.80241579</v>
      </c>
      <c r="G48" s="18" t="n">
        <v>62.98032855</v>
      </c>
      <c r="H48" s="20" t="n">
        <v>2.95893007</v>
      </c>
      <c r="I48" s="18" t="n">
        <v>0</v>
      </c>
      <c r="J48" s="20" t="n">
        <v>0</v>
      </c>
      <c r="K48" s="18" t="n">
        <v>2.1029446</v>
      </c>
      <c r="L48" s="20" t="n">
        <v>0.99494381</v>
      </c>
      <c r="M48" s="18" t="n">
        <v>0</v>
      </c>
      <c r="N48" s="20" t="n">
        <v>0</v>
      </c>
      <c r="O48" s="18" t="n">
        <v>0</v>
      </c>
      <c r="P48" s="20" t="n">
        <v>0</v>
      </c>
      <c r="Q48" s="18" t="n">
        <v>5.81514796</v>
      </c>
      <c r="R48" s="20" t="n">
        <v>1.58650336</v>
      </c>
    </row>
    <row r="49" spans="1:18">
      <c r="A49" s="15" t="s">
        <v>608</v>
      </c>
      <c r="B49" s="17" t="n">
        <v>6158</v>
      </c>
      <c r="C49" s="18">
        <f>(5497.0/B49*100)</f>
        <v/>
      </c>
      <c r="D49" s="19" t="n">
        <v>661</v>
      </c>
      <c r="E49" s="18" t="n">
        <v>72.20246702999999</v>
      </c>
      <c r="F49" s="20" t="n">
        <v>2.27857504</v>
      </c>
      <c r="G49" s="18" t="n">
        <v>15.35430727</v>
      </c>
      <c r="H49" s="20" t="n">
        <v>1.94151199</v>
      </c>
      <c r="I49" s="18" t="n">
        <v>0</v>
      </c>
      <c r="J49" s="20" t="n">
        <v>0</v>
      </c>
      <c r="K49" s="18" t="n">
        <v>3.61788423</v>
      </c>
      <c r="L49" s="20" t="n">
        <v>1.04679445</v>
      </c>
      <c r="M49" s="18" t="n">
        <v>0.1907708</v>
      </c>
      <c r="N49" s="20" t="n">
        <v>0.11530652</v>
      </c>
      <c r="O49" s="18" t="n">
        <v>0</v>
      </c>
      <c r="P49" s="20" t="n">
        <v>0</v>
      </c>
      <c r="Q49" s="18" t="n">
        <v>8.63457067</v>
      </c>
      <c r="R49" s="20" t="n">
        <v>1.41088217</v>
      </c>
    </row>
    <row r="50" spans="1:18">
      <c r="A50" s="15" t="s">
        <v>609</v>
      </c>
      <c r="B50" s="17" t="n">
        <v>3494</v>
      </c>
      <c r="C50" s="18">
        <f>(3160.0/B50*100)</f>
        <v/>
      </c>
      <c r="D50" s="19" t="n">
        <v>334</v>
      </c>
      <c r="E50" s="18" t="n">
        <v>78.40451492</v>
      </c>
      <c r="F50" s="20" t="n">
        <v>2.40662811</v>
      </c>
      <c r="G50" s="18" t="n">
        <v>13.00728698</v>
      </c>
      <c r="H50" s="20" t="n">
        <v>1.82610583</v>
      </c>
      <c r="I50" s="18" t="n">
        <v>0</v>
      </c>
      <c r="J50" s="20" t="n">
        <v>0</v>
      </c>
      <c r="K50" s="18" t="n">
        <v>1.73350721</v>
      </c>
      <c r="L50" s="20" t="n">
        <v>0.80279145</v>
      </c>
      <c r="M50" s="18" t="n">
        <v>0</v>
      </c>
      <c r="N50" s="20" t="n">
        <v>0</v>
      </c>
      <c r="O50" s="18" t="n">
        <v>0</v>
      </c>
      <c r="P50" s="20" t="n">
        <v>0</v>
      </c>
      <c r="Q50" s="18" t="n">
        <v>6.85469089</v>
      </c>
      <c r="R50" s="20" t="n">
        <v>1.52696583</v>
      </c>
    </row>
    <row r="51" spans="1:18">
      <c r="A51" s="15" t="s">
        <v>610</v>
      </c>
      <c r="B51" s="17" t="n">
        <v>3013</v>
      </c>
      <c r="C51" s="18">
        <f>(2676.0/B51*100)</f>
        <v/>
      </c>
      <c r="D51" s="19" t="n">
        <v>337</v>
      </c>
      <c r="E51" s="18" t="n">
        <v>46.10344569</v>
      </c>
      <c r="F51" s="20" t="n">
        <v>3.11086194</v>
      </c>
      <c r="G51" s="18" t="n">
        <v>21.72256824</v>
      </c>
      <c r="H51" s="20" t="n">
        <v>2.2480838</v>
      </c>
      <c r="I51" s="18" t="n">
        <v>0</v>
      </c>
      <c r="J51" s="20" t="n">
        <v>0</v>
      </c>
      <c r="K51" s="18" t="n">
        <v>1.13578177</v>
      </c>
      <c r="L51" s="20" t="n">
        <v>0.56808608</v>
      </c>
      <c r="M51" s="18" t="n">
        <v>0</v>
      </c>
      <c r="N51" s="20" t="n">
        <v>0</v>
      </c>
      <c r="O51" s="18" t="n">
        <v>0</v>
      </c>
      <c r="P51" s="20" t="n">
        <v>0</v>
      </c>
      <c r="Q51" s="18" t="n">
        <v>31.0382043</v>
      </c>
      <c r="R51" s="20" t="n">
        <v>2.87891458</v>
      </c>
    </row>
    <row r="52" spans="1:18">
      <c r="A52" s="15" t="s">
        <v>611</v>
      </c>
      <c r="B52" s="17" t="n">
        <v>2760</v>
      </c>
      <c r="C52" s="18">
        <f>(2470.0/B52*100)</f>
        <v/>
      </c>
      <c r="D52" s="19" t="n">
        <v>290</v>
      </c>
      <c r="E52" s="18" t="n">
        <v>55.10756599</v>
      </c>
      <c r="F52" s="20" t="n">
        <v>2.90680229</v>
      </c>
      <c r="G52" s="18" t="n">
        <v>26.3313157</v>
      </c>
      <c r="H52" s="20" t="n">
        <v>2.83305993</v>
      </c>
      <c r="I52" s="18" t="n">
        <v>0</v>
      </c>
      <c r="J52" s="20" t="n">
        <v>0</v>
      </c>
      <c r="K52" s="18" t="n">
        <v>1.29130536</v>
      </c>
      <c r="L52" s="20" t="n">
        <v>0.6570045</v>
      </c>
      <c r="M52" s="18" t="n">
        <v>0</v>
      </c>
      <c r="N52" s="20" t="n">
        <v>0</v>
      </c>
      <c r="O52" s="18" t="n">
        <v>0</v>
      </c>
      <c r="P52" s="20" t="n">
        <v>0</v>
      </c>
      <c r="Q52" s="18" t="n">
        <v>17.26981295</v>
      </c>
      <c r="R52" s="20" t="n">
        <v>2.00864693</v>
      </c>
    </row>
    <row r="53" spans="1:18">
      <c r="A53" s="15" t="s">
        <v>612</v>
      </c>
      <c r="B53" s="17" t="n">
        <v>2474</v>
      </c>
      <c r="C53" s="18">
        <f>(2219.0/B53*100)</f>
        <v/>
      </c>
      <c r="D53" s="19" t="n">
        <v>255</v>
      </c>
      <c r="E53" s="18" t="n">
        <v>57.53562792</v>
      </c>
      <c r="F53" s="20" t="n">
        <v>3.27576087</v>
      </c>
      <c r="G53" s="18" t="n">
        <v>6.83195711</v>
      </c>
      <c r="H53" s="20" t="n">
        <v>1.55791177</v>
      </c>
      <c r="I53" s="18" t="n">
        <v>0</v>
      </c>
      <c r="J53" s="20" t="n">
        <v>0</v>
      </c>
      <c r="K53" s="18" t="n">
        <v>18.57208255</v>
      </c>
      <c r="L53" s="20" t="n">
        <v>2.64039404</v>
      </c>
      <c r="M53" s="18" t="n">
        <v>1.60217184</v>
      </c>
      <c r="N53" s="20" t="n">
        <v>1.20955212</v>
      </c>
      <c r="O53" s="18" t="n">
        <v>0</v>
      </c>
      <c r="P53" s="20" t="n">
        <v>0</v>
      </c>
      <c r="Q53" s="18" t="n">
        <v>15.45816058</v>
      </c>
      <c r="R53" s="20" t="n">
        <v>2.77417869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(2362.0/B55*100)</f>
        <v/>
      </c>
      <c r="D55" s="19" t="n">
        <v>313</v>
      </c>
      <c r="E55" s="18" t="n">
        <v>47.05166297</v>
      </c>
      <c r="F55" s="20" t="n">
        <v>3.58064858</v>
      </c>
      <c r="G55" s="18" t="n">
        <v>49.11989174</v>
      </c>
      <c r="H55" s="20" t="n">
        <v>3.4576711</v>
      </c>
      <c r="I55" s="18" t="n">
        <v>0</v>
      </c>
      <c r="J55" s="20" t="n">
        <v>0</v>
      </c>
      <c r="K55" s="18" t="n">
        <v>1.36468942</v>
      </c>
      <c r="L55" s="20" t="n">
        <v>0.79699106</v>
      </c>
      <c r="M55" s="18" t="n">
        <v>0</v>
      </c>
      <c r="N55" s="20" t="n">
        <v>0</v>
      </c>
      <c r="O55" s="18" t="n">
        <v>0</v>
      </c>
      <c r="P55" s="20" t="n">
        <v>0</v>
      </c>
      <c r="Q55" s="18" t="n">
        <v>2.46375588</v>
      </c>
      <c r="R55" s="20" t="n">
        <v>0.92436349</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(2859.0/B61*100)</f>
        <v/>
      </c>
      <c r="D61" s="19" t="n">
        <v>342</v>
      </c>
      <c r="E61" s="18" t="n">
        <v>46.93371665</v>
      </c>
      <c r="F61" s="20" t="n">
        <v>2.8571792</v>
      </c>
      <c r="G61" s="18" t="n">
        <v>34.32602769</v>
      </c>
      <c r="H61" s="20" t="n">
        <v>2.60124885</v>
      </c>
      <c r="I61" s="18" t="n">
        <v>0</v>
      </c>
      <c r="J61" s="20" t="n">
        <v>0</v>
      </c>
      <c r="K61" s="18" t="n">
        <v>0</v>
      </c>
      <c r="L61" s="20" t="n">
        <v>0</v>
      </c>
      <c r="M61" s="18" t="n">
        <v>0</v>
      </c>
      <c r="N61" s="20" t="n">
        <v>0</v>
      </c>
      <c r="O61" s="18" t="n">
        <v>0</v>
      </c>
      <c r="P61" s="20" t="n">
        <v>0</v>
      </c>
      <c r="Q61" s="18" t="n">
        <v>18.74025566</v>
      </c>
      <c r="R61" s="20" t="n">
        <v>1.88230742</v>
      </c>
    </row>
    <row r="62" spans="1:18">
      <c r="A62" s="15" t="s">
        <v>622</v>
      </c>
      <c r="B62" s="17" t="n">
        <v>2230</v>
      </c>
      <c r="C62" s="18">
        <f>(2021.0/B62*100)</f>
        <v/>
      </c>
      <c r="D62" s="19" t="n">
        <v>209</v>
      </c>
      <c r="E62" s="18" t="n">
        <v>45.49301655</v>
      </c>
      <c r="F62" s="20" t="n">
        <v>3.35995431</v>
      </c>
      <c r="G62" s="18" t="n">
        <v>50.67790466</v>
      </c>
      <c r="H62" s="20" t="n">
        <v>3.59724103</v>
      </c>
      <c r="I62" s="18" t="n">
        <v>0</v>
      </c>
      <c r="J62" s="20" t="n">
        <v>0</v>
      </c>
      <c r="K62" s="18" t="n">
        <v>0</v>
      </c>
      <c r="L62" s="20" t="n">
        <v>0</v>
      </c>
      <c r="M62" s="18" t="n">
        <v>0</v>
      </c>
      <c r="N62" s="20" t="n">
        <v>0</v>
      </c>
      <c r="O62" s="18" t="n">
        <v>0</v>
      </c>
      <c r="P62" s="20" t="n">
        <v>0</v>
      </c>
      <c r="Q62" s="18" t="n">
        <v>3.8290788</v>
      </c>
      <c r="R62" s="20" t="n">
        <v>1.55467697</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(2475.0/B67*100)</f>
        <v/>
      </c>
      <c r="D67" s="19" t="n">
        <v>296</v>
      </c>
      <c r="E67" s="18" t="n">
        <v>44.4232259</v>
      </c>
      <c r="F67" s="20" t="n">
        <v>2.53951702</v>
      </c>
      <c r="G67" s="18" t="n">
        <v>14.28467254</v>
      </c>
      <c r="H67" s="20" t="n">
        <v>1.91599997</v>
      </c>
      <c r="I67" s="18" t="n">
        <v>0</v>
      </c>
      <c r="J67" s="20" t="n">
        <v>0</v>
      </c>
      <c r="K67" s="18" t="n">
        <v>3.49579003</v>
      </c>
      <c r="L67" s="20" t="n">
        <v>1.00955693</v>
      </c>
      <c r="M67" s="18" t="n">
        <v>0.29915922</v>
      </c>
      <c r="N67" s="20" t="n">
        <v>0.29998399</v>
      </c>
      <c r="O67" s="18" t="n">
        <v>0</v>
      </c>
      <c r="P67" s="20" t="n">
        <v>0</v>
      </c>
      <c r="Q67" s="18" t="n">
        <v>37.49715232</v>
      </c>
      <c r="R67" s="20" t="n">
        <v>2.80568441</v>
      </c>
    </row>
    <row r="68" spans="1:18">
      <c r="A68" s="15" t="s">
        <v>628</v>
      </c>
      <c r="B68" s="17" t="n">
        <v>3460</v>
      </c>
      <c r="C68" s="18">
        <f>(3125.0/B68*100)</f>
        <v/>
      </c>
      <c r="D68" s="19" t="n">
        <v>335</v>
      </c>
      <c r="E68" s="18" t="n">
        <v>73.24392933</v>
      </c>
      <c r="F68" s="20" t="n">
        <v>2.52515722</v>
      </c>
      <c r="G68" s="18" t="n">
        <v>16.10602464</v>
      </c>
      <c r="H68" s="20" t="n">
        <v>2.00955111</v>
      </c>
      <c r="I68" s="18" t="n">
        <v>0</v>
      </c>
      <c r="J68" s="20" t="n">
        <v>0</v>
      </c>
      <c r="K68" s="18" t="n">
        <v>0</v>
      </c>
      <c r="L68" s="20" t="n">
        <v>0</v>
      </c>
      <c r="M68" s="18" t="n">
        <v>0</v>
      </c>
      <c r="N68" s="20" t="n">
        <v>0</v>
      </c>
      <c r="O68" s="18" t="n">
        <v>0</v>
      </c>
      <c r="P68" s="20" t="n">
        <v>0</v>
      </c>
      <c r="Q68" s="18" t="n">
        <v>10.65004603</v>
      </c>
      <c r="R68" s="20" t="n">
        <v>1.73791994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(5382.0/B70*100)</f>
        <v/>
      </c>
      <c r="D70" s="19" t="n">
        <v>652</v>
      </c>
      <c r="E70" s="18" t="n">
        <v>66.97639929</v>
      </c>
      <c r="F70" s="20" t="n">
        <v>1.97150654</v>
      </c>
      <c r="G70" s="18" t="n">
        <v>19.4084372</v>
      </c>
      <c r="H70" s="20" t="n">
        <v>1.8254489</v>
      </c>
      <c r="I70" s="18" t="n">
        <v>0</v>
      </c>
      <c r="J70" s="20" t="n">
        <v>0</v>
      </c>
      <c r="K70" s="18" t="n">
        <v>2.59584097</v>
      </c>
      <c r="L70" s="20" t="n">
        <v>0.64110376</v>
      </c>
      <c r="M70" s="18" t="n">
        <v>0</v>
      </c>
      <c r="N70" s="20" t="n">
        <v>0</v>
      </c>
      <c r="O70" s="18" t="n">
        <v>0</v>
      </c>
      <c r="P70" s="20" t="n">
        <v>0</v>
      </c>
      <c r="Q70" s="18" t="n">
        <v>11.01932255</v>
      </c>
      <c r="R70" s="20" t="n">
        <v>1.19145973</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(2764.0/B72*100)</f>
        <v/>
      </c>
      <c r="D72" s="19" t="n">
        <v>343</v>
      </c>
      <c r="E72" s="18" t="n">
        <v>52.52539526</v>
      </c>
      <c r="F72" s="20" t="n">
        <v>2.47098605</v>
      </c>
      <c r="G72" s="18" t="n">
        <v>31.61856989</v>
      </c>
      <c r="H72" s="20" t="n">
        <v>2.49358347</v>
      </c>
      <c r="I72" s="18" t="n">
        <v>0</v>
      </c>
      <c r="J72" s="20" t="n">
        <v>0</v>
      </c>
      <c r="K72" s="18" t="n">
        <v>0.45739059</v>
      </c>
      <c r="L72" s="20" t="n">
        <v>0.25389617</v>
      </c>
      <c r="M72" s="18" t="n">
        <v>0</v>
      </c>
      <c r="N72" s="20" t="n">
        <v>0</v>
      </c>
      <c r="O72" s="18" t="n">
        <v>0</v>
      </c>
      <c r="P72" s="20" t="n">
        <v>0</v>
      </c>
      <c r="Q72" s="18" t="n">
        <v>15.39864426</v>
      </c>
      <c r="R72" s="20" t="n">
        <v>1.86027912</v>
      </c>
    </row>
    <row r="73" spans="1:18">
      <c r="A73" s="15" t="s">
        <v>633</v>
      </c>
      <c r="B73" s="17" t="n">
        <v>2973</v>
      </c>
      <c r="C73" s="18">
        <f>(2678.0/B73*100)</f>
        <v/>
      </c>
      <c r="D73" s="19" t="n">
        <v>295</v>
      </c>
      <c r="E73" s="18" t="n">
        <v>50.31934524</v>
      </c>
      <c r="F73" s="20" t="n">
        <v>2.94487933</v>
      </c>
      <c r="G73" s="18" t="n">
        <v>46.60505603</v>
      </c>
      <c r="H73" s="20" t="n">
        <v>2.96896921</v>
      </c>
      <c r="I73" s="18" t="n">
        <v>0</v>
      </c>
      <c r="J73" s="20" t="n">
        <v>0</v>
      </c>
      <c r="K73" s="18" t="n">
        <v>0.31972914</v>
      </c>
      <c r="L73" s="20" t="n">
        <v>0.3112114</v>
      </c>
      <c r="M73" s="18" t="n">
        <v>0</v>
      </c>
      <c r="N73" s="20" t="n">
        <v>0</v>
      </c>
      <c r="O73" s="18" t="n">
        <v>0</v>
      </c>
      <c r="P73" s="20" t="n">
        <v>0</v>
      </c>
      <c r="Q73" s="18" t="n">
        <v>2.75586959</v>
      </c>
      <c r="R73" s="20" t="n">
        <v>0.97137196</v>
      </c>
    </row>
    <row r="74" spans="1:18">
      <c r="A74" s="15" t="s">
        <v>634</v>
      </c>
      <c r="B74" s="17" t="n">
        <v>3819</v>
      </c>
      <c r="C74" s="18">
        <f>(3411.0/B74*100)</f>
        <v/>
      </c>
      <c r="D74" s="19" t="n">
        <v>408</v>
      </c>
      <c r="E74" s="18" t="n">
        <v>34.53079025</v>
      </c>
      <c r="F74" s="20" t="n">
        <v>2.23150128</v>
      </c>
      <c r="G74" s="18" t="n">
        <v>59.38268298</v>
      </c>
      <c r="H74" s="20" t="n">
        <v>2.37301945</v>
      </c>
      <c r="I74" s="18" t="n">
        <v>0</v>
      </c>
      <c r="J74" s="20" t="n">
        <v>0</v>
      </c>
      <c r="K74" s="18" t="n">
        <v>0</v>
      </c>
      <c r="L74" s="20" t="n">
        <v>0</v>
      </c>
      <c r="M74" s="18" t="n">
        <v>0</v>
      </c>
      <c r="N74" s="20" t="n">
        <v>0</v>
      </c>
      <c r="O74" s="18" t="n">
        <v>0</v>
      </c>
      <c r="P74" s="20" t="n">
        <v>0</v>
      </c>
      <c r="Q74" s="18" t="n">
        <v>6.08652676</v>
      </c>
      <c r="R74" s="20" t="n">
        <v>1.40479331</v>
      </c>
    </row>
    <row r="75" spans="1:18">
      <c r="A75" s="15" t="s">
        <v>635</v>
      </c>
      <c r="B75" s="17" t="n">
        <v>4652</v>
      </c>
      <c r="C75" s="18">
        <f>(4170.0/B75*100)</f>
        <v/>
      </c>
      <c r="D75" s="19" t="n">
        <v>482</v>
      </c>
      <c r="E75" s="18" t="n">
        <v>97.49428678</v>
      </c>
      <c r="F75" s="20" t="n">
        <v>0.80349861</v>
      </c>
      <c r="G75" s="18" t="n">
        <v>1.02841171</v>
      </c>
      <c r="H75" s="20" t="n">
        <v>0.49993958</v>
      </c>
      <c r="I75" s="18" t="n">
        <v>0</v>
      </c>
      <c r="J75" s="20" t="n">
        <v>0</v>
      </c>
      <c r="K75" s="18" t="n">
        <v>0.56288421</v>
      </c>
      <c r="L75" s="20" t="n">
        <v>0.39777354</v>
      </c>
      <c r="M75" s="18" t="n">
        <v>0</v>
      </c>
      <c r="N75" s="20" t="n">
        <v>0</v>
      </c>
      <c r="O75" s="18" t="n">
        <v>0</v>
      </c>
      <c r="P75" s="20" t="n">
        <v>0</v>
      </c>
      <c r="Q75" s="18" t="n">
        <v>0.9144173</v>
      </c>
      <c r="R75" s="20" t="n">
        <v>0.47540782</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(2667.0/B77*100)</f>
        <v/>
      </c>
      <c r="D77" s="19" t="n">
        <v>302</v>
      </c>
      <c r="E77" s="18" t="n">
        <v>56.30667692</v>
      </c>
      <c r="F77" s="20" t="n">
        <v>2.67286006</v>
      </c>
      <c r="G77" s="18" t="n">
        <v>16.15896329</v>
      </c>
      <c r="H77" s="20" t="n">
        <v>2.29312467</v>
      </c>
      <c r="I77" s="18" t="n">
        <v>0</v>
      </c>
      <c r="J77" s="20" t="n">
        <v>0</v>
      </c>
      <c r="K77" s="18" t="n">
        <v>6.97872182</v>
      </c>
      <c r="L77" s="20" t="n">
        <v>1.65446239</v>
      </c>
      <c r="M77" s="18" t="n">
        <v>0.69470174</v>
      </c>
      <c r="N77" s="20" t="n">
        <v>0.49819716</v>
      </c>
      <c r="O77" s="18" t="n">
        <v>0</v>
      </c>
      <c r="P77" s="20" t="n">
        <v>0</v>
      </c>
      <c r="Q77" s="18" t="n">
        <v>19.86093623</v>
      </c>
      <c r="R77" s="20" t="n">
        <v>2.60838571</v>
      </c>
    </row>
    <row r="78" spans="1:18">
      <c r="A78" s="15" t="s">
        <v>638</v>
      </c>
      <c r="B78" s="17" t="n">
        <v>7115</v>
      </c>
      <c r="C78" s="18">
        <f>(6296.0/B78*100)</f>
        <v/>
      </c>
      <c r="D78" s="19" t="n">
        <v>819</v>
      </c>
      <c r="E78" s="18" t="n">
        <v>60.17422594</v>
      </c>
      <c r="F78" s="20" t="n">
        <v>2.17890588</v>
      </c>
      <c r="G78" s="18" t="n">
        <v>29.81348792</v>
      </c>
      <c r="H78" s="20" t="n">
        <v>2.1289457</v>
      </c>
      <c r="I78" s="18" t="n">
        <v>0</v>
      </c>
      <c r="J78" s="20" t="n">
        <v>0</v>
      </c>
      <c r="K78" s="18" t="n">
        <v>1.63366948</v>
      </c>
      <c r="L78" s="20" t="n">
        <v>0.5716478</v>
      </c>
      <c r="M78" s="18" t="n">
        <v>0.24140889</v>
      </c>
      <c r="N78" s="20" t="n">
        <v>0.12999241</v>
      </c>
      <c r="O78" s="18" t="n">
        <v>0</v>
      </c>
      <c r="P78" s="20" t="n">
        <v>0</v>
      </c>
      <c r="Q78" s="18" t="n">
        <v>8.13720777</v>
      </c>
      <c r="R78" s="20" t="n">
        <v>1.16742967</v>
      </c>
    </row>
    <row r="79" spans="1:18">
      <c r="A79" s="15" t="s">
        <v>639</v>
      </c>
      <c r="B79" s="17" t="n">
        <v>3154</v>
      </c>
      <c r="C79" s="18">
        <f>(2817.0/B79*100)</f>
        <v/>
      </c>
      <c r="D79" s="19" t="n">
        <v>337</v>
      </c>
      <c r="E79" s="18" t="n">
        <v>43.72410424</v>
      </c>
      <c r="F79" s="20" t="n">
        <v>2.86508732</v>
      </c>
      <c r="G79" s="18" t="n">
        <v>20.42931915</v>
      </c>
      <c r="H79" s="20" t="n">
        <v>2.39734394</v>
      </c>
      <c r="I79" s="18" t="n">
        <v>0</v>
      </c>
      <c r="J79" s="20" t="n">
        <v>0</v>
      </c>
      <c r="K79" s="18" t="n">
        <v>3.24273529</v>
      </c>
      <c r="L79" s="20" t="n">
        <v>1.05994549</v>
      </c>
      <c r="M79" s="18" t="n">
        <v>0</v>
      </c>
      <c r="N79" s="20" t="n">
        <v>0</v>
      </c>
      <c r="O79" s="18" t="n">
        <v>0</v>
      </c>
      <c r="P79" s="20" t="n">
        <v>0</v>
      </c>
      <c r="Q79" s="18" t="n">
        <v>32.60384132</v>
      </c>
      <c r="R79" s="20" t="n">
        <v>2.69411632</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(14254.0/B82*100)</f>
        <v/>
      </c>
      <c r="D82" s="19" t="n">
        <v>1707</v>
      </c>
      <c r="E82" s="18" t="n">
        <v>46.52040415</v>
      </c>
      <c r="F82" s="20" t="n">
        <v>1.96637439</v>
      </c>
      <c r="G82" s="18" t="n">
        <v>37.57549373</v>
      </c>
      <c r="H82" s="20" t="n">
        <v>1.77611065</v>
      </c>
      <c r="I82" s="18" t="n">
        <v>0</v>
      </c>
      <c r="J82" s="20" t="n">
        <v>0</v>
      </c>
      <c r="K82" s="18" t="n">
        <v>1.07252789</v>
      </c>
      <c r="L82" s="20" t="n">
        <v>0.31428898</v>
      </c>
      <c r="M82" s="18" t="n">
        <v>0</v>
      </c>
      <c r="N82" s="20" t="n">
        <v>0</v>
      </c>
      <c r="O82" s="18" t="n">
        <v>0</v>
      </c>
      <c r="P82" s="20" t="n">
        <v>0</v>
      </c>
      <c r="Q82" s="18" t="n">
        <v>14.83157422</v>
      </c>
      <c r="R82" s="20" t="n">
        <v>1.19429089</v>
      </c>
    </row>
    <row r="83" spans="1:18">
      <c r="A83" s="15" t="s">
        <v>643</v>
      </c>
      <c r="B83" s="17" t="n">
        <v>808</v>
      </c>
      <c r="C83" s="18">
        <f>(712.0/B83*100)</f>
        <v/>
      </c>
      <c r="D83" s="19" t="n">
        <v>96</v>
      </c>
      <c r="E83" s="18" t="n">
        <v>42.92106725</v>
      </c>
      <c r="F83" s="20" t="n">
        <v>5.79630157</v>
      </c>
      <c r="G83" s="18" t="n">
        <v>55.01300727</v>
      </c>
      <c r="H83" s="20" t="n">
        <v>6.20065493</v>
      </c>
      <c r="I83" s="18" t="n">
        <v>0</v>
      </c>
      <c r="J83" s="20" t="n">
        <v>0</v>
      </c>
      <c r="K83" s="18" t="n">
        <v>0</v>
      </c>
      <c r="L83" s="20" t="n">
        <v>0</v>
      </c>
      <c r="M83" s="18" t="n">
        <v>0</v>
      </c>
      <c r="N83" s="20" t="n">
        <v>0</v>
      </c>
      <c r="O83" s="18" t="n">
        <v>0</v>
      </c>
      <c r="P83" s="20" t="n">
        <v>0</v>
      </c>
      <c r="Q83" s="18" t="n">
        <v>2.06592548</v>
      </c>
      <c r="R83" s="20" t="n">
        <v>1.42551637</v>
      </c>
    </row>
    <row r="84" spans="1:18">
      <c r="A84" s="23" t="s">
        <v>644</v>
      </c>
      <c r="B84" s="24" t="n">
        <v>938</v>
      </c>
      <c r="C84" s="25">
        <f>(843.0/B84*100)</f>
        <v/>
      </c>
      <c r="D84" s="19" t="n">
        <v>95</v>
      </c>
      <c r="E84" s="18" t="n">
        <v>65.45935240999999</v>
      </c>
      <c r="F84" s="20" t="n">
        <v>5.50045285</v>
      </c>
      <c r="G84" s="18" t="n">
        <v>31.08024235</v>
      </c>
      <c r="H84" s="20" t="n">
        <v>5.21765839</v>
      </c>
      <c r="I84" s="18" t="n">
        <v>0</v>
      </c>
      <c r="J84" s="20" t="n">
        <v>0</v>
      </c>
      <c r="K84" s="18" t="n">
        <v>0</v>
      </c>
      <c r="L84" s="20" t="n">
        <v>0</v>
      </c>
      <c r="M84" s="18" t="n">
        <v>0</v>
      </c>
      <c r="N84" s="20" t="n">
        <v>0</v>
      </c>
      <c r="O84" s="18" t="n">
        <v>0</v>
      </c>
      <c r="P84" s="20" t="n">
        <v>0</v>
      </c>
      <c r="Q84" s="18" t="n">
        <v>3.46040524</v>
      </c>
      <c r="R84" s="20" t="n">
        <v>2.02225303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(6398.0/B7*100)</f>
        <v/>
      </c>
      <c r="D7" s="19" t="n">
        <v>765</v>
      </c>
      <c r="E7" s="18" t="n">
        <v>58.07666734</v>
      </c>
      <c r="F7" s="20" t="n">
        <v>2.23331141</v>
      </c>
      <c r="G7" s="18" t="n">
        <v>40.66521935</v>
      </c>
      <c r="H7" s="20" t="n">
        <v>2.31988253</v>
      </c>
      <c r="I7" s="18" t="n">
        <v>0</v>
      </c>
      <c r="J7" s="20" t="n">
        <v>0</v>
      </c>
      <c r="K7" s="18" t="n">
        <v>1.25811331</v>
      </c>
      <c r="L7" s="20" t="n">
        <v>0.50622346</v>
      </c>
      <c r="M7" s="18" t="n">
        <v>0</v>
      </c>
      <c r="N7" s="20" t="n">
        <v>0</v>
      </c>
      <c r="O7" s="18" t="n">
        <v>0</v>
      </c>
      <c r="P7" s="20" t="n">
        <v>0</v>
      </c>
      <c r="Q7" s="18" t="n">
        <v>0</v>
      </c>
      <c r="R7" s="20" t="n">
        <v>0</v>
      </c>
    </row>
    <row r="8" spans="1:18">
      <c r="A8" s="15" t="s">
        <v>566</v>
      </c>
      <c r="B8" s="17" t="n">
        <v>3443</v>
      </c>
      <c r="C8" s="18">
        <f>(3061.0/B8*100)</f>
        <v/>
      </c>
      <c r="D8" s="19" t="n">
        <v>382</v>
      </c>
      <c r="E8" s="18" t="n">
        <v>49.1413986</v>
      </c>
      <c r="F8" s="20" t="n">
        <v>2.59039095</v>
      </c>
      <c r="G8" s="18" t="n">
        <v>50.20446709</v>
      </c>
      <c r="H8" s="20" t="n">
        <v>2.51644927</v>
      </c>
      <c r="I8" s="18" t="n">
        <v>0</v>
      </c>
      <c r="J8" s="20" t="n">
        <v>0</v>
      </c>
      <c r="K8" s="18" t="n">
        <v>0.65413431</v>
      </c>
      <c r="L8" s="20" t="n">
        <v>0.58026856</v>
      </c>
      <c r="M8" s="18" t="n">
        <v>0</v>
      </c>
      <c r="N8" s="20" t="n">
        <v>0</v>
      </c>
      <c r="O8" s="18" t="n">
        <v>0</v>
      </c>
      <c r="P8" s="20" t="n">
        <v>0</v>
      </c>
      <c r="Q8" s="18" t="n">
        <v>0</v>
      </c>
      <c r="R8" s="20" t="n">
        <v>0</v>
      </c>
    </row>
    <row r="9" spans="1:18">
      <c r="A9" s="15" t="s">
        <v>567</v>
      </c>
      <c r="B9" s="17" t="n">
        <v>4752</v>
      </c>
      <c r="C9" s="18">
        <f>(4253.0/B9*100)</f>
        <v/>
      </c>
      <c r="D9" s="19" t="n">
        <v>499</v>
      </c>
      <c r="E9" s="18" t="n">
        <v>53.65211047</v>
      </c>
      <c r="F9" s="20" t="n">
        <v>2.65511016</v>
      </c>
      <c r="G9" s="18" t="n">
        <v>44.36647945</v>
      </c>
      <c r="H9" s="20" t="n">
        <v>2.57735021</v>
      </c>
      <c r="I9" s="18" t="n">
        <v>0</v>
      </c>
      <c r="J9" s="20" t="n">
        <v>0</v>
      </c>
      <c r="K9" s="18" t="n">
        <v>1.98141008</v>
      </c>
      <c r="L9" s="20" t="n">
        <v>0.7642354099999999</v>
      </c>
      <c r="M9" s="18" t="n">
        <v>0</v>
      </c>
      <c r="N9" s="20" t="n">
        <v>0</v>
      </c>
      <c r="O9" s="18" t="n">
        <v>0</v>
      </c>
      <c r="P9" s="20" t="n">
        <v>0</v>
      </c>
      <c r="Q9" s="18" t="n">
        <v>0</v>
      </c>
      <c r="R9" s="20" t="n">
        <v>0</v>
      </c>
    </row>
    <row r="10" spans="1:18">
      <c r="A10" s="15" t="s">
        <v>568</v>
      </c>
      <c r="B10" s="17" t="n">
        <v>10022</v>
      </c>
      <c r="C10" s="18">
        <f>(8956.0/B10*100)</f>
        <v/>
      </c>
      <c r="D10" s="19" t="n">
        <v>1066</v>
      </c>
      <c r="E10" s="18" t="n">
        <v>51.41283086</v>
      </c>
      <c r="F10" s="20" t="n">
        <v>2.08360154</v>
      </c>
      <c r="G10" s="18" t="n">
        <v>47.1438446</v>
      </c>
      <c r="H10" s="20" t="n">
        <v>2.03652212</v>
      </c>
      <c r="I10" s="18" t="n">
        <v>0</v>
      </c>
      <c r="J10" s="20" t="n">
        <v>0</v>
      </c>
      <c r="K10" s="18" t="n">
        <v>1.44332454</v>
      </c>
      <c r="L10" s="20" t="n">
        <v>0.50223859</v>
      </c>
      <c r="M10" s="18" t="n">
        <v>0</v>
      </c>
      <c r="N10" s="20" t="n">
        <v>0</v>
      </c>
      <c r="O10" s="18" t="n">
        <v>0</v>
      </c>
      <c r="P10" s="20" t="n">
        <v>0</v>
      </c>
      <c r="Q10" s="18" t="n">
        <v>0</v>
      </c>
      <c r="R10" s="20" t="n">
        <v>0</v>
      </c>
    </row>
    <row r="11" spans="1:18">
      <c r="A11" s="15" t="s">
        <v>569</v>
      </c>
      <c r="B11" s="17" t="n">
        <v>3500</v>
      </c>
      <c r="C11" s="18">
        <f>(3128.0/B11*100)</f>
        <v/>
      </c>
      <c r="D11" s="19" t="n">
        <v>372</v>
      </c>
      <c r="E11" s="18" t="n">
        <v>80.27598646</v>
      </c>
      <c r="F11" s="20" t="n">
        <v>2.1818354</v>
      </c>
      <c r="G11" s="18" t="n">
        <v>16.7004543</v>
      </c>
      <c r="H11" s="20" t="n">
        <v>2.0986425</v>
      </c>
      <c r="I11" s="18" t="n">
        <v>0</v>
      </c>
      <c r="J11" s="20" t="n">
        <v>0</v>
      </c>
      <c r="K11" s="18" t="n">
        <v>3.02355925</v>
      </c>
      <c r="L11" s="20" t="n">
        <v>0.78902105</v>
      </c>
      <c r="M11" s="18" t="n">
        <v>0</v>
      </c>
      <c r="N11" s="20" t="n">
        <v>0</v>
      </c>
      <c r="O11" s="18" t="n">
        <v>0</v>
      </c>
      <c r="P11" s="20" t="n">
        <v>0</v>
      </c>
      <c r="Q11" s="18" t="n">
        <v>0</v>
      </c>
      <c r="R11" s="20" t="n">
        <v>0</v>
      </c>
    </row>
    <row r="12" spans="1:18">
      <c r="A12" s="15" t="s">
        <v>570</v>
      </c>
      <c r="B12" s="17" t="n">
        <v>3422</v>
      </c>
      <c r="C12" s="18">
        <f>(3042.0/B12*100)</f>
        <v/>
      </c>
      <c r="D12" s="19" t="n">
        <v>380</v>
      </c>
      <c r="E12" s="18" t="n">
        <v>52.31622412</v>
      </c>
      <c r="F12" s="20" t="n">
        <v>3.64138677</v>
      </c>
      <c r="G12" s="18" t="n">
        <v>45.98756664</v>
      </c>
      <c r="H12" s="20" t="n">
        <v>3.69929961</v>
      </c>
      <c r="I12" s="18" t="n">
        <v>0</v>
      </c>
      <c r="J12" s="20" t="n">
        <v>0</v>
      </c>
      <c r="K12" s="18" t="n">
        <v>1.69620924</v>
      </c>
      <c r="L12" s="20" t="n">
        <v>0.60530957</v>
      </c>
      <c r="M12" s="18" t="n">
        <v>0</v>
      </c>
      <c r="N12" s="20" t="n">
        <v>0</v>
      </c>
      <c r="O12" s="18" t="n">
        <v>0</v>
      </c>
      <c r="P12" s="20" t="n">
        <v>0</v>
      </c>
      <c r="Q12" s="18" t="n">
        <v>0</v>
      </c>
      <c r="R12" s="20" t="n">
        <v>0</v>
      </c>
    </row>
    <row r="13" spans="1:18">
      <c r="A13" s="15" t="s">
        <v>571</v>
      </c>
      <c r="B13" s="17" t="n">
        <v>3602</v>
      </c>
      <c r="C13" s="18">
        <f>(3240.0/B13*100)</f>
        <v/>
      </c>
      <c r="D13" s="19" t="n">
        <v>362</v>
      </c>
      <c r="E13" s="18" t="n">
        <v>47.35380783</v>
      </c>
      <c r="F13" s="20" t="n">
        <v>2.85967301</v>
      </c>
      <c r="G13" s="18" t="n">
        <v>51.37489122</v>
      </c>
      <c r="H13" s="20" t="n">
        <v>2.9942068</v>
      </c>
      <c r="I13" s="18" t="n">
        <v>0</v>
      </c>
      <c r="J13" s="20" t="n">
        <v>0</v>
      </c>
      <c r="K13" s="18" t="n">
        <v>1.27130094</v>
      </c>
      <c r="L13" s="20" t="n">
        <v>0.68138599</v>
      </c>
      <c r="M13" s="18" t="n">
        <v>0</v>
      </c>
      <c r="N13" s="20" t="n">
        <v>0</v>
      </c>
      <c r="O13" s="18" t="n">
        <v>0</v>
      </c>
      <c r="P13" s="20" t="n">
        <v>0</v>
      </c>
      <c r="Q13" s="18" t="n">
        <v>0</v>
      </c>
      <c r="R13" s="20" t="n">
        <v>0</v>
      </c>
    </row>
    <row r="14" spans="1:18">
      <c r="A14" s="15" t="s">
        <v>572</v>
      </c>
      <c r="B14" s="17" t="n">
        <v>2788</v>
      </c>
      <c r="C14" s="18">
        <f>(2495.0/B14*100)</f>
        <v/>
      </c>
      <c r="D14" s="19" t="n">
        <v>293</v>
      </c>
      <c r="E14" s="18" t="n">
        <v>41.5975691</v>
      </c>
      <c r="F14" s="20" t="n">
        <v>2.98357136</v>
      </c>
      <c r="G14" s="18" t="n">
        <v>57.85902976</v>
      </c>
      <c r="H14" s="20" t="n">
        <v>2.93675223</v>
      </c>
      <c r="I14" s="18" t="n">
        <v>0</v>
      </c>
      <c r="J14" s="20" t="n">
        <v>0</v>
      </c>
      <c r="K14" s="18" t="n">
        <v>0.5434011399999999</v>
      </c>
      <c r="L14" s="20" t="n">
        <v>0.38855903</v>
      </c>
      <c r="M14" s="18" t="n">
        <v>0</v>
      </c>
      <c r="N14" s="20" t="n">
        <v>0</v>
      </c>
      <c r="O14" s="18" t="n">
        <v>0</v>
      </c>
      <c r="P14" s="20" t="n">
        <v>0</v>
      </c>
      <c r="Q14" s="18" t="n">
        <v>0</v>
      </c>
      <c r="R14" s="20" t="n">
        <v>0</v>
      </c>
    </row>
    <row r="15" spans="1:18">
      <c r="A15" s="15" t="s">
        <v>573</v>
      </c>
      <c r="B15" s="17" t="n">
        <v>2863</v>
      </c>
      <c r="C15" s="18">
        <f>(2547.0/B15*100)</f>
        <v/>
      </c>
      <c r="D15" s="19" t="n">
        <v>316</v>
      </c>
      <c r="E15" s="18" t="n">
        <v>52.44635744</v>
      </c>
      <c r="F15" s="20" t="n">
        <v>2.71817007</v>
      </c>
      <c r="G15" s="18" t="n">
        <v>47.55364256</v>
      </c>
      <c r="H15" s="20" t="n">
        <v>2.71817007</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(2798.0/B16*100)</f>
        <v/>
      </c>
      <c r="D16" s="19" t="n">
        <v>313</v>
      </c>
      <c r="E16" s="18" t="n">
        <v>58.90406669</v>
      </c>
      <c r="F16" s="20" t="n">
        <v>2.94006766</v>
      </c>
      <c r="G16" s="18" t="n">
        <v>37.36171001</v>
      </c>
      <c r="H16" s="20" t="n">
        <v>2.69563412</v>
      </c>
      <c r="I16" s="18" t="n">
        <v>0</v>
      </c>
      <c r="J16" s="20" t="n">
        <v>0</v>
      </c>
      <c r="K16" s="18" t="n">
        <v>3.73422329</v>
      </c>
      <c r="L16" s="20" t="n">
        <v>1.44587402</v>
      </c>
      <c r="M16" s="18" t="n">
        <v>0</v>
      </c>
      <c r="N16" s="20" t="n">
        <v>0</v>
      </c>
      <c r="O16" s="18" t="n">
        <v>0</v>
      </c>
      <c r="P16" s="20" t="n">
        <v>0</v>
      </c>
      <c r="Q16" s="18" t="n">
        <v>0</v>
      </c>
      <c r="R16" s="20" t="n">
        <v>0</v>
      </c>
    </row>
    <row r="17" spans="1:18">
      <c r="A17" s="15" t="s">
        <v>575</v>
      </c>
      <c r="B17" s="17" t="n">
        <v>3197</v>
      </c>
      <c r="C17" s="18">
        <f>(2829.0/B17*100)</f>
        <v/>
      </c>
      <c r="D17" s="19" t="n">
        <v>368</v>
      </c>
      <c r="E17" s="18" t="n">
        <v>48.79956164</v>
      </c>
      <c r="F17" s="20" t="n">
        <v>2.89144726</v>
      </c>
      <c r="G17" s="18" t="n">
        <v>48.25575974</v>
      </c>
      <c r="H17" s="20" t="n">
        <v>3.11105345</v>
      </c>
      <c r="I17" s="18" t="n">
        <v>0</v>
      </c>
      <c r="J17" s="20" t="n">
        <v>0</v>
      </c>
      <c r="K17" s="18" t="n">
        <v>2.94467861</v>
      </c>
      <c r="L17" s="20" t="n">
        <v>1.13247518</v>
      </c>
      <c r="M17" s="18" t="n">
        <v>0</v>
      </c>
      <c r="N17" s="20" t="n">
        <v>0</v>
      </c>
      <c r="O17" s="18" t="n">
        <v>0</v>
      </c>
      <c r="P17" s="20" t="n">
        <v>0</v>
      </c>
      <c r="Q17" s="18" t="n">
        <v>0</v>
      </c>
      <c r="R17" s="20" t="n">
        <v>0</v>
      </c>
    </row>
    <row r="18" spans="1:18">
      <c r="A18" s="15" t="s">
        <v>576</v>
      </c>
      <c r="B18" s="17" t="n">
        <v>2706</v>
      </c>
      <c r="C18" s="18">
        <f>(2429.0/B18*100)</f>
        <v/>
      </c>
      <c r="D18" s="19" t="n">
        <v>277</v>
      </c>
      <c r="E18" s="18" t="n">
        <v>60.78181808</v>
      </c>
      <c r="F18" s="20" t="n">
        <v>2.70574819</v>
      </c>
      <c r="G18" s="18" t="n">
        <v>37.32426552</v>
      </c>
      <c r="H18" s="20" t="n">
        <v>2.80002881</v>
      </c>
      <c r="I18" s="18" t="n">
        <v>0</v>
      </c>
      <c r="J18" s="20" t="n">
        <v>0</v>
      </c>
      <c r="K18" s="18" t="n">
        <v>1.8939164</v>
      </c>
      <c r="L18" s="20" t="n">
        <v>0.97343474</v>
      </c>
      <c r="M18" s="18" t="n">
        <v>0</v>
      </c>
      <c r="N18" s="20" t="n">
        <v>0</v>
      </c>
      <c r="O18" s="18" t="n">
        <v>0</v>
      </c>
      <c r="P18" s="20" t="n">
        <v>0</v>
      </c>
      <c r="Q18" s="18" t="n">
        <v>0</v>
      </c>
      <c r="R18" s="20" t="n">
        <v>0</v>
      </c>
    </row>
    <row r="19" spans="1:18">
      <c r="A19" s="15" t="s">
        <v>577</v>
      </c>
      <c r="B19" s="17" t="n">
        <v>2850</v>
      </c>
      <c r="C19" s="18">
        <f>(2540.0/B19*100)</f>
        <v/>
      </c>
      <c r="D19" s="19" t="n">
        <v>310</v>
      </c>
      <c r="E19" s="18" t="n">
        <v>49.42377532</v>
      </c>
      <c r="F19" s="20" t="n">
        <v>3.06936812</v>
      </c>
      <c r="G19" s="18" t="n">
        <v>49.16028954</v>
      </c>
      <c r="H19" s="20" t="n">
        <v>3.06246114</v>
      </c>
      <c r="I19" s="18" t="n">
        <v>0</v>
      </c>
      <c r="J19" s="20" t="n">
        <v>0</v>
      </c>
      <c r="K19" s="18" t="n">
        <v>1.41593514</v>
      </c>
      <c r="L19" s="20" t="n">
        <v>0.16685735</v>
      </c>
      <c r="M19" s="18" t="n">
        <v>0</v>
      </c>
      <c r="N19" s="20" t="n">
        <v>0</v>
      </c>
      <c r="O19" s="18" t="n">
        <v>0</v>
      </c>
      <c r="P19" s="20" t="n">
        <v>0</v>
      </c>
      <c r="Q19" s="18" t="n">
        <v>0</v>
      </c>
      <c r="R19" s="20" t="n">
        <v>0</v>
      </c>
    </row>
    <row r="20" spans="1:18">
      <c r="A20" s="15" t="s">
        <v>578</v>
      </c>
      <c r="B20" s="17" t="n">
        <v>1741</v>
      </c>
      <c r="C20" s="18">
        <f>(1558.0/B20*100)</f>
        <v/>
      </c>
      <c r="D20" s="19" t="n">
        <v>183</v>
      </c>
      <c r="E20" s="18" t="n">
        <v>56.69874789</v>
      </c>
      <c r="F20" s="20" t="n">
        <v>3.77366881</v>
      </c>
      <c r="G20" s="18" t="n">
        <v>39.52286651</v>
      </c>
      <c r="H20" s="20" t="n">
        <v>3.54171321</v>
      </c>
      <c r="I20" s="18" t="n">
        <v>0</v>
      </c>
      <c r="J20" s="20" t="n">
        <v>0</v>
      </c>
      <c r="K20" s="18" t="n">
        <v>3.7783856</v>
      </c>
      <c r="L20" s="20" t="n">
        <v>1.72650338</v>
      </c>
      <c r="M20" s="18" t="n">
        <v>0</v>
      </c>
      <c r="N20" s="20" t="n">
        <v>0</v>
      </c>
      <c r="O20" s="18" t="n">
        <v>0</v>
      </c>
      <c r="P20" s="20" t="n">
        <v>0</v>
      </c>
      <c r="Q20" s="18" t="n">
        <v>0</v>
      </c>
      <c r="R20" s="20" t="n">
        <v>0</v>
      </c>
    </row>
    <row r="21" spans="1:18">
      <c r="A21" s="15" t="s">
        <v>579</v>
      </c>
      <c r="B21" s="17" t="n">
        <v>2833</v>
      </c>
      <c r="C21" s="18">
        <f>(2521.0/B21*100)</f>
        <v/>
      </c>
      <c r="D21" s="19" t="n">
        <v>312</v>
      </c>
      <c r="E21" s="18" t="n">
        <v>70.69329154</v>
      </c>
      <c r="F21" s="20" t="n">
        <v>2.52404259</v>
      </c>
      <c r="G21" s="18" t="n">
        <v>29.30670846</v>
      </c>
      <c r="H21" s="20" t="n">
        <v>2.52404259</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(3247.0/B22*100)</f>
        <v/>
      </c>
      <c r="D22" s="19" t="n">
        <v>420</v>
      </c>
      <c r="E22" s="18" t="n">
        <v>68.93544817999999</v>
      </c>
      <c r="F22" s="20" t="n">
        <v>2.59393683</v>
      </c>
      <c r="G22" s="18" t="n">
        <v>27.30395307</v>
      </c>
      <c r="H22" s="20" t="n">
        <v>2.43487918</v>
      </c>
      <c r="I22" s="18" t="n">
        <v>0</v>
      </c>
      <c r="J22" s="20" t="n">
        <v>0</v>
      </c>
      <c r="K22" s="18" t="n">
        <v>3.76059875</v>
      </c>
      <c r="L22" s="20" t="n">
        <v>0.92884054</v>
      </c>
      <c r="M22" s="18" t="n">
        <v>0</v>
      </c>
      <c r="N22" s="20" t="n">
        <v>0</v>
      </c>
      <c r="O22" s="18" t="n">
        <v>0</v>
      </c>
      <c r="P22" s="20" t="n">
        <v>0</v>
      </c>
      <c r="Q22" s="18" t="n">
        <v>0</v>
      </c>
      <c r="R22" s="20" t="n">
        <v>0</v>
      </c>
    </row>
    <row r="23" spans="1:18">
      <c r="A23" s="15" t="s">
        <v>581</v>
      </c>
      <c r="B23" s="17" t="n">
        <v>5792</v>
      </c>
      <c r="C23" s="18">
        <f>(5162.0/B23*100)</f>
        <v/>
      </c>
      <c r="D23" s="19" t="n">
        <v>630</v>
      </c>
      <c r="E23" s="18" t="n">
        <v>55.99625214</v>
      </c>
      <c r="F23" s="20" t="n">
        <v>2.71833642</v>
      </c>
      <c r="G23" s="18" t="n">
        <v>42.36525525</v>
      </c>
      <c r="H23" s="20" t="n">
        <v>2.69533327</v>
      </c>
      <c r="I23" s="18" t="n">
        <v>0</v>
      </c>
      <c r="J23" s="20" t="n">
        <v>0</v>
      </c>
      <c r="K23" s="18" t="n">
        <v>1.63849261</v>
      </c>
      <c r="L23" s="20" t="n">
        <v>0.69192034</v>
      </c>
      <c r="M23" s="18" t="n">
        <v>0</v>
      </c>
      <c r="N23" s="20" t="n">
        <v>0</v>
      </c>
      <c r="O23" s="18" t="n">
        <v>0</v>
      </c>
      <c r="P23" s="20" t="n">
        <v>0</v>
      </c>
      <c r="Q23" s="18" t="n">
        <v>0</v>
      </c>
      <c r="R23" s="20" t="n">
        <v>0</v>
      </c>
    </row>
    <row r="24" spans="1:18">
      <c r="A24" s="15" t="s">
        <v>582</v>
      </c>
      <c r="B24" s="17" t="n">
        <v>3309</v>
      </c>
      <c r="C24" s="18">
        <f>(2926.0/B24*100)</f>
        <v/>
      </c>
      <c r="D24" s="19" t="n">
        <v>383</v>
      </c>
      <c r="E24" s="18" t="n">
        <v>38.16132048</v>
      </c>
      <c r="F24" s="20" t="n">
        <v>2.48486479</v>
      </c>
      <c r="G24" s="18" t="n">
        <v>59.19059709</v>
      </c>
      <c r="H24" s="20" t="n">
        <v>2.44740657</v>
      </c>
      <c r="I24" s="18" t="n">
        <v>0</v>
      </c>
      <c r="J24" s="20" t="n">
        <v>0</v>
      </c>
      <c r="K24" s="18" t="n">
        <v>2.64808243</v>
      </c>
      <c r="L24" s="20" t="n">
        <v>0.95572874</v>
      </c>
      <c r="M24" s="18" t="n">
        <v>0</v>
      </c>
      <c r="N24" s="20" t="n">
        <v>0</v>
      </c>
      <c r="O24" s="18" t="n">
        <v>0</v>
      </c>
      <c r="P24" s="20" t="n">
        <v>0</v>
      </c>
      <c r="Q24" s="18" t="n">
        <v>0</v>
      </c>
      <c r="R24" s="20" t="n">
        <v>0</v>
      </c>
    </row>
    <row r="25" spans="1:18">
      <c r="A25" s="15" t="s">
        <v>583</v>
      </c>
      <c r="B25" s="17" t="n">
        <v>2669</v>
      </c>
      <c r="C25" s="18">
        <f>(2381.0/B25*100)</f>
        <v/>
      </c>
      <c r="D25" s="19" t="n">
        <v>288</v>
      </c>
      <c r="E25" s="18" t="n">
        <v>51.65092174</v>
      </c>
      <c r="F25" s="20" t="n">
        <v>2.96048067</v>
      </c>
      <c r="G25" s="18" t="n">
        <v>47.66909629</v>
      </c>
      <c r="H25" s="20" t="n">
        <v>2.8706716</v>
      </c>
      <c r="I25" s="18" t="n">
        <v>0</v>
      </c>
      <c r="J25" s="20" t="n">
        <v>0</v>
      </c>
      <c r="K25" s="18" t="n">
        <v>0.67998197</v>
      </c>
      <c r="L25" s="20" t="n">
        <v>0.48409764</v>
      </c>
      <c r="M25" s="18" t="n">
        <v>0</v>
      </c>
      <c r="N25" s="20" t="n">
        <v>0</v>
      </c>
      <c r="O25" s="18" t="n">
        <v>0</v>
      </c>
      <c r="P25" s="20" t="n">
        <v>0</v>
      </c>
      <c r="Q25" s="18" t="n">
        <v>0</v>
      </c>
      <c r="R25" s="20" t="n">
        <v>0</v>
      </c>
    </row>
    <row r="26" spans="1:18">
      <c r="A26" s="15" t="s">
        <v>584</v>
      </c>
      <c r="B26" s="17" t="n">
        <v>2419</v>
      </c>
      <c r="C26" s="18">
        <f>(2151.0/B26*100)</f>
        <v/>
      </c>
      <c r="D26" s="19" t="n">
        <v>268</v>
      </c>
      <c r="E26" s="18" t="n">
        <v>66.95804653</v>
      </c>
      <c r="F26" s="20" t="n">
        <v>2.94979123</v>
      </c>
      <c r="G26" s="18" t="n">
        <v>32.76226009</v>
      </c>
      <c r="H26" s="20" t="n">
        <v>2.95077282</v>
      </c>
      <c r="I26" s="18" t="n">
        <v>0</v>
      </c>
      <c r="J26" s="20" t="n">
        <v>0</v>
      </c>
      <c r="K26" s="18" t="n">
        <v>0.27969338</v>
      </c>
      <c r="L26" s="20" t="n">
        <v>0.27957334</v>
      </c>
      <c r="M26" s="18" t="n">
        <v>0</v>
      </c>
      <c r="N26" s="20" t="n">
        <v>0</v>
      </c>
      <c r="O26" s="18" t="n">
        <v>0</v>
      </c>
      <c r="P26" s="20" t="n">
        <v>0</v>
      </c>
      <c r="Q26" s="18" t="n">
        <v>0</v>
      </c>
      <c r="R26" s="20" t="n">
        <v>0</v>
      </c>
    </row>
    <row r="27" spans="1:18">
      <c r="A27" s="15" t="s">
        <v>585</v>
      </c>
      <c r="B27" s="17" t="n">
        <v>2683</v>
      </c>
      <c r="C27" s="18">
        <f>(2389.0/B27*100)</f>
        <v/>
      </c>
      <c r="D27" s="19" t="n">
        <v>294</v>
      </c>
      <c r="E27" s="18" t="n">
        <v>51.30737085</v>
      </c>
      <c r="F27" s="20" t="n">
        <v>3.00418497</v>
      </c>
      <c r="G27" s="18" t="n">
        <v>46.98538739</v>
      </c>
      <c r="H27" s="20" t="n">
        <v>2.85670639</v>
      </c>
      <c r="I27" s="18" t="n">
        <v>0</v>
      </c>
      <c r="J27" s="20" t="n">
        <v>0</v>
      </c>
      <c r="K27" s="18" t="n">
        <v>1.70724176</v>
      </c>
      <c r="L27" s="20" t="n">
        <v>0.75960836</v>
      </c>
      <c r="M27" s="18" t="n">
        <v>0</v>
      </c>
      <c r="N27" s="20" t="n">
        <v>0</v>
      </c>
      <c r="O27" s="18" t="n">
        <v>0</v>
      </c>
      <c r="P27" s="20" t="n">
        <v>0</v>
      </c>
      <c r="Q27" s="18" t="n">
        <v>0</v>
      </c>
      <c r="R27" s="20" t="n">
        <v>0</v>
      </c>
    </row>
    <row r="28" spans="1:18">
      <c r="A28" s="15" t="s">
        <v>586</v>
      </c>
      <c r="B28" s="17" t="n">
        <v>3803</v>
      </c>
      <c r="C28" s="18">
        <f>(3440.0/B28*100)</f>
        <v/>
      </c>
      <c r="D28" s="19" t="n">
        <v>363</v>
      </c>
      <c r="E28" s="18" t="n">
        <v>82.66010313</v>
      </c>
      <c r="F28" s="20" t="n">
        <v>1.99275013</v>
      </c>
      <c r="G28" s="18" t="n">
        <v>14.95306282</v>
      </c>
      <c r="H28" s="20" t="n">
        <v>1.7685011</v>
      </c>
      <c r="I28" s="18" t="n">
        <v>0</v>
      </c>
      <c r="J28" s="20" t="n">
        <v>0</v>
      </c>
      <c r="K28" s="18" t="n">
        <v>2.38683405</v>
      </c>
      <c r="L28" s="20" t="n">
        <v>0.92359941</v>
      </c>
      <c r="M28" s="18" t="n">
        <v>0</v>
      </c>
      <c r="N28" s="20" t="n">
        <v>0</v>
      </c>
      <c r="O28" s="18" t="n">
        <v>0</v>
      </c>
      <c r="P28" s="20" t="n">
        <v>0</v>
      </c>
      <c r="Q28" s="18" t="n">
        <v>0</v>
      </c>
      <c r="R28" s="20" t="n">
        <v>0</v>
      </c>
    </row>
    <row r="29" spans="1:18">
      <c r="A29" s="15" t="s">
        <v>587</v>
      </c>
      <c r="B29" s="17" t="n">
        <v>2700</v>
      </c>
      <c r="C29" s="18">
        <f>(2388.0/B29*100)</f>
        <v/>
      </c>
      <c r="D29" s="19" t="n">
        <v>312</v>
      </c>
      <c r="E29" s="18" t="n">
        <v>60.1761314</v>
      </c>
      <c r="F29" s="20" t="n">
        <v>2.46104253</v>
      </c>
      <c r="G29" s="18" t="n">
        <v>39.48415493</v>
      </c>
      <c r="H29" s="20" t="n">
        <v>2.44353616</v>
      </c>
      <c r="I29" s="18" t="n">
        <v>0</v>
      </c>
      <c r="J29" s="20" t="n">
        <v>0</v>
      </c>
      <c r="K29" s="18" t="n">
        <v>0.33971367</v>
      </c>
      <c r="L29" s="20" t="n">
        <v>0.33080428</v>
      </c>
      <c r="M29" s="18" t="n">
        <v>0</v>
      </c>
      <c r="N29" s="20" t="n">
        <v>0</v>
      </c>
      <c r="O29" s="18" t="n">
        <v>0</v>
      </c>
      <c r="P29" s="20" t="n">
        <v>0</v>
      </c>
      <c r="Q29" s="18" t="n">
        <v>0</v>
      </c>
      <c r="R29" s="20" t="n">
        <v>0</v>
      </c>
    </row>
    <row r="30" spans="1:18">
      <c r="A30" s="15" t="s">
        <v>588</v>
      </c>
      <c r="B30" s="17" t="n">
        <v>2257</v>
      </c>
      <c r="C30" s="18">
        <f>(2034.0/B30*100)</f>
        <v/>
      </c>
      <c r="D30" s="19" t="n">
        <v>223</v>
      </c>
      <c r="E30" s="18" t="n">
        <v>59.970532</v>
      </c>
      <c r="F30" s="20" t="n">
        <v>3.40758062</v>
      </c>
      <c r="G30" s="18" t="n">
        <v>36.89134397</v>
      </c>
      <c r="H30" s="20" t="n">
        <v>3.40661675</v>
      </c>
      <c r="I30" s="18" t="n">
        <v>0</v>
      </c>
      <c r="J30" s="20" t="n">
        <v>0</v>
      </c>
      <c r="K30" s="18" t="n">
        <v>3.13812403</v>
      </c>
      <c r="L30" s="20" t="n">
        <v>1.25765233</v>
      </c>
      <c r="M30" s="18" t="n">
        <v>0</v>
      </c>
      <c r="N30" s="20" t="n">
        <v>0</v>
      </c>
      <c r="O30" s="18" t="n">
        <v>0</v>
      </c>
      <c r="P30" s="20" t="n">
        <v>0</v>
      </c>
      <c r="Q30" s="18" t="n">
        <v>0</v>
      </c>
      <c r="R30" s="20" t="n">
        <v>0</v>
      </c>
    </row>
    <row r="31" spans="1:18">
      <c r="A31" s="15" t="s">
        <v>589</v>
      </c>
      <c r="B31" s="17" t="n">
        <v>2706</v>
      </c>
      <c r="C31" s="18">
        <f>(2416.0/B31*100)</f>
        <v/>
      </c>
      <c r="D31" s="19" t="n">
        <v>290</v>
      </c>
      <c r="E31" s="18" t="n">
        <v>55.75623728</v>
      </c>
      <c r="F31" s="20" t="n">
        <v>3.21315654</v>
      </c>
      <c r="G31" s="18" t="n">
        <v>40.48985425</v>
      </c>
      <c r="H31" s="20" t="n">
        <v>3.18646616</v>
      </c>
      <c r="I31" s="18" t="n">
        <v>0</v>
      </c>
      <c r="J31" s="20" t="n">
        <v>0</v>
      </c>
      <c r="K31" s="18" t="n">
        <v>3.75390847</v>
      </c>
      <c r="L31" s="20" t="n">
        <v>1.02602954</v>
      </c>
      <c r="M31" s="18" t="n">
        <v>0</v>
      </c>
      <c r="N31" s="20" t="n">
        <v>0</v>
      </c>
      <c r="O31" s="18" t="n">
        <v>0</v>
      </c>
      <c r="P31" s="20" t="n">
        <v>0</v>
      </c>
      <c r="Q31" s="18" t="n">
        <v>0</v>
      </c>
      <c r="R31" s="20" t="n">
        <v>0</v>
      </c>
    </row>
    <row r="32" spans="1:18">
      <c r="A32" s="15" t="s">
        <v>590</v>
      </c>
      <c r="B32" s="17" t="n">
        <v>2209</v>
      </c>
      <c r="C32" s="18">
        <f>(1961.0/B32*100)</f>
        <v/>
      </c>
      <c r="D32" s="19" t="n">
        <v>248</v>
      </c>
      <c r="E32" s="18" t="n">
        <v>29.102514</v>
      </c>
      <c r="F32" s="20" t="n">
        <v>3.40449095</v>
      </c>
      <c r="G32" s="18" t="n">
        <v>69.72540042999999</v>
      </c>
      <c r="H32" s="20" t="n">
        <v>3.36959184</v>
      </c>
      <c r="I32" s="18" t="n">
        <v>0</v>
      </c>
      <c r="J32" s="20" t="n">
        <v>0</v>
      </c>
      <c r="K32" s="18" t="n">
        <v>1.17208557</v>
      </c>
      <c r="L32" s="20" t="n">
        <v>0.6629898400000001</v>
      </c>
      <c r="M32" s="18" t="n">
        <v>0</v>
      </c>
      <c r="N32" s="20" t="n">
        <v>0</v>
      </c>
      <c r="O32" s="18" t="n">
        <v>0</v>
      </c>
      <c r="P32" s="20" t="n">
        <v>0</v>
      </c>
      <c r="Q32" s="18" t="n">
        <v>0</v>
      </c>
      <c r="R32" s="20" t="n">
        <v>0</v>
      </c>
    </row>
    <row r="33" spans="1:18">
      <c r="A33" s="15" t="s">
        <v>591</v>
      </c>
      <c r="B33" s="17" t="n">
        <v>3651</v>
      </c>
      <c r="C33" s="18">
        <f>(3265.0/B33*100)</f>
        <v/>
      </c>
      <c r="D33" s="19" t="n">
        <v>386</v>
      </c>
      <c r="E33" s="18" t="n">
        <v>40.59446793</v>
      </c>
      <c r="F33" s="20" t="n">
        <v>2.6171633</v>
      </c>
      <c r="G33" s="18" t="n">
        <v>57.80362203</v>
      </c>
      <c r="H33" s="20" t="n">
        <v>2.53609214</v>
      </c>
      <c r="I33" s="18" t="n">
        <v>0</v>
      </c>
      <c r="J33" s="20" t="n">
        <v>0</v>
      </c>
      <c r="K33" s="18" t="n">
        <v>1.60191005</v>
      </c>
      <c r="L33" s="20" t="n">
        <v>0.71777678</v>
      </c>
      <c r="M33" s="18" t="n">
        <v>0</v>
      </c>
      <c r="N33" s="20" t="n">
        <v>0</v>
      </c>
      <c r="O33" s="18" t="n">
        <v>0</v>
      </c>
      <c r="P33" s="20" t="n">
        <v>0</v>
      </c>
      <c r="Q33" s="18" t="n">
        <v>0</v>
      </c>
      <c r="R33" s="20" t="n">
        <v>0</v>
      </c>
    </row>
    <row r="34" spans="1:18">
      <c r="A34" s="15" t="s">
        <v>592</v>
      </c>
      <c r="B34" s="17" t="n">
        <v>3035</v>
      </c>
      <c r="C34" s="18">
        <f>(2726.0/B34*100)</f>
        <v/>
      </c>
      <c r="D34" s="19" t="n">
        <v>309</v>
      </c>
      <c r="E34" s="18" t="n">
        <v>60.65193426</v>
      </c>
      <c r="F34" s="20" t="n">
        <v>2.60475994</v>
      </c>
      <c r="G34" s="18" t="n">
        <v>39.34806574</v>
      </c>
      <c r="H34" s="20" t="n">
        <v>2.60475994</v>
      </c>
      <c r="I34" s="18" t="n">
        <v>0</v>
      </c>
      <c r="J34" s="20" t="n">
        <v>0</v>
      </c>
      <c r="K34" s="18" t="n">
        <v>0</v>
      </c>
      <c r="L34" s="20" t="n">
        <v>0</v>
      </c>
      <c r="M34" s="18" t="n">
        <v>0</v>
      </c>
      <c r="N34" s="20" t="n">
        <v>0</v>
      </c>
      <c r="O34" s="18" t="n">
        <v>0</v>
      </c>
      <c r="P34" s="20" t="n">
        <v>0</v>
      </c>
      <c r="Q34" s="18" t="n">
        <v>0</v>
      </c>
      <c r="R34" s="20" t="n">
        <v>0</v>
      </c>
    </row>
    <row r="35" spans="1:18">
      <c r="A35" s="15" t="s">
        <v>593</v>
      </c>
      <c r="B35" s="17" t="n">
        <v>2901</v>
      </c>
      <c r="C35" s="18">
        <f>(2586.0/B35*100)</f>
        <v/>
      </c>
      <c r="D35" s="19" t="n">
        <v>315</v>
      </c>
      <c r="E35" s="18" t="n">
        <v>29.66020018</v>
      </c>
      <c r="F35" s="20" t="n">
        <v>3.1690198</v>
      </c>
      <c r="G35" s="18" t="n">
        <v>68.71035689</v>
      </c>
      <c r="H35" s="20" t="n">
        <v>3.1842312</v>
      </c>
      <c r="I35" s="18" t="n">
        <v>0</v>
      </c>
      <c r="J35" s="20" t="n">
        <v>0</v>
      </c>
      <c r="K35" s="18" t="n">
        <v>1.62944293</v>
      </c>
      <c r="L35" s="20" t="n">
        <v>1.08390827</v>
      </c>
      <c r="M35" s="18" t="n">
        <v>0</v>
      </c>
      <c r="N35" s="20" t="n">
        <v>0</v>
      </c>
      <c r="O35" s="18" t="n">
        <v>0</v>
      </c>
      <c r="P35" s="20" t="n">
        <v>0</v>
      </c>
      <c r="Q35" s="18" t="n">
        <v>0</v>
      </c>
      <c r="R35" s="20" t="n">
        <v>0</v>
      </c>
    </row>
    <row r="36" spans="1:18">
      <c r="A36" s="15" t="s">
        <v>594</v>
      </c>
      <c r="B36" s="17" t="n">
        <v>3404</v>
      </c>
      <c r="C36" s="18">
        <f>(3058.0/B36*100)</f>
        <v/>
      </c>
      <c r="D36" s="19" t="n">
        <v>346</v>
      </c>
      <c r="E36" s="18" t="n">
        <v>52.52148021</v>
      </c>
      <c r="F36" s="20" t="n">
        <v>3.1372566</v>
      </c>
      <c r="G36" s="18" t="n">
        <v>47.09455092</v>
      </c>
      <c r="H36" s="20" t="n">
        <v>3.21552474</v>
      </c>
      <c r="I36" s="18" t="n">
        <v>0</v>
      </c>
      <c r="J36" s="20" t="n">
        <v>0</v>
      </c>
      <c r="K36" s="18" t="n">
        <v>0.38396888</v>
      </c>
      <c r="L36" s="20" t="n">
        <v>0.31263683</v>
      </c>
      <c r="M36" s="18" t="n">
        <v>0</v>
      </c>
      <c r="N36" s="20" t="n">
        <v>0</v>
      </c>
      <c r="O36" s="18" t="n">
        <v>0</v>
      </c>
      <c r="P36" s="20" t="n">
        <v>0</v>
      </c>
      <c r="Q36" s="18" t="n">
        <v>0</v>
      </c>
      <c r="R36" s="20" t="n">
        <v>0</v>
      </c>
    </row>
    <row r="37" spans="1:18">
      <c r="A37" s="15" t="s">
        <v>595</v>
      </c>
      <c r="B37" s="17" t="n">
        <v>2731</v>
      </c>
      <c r="C37" s="18">
        <f>(2450.0/B37*100)</f>
        <v/>
      </c>
      <c r="D37" s="19" t="n">
        <v>281</v>
      </c>
      <c r="E37" s="18" t="n">
        <v>61.39390568</v>
      </c>
      <c r="F37" s="20" t="n">
        <v>2.60556336</v>
      </c>
      <c r="G37" s="18" t="n">
        <v>36.29775926</v>
      </c>
      <c r="H37" s="20" t="n">
        <v>2.59734809</v>
      </c>
      <c r="I37" s="18" t="n">
        <v>0</v>
      </c>
      <c r="J37" s="20" t="n">
        <v>0</v>
      </c>
      <c r="K37" s="18" t="n">
        <v>2.30833506</v>
      </c>
      <c r="L37" s="20" t="n">
        <v>0.8520891</v>
      </c>
      <c r="M37" s="18" t="n">
        <v>0</v>
      </c>
      <c r="N37" s="20" t="n">
        <v>0</v>
      </c>
      <c r="O37" s="18" t="n">
        <v>0</v>
      </c>
      <c r="P37" s="20" t="n">
        <v>0</v>
      </c>
      <c r="Q37" s="18" t="n">
        <v>0</v>
      </c>
      <c r="R37" s="20" t="n">
        <v>0</v>
      </c>
    </row>
    <row r="38" spans="1:18">
      <c r="A38" s="15" t="s">
        <v>596</v>
      </c>
      <c r="B38" s="17" t="n">
        <v>2807</v>
      </c>
      <c r="C38" s="18">
        <f>(2508.0/B38*100)</f>
        <v/>
      </c>
      <c r="D38" s="19" t="n">
        <v>299</v>
      </c>
      <c r="E38" s="18" t="n">
        <v>46.37999974</v>
      </c>
      <c r="F38" s="20" t="n">
        <v>2.94585126</v>
      </c>
      <c r="G38" s="18" t="n">
        <v>52.27885816</v>
      </c>
      <c r="H38" s="20" t="n">
        <v>2.85228344</v>
      </c>
      <c r="I38" s="18" t="n">
        <v>0</v>
      </c>
      <c r="J38" s="20" t="n">
        <v>0</v>
      </c>
      <c r="K38" s="18" t="n">
        <v>1.34114211</v>
      </c>
      <c r="L38" s="20" t="n">
        <v>0.67501693</v>
      </c>
      <c r="M38" s="18" t="n">
        <v>0</v>
      </c>
      <c r="N38" s="20" t="n">
        <v>0</v>
      </c>
      <c r="O38" s="18" t="n">
        <v>0</v>
      </c>
      <c r="P38" s="20" t="n">
        <v>0</v>
      </c>
      <c r="Q38" s="18" t="n">
        <v>0</v>
      </c>
      <c r="R38" s="20" t="n">
        <v>0</v>
      </c>
    </row>
    <row r="39" spans="1:18">
      <c r="A39" s="15" t="s">
        <v>597</v>
      </c>
      <c r="B39" s="17" t="n">
        <v>2938</v>
      </c>
      <c r="C39" s="18">
        <f>(2591.0/B39*100)</f>
        <v/>
      </c>
      <c r="D39" s="19" t="n">
        <v>347</v>
      </c>
      <c r="E39" s="18" t="n">
        <v>78.95659319000001</v>
      </c>
      <c r="F39" s="20" t="n">
        <v>2.35397422</v>
      </c>
      <c r="G39" s="18" t="n">
        <v>20.20851478</v>
      </c>
      <c r="H39" s="20" t="n">
        <v>2.33116719</v>
      </c>
      <c r="I39" s="18" t="n">
        <v>0</v>
      </c>
      <c r="J39" s="20" t="n">
        <v>0</v>
      </c>
      <c r="K39" s="18" t="n">
        <v>0.83489203</v>
      </c>
      <c r="L39" s="20" t="n">
        <v>0.45183719</v>
      </c>
      <c r="M39" s="18" t="n">
        <v>0</v>
      </c>
      <c r="N39" s="20" t="n">
        <v>0</v>
      </c>
      <c r="O39" s="18" t="n">
        <v>0</v>
      </c>
      <c r="P39" s="20" t="n">
        <v>0</v>
      </c>
      <c r="Q39" s="18" t="n">
        <v>0</v>
      </c>
      <c r="R39" s="20" t="n">
        <v>0</v>
      </c>
    </row>
    <row r="40" spans="1:18">
      <c r="A40" s="15" t="s">
        <v>598</v>
      </c>
      <c r="B40" s="17" t="n">
        <v>6922</v>
      </c>
      <c r="C40" s="18">
        <f>(6197.0/B40*100)</f>
        <v/>
      </c>
      <c r="D40" s="19" t="n">
        <v>725</v>
      </c>
      <c r="E40" s="18" t="n">
        <v>50.97206066</v>
      </c>
      <c r="F40" s="20" t="n">
        <v>2.91946014</v>
      </c>
      <c r="G40" s="18" t="n">
        <v>47.76668235</v>
      </c>
      <c r="H40" s="20" t="n">
        <v>2.93980693</v>
      </c>
      <c r="I40" s="18" t="n">
        <v>0</v>
      </c>
      <c r="J40" s="20" t="n">
        <v>0</v>
      </c>
      <c r="K40" s="18" t="n">
        <v>1.261257</v>
      </c>
      <c r="L40" s="20" t="n">
        <v>0.6031039</v>
      </c>
      <c r="M40" s="18" t="n">
        <v>0</v>
      </c>
      <c r="N40" s="20" t="n">
        <v>0</v>
      </c>
      <c r="O40" s="18" t="n">
        <v>0</v>
      </c>
      <c r="P40" s="20" t="n">
        <v>0</v>
      </c>
      <c r="Q40" s="18" t="n">
        <v>0</v>
      </c>
      <c r="R40" s="20" t="n">
        <v>0</v>
      </c>
    </row>
    <row r="41" spans="1:18">
      <c r="A41" s="15" t="s">
        <v>599</v>
      </c>
      <c r="B41" s="17" t="n">
        <v>2854</v>
      </c>
      <c r="C41" s="18">
        <f>(2562.0/B41*100)</f>
        <v/>
      </c>
      <c r="D41" s="19" t="n">
        <v>292</v>
      </c>
      <c r="E41" s="18" t="n">
        <v>57.09860919</v>
      </c>
      <c r="F41" s="20" t="n">
        <v>3.11791054</v>
      </c>
      <c r="G41" s="18" t="n">
        <v>40.85147637</v>
      </c>
      <c r="H41" s="20" t="n">
        <v>3.10256993</v>
      </c>
      <c r="I41" s="18" t="n">
        <v>0</v>
      </c>
      <c r="J41" s="20" t="n">
        <v>0</v>
      </c>
      <c r="K41" s="18" t="n">
        <v>2.04991445</v>
      </c>
      <c r="L41" s="20" t="n">
        <v>0.7617743300000001</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(11026.0/B46*100)</f>
        <v/>
      </c>
      <c r="D46" s="19" t="n">
        <v>1047</v>
      </c>
      <c r="E46" s="18" t="n">
        <v>71.44445404</v>
      </c>
      <c r="F46" s="20" t="n">
        <v>2.28562859</v>
      </c>
      <c r="G46" s="18" t="n">
        <v>25.42167493</v>
      </c>
      <c r="H46" s="20" t="n">
        <v>2.09376749</v>
      </c>
      <c r="I46" s="18" t="n">
        <v>0</v>
      </c>
      <c r="J46" s="20" t="n">
        <v>0</v>
      </c>
      <c r="K46" s="18" t="n">
        <v>3.13387103</v>
      </c>
      <c r="L46" s="20" t="n">
        <v>0.85242828</v>
      </c>
      <c r="M46" s="18" t="n">
        <v>0</v>
      </c>
      <c r="N46" s="20" t="n">
        <v>0</v>
      </c>
      <c r="O46" s="18" t="n">
        <v>0</v>
      </c>
      <c r="P46" s="20" t="n">
        <v>0</v>
      </c>
      <c r="Q46" s="18" t="n">
        <v>0</v>
      </c>
      <c r="R46" s="20" t="n">
        <v>0</v>
      </c>
    </row>
    <row r="47" spans="1:18">
      <c r="A47" s="15" t="s">
        <v>606</v>
      </c>
      <c r="B47" s="17" t="n">
        <v>2823</v>
      </c>
      <c r="C47" s="18">
        <f>(2514.0/B47*100)</f>
        <v/>
      </c>
      <c r="D47" s="19" t="n">
        <v>309</v>
      </c>
      <c r="E47" s="18" t="n">
        <v>54.30854231</v>
      </c>
      <c r="F47" s="20" t="n">
        <v>2.72907134</v>
      </c>
      <c r="G47" s="18" t="n">
        <v>42.67533435</v>
      </c>
      <c r="H47" s="20" t="n">
        <v>2.88080529</v>
      </c>
      <c r="I47" s="18" t="n">
        <v>0</v>
      </c>
      <c r="J47" s="20" t="n">
        <v>0</v>
      </c>
      <c r="K47" s="18" t="n">
        <v>3.01612335</v>
      </c>
      <c r="L47" s="20" t="n">
        <v>0.80595672</v>
      </c>
      <c r="M47" s="18" t="n">
        <v>0</v>
      </c>
      <c r="N47" s="20" t="n">
        <v>0</v>
      </c>
      <c r="O47" s="18" t="n">
        <v>0</v>
      </c>
      <c r="P47" s="20" t="n">
        <v>0</v>
      </c>
      <c r="Q47" s="18" t="n">
        <v>0</v>
      </c>
      <c r="R47" s="20" t="n">
        <v>0</v>
      </c>
    </row>
    <row r="48" spans="1:18">
      <c r="A48" s="15" t="s">
        <v>607</v>
      </c>
      <c r="B48" s="17" t="n">
        <v>4682</v>
      </c>
      <c r="C48" s="18">
        <f>(4157.0/B48*100)</f>
        <v/>
      </c>
      <c r="D48" s="19" t="n">
        <v>525</v>
      </c>
      <c r="E48" s="18" t="n">
        <v>60.67542725</v>
      </c>
      <c r="F48" s="20" t="n">
        <v>3.16095057</v>
      </c>
      <c r="G48" s="18" t="n">
        <v>36.88379154</v>
      </c>
      <c r="H48" s="20" t="n">
        <v>3.13062005</v>
      </c>
      <c r="I48" s="18" t="n">
        <v>0</v>
      </c>
      <c r="J48" s="20" t="n">
        <v>0</v>
      </c>
      <c r="K48" s="18" t="n">
        <v>2.44078122</v>
      </c>
      <c r="L48" s="20" t="n">
        <v>1.04800937</v>
      </c>
      <c r="M48" s="18" t="n">
        <v>0</v>
      </c>
      <c r="N48" s="20" t="n">
        <v>0</v>
      </c>
      <c r="O48" s="18" t="n">
        <v>0</v>
      </c>
      <c r="P48" s="20" t="n">
        <v>0</v>
      </c>
      <c r="Q48" s="18" t="n">
        <v>0</v>
      </c>
      <c r="R48" s="20" t="n">
        <v>0</v>
      </c>
    </row>
    <row r="49" spans="1:18">
      <c r="A49" s="15" t="s">
        <v>608</v>
      </c>
      <c r="B49" s="17" t="n">
        <v>6158</v>
      </c>
      <c r="C49" s="18">
        <f>(5498.0/B49*100)</f>
        <v/>
      </c>
      <c r="D49" s="19" t="n">
        <v>660</v>
      </c>
      <c r="E49" s="18" t="n">
        <v>76.47625662</v>
      </c>
      <c r="F49" s="20" t="n">
        <v>1.87632334</v>
      </c>
      <c r="G49" s="18" t="n">
        <v>19.46027184</v>
      </c>
      <c r="H49" s="20" t="n">
        <v>1.85368856</v>
      </c>
      <c r="I49" s="18" t="n">
        <v>0</v>
      </c>
      <c r="J49" s="20" t="n">
        <v>0</v>
      </c>
      <c r="K49" s="18" t="n">
        <v>4.06347153</v>
      </c>
      <c r="L49" s="20" t="n">
        <v>1.08391498</v>
      </c>
      <c r="M49" s="18" t="n">
        <v>0</v>
      </c>
      <c r="N49" s="20" t="n">
        <v>0</v>
      </c>
      <c r="O49" s="18" t="n">
        <v>0</v>
      </c>
      <c r="P49" s="20" t="n">
        <v>0</v>
      </c>
      <c r="Q49" s="18" t="n">
        <v>0</v>
      </c>
      <c r="R49" s="20" t="n">
        <v>0</v>
      </c>
    </row>
    <row r="50" spans="1:18">
      <c r="A50" s="15" t="s">
        <v>609</v>
      </c>
      <c r="B50" s="17" t="n">
        <v>3494</v>
      </c>
      <c r="C50" s="18">
        <f>(3160.0/B50*100)</f>
        <v/>
      </c>
      <c r="D50" s="19" t="n">
        <v>334</v>
      </c>
      <c r="E50" s="18" t="n">
        <v>75.27268135</v>
      </c>
      <c r="F50" s="20" t="n">
        <v>2.82615183</v>
      </c>
      <c r="G50" s="18" t="n">
        <v>22.74176146</v>
      </c>
      <c r="H50" s="20" t="n">
        <v>2.77985922</v>
      </c>
      <c r="I50" s="18" t="n">
        <v>0</v>
      </c>
      <c r="J50" s="20" t="n">
        <v>0</v>
      </c>
      <c r="K50" s="18" t="n">
        <v>1.98555719</v>
      </c>
      <c r="L50" s="20" t="n">
        <v>0.84415468</v>
      </c>
      <c r="M50" s="18" t="n">
        <v>0</v>
      </c>
      <c r="N50" s="20" t="n">
        <v>0</v>
      </c>
      <c r="O50" s="18" t="n">
        <v>0</v>
      </c>
      <c r="P50" s="20" t="n">
        <v>0</v>
      </c>
      <c r="Q50" s="18" t="n">
        <v>0</v>
      </c>
      <c r="R50" s="20" t="n">
        <v>0</v>
      </c>
    </row>
    <row r="51" spans="1:18">
      <c r="A51" s="15" t="s">
        <v>610</v>
      </c>
      <c r="B51" s="17" t="n">
        <v>3013</v>
      </c>
      <c r="C51" s="18">
        <f>(2676.0/B51*100)</f>
        <v/>
      </c>
      <c r="D51" s="19" t="n">
        <v>337</v>
      </c>
      <c r="E51" s="18" t="n">
        <v>42.99164111</v>
      </c>
      <c r="F51" s="20" t="n">
        <v>2.91349473</v>
      </c>
      <c r="G51" s="18" t="n">
        <v>55.29173894</v>
      </c>
      <c r="H51" s="20" t="n">
        <v>3.01128935</v>
      </c>
      <c r="I51" s="18" t="n">
        <v>0</v>
      </c>
      <c r="J51" s="20" t="n">
        <v>0</v>
      </c>
      <c r="K51" s="18" t="n">
        <v>1.71661995</v>
      </c>
      <c r="L51" s="20" t="n">
        <v>0.70963389</v>
      </c>
      <c r="M51" s="18" t="n">
        <v>0</v>
      </c>
      <c r="N51" s="20" t="n">
        <v>0</v>
      </c>
      <c r="O51" s="18" t="n">
        <v>0</v>
      </c>
      <c r="P51" s="20" t="n">
        <v>0</v>
      </c>
      <c r="Q51" s="18" t="n">
        <v>0</v>
      </c>
      <c r="R51" s="20" t="n">
        <v>0</v>
      </c>
    </row>
    <row r="52" spans="1:18">
      <c r="A52" s="15" t="s">
        <v>611</v>
      </c>
      <c r="B52" s="17" t="n">
        <v>2760</v>
      </c>
      <c r="C52" s="18">
        <f>(2469.0/B52*100)</f>
        <v/>
      </c>
      <c r="D52" s="19" t="n">
        <v>291</v>
      </c>
      <c r="E52" s="18" t="n">
        <v>77.13493617</v>
      </c>
      <c r="F52" s="20" t="n">
        <v>2.66430781</v>
      </c>
      <c r="G52" s="18" t="n">
        <v>20.47153838</v>
      </c>
      <c r="H52" s="20" t="n">
        <v>2.76139904</v>
      </c>
      <c r="I52" s="18" t="n">
        <v>0</v>
      </c>
      <c r="J52" s="20" t="n">
        <v>0</v>
      </c>
      <c r="K52" s="18" t="n">
        <v>2.39352544</v>
      </c>
      <c r="L52" s="20" t="n">
        <v>0.9090534300000001</v>
      </c>
      <c r="M52" s="18" t="n">
        <v>0</v>
      </c>
      <c r="N52" s="20" t="n">
        <v>0</v>
      </c>
      <c r="O52" s="18" t="n">
        <v>0</v>
      </c>
      <c r="P52" s="20" t="n">
        <v>0</v>
      </c>
      <c r="Q52" s="18" t="n">
        <v>0</v>
      </c>
      <c r="R52" s="20" t="n">
        <v>0</v>
      </c>
    </row>
    <row r="53" spans="1:18">
      <c r="A53" s="15" t="s">
        <v>612</v>
      </c>
      <c r="B53" s="17" t="n">
        <v>2474</v>
      </c>
      <c r="C53" s="18">
        <f>(2220.0/B53*100)</f>
        <v/>
      </c>
      <c r="D53" s="19" t="n">
        <v>254</v>
      </c>
      <c r="E53" s="18" t="n">
        <v>70.11033476999999</v>
      </c>
      <c r="F53" s="20" t="n">
        <v>2.94774193</v>
      </c>
      <c r="G53" s="18" t="n">
        <v>9.40153902</v>
      </c>
      <c r="H53" s="20" t="n">
        <v>1.80662283</v>
      </c>
      <c r="I53" s="18" t="n">
        <v>0</v>
      </c>
      <c r="J53" s="20" t="n">
        <v>0</v>
      </c>
      <c r="K53" s="18" t="n">
        <v>20.48812621</v>
      </c>
      <c r="L53" s="20" t="n">
        <v>2.84402874</v>
      </c>
      <c r="M53" s="18" t="n">
        <v>0</v>
      </c>
      <c r="N53" s="20" t="n">
        <v>0</v>
      </c>
      <c r="O53" s="18" t="n">
        <v>0</v>
      </c>
      <c r="P53" s="20" t="n">
        <v>0</v>
      </c>
      <c r="Q53" s="18" t="n">
        <v>0</v>
      </c>
      <c r="R53" s="20" t="n">
        <v>0</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(2362.0/B55*100)</f>
        <v/>
      </c>
      <c r="D55" s="19" t="n">
        <v>313</v>
      </c>
      <c r="E55" s="18" t="n">
        <v>54.05568323</v>
      </c>
      <c r="F55" s="20" t="n">
        <v>3.34784282</v>
      </c>
      <c r="G55" s="18" t="n">
        <v>44.16940689</v>
      </c>
      <c r="H55" s="20" t="n">
        <v>3.14688766</v>
      </c>
      <c r="I55" s="18" t="n">
        <v>0</v>
      </c>
      <c r="J55" s="20" t="n">
        <v>0</v>
      </c>
      <c r="K55" s="18" t="n">
        <v>1.77490988</v>
      </c>
      <c r="L55" s="20" t="n">
        <v>0.8527104599999999</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(2859.0/B61*100)</f>
        <v/>
      </c>
      <c r="D61" s="19" t="n">
        <v>342</v>
      </c>
      <c r="E61" s="18" t="n">
        <v>64.79305801</v>
      </c>
      <c r="F61" s="20" t="n">
        <v>3.04461369</v>
      </c>
      <c r="G61" s="18" t="n">
        <v>35.20694199</v>
      </c>
      <c r="H61" s="20" t="n">
        <v>3.04461369</v>
      </c>
      <c r="I61" s="18" t="n">
        <v>0</v>
      </c>
      <c r="J61" s="20" t="n">
        <v>0</v>
      </c>
      <c r="K61" s="18" t="n">
        <v>0</v>
      </c>
      <c r="L61" s="20" t="n">
        <v>0</v>
      </c>
      <c r="M61" s="18" t="n">
        <v>0</v>
      </c>
      <c r="N61" s="20" t="n">
        <v>0</v>
      </c>
      <c r="O61" s="18" t="n">
        <v>0</v>
      </c>
      <c r="P61" s="20" t="n">
        <v>0</v>
      </c>
      <c r="Q61" s="18" t="n">
        <v>0</v>
      </c>
      <c r="R61" s="20" t="n">
        <v>0</v>
      </c>
    </row>
    <row r="62" spans="1:18">
      <c r="A62" s="15" t="s">
        <v>622</v>
      </c>
      <c r="B62" s="17" t="n">
        <v>2230</v>
      </c>
      <c r="C62" s="18">
        <f>(2020.0/B62*100)</f>
        <v/>
      </c>
      <c r="D62" s="19" t="n">
        <v>210</v>
      </c>
      <c r="E62" s="18" t="n">
        <v>52.9489204</v>
      </c>
      <c r="F62" s="20" t="n">
        <v>3.38877869</v>
      </c>
      <c r="G62" s="18" t="n">
        <v>47.0510796</v>
      </c>
      <c r="H62" s="20" t="n">
        <v>3.38877869</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(2475.0/B67*100)</f>
        <v/>
      </c>
      <c r="D67" s="19" t="n">
        <v>296</v>
      </c>
      <c r="E67" s="18" t="n">
        <v>50.30088211</v>
      </c>
      <c r="F67" s="20" t="n">
        <v>2.77807509</v>
      </c>
      <c r="G67" s="18" t="n">
        <v>45.16602948</v>
      </c>
      <c r="H67" s="20" t="n">
        <v>2.74954678</v>
      </c>
      <c r="I67" s="18" t="n">
        <v>0</v>
      </c>
      <c r="J67" s="20" t="n">
        <v>0</v>
      </c>
      <c r="K67" s="18" t="n">
        <v>4.5330884</v>
      </c>
      <c r="L67" s="20" t="n">
        <v>1.23438015</v>
      </c>
      <c r="M67" s="18" t="n">
        <v>0</v>
      </c>
      <c r="N67" s="20" t="n">
        <v>0</v>
      </c>
      <c r="O67" s="18" t="n">
        <v>0</v>
      </c>
      <c r="P67" s="20" t="n">
        <v>0</v>
      </c>
      <c r="Q67" s="18" t="n">
        <v>0</v>
      </c>
      <c r="R67" s="20" t="n">
        <v>0</v>
      </c>
    </row>
    <row r="68" spans="1:18">
      <c r="A68" s="15" t="s">
        <v>628</v>
      </c>
      <c r="B68" s="17" t="n">
        <v>3460</v>
      </c>
      <c r="C68" s="18">
        <f>(3122.0/B68*100)</f>
        <v/>
      </c>
      <c r="D68" s="19" t="n">
        <v>338</v>
      </c>
      <c r="E68" s="18" t="n">
        <v>77.58777127</v>
      </c>
      <c r="F68" s="20" t="n">
        <v>2.41144974</v>
      </c>
      <c r="G68" s="18" t="n">
        <v>21.92792237</v>
      </c>
      <c r="H68" s="20" t="n">
        <v>2.38905965</v>
      </c>
      <c r="I68" s="18" t="n">
        <v>0</v>
      </c>
      <c r="J68" s="20" t="n">
        <v>0</v>
      </c>
      <c r="K68" s="18" t="n">
        <v>0.48430636</v>
      </c>
      <c r="L68" s="20" t="n">
        <v>0.34061974</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(5385.0/B70*100)</f>
        <v/>
      </c>
      <c r="D70" s="19" t="n">
        <v>649</v>
      </c>
      <c r="E70" s="18" t="n">
        <v>64.74318246</v>
      </c>
      <c r="F70" s="20" t="n">
        <v>1.92128554</v>
      </c>
      <c r="G70" s="18" t="n">
        <v>31.88280868</v>
      </c>
      <c r="H70" s="20" t="n">
        <v>1.92377398</v>
      </c>
      <c r="I70" s="18" t="n">
        <v>0</v>
      </c>
      <c r="J70" s="20" t="n">
        <v>0</v>
      </c>
      <c r="K70" s="18" t="n">
        <v>3.37400886</v>
      </c>
      <c r="L70" s="20" t="n">
        <v>0.7120200800000001</v>
      </c>
      <c r="M70" s="18" t="n">
        <v>0</v>
      </c>
      <c r="N70" s="20" t="n">
        <v>0</v>
      </c>
      <c r="O70" s="18" t="n">
        <v>0</v>
      </c>
      <c r="P70" s="20" t="n">
        <v>0</v>
      </c>
      <c r="Q70" s="18" t="n">
        <v>0</v>
      </c>
      <c r="R70" s="20" t="n">
        <v>0</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(2764.0/B72*100)</f>
        <v/>
      </c>
      <c r="D72" s="19" t="n">
        <v>343</v>
      </c>
      <c r="E72" s="18" t="n">
        <v>46.90123133</v>
      </c>
      <c r="F72" s="20" t="n">
        <v>2.67484383</v>
      </c>
      <c r="G72" s="18" t="n">
        <v>52.28396616</v>
      </c>
      <c r="H72" s="20" t="n">
        <v>2.7823168</v>
      </c>
      <c r="I72" s="18" t="n">
        <v>0</v>
      </c>
      <c r="J72" s="20" t="n">
        <v>0</v>
      </c>
      <c r="K72" s="18" t="n">
        <v>0.81480251</v>
      </c>
      <c r="L72" s="20" t="n">
        <v>0.35318377</v>
      </c>
      <c r="M72" s="18" t="n">
        <v>0</v>
      </c>
      <c r="N72" s="20" t="n">
        <v>0</v>
      </c>
      <c r="O72" s="18" t="n">
        <v>0</v>
      </c>
      <c r="P72" s="20" t="n">
        <v>0</v>
      </c>
      <c r="Q72" s="18" t="n">
        <v>0</v>
      </c>
      <c r="R72" s="20" t="n">
        <v>0</v>
      </c>
    </row>
    <row r="73" spans="1:18">
      <c r="A73" s="15" t="s">
        <v>633</v>
      </c>
      <c r="B73" s="17" t="n">
        <v>2973</v>
      </c>
      <c r="C73" s="18">
        <f>(2678.0/B73*100)</f>
        <v/>
      </c>
      <c r="D73" s="19" t="n">
        <v>295</v>
      </c>
      <c r="E73" s="18" t="n">
        <v>44.97019804</v>
      </c>
      <c r="F73" s="20" t="n">
        <v>2.99485727</v>
      </c>
      <c r="G73" s="18" t="n">
        <v>54.71007282</v>
      </c>
      <c r="H73" s="20" t="n">
        <v>2.98358315</v>
      </c>
      <c r="I73" s="18" t="n">
        <v>0</v>
      </c>
      <c r="J73" s="20" t="n">
        <v>0</v>
      </c>
      <c r="K73" s="18" t="n">
        <v>0.31972914</v>
      </c>
      <c r="L73" s="20" t="n">
        <v>0.3112114</v>
      </c>
      <c r="M73" s="18" t="n">
        <v>0</v>
      </c>
      <c r="N73" s="20" t="n">
        <v>0</v>
      </c>
      <c r="O73" s="18" t="n">
        <v>0</v>
      </c>
      <c r="P73" s="20" t="n">
        <v>0</v>
      </c>
      <c r="Q73" s="18" t="n">
        <v>0</v>
      </c>
      <c r="R73" s="20" t="n">
        <v>0</v>
      </c>
    </row>
    <row r="74" spans="1:18">
      <c r="A74" s="15" t="s">
        <v>634</v>
      </c>
      <c r="B74" s="17" t="n">
        <v>3819</v>
      </c>
      <c r="C74" s="18">
        <f>(3411.0/B74*100)</f>
        <v/>
      </c>
      <c r="D74" s="19" t="n">
        <v>408</v>
      </c>
      <c r="E74" s="18" t="n">
        <v>29.10473933</v>
      </c>
      <c r="F74" s="20" t="n">
        <v>2.23152046</v>
      </c>
      <c r="G74" s="18" t="n">
        <v>70.89526067</v>
      </c>
      <c r="H74" s="20" t="n">
        <v>2.23152046</v>
      </c>
      <c r="I74" s="18" t="n">
        <v>0</v>
      </c>
      <c r="J74" s="20" t="n">
        <v>0</v>
      </c>
      <c r="K74" s="18" t="n">
        <v>0</v>
      </c>
      <c r="L74" s="20" t="n">
        <v>0</v>
      </c>
      <c r="M74" s="18" t="n">
        <v>0</v>
      </c>
      <c r="N74" s="20" t="n">
        <v>0</v>
      </c>
      <c r="O74" s="18" t="n">
        <v>0</v>
      </c>
      <c r="P74" s="20" t="n">
        <v>0</v>
      </c>
      <c r="Q74" s="18" t="n">
        <v>0</v>
      </c>
      <c r="R74" s="20" t="n">
        <v>0</v>
      </c>
    </row>
    <row r="75" spans="1:18">
      <c r="A75" s="15" t="s">
        <v>635</v>
      </c>
      <c r="B75" s="17" t="n">
        <v>4652</v>
      </c>
      <c r="C75" s="18">
        <f>(4170.0/B75*100)</f>
        <v/>
      </c>
      <c r="D75" s="19" t="n">
        <v>482</v>
      </c>
      <c r="E75" s="18" t="n">
        <v>69.21615296</v>
      </c>
      <c r="F75" s="20" t="n">
        <v>2.19024016</v>
      </c>
      <c r="G75" s="18" t="n">
        <v>29.28586132</v>
      </c>
      <c r="H75" s="20" t="n">
        <v>2.19859142</v>
      </c>
      <c r="I75" s="18" t="n">
        <v>0</v>
      </c>
      <c r="J75" s="20" t="n">
        <v>0</v>
      </c>
      <c r="K75" s="18" t="n">
        <v>1.49798573</v>
      </c>
      <c r="L75" s="20" t="n">
        <v>0.47920921</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(2666.0/B77*100)</f>
        <v/>
      </c>
      <c r="D77" s="19" t="n">
        <v>303</v>
      </c>
      <c r="E77" s="18" t="n">
        <v>63.74520306</v>
      </c>
      <c r="F77" s="20" t="n">
        <v>3.06328392</v>
      </c>
      <c r="G77" s="18" t="n">
        <v>29.29031903</v>
      </c>
      <c r="H77" s="20" t="n">
        <v>2.72454293</v>
      </c>
      <c r="I77" s="18" t="n">
        <v>0</v>
      </c>
      <c r="J77" s="20" t="n">
        <v>0</v>
      </c>
      <c r="K77" s="18" t="n">
        <v>6.96447791</v>
      </c>
      <c r="L77" s="20" t="n">
        <v>1.65047146</v>
      </c>
      <c r="M77" s="18" t="n">
        <v>0</v>
      </c>
      <c r="N77" s="20" t="n">
        <v>0</v>
      </c>
      <c r="O77" s="18" t="n">
        <v>0</v>
      </c>
      <c r="P77" s="20" t="n">
        <v>0</v>
      </c>
      <c r="Q77" s="18" t="n">
        <v>0</v>
      </c>
      <c r="R77" s="20" t="n">
        <v>0</v>
      </c>
    </row>
    <row r="78" spans="1:18">
      <c r="A78" s="15" t="s">
        <v>638</v>
      </c>
      <c r="B78" s="17" t="n">
        <v>7115</v>
      </c>
      <c r="C78" s="18">
        <f>(6297.0/B78*100)</f>
        <v/>
      </c>
      <c r="D78" s="19" t="n">
        <v>818</v>
      </c>
      <c r="E78" s="18" t="n">
        <v>64.18222517</v>
      </c>
      <c r="F78" s="20" t="n">
        <v>2.03762264</v>
      </c>
      <c r="G78" s="18" t="n">
        <v>33.91161058</v>
      </c>
      <c r="H78" s="20" t="n">
        <v>2.02546233</v>
      </c>
      <c r="I78" s="18" t="n">
        <v>0</v>
      </c>
      <c r="J78" s="20" t="n">
        <v>0</v>
      </c>
      <c r="K78" s="18" t="n">
        <v>1.90616425</v>
      </c>
      <c r="L78" s="20" t="n">
        <v>0.58775415</v>
      </c>
      <c r="M78" s="18" t="n">
        <v>0</v>
      </c>
      <c r="N78" s="20" t="n">
        <v>0</v>
      </c>
      <c r="O78" s="18" t="n">
        <v>0</v>
      </c>
      <c r="P78" s="20" t="n">
        <v>0</v>
      </c>
      <c r="Q78" s="18" t="n">
        <v>0</v>
      </c>
      <c r="R78" s="20" t="n">
        <v>0</v>
      </c>
    </row>
    <row r="79" spans="1:18">
      <c r="A79" s="15" t="s">
        <v>639</v>
      </c>
      <c r="B79" s="17" t="n">
        <v>3154</v>
      </c>
      <c r="C79" s="18">
        <f>(2817.0/B79*100)</f>
        <v/>
      </c>
      <c r="D79" s="19" t="n">
        <v>337</v>
      </c>
      <c r="E79" s="18" t="n">
        <v>74.98005065</v>
      </c>
      <c r="F79" s="20" t="n">
        <v>2.19756183</v>
      </c>
      <c r="G79" s="18" t="n">
        <v>21.03448769</v>
      </c>
      <c r="H79" s="20" t="n">
        <v>2.08552545</v>
      </c>
      <c r="I79" s="18" t="n">
        <v>0</v>
      </c>
      <c r="J79" s="20" t="n">
        <v>0</v>
      </c>
      <c r="K79" s="18" t="n">
        <v>3.98546166</v>
      </c>
      <c r="L79" s="20" t="n">
        <v>1.16459276</v>
      </c>
      <c r="M79" s="18" t="n">
        <v>0</v>
      </c>
      <c r="N79" s="20" t="n">
        <v>0</v>
      </c>
      <c r="O79" s="18" t="n">
        <v>0</v>
      </c>
      <c r="P79" s="20" t="n">
        <v>0</v>
      </c>
      <c r="Q79" s="18" t="n">
        <v>0</v>
      </c>
      <c r="R79" s="20" t="n">
        <v>0</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(14255.0/B82*100)</f>
        <v/>
      </c>
      <c r="D82" s="19" t="n">
        <v>1706</v>
      </c>
      <c r="E82" s="18" t="n">
        <v>49.83631037</v>
      </c>
      <c r="F82" s="20" t="n">
        <v>1.63517392</v>
      </c>
      <c r="G82" s="18" t="n">
        <v>49.00720201</v>
      </c>
      <c r="H82" s="20" t="n">
        <v>1.65465883</v>
      </c>
      <c r="I82" s="18" t="n">
        <v>0</v>
      </c>
      <c r="J82" s="20" t="n">
        <v>0</v>
      </c>
      <c r="K82" s="18" t="n">
        <v>1.15648762</v>
      </c>
      <c r="L82" s="20" t="n">
        <v>0.32965246</v>
      </c>
      <c r="M82" s="18" t="n">
        <v>0</v>
      </c>
      <c r="N82" s="20" t="n">
        <v>0</v>
      </c>
      <c r="O82" s="18" t="n">
        <v>0</v>
      </c>
      <c r="P82" s="20" t="n">
        <v>0</v>
      </c>
      <c r="Q82" s="18" t="n">
        <v>0</v>
      </c>
      <c r="R82" s="20" t="n">
        <v>0</v>
      </c>
    </row>
    <row r="83" spans="1:18">
      <c r="A83" s="15" t="s">
        <v>643</v>
      </c>
      <c r="B83" s="17" t="n">
        <v>808</v>
      </c>
      <c r="C83" s="18">
        <f>(712.0/B83*100)</f>
        <v/>
      </c>
      <c r="D83" s="19" t="n">
        <v>96</v>
      </c>
      <c r="E83" s="18" t="n">
        <v>46.38590743</v>
      </c>
      <c r="F83" s="20" t="n">
        <v>5.05357481</v>
      </c>
      <c r="G83" s="18" t="n">
        <v>53.61409257</v>
      </c>
      <c r="H83" s="20" t="n">
        <v>5.05357481</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(843.0/B84*100)</f>
        <v/>
      </c>
      <c r="D84" s="19" t="n">
        <v>95</v>
      </c>
      <c r="E84" s="18" t="n">
        <v>37.69214291</v>
      </c>
      <c r="F84" s="20" t="n">
        <v>5.07553701</v>
      </c>
      <c r="G84" s="18" t="n">
        <v>62.30785709</v>
      </c>
      <c r="H84" s="20" t="n">
        <v>5.07553701</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(6372.0/B7*100)</f>
        <v/>
      </c>
      <c r="D7" s="19" t="n">
        <v>791</v>
      </c>
      <c r="E7" s="18" t="n">
        <v>32.48062999</v>
      </c>
      <c r="F7" s="20" t="n">
        <v>1.83300683</v>
      </c>
      <c r="G7" s="18" t="n">
        <v>66.98565306</v>
      </c>
      <c r="H7" s="20" t="n">
        <v>1.79236406</v>
      </c>
      <c r="I7" s="18" t="n">
        <v>0</v>
      </c>
      <c r="J7" s="20" t="n">
        <v>0</v>
      </c>
      <c r="K7" s="18" t="n">
        <v>0.03166396</v>
      </c>
      <c r="L7" s="20" t="n">
        <v>0.02357991</v>
      </c>
      <c r="M7" s="18" t="n">
        <v>0</v>
      </c>
      <c r="N7" s="20" t="n">
        <v>0</v>
      </c>
      <c r="O7" s="18" t="n">
        <v>0</v>
      </c>
      <c r="P7" s="20" t="n">
        <v>0</v>
      </c>
      <c r="Q7" s="18" t="n">
        <v>0.502053</v>
      </c>
      <c r="R7" s="20" t="n">
        <v>0.30645919</v>
      </c>
    </row>
    <row r="8" spans="1:18">
      <c r="A8" s="15" t="s">
        <v>566</v>
      </c>
      <c r="B8" s="17" t="n">
        <v>3443</v>
      </c>
      <c r="C8" s="18">
        <f>(3087.0/B8*100)</f>
        <v/>
      </c>
      <c r="D8" s="19" t="n">
        <v>356</v>
      </c>
      <c r="E8" s="18" t="n">
        <v>34.03309268</v>
      </c>
      <c r="F8" s="20" t="n">
        <v>2.469978</v>
      </c>
      <c r="G8" s="18" t="n">
        <v>64.65846553</v>
      </c>
      <c r="H8" s="20" t="n">
        <v>2.55603755</v>
      </c>
      <c r="I8" s="18" t="n">
        <v>0</v>
      </c>
      <c r="J8" s="20" t="n">
        <v>0</v>
      </c>
      <c r="K8" s="18" t="n">
        <v>0.10245946</v>
      </c>
      <c r="L8" s="20" t="n">
        <v>0.10201689</v>
      </c>
      <c r="M8" s="18" t="n">
        <v>0</v>
      </c>
      <c r="N8" s="20" t="n">
        <v>0</v>
      </c>
      <c r="O8" s="18" t="n">
        <v>0</v>
      </c>
      <c r="P8" s="20" t="n">
        <v>0</v>
      </c>
      <c r="Q8" s="18" t="n">
        <v>1.20598233</v>
      </c>
      <c r="R8" s="20" t="n">
        <v>0.64507741</v>
      </c>
    </row>
    <row r="9" spans="1:18">
      <c r="A9" s="15" t="s">
        <v>567</v>
      </c>
      <c r="B9" s="17" t="n">
        <v>4752</v>
      </c>
      <c r="C9" s="18">
        <f>(4238.0/B9*100)</f>
        <v/>
      </c>
      <c r="D9" s="19" t="n">
        <v>514</v>
      </c>
      <c r="E9" s="18" t="n">
        <v>35.8862361</v>
      </c>
      <c r="F9" s="20" t="n">
        <v>2.03581391</v>
      </c>
      <c r="G9" s="18" t="n">
        <v>63.6282663</v>
      </c>
      <c r="H9" s="20" t="n">
        <v>2.08258353</v>
      </c>
      <c r="I9" s="18" t="n">
        <v>0</v>
      </c>
      <c r="J9" s="20" t="n">
        <v>0</v>
      </c>
      <c r="K9" s="18" t="n">
        <v>0</v>
      </c>
      <c r="L9" s="20" t="n">
        <v>0</v>
      </c>
      <c r="M9" s="18" t="n">
        <v>0</v>
      </c>
      <c r="N9" s="20" t="n">
        <v>0</v>
      </c>
      <c r="O9" s="18" t="n">
        <v>0</v>
      </c>
      <c r="P9" s="20" t="n">
        <v>0</v>
      </c>
      <c r="Q9" s="18" t="n">
        <v>0.48549759</v>
      </c>
      <c r="R9" s="20" t="n">
        <v>0.28142804</v>
      </c>
    </row>
    <row r="10" spans="1:18">
      <c r="A10" s="15" t="s">
        <v>568</v>
      </c>
      <c r="B10" s="17" t="n">
        <v>10022</v>
      </c>
      <c r="C10" s="18">
        <f>(8892.0/B10*100)</f>
        <v/>
      </c>
      <c r="D10" s="19" t="n">
        <v>1130</v>
      </c>
      <c r="E10" s="18" t="n">
        <v>24.70371002</v>
      </c>
      <c r="F10" s="20" t="n">
        <v>1.64586089</v>
      </c>
      <c r="G10" s="18" t="n">
        <v>75.07133129</v>
      </c>
      <c r="H10" s="20" t="n">
        <v>1.65637607</v>
      </c>
      <c r="I10" s="18" t="n">
        <v>0</v>
      </c>
      <c r="J10" s="20" t="n">
        <v>0</v>
      </c>
      <c r="K10" s="18" t="n">
        <v>0.11096306</v>
      </c>
      <c r="L10" s="20" t="n">
        <v>0.11078232</v>
      </c>
      <c r="M10" s="18" t="n">
        <v>0</v>
      </c>
      <c r="N10" s="20" t="n">
        <v>0</v>
      </c>
      <c r="O10" s="18" t="n">
        <v>0</v>
      </c>
      <c r="P10" s="20" t="n">
        <v>0</v>
      </c>
      <c r="Q10" s="18" t="n">
        <v>0.11399562</v>
      </c>
      <c r="R10" s="20" t="n">
        <v>0.05957593</v>
      </c>
    </row>
    <row r="11" spans="1:18">
      <c r="A11" s="15" t="s">
        <v>569</v>
      </c>
      <c r="B11" s="17" t="n">
        <v>3500</v>
      </c>
      <c r="C11" s="18">
        <f>(3087.0/B11*100)</f>
        <v/>
      </c>
      <c r="D11" s="19" t="n">
        <v>413</v>
      </c>
      <c r="E11" s="18" t="n">
        <v>53.65606287</v>
      </c>
      <c r="F11" s="20" t="n">
        <v>2.88936667</v>
      </c>
      <c r="G11" s="18" t="n">
        <v>44.40478357</v>
      </c>
      <c r="H11" s="20" t="n">
        <v>2.93903618</v>
      </c>
      <c r="I11" s="18" t="n">
        <v>0</v>
      </c>
      <c r="J11" s="20" t="n">
        <v>0</v>
      </c>
      <c r="K11" s="18" t="n">
        <v>0.69045693</v>
      </c>
      <c r="L11" s="20" t="n">
        <v>0.64076995</v>
      </c>
      <c r="M11" s="18" t="n">
        <v>0</v>
      </c>
      <c r="N11" s="20" t="n">
        <v>0</v>
      </c>
      <c r="O11" s="18" t="n">
        <v>0</v>
      </c>
      <c r="P11" s="20" t="n">
        <v>0</v>
      </c>
      <c r="Q11" s="18" t="n">
        <v>1.24869663</v>
      </c>
      <c r="R11" s="20" t="n">
        <v>0.5290970699999999</v>
      </c>
    </row>
    <row r="12" spans="1:18">
      <c r="A12" s="15" t="s">
        <v>570</v>
      </c>
      <c r="B12" s="17" t="n">
        <v>3422</v>
      </c>
      <c r="C12" s="18">
        <f>(3033.0/B12*100)</f>
        <v/>
      </c>
      <c r="D12" s="19" t="n">
        <v>389</v>
      </c>
      <c r="E12" s="18" t="n">
        <v>28.44484608</v>
      </c>
      <c r="F12" s="20" t="n">
        <v>2.75054712</v>
      </c>
      <c r="G12" s="18" t="n">
        <v>71.29280064</v>
      </c>
      <c r="H12" s="20" t="n">
        <v>2.75474208</v>
      </c>
      <c r="I12" s="18" t="n">
        <v>0</v>
      </c>
      <c r="J12" s="20" t="n">
        <v>0</v>
      </c>
      <c r="K12" s="18" t="n">
        <v>0</v>
      </c>
      <c r="L12" s="20" t="n">
        <v>0</v>
      </c>
      <c r="M12" s="18" t="n">
        <v>0</v>
      </c>
      <c r="N12" s="20" t="n">
        <v>0</v>
      </c>
      <c r="O12" s="18" t="n">
        <v>0</v>
      </c>
      <c r="P12" s="20" t="n">
        <v>0</v>
      </c>
      <c r="Q12" s="18" t="n">
        <v>0.26235327</v>
      </c>
      <c r="R12" s="20" t="n">
        <v>0.27388512</v>
      </c>
    </row>
    <row r="13" spans="1:18">
      <c r="A13" s="15" t="s">
        <v>571</v>
      </c>
      <c r="B13" s="17" t="n">
        <v>3602</v>
      </c>
      <c r="C13" s="18">
        <f>(3250.0/B13*100)</f>
        <v/>
      </c>
      <c r="D13" s="19" t="n">
        <v>352</v>
      </c>
      <c r="E13" s="18" t="n">
        <v>24.64059488</v>
      </c>
      <c r="F13" s="20" t="n">
        <v>2.54627413</v>
      </c>
      <c r="G13" s="18" t="n">
        <v>74.11331368</v>
      </c>
      <c r="H13" s="20" t="n">
        <v>2.5383481</v>
      </c>
      <c r="I13" s="18" t="n">
        <v>0</v>
      </c>
      <c r="J13" s="20" t="n">
        <v>0</v>
      </c>
      <c r="K13" s="18" t="n">
        <v>0.15217588</v>
      </c>
      <c r="L13" s="20" t="n">
        <v>0.11735809</v>
      </c>
      <c r="M13" s="18" t="n">
        <v>0</v>
      </c>
      <c r="N13" s="20" t="n">
        <v>0</v>
      </c>
      <c r="O13" s="18" t="n">
        <v>0</v>
      </c>
      <c r="P13" s="20" t="n">
        <v>0</v>
      </c>
      <c r="Q13" s="18" t="n">
        <v>1.09391556</v>
      </c>
      <c r="R13" s="20" t="n">
        <v>0.6312037700000001</v>
      </c>
    </row>
    <row r="14" spans="1:18">
      <c r="A14" s="15" t="s">
        <v>572</v>
      </c>
      <c r="B14" s="17" t="n">
        <v>2788</v>
      </c>
      <c r="C14" s="18">
        <f>(2468.0/B14*100)</f>
        <v/>
      </c>
      <c r="D14" s="19" t="n">
        <v>320</v>
      </c>
      <c r="E14" s="18" t="n">
        <v>24.49878744</v>
      </c>
      <c r="F14" s="20" t="n">
        <v>2.59474217</v>
      </c>
      <c r="G14" s="18" t="n">
        <v>75.25977249</v>
      </c>
      <c r="H14" s="20" t="n">
        <v>2.60744914</v>
      </c>
      <c r="I14" s="18" t="n">
        <v>0</v>
      </c>
      <c r="J14" s="20" t="n">
        <v>0</v>
      </c>
      <c r="K14" s="18" t="n">
        <v>0</v>
      </c>
      <c r="L14" s="20" t="n">
        <v>0</v>
      </c>
      <c r="M14" s="18" t="n">
        <v>0</v>
      </c>
      <c r="N14" s="20" t="n">
        <v>0</v>
      </c>
      <c r="O14" s="18" t="n">
        <v>0</v>
      </c>
      <c r="P14" s="20" t="n">
        <v>0</v>
      </c>
      <c r="Q14" s="18" t="n">
        <v>0.24144007</v>
      </c>
      <c r="R14" s="20" t="n">
        <v>0.23363693</v>
      </c>
    </row>
    <row r="15" spans="1:18">
      <c r="A15" s="15" t="s">
        <v>573</v>
      </c>
      <c r="B15" s="17" t="n">
        <v>2863</v>
      </c>
      <c r="C15" s="18">
        <f>(2538.0/B15*100)</f>
        <v/>
      </c>
      <c r="D15" s="19" t="n">
        <v>325</v>
      </c>
      <c r="E15" s="18" t="n">
        <v>31.37372756</v>
      </c>
      <c r="F15" s="20" t="n">
        <v>2.90271397</v>
      </c>
      <c r="G15" s="18" t="n">
        <v>68.04700237</v>
      </c>
      <c r="H15" s="20" t="n">
        <v>2.90247497</v>
      </c>
      <c r="I15" s="18" t="n">
        <v>0</v>
      </c>
      <c r="J15" s="20" t="n">
        <v>0</v>
      </c>
      <c r="K15" s="18" t="n">
        <v>0</v>
      </c>
      <c r="L15" s="20" t="n">
        <v>0</v>
      </c>
      <c r="M15" s="18" t="n">
        <v>0</v>
      </c>
      <c r="N15" s="20" t="n">
        <v>0</v>
      </c>
      <c r="O15" s="18" t="n">
        <v>0</v>
      </c>
      <c r="P15" s="20" t="n">
        <v>0</v>
      </c>
      <c r="Q15" s="18" t="n">
        <v>0.57927007</v>
      </c>
      <c r="R15" s="20" t="n">
        <v>0.40941481</v>
      </c>
    </row>
    <row r="16" spans="1:18">
      <c r="A16" s="15" t="s">
        <v>574</v>
      </c>
      <c r="B16" s="17" t="n">
        <v>3111</v>
      </c>
      <c r="C16" s="18">
        <f>(2749.0/B16*100)</f>
        <v/>
      </c>
      <c r="D16" s="19" t="n">
        <v>362</v>
      </c>
      <c r="E16" s="18" t="n">
        <v>29.70453834</v>
      </c>
      <c r="F16" s="20" t="n">
        <v>2.76485889</v>
      </c>
      <c r="G16" s="18" t="n">
        <v>67.65640567</v>
      </c>
      <c r="H16" s="20" t="n">
        <v>3.10392036</v>
      </c>
      <c r="I16" s="18" t="n">
        <v>0</v>
      </c>
      <c r="J16" s="20" t="n">
        <v>0</v>
      </c>
      <c r="K16" s="18" t="n">
        <v>0</v>
      </c>
      <c r="L16" s="20" t="n">
        <v>0</v>
      </c>
      <c r="M16" s="18" t="n">
        <v>0</v>
      </c>
      <c r="N16" s="20" t="n">
        <v>0</v>
      </c>
      <c r="O16" s="18" t="n">
        <v>0</v>
      </c>
      <c r="P16" s="20" t="n">
        <v>0</v>
      </c>
      <c r="Q16" s="18" t="n">
        <v>2.63905599</v>
      </c>
      <c r="R16" s="20" t="n">
        <v>1.23041391</v>
      </c>
    </row>
    <row r="17" spans="1:18">
      <c r="A17" s="15" t="s">
        <v>575</v>
      </c>
      <c r="B17" s="17" t="n">
        <v>3197</v>
      </c>
      <c r="C17" s="18">
        <f>(2849.0/B17*100)</f>
        <v/>
      </c>
      <c r="D17" s="19" t="n">
        <v>348</v>
      </c>
      <c r="E17" s="18" t="n">
        <v>25.83483567</v>
      </c>
      <c r="F17" s="20" t="n">
        <v>2.52502921</v>
      </c>
      <c r="G17" s="18" t="n">
        <v>73.42390211</v>
      </c>
      <c r="H17" s="20" t="n">
        <v>2.52789509</v>
      </c>
      <c r="I17" s="18" t="n">
        <v>0</v>
      </c>
      <c r="J17" s="20" t="n">
        <v>0</v>
      </c>
      <c r="K17" s="18" t="n">
        <v>0</v>
      </c>
      <c r="L17" s="20" t="n">
        <v>0</v>
      </c>
      <c r="M17" s="18" t="n">
        <v>0</v>
      </c>
      <c r="N17" s="20" t="n">
        <v>0</v>
      </c>
      <c r="O17" s="18" t="n">
        <v>0</v>
      </c>
      <c r="P17" s="20" t="n">
        <v>0</v>
      </c>
      <c r="Q17" s="18" t="n">
        <v>0.74126222</v>
      </c>
      <c r="R17" s="20" t="n">
        <v>0.43344837</v>
      </c>
    </row>
    <row r="18" spans="1:18">
      <c r="A18" s="15" t="s">
        <v>576</v>
      </c>
      <c r="B18" s="17" t="n">
        <v>2706</v>
      </c>
      <c r="C18" s="18">
        <f>(2406.0/B18*100)</f>
        <v/>
      </c>
      <c r="D18" s="19" t="n">
        <v>300</v>
      </c>
      <c r="E18" s="18" t="n">
        <v>43.93801604</v>
      </c>
      <c r="F18" s="20" t="n">
        <v>3.40940275</v>
      </c>
      <c r="G18" s="18" t="n">
        <v>55.15891355</v>
      </c>
      <c r="H18" s="20" t="n">
        <v>3.41549605</v>
      </c>
      <c r="I18" s="18" t="n">
        <v>0</v>
      </c>
      <c r="J18" s="20" t="n">
        <v>0</v>
      </c>
      <c r="K18" s="18" t="n">
        <v>0.27499355</v>
      </c>
      <c r="L18" s="20" t="n">
        <v>0.26915263</v>
      </c>
      <c r="M18" s="18" t="n">
        <v>0</v>
      </c>
      <c r="N18" s="20" t="n">
        <v>0</v>
      </c>
      <c r="O18" s="18" t="n">
        <v>0</v>
      </c>
      <c r="P18" s="20" t="n">
        <v>0</v>
      </c>
      <c r="Q18" s="18" t="n">
        <v>0.62807686</v>
      </c>
      <c r="R18" s="20" t="n">
        <v>0.44236183</v>
      </c>
    </row>
    <row r="19" spans="1:18">
      <c r="A19" s="15" t="s">
        <v>577</v>
      </c>
      <c r="B19" s="17" t="n">
        <v>2850</v>
      </c>
      <c r="C19" s="18">
        <f>(2560.0/B19*100)</f>
        <v/>
      </c>
      <c r="D19" s="19" t="n">
        <v>290</v>
      </c>
      <c r="E19" s="18" t="n">
        <v>33.28164364</v>
      </c>
      <c r="F19" s="20" t="n">
        <v>2.77736136</v>
      </c>
      <c r="G19" s="18" t="n">
        <v>66.71835636</v>
      </c>
      <c r="H19" s="20" t="n">
        <v>2.77736136</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(1547.0/B20*100)</f>
        <v/>
      </c>
      <c r="D20" s="19" t="n">
        <v>194</v>
      </c>
      <c r="E20" s="18" t="n">
        <v>31.49256521</v>
      </c>
      <c r="F20" s="20" t="n">
        <v>3.25424489</v>
      </c>
      <c r="G20" s="18" t="n">
        <v>67.53641426</v>
      </c>
      <c r="H20" s="20" t="n">
        <v>3.22909198</v>
      </c>
      <c r="I20" s="18" t="n">
        <v>0</v>
      </c>
      <c r="J20" s="20" t="n">
        <v>0</v>
      </c>
      <c r="K20" s="18" t="n">
        <v>0.48168759</v>
      </c>
      <c r="L20" s="20" t="n">
        <v>0.48202907</v>
      </c>
      <c r="M20" s="18" t="n">
        <v>0</v>
      </c>
      <c r="N20" s="20" t="n">
        <v>0</v>
      </c>
      <c r="O20" s="18" t="n">
        <v>0</v>
      </c>
      <c r="P20" s="20" t="n">
        <v>0</v>
      </c>
      <c r="Q20" s="18" t="n">
        <v>0.48933294</v>
      </c>
      <c r="R20" s="20" t="n">
        <v>0.48449291</v>
      </c>
    </row>
    <row r="21" spans="1:18">
      <c r="A21" s="15" t="s">
        <v>579</v>
      </c>
      <c r="B21" s="17" t="n">
        <v>2833</v>
      </c>
      <c r="C21" s="18">
        <f>(2556.0/B21*100)</f>
        <v/>
      </c>
      <c r="D21" s="19" t="n">
        <v>277</v>
      </c>
      <c r="E21" s="18" t="n">
        <v>29.34459808</v>
      </c>
      <c r="F21" s="20" t="n">
        <v>2.85376279</v>
      </c>
      <c r="G21" s="18" t="n">
        <v>70.65540192</v>
      </c>
      <c r="H21" s="20" t="n">
        <v>2.85376279</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(3289.0/B22*100)</f>
        <v/>
      </c>
      <c r="D22" s="19" t="n">
        <v>378</v>
      </c>
      <c r="E22" s="18" t="n">
        <v>41.16744767</v>
      </c>
      <c r="F22" s="20" t="n">
        <v>2.42355491</v>
      </c>
      <c r="G22" s="18" t="n">
        <v>57.00455789</v>
      </c>
      <c r="H22" s="20" t="n">
        <v>2.456473</v>
      </c>
      <c r="I22" s="18" t="n">
        <v>0</v>
      </c>
      <c r="J22" s="20" t="n">
        <v>0</v>
      </c>
      <c r="K22" s="18" t="n">
        <v>0.2596534</v>
      </c>
      <c r="L22" s="20" t="n">
        <v>0.24803248</v>
      </c>
      <c r="M22" s="18" t="n">
        <v>0</v>
      </c>
      <c r="N22" s="20" t="n">
        <v>0</v>
      </c>
      <c r="O22" s="18" t="n">
        <v>0</v>
      </c>
      <c r="P22" s="20" t="n">
        <v>0</v>
      </c>
      <c r="Q22" s="18" t="n">
        <v>1.56834103</v>
      </c>
      <c r="R22" s="20" t="n">
        <v>0.65796561</v>
      </c>
    </row>
    <row r="23" spans="1:18">
      <c r="A23" s="15" t="s">
        <v>581</v>
      </c>
      <c r="B23" s="17" t="n">
        <v>5792</v>
      </c>
      <c r="C23" s="18">
        <f>(5128.0/B23*100)</f>
        <v/>
      </c>
      <c r="D23" s="19" t="n">
        <v>664</v>
      </c>
      <c r="E23" s="18" t="n">
        <v>35.74651462</v>
      </c>
      <c r="F23" s="20" t="n">
        <v>2.16070517</v>
      </c>
      <c r="G23" s="18" t="n">
        <v>63.24122548</v>
      </c>
      <c r="H23" s="20" t="n">
        <v>2.2476163</v>
      </c>
      <c r="I23" s="18" t="n">
        <v>0</v>
      </c>
      <c r="J23" s="20" t="n">
        <v>0</v>
      </c>
      <c r="K23" s="18" t="n">
        <v>0.00420184</v>
      </c>
      <c r="L23" s="20" t="n">
        <v>0.00424262</v>
      </c>
      <c r="M23" s="18" t="n">
        <v>0</v>
      </c>
      <c r="N23" s="20" t="n">
        <v>0</v>
      </c>
      <c r="O23" s="18" t="n">
        <v>0</v>
      </c>
      <c r="P23" s="20" t="n">
        <v>0</v>
      </c>
      <c r="Q23" s="18" t="n">
        <v>1.00805806</v>
      </c>
      <c r="R23" s="20" t="n">
        <v>0.65998419</v>
      </c>
    </row>
    <row r="24" spans="1:18">
      <c r="A24" s="15" t="s">
        <v>582</v>
      </c>
      <c r="B24" s="17" t="n">
        <v>3309</v>
      </c>
      <c r="C24" s="18">
        <f>(2978.0/B24*100)</f>
        <v/>
      </c>
      <c r="D24" s="19" t="n">
        <v>331</v>
      </c>
      <c r="E24" s="18" t="n">
        <v>20.04206295</v>
      </c>
      <c r="F24" s="20" t="n">
        <v>2.28527357</v>
      </c>
      <c r="G24" s="18" t="n">
        <v>79.61760368</v>
      </c>
      <c r="H24" s="20" t="n">
        <v>2.3659537</v>
      </c>
      <c r="I24" s="18" t="n">
        <v>0</v>
      </c>
      <c r="J24" s="20" t="n">
        <v>0</v>
      </c>
      <c r="K24" s="18" t="n">
        <v>0</v>
      </c>
      <c r="L24" s="20" t="n">
        <v>0</v>
      </c>
      <c r="M24" s="18" t="n">
        <v>0</v>
      </c>
      <c r="N24" s="20" t="n">
        <v>0</v>
      </c>
      <c r="O24" s="18" t="n">
        <v>0</v>
      </c>
      <c r="P24" s="20" t="n">
        <v>0</v>
      </c>
      <c r="Q24" s="18" t="n">
        <v>0.34033338</v>
      </c>
      <c r="R24" s="20" t="n">
        <v>0.3433804</v>
      </c>
    </row>
    <row r="25" spans="1:18">
      <c r="A25" s="15" t="s">
        <v>583</v>
      </c>
      <c r="B25" s="17" t="n">
        <v>2669</v>
      </c>
      <c r="C25" s="18">
        <f>(2364.0/B25*100)</f>
        <v/>
      </c>
      <c r="D25" s="19" t="n">
        <v>305</v>
      </c>
      <c r="E25" s="18" t="n">
        <v>42.29556239</v>
      </c>
      <c r="F25" s="20" t="n">
        <v>2.62818378</v>
      </c>
      <c r="G25" s="18" t="n">
        <v>56.77945497</v>
      </c>
      <c r="H25" s="20" t="n">
        <v>2.70921279</v>
      </c>
      <c r="I25" s="18" t="n">
        <v>0</v>
      </c>
      <c r="J25" s="20" t="n">
        <v>0</v>
      </c>
      <c r="K25" s="18" t="n">
        <v>0</v>
      </c>
      <c r="L25" s="20" t="n">
        <v>0</v>
      </c>
      <c r="M25" s="18" t="n">
        <v>0</v>
      </c>
      <c r="N25" s="20" t="n">
        <v>0</v>
      </c>
      <c r="O25" s="18" t="n">
        <v>0</v>
      </c>
      <c r="P25" s="20" t="n">
        <v>0</v>
      </c>
      <c r="Q25" s="18" t="n">
        <v>0.92498264</v>
      </c>
      <c r="R25" s="20" t="n">
        <v>0.50277908</v>
      </c>
    </row>
    <row r="26" spans="1:18">
      <c r="A26" s="15" t="s">
        <v>584</v>
      </c>
      <c r="B26" s="17" t="n">
        <v>2419</v>
      </c>
      <c r="C26" s="18">
        <f>(2142.0/B26*100)</f>
        <v/>
      </c>
      <c r="D26" s="19" t="n">
        <v>277</v>
      </c>
      <c r="E26" s="18" t="n">
        <v>38.21231839</v>
      </c>
      <c r="F26" s="20" t="n">
        <v>3.14112487</v>
      </c>
      <c r="G26" s="18" t="n">
        <v>61.27888186</v>
      </c>
      <c r="H26" s="20" t="n">
        <v>3.18107821</v>
      </c>
      <c r="I26" s="18" t="n">
        <v>0</v>
      </c>
      <c r="J26" s="20" t="n">
        <v>0</v>
      </c>
      <c r="K26" s="18" t="n">
        <v>0</v>
      </c>
      <c r="L26" s="20" t="n">
        <v>0</v>
      </c>
      <c r="M26" s="18" t="n">
        <v>0</v>
      </c>
      <c r="N26" s="20" t="n">
        <v>0</v>
      </c>
      <c r="O26" s="18" t="n">
        <v>0</v>
      </c>
      <c r="P26" s="20" t="n">
        <v>0</v>
      </c>
      <c r="Q26" s="18" t="n">
        <v>0.50879976</v>
      </c>
      <c r="R26" s="20" t="n">
        <v>0.5162642200000001</v>
      </c>
    </row>
    <row r="27" spans="1:18">
      <c r="A27" s="15" t="s">
        <v>585</v>
      </c>
      <c r="B27" s="17" t="n">
        <v>2683</v>
      </c>
      <c r="C27" s="18">
        <f>(2379.0/B27*100)</f>
        <v/>
      </c>
      <c r="D27" s="19" t="n">
        <v>304</v>
      </c>
      <c r="E27" s="18" t="n">
        <v>32.18289366</v>
      </c>
      <c r="F27" s="20" t="n">
        <v>2.83696777</v>
      </c>
      <c r="G27" s="18" t="n">
        <v>66.80179543</v>
      </c>
      <c r="H27" s="20" t="n">
        <v>2.81119605</v>
      </c>
      <c r="I27" s="18" t="n">
        <v>0</v>
      </c>
      <c r="J27" s="20" t="n">
        <v>0</v>
      </c>
      <c r="K27" s="18" t="n">
        <v>0</v>
      </c>
      <c r="L27" s="20" t="n">
        <v>0</v>
      </c>
      <c r="M27" s="18" t="n">
        <v>0</v>
      </c>
      <c r="N27" s="20" t="n">
        <v>0</v>
      </c>
      <c r="O27" s="18" t="n">
        <v>0</v>
      </c>
      <c r="P27" s="20" t="n">
        <v>0</v>
      </c>
      <c r="Q27" s="18" t="n">
        <v>1.01531091</v>
      </c>
      <c r="R27" s="20" t="n">
        <v>0.58379121</v>
      </c>
    </row>
    <row r="28" spans="1:18">
      <c r="A28" s="15" t="s">
        <v>586</v>
      </c>
      <c r="B28" s="17" t="n">
        <v>3803</v>
      </c>
      <c r="C28" s="18">
        <f>(3380.0/B28*100)</f>
        <v/>
      </c>
      <c r="D28" s="19" t="n">
        <v>423</v>
      </c>
      <c r="E28" s="18" t="n">
        <v>44.87981464</v>
      </c>
      <c r="F28" s="20" t="n">
        <v>2.27063872</v>
      </c>
      <c r="G28" s="18" t="n">
        <v>53.45136365</v>
      </c>
      <c r="H28" s="20" t="n">
        <v>2.55446107</v>
      </c>
      <c r="I28" s="18" t="n">
        <v>0</v>
      </c>
      <c r="J28" s="20" t="n">
        <v>0</v>
      </c>
      <c r="K28" s="18" t="n">
        <v>0</v>
      </c>
      <c r="L28" s="20" t="n">
        <v>0</v>
      </c>
      <c r="M28" s="18" t="n">
        <v>0</v>
      </c>
      <c r="N28" s="20" t="n">
        <v>0</v>
      </c>
      <c r="O28" s="18" t="n">
        <v>0</v>
      </c>
      <c r="P28" s="20" t="n">
        <v>0</v>
      </c>
      <c r="Q28" s="18" t="n">
        <v>1.66882171</v>
      </c>
      <c r="R28" s="20" t="n">
        <v>0.8433354199999999</v>
      </c>
    </row>
    <row r="29" spans="1:18">
      <c r="A29" s="15" t="s">
        <v>587</v>
      </c>
      <c r="B29" s="17" t="n">
        <v>2700</v>
      </c>
      <c r="C29" s="18">
        <f>(2422.0/B29*100)</f>
        <v/>
      </c>
      <c r="D29" s="19" t="n">
        <v>278</v>
      </c>
      <c r="E29" s="18" t="n">
        <v>34.27901186</v>
      </c>
      <c r="F29" s="20" t="n">
        <v>3.12958186</v>
      </c>
      <c r="G29" s="18" t="n">
        <v>65.23058559</v>
      </c>
      <c r="H29" s="20" t="n">
        <v>3.07403522</v>
      </c>
      <c r="I29" s="18" t="n">
        <v>0</v>
      </c>
      <c r="J29" s="20" t="n">
        <v>0</v>
      </c>
      <c r="K29" s="18" t="n">
        <v>0</v>
      </c>
      <c r="L29" s="20" t="n">
        <v>0</v>
      </c>
      <c r="M29" s="18" t="n">
        <v>0</v>
      </c>
      <c r="N29" s="20" t="n">
        <v>0</v>
      </c>
      <c r="O29" s="18" t="n">
        <v>0</v>
      </c>
      <c r="P29" s="20" t="n">
        <v>0</v>
      </c>
      <c r="Q29" s="18" t="n">
        <v>0.49040256</v>
      </c>
      <c r="R29" s="20" t="n">
        <v>0.4256382</v>
      </c>
    </row>
    <row r="30" spans="1:18">
      <c r="A30" s="15" t="s">
        <v>588</v>
      </c>
      <c r="B30" s="17" t="n">
        <v>2257</v>
      </c>
      <c r="C30" s="18">
        <f>(2008.0/B30*100)</f>
        <v/>
      </c>
      <c r="D30" s="19" t="n">
        <v>249</v>
      </c>
      <c r="E30" s="18" t="n">
        <v>30.449808</v>
      </c>
      <c r="F30" s="20" t="n">
        <v>2.59186413</v>
      </c>
      <c r="G30" s="18" t="n">
        <v>67.99940115</v>
      </c>
      <c r="H30" s="20" t="n">
        <v>2.69235706</v>
      </c>
      <c r="I30" s="18" t="n">
        <v>0</v>
      </c>
      <c r="J30" s="20" t="n">
        <v>0</v>
      </c>
      <c r="K30" s="18" t="n">
        <v>0</v>
      </c>
      <c r="L30" s="20" t="n">
        <v>0</v>
      </c>
      <c r="M30" s="18" t="n">
        <v>0</v>
      </c>
      <c r="N30" s="20" t="n">
        <v>0</v>
      </c>
      <c r="O30" s="18" t="n">
        <v>0</v>
      </c>
      <c r="P30" s="20" t="n">
        <v>0</v>
      </c>
      <c r="Q30" s="18" t="n">
        <v>1.55079085</v>
      </c>
      <c r="R30" s="20" t="n">
        <v>0.74585603</v>
      </c>
    </row>
    <row r="31" spans="1:18">
      <c r="A31" s="15" t="s">
        <v>589</v>
      </c>
      <c r="B31" s="17" t="n">
        <v>2706</v>
      </c>
      <c r="C31" s="18">
        <f>(2403.0/B31*100)</f>
        <v/>
      </c>
      <c r="D31" s="19" t="n">
        <v>303</v>
      </c>
      <c r="E31" s="18" t="n">
        <v>33.09811294</v>
      </c>
      <c r="F31" s="20" t="n">
        <v>2.72615289</v>
      </c>
      <c r="G31" s="18" t="n">
        <v>66.90188706000001</v>
      </c>
      <c r="H31" s="20" t="n">
        <v>2.72615289</v>
      </c>
      <c r="I31" s="18" t="n">
        <v>0</v>
      </c>
      <c r="J31" s="20" t="n">
        <v>0</v>
      </c>
      <c r="K31" s="18" t="n">
        <v>0</v>
      </c>
      <c r="L31" s="20" t="n">
        <v>0</v>
      </c>
      <c r="M31" s="18" t="n">
        <v>0</v>
      </c>
      <c r="N31" s="20" t="n">
        <v>0</v>
      </c>
      <c r="O31" s="18" t="n">
        <v>0</v>
      </c>
      <c r="P31" s="20" t="n">
        <v>0</v>
      </c>
      <c r="Q31" s="18" t="n">
        <v>0</v>
      </c>
      <c r="R31" s="20" t="n">
        <v>0</v>
      </c>
    </row>
    <row r="32" spans="1:18">
      <c r="A32" s="15" t="s">
        <v>590</v>
      </c>
      <c r="B32" s="17" t="n">
        <v>2209</v>
      </c>
      <c r="C32" s="18">
        <f>(1968.0/B32*100)</f>
        <v/>
      </c>
      <c r="D32" s="19" t="n">
        <v>241</v>
      </c>
      <c r="E32" s="18" t="n">
        <v>30.60483272</v>
      </c>
      <c r="F32" s="20" t="n">
        <v>2.82372053</v>
      </c>
      <c r="G32" s="18" t="n">
        <v>68.9907808</v>
      </c>
      <c r="H32" s="20" t="n">
        <v>2.95507406</v>
      </c>
      <c r="I32" s="18" t="n">
        <v>0</v>
      </c>
      <c r="J32" s="20" t="n">
        <v>0</v>
      </c>
      <c r="K32" s="18" t="n">
        <v>0</v>
      </c>
      <c r="L32" s="20" t="n">
        <v>0</v>
      </c>
      <c r="M32" s="18" t="n">
        <v>0</v>
      </c>
      <c r="N32" s="20" t="n">
        <v>0</v>
      </c>
      <c r="O32" s="18" t="n">
        <v>0</v>
      </c>
      <c r="P32" s="20" t="n">
        <v>0</v>
      </c>
      <c r="Q32" s="18" t="n">
        <v>0.40438648</v>
      </c>
      <c r="R32" s="20" t="n">
        <v>0.42949141</v>
      </c>
    </row>
    <row r="33" spans="1:18">
      <c r="A33" s="15" t="s">
        <v>591</v>
      </c>
      <c r="B33" s="17" t="n">
        <v>3651</v>
      </c>
      <c r="C33" s="18">
        <f>(3237.0/B33*100)</f>
        <v/>
      </c>
      <c r="D33" s="19" t="n">
        <v>414</v>
      </c>
      <c r="E33" s="18" t="n">
        <v>31.03830616</v>
      </c>
      <c r="F33" s="20" t="n">
        <v>2.87860779</v>
      </c>
      <c r="G33" s="18" t="n">
        <v>68.29459000999999</v>
      </c>
      <c r="H33" s="20" t="n">
        <v>2.909874</v>
      </c>
      <c r="I33" s="18" t="n">
        <v>0</v>
      </c>
      <c r="J33" s="20" t="n">
        <v>0</v>
      </c>
      <c r="K33" s="18" t="n">
        <v>0.40615327</v>
      </c>
      <c r="L33" s="20" t="n">
        <v>0.38842818</v>
      </c>
      <c r="M33" s="18" t="n">
        <v>0</v>
      </c>
      <c r="N33" s="20" t="n">
        <v>0</v>
      </c>
      <c r="O33" s="18" t="n">
        <v>0</v>
      </c>
      <c r="P33" s="20" t="n">
        <v>0</v>
      </c>
      <c r="Q33" s="18" t="n">
        <v>0.26095057</v>
      </c>
      <c r="R33" s="20" t="n">
        <v>0.17269016</v>
      </c>
    </row>
    <row r="34" spans="1:18">
      <c r="A34" s="15" t="s">
        <v>592</v>
      </c>
      <c r="B34" s="17" t="n">
        <v>3035</v>
      </c>
      <c r="C34" s="18">
        <f>(2681.0/B34*100)</f>
        <v/>
      </c>
      <c r="D34" s="19" t="n">
        <v>354</v>
      </c>
      <c r="E34" s="18" t="n">
        <v>46.10501573</v>
      </c>
      <c r="F34" s="20" t="n">
        <v>2.63424577</v>
      </c>
      <c r="G34" s="18" t="n">
        <v>52.39156344</v>
      </c>
      <c r="H34" s="20" t="n">
        <v>2.63986939</v>
      </c>
      <c r="I34" s="18" t="n">
        <v>0</v>
      </c>
      <c r="J34" s="20" t="n">
        <v>0</v>
      </c>
      <c r="K34" s="18" t="n">
        <v>0</v>
      </c>
      <c r="L34" s="20" t="n">
        <v>0</v>
      </c>
      <c r="M34" s="18" t="n">
        <v>0</v>
      </c>
      <c r="N34" s="20" t="n">
        <v>0</v>
      </c>
      <c r="O34" s="18" t="n">
        <v>0</v>
      </c>
      <c r="P34" s="20" t="n">
        <v>0</v>
      </c>
      <c r="Q34" s="18" t="n">
        <v>1.50342083</v>
      </c>
      <c r="R34" s="20" t="n">
        <v>0.71777361</v>
      </c>
    </row>
    <row r="35" spans="1:18">
      <c r="A35" s="15" t="s">
        <v>593</v>
      </c>
      <c r="B35" s="17" t="n">
        <v>2901</v>
      </c>
      <c r="C35" s="18">
        <f>(2575.0/B35*100)</f>
        <v/>
      </c>
      <c r="D35" s="19" t="n">
        <v>326</v>
      </c>
      <c r="E35" s="18" t="n">
        <v>41.62814292</v>
      </c>
      <c r="F35" s="20" t="n">
        <v>3.65560926</v>
      </c>
      <c r="G35" s="18" t="n">
        <v>56.83467026</v>
      </c>
      <c r="H35" s="20" t="n">
        <v>3.75233452</v>
      </c>
      <c r="I35" s="18" t="n">
        <v>0</v>
      </c>
      <c r="J35" s="20" t="n">
        <v>0</v>
      </c>
      <c r="K35" s="18" t="n">
        <v>0.16093473</v>
      </c>
      <c r="L35" s="20" t="n">
        <v>0.16031995</v>
      </c>
      <c r="M35" s="18" t="n">
        <v>0</v>
      </c>
      <c r="N35" s="20" t="n">
        <v>0</v>
      </c>
      <c r="O35" s="18" t="n">
        <v>0</v>
      </c>
      <c r="P35" s="20" t="n">
        <v>0</v>
      </c>
      <c r="Q35" s="18" t="n">
        <v>1.37625209</v>
      </c>
      <c r="R35" s="20" t="n">
        <v>1.03994794</v>
      </c>
    </row>
    <row r="36" spans="1:18">
      <c r="A36" s="15" t="s">
        <v>594</v>
      </c>
      <c r="B36" s="17" t="n">
        <v>3404</v>
      </c>
      <c r="C36" s="18">
        <f>(2995.0/B36*100)</f>
        <v/>
      </c>
      <c r="D36" s="19" t="n">
        <v>409</v>
      </c>
      <c r="E36" s="18" t="n">
        <v>32.8259446</v>
      </c>
      <c r="F36" s="20" t="n">
        <v>2.68753377</v>
      </c>
      <c r="G36" s="18" t="n">
        <v>66.59199006</v>
      </c>
      <c r="H36" s="20" t="n">
        <v>2.71551328</v>
      </c>
      <c r="I36" s="18" t="n">
        <v>0</v>
      </c>
      <c r="J36" s="20" t="n">
        <v>0</v>
      </c>
      <c r="K36" s="18" t="n">
        <v>0</v>
      </c>
      <c r="L36" s="20" t="n">
        <v>0</v>
      </c>
      <c r="M36" s="18" t="n">
        <v>0</v>
      </c>
      <c r="N36" s="20" t="n">
        <v>0</v>
      </c>
      <c r="O36" s="18" t="n">
        <v>0</v>
      </c>
      <c r="P36" s="20" t="n">
        <v>0</v>
      </c>
      <c r="Q36" s="18" t="n">
        <v>0.58206534</v>
      </c>
      <c r="R36" s="20" t="n">
        <v>0.35369429</v>
      </c>
    </row>
    <row r="37" spans="1:18">
      <c r="A37" s="15" t="s">
        <v>595</v>
      </c>
      <c r="B37" s="17" t="n">
        <v>2731</v>
      </c>
      <c r="C37" s="18">
        <f>(2424.0/B37*100)</f>
        <v/>
      </c>
      <c r="D37" s="19" t="n">
        <v>307</v>
      </c>
      <c r="E37" s="18" t="n">
        <v>35.66542802</v>
      </c>
      <c r="F37" s="20" t="n">
        <v>2.53519934</v>
      </c>
      <c r="G37" s="18" t="n">
        <v>62.45658617</v>
      </c>
      <c r="H37" s="20" t="n">
        <v>2.75191455</v>
      </c>
      <c r="I37" s="18" t="n">
        <v>0</v>
      </c>
      <c r="J37" s="20" t="n">
        <v>0</v>
      </c>
      <c r="K37" s="18" t="n">
        <v>0</v>
      </c>
      <c r="L37" s="20" t="n">
        <v>0</v>
      </c>
      <c r="M37" s="18" t="n">
        <v>0</v>
      </c>
      <c r="N37" s="20" t="n">
        <v>0</v>
      </c>
      <c r="O37" s="18" t="n">
        <v>0</v>
      </c>
      <c r="P37" s="20" t="n">
        <v>0</v>
      </c>
      <c r="Q37" s="18" t="n">
        <v>1.87798581</v>
      </c>
      <c r="R37" s="20" t="n">
        <v>0.77071301</v>
      </c>
    </row>
    <row r="38" spans="1:18">
      <c r="A38" s="15" t="s">
        <v>596</v>
      </c>
      <c r="B38" s="17" t="n">
        <v>2807</v>
      </c>
      <c r="C38" s="18">
        <f>(2495.0/B38*100)</f>
        <v/>
      </c>
      <c r="D38" s="19" t="n">
        <v>312</v>
      </c>
      <c r="E38" s="18" t="n">
        <v>28.25230974</v>
      </c>
      <c r="F38" s="20" t="n">
        <v>2.66341211</v>
      </c>
      <c r="G38" s="18" t="n">
        <v>70.62088242999999</v>
      </c>
      <c r="H38" s="20" t="n">
        <v>2.74709288</v>
      </c>
      <c r="I38" s="18" t="n">
        <v>0</v>
      </c>
      <c r="J38" s="20" t="n">
        <v>0</v>
      </c>
      <c r="K38" s="18" t="n">
        <v>0</v>
      </c>
      <c r="L38" s="20" t="n">
        <v>0</v>
      </c>
      <c r="M38" s="18" t="n">
        <v>0</v>
      </c>
      <c r="N38" s="20" t="n">
        <v>0</v>
      </c>
      <c r="O38" s="18" t="n">
        <v>0</v>
      </c>
      <c r="P38" s="20" t="n">
        <v>0</v>
      </c>
      <c r="Q38" s="18" t="n">
        <v>1.12680784</v>
      </c>
      <c r="R38" s="20" t="n">
        <v>0.67106418</v>
      </c>
    </row>
    <row r="39" spans="1:18">
      <c r="A39" s="15" t="s">
        <v>597</v>
      </c>
      <c r="B39" s="17" t="n">
        <v>2938</v>
      </c>
      <c r="C39" s="18">
        <f>(2632.0/B39*100)</f>
        <v/>
      </c>
      <c r="D39" s="19" t="n">
        <v>306</v>
      </c>
      <c r="E39" s="18" t="n">
        <v>54.6839514</v>
      </c>
      <c r="F39" s="20" t="n">
        <v>3.51190912</v>
      </c>
      <c r="G39" s="18" t="n">
        <v>44.67970618</v>
      </c>
      <c r="H39" s="20" t="n">
        <v>3.46404463</v>
      </c>
      <c r="I39" s="18" t="n">
        <v>0</v>
      </c>
      <c r="J39" s="20" t="n">
        <v>0</v>
      </c>
      <c r="K39" s="18" t="n">
        <v>0</v>
      </c>
      <c r="L39" s="20" t="n">
        <v>0</v>
      </c>
      <c r="M39" s="18" t="n">
        <v>0</v>
      </c>
      <c r="N39" s="20" t="n">
        <v>0</v>
      </c>
      <c r="O39" s="18" t="n">
        <v>0</v>
      </c>
      <c r="P39" s="20" t="n">
        <v>0</v>
      </c>
      <c r="Q39" s="18" t="n">
        <v>0.63634242</v>
      </c>
      <c r="R39" s="20" t="n">
        <v>0.4477258</v>
      </c>
    </row>
    <row r="40" spans="1:18">
      <c r="A40" s="15" t="s">
        <v>598</v>
      </c>
      <c r="B40" s="17" t="n">
        <v>6922</v>
      </c>
      <c r="C40" s="18">
        <f>(6131.0/B40*100)</f>
        <v/>
      </c>
      <c r="D40" s="19" t="n">
        <v>791</v>
      </c>
      <c r="E40" s="18" t="n">
        <v>29.32910269</v>
      </c>
      <c r="F40" s="20" t="n">
        <v>2.37100147</v>
      </c>
      <c r="G40" s="18" t="n">
        <v>70.35831613000001</v>
      </c>
      <c r="H40" s="20" t="n">
        <v>2.37829487</v>
      </c>
      <c r="I40" s="18" t="n">
        <v>0</v>
      </c>
      <c r="J40" s="20" t="n">
        <v>0</v>
      </c>
      <c r="K40" s="18" t="n">
        <v>0</v>
      </c>
      <c r="L40" s="20" t="n">
        <v>0</v>
      </c>
      <c r="M40" s="18" t="n">
        <v>0</v>
      </c>
      <c r="N40" s="20" t="n">
        <v>0</v>
      </c>
      <c r="O40" s="18" t="n">
        <v>0</v>
      </c>
      <c r="P40" s="20" t="n">
        <v>0</v>
      </c>
      <c r="Q40" s="18" t="n">
        <v>0.31258118</v>
      </c>
      <c r="R40" s="20" t="n">
        <v>0.34456194</v>
      </c>
    </row>
    <row r="41" spans="1:18">
      <c r="A41" s="15" t="s">
        <v>599</v>
      </c>
      <c r="B41" s="17" t="n">
        <v>2854</v>
      </c>
      <c r="C41" s="18">
        <f>(2544.0/B41*100)</f>
        <v/>
      </c>
      <c r="D41" s="19" t="n">
        <v>310</v>
      </c>
      <c r="E41" s="18" t="n">
        <v>35.67580627</v>
      </c>
      <c r="F41" s="20" t="n">
        <v>3.25527323</v>
      </c>
      <c r="G41" s="18" t="n">
        <v>64.32419373</v>
      </c>
      <c r="H41" s="20" t="n">
        <v>3.25527323</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(10841.0/B46*100)</f>
        <v/>
      </c>
      <c r="D46" s="19" t="n">
        <v>1232</v>
      </c>
      <c r="E46" s="18" t="n">
        <v>58.3772093</v>
      </c>
      <c r="F46" s="20" t="n">
        <v>1.86422293</v>
      </c>
      <c r="G46" s="18" t="n">
        <v>38.47356003</v>
      </c>
      <c r="H46" s="20" t="n">
        <v>1.86629777</v>
      </c>
      <c r="I46" s="18" t="n">
        <v>0</v>
      </c>
      <c r="J46" s="20" t="n">
        <v>0</v>
      </c>
      <c r="K46" s="18" t="n">
        <v>0.21061929</v>
      </c>
      <c r="L46" s="20" t="n">
        <v>0.12161951</v>
      </c>
      <c r="M46" s="18" t="n">
        <v>0</v>
      </c>
      <c r="N46" s="20" t="n">
        <v>0</v>
      </c>
      <c r="O46" s="18" t="n">
        <v>0</v>
      </c>
      <c r="P46" s="20" t="n">
        <v>0</v>
      </c>
      <c r="Q46" s="18" t="n">
        <v>2.93861138</v>
      </c>
      <c r="R46" s="20" t="n">
        <v>0.5954523</v>
      </c>
    </row>
    <row r="47" spans="1:18">
      <c r="A47" s="15" t="s">
        <v>606</v>
      </c>
      <c r="B47" s="17" t="n">
        <v>2823</v>
      </c>
      <c r="C47" s="18">
        <f>(2512.0/B47*100)</f>
        <v/>
      </c>
      <c r="D47" s="19" t="n">
        <v>311</v>
      </c>
      <c r="E47" s="18" t="n">
        <v>46.17843178</v>
      </c>
      <c r="F47" s="20" t="n">
        <v>2.8506915</v>
      </c>
      <c r="G47" s="18" t="n">
        <v>51.45549755</v>
      </c>
      <c r="H47" s="20" t="n">
        <v>2.94212081</v>
      </c>
      <c r="I47" s="18" t="n">
        <v>0</v>
      </c>
      <c r="J47" s="20" t="n">
        <v>0</v>
      </c>
      <c r="K47" s="18" t="n">
        <v>0</v>
      </c>
      <c r="L47" s="20" t="n">
        <v>0</v>
      </c>
      <c r="M47" s="18" t="n">
        <v>0</v>
      </c>
      <c r="N47" s="20" t="n">
        <v>0</v>
      </c>
      <c r="O47" s="18" t="n">
        <v>0</v>
      </c>
      <c r="P47" s="20" t="n">
        <v>0</v>
      </c>
      <c r="Q47" s="18" t="n">
        <v>2.36607067</v>
      </c>
      <c r="R47" s="20" t="n">
        <v>0.91516861</v>
      </c>
    </row>
    <row r="48" spans="1:18">
      <c r="A48" s="15" t="s">
        <v>607</v>
      </c>
      <c r="B48" s="17" t="n">
        <v>4682</v>
      </c>
      <c r="C48" s="18">
        <f>(4150.0/B48*100)</f>
        <v/>
      </c>
      <c r="D48" s="19" t="n">
        <v>532</v>
      </c>
      <c r="E48" s="18" t="n">
        <v>58.85636031</v>
      </c>
      <c r="F48" s="20" t="n">
        <v>2.85033957</v>
      </c>
      <c r="G48" s="18" t="n">
        <v>39.0847909</v>
      </c>
      <c r="H48" s="20" t="n">
        <v>2.83403183</v>
      </c>
      <c r="I48" s="18" t="n">
        <v>0</v>
      </c>
      <c r="J48" s="20" t="n">
        <v>0</v>
      </c>
      <c r="K48" s="18" t="n">
        <v>0.40364533</v>
      </c>
      <c r="L48" s="20" t="n">
        <v>0.48228255</v>
      </c>
      <c r="M48" s="18" t="n">
        <v>0</v>
      </c>
      <c r="N48" s="20" t="n">
        <v>0</v>
      </c>
      <c r="O48" s="18" t="n">
        <v>0</v>
      </c>
      <c r="P48" s="20" t="n">
        <v>0</v>
      </c>
      <c r="Q48" s="18" t="n">
        <v>1.65520346</v>
      </c>
      <c r="R48" s="20" t="n">
        <v>0.68530112</v>
      </c>
    </row>
    <row r="49" spans="1:18">
      <c r="A49" s="15" t="s">
        <v>608</v>
      </c>
      <c r="B49" s="17" t="n">
        <v>6158</v>
      </c>
      <c r="C49" s="18">
        <f>(5486.0/B49*100)</f>
        <v/>
      </c>
      <c r="D49" s="19" t="n">
        <v>672</v>
      </c>
      <c r="E49" s="18" t="n">
        <v>41.14500166</v>
      </c>
      <c r="F49" s="20" t="n">
        <v>2.16237303</v>
      </c>
      <c r="G49" s="18" t="n">
        <v>57.52632933</v>
      </c>
      <c r="H49" s="20" t="n">
        <v>2.11663483</v>
      </c>
      <c r="I49" s="18" t="n">
        <v>0</v>
      </c>
      <c r="J49" s="20" t="n">
        <v>0</v>
      </c>
      <c r="K49" s="18" t="n">
        <v>0.42676542</v>
      </c>
      <c r="L49" s="20" t="n">
        <v>0.41194088</v>
      </c>
      <c r="M49" s="18" t="n">
        <v>0</v>
      </c>
      <c r="N49" s="20" t="n">
        <v>0</v>
      </c>
      <c r="O49" s="18" t="n">
        <v>0</v>
      </c>
      <c r="P49" s="20" t="n">
        <v>0</v>
      </c>
      <c r="Q49" s="18" t="n">
        <v>0.90190359</v>
      </c>
      <c r="R49" s="20" t="n">
        <v>0.45649005</v>
      </c>
    </row>
    <row r="50" spans="1:18">
      <c r="A50" s="15" t="s">
        <v>609</v>
      </c>
      <c r="B50" s="17" t="n">
        <v>3494</v>
      </c>
      <c r="C50" s="18">
        <f>(3134.0/B50*100)</f>
        <v/>
      </c>
      <c r="D50" s="19" t="n">
        <v>360</v>
      </c>
      <c r="E50" s="18" t="n">
        <v>42.8250979</v>
      </c>
      <c r="F50" s="20" t="n">
        <v>2.42070683</v>
      </c>
      <c r="G50" s="18" t="n">
        <v>55.54848033</v>
      </c>
      <c r="H50" s="20" t="n">
        <v>2.45008761</v>
      </c>
      <c r="I50" s="18" t="n">
        <v>0</v>
      </c>
      <c r="J50" s="20" t="n">
        <v>0</v>
      </c>
      <c r="K50" s="18" t="n">
        <v>0</v>
      </c>
      <c r="L50" s="20" t="n">
        <v>0</v>
      </c>
      <c r="M50" s="18" t="n">
        <v>0</v>
      </c>
      <c r="N50" s="20" t="n">
        <v>0</v>
      </c>
      <c r="O50" s="18" t="n">
        <v>0</v>
      </c>
      <c r="P50" s="20" t="n">
        <v>0</v>
      </c>
      <c r="Q50" s="18" t="n">
        <v>1.62642177</v>
      </c>
      <c r="R50" s="20" t="n">
        <v>0.7899526100000001</v>
      </c>
    </row>
    <row r="51" spans="1:18">
      <c r="A51" s="15" t="s">
        <v>610</v>
      </c>
      <c r="B51" s="17" t="n">
        <v>3013</v>
      </c>
      <c r="C51" s="18">
        <f>(2690.0/B51*100)</f>
        <v/>
      </c>
      <c r="D51" s="19" t="n">
        <v>323</v>
      </c>
      <c r="E51" s="18" t="n">
        <v>44.82173018</v>
      </c>
      <c r="F51" s="20" t="n">
        <v>2.75549634</v>
      </c>
      <c r="G51" s="18" t="n">
        <v>54.13927518</v>
      </c>
      <c r="H51" s="20" t="n">
        <v>2.69055021</v>
      </c>
      <c r="I51" s="18" t="n">
        <v>0</v>
      </c>
      <c r="J51" s="20" t="n">
        <v>0</v>
      </c>
      <c r="K51" s="18" t="n">
        <v>0</v>
      </c>
      <c r="L51" s="20" t="n">
        <v>0</v>
      </c>
      <c r="M51" s="18" t="n">
        <v>0</v>
      </c>
      <c r="N51" s="20" t="n">
        <v>0</v>
      </c>
      <c r="O51" s="18" t="n">
        <v>0</v>
      </c>
      <c r="P51" s="20" t="n">
        <v>0</v>
      </c>
      <c r="Q51" s="18" t="n">
        <v>1.03899463</v>
      </c>
      <c r="R51" s="20" t="n">
        <v>0.5764157600000001</v>
      </c>
    </row>
    <row r="52" spans="1:18">
      <c r="A52" s="15" t="s">
        <v>611</v>
      </c>
      <c r="B52" s="17" t="n">
        <v>2760</v>
      </c>
      <c r="C52" s="18">
        <f>(2458.0/B52*100)</f>
        <v/>
      </c>
      <c r="D52" s="19" t="n">
        <v>302</v>
      </c>
      <c r="E52" s="18" t="n">
        <v>44.44569078</v>
      </c>
      <c r="F52" s="20" t="n">
        <v>2.46937518</v>
      </c>
      <c r="G52" s="18" t="n">
        <v>54.53432458</v>
      </c>
      <c r="H52" s="20" t="n">
        <v>2.54455304</v>
      </c>
      <c r="I52" s="18" t="n">
        <v>0</v>
      </c>
      <c r="J52" s="20" t="n">
        <v>0</v>
      </c>
      <c r="K52" s="18" t="n">
        <v>0.23776078</v>
      </c>
      <c r="L52" s="20" t="n">
        <v>0.2372928</v>
      </c>
      <c r="M52" s="18" t="n">
        <v>0</v>
      </c>
      <c r="N52" s="20" t="n">
        <v>0</v>
      </c>
      <c r="O52" s="18" t="n">
        <v>0</v>
      </c>
      <c r="P52" s="20" t="n">
        <v>0</v>
      </c>
      <c r="Q52" s="18" t="n">
        <v>0.78222386</v>
      </c>
      <c r="R52" s="20" t="n">
        <v>0.55470971</v>
      </c>
    </row>
    <row r="53" spans="1:18">
      <c r="A53" s="15" t="s">
        <v>612</v>
      </c>
      <c r="B53" s="17" t="n">
        <v>2474</v>
      </c>
      <c r="C53" s="18">
        <f>(2193.0/B53*100)</f>
        <v/>
      </c>
      <c r="D53" s="19" t="n">
        <v>281</v>
      </c>
      <c r="E53" s="18" t="n">
        <v>60.29147924</v>
      </c>
      <c r="F53" s="20" t="n">
        <v>3.18423079</v>
      </c>
      <c r="G53" s="18" t="n">
        <v>24.69937458</v>
      </c>
      <c r="H53" s="20" t="n">
        <v>2.67190462</v>
      </c>
      <c r="I53" s="18" t="n">
        <v>0</v>
      </c>
      <c r="J53" s="20" t="n">
        <v>0</v>
      </c>
      <c r="K53" s="18" t="n">
        <v>7.52874805</v>
      </c>
      <c r="L53" s="20" t="n">
        <v>2.09140115</v>
      </c>
      <c r="M53" s="18" t="n">
        <v>0</v>
      </c>
      <c r="N53" s="20" t="n">
        <v>0</v>
      </c>
      <c r="O53" s="18" t="n">
        <v>0</v>
      </c>
      <c r="P53" s="20" t="n">
        <v>0</v>
      </c>
      <c r="Q53" s="18" t="n">
        <v>7.48039813</v>
      </c>
      <c r="R53" s="20" t="n">
        <v>2.16178339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(2393.0/B55*100)</f>
        <v/>
      </c>
      <c r="D55" s="19" t="n">
        <v>282</v>
      </c>
      <c r="E55" s="18" t="n">
        <v>40.25475612</v>
      </c>
      <c r="F55" s="20" t="n">
        <v>3.0725052</v>
      </c>
      <c r="G55" s="18" t="n">
        <v>59.39460357</v>
      </c>
      <c r="H55" s="20" t="n">
        <v>3.07430877</v>
      </c>
      <c r="I55" s="18" t="n">
        <v>0</v>
      </c>
      <c r="J55" s="20" t="n">
        <v>0</v>
      </c>
      <c r="K55" s="18" t="n">
        <v>0</v>
      </c>
      <c r="L55" s="20" t="n">
        <v>0</v>
      </c>
      <c r="M55" s="18" t="n">
        <v>0</v>
      </c>
      <c r="N55" s="20" t="n">
        <v>0</v>
      </c>
      <c r="O55" s="18" t="n">
        <v>0</v>
      </c>
      <c r="P55" s="20" t="n">
        <v>0</v>
      </c>
      <c r="Q55" s="18" t="n">
        <v>0.35064031</v>
      </c>
      <c r="R55" s="20" t="n">
        <v>0.34928163</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(2854.0/B61*100)</f>
        <v/>
      </c>
      <c r="D61" s="19" t="n">
        <v>347</v>
      </c>
      <c r="E61" s="18" t="n">
        <v>53.24753405</v>
      </c>
      <c r="F61" s="20" t="n">
        <v>3.16794852</v>
      </c>
      <c r="G61" s="18" t="n">
        <v>45.6902443</v>
      </c>
      <c r="H61" s="20" t="n">
        <v>3.17279365</v>
      </c>
      <c r="I61" s="18" t="n">
        <v>0</v>
      </c>
      <c r="J61" s="20" t="n">
        <v>0</v>
      </c>
      <c r="K61" s="18" t="n">
        <v>0.80215066</v>
      </c>
      <c r="L61" s="20" t="n">
        <v>0.78923861</v>
      </c>
      <c r="M61" s="18" t="n">
        <v>0</v>
      </c>
      <c r="N61" s="20" t="n">
        <v>0</v>
      </c>
      <c r="O61" s="18" t="n">
        <v>0</v>
      </c>
      <c r="P61" s="20" t="n">
        <v>0</v>
      </c>
      <c r="Q61" s="18" t="n">
        <v>0.26007099</v>
      </c>
      <c r="R61" s="20" t="n">
        <v>0.17281949</v>
      </c>
    </row>
    <row r="62" spans="1:18">
      <c r="A62" s="15" t="s">
        <v>622</v>
      </c>
      <c r="B62" s="17" t="n">
        <v>2230</v>
      </c>
      <c r="C62" s="18">
        <f>(1961.0/B62*100)</f>
        <v/>
      </c>
      <c r="D62" s="19" t="n">
        <v>269</v>
      </c>
      <c r="E62" s="18" t="n">
        <v>39.15150333</v>
      </c>
      <c r="F62" s="20" t="n">
        <v>3.17131714</v>
      </c>
      <c r="G62" s="18" t="n">
        <v>60.84849667</v>
      </c>
      <c r="H62" s="20" t="n">
        <v>3.17131714</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(2472.0/B67*100)</f>
        <v/>
      </c>
      <c r="D67" s="19" t="n">
        <v>299</v>
      </c>
      <c r="E67" s="18" t="n">
        <v>56.1217722</v>
      </c>
      <c r="F67" s="20" t="n">
        <v>2.76685272</v>
      </c>
      <c r="G67" s="18" t="n">
        <v>41.52574474</v>
      </c>
      <c r="H67" s="20" t="n">
        <v>2.85753952</v>
      </c>
      <c r="I67" s="18" t="n">
        <v>0</v>
      </c>
      <c r="J67" s="20" t="n">
        <v>0</v>
      </c>
      <c r="K67" s="18" t="n">
        <v>0.7270908</v>
      </c>
      <c r="L67" s="20" t="n">
        <v>0.51492338</v>
      </c>
      <c r="M67" s="18" t="n">
        <v>0</v>
      </c>
      <c r="N67" s="20" t="n">
        <v>0</v>
      </c>
      <c r="O67" s="18" t="n">
        <v>0</v>
      </c>
      <c r="P67" s="20" t="n">
        <v>0</v>
      </c>
      <c r="Q67" s="18" t="n">
        <v>1.62539226</v>
      </c>
      <c r="R67" s="20" t="n">
        <v>0.75058124</v>
      </c>
    </row>
    <row r="68" spans="1:18">
      <c r="A68" s="15" t="s">
        <v>628</v>
      </c>
      <c r="B68" s="17" t="n">
        <v>3460</v>
      </c>
      <c r="C68" s="18">
        <f>(3077.0/B68*100)</f>
        <v/>
      </c>
      <c r="D68" s="19" t="n">
        <v>383</v>
      </c>
      <c r="E68" s="18" t="n">
        <v>39.72058627</v>
      </c>
      <c r="F68" s="20" t="n">
        <v>2.53006067</v>
      </c>
      <c r="G68" s="18" t="n">
        <v>57.22808941</v>
      </c>
      <c r="H68" s="20" t="n">
        <v>2.44115158</v>
      </c>
      <c r="I68" s="18" t="n">
        <v>0</v>
      </c>
      <c r="J68" s="20" t="n">
        <v>0</v>
      </c>
      <c r="K68" s="18" t="n">
        <v>0.33856725</v>
      </c>
      <c r="L68" s="20" t="n">
        <v>0.33590244</v>
      </c>
      <c r="M68" s="18" t="n">
        <v>0</v>
      </c>
      <c r="N68" s="20" t="n">
        <v>0</v>
      </c>
      <c r="O68" s="18" t="n">
        <v>0</v>
      </c>
      <c r="P68" s="20" t="n">
        <v>0</v>
      </c>
      <c r="Q68" s="18" t="n">
        <v>2.71275707</v>
      </c>
      <c r="R68" s="20" t="n">
        <v>0.88404004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(5342.0/B70*100)</f>
        <v/>
      </c>
      <c r="D70" s="19" t="n">
        <v>692</v>
      </c>
      <c r="E70" s="18" t="n">
        <v>52.09090158</v>
      </c>
      <c r="F70" s="20" t="n">
        <v>1.83135209</v>
      </c>
      <c r="G70" s="18" t="n">
        <v>46.43999923</v>
      </c>
      <c r="H70" s="20" t="n">
        <v>1.82544519</v>
      </c>
      <c r="I70" s="18" t="n">
        <v>0</v>
      </c>
      <c r="J70" s="20" t="n">
        <v>0</v>
      </c>
      <c r="K70" s="18" t="n">
        <v>0.85977141</v>
      </c>
      <c r="L70" s="20" t="n">
        <v>0.40892493</v>
      </c>
      <c r="M70" s="18" t="n">
        <v>0</v>
      </c>
      <c r="N70" s="20" t="n">
        <v>0</v>
      </c>
      <c r="O70" s="18" t="n">
        <v>0</v>
      </c>
      <c r="P70" s="20" t="n">
        <v>0</v>
      </c>
      <c r="Q70" s="18" t="n">
        <v>0.60932778</v>
      </c>
      <c r="R70" s="20" t="n">
        <v>0.23292164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(2775.0/B72*100)</f>
        <v/>
      </c>
      <c r="D72" s="19" t="n">
        <v>332</v>
      </c>
      <c r="E72" s="18" t="n">
        <v>35.21139244</v>
      </c>
      <c r="F72" s="20" t="n">
        <v>3.40039317</v>
      </c>
      <c r="G72" s="18" t="n">
        <v>64.15772253999999</v>
      </c>
      <c r="H72" s="20" t="n">
        <v>3.43081766</v>
      </c>
      <c r="I72" s="18" t="n">
        <v>0</v>
      </c>
      <c r="J72" s="20" t="n">
        <v>0</v>
      </c>
      <c r="K72" s="18" t="n">
        <v>0</v>
      </c>
      <c r="L72" s="20" t="n">
        <v>0</v>
      </c>
      <c r="M72" s="18" t="n">
        <v>0</v>
      </c>
      <c r="N72" s="20" t="n">
        <v>0</v>
      </c>
      <c r="O72" s="18" t="n">
        <v>0</v>
      </c>
      <c r="P72" s="20" t="n">
        <v>0</v>
      </c>
      <c r="Q72" s="18" t="n">
        <v>0.63088501</v>
      </c>
      <c r="R72" s="20" t="n">
        <v>0.25652898</v>
      </c>
    </row>
    <row r="73" spans="1:18">
      <c r="A73" s="15" t="s">
        <v>633</v>
      </c>
      <c r="B73" s="17" t="n">
        <v>2973</v>
      </c>
      <c r="C73" s="18">
        <f>(2646.0/B73*100)</f>
        <v/>
      </c>
      <c r="D73" s="19" t="n">
        <v>327</v>
      </c>
      <c r="E73" s="18" t="n">
        <v>28.46804165</v>
      </c>
      <c r="F73" s="20" t="n">
        <v>2.62530359</v>
      </c>
      <c r="G73" s="18" t="n">
        <v>71.53195835</v>
      </c>
      <c r="H73" s="20" t="n">
        <v>2.62530359</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(3392.0/B74*100)</f>
        <v/>
      </c>
      <c r="D74" s="19" t="n">
        <v>427</v>
      </c>
      <c r="E74" s="18" t="n">
        <v>44.99362552</v>
      </c>
      <c r="F74" s="20" t="n">
        <v>2.46956939</v>
      </c>
      <c r="G74" s="18" t="n">
        <v>55.00637448</v>
      </c>
      <c r="H74" s="20" t="n">
        <v>2.46956939</v>
      </c>
      <c r="I74" s="18" t="n">
        <v>0</v>
      </c>
      <c r="J74" s="20" t="n">
        <v>0</v>
      </c>
      <c r="K74" s="18" t="n">
        <v>0</v>
      </c>
      <c r="L74" s="20" t="n">
        <v>0</v>
      </c>
      <c r="M74" s="18" t="n">
        <v>0</v>
      </c>
      <c r="N74" s="20" t="n">
        <v>0</v>
      </c>
      <c r="O74" s="18" t="n">
        <v>0</v>
      </c>
      <c r="P74" s="20" t="n">
        <v>0</v>
      </c>
      <c r="Q74" s="18" t="n">
        <v>0</v>
      </c>
      <c r="R74" s="20" t="n">
        <v>0</v>
      </c>
    </row>
    <row r="75" spans="1:18">
      <c r="A75" s="15" t="s">
        <v>635</v>
      </c>
      <c r="B75" s="17" t="n">
        <v>4652</v>
      </c>
      <c r="C75" s="18">
        <f>(4150.0/B75*100)</f>
        <v/>
      </c>
      <c r="D75" s="19" t="n">
        <v>502</v>
      </c>
      <c r="E75" s="18" t="n">
        <v>47.60259421</v>
      </c>
      <c r="F75" s="20" t="n">
        <v>2.91520975</v>
      </c>
      <c r="G75" s="18" t="n">
        <v>51.97453548</v>
      </c>
      <c r="H75" s="20" t="n">
        <v>2.91972263</v>
      </c>
      <c r="I75" s="18" t="n">
        <v>0</v>
      </c>
      <c r="J75" s="20" t="n">
        <v>0</v>
      </c>
      <c r="K75" s="18" t="n">
        <v>0</v>
      </c>
      <c r="L75" s="20" t="n">
        <v>0</v>
      </c>
      <c r="M75" s="18" t="n">
        <v>0</v>
      </c>
      <c r="N75" s="20" t="n">
        <v>0</v>
      </c>
      <c r="O75" s="18" t="n">
        <v>0</v>
      </c>
      <c r="P75" s="20" t="n">
        <v>0</v>
      </c>
      <c r="Q75" s="18" t="n">
        <v>0.42287032</v>
      </c>
      <c r="R75" s="20" t="n">
        <v>0.4297045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(2643.0/B77*100)</f>
        <v/>
      </c>
      <c r="D77" s="19" t="n">
        <v>326</v>
      </c>
      <c r="E77" s="18" t="n">
        <v>47.6934048</v>
      </c>
      <c r="F77" s="20" t="n">
        <v>3.01962864</v>
      </c>
      <c r="G77" s="18" t="n">
        <v>49.71937476</v>
      </c>
      <c r="H77" s="20" t="n">
        <v>3.26793926</v>
      </c>
      <c r="I77" s="18" t="n">
        <v>0</v>
      </c>
      <c r="J77" s="20" t="n">
        <v>0</v>
      </c>
      <c r="K77" s="18" t="n">
        <v>1.19266729</v>
      </c>
      <c r="L77" s="20" t="n">
        <v>0.61189357</v>
      </c>
      <c r="M77" s="18" t="n">
        <v>0</v>
      </c>
      <c r="N77" s="20" t="n">
        <v>0</v>
      </c>
      <c r="O77" s="18" t="n">
        <v>0</v>
      </c>
      <c r="P77" s="20" t="n">
        <v>0</v>
      </c>
      <c r="Q77" s="18" t="n">
        <v>1.39455315</v>
      </c>
      <c r="R77" s="20" t="n">
        <v>0.6708419799999999</v>
      </c>
    </row>
    <row r="78" spans="1:18">
      <c r="A78" s="15" t="s">
        <v>638</v>
      </c>
      <c r="B78" s="17" t="n">
        <v>7115</v>
      </c>
      <c r="C78" s="18">
        <f>(6349.0/B78*100)</f>
        <v/>
      </c>
      <c r="D78" s="19" t="n">
        <v>766</v>
      </c>
      <c r="E78" s="18" t="n">
        <v>53.8206791</v>
      </c>
      <c r="F78" s="20" t="n">
        <v>1.59792442</v>
      </c>
      <c r="G78" s="18" t="n">
        <v>45.74205274</v>
      </c>
      <c r="H78" s="20" t="n">
        <v>1.5472912</v>
      </c>
      <c r="I78" s="18" t="n">
        <v>0</v>
      </c>
      <c r="J78" s="20" t="n">
        <v>0</v>
      </c>
      <c r="K78" s="18" t="n">
        <v>0.0643509</v>
      </c>
      <c r="L78" s="20" t="n">
        <v>0.06450754</v>
      </c>
      <c r="M78" s="18" t="n">
        <v>0</v>
      </c>
      <c r="N78" s="20" t="n">
        <v>0</v>
      </c>
      <c r="O78" s="18" t="n">
        <v>0</v>
      </c>
      <c r="P78" s="20" t="n">
        <v>0</v>
      </c>
      <c r="Q78" s="18" t="n">
        <v>0.37291726</v>
      </c>
      <c r="R78" s="20" t="n">
        <v>0.21042507</v>
      </c>
    </row>
    <row r="79" spans="1:18">
      <c r="A79" s="15" t="s">
        <v>639</v>
      </c>
      <c r="B79" s="17" t="n">
        <v>3154</v>
      </c>
      <c r="C79" s="18">
        <f>(2802.0/B79*100)</f>
        <v/>
      </c>
      <c r="D79" s="19" t="n">
        <v>352</v>
      </c>
      <c r="E79" s="18" t="n">
        <v>44.44595449</v>
      </c>
      <c r="F79" s="20" t="n">
        <v>3.05176663</v>
      </c>
      <c r="G79" s="18" t="n">
        <v>52.91244529</v>
      </c>
      <c r="H79" s="20" t="n">
        <v>2.97094513</v>
      </c>
      <c r="I79" s="18" t="n">
        <v>0</v>
      </c>
      <c r="J79" s="20" t="n">
        <v>0</v>
      </c>
      <c r="K79" s="18" t="n">
        <v>0</v>
      </c>
      <c r="L79" s="20" t="n">
        <v>0</v>
      </c>
      <c r="M79" s="18" t="n">
        <v>0</v>
      </c>
      <c r="N79" s="20" t="n">
        <v>0</v>
      </c>
      <c r="O79" s="18" t="n">
        <v>0</v>
      </c>
      <c r="P79" s="20" t="n">
        <v>0</v>
      </c>
      <c r="Q79" s="18" t="n">
        <v>2.64160022</v>
      </c>
      <c r="R79" s="20" t="n">
        <v>0.83580194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(14170.0/B82*100)</f>
        <v/>
      </c>
      <c r="D82" s="19" t="n">
        <v>1791</v>
      </c>
      <c r="E82" s="18" t="n">
        <v>32.39835248</v>
      </c>
      <c r="F82" s="20" t="n">
        <v>1.60473714</v>
      </c>
      <c r="G82" s="18" t="n">
        <v>66.99607579000001</v>
      </c>
      <c r="H82" s="20" t="n">
        <v>1.5966207</v>
      </c>
      <c r="I82" s="18" t="n">
        <v>0</v>
      </c>
      <c r="J82" s="20" t="n">
        <v>0</v>
      </c>
      <c r="K82" s="18" t="n">
        <v>0</v>
      </c>
      <c r="L82" s="20" t="n">
        <v>0</v>
      </c>
      <c r="M82" s="18" t="n">
        <v>0</v>
      </c>
      <c r="N82" s="20" t="n">
        <v>0</v>
      </c>
      <c r="O82" s="18" t="n">
        <v>0</v>
      </c>
      <c r="P82" s="20" t="n">
        <v>0</v>
      </c>
      <c r="Q82" s="18" t="n">
        <v>0.60557174</v>
      </c>
      <c r="R82" s="20" t="n">
        <v>0.18602289</v>
      </c>
    </row>
    <row r="83" spans="1:18">
      <c r="A83" s="15" t="s">
        <v>643</v>
      </c>
      <c r="B83" s="17" t="n">
        <v>808</v>
      </c>
      <c r="C83" s="18">
        <f>(707.0/B83*100)</f>
        <v/>
      </c>
      <c r="D83" s="19" t="n">
        <v>101</v>
      </c>
      <c r="E83" s="18" t="n">
        <v>33.46513871</v>
      </c>
      <c r="F83" s="20" t="n">
        <v>5.30834029</v>
      </c>
      <c r="G83" s="18" t="n">
        <v>66.53486128999999</v>
      </c>
      <c r="H83" s="20" t="n">
        <v>5.30834029</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(831.0/B84*100)</f>
        <v/>
      </c>
      <c r="D84" s="19" t="n">
        <v>107</v>
      </c>
      <c r="E84" s="18" t="n">
        <v>27.10207936</v>
      </c>
      <c r="F84" s="20" t="n">
        <v>4.34449012</v>
      </c>
      <c r="G84" s="18" t="n">
        <v>71.82240371</v>
      </c>
      <c r="H84" s="20" t="n">
        <v>4.14136941</v>
      </c>
      <c r="I84" s="18" t="n">
        <v>0</v>
      </c>
      <c r="J84" s="20" t="n">
        <v>0</v>
      </c>
      <c r="K84" s="18" t="n">
        <v>0</v>
      </c>
      <c r="L84" s="20" t="n">
        <v>0</v>
      </c>
      <c r="M84" s="18" t="n">
        <v>0</v>
      </c>
      <c r="N84" s="20" t="n">
        <v>0</v>
      </c>
      <c r="O84" s="18" t="n">
        <v>0</v>
      </c>
      <c r="P84" s="20" t="n">
        <v>0</v>
      </c>
      <c r="Q84" s="18" t="n">
        <v>1.07551693</v>
      </c>
      <c r="R84" s="20" t="n">
        <v>1.09888329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(6374.0/B7*100)</f>
        <v/>
      </c>
      <c r="D7" s="19" t="n">
        <v>789</v>
      </c>
      <c r="E7" s="18" t="n">
        <v>36.01661724</v>
      </c>
      <c r="F7" s="20" t="n">
        <v>1.97377938</v>
      </c>
      <c r="G7" s="18" t="n">
        <v>53.93523168</v>
      </c>
      <c r="H7" s="20" t="n">
        <v>2.09464226</v>
      </c>
      <c r="I7" s="18" t="n">
        <v>0</v>
      </c>
      <c r="J7" s="20" t="n">
        <v>0</v>
      </c>
      <c r="K7" s="18" t="n">
        <v>0.03168109</v>
      </c>
      <c r="L7" s="20" t="n">
        <v>0.0235942</v>
      </c>
      <c r="M7" s="18" t="n">
        <v>0.01555261</v>
      </c>
      <c r="N7" s="20" t="n">
        <v>0.01567534</v>
      </c>
      <c r="O7" s="18" t="n">
        <v>0</v>
      </c>
      <c r="P7" s="20" t="n">
        <v>0</v>
      </c>
      <c r="Q7" s="18" t="n">
        <v>10.00091738</v>
      </c>
      <c r="R7" s="20" t="n">
        <v>1.17351772</v>
      </c>
    </row>
    <row r="8" spans="1:18">
      <c r="A8" s="15" t="s">
        <v>566</v>
      </c>
      <c r="B8" s="17" t="n">
        <v>3443</v>
      </c>
      <c r="C8" s="18">
        <f>(3088.0/B8*100)</f>
        <v/>
      </c>
      <c r="D8" s="19" t="n">
        <v>355</v>
      </c>
      <c r="E8" s="18" t="n">
        <v>48.62911756</v>
      </c>
      <c r="F8" s="20" t="n">
        <v>2.43740189</v>
      </c>
      <c r="G8" s="18" t="n">
        <v>21.26477378</v>
      </c>
      <c r="H8" s="20" t="n">
        <v>2.14362085</v>
      </c>
      <c r="I8" s="18" t="n">
        <v>0</v>
      </c>
      <c r="J8" s="20" t="n">
        <v>0</v>
      </c>
      <c r="K8" s="18" t="n">
        <v>0.10302582</v>
      </c>
      <c r="L8" s="20" t="n">
        <v>0.10255822</v>
      </c>
      <c r="M8" s="18" t="n">
        <v>0</v>
      </c>
      <c r="N8" s="20" t="n">
        <v>0</v>
      </c>
      <c r="O8" s="18" t="n">
        <v>0</v>
      </c>
      <c r="P8" s="20" t="n">
        <v>0</v>
      </c>
      <c r="Q8" s="18" t="n">
        <v>30.00308283</v>
      </c>
      <c r="R8" s="20" t="n">
        <v>2.41327507</v>
      </c>
    </row>
    <row r="9" spans="1:18">
      <c r="A9" s="15" t="s">
        <v>567</v>
      </c>
      <c r="B9" s="17" t="n">
        <v>4752</v>
      </c>
      <c r="C9" s="18">
        <f>(4238.0/B9*100)</f>
        <v/>
      </c>
      <c r="D9" s="19" t="n">
        <v>514</v>
      </c>
      <c r="E9" s="18" t="n">
        <v>43.57424265</v>
      </c>
      <c r="F9" s="20" t="n">
        <v>2.46484101</v>
      </c>
      <c r="G9" s="18" t="n">
        <v>36.41235072</v>
      </c>
      <c r="H9" s="20" t="n">
        <v>2.06932109</v>
      </c>
      <c r="I9" s="18" t="n">
        <v>0</v>
      </c>
      <c r="J9" s="20" t="n">
        <v>0</v>
      </c>
      <c r="K9" s="18" t="n">
        <v>0</v>
      </c>
      <c r="L9" s="20" t="n">
        <v>0</v>
      </c>
      <c r="M9" s="18" t="n">
        <v>0.15751848</v>
      </c>
      <c r="N9" s="20" t="n">
        <v>0.15310777</v>
      </c>
      <c r="O9" s="18" t="n">
        <v>0</v>
      </c>
      <c r="P9" s="20" t="n">
        <v>0</v>
      </c>
      <c r="Q9" s="18" t="n">
        <v>19.85588815</v>
      </c>
      <c r="R9" s="20" t="n">
        <v>1.84652385</v>
      </c>
    </row>
    <row r="10" spans="1:18">
      <c r="A10" s="15" t="s">
        <v>568</v>
      </c>
      <c r="B10" s="17" t="n">
        <v>10022</v>
      </c>
      <c r="C10" s="18">
        <f>(8893.0/B10*100)</f>
        <v/>
      </c>
      <c r="D10" s="19" t="n">
        <v>1129</v>
      </c>
      <c r="E10" s="18" t="n">
        <v>44.02583894</v>
      </c>
      <c r="F10" s="20" t="n">
        <v>2.00283414</v>
      </c>
      <c r="G10" s="18" t="n">
        <v>49.38128469</v>
      </c>
      <c r="H10" s="20" t="n">
        <v>1.92783183</v>
      </c>
      <c r="I10" s="18" t="n">
        <v>0</v>
      </c>
      <c r="J10" s="20" t="n">
        <v>0</v>
      </c>
      <c r="K10" s="18" t="n">
        <v>0.34991767</v>
      </c>
      <c r="L10" s="20" t="n">
        <v>0.30854718</v>
      </c>
      <c r="M10" s="18" t="n">
        <v>0</v>
      </c>
      <c r="N10" s="20" t="n">
        <v>0</v>
      </c>
      <c r="O10" s="18" t="n">
        <v>0</v>
      </c>
      <c r="P10" s="20" t="n">
        <v>0</v>
      </c>
      <c r="Q10" s="18" t="n">
        <v>6.24295871</v>
      </c>
      <c r="R10" s="20" t="n">
        <v>0.84629429</v>
      </c>
    </row>
    <row r="11" spans="1:18">
      <c r="A11" s="15" t="s">
        <v>569</v>
      </c>
      <c r="B11" s="17" t="n">
        <v>3500</v>
      </c>
      <c r="C11" s="18">
        <f>(3088.0/B11*100)</f>
        <v/>
      </c>
      <c r="D11" s="19" t="n">
        <v>412</v>
      </c>
      <c r="E11" s="18" t="n">
        <v>51.8128769</v>
      </c>
      <c r="F11" s="20" t="n">
        <v>2.76091114</v>
      </c>
      <c r="G11" s="18" t="n">
        <v>21.00144273</v>
      </c>
      <c r="H11" s="20" t="n">
        <v>2.08530506</v>
      </c>
      <c r="I11" s="18" t="n">
        <v>0</v>
      </c>
      <c r="J11" s="20" t="n">
        <v>0</v>
      </c>
      <c r="K11" s="18" t="n">
        <v>0.8930735</v>
      </c>
      <c r="L11" s="20" t="n">
        <v>0.67360748</v>
      </c>
      <c r="M11" s="18" t="n">
        <v>0</v>
      </c>
      <c r="N11" s="20" t="n">
        <v>0</v>
      </c>
      <c r="O11" s="18" t="n">
        <v>0</v>
      </c>
      <c r="P11" s="20" t="n">
        <v>0</v>
      </c>
      <c r="Q11" s="18" t="n">
        <v>26.29260687</v>
      </c>
      <c r="R11" s="20" t="n">
        <v>2.69657742</v>
      </c>
    </row>
    <row r="12" spans="1:18">
      <c r="A12" s="15" t="s">
        <v>570</v>
      </c>
      <c r="B12" s="17" t="n">
        <v>3422</v>
      </c>
      <c r="C12" s="18">
        <f>(3033.0/B12*100)</f>
        <v/>
      </c>
      <c r="D12" s="19" t="n">
        <v>389</v>
      </c>
      <c r="E12" s="18" t="n">
        <v>43.39450035</v>
      </c>
      <c r="F12" s="20" t="n">
        <v>2.79592214</v>
      </c>
      <c r="G12" s="18" t="n">
        <v>26.43739622</v>
      </c>
      <c r="H12" s="20" t="n">
        <v>2.36875603</v>
      </c>
      <c r="I12" s="18" t="n">
        <v>0</v>
      </c>
      <c r="J12" s="20" t="n">
        <v>0</v>
      </c>
      <c r="K12" s="18" t="n">
        <v>0</v>
      </c>
      <c r="L12" s="20" t="n">
        <v>0</v>
      </c>
      <c r="M12" s="18" t="n">
        <v>0.25580399</v>
      </c>
      <c r="N12" s="20" t="n">
        <v>0.25284981</v>
      </c>
      <c r="O12" s="18" t="n">
        <v>0</v>
      </c>
      <c r="P12" s="20" t="n">
        <v>0</v>
      </c>
      <c r="Q12" s="18" t="n">
        <v>29.91229943</v>
      </c>
      <c r="R12" s="20" t="n">
        <v>2.45108108</v>
      </c>
    </row>
    <row r="13" spans="1:18">
      <c r="A13" s="15" t="s">
        <v>571</v>
      </c>
      <c r="B13" s="17" t="n">
        <v>3602</v>
      </c>
      <c r="C13" s="18">
        <f>(3250.0/B13*100)</f>
        <v/>
      </c>
      <c r="D13" s="19" t="n">
        <v>352</v>
      </c>
      <c r="E13" s="18" t="n">
        <v>50.32296223</v>
      </c>
      <c r="F13" s="20" t="n">
        <v>3.23573419</v>
      </c>
      <c r="G13" s="18" t="n">
        <v>32.64382592</v>
      </c>
      <c r="H13" s="20" t="n">
        <v>3.23910273</v>
      </c>
      <c r="I13" s="18" t="n">
        <v>0</v>
      </c>
      <c r="J13" s="20" t="n">
        <v>0</v>
      </c>
      <c r="K13" s="18" t="n">
        <v>0.15217588</v>
      </c>
      <c r="L13" s="20" t="n">
        <v>0.11735809</v>
      </c>
      <c r="M13" s="18" t="n">
        <v>0.07017537</v>
      </c>
      <c r="N13" s="20" t="n">
        <v>0.07004066</v>
      </c>
      <c r="O13" s="18" t="n">
        <v>0</v>
      </c>
      <c r="P13" s="20" t="n">
        <v>0</v>
      </c>
      <c r="Q13" s="18" t="n">
        <v>16.8108606</v>
      </c>
      <c r="R13" s="20" t="n">
        <v>2.55233752</v>
      </c>
    </row>
    <row r="14" spans="1:18">
      <c r="A14" s="15" t="s">
        <v>572</v>
      </c>
      <c r="B14" s="17" t="n">
        <v>2788</v>
      </c>
      <c r="C14" s="18">
        <f>(2469.0/B14*100)</f>
        <v/>
      </c>
      <c r="D14" s="19" t="n">
        <v>319</v>
      </c>
      <c r="E14" s="18" t="n">
        <v>49.01175799</v>
      </c>
      <c r="F14" s="20" t="n">
        <v>3.10943598</v>
      </c>
      <c r="G14" s="18" t="n">
        <v>33.66976217</v>
      </c>
      <c r="H14" s="20" t="n">
        <v>2.69943802</v>
      </c>
      <c r="I14" s="18" t="n">
        <v>0</v>
      </c>
      <c r="J14" s="20" t="n">
        <v>0</v>
      </c>
      <c r="K14" s="18" t="n">
        <v>0</v>
      </c>
      <c r="L14" s="20" t="n">
        <v>0</v>
      </c>
      <c r="M14" s="18" t="n">
        <v>0</v>
      </c>
      <c r="N14" s="20" t="n">
        <v>0</v>
      </c>
      <c r="O14" s="18" t="n">
        <v>0</v>
      </c>
      <c r="P14" s="20" t="n">
        <v>0</v>
      </c>
      <c r="Q14" s="18" t="n">
        <v>17.31847984</v>
      </c>
      <c r="R14" s="20" t="n">
        <v>2.37018792</v>
      </c>
    </row>
    <row r="15" spans="1:18">
      <c r="A15" s="15" t="s">
        <v>573</v>
      </c>
      <c r="B15" s="17" t="n">
        <v>2863</v>
      </c>
      <c r="C15" s="18">
        <f>(2538.0/B15*100)</f>
        <v/>
      </c>
      <c r="D15" s="19" t="n">
        <v>325</v>
      </c>
      <c r="E15" s="18" t="n">
        <v>44.85346461</v>
      </c>
      <c r="F15" s="20" t="n">
        <v>2.9183266</v>
      </c>
      <c r="G15" s="18" t="n">
        <v>44.98579524</v>
      </c>
      <c r="H15" s="20" t="n">
        <v>2.86078176</v>
      </c>
      <c r="I15" s="18" t="n">
        <v>0</v>
      </c>
      <c r="J15" s="20" t="n">
        <v>0</v>
      </c>
      <c r="K15" s="18" t="n">
        <v>0</v>
      </c>
      <c r="L15" s="20" t="n">
        <v>0</v>
      </c>
      <c r="M15" s="18" t="n">
        <v>0</v>
      </c>
      <c r="N15" s="20" t="n">
        <v>0</v>
      </c>
      <c r="O15" s="18" t="n">
        <v>0</v>
      </c>
      <c r="P15" s="20" t="n">
        <v>0</v>
      </c>
      <c r="Q15" s="18" t="n">
        <v>10.16074015</v>
      </c>
      <c r="R15" s="20" t="n">
        <v>1.70475656</v>
      </c>
    </row>
    <row r="16" spans="1:18">
      <c r="A16" s="15" t="s">
        <v>574</v>
      </c>
      <c r="B16" s="17" t="n">
        <v>3111</v>
      </c>
      <c r="C16" s="18">
        <f>(2749.0/B16*100)</f>
        <v/>
      </c>
      <c r="D16" s="19" t="n">
        <v>362</v>
      </c>
      <c r="E16" s="18" t="n">
        <v>37.26307981</v>
      </c>
      <c r="F16" s="20" t="n">
        <v>2.35059086</v>
      </c>
      <c r="G16" s="18" t="n">
        <v>36.51545556</v>
      </c>
      <c r="H16" s="20" t="n">
        <v>2.42921339</v>
      </c>
      <c r="I16" s="18" t="n">
        <v>0</v>
      </c>
      <c r="J16" s="20" t="n">
        <v>0</v>
      </c>
      <c r="K16" s="18" t="n">
        <v>0</v>
      </c>
      <c r="L16" s="20" t="n">
        <v>0</v>
      </c>
      <c r="M16" s="18" t="n">
        <v>0</v>
      </c>
      <c r="N16" s="20" t="n">
        <v>0</v>
      </c>
      <c r="O16" s="18" t="n">
        <v>0</v>
      </c>
      <c r="P16" s="20" t="n">
        <v>0</v>
      </c>
      <c r="Q16" s="18" t="n">
        <v>26.22146463</v>
      </c>
      <c r="R16" s="20" t="n">
        <v>2.01788596</v>
      </c>
    </row>
    <row r="17" spans="1:18">
      <c r="A17" s="15" t="s">
        <v>575</v>
      </c>
      <c r="B17" s="17" t="n">
        <v>3197</v>
      </c>
      <c r="C17" s="18">
        <f>(2849.0/B17*100)</f>
        <v/>
      </c>
      <c r="D17" s="19" t="n">
        <v>348</v>
      </c>
      <c r="E17" s="18" t="n">
        <v>32.54684395</v>
      </c>
      <c r="F17" s="20" t="n">
        <v>2.61050524</v>
      </c>
      <c r="G17" s="18" t="n">
        <v>36.03689624</v>
      </c>
      <c r="H17" s="20" t="n">
        <v>2.6129465</v>
      </c>
      <c r="I17" s="18" t="n">
        <v>0</v>
      </c>
      <c r="J17" s="20" t="n">
        <v>0</v>
      </c>
      <c r="K17" s="18" t="n">
        <v>0</v>
      </c>
      <c r="L17" s="20" t="n">
        <v>0</v>
      </c>
      <c r="M17" s="18" t="n">
        <v>0</v>
      </c>
      <c r="N17" s="20" t="n">
        <v>0</v>
      </c>
      <c r="O17" s="18" t="n">
        <v>0</v>
      </c>
      <c r="P17" s="20" t="n">
        <v>0</v>
      </c>
      <c r="Q17" s="18" t="n">
        <v>31.41625982</v>
      </c>
      <c r="R17" s="20" t="n">
        <v>2.27264108</v>
      </c>
    </row>
    <row r="18" spans="1:18">
      <c r="A18" s="15" t="s">
        <v>576</v>
      </c>
      <c r="B18" s="17" t="n">
        <v>2706</v>
      </c>
      <c r="C18" s="18">
        <f>(2407.0/B18*100)</f>
        <v/>
      </c>
      <c r="D18" s="19" t="n">
        <v>299</v>
      </c>
      <c r="E18" s="18" t="n">
        <v>55.66114909</v>
      </c>
      <c r="F18" s="20" t="n">
        <v>3.26128301</v>
      </c>
      <c r="G18" s="18" t="n">
        <v>23.13628103</v>
      </c>
      <c r="H18" s="20" t="n">
        <v>3.42330124</v>
      </c>
      <c r="I18" s="18" t="n">
        <v>0</v>
      </c>
      <c r="J18" s="20" t="n">
        <v>0</v>
      </c>
      <c r="K18" s="18" t="n">
        <v>0.27585986</v>
      </c>
      <c r="L18" s="20" t="n">
        <v>0.26997879</v>
      </c>
      <c r="M18" s="18" t="n">
        <v>0</v>
      </c>
      <c r="N18" s="20" t="n">
        <v>0</v>
      </c>
      <c r="O18" s="18" t="n">
        <v>0</v>
      </c>
      <c r="P18" s="20" t="n">
        <v>0</v>
      </c>
      <c r="Q18" s="18" t="n">
        <v>20.92671002</v>
      </c>
      <c r="R18" s="20" t="n">
        <v>2.67762079</v>
      </c>
    </row>
    <row r="19" spans="1:18">
      <c r="A19" s="15" t="s">
        <v>577</v>
      </c>
      <c r="B19" s="17" t="n">
        <v>2850</v>
      </c>
      <c r="C19" s="18">
        <f>(2560.0/B19*100)</f>
        <v/>
      </c>
      <c r="D19" s="19" t="n">
        <v>290</v>
      </c>
      <c r="E19" s="18" t="n">
        <v>33.76823592</v>
      </c>
      <c r="F19" s="20" t="n">
        <v>3.48296915</v>
      </c>
      <c r="G19" s="18" t="n">
        <v>38.72056318</v>
      </c>
      <c r="H19" s="20" t="n">
        <v>3.46218631</v>
      </c>
      <c r="I19" s="18" t="n">
        <v>0</v>
      </c>
      <c r="J19" s="20" t="n">
        <v>0</v>
      </c>
      <c r="K19" s="18" t="n">
        <v>0</v>
      </c>
      <c r="L19" s="20" t="n">
        <v>0</v>
      </c>
      <c r="M19" s="18" t="n">
        <v>0</v>
      </c>
      <c r="N19" s="20" t="n">
        <v>0</v>
      </c>
      <c r="O19" s="18" t="n">
        <v>0</v>
      </c>
      <c r="P19" s="20" t="n">
        <v>0</v>
      </c>
      <c r="Q19" s="18" t="n">
        <v>27.51120091</v>
      </c>
      <c r="R19" s="20" t="n">
        <v>3.14799562</v>
      </c>
    </row>
    <row r="20" spans="1:18">
      <c r="A20" s="15" t="s">
        <v>578</v>
      </c>
      <c r="B20" s="17" t="n">
        <v>1741</v>
      </c>
      <c r="C20" s="18">
        <f>(1548.0/B20*100)</f>
        <v/>
      </c>
      <c r="D20" s="19" t="n">
        <v>193</v>
      </c>
      <c r="E20" s="18" t="n">
        <v>50.22599396</v>
      </c>
      <c r="F20" s="20" t="n">
        <v>3.67105489</v>
      </c>
      <c r="G20" s="18" t="n">
        <v>34.2127763</v>
      </c>
      <c r="H20" s="20" t="n">
        <v>3.67247237</v>
      </c>
      <c r="I20" s="18" t="n">
        <v>0</v>
      </c>
      <c r="J20" s="20" t="n">
        <v>0</v>
      </c>
      <c r="K20" s="18" t="n">
        <v>0.48405624</v>
      </c>
      <c r="L20" s="20" t="n">
        <v>0.48436783</v>
      </c>
      <c r="M20" s="18" t="n">
        <v>0.63031978</v>
      </c>
      <c r="N20" s="20" t="n">
        <v>0.63610378</v>
      </c>
      <c r="O20" s="18" t="n">
        <v>0</v>
      </c>
      <c r="P20" s="20" t="n">
        <v>0</v>
      </c>
      <c r="Q20" s="18" t="n">
        <v>14.44685372</v>
      </c>
      <c r="R20" s="20" t="n">
        <v>2.53104071</v>
      </c>
    </row>
    <row r="21" spans="1:18">
      <c r="A21" s="15" t="s">
        <v>579</v>
      </c>
      <c r="B21" s="17" t="n">
        <v>2833</v>
      </c>
      <c r="C21" s="18">
        <f>(2556.0/B21*100)</f>
        <v/>
      </c>
      <c r="D21" s="19" t="n">
        <v>277</v>
      </c>
      <c r="E21" s="18" t="n">
        <v>32.42287869</v>
      </c>
      <c r="F21" s="20" t="n">
        <v>2.8174767</v>
      </c>
      <c r="G21" s="18" t="n">
        <v>63.09671392</v>
      </c>
      <c r="H21" s="20" t="n">
        <v>2.83807626</v>
      </c>
      <c r="I21" s="18" t="n">
        <v>0</v>
      </c>
      <c r="J21" s="20" t="n">
        <v>0</v>
      </c>
      <c r="K21" s="18" t="n">
        <v>0</v>
      </c>
      <c r="L21" s="20" t="n">
        <v>0</v>
      </c>
      <c r="M21" s="18" t="n">
        <v>0</v>
      </c>
      <c r="N21" s="20" t="n">
        <v>0</v>
      </c>
      <c r="O21" s="18" t="n">
        <v>0</v>
      </c>
      <c r="P21" s="20" t="n">
        <v>0</v>
      </c>
      <c r="Q21" s="18" t="n">
        <v>4.48040739</v>
      </c>
      <c r="R21" s="20" t="n">
        <v>1.16634541</v>
      </c>
    </row>
    <row r="22" spans="1:18">
      <c r="A22" s="15" t="s">
        <v>580</v>
      </c>
      <c r="B22" s="17" t="n">
        <v>3667</v>
      </c>
      <c r="C22" s="18">
        <f>(3290.0/B22*100)</f>
        <v/>
      </c>
      <c r="D22" s="19" t="n">
        <v>377</v>
      </c>
      <c r="E22" s="18" t="n">
        <v>43.30285038</v>
      </c>
      <c r="F22" s="20" t="n">
        <v>2.73461846</v>
      </c>
      <c r="G22" s="18" t="n">
        <v>36.7631518</v>
      </c>
      <c r="H22" s="20" t="n">
        <v>2.69841065</v>
      </c>
      <c r="I22" s="18" t="n">
        <v>0</v>
      </c>
      <c r="J22" s="20" t="n">
        <v>0</v>
      </c>
      <c r="K22" s="18" t="n">
        <v>0.26035268</v>
      </c>
      <c r="L22" s="20" t="n">
        <v>0.24869964</v>
      </c>
      <c r="M22" s="18" t="n">
        <v>0</v>
      </c>
      <c r="N22" s="20" t="n">
        <v>0</v>
      </c>
      <c r="O22" s="18" t="n">
        <v>0</v>
      </c>
      <c r="P22" s="20" t="n">
        <v>0</v>
      </c>
      <c r="Q22" s="18" t="n">
        <v>19.67364514</v>
      </c>
      <c r="R22" s="20" t="n">
        <v>2.15415699</v>
      </c>
    </row>
    <row r="23" spans="1:18">
      <c r="A23" s="15" t="s">
        <v>581</v>
      </c>
      <c r="B23" s="17" t="n">
        <v>5792</v>
      </c>
      <c r="C23" s="18">
        <f>(5128.0/B23*100)</f>
        <v/>
      </c>
      <c r="D23" s="19" t="n">
        <v>664</v>
      </c>
      <c r="E23" s="18" t="n">
        <v>39.13095468</v>
      </c>
      <c r="F23" s="20" t="n">
        <v>2.63676098</v>
      </c>
      <c r="G23" s="18" t="n">
        <v>24.78297344</v>
      </c>
      <c r="H23" s="20" t="n">
        <v>2.30418644</v>
      </c>
      <c r="I23" s="18" t="n">
        <v>0</v>
      </c>
      <c r="J23" s="20" t="n">
        <v>0</v>
      </c>
      <c r="K23" s="18" t="n">
        <v>0.00420184</v>
      </c>
      <c r="L23" s="20" t="n">
        <v>0.00424262</v>
      </c>
      <c r="M23" s="18" t="n">
        <v>0</v>
      </c>
      <c r="N23" s="20" t="n">
        <v>0</v>
      </c>
      <c r="O23" s="18" t="n">
        <v>0</v>
      </c>
      <c r="P23" s="20" t="n">
        <v>0</v>
      </c>
      <c r="Q23" s="18" t="n">
        <v>36.08187005</v>
      </c>
      <c r="R23" s="20" t="n">
        <v>2.6965089</v>
      </c>
    </row>
    <row r="24" spans="1:18">
      <c r="A24" s="15" t="s">
        <v>582</v>
      </c>
      <c r="B24" s="17" t="n">
        <v>3309</v>
      </c>
      <c r="C24" s="18">
        <f>(2978.0/B24*100)</f>
        <v/>
      </c>
      <c r="D24" s="19" t="n">
        <v>331</v>
      </c>
      <c r="E24" s="18" t="n">
        <v>38.19832765</v>
      </c>
      <c r="F24" s="20" t="n">
        <v>3.02124256</v>
      </c>
      <c r="G24" s="18" t="n">
        <v>41.00309277</v>
      </c>
      <c r="H24" s="20" t="n">
        <v>2.78041282</v>
      </c>
      <c r="I24" s="18" t="n">
        <v>0</v>
      </c>
      <c r="J24" s="20" t="n">
        <v>0</v>
      </c>
      <c r="K24" s="18" t="n">
        <v>0</v>
      </c>
      <c r="L24" s="20" t="n">
        <v>0</v>
      </c>
      <c r="M24" s="18" t="n">
        <v>0</v>
      </c>
      <c r="N24" s="20" t="n">
        <v>0</v>
      </c>
      <c r="O24" s="18" t="n">
        <v>0</v>
      </c>
      <c r="P24" s="20" t="n">
        <v>0</v>
      </c>
      <c r="Q24" s="18" t="n">
        <v>20.79857959</v>
      </c>
      <c r="R24" s="20" t="n">
        <v>2.46352642</v>
      </c>
    </row>
    <row r="25" spans="1:18">
      <c r="A25" s="15" t="s">
        <v>583</v>
      </c>
      <c r="B25" s="17" t="n">
        <v>2669</v>
      </c>
      <c r="C25" s="18">
        <f>(2364.0/B25*100)</f>
        <v/>
      </c>
      <c r="D25" s="19" t="n">
        <v>305</v>
      </c>
      <c r="E25" s="18" t="n">
        <v>65.55451674</v>
      </c>
      <c r="F25" s="20" t="n">
        <v>2.27474959</v>
      </c>
      <c r="G25" s="18" t="n">
        <v>15.64001219</v>
      </c>
      <c r="H25" s="20" t="n">
        <v>2.13555049</v>
      </c>
      <c r="I25" s="18" t="n">
        <v>0</v>
      </c>
      <c r="J25" s="20" t="n">
        <v>0</v>
      </c>
      <c r="K25" s="18" t="n">
        <v>0</v>
      </c>
      <c r="L25" s="20" t="n">
        <v>0</v>
      </c>
      <c r="M25" s="18" t="n">
        <v>0</v>
      </c>
      <c r="N25" s="20" t="n">
        <v>0</v>
      </c>
      <c r="O25" s="18" t="n">
        <v>0</v>
      </c>
      <c r="P25" s="20" t="n">
        <v>0</v>
      </c>
      <c r="Q25" s="18" t="n">
        <v>18.80547107</v>
      </c>
      <c r="R25" s="20" t="n">
        <v>2.09580778</v>
      </c>
    </row>
    <row r="26" spans="1:18">
      <c r="A26" s="15" t="s">
        <v>584</v>
      </c>
      <c r="B26" s="17" t="n">
        <v>2419</v>
      </c>
      <c r="C26" s="18">
        <f>(2142.0/B26*100)</f>
        <v/>
      </c>
      <c r="D26" s="19" t="n">
        <v>277</v>
      </c>
      <c r="E26" s="18" t="n">
        <v>45.69748361</v>
      </c>
      <c r="F26" s="20" t="n">
        <v>3.03372048</v>
      </c>
      <c r="G26" s="18" t="n">
        <v>29.60723945</v>
      </c>
      <c r="H26" s="20" t="n">
        <v>2.89972443</v>
      </c>
      <c r="I26" s="18" t="n">
        <v>0</v>
      </c>
      <c r="J26" s="20" t="n">
        <v>0</v>
      </c>
      <c r="K26" s="18" t="n">
        <v>0</v>
      </c>
      <c r="L26" s="20" t="n">
        <v>0</v>
      </c>
      <c r="M26" s="18" t="n">
        <v>0.33025775</v>
      </c>
      <c r="N26" s="20" t="n">
        <v>0.33409261</v>
      </c>
      <c r="O26" s="18" t="n">
        <v>0</v>
      </c>
      <c r="P26" s="20" t="n">
        <v>0</v>
      </c>
      <c r="Q26" s="18" t="n">
        <v>24.36501919</v>
      </c>
      <c r="R26" s="20" t="n">
        <v>2.66140857</v>
      </c>
    </row>
    <row r="27" spans="1:18">
      <c r="A27" s="15" t="s">
        <v>585</v>
      </c>
      <c r="B27" s="17" t="n">
        <v>2683</v>
      </c>
      <c r="C27" s="18">
        <f>(2379.0/B27*100)</f>
        <v/>
      </c>
      <c r="D27" s="19" t="n">
        <v>304</v>
      </c>
      <c r="E27" s="18" t="n">
        <v>37.21521443</v>
      </c>
      <c r="F27" s="20" t="n">
        <v>2.85319001</v>
      </c>
      <c r="G27" s="18" t="n">
        <v>36.25684227</v>
      </c>
      <c r="H27" s="20" t="n">
        <v>2.74926838</v>
      </c>
      <c r="I27" s="18" t="n">
        <v>0</v>
      </c>
      <c r="J27" s="20" t="n">
        <v>0</v>
      </c>
      <c r="K27" s="18" t="n">
        <v>0</v>
      </c>
      <c r="L27" s="20" t="n">
        <v>0</v>
      </c>
      <c r="M27" s="18" t="n">
        <v>0</v>
      </c>
      <c r="N27" s="20" t="n">
        <v>0</v>
      </c>
      <c r="O27" s="18" t="n">
        <v>0</v>
      </c>
      <c r="P27" s="20" t="n">
        <v>0</v>
      </c>
      <c r="Q27" s="18" t="n">
        <v>26.5279433</v>
      </c>
      <c r="R27" s="20" t="n">
        <v>2.4900836</v>
      </c>
    </row>
    <row r="28" spans="1:18">
      <c r="A28" s="15" t="s">
        <v>586</v>
      </c>
      <c r="B28" s="17" t="n">
        <v>3803</v>
      </c>
      <c r="C28" s="18">
        <f>(3384.0/B28*100)</f>
        <v/>
      </c>
      <c r="D28" s="19" t="n">
        <v>419</v>
      </c>
      <c r="E28" s="18" t="n">
        <v>77.10424438</v>
      </c>
      <c r="F28" s="20" t="n">
        <v>2.17582737</v>
      </c>
      <c r="G28" s="18" t="n">
        <v>15.06130102</v>
      </c>
      <c r="H28" s="20" t="n">
        <v>1.73961214</v>
      </c>
      <c r="I28" s="18" t="n">
        <v>0</v>
      </c>
      <c r="J28" s="20" t="n">
        <v>0</v>
      </c>
      <c r="K28" s="18" t="n">
        <v>0</v>
      </c>
      <c r="L28" s="20" t="n">
        <v>0</v>
      </c>
      <c r="M28" s="18" t="n">
        <v>0.39576881</v>
      </c>
      <c r="N28" s="20" t="n">
        <v>0.39677766</v>
      </c>
      <c r="O28" s="18" t="n">
        <v>0</v>
      </c>
      <c r="P28" s="20" t="n">
        <v>0</v>
      </c>
      <c r="Q28" s="18" t="n">
        <v>7.43868579</v>
      </c>
      <c r="R28" s="20" t="n">
        <v>1.87491612</v>
      </c>
    </row>
    <row r="29" spans="1:18">
      <c r="A29" s="15" t="s">
        <v>587</v>
      </c>
      <c r="B29" s="17" t="n">
        <v>2700</v>
      </c>
      <c r="C29" s="18">
        <f>(2422.0/B29*100)</f>
        <v/>
      </c>
      <c r="D29" s="19" t="n">
        <v>278</v>
      </c>
      <c r="E29" s="18" t="n">
        <v>57.04414006</v>
      </c>
      <c r="F29" s="20" t="n">
        <v>2.69086767</v>
      </c>
      <c r="G29" s="18" t="n">
        <v>37.33735957</v>
      </c>
      <c r="H29" s="20" t="n">
        <v>2.46123301</v>
      </c>
      <c r="I29" s="18" t="n">
        <v>0</v>
      </c>
      <c r="J29" s="20" t="n">
        <v>0</v>
      </c>
      <c r="K29" s="18" t="n">
        <v>0</v>
      </c>
      <c r="L29" s="20" t="n">
        <v>0</v>
      </c>
      <c r="M29" s="18" t="n">
        <v>0</v>
      </c>
      <c r="N29" s="20" t="n">
        <v>0</v>
      </c>
      <c r="O29" s="18" t="n">
        <v>0</v>
      </c>
      <c r="P29" s="20" t="n">
        <v>0</v>
      </c>
      <c r="Q29" s="18" t="n">
        <v>5.61850037</v>
      </c>
      <c r="R29" s="20" t="n">
        <v>1.35957266</v>
      </c>
    </row>
    <row r="30" spans="1:18">
      <c r="A30" s="15" t="s">
        <v>588</v>
      </c>
      <c r="B30" s="17" t="n">
        <v>2257</v>
      </c>
      <c r="C30" s="18">
        <f>(2008.0/B30*100)</f>
        <v/>
      </c>
      <c r="D30" s="19" t="n">
        <v>249</v>
      </c>
      <c r="E30" s="18" t="n">
        <v>37.1025082</v>
      </c>
      <c r="F30" s="20" t="n">
        <v>3.50852815</v>
      </c>
      <c r="G30" s="18" t="n">
        <v>50.41585575</v>
      </c>
      <c r="H30" s="20" t="n">
        <v>3.73602265</v>
      </c>
      <c r="I30" s="18" t="n">
        <v>0</v>
      </c>
      <c r="J30" s="20" t="n">
        <v>0</v>
      </c>
      <c r="K30" s="18" t="n">
        <v>0</v>
      </c>
      <c r="L30" s="20" t="n">
        <v>0</v>
      </c>
      <c r="M30" s="18" t="n">
        <v>0</v>
      </c>
      <c r="N30" s="20" t="n">
        <v>0</v>
      </c>
      <c r="O30" s="18" t="n">
        <v>0</v>
      </c>
      <c r="P30" s="20" t="n">
        <v>0</v>
      </c>
      <c r="Q30" s="18" t="n">
        <v>12.48163604</v>
      </c>
      <c r="R30" s="20" t="n">
        <v>2.19579472</v>
      </c>
    </row>
    <row r="31" spans="1:18">
      <c r="A31" s="15" t="s">
        <v>589</v>
      </c>
      <c r="B31" s="17" t="n">
        <v>2706</v>
      </c>
      <c r="C31" s="18">
        <f>(2403.0/B31*100)</f>
        <v/>
      </c>
      <c r="D31" s="19" t="n">
        <v>303</v>
      </c>
      <c r="E31" s="18" t="n">
        <v>50.46267141</v>
      </c>
      <c r="F31" s="20" t="n">
        <v>2.87041414</v>
      </c>
      <c r="G31" s="18" t="n">
        <v>18.90007757</v>
      </c>
      <c r="H31" s="20" t="n">
        <v>2.51636547</v>
      </c>
      <c r="I31" s="18" t="n">
        <v>0</v>
      </c>
      <c r="J31" s="20" t="n">
        <v>0</v>
      </c>
      <c r="K31" s="18" t="n">
        <v>0</v>
      </c>
      <c r="L31" s="20" t="n">
        <v>0</v>
      </c>
      <c r="M31" s="18" t="n">
        <v>0</v>
      </c>
      <c r="N31" s="20" t="n">
        <v>0</v>
      </c>
      <c r="O31" s="18" t="n">
        <v>0</v>
      </c>
      <c r="P31" s="20" t="n">
        <v>0</v>
      </c>
      <c r="Q31" s="18" t="n">
        <v>30.63725102</v>
      </c>
      <c r="R31" s="20" t="n">
        <v>3.22937485</v>
      </c>
    </row>
    <row r="32" spans="1:18">
      <c r="A32" s="15" t="s">
        <v>590</v>
      </c>
      <c r="B32" s="17" t="n">
        <v>2209</v>
      </c>
      <c r="C32" s="18">
        <f>(1968.0/B32*100)</f>
        <v/>
      </c>
      <c r="D32" s="19" t="n">
        <v>241</v>
      </c>
      <c r="E32" s="18" t="n">
        <v>36.54332456</v>
      </c>
      <c r="F32" s="20" t="n">
        <v>3.22380978</v>
      </c>
      <c r="G32" s="18" t="n">
        <v>35.33016786</v>
      </c>
      <c r="H32" s="20" t="n">
        <v>3.47074804</v>
      </c>
      <c r="I32" s="18" t="n">
        <v>0</v>
      </c>
      <c r="J32" s="20" t="n">
        <v>0</v>
      </c>
      <c r="K32" s="18" t="n">
        <v>0</v>
      </c>
      <c r="L32" s="20" t="n">
        <v>0</v>
      </c>
      <c r="M32" s="18" t="n">
        <v>0</v>
      </c>
      <c r="N32" s="20" t="n">
        <v>0</v>
      </c>
      <c r="O32" s="18" t="n">
        <v>0</v>
      </c>
      <c r="P32" s="20" t="n">
        <v>0</v>
      </c>
      <c r="Q32" s="18" t="n">
        <v>28.12650758</v>
      </c>
      <c r="R32" s="20" t="n">
        <v>3.16371783</v>
      </c>
    </row>
    <row r="33" spans="1:18">
      <c r="A33" s="15" t="s">
        <v>591</v>
      </c>
      <c r="B33" s="17" t="n">
        <v>3651</v>
      </c>
      <c r="C33" s="18">
        <f>(3237.0/B33*100)</f>
        <v/>
      </c>
      <c r="D33" s="19" t="n">
        <v>414</v>
      </c>
      <c r="E33" s="18" t="n">
        <v>44.94686846</v>
      </c>
      <c r="F33" s="20" t="n">
        <v>2.60106697</v>
      </c>
      <c r="G33" s="18" t="n">
        <v>29.52874323</v>
      </c>
      <c r="H33" s="20" t="n">
        <v>2.23636382</v>
      </c>
      <c r="I33" s="18" t="n">
        <v>0</v>
      </c>
      <c r="J33" s="20" t="n">
        <v>0</v>
      </c>
      <c r="K33" s="18" t="n">
        <v>0.40615327</v>
      </c>
      <c r="L33" s="20" t="n">
        <v>0.38842818</v>
      </c>
      <c r="M33" s="18" t="n">
        <v>0</v>
      </c>
      <c r="N33" s="20" t="n">
        <v>0</v>
      </c>
      <c r="O33" s="18" t="n">
        <v>0</v>
      </c>
      <c r="P33" s="20" t="n">
        <v>0</v>
      </c>
      <c r="Q33" s="18" t="n">
        <v>25.11823504</v>
      </c>
      <c r="R33" s="20" t="n">
        <v>2.56749691</v>
      </c>
    </row>
    <row r="34" spans="1:18">
      <c r="A34" s="15" t="s">
        <v>592</v>
      </c>
      <c r="B34" s="17" t="n">
        <v>3035</v>
      </c>
      <c r="C34" s="18">
        <f>(2682.0/B34*100)</f>
        <v/>
      </c>
      <c r="D34" s="19" t="n">
        <v>353</v>
      </c>
      <c r="E34" s="18" t="n">
        <v>44.63693952</v>
      </c>
      <c r="F34" s="20" t="n">
        <v>3.11406179</v>
      </c>
      <c r="G34" s="18" t="n">
        <v>38.23764793</v>
      </c>
      <c r="H34" s="20" t="n">
        <v>2.87447377</v>
      </c>
      <c r="I34" s="18" t="n">
        <v>0</v>
      </c>
      <c r="J34" s="20" t="n">
        <v>0</v>
      </c>
      <c r="K34" s="18" t="n">
        <v>0</v>
      </c>
      <c r="L34" s="20" t="n">
        <v>0</v>
      </c>
      <c r="M34" s="18" t="n">
        <v>0.54362211</v>
      </c>
      <c r="N34" s="20" t="n">
        <v>0.38098066</v>
      </c>
      <c r="O34" s="18" t="n">
        <v>0</v>
      </c>
      <c r="P34" s="20" t="n">
        <v>0</v>
      </c>
      <c r="Q34" s="18" t="n">
        <v>16.58179044</v>
      </c>
      <c r="R34" s="20" t="n">
        <v>2.0178134</v>
      </c>
    </row>
    <row r="35" spans="1:18">
      <c r="A35" s="15" t="s">
        <v>593</v>
      </c>
      <c r="B35" s="17" t="n">
        <v>2901</v>
      </c>
      <c r="C35" s="18">
        <f>(2574.0/B35*100)</f>
        <v/>
      </c>
      <c r="D35" s="19" t="n">
        <v>327</v>
      </c>
      <c r="E35" s="18" t="n">
        <v>44.26022228</v>
      </c>
      <c r="F35" s="20" t="n">
        <v>3.28745225</v>
      </c>
      <c r="G35" s="18" t="n">
        <v>35.6069864</v>
      </c>
      <c r="H35" s="20" t="n">
        <v>3.48816881</v>
      </c>
      <c r="I35" s="18" t="n">
        <v>0</v>
      </c>
      <c r="J35" s="20" t="n">
        <v>0</v>
      </c>
      <c r="K35" s="18" t="n">
        <v>0.16036806</v>
      </c>
      <c r="L35" s="20" t="n">
        <v>0.15974908</v>
      </c>
      <c r="M35" s="18" t="n">
        <v>0</v>
      </c>
      <c r="N35" s="20" t="n">
        <v>0</v>
      </c>
      <c r="O35" s="18" t="n">
        <v>0</v>
      </c>
      <c r="P35" s="20" t="n">
        <v>0</v>
      </c>
      <c r="Q35" s="18" t="n">
        <v>19.97242326</v>
      </c>
      <c r="R35" s="20" t="n">
        <v>2.62774742</v>
      </c>
    </row>
    <row r="36" spans="1:18">
      <c r="A36" s="15" t="s">
        <v>594</v>
      </c>
      <c r="B36" s="17" t="n">
        <v>3404</v>
      </c>
      <c r="C36" s="18">
        <f>(2995.0/B36*100)</f>
        <v/>
      </c>
      <c r="D36" s="19" t="n">
        <v>409</v>
      </c>
      <c r="E36" s="18" t="n">
        <v>39.69001857</v>
      </c>
      <c r="F36" s="20" t="n">
        <v>2.52425324</v>
      </c>
      <c r="G36" s="18" t="n">
        <v>41.26823463</v>
      </c>
      <c r="H36" s="20" t="n">
        <v>2.36045605</v>
      </c>
      <c r="I36" s="18" t="n">
        <v>0</v>
      </c>
      <c r="J36" s="20" t="n">
        <v>0</v>
      </c>
      <c r="K36" s="18" t="n">
        <v>0</v>
      </c>
      <c r="L36" s="20" t="n">
        <v>0</v>
      </c>
      <c r="M36" s="18" t="n">
        <v>0.23427469</v>
      </c>
      <c r="N36" s="20" t="n">
        <v>0.232194</v>
      </c>
      <c r="O36" s="18" t="n">
        <v>0</v>
      </c>
      <c r="P36" s="20" t="n">
        <v>0</v>
      </c>
      <c r="Q36" s="18" t="n">
        <v>18.80747211</v>
      </c>
      <c r="R36" s="20" t="n">
        <v>2.07090839</v>
      </c>
    </row>
    <row r="37" spans="1:18">
      <c r="A37" s="15" t="s">
        <v>595</v>
      </c>
      <c r="B37" s="17" t="n">
        <v>2731</v>
      </c>
      <c r="C37" s="18">
        <f>(2424.0/B37*100)</f>
        <v/>
      </c>
      <c r="D37" s="19" t="n">
        <v>307</v>
      </c>
      <c r="E37" s="18" t="n">
        <v>38.09989009</v>
      </c>
      <c r="F37" s="20" t="n">
        <v>2.92473689</v>
      </c>
      <c r="G37" s="18" t="n">
        <v>32.87554204</v>
      </c>
      <c r="H37" s="20" t="n">
        <v>2.98218213</v>
      </c>
      <c r="I37" s="18" t="n">
        <v>0</v>
      </c>
      <c r="J37" s="20" t="n">
        <v>0</v>
      </c>
      <c r="K37" s="18" t="n">
        <v>0</v>
      </c>
      <c r="L37" s="20" t="n">
        <v>0</v>
      </c>
      <c r="M37" s="18" t="n">
        <v>0</v>
      </c>
      <c r="N37" s="20" t="n">
        <v>0</v>
      </c>
      <c r="O37" s="18" t="n">
        <v>0</v>
      </c>
      <c r="P37" s="20" t="n">
        <v>0</v>
      </c>
      <c r="Q37" s="18" t="n">
        <v>29.02456787</v>
      </c>
      <c r="R37" s="20" t="n">
        <v>3.02834579</v>
      </c>
    </row>
    <row r="38" spans="1:18">
      <c r="A38" s="15" t="s">
        <v>596</v>
      </c>
      <c r="B38" s="17" t="n">
        <v>2807</v>
      </c>
      <c r="C38" s="18">
        <f>(2495.0/B38*100)</f>
        <v/>
      </c>
      <c r="D38" s="19" t="n">
        <v>312</v>
      </c>
      <c r="E38" s="18" t="n">
        <v>42.69013663</v>
      </c>
      <c r="F38" s="20" t="n">
        <v>2.96924702</v>
      </c>
      <c r="G38" s="18" t="n">
        <v>28.71888434</v>
      </c>
      <c r="H38" s="20" t="n">
        <v>2.71064398</v>
      </c>
      <c r="I38" s="18" t="n">
        <v>0</v>
      </c>
      <c r="J38" s="20" t="n">
        <v>0</v>
      </c>
      <c r="K38" s="18" t="n">
        <v>0</v>
      </c>
      <c r="L38" s="20" t="n">
        <v>0</v>
      </c>
      <c r="M38" s="18" t="n">
        <v>6.38611584</v>
      </c>
      <c r="N38" s="20" t="n">
        <v>1.61757276</v>
      </c>
      <c r="O38" s="18" t="n">
        <v>0</v>
      </c>
      <c r="P38" s="20" t="n">
        <v>0</v>
      </c>
      <c r="Q38" s="18" t="n">
        <v>22.20486319</v>
      </c>
      <c r="R38" s="20" t="n">
        <v>2.55922983</v>
      </c>
    </row>
    <row r="39" spans="1:18">
      <c r="A39" s="15" t="s">
        <v>597</v>
      </c>
      <c r="B39" s="17" t="n">
        <v>2938</v>
      </c>
      <c r="C39" s="18">
        <f>(2632.0/B39*100)</f>
        <v/>
      </c>
      <c r="D39" s="19" t="n">
        <v>306</v>
      </c>
      <c r="E39" s="18" t="n">
        <v>74.43280061</v>
      </c>
      <c r="F39" s="20" t="n">
        <v>2.92579383</v>
      </c>
      <c r="G39" s="18" t="n">
        <v>8.81872499</v>
      </c>
      <c r="H39" s="20" t="n">
        <v>1.77890452</v>
      </c>
      <c r="I39" s="18" t="n">
        <v>0</v>
      </c>
      <c r="J39" s="20" t="n">
        <v>0</v>
      </c>
      <c r="K39" s="18" t="n">
        <v>0</v>
      </c>
      <c r="L39" s="20" t="n">
        <v>0</v>
      </c>
      <c r="M39" s="18" t="n">
        <v>0</v>
      </c>
      <c r="N39" s="20" t="n">
        <v>0</v>
      </c>
      <c r="O39" s="18" t="n">
        <v>0</v>
      </c>
      <c r="P39" s="20" t="n">
        <v>0</v>
      </c>
      <c r="Q39" s="18" t="n">
        <v>16.7484744</v>
      </c>
      <c r="R39" s="20" t="n">
        <v>2.20597415</v>
      </c>
    </row>
    <row r="40" spans="1:18">
      <c r="A40" s="15" t="s">
        <v>598</v>
      </c>
      <c r="B40" s="17" t="n">
        <v>6922</v>
      </c>
      <c r="C40" s="18">
        <f>(6131.0/B40*100)</f>
        <v/>
      </c>
      <c r="D40" s="19" t="n">
        <v>791</v>
      </c>
      <c r="E40" s="18" t="n">
        <v>23.71634773</v>
      </c>
      <c r="F40" s="20" t="n">
        <v>2.67792604</v>
      </c>
      <c r="G40" s="18" t="n">
        <v>67.06750298</v>
      </c>
      <c r="H40" s="20" t="n">
        <v>2.85908888</v>
      </c>
      <c r="I40" s="18" t="n">
        <v>0</v>
      </c>
      <c r="J40" s="20" t="n">
        <v>0</v>
      </c>
      <c r="K40" s="18" t="n">
        <v>0</v>
      </c>
      <c r="L40" s="20" t="n">
        <v>0</v>
      </c>
      <c r="M40" s="18" t="n">
        <v>0</v>
      </c>
      <c r="N40" s="20" t="n">
        <v>0</v>
      </c>
      <c r="O40" s="18" t="n">
        <v>0</v>
      </c>
      <c r="P40" s="20" t="n">
        <v>0</v>
      </c>
      <c r="Q40" s="18" t="n">
        <v>9.216149290000001</v>
      </c>
      <c r="R40" s="20" t="n">
        <v>1.49832668</v>
      </c>
    </row>
    <row r="41" spans="1:18">
      <c r="A41" s="15" t="s">
        <v>599</v>
      </c>
      <c r="B41" s="17" t="n">
        <v>2854</v>
      </c>
      <c r="C41" s="18">
        <f>(2544.0/B41*100)</f>
        <v/>
      </c>
      <c r="D41" s="19" t="n">
        <v>310</v>
      </c>
      <c r="E41" s="18" t="n">
        <v>45.59943509</v>
      </c>
      <c r="F41" s="20" t="n">
        <v>3.08349658</v>
      </c>
      <c r="G41" s="18" t="n">
        <v>51.49085497</v>
      </c>
      <c r="H41" s="20" t="n">
        <v>3.29588652</v>
      </c>
      <c r="I41" s="18" t="n">
        <v>0</v>
      </c>
      <c r="J41" s="20" t="n">
        <v>0</v>
      </c>
      <c r="K41" s="18" t="n">
        <v>0</v>
      </c>
      <c r="L41" s="20" t="n">
        <v>0</v>
      </c>
      <c r="M41" s="18" t="n">
        <v>0</v>
      </c>
      <c r="N41" s="20" t="n">
        <v>0</v>
      </c>
      <c r="O41" s="18" t="n">
        <v>0</v>
      </c>
      <c r="P41" s="20" t="n">
        <v>0</v>
      </c>
      <c r="Q41" s="18" t="n">
        <v>2.90970994</v>
      </c>
      <c r="R41" s="20" t="n">
        <v>1.17468143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(10870.0/B46*100)</f>
        <v/>
      </c>
      <c r="D46" s="19" t="n">
        <v>1203</v>
      </c>
      <c r="E46" s="18" t="n">
        <v>48.36135485</v>
      </c>
      <c r="F46" s="20" t="n">
        <v>2.08513244</v>
      </c>
      <c r="G46" s="18" t="n">
        <v>20.43215348</v>
      </c>
      <c r="H46" s="20" t="n">
        <v>1.45537755</v>
      </c>
      <c r="I46" s="18" t="n">
        <v>0</v>
      </c>
      <c r="J46" s="20" t="n">
        <v>0</v>
      </c>
      <c r="K46" s="18" t="n">
        <v>0.21427259</v>
      </c>
      <c r="L46" s="20" t="n">
        <v>0.12381354</v>
      </c>
      <c r="M46" s="18" t="n">
        <v>0.28486751</v>
      </c>
      <c r="N46" s="20" t="n">
        <v>0.19560183</v>
      </c>
      <c r="O46" s="18" t="n">
        <v>0</v>
      </c>
      <c r="P46" s="20" t="n">
        <v>0</v>
      </c>
      <c r="Q46" s="18" t="n">
        <v>30.70735158</v>
      </c>
      <c r="R46" s="20" t="n">
        <v>1.94087447</v>
      </c>
    </row>
    <row r="47" spans="1:18">
      <c r="A47" s="15" t="s">
        <v>606</v>
      </c>
      <c r="B47" s="17" t="n">
        <v>2823</v>
      </c>
      <c r="C47" s="18">
        <f>(2513.0/B47*100)</f>
        <v/>
      </c>
      <c r="D47" s="19" t="n">
        <v>310</v>
      </c>
      <c r="E47" s="18" t="n">
        <v>34.65219016</v>
      </c>
      <c r="F47" s="20" t="n">
        <v>2.91112647</v>
      </c>
      <c r="G47" s="18" t="n">
        <v>26.54548525</v>
      </c>
      <c r="H47" s="20" t="n">
        <v>2.84034551</v>
      </c>
      <c r="I47" s="18" t="n">
        <v>0</v>
      </c>
      <c r="J47" s="20" t="n">
        <v>0</v>
      </c>
      <c r="K47" s="18" t="n">
        <v>0</v>
      </c>
      <c r="L47" s="20" t="n">
        <v>0</v>
      </c>
      <c r="M47" s="18" t="n">
        <v>0.32454192</v>
      </c>
      <c r="N47" s="20" t="n">
        <v>0.31238041</v>
      </c>
      <c r="O47" s="18" t="n">
        <v>0</v>
      </c>
      <c r="P47" s="20" t="n">
        <v>0</v>
      </c>
      <c r="Q47" s="18" t="n">
        <v>38.47778267</v>
      </c>
      <c r="R47" s="20" t="n">
        <v>3.35448443</v>
      </c>
    </row>
    <row r="48" spans="1:18">
      <c r="A48" s="15" t="s">
        <v>607</v>
      </c>
      <c r="B48" s="17" t="n">
        <v>4682</v>
      </c>
      <c r="C48" s="18">
        <f>(4150.0/B48*100)</f>
        <v/>
      </c>
      <c r="D48" s="19" t="n">
        <v>532</v>
      </c>
      <c r="E48" s="18" t="n">
        <v>42.93586948</v>
      </c>
      <c r="F48" s="20" t="n">
        <v>2.63877227</v>
      </c>
      <c r="G48" s="18" t="n">
        <v>43.66321817</v>
      </c>
      <c r="H48" s="20" t="n">
        <v>2.8502503</v>
      </c>
      <c r="I48" s="18" t="n">
        <v>0</v>
      </c>
      <c r="J48" s="20" t="n">
        <v>0</v>
      </c>
      <c r="K48" s="18" t="n">
        <v>0.40364533</v>
      </c>
      <c r="L48" s="20" t="n">
        <v>0.48228255</v>
      </c>
      <c r="M48" s="18" t="n">
        <v>0</v>
      </c>
      <c r="N48" s="20" t="n">
        <v>0</v>
      </c>
      <c r="O48" s="18" t="n">
        <v>0</v>
      </c>
      <c r="P48" s="20" t="n">
        <v>0</v>
      </c>
      <c r="Q48" s="18" t="n">
        <v>12.99726702</v>
      </c>
      <c r="R48" s="20" t="n">
        <v>2.02356101</v>
      </c>
    </row>
    <row r="49" spans="1:18">
      <c r="A49" s="15" t="s">
        <v>608</v>
      </c>
      <c r="B49" s="17" t="n">
        <v>6158</v>
      </c>
      <c r="C49" s="18">
        <f>(5487.0/B49*100)</f>
        <v/>
      </c>
      <c r="D49" s="19" t="n">
        <v>671</v>
      </c>
      <c r="E49" s="18" t="n">
        <v>73.26156541</v>
      </c>
      <c r="F49" s="20" t="n">
        <v>2.1279745</v>
      </c>
      <c r="G49" s="18" t="n">
        <v>19.00754674</v>
      </c>
      <c r="H49" s="20" t="n">
        <v>1.86773219</v>
      </c>
      <c r="I49" s="18" t="n">
        <v>0</v>
      </c>
      <c r="J49" s="20" t="n">
        <v>0</v>
      </c>
      <c r="K49" s="18" t="n">
        <v>0.42687713</v>
      </c>
      <c r="L49" s="20" t="n">
        <v>0.41204602</v>
      </c>
      <c r="M49" s="18" t="n">
        <v>0.00793145</v>
      </c>
      <c r="N49" s="20" t="n">
        <v>0.007993190000000001</v>
      </c>
      <c r="O49" s="18" t="n">
        <v>0</v>
      </c>
      <c r="P49" s="20" t="n">
        <v>0</v>
      </c>
      <c r="Q49" s="18" t="n">
        <v>7.29607926</v>
      </c>
      <c r="R49" s="20" t="n">
        <v>1.32931232</v>
      </c>
    </row>
    <row r="50" spans="1:18">
      <c r="A50" s="15" t="s">
        <v>609</v>
      </c>
      <c r="B50" s="17" t="n">
        <v>3494</v>
      </c>
      <c r="C50" s="18">
        <f>(3136.0/B50*100)</f>
        <v/>
      </c>
      <c r="D50" s="19" t="n">
        <v>358</v>
      </c>
      <c r="E50" s="18" t="n">
        <v>76.06362098</v>
      </c>
      <c r="F50" s="20" t="n">
        <v>2.57393861</v>
      </c>
      <c r="G50" s="18" t="n">
        <v>6.71072283</v>
      </c>
      <c r="H50" s="20" t="n">
        <v>1.47810729</v>
      </c>
      <c r="I50" s="18" t="n">
        <v>0</v>
      </c>
      <c r="J50" s="20" t="n">
        <v>0</v>
      </c>
      <c r="K50" s="18" t="n">
        <v>0</v>
      </c>
      <c r="L50" s="20" t="n">
        <v>0</v>
      </c>
      <c r="M50" s="18" t="n">
        <v>0.34082479</v>
      </c>
      <c r="N50" s="20" t="n">
        <v>0.31919155</v>
      </c>
      <c r="O50" s="18" t="n">
        <v>0</v>
      </c>
      <c r="P50" s="20" t="n">
        <v>0</v>
      </c>
      <c r="Q50" s="18" t="n">
        <v>16.88483139</v>
      </c>
      <c r="R50" s="20" t="n">
        <v>2.41675666</v>
      </c>
    </row>
    <row r="51" spans="1:18">
      <c r="A51" s="15" t="s">
        <v>610</v>
      </c>
      <c r="B51" s="17" t="n">
        <v>3013</v>
      </c>
      <c r="C51" s="18">
        <f>(2689.0/B51*100)</f>
        <v/>
      </c>
      <c r="D51" s="19" t="n">
        <v>324</v>
      </c>
      <c r="E51" s="18" t="n">
        <v>40.06467731</v>
      </c>
      <c r="F51" s="20" t="n">
        <v>2.55610649</v>
      </c>
      <c r="G51" s="18" t="n">
        <v>21.51646452</v>
      </c>
      <c r="H51" s="20" t="n">
        <v>2.5561862</v>
      </c>
      <c r="I51" s="18" t="n">
        <v>0</v>
      </c>
      <c r="J51" s="20" t="n">
        <v>0</v>
      </c>
      <c r="K51" s="18" t="n">
        <v>0</v>
      </c>
      <c r="L51" s="20" t="n">
        <v>0</v>
      </c>
      <c r="M51" s="18" t="n">
        <v>0</v>
      </c>
      <c r="N51" s="20" t="n">
        <v>0</v>
      </c>
      <c r="O51" s="18" t="n">
        <v>0</v>
      </c>
      <c r="P51" s="20" t="n">
        <v>0</v>
      </c>
      <c r="Q51" s="18" t="n">
        <v>38.41885817</v>
      </c>
      <c r="R51" s="20" t="n">
        <v>2.54300294</v>
      </c>
    </row>
    <row r="52" spans="1:18">
      <c r="A52" s="15" t="s">
        <v>611</v>
      </c>
      <c r="B52" s="17" t="n">
        <v>2760</v>
      </c>
      <c r="C52" s="18">
        <f>(2459.0/B52*100)</f>
        <v/>
      </c>
      <c r="D52" s="19" t="n">
        <v>301</v>
      </c>
      <c r="E52" s="18" t="n">
        <v>50.99452709</v>
      </c>
      <c r="F52" s="20" t="n">
        <v>2.70054838</v>
      </c>
      <c r="G52" s="18" t="n">
        <v>21.17741944</v>
      </c>
      <c r="H52" s="20" t="n">
        <v>2.39328588</v>
      </c>
      <c r="I52" s="18" t="n">
        <v>0</v>
      </c>
      <c r="J52" s="20" t="n">
        <v>0</v>
      </c>
      <c r="K52" s="18" t="n">
        <v>0.23864975</v>
      </c>
      <c r="L52" s="20" t="n">
        <v>0.23816299</v>
      </c>
      <c r="M52" s="18" t="n">
        <v>0</v>
      </c>
      <c r="N52" s="20" t="n">
        <v>0</v>
      </c>
      <c r="O52" s="18" t="n">
        <v>0</v>
      </c>
      <c r="P52" s="20" t="n">
        <v>0</v>
      </c>
      <c r="Q52" s="18" t="n">
        <v>27.58940372</v>
      </c>
      <c r="R52" s="20" t="n">
        <v>2.46569668</v>
      </c>
    </row>
    <row r="53" spans="1:18">
      <c r="A53" s="15" t="s">
        <v>612</v>
      </c>
      <c r="B53" s="17" t="n">
        <v>2474</v>
      </c>
      <c r="C53" s="18">
        <f>(2194.0/B53*100)</f>
        <v/>
      </c>
      <c r="D53" s="19" t="n">
        <v>280</v>
      </c>
      <c r="E53" s="18" t="n">
        <v>62.38047223</v>
      </c>
      <c r="F53" s="20" t="n">
        <v>3.18075291</v>
      </c>
      <c r="G53" s="18" t="n">
        <v>5.07835997</v>
      </c>
      <c r="H53" s="20" t="n">
        <v>1.28281572</v>
      </c>
      <c r="I53" s="18" t="n">
        <v>0</v>
      </c>
      <c r="J53" s="20" t="n">
        <v>0</v>
      </c>
      <c r="K53" s="18" t="n">
        <v>9.197862020000001</v>
      </c>
      <c r="L53" s="20" t="n">
        <v>2.20023049</v>
      </c>
      <c r="M53" s="18" t="n">
        <v>0.78954116</v>
      </c>
      <c r="N53" s="20" t="n">
        <v>0.8528979799999999</v>
      </c>
      <c r="O53" s="18" t="n">
        <v>0</v>
      </c>
      <c r="P53" s="20" t="n">
        <v>0</v>
      </c>
      <c r="Q53" s="18" t="n">
        <v>22.55376462</v>
      </c>
      <c r="R53" s="20" t="n">
        <v>2.63314664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(2393.0/B55*100)</f>
        <v/>
      </c>
      <c r="D55" s="19" t="n">
        <v>282</v>
      </c>
      <c r="E55" s="18" t="n">
        <v>39.31745525</v>
      </c>
      <c r="F55" s="20" t="n">
        <v>2.93690134</v>
      </c>
      <c r="G55" s="18" t="n">
        <v>56.06877599</v>
      </c>
      <c r="H55" s="20" t="n">
        <v>2.59432262</v>
      </c>
      <c r="I55" s="18" t="n">
        <v>0</v>
      </c>
      <c r="J55" s="20" t="n">
        <v>0</v>
      </c>
      <c r="K55" s="18" t="n">
        <v>0</v>
      </c>
      <c r="L55" s="20" t="n">
        <v>0</v>
      </c>
      <c r="M55" s="18" t="n">
        <v>0</v>
      </c>
      <c r="N55" s="20" t="n">
        <v>0</v>
      </c>
      <c r="O55" s="18" t="n">
        <v>0</v>
      </c>
      <c r="P55" s="20" t="n">
        <v>0</v>
      </c>
      <c r="Q55" s="18" t="n">
        <v>4.61376876</v>
      </c>
      <c r="R55" s="20" t="n">
        <v>1.235837</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(2854.0/B61*100)</f>
        <v/>
      </c>
      <c r="D61" s="19" t="n">
        <v>347</v>
      </c>
      <c r="E61" s="18" t="n">
        <v>43.35720626</v>
      </c>
      <c r="F61" s="20" t="n">
        <v>2.69554346</v>
      </c>
      <c r="G61" s="18" t="n">
        <v>30.3926704</v>
      </c>
      <c r="H61" s="20" t="n">
        <v>2.74190854</v>
      </c>
      <c r="I61" s="18" t="n">
        <v>0</v>
      </c>
      <c r="J61" s="20" t="n">
        <v>0</v>
      </c>
      <c r="K61" s="18" t="n">
        <v>0.80215066</v>
      </c>
      <c r="L61" s="20" t="n">
        <v>0.78923861</v>
      </c>
      <c r="M61" s="18" t="n">
        <v>0</v>
      </c>
      <c r="N61" s="20" t="n">
        <v>0</v>
      </c>
      <c r="O61" s="18" t="n">
        <v>0</v>
      </c>
      <c r="P61" s="20" t="n">
        <v>0</v>
      </c>
      <c r="Q61" s="18" t="n">
        <v>25.44797268</v>
      </c>
      <c r="R61" s="20" t="n">
        <v>2.50204805</v>
      </c>
    </row>
    <row r="62" spans="1:18">
      <c r="A62" s="15" t="s">
        <v>622</v>
      </c>
      <c r="B62" s="17" t="n">
        <v>2230</v>
      </c>
      <c r="C62" s="18">
        <f>(1961.0/B62*100)</f>
        <v/>
      </c>
      <c r="D62" s="19" t="n">
        <v>269</v>
      </c>
      <c r="E62" s="18" t="n">
        <v>48.77476784</v>
      </c>
      <c r="F62" s="20" t="n">
        <v>3.10325708</v>
      </c>
      <c r="G62" s="18" t="n">
        <v>46.01947681</v>
      </c>
      <c r="H62" s="20" t="n">
        <v>3.16395567</v>
      </c>
      <c r="I62" s="18" t="n">
        <v>0</v>
      </c>
      <c r="J62" s="20" t="n">
        <v>0</v>
      </c>
      <c r="K62" s="18" t="n">
        <v>0</v>
      </c>
      <c r="L62" s="20" t="n">
        <v>0</v>
      </c>
      <c r="M62" s="18" t="n">
        <v>0</v>
      </c>
      <c r="N62" s="20" t="n">
        <v>0</v>
      </c>
      <c r="O62" s="18" t="n">
        <v>0</v>
      </c>
      <c r="P62" s="20" t="n">
        <v>0</v>
      </c>
      <c r="Q62" s="18" t="n">
        <v>5.20575536</v>
      </c>
      <c r="R62" s="20" t="n">
        <v>1.50140118</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(2474.0/B67*100)</f>
        <v/>
      </c>
      <c r="D67" s="19" t="n">
        <v>297</v>
      </c>
      <c r="E67" s="18" t="n">
        <v>36.30002319</v>
      </c>
      <c r="F67" s="20" t="n">
        <v>2.83936541</v>
      </c>
      <c r="G67" s="18" t="n">
        <v>15.44309699</v>
      </c>
      <c r="H67" s="20" t="n">
        <v>2.11933143</v>
      </c>
      <c r="I67" s="18" t="n">
        <v>0</v>
      </c>
      <c r="J67" s="20" t="n">
        <v>0</v>
      </c>
      <c r="K67" s="18" t="n">
        <v>0.73168588</v>
      </c>
      <c r="L67" s="20" t="n">
        <v>0.51821879</v>
      </c>
      <c r="M67" s="18" t="n">
        <v>0.65362281</v>
      </c>
      <c r="N67" s="20" t="n">
        <v>0.46748496</v>
      </c>
      <c r="O67" s="18" t="n">
        <v>0</v>
      </c>
      <c r="P67" s="20" t="n">
        <v>0</v>
      </c>
      <c r="Q67" s="18" t="n">
        <v>46.87157112</v>
      </c>
      <c r="R67" s="20" t="n">
        <v>2.64720329</v>
      </c>
    </row>
    <row r="68" spans="1:18">
      <c r="A68" s="15" t="s">
        <v>628</v>
      </c>
      <c r="B68" s="17" t="n">
        <v>3460</v>
      </c>
      <c r="C68" s="18">
        <f>(3082.0/B68*100)</f>
        <v/>
      </c>
      <c r="D68" s="19" t="n">
        <v>378</v>
      </c>
      <c r="E68" s="18" t="n">
        <v>71.35547449000001</v>
      </c>
      <c r="F68" s="20" t="n">
        <v>2.26866538</v>
      </c>
      <c r="G68" s="18" t="n">
        <v>12.94021258</v>
      </c>
      <c r="H68" s="20" t="n">
        <v>1.72376427</v>
      </c>
      <c r="I68" s="18" t="n">
        <v>0</v>
      </c>
      <c r="J68" s="20" t="n">
        <v>0</v>
      </c>
      <c r="K68" s="18" t="n">
        <v>0.34236981</v>
      </c>
      <c r="L68" s="20" t="n">
        <v>0.3396588</v>
      </c>
      <c r="M68" s="18" t="n">
        <v>0.51285212</v>
      </c>
      <c r="N68" s="20" t="n">
        <v>0.36409809</v>
      </c>
      <c r="O68" s="18" t="n">
        <v>0</v>
      </c>
      <c r="P68" s="20" t="n">
        <v>0</v>
      </c>
      <c r="Q68" s="18" t="n">
        <v>14.84909101</v>
      </c>
      <c r="R68" s="20" t="n">
        <v>1.89903066</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(5342.0/B70*100)</f>
        <v/>
      </c>
      <c r="D70" s="19" t="n">
        <v>692</v>
      </c>
      <c r="E70" s="18" t="n">
        <v>59.66131823</v>
      </c>
      <c r="F70" s="20" t="n">
        <v>1.86103426</v>
      </c>
      <c r="G70" s="18" t="n">
        <v>25.44599841</v>
      </c>
      <c r="H70" s="20" t="n">
        <v>1.72765562</v>
      </c>
      <c r="I70" s="18" t="n">
        <v>0</v>
      </c>
      <c r="J70" s="20" t="n">
        <v>0</v>
      </c>
      <c r="K70" s="18" t="n">
        <v>0.85977141</v>
      </c>
      <c r="L70" s="20" t="n">
        <v>0.40892493</v>
      </c>
      <c r="M70" s="18" t="n">
        <v>0</v>
      </c>
      <c r="N70" s="20" t="n">
        <v>0</v>
      </c>
      <c r="O70" s="18" t="n">
        <v>0</v>
      </c>
      <c r="P70" s="20" t="n">
        <v>0</v>
      </c>
      <c r="Q70" s="18" t="n">
        <v>14.03291195</v>
      </c>
      <c r="R70" s="20" t="n">
        <v>1.39729431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(2775.0/B72*100)</f>
        <v/>
      </c>
      <c r="D72" s="19" t="n">
        <v>332</v>
      </c>
      <c r="E72" s="18" t="n">
        <v>61.47909726</v>
      </c>
      <c r="F72" s="20" t="n">
        <v>2.48937923</v>
      </c>
      <c r="G72" s="18" t="n">
        <v>18.67210084</v>
      </c>
      <c r="H72" s="20" t="n">
        <v>2.18884637</v>
      </c>
      <c r="I72" s="18" t="n">
        <v>0</v>
      </c>
      <c r="J72" s="20" t="n">
        <v>0</v>
      </c>
      <c r="K72" s="18" t="n">
        <v>0</v>
      </c>
      <c r="L72" s="20" t="n">
        <v>0</v>
      </c>
      <c r="M72" s="18" t="n">
        <v>0</v>
      </c>
      <c r="N72" s="20" t="n">
        <v>0</v>
      </c>
      <c r="O72" s="18" t="n">
        <v>0</v>
      </c>
      <c r="P72" s="20" t="n">
        <v>0</v>
      </c>
      <c r="Q72" s="18" t="n">
        <v>19.84880189</v>
      </c>
      <c r="R72" s="20" t="n">
        <v>2.20795642</v>
      </c>
    </row>
    <row r="73" spans="1:18">
      <c r="A73" s="15" t="s">
        <v>633</v>
      </c>
      <c r="B73" s="17" t="n">
        <v>2973</v>
      </c>
      <c r="C73" s="18">
        <f>(2646.0/B73*100)</f>
        <v/>
      </c>
      <c r="D73" s="19" t="n">
        <v>327</v>
      </c>
      <c r="E73" s="18" t="n">
        <v>25.273659</v>
      </c>
      <c r="F73" s="20" t="n">
        <v>2.57369422</v>
      </c>
      <c r="G73" s="18" t="n">
        <v>70.70895993000001</v>
      </c>
      <c r="H73" s="20" t="n">
        <v>2.62088979</v>
      </c>
      <c r="I73" s="18" t="n">
        <v>0</v>
      </c>
      <c r="J73" s="20" t="n">
        <v>0</v>
      </c>
      <c r="K73" s="18" t="n">
        <v>0</v>
      </c>
      <c r="L73" s="20" t="n">
        <v>0</v>
      </c>
      <c r="M73" s="18" t="n">
        <v>0.42675644</v>
      </c>
      <c r="N73" s="20" t="n">
        <v>0.43046196</v>
      </c>
      <c r="O73" s="18" t="n">
        <v>0</v>
      </c>
      <c r="P73" s="20" t="n">
        <v>0</v>
      </c>
      <c r="Q73" s="18" t="n">
        <v>3.59062462</v>
      </c>
      <c r="R73" s="20" t="n">
        <v>0.9531549499999999</v>
      </c>
    </row>
    <row r="74" spans="1:18">
      <c r="A74" s="15" t="s">
        <v>634</v>
      </c>
      <c r="B74" s="17" t="n">
        <v>3819</v>
      </c>
      <c r="C74" s="18">
        <f>(3392.0/B74*100)</f>
        <v/>
      </c>
      <c r="D74" s="19" t="n">
        <v>427</v>
      </c>
      <c r="E74" s="18" t="n">
        <v>39.32891387</v>
      </c>
      <c r="F74" s="20" t="n">
        <v>2.54508149</v>
      </c>
      <c r="G74" s="18" t="n">
        <v>48.60442754</v>
      </c>
      <c r="H74" s="20" t="n">
        <v>2.21898451</v>
      </c>
      <c r="I74" s="18" t="n">
        <v>0</v>
      </c>
      <c r="J74" s="20" t="n">
        <v>0</v>
      </c>
      <c r="K74" s="18" t="n">
        <v>0</v>
      </c>
      <c r="L74" s="20" t="n">
        <v>0</v>
      </c>
      <c r="M74" s="18" t="n">
        <v>0</v>
      </c>
      <c r="N74" s="20" t="n">
        <v>0</v>
      </c>
      <c r="O74" s="18" t="n">
        <v>0</v>
      </c>
      <c r="P74" s="20" t="n">
        <v>0</v>
      </c>
      <c r="Q74" s="18" t="n">
        <v>12.06665859</v>
      </c>
      <c r="R74" s="20" t="n">
        <v>1.61811862</v>
      </c>
    </row>
    <row r="75" spans="1:18">
      <c r="A75" s="15" t="s">
        <v>635</v>
      </c>
      <c r="B75" s="17" t="n">
        <v>4652</v>
      </c>
      <c r="C75" s="18">
        <f>(4153.0/B75*100)</f>
        <v/>
      </c>
      <c r="D75" s="19" t="n">
        <v>499</v>
      </c>
      <c r="E75" s="18" t="n">
        <v>90.43763730000001</v>
      </c>
      <c r="F75" s="20" t="n">
        <v>1.62384389</v>
      </c>
      <c r="G75" s="18" t="n">
        <v>5.72200186</v>
      </c>
      <c r="H75" s="20" t="n">
        <v>1.22358772</v>
      </c>
      <c r="I75" s="18" t="n">
        <v>0</v>
      </c>
      <c r="J75" s="20" t="n">
        <v>0</v>
      </c>
      <c r="K75" s="18" t="n">
        <v>0</v>
      </c>
      <c r="L75" s="20" t="n">
        <v>0</v>
      </c>
      <c r="M75" s="18" t="n">
        <v>0.45113579</v>
      </c>
      <c r="N75" s="20" t="n">
        <v>0.43914946</v>
      </c>
      <c r="O75" s="18" t="n">
        <v>0</v>
      </c>
      <c r="P75" s="20" t="n">
        <v>0</v>
      </c>
      <c r="Q75" s="18" t="n">
        <v>3.38922505</v>
      </c>
      <c r="R75" s="20" t="n">
        <v>1.1963752</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(2647.0/B77*100)</f>
        <v/>
      </c>
      <c r="D77" s="19" t="n">
        <v>322</v>
      </c>
      <c r="E77" s="18" t="n">
        <v>57.36422327</v>
      </c>
      <c r="F77" s="20" t="n">
        <v>3.47471796</v>
      </c>
      <c r="G77" s="18" t="n">
        <v>8.60904575</v>
      </c>
      <c r="H77" s="20" t="n">
        <v>1.56960427</v>
      </c>
      <c r="I77" s="18" t="n">
        <v>0</v>
      </c>
      <c r="J77" s="20" t="n">
        <v>0</v>
      </c>
      <c r="K77" s="18" t="n">
        <v>1.64302516</v>
      </c>
      <c r="L77" s="20" t="n">
        <v>0.73178591</v>
      </c>
      <c r="M77" s="18" t="n">
        <v>0.9572743500000001</v>
      </c>
      <c r="N77" s="20" t="n">
        <v>0.56366813</v>
      </c>
      <c r="O77" s="18" t="n">
        <v>0</v>
      </c>
      <c r="P77" s="20" t="n">
        <v>0</v>
      </c>
      <c r="Q77" s="18" t="n">
        <v>31.42643148</v>
      </c>
      <c r="R77" s="20" t="n">
        <v>3.18195229</v>
      </c>
    </row>
    <row r="78" spans="1:18">
      <c r="A78" s="15" t="s">
        <v>638</v>
      </c>
      <c r="B78" s="17" t="n">
        <v>7115</v>
      </c>
      <c r="C78" s="18">
        <f>(6349.0/B78*100)</f>
        <v/>
      </c>
      <c r="D78" s="19" t="n">
        <v>766</v>
      </c>
      <c r="E78" s="18" t="n">
        <v>68.43267118</v>
      </c>
      <c r="F78" s="20" t="n">
        <v>2.12490463</v>
      </c>
      <c r="G78" s="18" t="n">
        <v>25.58572271</v>
      </c>
      <c r="H78" s="20" t="n">
        <v>1.90340724</v>
      </c>
      <c r="I78" s="18" t="n">
        <v>0</v>
      </c>
      <c r="J78" s="20" t="n">
        <v>0</v>
      </c>
      <c r="K78" s="18" t="n">
        <v>0.0643509</v>
      </c>
      <c r="L78" s="20" t="n">
        <v>0.06450754</v>
      </c>
      <c r="M78" s="18" t="n">
        <v>0.19627702</v>
      </c>
      <c r="N78" s="20" t="n">
        <v>0.14192686</v>
      </c>
      <c r="O78" s="18" t="n">
        <v>0</v>
      </c>
      <c r="P78" s="20" t="n">
        <v>0</v>
      </c>
      <c r="Q78" s="18" t="n">
        <v>5.72097819</v>
      </c>
      <c r="R78" s="20" t="n">
        <v>1.10624334</v>
      </c>
    </row>
    <row r="79" spans="1:18">
      <c r="A79" s="15" t="s">
        <v>639</v>
      </c>
      <c r="B79" s="17" t="n">
        <v>3154</v>
      </c>
      <c r="C79" s="18">
        <f>(2807.0/B79*100)</f>
        <v/>
      </c>
      <c r="D79" s="19" t="n">
        <v>347</v>
      </c>
      <c r="E79" s="18" t="n">
        <v>35.57320276</v>
      </c>
      <c r="F79" s="20" t="n">
        <v>2.08502766</v>
      </c>
      <c r="G79" s="18" t="n">
        <v>26.41265754</v>
      </c>
      <c r="H79" s="20" t="n">
        <v>2.26179337</v>
      </c>
      <c r="I79" s="18" t="n">
        <v>0</v>
      </c>
      <c r="J79" s="20" t="n">
        <v>0</v>
      </c>
      <c r="K79" s="18" t="n">
        <v>0.328036</v>
      </c>
      <c r="L79" s="20" t="n">
        <v>0.33854702</v>
      </c>
      <c r="M79" s="18" t="n">
        <v>0</v>
      </c>
      <c r="N79" s="20" t="n">
        <v>0</v>
      </c>
      <c r="O79" s="18" t="n">
        <v>0</v>
      </c>
      <c r="P79" s="20" t="n">
        <v>0</v>
      </c>
      <c r="Q79" s="18" t="n">
        <v>37.6861037</v>
      </c>
      <c r="R79" s="20" t="n">
        <v>2.71915718</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(14173.0/B82*100)</f>
        <v/>
      </c>
      <c r="D82" s="19" t="n">
        <v>1788</v>
      </c>
      <c r="E82" s="18" t="n">
        <v>40.96103616</v>
      </c>
      <c r="F82" s="20" t="n">
        <v>2.02575909</v>
      </c>
      <c r="G82" s="18" t="n">
        <v>39.79684459</v>
      </c>
      <c r="H82" s="20" t="n">
        <v>1.86720514</v>
      </c>
      <c r="I82" s="18" t="n">
        <v>0</v>
      </c>
      <c r="J82" s="20" t="n">
        <v>0</v>
      </c>
      <c r="K82" s="18" t="n">
        <v>0</v>
      </c>
      <c r="L82" s="20" t="n">
        <v>0</v>
      </c>
      <c r="M82" s="18" t="n">
        <v>0.17776447</v>
      </c>
      <c r="N82" s="20" t="n">
        <v>0.17654897</v>
      </c>
      <c r="O82" s="18" t="n">
        <v>0</v>
      </c>
      <c r="P82" s="20" t="n">
        <v>0</v>
      </c>
      <c r="Q82" s="18" t="n">
        <v>19.06435478</v>
      </c>
      <c r="R82" s="20" t="n">
        <v>1.54592236</v>
      </c>
    </row>
    <row r="83" spans="1:18">
      <c r="A83" s="15" t="s">
        <v>643</v>
      </c>
      <c r="B83" s="17" t="n">
        <v>808</v>
      </c>
      <c r="C83" s="18">
        <f>(707.0/B83*100)</f>
        <v/>
      </c>
      <c r="D83" s="19" t="n">
        <v>101</v>
      </c>
      <c r="E83" s="18" t="n">
        <v>34.21534064</v>
      </c>
      <c r="F83" s="20" t="n">
        <v>4.68569563</v>
      </c>
      <c r="G83" s="18" t="n">
        <v>63.19581891</v>
      </c>
      <c r="H83" s="20" t="n">
        <v>4.63323631</v>
      </c>
      <c r="I83" s="18" t="n">
        <v>0</v>
      </c>
      <c r="J83" s="20" t="n">
        <v>0</v>
      </c>
      <c r="K83" s="18" t="n">
        <v>0</v>
      </c>
      <c r="L83" s="20" t="n">
        <v>0</v>
      </c>
      <c r="M83" s="18" t="n">
        <v>0</v>
      </c>
      <c r="N83" s="20" t="n">
        <v>0</v>
      </c>
      <c r="O83" s="18" t="n">
        <v>0</v>
      </c>
      <c r="P83" s="20" t="n">
        <v>0</v>
      </c>
      <c r="Q83" s="18" t="n">
        <v>2.58884045</v>
      </c>
      <c r="R83" s="20" t="n">
        <v>1.40096393</v>
      </c>
    </row>
    <row r="84" spans="1:18">
      <c r="A84" s="23" t="s">
        <v>644</v>
      </c>
      <c r="B84" s="24" t="n">
        <v>938</v>
      </c>
      <c r="C84" s="25">
        <f>(833.0/B84*100)</f>
        <v/>
      </c>
      <c r="D84" s="19" t="n">
        <v>105</v>
      </c>
      <c r="E84" s="18" t="n">
        <v>43.20248444</v>
      </c>
      <c r="F84" s="20" t="n">
        <v>3.9448235</v>
      </c>
      <c r="G84" s="18" t="n">
        <v>53.23767667</v>
      </c>
      <c r="H84" s="20" t="n">
        <v>3.99831577</v>
      </c>
      <c r="I84" s="18" t="n">
        <v>0</v>
      </c>
      <c r="J84" s="20" t="n">
        <v>0</v>
      </c>
      <c r="K84" s="18" t="n">
        <v>0</v>
      </c>
      <c r="L84" s="20" t="n">
        <v>0</v>
      </c>
      <c r="M84" s="18" t="n">
        <v>0</v>
      </c>
      <c r="N84" s="20" t="n">
        <v>0</v>
      </c>
      <c r="O84" s="18" t="n">
        <v>0</v>
      </c>
      <c r="P84" s="20" t="n">
        <v>0</v>
      </c>
      <c r="Q84" s="18" t="n">
        <v>3.55983889</v>
      </c>
      <c r="R84" s="20" t="n">
        <v>1.9056962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(6374.0/B7*100)</f>
        <v/>
      </c>
      <c r="D7" s="19" t="n">
        <v>789</v>
      </c>
      <c r="E7" s="18" t="n">
        <v>47.59270168</v>
      </c>
      <c r="F7" s="20" t="n">
        <v>2.17937382</v>
      </c>
      <c r="G7" s="18" t="n">
        <v>51.99460169</v>
      </c>
      <c r="H7" s="20" t="n">
        <v>2.18006899</v>
      </c>
      <c r="I7" s="18" t="n">
        <v>0</v>
      </c>
      <c r="J7" s="20" t="n">
        <v>0</v>
      </c>
      <c r="K7" s="18" t="n">
        <v>0.03168109</v>
      </c>
      <c r="L7" s="20" t="n">
        <v>0.0235942</v>
      </c>
      <c r="M7" s="18" t="n">
        <v>0</v>
      </c>
      <c r="N7" s="20" t="n">
        <v>0</v>
      </c>
      <c r="O7" s="18" t="n">
        <v>0</v>
      </c>
      <c r="P7" s="20" t="n">
        <v>0</v>
      </c>
      <c r="Q7" s="18" t="n">
        <v>0.38101553</v>
      </c>
      <c r="R7" s="20" t="n">
        <v>0.16345338</v>
      </c>
    </row>
    <row r="8" spans="1:18">
      <c r="A8" s="15" t="s">
        <v>566</v>
      </c>
      <c r="B8" s="17" t="n">
        <v>3443</v>
      </c>
      <c r="C8" s="18">
        <f>(3088.0/B8*100)</f>
        <v/>
      </c>
      <c r="D8" s="19" t="n">
        <v>355</v>
      </c>
      <c r="E8" s="18" t="n">
        <v>53.28463114</v>
      </c>
      <c r="F8" s="20" t="n">
        <v>2.67469584</v>
      </c>
      <c r="G8" s="18" t="n">
        <v>46.61234304</v>
      </c>
      <c r="H8" s="20" t="n">
        <v>2.67138722</v>
      </c>
      <c r="I8" s="18" t="n">
        <v>0</v>
      </c>
      <c r="J8" s="20" t="n">
        <v>0</v>
      </c>
      <c r="K8" s="18" t="n">
        <v>0.10302582</v>
      </c>
      <c r="L8" s="20" t="n">
        <v>0.10255822</v>
      </c>
      <c r="M8" s="18" t="n">
        <v>0</v>
      </c>
      <c r="N8" s="20" t="n">
        <v>0</v>
      </c>
      <c r="O8" s="18" t="n">
        <v>0</v>
      </c>
      <c r="P8" s="20" t="n">
        <v>0</v>
      </c>
      <c r="Q8" s="18" t="n">
        <v>0</v>
      </c>
      <c r="R8" s="20" t="n">
        <v>0</v>
      </c>
    </row>
    <row r="9" spans="1:18">
      <c r="A9" s="15" t="s">
        <v>567</v>
      </c>
      <c r="B9" s="17" t="n">
        <v>4752</v>
      </c>
      <c r="C9" s="18">
        <f>(4238.0/B9*100)</f>
        <v/>
      </c>
      <c r="D9" s="19" t="n">
        <v>514</v>
      </c>
      <c r="E9" s="18" t="n">
        <v>55.66455417</v>
      </c>
      <c r="F9" s="20" t="n">
        <v>2.17849268</v>
      </c>
      <c r="G9" s="18" t="n">
        <v>43.88263878</v>
      </c>
      <c r="H9" s="20" t="n">
        <v>2.2060666</v>
      </c>
      <c r="I9" s="18" t="n">
        <v>0</v>
      </c>
      <c r="J9" s="20" t="n">
        <v>0</v>
      </c>
      <c r="K9" s="18" t="n">
        <v>0</v>
      </c>
      <c r="L9" s="20" t="n">
        <v>0</v>
      </c>
      <c r="M9" s="18" t="n">
        <v>0</v>
      </c>
      <c r="N9" s="20" t="n">
        <v>0</v>
      </c>
      <c r="O9" s="18" t="n">
        <v>0</v>
      </c>
      <c r="P9" s="20" t="n">
        <v>0</v>
      </c>
      <c r="Q9" s="18" t="n">
        <v>0.45280705</v>
      </c>
      <c r="R9" s="20" t="n">
        <v>0.27420577</v>
      </c>
    </row>
    <row r="10" spans="1:18">
      <c r="A10" s="15" t="s">
        <v>568</v>
      </c>
      <c r="B10" s="17" t="n">
        <v>10022</v>
      </c>
      <c r="C10" s="18">
        <f>(8893.0/B10*100)</f>
        <v/>
      </c>
      <c r="D10" s="19" t="n">
        <v>1129</v>
      </c>
      <c r="E10" s="18" t="n">
        <v>44.10845355</v>
      </c>
      <c r="F10" s="20" t="n">
        <v>1.99984461</v>
      </c>
      <c r="G10" s="18" t="n">
        <v>55.50645454</v>
      </c>
      <c r="H10" s="20" t="n">
        <v>2.02606842</v>
      </c>
      <c r="I10" s="18" t="n">
        <v>0</v>
      </c>
      <c r="J10" s="20" t="n">
        <v>0</v>
      </c>
      <c r="K10" s="18" t="n">
        <v>0.34991767</v>
      </c>
      <c r="L10" s="20" t="n">
        <v>0.30854718</v>
      </c>
      <c r="M10" s="18" t="n">
        <v>0</v>
      </c>
      <c r="N10" s="20" t="n">
        <v>0</v>
      </c>
      <c r="O10" s="18" t="n">
        <v>0</v>
      </c>
      <c r="P10" s="20" t="n">
        <v>0</v>
      </c>
      <c r="Q10" s="18" t="n">
        <v>0.03517425</v>
      </c>
      <c r="R10" s="20" t="n">
        <v>0.02519687</v>
      </c>
    </row>
    <row r="11" spans="1:18">
      <c r="A11" s="15" t="s">
        <v>569</v>
      </c>
      <c r="B11" s="17" t="n">
        <v>3500</v>
      </c>
      <c r="C11" s="18">
        <f>(3088.0/B11*100)</f>
        <v/>
      </c>
      <c r="D11" s="19" t="n">
        <v>412</v>
      </c>
      <c r="E11" s="18" t="n">
        <v>50.21303279</v>
      </c>
      <c r="F11" s="20" t="n">
        <v>2.74482084</v>
      </c>
      <c r="G11" s="18" t="n">
        <v>47.72296464</v>
      </c>
      <c r="H11" s="20" t="n">
        <v>2.73051929</v>
      </c>
      <c r="I11" s="18" t="n">
        <v>0</v>
      </c>
      <c r="J11" s="20" t="n">
        <v>0</v>
      </c>
      <c r="K11" s="18" t="n">
        <v>1.23930857</v>
      </c>
      <c r="L11" s="20" t="n">
        <v>0.75630094</v>
      </c>
      <c r="M11" s="18" t="n">
        <v>0</v>
      </c>
      <c r="N11" s="20" t="n">
        <v>0</v>
      </c>
      <c r="O11" s="18" t="n">
        <v>0</v>
      </c>
      <c r="P11" s="20" t="n">
        <v>0</v>
      </c>
      <c r="Q11" s="18" t="n">
        <v>0.82469399</v>
      </c>
      <c r="R11" s="20" t="n">
        <v>0.45325297</v>
      </c>
    </row>
    <row r="12" spans="1:18">
      <c r="A12" s="15" t="s">
        <v>570</v>
      </c>
      <c r="B12" s="17" t="n">
        <v>3422</v>
      </c>
      <c r="C12" s="18">
        <f>(3033.0/B12*100)</f>
        <v/>
      </c>
      <c r="D12" s="19" t="n">
        <v>389</v>
      </c>
      <c r="E12" s="18" t="n">
        <v>50.77773242</v>
      </c>
      <c r="F12" s="20" t="n">
        <v>2.72561723</v>
      </c>
      <c r="G12" s="18" t="n">
        <v>48.75286586</v>
      </c>
      <c r="H12" s="20" t="n">
        <v>2.78508747</v>
      </c>
      <c r="I12" s="18" t="n">
        <v>0</v>
      </c>
      <c r="J12" s="20" t="n">
        <v>0</v>
      </c>
      <c r="K12" s="18" t="n">
        <v>0</v>
      </c>
      <c r="L12" s="20" t="n">
        <v>0</v>
      </c>
      <c r="M12" s="18" t="n">
        <v>0</v>
      </c>
      <c r="N12" s="20" t="n">
        <v>0</v>
      </c>
      <c r="O12" s="18" t="n">
        <v>0</v>
      </c>
      <c r="P12" s="20" t="n">
        <v>0</v>
      </c>
      <c r="Q12" s="18" t="n">
        <v>0.46940172</v>
      </c>
      <c r="R12" s="20" t="n">
        <v>0.33971768</v>
      </c>
    </row>
    <row r="13" spans="1:18">
      <c r="A13" s="15" t="s">
        <v>571</v>
      </c>
      <c r="B13" s="17" t="n">
        <v>3602</v>
      </c>
      <c r="C13" s="18">
        <f>(3250.0/B13*100)</f>
        <v/>
      </c>
      <c r="D13" s="19" t="n">
        <v>352</v>
      </c>
      <c r="E13" s="18" t="n">
        <v>54.25435031</v>
      </c>
      <c r="F13" s="20" t="n">
        <v>3.42698832</v>
      </c>
      <c r="G13" s="18" t="n">
        <v>45.59347381</v>
      </c>
      <c r="H13" s="20" t="n">
        <v>3.43906216</v>
      </c>
      <c r="I13" s="18" t="n">
        <v>0</v>
      </c>
      <c r="J13" s="20" t="n">
        <v>0</v>
      </c>
      <c r="K13" s="18" t="n">
        <v>0.15217588</v>
      </c>
      <c r="L13" s="20" t="n">
        <v>0.11735809</v>
      </c>
      <c r="M13" s="18" t="n">
        <v>0</v>
      </c>
      <c r="N13" s="20" t="n">
        <v>0</v>
      </c>
      <c r="O13" s="18" t="n">
        <v>0</v>
      </c>
      <c r="P13" s="20" t="n">
        <v>0</v>
      </c>
      <c r="Q13" s="18" t="n">
        <v>0</v>
      </c>
      <c r="R13" s="20" t="n">
        <v>0</v>
      </c>
    </row>
    <row r="14" spans="1:18">
      <c r="A14" s="15" t="s">
        <v>572</v>
      </c>
      <c r="B14" s="17" t="n">
        <v>2788</v>
      </c>
      <c r="C14" s="18">
        <f>(2469.0/B14*100)</f>
        <v/>
      </c>
      <c r="D14" s="19" t="n">
        <v>319</v>
      </c>
      <c r="E14" s="18" t="n">
        <v>53.68573255</v>
      </c>
      <c r="F14" s="20" t="n">
        <v>3.00839478</v>
      </c>
      <c r="G14" s="18" t="n">
        <v>46.31426745</v>
      </c>
      <c r="H14" s="20" t="n">
        <v>3.00839478</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(2538.0/B15*100)</f>
        <v/>
      </c>
      <c r="D15" s="19" t="n">
        <v>325</v>
      </c>
      <c r="E15" s="18" t="n">
        <v>32.8163854</v>
      </c>
      <c r="F15" s="20" t="n">
        <v>2.91328251</v>
      </c>
      <c r="G15" s="18" t="n">
        <v>66.88863297</v>
      </c>
      <c r="H15" s="20" t="n">
        <v>2.88645483</v>
      </c>
      <c r="I15" s="18" t="n">
        <v>0</v>
      </c>
      <c r="J15" s="20" t="n">
        <v>0</v>
      </c>
      <c r="K15" s="18" t="n">
        <v>0</v>
      </c>
      <c r="L15" s="20" t="n">
        <v>0</v>
      </c>
      <c r="M15" s="18" t="n">
        <v>0</v>
      </c>
      <c r="N15" s="20" t="n">
        <v>0</v>
      </c>
      <c r="O15" s="18" t="n">
        <v>0</v>
      </c>
      <c r="P15" s="20" t="n">
        <v>0</v>
      </c>
      <c r="Q15" s="18" t="n">
        <v>0.29498163</v>
      </c>
      <c r="R15" s="20" t="n">
        <v>0.29537391</v>
      </c>
    </row>
    <row r="16" spans="1:18">
      <c r="A16" s="15" t="s">
        <v>574</v>
      </c>
      <c r="B16" s="17" t="n">
        <v>3111</v>
      </c>
      <c r="C16" s="18">
        <f>(2749.0/B16*100)</f>
        <v/>
      </c>
      <c r="D16" s="19" t="n">
        <v>362</v>
      </c>
      <c r="E16" s="18" t="n">
        <v>62.83934602</v>
      </c>
      <c r="F16" s="20" t="n">
        <v>2.34782046</v>
      </c>
      <c r="G16" s="18" t="n">
        <v>36.19376251</v>
      </c>
      <c r="H16" s="20" t="n">
        <v>2.37001556</v>
      </c>
      <c r="I16" s="18" t="n">
        <v>0</v>
      </c>
      <c r="J16" s="20" t="n">
        <v>0</v>
      </c>
      <c r="K16" s="18" t="n">
        <v>0</v>
      </c>
      <c r="L16" s="20" t="n">
        <v>0</v>
      </c>
      <c r="M16" s="18" t="n">
        <v>0</v>
      </c>
      <c r="N16" s="20" t="n">
        <v>0</v>
      </c>
      <c r="O16" s="18" t="n">
        <v>0</v>
      </c>
      <c r="P16" s="20" t="n">
        <v>0</v>
      </c>
      <c r="Q16" s="18" t="n">
        <v>0.96689147</v>
      </c>
      <c r="R16" s="20" t="n">
        <v>0.49021663</v>
      </c>
    </row>
    <row r="17" spans="1:18">
      <c r="A17" s="15" t="s">
        <v>575</v>
      </c>
      <c r="B17" s="17" t="n">
        <v>3197</v>
      </c>
      <c r="C17" s="18">
        <f>(2849.0/B17*100)</f>
        <v/>
      </c>
      <c r="D17" s="19" t="n">
        <v>348</v>
      </c>
      <c r="E17" s="18" t="n">
        <v>61.60328523</v>
      </c>
      <c r="F17" s="20" t="n">
        <v>2.60933758</v>
      </c>
      <c r="G17" s="18" t="n">
        <v>37.69133753</v>
      </c>
      <c r="H17" s="20" t="n">
        <v>2.56999394</v>
      </c>
      <c r="I17" s="18" t="n">
        <v>0</v>
      </c>
      <c r="J17" s="20" t="n">
        <v>0</v>
      </c>
      <c r="K17" s="18" t="n">
        <v>0</v>
      </c>
      <c r="L17" s="20" t="n">
        <v>0</v>
      </c>
      <c r="M17" s="18" t="n">
        <v>0</v>
      </c>
      <c r="N17" s="20" t="n">
        <v>0</v>
      </c>
      <c r="O17" s="18" t="n">
        <v>0</v>
      </c>
      <c r="P17" s="20" t="n">
        <v>0</v>
      </c>
      <c r="Q17" s="18" t="n">
        <v>0.70537724</v>
      </c>
      <c r="R17" s="20" t="n">
        <v>0.43729281</v>
      </c>
    </row>
    <row r="18" spans="1:18">
      <c r="A18" s="15" t="s">
        <v>576</v>
      </c>
      <c r="B18" s="17" t="n">
        <v>2706</v>
      </c>
      <c r="C18" s="18">
        <f>(2407.0/B18*100)</f>
        <v/>
      </c>
      <c r="D18" s="19" t="n">
        <v>299</v>
      </c>
      <c r="E18" s="18" t="n">
        <v>70.50382731000001</v>
      </c>
      <c r="F18" s="20" t="n">
        <v>2.91081152</v>
      </c>
      <c r="G18" s="18" t="n">
        <v>29.04189738</v>
      </c>
      <c r="H18" s="20" t="n">
        <v>2.91729148</v>
      </c>
      <c r="I18" s="18" t="n">
        <v>0</v>
      </c>
      <c r="J18" s="20" t="n">
        <v>0</v>
      </c>
      <c r="K18" s="18" t="n">
        <v>0.27585986</v>
      </c>
      <c r="L18" s="20" t="n">
        <v>0.26997879</v>
      </c>
      <c r="M18" s="18" t="n">
        <v>0</v>
      </c>
      <c r="N18" s="20" t="n">
        <v>0</v>
      </c>
      <c r="O18" s="18" t="n">
        <v>0</v>
      </c>
      <c r="P18" s="20" t="n">
        <v>0</v>
      </c>
      <c r="Q18" s="18" t="n">
        <v>0.17841545</v>
      </c>
      <c r="R18" s="20" t="n">
        <v>0.17854893</v>
      </c>
    </row>
    <row r="19" spans="1:18">
      <c r="A19" s="15" t="s">
        <v>577</v>
      </c>
      <c r="B19" s="17" t="n">
        <v>2850</v>
      </c>
      <c r="C19" s="18">
        <f>(2560.0/B19*100)</f>
        <v/>
      </c>
      <c r="D19" s="19" t="n">
        <v>290</v>
      </c>
      <c r="E19" s="18" t="n">
        <v>54.82028399</v>
      </c>
      <c r="F19" s="20" t="n">
        <v>3.30685308</v>
      </c>
      <c r="G19" s="18" t="n">
        <v>45.17971601</v>
      </c>
      <c r="H19" s="20" t="n">
        <v>3.30685308</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(1548.0/B20*100)</f>
        <v/>
      </c>
      <c r="D20" s="19" t="n">
        <v>193</v>
      </c>
      <c r="E20" s="18" t="n">
        <v>48.46109062</v>
      </c>
      <c r="F20" s="20" t="n">
        <v>3.41951772</v>
      </c>
      <c r="G20" s="18" t="n">
        <v>50.45135285</v>
      </c>
      <c r="H20" s="20" t="n">
        <v>3.42856468</v>
      </c>
      <c r="I20" s="18" t="n">
        <v>0</v>
      </c>
      <c r="J20" s="20" t="n">
        <v>0</v>
      </c>
      <c r="K20" s="18" t="n">
        <v>0.48405624</v>
      </c>
      <c r="L20" s="20" t="n">
        <v>0.48436783</v>
      </c>
      <c r="M20" s="18" t="n">
        <v>0</v>
      </c>
      <c r="N20" s="20" t="n">
        <v>0</v>
      </c>
      <c r="O20" s="18" t="n">
        <v>0</v>
      </c>
      <c r="P20" s="20" t="n">
        <v>0</v>
      </c>
      <c r="Q20" s="18" t="n">
        <v>0.6035003</v>
      </c>
      <c r="R20" s="20" t="n">
        <v>0.61156918</v>
      </c>
    </row>
    <row r="21" spans="1:18">
      <c r="A21" s="15" t="s">
        <v>579</v>
      </c>
      <c r="B21" s="17" t="n">
        <v>2833</v>
      </c>
      <c r="C21" s="18">
        <f>(2556.0/B21*100)</f>
        <v/>
      </c>
      <c r="D21" s="19" t="n">
        <v>277</v>
      </c>
      <c r="E21" s="18" t="n">
        <v>56.82746718</v>
      </c>
      <c r="F21" s="20" t="n">
        <v>3.40918886</v>
      </c>
      <c r="G21" s="18" t="n">
        <v>42.63903979</v>
      </c>
      <c r="H21" s="20" t="n">
        <v>3.45295335</v>
      </c>
      <c r="I21" s="18" t="n">
        <v>0</v>
      </c>
      <c r="J21" s="20" t="n">
        <v>0</v>
      </c>
      <c r="K21" s="18" t="n">
        <v>0</v>
      </c>
      <c r="L21" s="20" t="n">
        <v>0</v>
      </c>
      <c r="M21" s="18" t="n">
        <v>0</v>
      </c>
      <c r="N21" s="20" t="n">
        <v>0</v>
      </c>
      <c r="O21" s="18" t="n">
        <v>0</v>
      </c>
      <c r="P21" s="20" t="n">
        <v>0</v>
      </c>
      <c r="Q21" s="18" t="n">
        <v>0.53349303</v>
      </c>
      <c r="R21" s="20" t="n">
        <v>0.52392267</v>
      </c>
    </row>
    <row r="22" spans="1:18">
      <c r="A22" s="15" t="s">
        <v>580</v>
      </c>
      <c r="B22" s="17" t="n">
        <v>3667</v>
      </c>
      <c r="C22" s="18">
        <f>(3290.0/B22*100)</f>
        <v/>
      </c>
      <c r="D22" s="19" t="n">
        <v>377</v>
      </c>
      <c r="E22" s="18" t="n">
        <v>56.85960268</v>
      </c>
      <c r="F22" s="20" t="n">
        <v>2.47050954</v>
      </c>
      <c r="G22" s="18" t="n">
        <v>41.80937536</v>
      </c>
      <c r="H22" s="20" t="n">
        <v>2.45584617</v>
      </c>
      <c r="I22" s="18" t="n">
        <v>0</v>
      </c>
      <c r="J22" s="20" t="n">
        <v>0</v>
      </c>
      <c r="K22" s="18" t="n">
        <v>0.26035268</v>
      </c>
      <c r="L22" s="20" t="n">
        <v>0.24869964</v>
      </c>
      <c r="M22" s="18" t="n">
        <v>0</v>
      </c>
      <c r="N22" s="20" t="n">
        <v>0</v>
      </c>
      <c r="O22" s="18" t="n">
        <v>0</v>
      </c>
      <c r="P22" s="20" t="n">
        <v>0</v>
      </c>
      <c r="Q22" s="18" t="n">
        <v>1.07066928</v>
      </c>
      <c r="R22" s="20" t="n">
        <v>0.60451637</v>
      </c>
    </row>
    <row r="23" spans="1:18">
      <c r="A23" s="15" t="s">
        <v>581</v>
      </c>
      <c r="B23" s="17" t="n">
        <v>5792</v>
      </c>
      <c r="C23" s="18">
        <f>(5128.0/B23*100)</f>
        <v/>
      </c>
      <c r="D23" s="19" t="n">
        <v>664</v>
      </c>
      <c r="E23" s="18" t="n">
        <v>72.45452557</v>
      </c>
      <c r="F23" s="20" t="n">
        <v>3.03423737</v>
      </c>
      <c r="G23" s="18" t="n">
        <v>27.04050228</v>
      </c>
      <c r="H23" s="20" t="n">
        <v>3.00211473</v>
      </c>
      <c r="I23" s="18" t="n">
        <v>0</v>
      </c>
      <c r="J23" s="20" t="n">
        <v>0</v>
      </c>
      <c r="K23" s="18" t="n">
        <v>0.00420184</v>
      </c>
      <c r="L23" s="20" t="n">
        <v>0.00424262</v>
      </c>
      <c r="M23" s="18" t="n">
        <v>0</v>
      </c>
      <c r="N23" s="20" t="n">
        <v>0</v>
      </c>
      <c r="O23" s="18" t="n">
        <v>0</v>
      </c>
      <c r="P23" s="20" t="n">
        <v>0</v>
      </c>
      <c r="Q23" s="18" t="n">
        <v>0.5007703100000001</v>
      </c>
      <c r="R23" s="20" t="n">
        <v>0.40802841</v>
      </c>
    </row>
    <row r="24" spans="1:18">
      <c r="A24" s="15" t="s">
        <v>582</v>
      </c>
      <c r="B24" s="17" t="n">
        <v>3309</v>
      </c>
      <c r="C24" s="18">
        <f>(2978.0/B24*100)</f>
        <v/>
      </c>
      <c r="D24" s="19" t="n">
        <v>331</v>
      </c>
      <c r="E24" s="18" t="n">
        <v>44.88091509</v>
      </c>
      <c r="F24" s="20" t="n">
        <v>3.07999046</v>
      </c>
      <c r="G24" s="18" t="n">
        <v>54.77875154</v>
      </c>
      <c r="H24" s="20" t="n">
        <v>3.0448573</v>
      </c>
      <c r="I24" s="18" t="n">
        <v>0</v>
      </c>
      <c r="J24" s="20" t="n">
        <v>0</v>
      </c>
      <c r="K24" s="18" t="n">
        <v>0</v>
      </c>
      <c r="L24" s="20" t="n">
        <v>0</v>
      </c>
      <c r="M24" s="18" t="n">
        <v>0</v>
      </c>
      <c r="N24" s="20" t="n">
        <v>0</v>
      </c>
      <c r="O24" s="18" t="n">
        <v>0</v>
      </c>
      <c r="P24" s="20" t="n">
        <v>0</v>
      </c>
      <c r="Q24" s="18" t="n">
        <v>0.34033338</v>
      </c>
      <c r="R24" s="20" t="n">
        <v>0.3433804</v>
      </c>
    </row>
    <row r="25" spans="1:18">
      <c r="A25" s="15" t="s">
        <v>583</v>
      </c>
      <c r="B25" s="17" t="n">
        <v>2669</v>
      </c>
      <c r="C25" s="18">
        <f>(2364.0/B25*100)</f>
        <v/>
      </c>
      <c r="D25" s="19" t="n">
        <v>305</v>
      </c>
      <c r="E25" s="18" t="n">
        <v>37.34727279</v>
      </c>
      <c r="F25" s="20" t="n">
        <v>2.98956498</v>
      </c>
      <c r="G25" s="18" t="n">
        <v>61.07813504</v>
      </c>
      <c r="H25" s="20" t="n">
        <v>3.07369303</v>
      </c>
      <c r="I25" s="18" t="n">
        <v>0</v>
      </c>
      <c r="J25" s="20" t="n">
        <v>0</v>
      </c>
      <c r="K25" s="18" t="n">
        <v>0</v>
      </c>
      <c r="L25" s="20" t="n">
        <v>0</v>
      </c>
      <c r="M25" s="18" t="n">
        <v>0</v>
      </c>
      <c r="N25" s="20" t="n">
        <v>0</v>
      </c>
      <c r="O25" s="18" t="n">
        <v>0</v>
      </c>
      <c r="P25" s="20" t="n">
        <v>0</v>
      </c>
      <c r="Q25" s="18" t="n">
        <v>1.57459217</v>
      </c>
      <c r="R25" s="20" t="n">
        <v>0.68963332</v>
      </c>
    </row>
    <row r="26" spans="1:18">
      <c r="A26" s="15" t="s">
        <v>584</v>
      </c>
      <c r="B26" s="17" t="n">
        <v>2419</v>
      </c>
      <c r="C26" s="18">
        <f>(2142.0/B26*100)</f>
        <v/>
      </c>
      <c r="D26" s="19" t="n">
        <v>277</v>
      </c>
      <c r="E26" s="18" t="n">
        <v>58.52919972</v>
      </c>
      <c r="F26" s="20" t="n">
        <v>3.15799606</v>
      </c>
      <c r="G26" s="18" t="n">
        <v>41.47080028</v>
      </c>
      <c r="H26" s="20" t="n">
        <v>3.15799606</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(2379.0/B27*100)</f>
        <v/>
      </c>
      <c r="D27" s="19" t="n">
        <v>304</v>
      </c>
      <c r="E27" s="18" t="n">
        <v>65.95247246</v>
      </c>
      <c r="F27" s="20" t="n">
        <v>2.69579958</v>
      </c>
      <c r="G27" s="18" t="n">
        <v>33.70979835</v>
      </c>
      <c r="H27" s="20" t="n">
        <v>2.66069843</v>
      </c>
      <c r="I27" s="18" t="n">
        <v>0</v>
      </c>
      <c r="J27" s="20" t="n">
        <v>0</v>
      </c>
      <c r="K27" s="18" t="n">
        <v>0</v>
      </c>
      <c r="L27" s="20" t="n">
        <v>0</v>
      </c>
      <c r="M27" s="18" t="n">
        <v>0</v>
      </c>
      <c r="N27" s="20" t="n">
        <v>0</v>
      </c>
      <c r="O27" s="18" t="n">
        <v>0</v>
      </c>
      <c r="P27" s="20" t="n">
        <v>0</v>
      </c>
      <c r="Q27" s="18" t="n">
        <v>0.3377292</v>
      </c>
      <c r="R27" s="20" t="n">
        <v>0.33546731</v>
      </c>
    </row>
    <row r="28" spans="1:18">
      <c r="A28" s="15" t="s">
        <v>586</v>
      </c>
      <c r="B28" s="17" t="n">
        <v>3803</v>
      </c>
      <c r="C28" s="18">
        <f>(3384.0/B28*100)</f>
        <v/>
      </c>
      <c r="D28" s="19" t="n">
        <v>419</v>
      </c>
      <c r="E28" s="18" t="n">
        <v>68.57682808</v>
      </c>
      <c r="F28" s="20" t="n">
        <v>2.8387405</v>
      </c>
      <c r="G28" s="18" t="n">
        <v>29.603375</v>
      </c>
      <c r="H28" s="20" t="n">
        <v>2.79298802</v>
      </c>
      <c r="I28" s="18" t="n">
        <v>0</v>
      </c>
      <c r="J28" s="20" t="n">
        <v>0</v>
      </c>
      <c r="K28" s="18" t="n">
        <v>0</v>
      </c>
      <c r="L28" s="20" t="n">
        <v>0</v>
      </c>
      <c r="M28" s="18" t="n">
        <v>0</v>
      </c>
      <c r="N28" s="20" t="n">
        <v>0</v>
      </c>
      <c r="O28" s="18" t="n">
        <v>0</v>
      </c>
      <c r="P28" s="20" t="n">
        <v>0</v>
      </c>
      <c r="Q28" s="18" t="n">
        <v>1.81979692</v>
      </c>
      <c r="R28" s="20" t="n">
        <v>0.85050849</v>
      </c>
    </row>
    <row r="29" spans="1:18">
      <c r="A29" s="15" t="s">
        <v>587</v>
      </c>
      <c r="B29" s="17" t="n">
        <v>2700</v>
      </c>
      <c r="C29" s="18">
        <f>(2422.0/B29*100)</f>
        <v/>
      </c>
      <c r="D29" s="19" t="n">
        <v>278</v>
      </c>
      <c r="E29" s="18" t="n">
        <v>51.8264219</v>
      </c>
      <c r="F29" s="20" t="n">
        <v>2.95691965</v>
      </c>
      <c r="G29" s="18" t="n">
        <v>47.33261487</v>
      </c>
      <c r="H29" s="20" t="n">
        <v>2.97822601</v>
      </c>
      <c r="I29" s="18" t="n">
        <v>0</v>
      </c>
      <c r="J29" s="20" t="n">
        <v>0</v>
      </c>
      <c r="K29" s="18" t="n">
        <v>0</v>
      </c>
      <c r="L29" s="20" t="n">
        <v>0</v>
      </c>
      <c r="M29" s="18" t="n">
        <v>0</v>
      </c>
      <c r="N29" s="20" t="n">
        <v>0</v>
      </c>
      <c r="O29" s="18" t="n">
        <v>0</v>
      </c>
      <c r="P29" s="20" t="n">
        <v>0</v>
      </c>
      <c r="Q29" s="18" t="n">
        <v>0.84096323</v>
      </c>
      <c r="R29" s="20" t="n">
        <v>0.5436809500000001</v>
      </c>
    </row>
    <row r="30" spans="1:18">
      <c r="A30" s="15" t="s">
        <v>588</v>
      </c>
      <c r="B30" s="17" t="n">
        <v>2257</v>
      </c>
      <c r="C30" s="18">
        <f>(2008.0/B30*100)</f>
        <v/>
      </c>
      <c r="D30" s="19" t="n">
        <v>249</v>
      </c>
      <c r="E30" s="18" t="n">
        <v>48.13283218</v>
      </c>
      <c r="F30" s="20" t="n">
        <v>3.34607229</v>
      </c>
      <c r="G30" s="18" t="n">
        <v>50.65726667</v>
      </c>
      <c r="H30" s="20" t="n">
        <v>3.40219914</v>
      </c>
      <c r="I30" s="18" t="n">
        <v>0</v>
      </c>
      <c r="J30" s="20" t="n">
        <v>0</v>
      </c>
      <c r="K30" s="18" t="n">
        <v>0</v>
      </c>
      <c r="L30" s="20" t="n">
        <v>0</v>
      </c>
      <c r="M30" s="18" t="n">
        <v>0</v>
      </c>
      <c r="N30" s="20" t="n">
        <v>0</v>
      </c>
      <c r="O30" s="18" t="n">
        <v>0</v>
      </c>
      <c r="P30" s="20" t="n">
        <v>0</v>
      </c>
      <c r="Q30" s="18" t="n">
        <v>1.20990115</v>
      </c>
      <c r="R30" s="20" t="n">
        <v>0.62468146</v>
      </c>
    </row>
    <row r="31" spans="1:18">
      <c r="A31" s="15" t="s">
        <v>589</v>
      </c>
      <c r="B31" s="17" t="n">
        <v>2706</v>
      </c>
      <c r="C31" s="18">
        <f>(2403.0/B31*100)</f>
        <v/>
      </c>
      <c r="D31" s="19" t="n">
        <v>303</v>
      </c>
      <c r="E31" s="18" t="n">
        <v>60.18430984</v>
      </c>
      <c r="F31" s="20" t="n">
        <v>2.9587098</v>
      </c>
      <c r="G31" s="18" t="n">
        <v>39.81569016</v>
      </c>
      <c r="H31" s="20" t="n">
        <v>2.9587098</v>
      </c>
      <c r="I31" s="18" t="n">
        <v>0</v>
      </c>
      <c r="J31" s="20" t="n">
        <v>0</v>
      </c>
      <c r="K31" s="18" t="n">
        <v>0</v>
      </c>
      <c r="L31" s="20" t="n">
        <v>0</v>
      </c>
      <c r="M31" s="18" t="n">
        <v>0</v>
      </c>
      <c r="N31" s="20" t="n">
        <v>0</v>
      </c>
      <c r="O31" s="18" t="n">
        <v>0</v>
      </c>
      <c r="P31" s="20" t="n">
        <v>0</v>
      </c>
      <c r="Q31" s="18" t="n">
        <v>0</v>
      </c>
      <c r="R31" s="20" t="n">
        <v>0</v>
      </c>
    </row>
    <row r="32" spans="1:18">
      <c r="A32" s="15" t="s">
        <v>590</v>
      </c>
      <c r="B32" s="17" t="n">
        <v>2209</v>
      </c>
      <c r="C32" s="18">
        <f>(1968.0/B32*100)</f>
        <v/>
      </c>
      <c r="D32" s="19" t="n">
        <v>241</v>
      </c>
      <c r="E32" s="18" t="n">
        <v>52.58448156</v>
      </c>
      <c r="F32" s="20" t="n">
        <v>3.3851316</v>
      </c>
      <c r="G32" s="18" t="n">
        <v>47.41551844</v>
      </c>
      <c r="H32" s="20" t="n">
        <v>3.3851316</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(3237.0/B33*100)</f>
        <v/>
      </c>
      <c r="D33" s="19" t="n">
        <v>414</v>
      </c>
      <c r="E33" s="18" t="n">
        <v>68.86995506</v>
      </c>
      <c r="F33" s="20" t="n">
        <v>2.88467558</v>
      </c>
      <c r="G33" s="18" t="n">
        <v>29.94328358</v>
      </c>
      <c r="H33" s="20" t="n">
        <v>2.74358665</v>
      </c>
      <c r="I33" s="18" t="n">
        <v>0</v>
      </c>
      <c r="J33" s="20" t="n">
        <v>0</v>
      </c>
      <c r="K33" s="18" t="n">
        <v>0.40615327</v>
      </c>
      <c r="L33" s="20" t="n">
        <v>0.38842818</v>
      </c>
      <c r="M33" s="18" t="n">
        <v>0</v>
      </c>
      <c r="N33" s="20" t="n">
        <v>0</v>
      </c>
      <c r="O33" s="18" t="n">
        <v>0</v>
      </c>
      <c r="P33" s="20" t="n">
        <v>0</v>
      </c>
      <c r="Q33" s="18" t="n">
        <v>0.78060809</v>
      </c>
      <c r="R33" s="20" t="n">
        <v>0.34148083</v>
      </c>
    </row>
    <row r="34" spans="1:18">
      <c r="A34" s="15" t="s">
        <v>592</v>
      </c>
      <c r="B34" s="17" t="n">
        <v>3035</v>
      </c>
      <c r="C34" s="18">
        <f>(2682.0/B34*100)</f>
        <v/>
      </c>
      <c r="D34" s="19" t="n">
        <v>353</v>
      </c>
      <c r="E34" s="18" t="n">
        <v>62.43103109</v>
      </c>
      <c r="F34" s="20" t="n">
        <v>2.92108718</v>
      </c>
      <c r="G34" s="18" t="n">
        <v>37.36509338</v>
      </c>
      <c r="H34" s="20" t="n">
        <v>2.91600234</v>
      </c>
      <c r="I34" s="18" t="n">
        <v>0</v>
      </c>
      <c r="J34" s="20" t="n">
        <v>0</v>
      </c>
      <c r="K34" s="18" t="n">
        <v>0</v>
      </c>
      <c r="L34" s="20" t="n">
        <v>0</v>
      </c>
      <c r="M34" s="18" t="n">
        <v>0</v>
      </c>
      <c r="N34" s="20" t="n">
        <v>0</v>
      </c>
      <c r="O34" s="18" t="n">
        <v>0</v>
      </c>
      <c r="P34" s="20" t="n">
        <v>0</v>
      </c>
      <c r="Q34" s="18" t="n">
        <v>0.20387553</v>
      </c>
      <c r="R34" s="20" t="n">
        <v>0.20761603</v>
      </c>
    </row>
    <row r="35" spans="1:18">
      <c r="A35" s="15" t="s">
        <v>593</v>
      </c>
      <c r="B35" s="17" t="n">
        <v>2901</v>
      </c>
      <c r="C35" s="18">
        <f>(2574.0/B35*100)</f>
        <v/>
      </c>
      <c r="D35" s="19" t="n">
        <v>327</v>
      </c>
      <c r="E35" s="18" t="n">
        <v>48.25597057</v>
      </c>
      <c r="F35" s="20" t="n">
        <v>3.67071252</v>
      </c>
      <c r="G35" s="18" t="n">
        <v>51.58366137</v>
      </c>
      <c r="H35" s="20" t="n">
        <v>3.64493618</v>
      </c>
      <c r="I35" s="18" t="n">
        <v>0</v>
      </c>
      <c r="J35" s="20" t="n">
        <v>0</v>
      </c>
      <c r="K35" s="18" t="n">
        <v>0.16036806</v>
      </c>
      <c r="L35" s="20" t="n">
        <v>0.15974908</v>
      </c>
      <c r="M35" s="18" t="n">
        <v>0</v>
      </c>
      <c r="N35" s="20" t="n">
        <v>0</v>
      </c>
      <c r="O35" s="18" t="n">
        <v>0</v>
      </c>
      <c r="P35" s="20" t="n">
        <v>0</v>
      </c>
      <c r="Q35" s="18" t="n">
        <v>0</v>
      </c>
      <c r="R35" s="20" t="n">
        <v>0</v>
      </c>
    </row>
    <row r="36" spans="1:18">
      <c r="A36" s="15" t="s">
        <v>594</v>
      </c>
      <c r="B36" s="17" t="n">
        <v>3404</v>
      </c>
      <c r="C36" s="18">
        <f>(2995.0/B36*100)</f>
        <v/>
      </c>
      <c r="D36" s="19" t="n">
        <v>409</v>
      </c>
      <c r="E36" s="18" t="n">
        <v>63.75834864</v>
      </c>
      <c r="F36" s="20" t="n">
        <v>2.40665233</v>
      </c>
      <c r="G36" s="18" t="n">
        <v>35.67510655</v>
      </c>
      <c r="H36" s="20" t="n">
        <v>2.44222763</v>
      </c>
      <c r="I36" s="18" t="n">
        <v>0</v>
      </c>
      <c r="J36" s="20" t="n">
        <v>0</v>
      </c>
      <c r="K36" s="18" t="n">
        <v>0</v>
      </c>
      <c r="L36" s="20" t="n">
        <v>0</v>
      </c>
      <c r="M36" s="18" t="n">
        <v>0</v>
      </c>
      <c r="N36" s="20" t="n">
        <v>0</v>
      </c>
      <c r="O36" s="18" t="n">
        <v>0</v>
      </c>
      <c r="P36" s="20" t="n">
        <v>0</v>
      </c>
      <c r="Q36" s="18" t="n">
        <v>0.56654481</v>
      </c>
      <c r="R36" s="20" t="n">
        <v>0.35925775</v>
      </c>
    </row>
    <row r="37" spans="1:18">
      <c r="A37" s="15" t="s">
        <v>595</v>
      </c>
      <c r="B37" s="17" t="n">
        <v>2731</v>
      </c>
      <c r="C37" s="18">
        <f>(2424.0/B37*100)</f>
        <v/>
      </c>
      <c r="D37" s="19" t="n">
        <v>307</v>
      </c>
      <c r="E37" s="18" t="n">
        <v>58.22910567</v>
      </c>
      <c r="F37" s="20" t="n">
        <v>2.84537286</v>
      </c>
      <c r="G37" s="18" t="n">
        <v>39.92709251</v>
      </c>
      <c r="H37" s="20" t="n">
        <v>2.90443932</v>
      </c>
      <c r="I37" s="18" t="n">
        <v>0</v>
      </c>
      <c r="J37" s="20" t="n">
        <v>0</v>
      </c>
      <c r="K37" s="18" t="n">
        <v>0</v>
      </c>
      <c r="L37" s="20" t="n">
        <v>0</v>
      </c>
      <c r="M37" s="18" t="n">
        <v>0</v>
      </c>
      <c r="N37" s="20" t="n">
        <v>0</v>
      </c>
      <c r="O37" s="18" t="n">
        <v>0</v>
      </c>
      <c r="P37" s="20" t="n">
        <v>0</v>
      </c>
      <c r="Q37" s="18" t="n">
        <v>1.84380182</v>
      </c>
      <c r="R37" s="20" t="n">
        <v>0.75753642</v>
      </c>
    </row>
    <row r="38" spans="1:18">
      <c r="A38" s="15" t="s">
        <v>596</v>
      </c>
      <c r="B38" s="17" t="n">
        <v>2807</v>
      </c>
      <c r="C38" s="18">
        <f>(2495.0/B38*100)</f>
        <v/>
      </c>
      <c r="D38" s="19" t="n">
        <v>312</v>
      </c>
      <c r="E38" s="18" t="n">
        <v>59.04161607</v>
      </c>
      <c r="F38" s="20" t="n">
        <v>3.39563084</v>
      </c>
      <c r="G38" s="18" t="n">
        <v>40.78124462</v>
      </c>
      <c r="H38" s="20" t="n">
        <v>3.38710257</v>
      </c>
      <c r="I38" s="18" t="n">
        <v>0</v>
      </c>
      <c r="J38" s="20" t="n">
        <v>0</v>
      </c>
      <c r="K38" s="18" t="n">
        <v>0</v>
      </c>
      <c r="L38" s="20" t="n">
        <v>0</v>
      </c>
      <c r="M38" s="18" t="n">
        <v>0</v>
      </c>
      <c r="N38" s="20" t="n">
        <v>0</v>
      </c>
      <c r="O38" s="18" t="n">
        <v>0</v>
      </c>
      <c r="P38" s="20" t="n">
        <v>0</v>
      </c>
      <c r="Q38" s="18" t="n">
        <v>0.17713931</v>
      </c>
      <c r="R38" s="20" t="n">
        <v>0.17880644</v>
      </c>
    </row>
    <row r="39" spans="1:18">
      <c r="A39" s="15" t="s">
        <v>597</v>
      </c>
      <c r="B39" s="17" t="n">
        <v>2938</v>
      </c>
      <c r="C39" s="18">
        <f>(2632.0/B39*100)</f>
        <v/>
      </c>
      <c r="D39" s="19" t="n">
        <v>306</v>
      </c>
      <c r="E39" s="18" t="n">
        <v>43.78391378</v>
      </c>
      <c r="F39" s="20" t="n">
        <v>2.6599063</v>
      </c>
      <c r="G39" s="18" t="n">
        <v>56.01187049</v>
      </c>
      <c r="H39" s="20" t="n">
        <v>2.60734781</v>
      </c>
      <c r="I39" s="18" t="n">
        <v>0</v>
      </c>
      <c r="J39" s="20" t="n">
        <v>0</v>
      </c>
      <c r="K39" s="18" t="n">
        <v>0</v>
      </c>
      <c r="L39" s="20" t="n">
        <v>0</v>
      </c>
      <c r="M39" s="18" t="n">
        <v>0</v>
      </c>
      <c r="N39" s="20" t="n">
        <v>0</v>
      </c>
      <c r="O39" s="18" t="n">
        <v>0</v>
      </c>
      <c r="P39" s="20" t="n">
        <v>0</v>
      </c>
      <c r="Q39" s="18" t="n">
        <v>0.20421573</v>
      </c>
      <c r="R39" s="20" t="n">
        <v>0.29118316</v>
      </c>
    </row>
    <row r="40" spans="1:18">
      <c r="A40" s="15" t="s">
        <v>598</v>
      </c>
      <c r="B40" s="17" t="n">
        <v>6922</v>
      </c>
      <c r="C40" s="18">
        <f>(6131.0/B40*100)</f>
        <v/>
      </c>
      <c r="D40" s="19" t="n">
        <v>791</v>
      </c>
      <c r="E40" s="18" t="n">
        <v>54.08714485</v>
      </c>
      <c r="F40" s="20" t="n">
        <v>2.70840032</v>
      </c>
      <c r="G40" s="18" t="n">
        <v>45.5801397</v>
      </c>
      <c r="H40" s="20" t="n">
        <v>2.74457467</v>
      </c>
      <c r="I40" s="18" t="n">
        <v>0</v>
      </c>
      <c r="J40" s="20" t="n">
        <v>0</v>
      </c>
      <c r="K40" s="18" t="n">
        <v>0</v>
      </c>
      <c r="L40" s="20" t="n">
        <v>0</v>
      </c>
      <c r="M40" s="18" t="n">
        <v>0</v>
      </c>
      <c r="N40" s="20" t="n">
        <v>0</v>
      </c>
      <c r="O40" s="18" t="n">
        <v>0</v>
      </c>
      <c r="P40" s="20" t="n">
        <v>0</v>
      </c>
      <c r="Q40" s="18" t="n">
        <v>0.33271545</v>
      </c>
      <c r="R40" s="20" t="n">
        <v>0.36950324</v>
      </c>
    </row>
    <row r="41" spans="1:18">
      <c r="A41" s="15" t="s">
        <v>599</v>
      </c>
      <c r="B41" s="17" t="n">
        <v>2854</v>
      </c>
      <c r="C41" s="18">
        <f>(2544.0/B41*100)</f>
        <v/>
      </c>
      <c r="D41" s="19" t="n">
        <v>310</v>
      </c>
      <c r="E41" s="18" t="n">
        <v>53.30336431</v>
      </c>
      <c r="F41" s="20" t="n">
        <v>3.1520694</v>
      </c>
      <c r="G41" s="18" t="n">
        <v>45.66444637</v>
      </c>
      <c r="H41" s="20" t="n">
        <v>3.09895677</v>
      </c>
      <c r="I41" s="18" t="n">
        <v>0</v>
      </c>
      <c r="J41" s="20" t="n">
        <v>0</v>
      </c>
      <c r="K41" s="18" t="n">
        <v>0</v>
      </c>
      <c r="L41" s="20" t="n">
        <v>0</v>
      </c>
      <c r="M41" s="18" t="n">
        <v>0</v>
      </c>
      <c r="N41" s="20" t="n">
        <v>0</v>
      </c>
      <c r="O41" s="18" t="n">
        <v>0</v>
      </c>
      <c r="P41" s="20" t="n">
        <v>0</v>
      </c>
      <c r="Q41" s="18" t="n">
        <v>1.03218932</v>
      </c>
      <c r="R41" s="20" t="n">
        <v>0.60379233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(10872.0/B46*100)</f>
        <v/>
      </c>
      <c r="D46" s="19" t="n">
        <v>1201</v>
      </c>
      <c r="E46" s="18" t="n">
        <v>66.61853225999999</v>
      </c>
      <c r="F46" s="20" t="n">
        <v>1.5995471</v>
      </c>
      <c r="G46" s="18" t="n">
        <v>30.09914844</v>
      </c>
      <c r="H46" s="20" t="n">
        <v>1.46799118</v>
      </c>
      <c r="I46" s="18" t="n">
        <v>0</v>
      </c>
      <c r="J46" s="20" t="n">
        <v>0</v>
      </c>
      <c r="K46" s="18" t="n">
        <v>0.21453019</v>
      </c>
      <c r="L46" s="20" t="n">
        <v>0.12397546</v>
      </c>
      <c r="M46" s="18" t="n">
        <v>0</v>
      </c>
      <c r="N46" s="20" t="n">
        <v>0</v>
      </c>
      <c r="O46" s="18" t="n">
        <v>0</v>
      </c>
      <c r="P46" s="20" t="n">
        <v>0</v>
      </c>
      <c r="Q46" s="18" t="n">
        <v>3.06778911</v>
      </c>
      <c r="R46" s="20" t="n">
        <v>0.66403418</v>
      </c>
    </row>
    <row r="47" spans="1:18">
      <c r="A47" s="15" t="s">
        <v>606</v>
      </c>
      <c r="B47" s="17" t="n">
        <v>2823</v>
      </c>
      <c r="C47" s="18">
        <f>(2513.0/B47*100)</f>
        <v/>
      </c>
      <c r="D47" s="19" t="n">
        <v>310</v>
      </c>
      <c r="E47" s="18" t="n">
        <v>53.31219197</v>
      </c>
      <c r="F47" s="20" t="n">
        <v>3.01112926</v>
      </c>
      <c r="G47" s="18" t="n">
        <v>46.11310477</v>
      </c>
      <c r="H47" s="20" t="n">
        <v>3.04064023</v>
      </c>
      <c r="I47" s="18" t="n">
        <v>0</v>
      </c>
      <c r="J47" s="20" t="n">
        <v>0</v>
      </c>
      <c r="K47" s="18" t="n">
        <v>0</v>
      </c>
      <c r="L47" s="20" t="n">
        <v>0</v>
      </c>
      <c r="M47" s="18" t="n">
        <v>0</v>
      </c>
      <c r="N47" s="20" t="n">
        <v>0</v>
      </c>
      <c r="O47" s="18" t="n">
        <v>0</v>
      </c>
      <c r="P47" s="20" t="n">
        <v>0</v>
      </c>
      <c r="Q47" s="18" t="n">
        <v>0.57470326</v>
      </c>
      <c r="R47" s="20" t="n">
        <v>0.40082551</v>
      </c>
    </row>
    <row r="48" spans="1:18">
      <c r="A48" s="15" t="s">
        <v>607</v>
      </c>
      <c r="B48" s="17" t="n">
        <v>4682</v>
      </c>
      <c r="C48" s="18">
        <f>(4150.0/B48*100)</f>
        <v/>
      </c>
      <c r="D48" s="19" t="n">
        <v>532</v>
      </c>
      <c r="E48" s="18" t="n">
        <v>46.60456045</v>
      </c>
      <c r="F48" s="20" t="n">
        <v>2.84291857</v>
      </c>
      <c r="G48" s="18" t="n">
        <v>52.30604574</v>
      </c>
      <c r="H48" s="20" t="n">
        <v>2.83990213</v>
      </c>
      <c r="I48" s="18" t="n">
        <v>0</v>
      </c>
      <c r="J48" s="20" t="n">
        <v>0</v>
      </c>
      <c r="K48" s="18" t="n">
        <v>0.40364533</v>
      </c>
      <c r="L48" s="20" t="n">
        <v>0.48228255</v>
      </c>
      <c r="M48" s="18" t="n">
        <v>0</v>
      </c>
      <c r="N48" s="20" t="n">
        <v>0</v>
      </c>
      <c r="O48" s="18" t="n">
        <v>0</v>
      </c>
      <c r="P48" s="20" t="n">
        <v>0</v>
      </c>
      <c r="Q48" s="18" t="n">
        <v>0.68574849</v>
      </c>
      <c r="R48" s="20" t="n">
        <v>0.4492121</v>
      </c>
    </row>
    <row r="49" spans="1:18">
      <c r="A49" s="15" t="s">
        <v>608</v>
      </c>
      <c r="B49" s="17" t="n">
        <v>6158</v>
      </c>
      <c r="C49" s="18">
        <f>(5487.0/B49*100)</f>
        <v/>
      </c>
      <c r="D49" s="19" t="n">
        <v>671</v>
      </c>
      <c r="E49" s="18" t="n">
        <v>73.87009116</v>
      </c>
      <c r="F49" s="20" t="n">
        <v>2.14277984</v>
      </c>
      <c r="G49" s="18" t="n">
        <v>25.15350788</v>
      </c>
      <c r="H49" s="20" t="n">
        <v>2.14062941</v>
      </c>
      <c r="I49" s="18" t="n">
        <v>0</v>
      </c>
      <c r="J49" s="20" t="n">
        <v>0</v>
      </c>
      <c r="K49" s="18" t="n">
        <v>0.42687713</v>
      </c>
      <c r="L49" s="20" t="n">
        <v>0.41204602</v>
      </c>
      <c r="M49" s="18" t="n">
        <v>0</v>
      </c>
      <c r="N49" s="20" t="n">
        <v>0</v>
      </c>
      <c r="O49" s="18" t="n">
        <v>0</v>
      </c>
      <c r="P49" s="20" t="n">
        <v>0</v>
      </c>
      <c r="Q49" s="18" t="n">
        <v>0.54952382</v>
      </c>
      <c r="R49" s="20" t="n">
        <v>0.31955942</v>
      </c>
    </row>
    <row r="50" spans="1:18">
      <c r="A50" s="15" t="s">
        <v>609</v>
      </c>
      <c r="B50" s="17" t="n">
        <v>3494</v>
      </c>
      <c r="C50" s="18">
        <f>(3136.0/B50*100)</f>
        <v/>
      </c>
      <c r="D50" s="19" t="n">
        <v>358</v>
      </c>
      <c r="E50" s="18" t="n">
        <v>66.88315127</v>
      </c>
      <c r="F50" s="20" t="n">
        <v>2.72878594</v>
      </c>
      <c r="G50" s="18" t="n">
        <v>30.05079826</v>
      </c>
      <c r="H50" s="20" t="n">
        <v>2.75402471</v>
      </c>
      <c r="I50" s="18" t="n">
        <v>0</v>
      </c>
      <c r="J50" s="20" t="n">
        <v>0</v>
      </c>
      <c r="K50" s="18" t="n">
        <v>0</v>
      </c>
      <c r="L50" s="20" t="n">
        <v>0</v>
      </c>
      <c r="M50" s="18" t="n">
        <v>0</v>
      </c>
      <c r="N50" s="20" t="n">
        <v>0</v>
      </c>
      <c r="O50" s="18" t="n">
        <v>0</v>
      </c>
      <c r="P50" s="20" t="n">
        <v>0</v>
      </c>
      <c r="Q50" s="18" t="n">
        <v>3.06605047</v>
      </c>
      <c r="R50" s="20" t="n">
        <v>0.8235986</v>
      </c>
    </row>
    <row r="51" spans="1:18">
      <c r="A51" s="15" t="s">
        <v>610</v>
      </c>
      <c r="B51" s="17" t="n">
        <v>3013</v>
      </c>
      <c r="C51" s="18">
        <f>(2689.0/B51*100)</f>
        <v/>
      </c>
      <c r="D51" s="19" t="n">
        <v>324</v>
      </c>
      <c r="E51" s="18" t="n">
        <v>54.35662309</v>
      </c>
      <c r="F51" s="20" t="n">
        <v>2.87604893</v>
      </c>
      <c r="G51" s="18" t="n">
        <v>44.7746639</v>
      </c>
      <c r="H51" s="20" t="n">
        <v>2.83953193</v>
      </c>
      <c r="I51" s="18" t="n">
        <v>0</v>
      </c>
      <c r="J51" s="20" t="n">
        <v>0</v>
      </c>
      <c r="K51" s="18" t="n">
        <v>0</v>
      </c>
      <c r="L51" s="20" t="n">
        <v>0</v>
      </c>
      <c r="M51" s="18" t="n">
        <v>0</v>
      </c>
      <c r="N51" s="20" t="n">
        <v>0</v>
      </c>
      <c r="O51" s="18" t="n">
        <v>0</v>
      </c>
      <c r="P51" s="20" t="n">
        <v>0</v>
      </c>
      <c r="Q51" s="18" t="n">
        <v>0.8687130199999999</v>
      </c>
      <c r="R51" s="20" t="n">
        <v>0.31138229</v>
      </c>
    </row>
    <row r="52" spans="1:18">
      <c r="A52" s="15" t="s">
        <v>611</v>
      </c>
      <c r="B52" s="17" t="n">
        <v>2760</v>
      </c>
      <c r="C52" s="18">
        <f>(2459.0/B52*100)</f>
        <v/>
      </c>
      <c r="D52" s="19" t="n">
        <v>301</v>
      </c>
      <c r="E52" s="18" t="n">
        <v>63.64312631</v>
      </c>
      <c r="F52" s="20" t="n">
        <v>2.83714124</v>
      </c>
      <c r="G52" s="18" t="n">
        <v>34.82352209</v>
      </c>
      <c r="H52" s="20" t="n">
        <v>2.8176974</v>
      </c>
      <c r="I52" s="18" t="n">
        <v>0</v>
      </c>
      <c r="J52" s="20" t="n">
        <v>0</v>
      </c>
      <c r="K52" s="18" t="n">
        <v>0.23864975</v>
      </c>
      <c r="L52" s="20" t="n">
        <v>0.23816299</v>
      </c>
      <c r="M52" s="18" t="n">
        <v>0</v>
      </c>
      <c r="N52" s="20" t="n">
        <v>0</v>
      </c>
      <c r="O52" s="18" t="n">
        <v>0</v>
      </c>
      <c r="P52" s="20" t="n">
        <v>0</v>
      </c>
      <c r="Q52" s="18" t="n">
        <v>1.29470186</v>
      </c>
      <c r="R52" s="20" t="n">
        <v>0.64180877</v>
      </c>
    </row>
    <row r="53" spans="1:18">
      <c r="A53" s="15" t="s">
        <v>612</v>
      </c>
      <c r="B53" s="17" t="n">
        <v>2474</v>
      </c>
      <c r="C53" s="18">
        <f>(2194.0/B53*100)</f>
        <v/>
      </c>
      <c r="D53" s="19" t="n">
        <v>280</v>
      </c>
      <c r="E53" s="18" t="n">
        <v>54.51751476</v>
      </c>
      <c r="F53" s="20" t="n">
        <v>3.29400206</v>
      </c>
      <c r="G53" s="18" t="n">
        <v>30.73238869</v>
      </c>
      <c r="H53" s="20" t="n">
        <v>2.74511228</v>
      </c>
      <c r="I53" s="18" t="n">
        <v>0</v>
      </c>
      <c r="J53" s="20" t="n">
        <v>0</v>
      </c>
      <c r="K53" s="18" t="n">
        <v>10.17519871</v>
      </c>
      <c r="L53" s="20" t="n">
        <v>2.26461595</v>
      </c>
      <c r="M53" s="18" t="n">
        <v>0</v>
      </c>
      <c r="N53" s="20" t="n">
        <v>0</v>
      </c>
      <c r="O53" s="18" t="n">
        <v>0</v>
      </c>
      <c r="P53" s="20" t="n">
        <v>0</v>
      </c>
      <c r="Q53" s="18" t="n">
        <v>4.57489784</v>
      </c>
      <c r="R53" s="20" t="n">
        <v>2.01391962</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(2393.0/B55*100)</f>
        <v/>
      </c>
      <c r="D55" s="19" t="n">
        <v>282</v>
      </c>
      <c r="E55" s="18" t="n">
        <v>41.49017123</v>
      </c>
      <c r="F55" s="20" t="n">
        <v>2.99452914</v>
      </c>
      <c r="G55" s="18" t="n">
        <v>58.15918846</v>
      </c>
      <c r="H55" s="20" t="n">
        <v>2.99450067</v>
      </c>
      <c r="I55" s="18" t="n">
        <v>0</v>
      </c>
      <c r="J55" s="20" t="n">
        <v>0</v>
      </c>
      <c r="K55" s="18" t="n">
        <v>0</v>
      </c>
      <c r="L55" s="20" t="n">
        <v>0</v>
      </c>
      <c r="M55" s="18" t="n">
        <v>0</v>
      </c>
      <c r="N55" s="20" t="n">
        <v>0</v>
      </c>
      <c r="O55" s="18" t="n">
        <v>0</v>
      </c>
      <c r="P55" s="20" t="n">
        <v>0</v>
      </c>
      <c r="Q55" s="18" t="n">
        <v>0.35064031</v>
      </c>
      <c r="R55" s="20" t="n">
        <v>0.34928163</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(2854.0/B61*100)</f>
        <v/>
      </c>
      <c r="D61" s="19" t="n">
        <v>347</v>
      </c>
      <c r="E61" s="18" t="n">
        <v>57.86252639</v>
      </c>
      <c r="F61" s="20" t="n">
        <v>2.91412936</v>
      </c>
      <c r="G61" s="18" t="n">
        <v>41.26155169</v>
      </c>
      <c r="H61" s="20" t="n">
        <v>2.88174799</v>
      </c>
      <c r="I61" s="18" t="n">
        <v>0</v>
      </c>
      <c r="J61" s="20" t="n">
        <v>0</v>
      </c>
      <c r="K61" s="18" t="n">
        <v>0.80215066</v>
      </c>
      <c r="L61" s="20" t="n">
        <v>0.78923861</v>
      </c>
      <c r="M61" s="18" t="n">
        <v>0</v>
      </c>
      <c r="N61" s="20" t="n">
        <v>0</v>
      </c>
      <c r="O61" s="18" t="n">
        <v>0</v>
      </c>
      <c r="P61" s="20" t="n">
        <v>0</v>
      </c>
      <c r="Q61" s="18" t="n">
        <v>0.07377126000000001</v>
      </c>
      <c r="R61" s="20" t="n">
        <v>0.07423639999999999</v>
      </c>
    </row>
    <row r="62" spans="1:18">
      <c r="A62" s="15" t="s">
        <v>622</v>
      </c>
      <c r="B62" s="17" t="n">
        <v>2230</v>
      </c>
      <c r="C62" s="18">
        <f>(1961.0/B62*100)</f>
        <v/>
      </c>
      <c r="D62" s="19" t="n">
        <v>269</v>
      </c>
      <c r="E62" s="18" t="n">
        <v>44.58339417</v>
      </c>
      <c r="F62" s="20" t="n">
        <v>3.08157765</v>
      </c>
      <c r="G62" s="18" t="n">
        <v>55.41660583</v>
      </c>
      <c r="H62" s="20" t="n">
        <v>3.08157765</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(2473.0/B67*100)</f>
        <v/>
      </c>
      <c r="D67" s="19" t="n">
        <v>298</v>
      </c>
      <c r="E67" s="18" t="n">
        <v>67.66191872</v>
      </c>
      <c r="F67" s="20" t="n">
        <v>2.98149031</v>
      </c>
      <c r="G67" s="18" t="n">
        <v>30.47201577</v>
      </c>
      <c r="H67" s="20" t="n">
        <v>2.84542654</v>
      </c>
      <c r="I67" s="18" t="n">
        <v>0</v>
      </c>
      <c r="J67" s="20" t="n">
        <v>0</v>
      </c>
      <c r="K67" s="18" t="n">
        <v>0.72936901</v>
      </c>
      <c r="L67" s="20" t="n">
        <v>0.51651889</v>
      </c>
      <c r="M67" s="18" t="n">
        <v>0</v>
      </c>
      <c r="N67" s="20" t="n">
        <v>0</v>
      </c>
      <c r="O67" s="18" t="n">
        <v>0</v>
      </c>
      <c r="P67" s="20" t="n">
        <v>0</v>
      </c>
      <c r="Q67" s="18" t="n">
        <v>1.13669649</v>
      </c>
      <c r="R67" s="20" t="n">
        <v>0.56834418</v>
      </c>
    </row>
    <row r="68" spans="1:18">
      <c r="A68" s="15" t="s">
        <v>628</v>
      </c>
      <c r="B68" s="17" t="n">
        <v>3460</v>
      </c>
      <c r="C68" s="18">
        <f>(3082.0/B68*100)</f>
        <v/>
      </c>
      <c r="D68" s="19" t="n">
        <v>378</v>
      </c>
      <c r="E68" s="18" t="n">
        <v>69.65314364</v>
      </c>
      <c r="F68" s="20" t="n">
        <v>2.13733025</v>
      </c>
      <c r="G68" s="18" t="n">
        <v>26.87587891</v>
      </c>
      <c r="H68" s="20" t="n">
        <v>2.1062546</v>
      </c>
      <c r="I68" s="18" t="n">
        <v>0</v>
      </c>
      <c r="J68" s="20" t="n">
        <v>0</v>
      </c>
      <c r="K68" s="18" t="n">
        <v>0.34236981</v>
      </c>
      <c r="L68" s="20" t="n">
        <v>0.3396588</v>
      </c>
      <c r="M68" s="18" t="n">
        <v>0</v>
      </c>
      <c r="N68" s="20" t="n">
        <v>0</v>
      </c>
      <c r="O68" s="18" t="n">
        <v>0</v>
      </c>
      <c r="P68" s="20" t="n">
        <v>0</v>
      </c>
      <c r="Q68" s="18" t="n">
        <v>3.12860765</v>
      </c>
      <c r="R68" s="20" t="n">
        <v>0.96854088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(5342.0/B70*100)</f>
        <v/>
      </c>
      <c r="D70" s="19" t="n">
        <v>692</v>
      </c>
      <c r="E70" s="18" t="n">
        <v>62.35484652</v>
      </c>
      <c r="F70" s="20" t="n">
        <v>1.92542415</v>
      </c>
      <c r="G70" s="18" t="n">
        <v>36.27086095</v>
      </c>
      <c r="H70" s="20" t="n">
        <v>1.90751454</v>
      </c>
      <c r="I70" s="18" t="n">
        <v>0</v>
      </c>
      <c r="J70" s="20" t="n">
        <v>0</v>
      </c>
      <c r="K70" s="18" t="n">
        <v>1.00344341</v>
      </c>
      <c r="L70" s="20" t="n">
        <v>0.43159866</v>
      </c>
      <c r="M70" s="18" t="n">
        <v>0</v>
      </c>
      <c r="N70" s="20" t="n">
        <v>0</v>
      </c>
      <c r="O70" s="18" t="n">
        <v>0</v>
      </c>
      <c r="P70" s="20" t="n">
        <v>0</v>
      </c>
      <c r="Q70" s="18" t="n">
        <v>0.37084912</v>
      </c>
      <c r="R70" s="20" t="n">
        <v>0.25783551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(2775.0/B72*100)</f>
        <v/>
      </c>
      <c r="D72" s="19" t="n">
        <v>332</v>
      </c>
      <c r="E72" s="18" t="n">
        <v>47.82817074</v>
      </c>
      <c r="F72" s="20" t="n">
        <v>3.47419174</v>
      </c>
      <c r="G72" s="18" t="n">
        <v>51.37456469</v>
      </c>
      <c r="H72" s="20" t="n">
        <v>3.49776368</v>
      </c>
      <c r="I72" s="18" t="n">
        <v>0</v>
      </c>
      <c r="J72" s="20" t="n">
        <v>0</v>
      </c>
      <c r="K72" s="18" t="n">
        <v>0</v>
      </c>
      <c r="L72" s="20" t="n">
        <v>0</v>
      </c>
      <c r="M72" s="18" t="n">
        <v>0</v>
      </c>
      <c r="N72" s="20" t="n">
        <v>0</v>
      </c>
      <c r="O72" s="18" t="n">
        <v>0</v>
      </c>
      <c r="P72" s="20" t="n">
        <v>0</v>
      </c>
      <c r="Q72" s="18" t="n">
        <v>0.79726457</v>
      </c>
      <c r="R72" s="20" t="n">
        <v>0.78761623</v>
      </c>
    </row>
    <row r="73" spans="1:18">
      <c r="A73" s="15" t="s">
        <v>633</v>
      </c>
      <c r="B73" s="17" t="n">
        <v>2973</v>
      </c>
      <c r="C73" s="18">
        <f>(2646.0/B73*100)</f>
        <v/>
      </c>
      <c r="D73" s="19" t="n">
        <v>327</v>
      </c>
      <c r="E73" s="18" t="n">
        <v>29.92043583</v>
      </c>
      <c r="F73" s="20" t="n">
        <v>2.61914572</v>
      </c>
      <c r="G73" s="18" t="n">
        <v>70.07956417</v>
      </c>
      <c r="H73" s="20" t="n">
        <v>2.61914572</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(3392.0/B74*100)</f>
        <v/>
      </c>
      <c r="D74" s="19" t="n">
        <v>427</v>
      </c>
      <c r="E74" s="18" t="n">
        <v>24.55784631</v>
      </c>
      <c r="F74" s="20" t="n">
        <v>1.86447542</v>
      </c>
      <c r="G74" s="18" t="n">
        <v>75.44215369</v>
      </c>
      <c r="H74" s="20" t="n">
        <v>1.86447542</v>
      </c>
      <c r="I74" s="18" t="n">
        <v>0</v>
      </c>
      <c r="J74" s="20" t="n">
        <v>0</v>
      </c>
      <c r="K74" s="18" t="n">
        <v>0</v>
      </c>
      <c r="L74" s="20" t="n">
        <v>0</v>
      </c>
      <c r="M74" s="18" t="n">
        <v>0</v>
      </c>
      <c r="N74" s="20" t="n">
        <v>0</v>
      </c>
      <c r="O74" s="18" t="n">
        <v>0</v>
      </c>
      <c r="P74" s="20" t="n">
        <v>0</v>
      </c>
      <c r="Q74" s="18" t="n">
        <v>0</v>
      </c>
      <c r="R74" s="20" t="n">
        <v>0</v>
      </c>
    </row>
    <row r="75" spans="1:18">
      <c r="A75" s="15" t="s">
        <v>635</v>
      </c>
      <c r="B75" s="17" t="n">
        <v>4652</v>
      </c>
      <c r="C75" s="18">
        <f>(4153.0/B75*100)</f>
        <v/>
      </c>
      <c r="D75" s="19" t="n">
        <v>499</v>
      </c>
      <c r="E75" s="18" t="n">
        <v>64.64104020000001</v>
      </c>
      <c r="F75" s="20" t="n">
        <v>2.60707115</v>
      </c>
      <c r="G75" s="18" t="n">
        <v>35.26686342</v>
      </c>
      <c r="H75" s="20" t="n">
        <v>2.59717716</v>
      </c>
      <c r="I75" s="18" t="n">
        <v>0</v>
      </c>
      <c r="J75" s="20" t="n">
        <v>0</v>
      </c>
      <c r="K75" s="18" t="n">
        <v>0</v>
      </c>
      <c r="L75" s="20" t="n">
        <v>0</v>
      </c>
      <c r="M75" s="18" t="n">
        <v>0</v>
      </c>
      <c r="N75" s="20" t="n">
        <v>0</v>
      </c>
      <c r="O75" s="18" t="n">
        <v>0</v>
      </c>
      <c r="P75" s="20" t="n">
        <v>0</v>
      </c>
      <c r="Q75" s="18" t="n">
        <v>0.09209638000000001</v>
      </c>
      <c r="R75" s="20" t="n">
        <v>0.08495142999999999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(2646.0/B77*100)</f>
        <v/>
      </c>
      <c r="D77" s="19" t="n">
        <v>323</v>
      </c>
      <c r="E77" s="18" t="n">
        <v>67.55049746</v>
      </c>
      <c r="F77" s="20" t="n">
        <v>2.85395671</v>
      </c>
      <c r="G77" s="18" t="n">
        <v>29.37272998</v>
      </c>
      <c r="H77" s="20" t="n">
        <v>2.58369851</v>
      </c>
      <c r="I77" s="18" t="n">
        <v>0</v>
      </c>
      <c r="J77" s="20" t="n">
        <v>0</v>
      </c>
      <c r="K77" s="18" t="n">
        <v>1.6382776</v>
      </c>
      <c r="L77" s="20" t="n">
        <v>0.72970183</v>
      </c>
      <c r="M77" s="18" t="n">
        <v>0</v>
      </c>
      <c r="N77" s="20" t="n">
        <v>0</v>
      </c>
      <c r="O77" s="18" t="n">
        <v>0</v>
      </c>
      <c r="P77" s="20" t="n">
        <v>0</v>
      </c>
      <c r="Q77" s="18" t="n">
        <v>1.43849497</v>
      </c>
      <c r="R77" s="20" t="n">
        <v>0.78028211</v>
      </c>
    </row>
    <row r="78" spans="1:18">
      <c r="A78" s="15" t="s">
        <v>638</v>
      </c>
      <c r="B78" s="17" t="n">
        <v>7115</v>
      </c>
      <c r="C78" s="18">
        <f>(6349.0/B78*100)</f>
        <v/>
      </c>
      <c r="D78" s="19" t="n">
        <v>766</v>
      </c>
      <c r="E78" s="18" t="n">
        <v>58.62345165</v>
      </c>
      <c r="F78" s="20" t="n">
        <v>2.27256806</v>
      </c>
      <c r="G78" s="18" t="n">
        <v>41.00878807</v>
      </c>
      <c r="H78" s="20" t="n">
        <v>2.26293197</v>
      </c>
      <c r="I78" s="18" t="n">
        <v>0</v>
      </c>
      <c r="J78" s="20" t="n">
        <v>0</v>
      </c>
      <c r="K78" s="18" t="n">
        <v>0.0643509</v>
      </c>
      <c r="L78" s="20" t="n">
        <v>0.06450754</v>
      </c>
      <c r="M78" s="18" t="n">
        <v>0</v>
      </c>
      <c r="N78" s="20" t="n">
        <v>0</v>
      </c>
      <c r="O78" s="18" t="n">
        <v>0</v>
      </c>
      <c r="P78" s="20" t="n">
        <v>0</v>
      </c>
      <c r="Q78" s="18" t="n">
        <v>0.30340938</v>
      </c>
      <c r="R78" s="20" t="n">
        <v>0.11523115</v>
      </c>
    </row>
    <row r="79" spans="1:18">
      <c r="A79" s="15" t="s">
        <v>639</v>
      </c>
      <c r="B79" s="17" t="n">
        <v>3154</v>
      </c>
      <c r="C79" s="18">
        <f>(2806.0/B79*100)</f>
        <v/>
      </c>
      <c r="D79" s="19" t="n">
        <v>348</v>
      </c>
      <c r="E79" s="18" t="n">
        <v>69.29796974</v>
      </c>
      <c r="F79" s="20" t="n">
        <v>2.51426864</v>
      </c>
      <c r="G79" s="18" t="n">
        <v>28.1144153</v>
      </c>
      <c r="H79" s="20" t="n">
        <v>2.51937116</v>
      </c>
      <c r="I79" s="18" t="n">
        <v>0</v>
      </c>
      <c r="J79" s="20" t="n">
        <v>0</v>
      </c>
      <c r="K79" s="18" t="n">
        <v>0.3272891</v>
      </c>
      <c r="L79" s="20" t="n">
        <v>0.33777568</v>
      </c>
      <c r="M79" s="18" t="n">
        <v>0</v>
      </c>
      <c r="N79" s="20" t="n">
        <v>0</v>
      </c>
      <c r="O79" s="18" t="n">
        <v>0</v>
      </c>
      <c r="P79" s="20" t="n">
        <v>0</v>
      </c>
      <c r="Q79" s="18" t="n">
        <v>2.26032587</v>
      </c>
      <c r="R79" s="20" t="n">
        <v>0.7929671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(14171.0/B82*100)</f>
        <v/>
      </c>
      <c r="D82" s="19" t="n">
        <v>1790</v>
      </c>
      <c r="E82" s="18" t="n">
        <v>65.36743217999999</v>
      </c>
      <c r="F82" s="20" t="n">
        <v>1.69964559</v>
      </c>
      <c r="G82" s="18" t="n">
        <v>34.04168757</v>
      </c>
      <c r="H82" s="20" t="n">
        <v>1.72510075</v>
      </c>
      <c r="I82" s="18" t="n">
        <v>0</v>
      </c>
      <c r="J82" s="20" t="n">
        <v>0</v>
      </c>
      <c r="K82" s="18" t="n">
        <v>0</v>
      </c>
      <c r="L82" s="20" t="n">
        <v>0</v>
      </c>
      <c r="M82" s="18" t="n">
        <v>0</v>
      </c>
      <c r="N82" s="20" t="n">
        <v>0</v>
      </c>
      <c r="O82" s="18" t="n">
        <v>0</v>
      </c>
      <c r="P82" s="20" t="n">
        <v>0</v>
      </c>
      <c r="Q82" s="18" t="n">
        <v>0.59088025</v>
      </c>
      <c r="R82" s="20" t="n">
        <v>0.29575381</v>
      </c>
    </row>
    <row r="83" spans="1:18">
      <c r="A83" s="15" t="s">
        <v>643</v>
      </c>
      <c r="B83" s="17" t="n">
        <v>808</v>
      </c>
      <c r="C83" s="18">
        <f>(707.0/B83*100)</f>
        <v/>
      </c>
      <c r="D83" s="19" t="n">
        <v>101</v>
      </c>
      <c r="E83" s="18" t="n">
        <v>42.56583584</v>
      </c>
      <c r="F83" s="20" t="n">
        <v>4.22295116</v>
      </c>
      <c r="G83" s="18" t="n">
        <v>57.43416416</v>
      </c>
      <c r="H83" s="20" t="n">
        <v>4.22295116</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(832.0/B84*100)</f>
        <v/>
      </c>
      <c r="D84" s="19" t="n">
        <v>106</v>
      </c>
      <c r="E84" s="18" t="n">
        <v>50.27210576</v>
      </c>
      <c r="F84" s="20" t="n">
        <v>5.92391813</v>
      </c>
      <c r="G84" s="18" t="n">
        <v>48.92606149</v>
      </c>
      <c r="H84" s="20" t="n">
        <v>5.77237963</v>
      </c>
      <c r="I84" s="18" t="n">
        <v>0</v>
      </c>
      <c r="J84" s="20" t="n">
        <v>0</v>
      </c>
      <c r="K84" s="18" t="n">
        <v>0</v>
      </c>
      <c r="L84" s="20" t="n">
        <v>0</v>
      </c>
      <c r="M84" s="18" t="n">
        <v>0</v>
      </c>
      <c r="N84" s="20" t="n">
        <v>0</v>
      </c>
      <c r="O84" s="18" t="n">
        <v>0</v>
      </c>
      <c r="P84" s="20" t="n">
        <v>0</v>
      </c>
      <c r="Q84" s="18" t="n">
        <v>0.80183275</v>
      </c>
      <c r="R84" s="20" t="n">
        <v>0.83809413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729</v>
      </c>
    </row>
    <row customHeight="1" ht="30" r="4" spans="1:20">
      <c r="A4" s="6" t="n"/>
      <c r="B4" s="7" t="s">
        <v>551</v>
      </c>
      <c r="C4" s="7" t="s">
        <v>552</v>
      </c>
      <c r="D4" s="8" t="s">
        <v>551</v>
      </c>
      <c r="E4" s="9" t="s">
        <v>655</v>
      </c>
      <c r="F4" s="10" t="n"/>
      <c r="G4" s="9" t="s">
        <v>657</v>
      </c>
      <c r="H4" s="10" t="n"/>
      <c r="I4" s="9" t="s">
        <v>658</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(6375.0/B7*100)</f>
        <v/>
      </c>
      <c r="D7" s="19" t="n">
        <v>788</v>
      </c>
      <c r="E7" s="18" t="n">
        <v>59.66039844</v>
      </c>
      <c r="F7" s="20" t="n">
        <v>2.05851179</v>
      </c>
      <c r="G7" s="18" t="n">
        <v>32.35444374</v>
      </c>
      <c r="H7" s="20" t="n">
        <v>1.7974548</v>
      </c>
      <c r="I7" s="18" t="n">
        <v>1.69920122</v>
      </c>
      <c r="J7" s="20" t="n">
        <v>0.49571118</v>
      </c>
      <c r="K7" s="18" t="n">
        <v>0</v>
      </c>
      <c r="L7" s="20" t="n">
        <v>0</v>
      </c>
      <c r="M7" s="18" t="n">
        <v>0.03174463</v>
      </c>
      <c r="N7" s="20" t="n">
        <v>0.02363974</v>
      </c>
      <c r="O7" s="18" t="n">
        <v>0.0155838</v>
      </c>
      <c r="P7" s="20" t="n">
        <v>0.01570618</v>
      </c>
      <c r="Q7" s="18" t="n">
        <v>0</v>
      </c>
      <c r="R7" s="20" t="n">
        <v>0</v>
      </c>
      <c r="S7" s="18" t="n">
        <v>6.23862817</v>
      </c>
      <c r="T7" s="20" t="n">
        <v>1.04224601</v>
      </c>
    </row>
    <row r="8" spans="1:20">
      <c r="A8" s="15" t="s">
        <v>566</v>
      </c>
      <c r="B8" s="17" t="n">
        <v>3443</v>
      </c>
      <c r="C8" s="18">
        <f>(3088.0/B8*100)</f>
        <v/>
      </c>
      <c r="D8" s="19" t="n">
        <v>355</v>
      </c>
      <c r="E8" s="18" t="n">
        <v>47.24303335</v>
      </c>
      <c r="F8" s="20" t="n">
        <v>2.66998087</v>
      </c>
      <c r="G8" s="18" t="n">
        <v>40.11064882</v>
      </c>
      <c r="H8" s="20" t="n">
        <v>2.53002435</v>
      </c>
      <c r="I8" s="18" t="n">
        <v>2.02255001</v>
      </c>
      <c r="J8" s="20" t="n">
        <v>0.76944907</v>
      </c>
      <c r="K8" s="18" t="n">
        <v>0</v>
      </c>
      <c r="L8" s="20" t="n">
        <v>0</v>
      </c>
      <c r="M8" s="18" t="n">
        <v>0.10302582</v>
      </c>
      <c r="N8" s="20" t="n">
        <v>0.10255822</v>
      </c>
      <c r="O8" s="18" t="n">
        <v>0</v>
      </c>
      <c r="P8" s="20" t="n">
        <v>0</v>
      </c>
      <c r="Q8" s="18" t="n">
        <v>0</v>
      </c>
      <c r="R8" s="20" t="n">
        <v>0</v>
      </c>
      <c r="S8" s="18" t="n">
        <v>10.520742</v>
      </c>
      <c r="T8" s="20" t="n">
        <v>1.66765778</v>
      </c>
    </row>
    <row r="9" spans="1:20">
      <c r="A9" s="15" t="s">
        <v>567</v>
      </c>
      <c r="B9" s="17" t="n">
        <v>4752</v>
      </c>
      <c r="C9" s="18">
        <f>(4239.0/B9*100)</f>
        <v/>
      </c>
      <c r="D9" s="19" t="n">
        <v>513</v>
      </c>
      <c r="E9" s="18" t="n">
        <v>55.76165982</v>
      </c>
      <c r="F9" s="20" t="n">
        <v>2.2575906</v>
      </c>
      <c r="G9" s="18" t="n">
        <v>32.78174017</v>
      </c>
      <c r="H9" s="20" t="n">
        <v>1.83729077</v>
      </c>
      <c r="I9" s="18" t="n">
        <v>3.29885354</v>
      </c>
      <c r="J9" s="20" t="n">
        <v>0.74503427</v>
      </c>
      <c r="K9" s="18" t="n">
        <v>0</v>
      </c>
      <c r="L9" s="20" t="n">
        <v>0</v>
      </c>
      <c r="M9" s="18" t="n">
        <v>0</v>
      </c>
      <c r="N9" s="20" t="n">
        <v>0</v>
      </c>
      <c r="O9" s="18" t="n">
        <v>0.1578084</v>
      </c>
      <c r="P9" s="20" t="n">
        <v>0.15338941</v>
      </c>
      <c r="Q9" s="18" t="n">
        <v>0</v>
      </c>
      <c r="R9" s="20" t="n">
        <v>0</v>
      </c>
      <c r="S9" s="18" t="n">
        <v>7.99993808</v>
      </c>
      <c r="T9" s="20" t="n">
        <v>1.37789625</v>
      </c>
    </row>
    <row r="10" spans="1:20">
      <c r="A10" s="15" t="s">
        <v>568</v>
      </c>
      <c r="B10" s="17" t="n">
        <v>10022</v>
      </c>
      <c r="C10" s="18">
        <f>(8893.0/B10*100)</f>
        <v/>
      </c>
      <c r="D10" s="19" t="n">
        <v>1129</v>
      </c>
      <c r="E10" s="18" t="n">
        <v>58.60102767</v>
      </c>
      <c r="F10" s="20" t="n">
        <v>2.2502716</v>
      </c>
      <c r="G10" s="18" t="n">
        <v>33.49401518</v>
      </c>
      <c r="H10" s="20" t="n">
        <v>1.8567305</v>
      </c>
      <c r="I10" s="18" t="n">
        <v>2.76552722</v>
      </c>
      <c r="J10" s="20" t="n">
        <v>0.75485259</v>
      </c>
      <c r="K10" s="18" t="n">
        <v>0</v>
      </c>
      <c r="L10" s="20" t="n">
        <v>0</v>
      </c>
      <c r="M10" s="18" t="n">
        <v>0.38266948</v>
      </c>
      <c r="N10" s="20" t="n">
        <v>0.30764262</v>
      </c>
      <c r="O10" s="18" t="n">
        <v>0</v>
      </c>
      <c r="P10" s="20" t="n">
        <v>0</v>
      </c>
      <c r="Q10" s="18" t="n">
        <v>0</v>
      </c>
      <c r="R10" s="20" t="n">
        <v>0</v>
      </c>
      <c r="S10" s="18" t="n">
        <v>4.75676045</v>
      </c>
      <c r="T10" s="20" t="n">
        <v>0.78524967</v>
      </c>
    </row>
    <row r="11" spans="1:20">
      <c r="A11" s="15" t="s">
        <v>569</v>
      </c>
      <c r="B11" s="17" t="n">
        <v>3500</v>
      </c>
      <c r="C11" s="18">
        <f>(3090.0/B11*100)</f>
        <v/>
      </c>
      <c r="D11" s="19" t="n">
        <v>410</v>
      </c>
      <c r="E11" s="18" t="n">
        <v>57.17289884</v>
      </c>
      <c r="F11" s="20" t="n">
        <v>3.16691221</v>
      </c>
      <c r="G11" s="18" t="n">
        <v>15.27868352</v>
      </c>
      <c r="H11" s="20" t="n">
        <v>2.07624587</v>
      </c>
      <c r="I11" s="18" t="n">
        <v>12.45094065</v>
      </c>
      <c r="J11" s="20" t="n">
        <v>1.77430255</v>
      </c>
      <c r="K11" s="18" t="n">
        <v>0</v>
      </c>
      <c r="L11" s="20" t="n">
        <v>0</v>
      </c>
      <c r="M11" s="18" t="n">
        <v>1.24668252</v>
      </c>
      <c r="N11" s="20" t="n">
        <v>0.7606682</v>
      </c>
      <c r="O11" s="18" t="n">
        <v>0</v>
      </c>
      <c r="P11" s="20" t="n">
        <v>0</v>
      </c>
      <c r="Q11" s="18" t="n">
        <v>0</v>
      </c>
      <c r="R11" s="20" t="n">
        <v>0</v>
      </c>
      <c r="S11" s="18" t="n">
        <v>13.85079447</v>
      </c>
      <c r="T11" s="20" t="n">
        <v>2.12277984</v>
      </c>
    </row>
    <row r="12" spans="1:20">
      <c r="A12" s="15" t="s">
        <v>570</v>
      </c>
      <c r="B12" s="17" t="n">
        <v>3422</v>
      </c>
      <c r="C12" s="18">
        <f>(3034.0/B12*100)</f>
        <v/>
      </c>
      <c r="D12" s="19" t="n">
        <v>388</v>
      </c>
      <c r="E12" s="18" t="n">
        <v>48.83487094</v>
      </c>
      <c r="F12" s="20" t="n">
        <v>2.45548743</v>
      </c>
      <c r="G12" s="18" t="n">
        <v>39.3204556</v>
      </c>
      <c r="H12" s="20" t="n">
        <v>2.52262776</v>
      </c>
      <c r="I12" s="18" t="n">
        <v>2.4404618</v>
      </c>
      <c r="J12" s="20" t="n">
        <v>0.77687236</v>
      </c>
      <c r="K12" s="18" t="n">
        <v>0</v>
      </c>
      <c r="L12" s="20" t="n">
        <v>0</v>
      </c>
      <c r="M12" s="18" t="n">
        <v>0</v>
      </c>
      <c r="N12" s="20" t="n">
        <v>0</v>
      </c>
      <c r="O12" s="18" t="n">
        <v>0.25640972</v>
      </c>
      <c r="P12" s="20" t="n">
        <v>0.25346263</v>
      </c>
      <c r="Q12" s="18" t="n">
        <v>0</v>
      </c>
      <c r="R12" s="20" t="n">
        <v>0</v>
      </c>
      <c r="S12" s="18" t="n">
        <v>9.14780195</v>
      </c>
      <c r="T12" s="20" t="n">
        <v>1.48803034</v>
      </c>
    </row>
    <row r="13" spans="1:20">
      <c r="A13" s="15" t="s">
        <v>571</v>
      </c>
      <c r="B13" s="17" t="n">
        <v>3602</v>
      </c>
      <c r="C13" s="18">
        <f>(3251.0/B13*100)</f>
        <v/>
      </c>
      <c r="D13" s="19" t="n">
        <v>351</v>
      </c>
      <c r="E13" s="18" t="n">
        <v>47.29817376</v>
      </c>
      <c r="F13" s="20" t="n">
        <v>2.92046127</v>
      </c>
      <c r="G13" s="18" t="n">
        <v>40.02533255</v>
      </c>
      <c r="H13" s="20" t="n">
        <v>3.05754685</v>
      </c>
      <c r="I13" s="18" t="n">
        <v>2.7435536</v>
      </c>
      <c r="J13" s="20" t="n">
        <v>0.89974523</v>
      </c>
      <c r="K13" s="18" t="n">
        <v>0</v>
      </c>
      <c r="L13" s="20" t="n">
        <v>0</v>
      </c>
      <c r="M13" s="18" t="n">
        <v>0.15277813</v>
      </c>
      <c r="N13" s="20" t="n">
        <v>0.11782279</v>
      </c>
      <c r="O13" s="18" t="n">
        <v>0.07045309</v>
      </c>
      <c r="P13" s="20" t="n">
        <v>0.07032556</v>
      </c>
      <c r="Q13" s="18" t="n">
        <v>0</v>
      </c>
      <c r="R13" s="20" t="n">
        <v>0</v>
      </c>
      <c r="S13" s="18" t="n">
        <v>9.70970887</v>
      </c>
      <c r="T13" s="20" t="n">
        <v>1.92654484</v>
      </c>
    </row>
    <row r="14" spans="1:20">
      <c r="A14" s="15" t="s">
        <v>572</v>
      </c>
      <c r="B14" s="17" t="n">
        <v>2788</v>
      </c>
      <c r="C14" s="18">
        <f>(2469.0/B14*100)</f>
        <v/>
      </c>
      <c r="D14" s="19" t="n">
        <v>319</v>
      </c>
      <c r="E14" s="18" t="n">
        <v>51.3322259</v>
      </c>
      <c r="F14" s="20" t="n">
        <v>3.16450296</v>
      </c>
      <c r="G14" s="18" t="n">
        <v>37.14576173</v>
      </c>
      <c r="H14" s="20" t="n">
        <v>2.87988229</v>
      </c>
      <c r="I14" s="18" t="n">
        <v>6.88867414</v>
      </c>
      <c r="J14" s="20" t="n">
        <v>1.46948569</v>
      </c>
      <c r="K14" s="18" t="n">
        <v>0</v>
      </c>
      <c r="L14" s="20" t="n">
        <v>0</v>
      </c>
      <c r="M14" s="18" t="n">
        <v>0</v>
      </c>
      <c r="N14" s="20" t="n">
        <v>0</v>
      </c>
      <c r="O14" s="18" t="n">
        <v>0</v>
      </c>
      <c r="P14" s="20" t="n">
        <v>0</v>
      </c>
      <c r="Q14" s="18" t="n">
        <v>0</v>
      </c>
      <c r="R14" s="20" t="n">
        <v>0</v>
      </c>
      <c r="S14" s="18" t="n">
        <v>4.63333823</v>
      </c>
      <c r="T14" s="20" t="n">
        <v>1.22564426</v>
      </c>
    </row>
    <row r="15" spans="1:20">
      <c r="A15" s="15" t="s">
        <v>573</v>
      </c>
      <c r="B15" s="17" t="n">
        <v>2863</v>
      </c>
      <c r="C15" s="18">
        <f>(2538.0/B15*100)</f>
        <v/>
      </c>
      <c r="D15" s="19" t="n">
        <v>325</v>
      </c>
      <c r="E15" s="18" t="n">
        <v>43.10769086</v>
      </c>
      <c r="F15" s="20" t="n">
        <v>2.99677263</v>
      </c>
      <c r="G15" s="18" t="n">
        <v>50.2731708</v>
      </c>
      <c r="H15" s="20" t="n">
        <v>2.96332454</v>
      </c>
      <c r="I15" s="18" t="n">
        <v>2.46736891</v>
      </c>
      <c r="J15" s="20" t="n">
        <v>0.87529335</v>
      </c>
      <c r="K15" s="18" t="n">
        <v>0</v>
      </c>
      <c r="L15" s="20" t="n">
        <v>0</v>
      </c>
      <c r="M15" s="18" t="n">
        <v>0</v>
      </c>
      <c r="N15" s="20" t="n">
        <v>0</v>
      </c>
      <c r="O15" s="18" t="n">
        <v>0.33767208</v>
      </c>
      <c r="P15" s="20" t="n">
        <v>0.3456695</v>
      </c>
      <c r="Q15" s="18" t="n">
        <v>0</v>
      </c>
      <c r="R15" s="20" t="n">
        <v>0</v>
      </c>
      <c r="S15" s="18" t="n">
        <v>3.81409735</v>
      </c>
      <c r="T15" s="20" t="n">
        <v>1.17246351</v>
      </c>
    </row>
    <row r="16" spans="1:20">
      <c r="A16" s="15" t="s">
        <v>574</v>
      </c>
      <c r="B16" s="17" t="n">
        <v>3111</v>
      </c>
      <c r="C16" s="18">
        <f>(2749.0/B16*100)</f>
        <v/>
      </c>
      <c r="D16" s="19" t="n">
        <v>362</v>
      </c>
      <c r="E16" s="18" t="n">
        <v>49.5216199</v>
      </c>
      <c r="F16" s="20" t="n">
        <v>2.61987419</v>
      </c>
      <c r="G16" s="18" t="n">
        <v>30.25133925</v>
      </c>
      <c r="H16" s="20" t="n">
        <v>2.20022519</v>
      </c>
      <c r="I16" s="18" t="n">
        <v>2.39168077</v>
      </c>
      <c r="J16" s="20" t="n">
        <v>0.70665771</v>
      </c>
      <c r="K16" s="18" t="n">
        <v>0</v>
      </c>
      <c r="L16" s="20" t="n">
        <v>0</v>
      </c>
      <c r="M16" s="18" t="n">
        <v>0</v>
      </c>
      <c r="N16" s="20" t="n">
        <v>0</v>
      </c>
      <c r="O16" s="18" t="n">
        <v>0</v>
      </c>
      <c r="P16" s="20" t="n">
        <v>0</v>
      </c>
      <c r="Q16" s="18" t="n">
        <v>0</v>
      </c>
      <c r="R16" s="20" t="n">
        <v>0</v>
      </c>
      <c r="S16" s="18" t="n">
        <v>17.83536008</v>
      </c>
      <c r="T16" s="20" t="n">
        <v>2.21425983</v>
      </c>
    </row>
    <row r="17" spans="1:20">
      <c r="A17" s="15" t="s">
        <v>575</v>
      </c>
      <c r="B17" s="17" t="n">
        <v>3197</v>
      </c>
      <c r="C17" s="18">
        <f>(2849.0/B17*100)</f>
        <v/>
      </c>
      <c r="D17" s="19" t="n">
        <v>348</v>
      </c>
      <c r="E17" s="18" t="n">
        <v>41.47312496</v>
      </c>
      <c r="F17" s="20" t="n">
        <v>2.49189243</v>
      </c>
      <c r="G17" s="18" t="n">
        <v>45.75667963</v>
      </c>
      <c r="H17" s="20" t="n">
        <v>2.60372093</v>
      </c>
      <c r="I17" s="18" t="n">
        <v>1.29033149</v>
      </c>
      <c r="J17" s="20" t="n">
        <v>0.6186869</v>
      </c>
      <c r="K17" s="18" t="n">
        <v>0</v>
      </c>
      <c r="L17" s="20" t="n">
        <v>0</v>
      </c>
      <c r="M17" s="18" t="n">
        <v>0</v>
      </c>
      <c r="N17" s="20" t="n">
        <v>0</v>
      </c>
      <c r="O17" s="18" t="n">
        <v>0</v>
      </c>
      <c r="P17" s="20" t="n">
        <v>0</v>
      </c>
      <c r="Q17" s="18" t="n">
        <v>0</v>
      </c>
      <c r="R17" s="20" t="n">
        <v>0</v>
      </c>
      <c r="S17" s="18" t="n">
        <v>11.47986392</v>
      </c>
      <c r="T17" s="20" t="n">
        <v>1.8093542</v>
      </c>
    </row>
    <row r="18" spans="1:20">
      <c r="A18" s="15" t="s">
        <v>576</v>
      </c>
      <c r="B18" s="17" t="n">
        <v>2706</v>
      </c>
      <c r="C18" s="18">
        <f>(2407.0/B18*100)</f>
        <v/>
      </c>
      <c r="D18" s="19" t="n">
        <v>299</v>
      </c>
      <c r="E18" s="18" t="n">
        <v>40.38825067</v>
      </c>
      <c r="F18" s="20" t="n">
        <v>3.08636109</v>
      </c>
      <c r="G18" s="18" t="n">
        <v>33.6108722</v>
      </c>
      <c r="H18" s="20" t="n">
        <v>2.73122109</v>
      </c>
      <c r="I18" s="18" t="n">
        <v>17.54883793</v>
      </c>
      <c r="J18" s="20" t="n">
        <v>2.4440613</v>
      </c>
      <c r="K18" s="18" t="n">
        <v>0</v>
      </c>
      <c r="L18" s="20" t="n">
        <v>0</v>
      </c>
      <c r="M18" s="18" t="n">
        <v>0.27585986</v>
      </c>
      <c r="N18" s="20" t="n">
        <v>0.26997879</v>
      </c>
      <c r="O18" s="18" t="n">
        <v>0</v>
      </c>
      <c r="P18" s="20" t="n">
        <v>0</v>
      </c>
      <c r="Q18" s="18" t="n">
        <v>0</v>
      </c>
      <c r="R18" s="20" t="n">
        <v>0</v>
      </c>
      <c r="S18" s="18" t="n">
        <v>8.176179339999999</v>
      </c>
      <c r="T18" s="20" t="n">
        <v>1.34874885</v>
      </c>
    </row>
    <row r="19" spans="1:20">
      <c r="A19" s="15" t="s">
        <v>577</v>
      </c>
      <c r="B19" s="17" t="n">
        <v>2850</v>
      </c>
      <c r="C19" s="18">
        <f>(2560.0/B19*100)</f>
        <v/>
      </c>
      <c r="D19" s="19" t="n">
        <v>290</v>
      </c>
      <c r="E19" s="18" t="n">
        <v>59.5291742</v>
      </c>
      <c r="F19" s="20" t="n">
        <v>2.76287826</v>
      </c>
      <c r="G19" s="18" t="n">
        <v>23.6048842</v>
      </c>
      <c r="H19" s="20" t="n">
        <v>2.2286063</v>
      </c>
      <c r="I19" s="18" t="n">
        <v>2.21130837</v>
      </c>
      <c r="J19" s="20" t="n">
        <v>0.86551583</v>
      </c>
      <c r="K19" s="18" t="n">
        <v>0</v>
      </c>
      <c r="L19" s="20" t="n">
        <v>0</v>
      </c>
      <c r="M19" s="18" t="n">
        <v>0</v>
      </c>
      <c r="N19" s="20" t="n">
        <v>0</v>
      </c>
      <c r="O19" s="18" t="n">
        <v>0</v>
      </c>
      <c r="P19" s="20" t="n">
        <v>0</v>
      </c>
      <c r="Q19" s="18" t="n">
        <v>0</v>
      </c>
      <c r="R19" s="20" t="n">
        <v>0</v>
      </c>
      <c r="S19" s="18" t="n">
        <v>14.65463323</v>
      </c>
      <c r="T19" s="20" t="n">
        <v>2.48814703</v>
      </c>
    </row>
    <row r="20" spans="1:20">
      <c r="A20" s="15" t="s">
        <v>578</v>
      </c>
      <c r="B20" s="17" t="n">
        <v>1741</v>
      </c>
      <c r="C20" s="18">
        <f>(1548.0/B20*100)</f>
        <v/>
      </c>
      <c r="D20" s="19" t="n">
        <v>193</v>
      </c>
      <c r="E20" s="18" t="n">
        <v>58.18990185</v>
      </c>
      <c r="F20" s="20" t="n">
        <v>3.43808983</v>
      </c>
      <c r="G20" s="18" t="n">
        <v>26.05505562</v>
      </c>
      <c r="H20" s="20" t="n">
        <v>2.96244168</v>
      </c>
      <c r="I20" s="18" t="n">
        <v>2.93167914</v>
      </c>
      <c r="J20" s="20" t="n">
        <v>1.20698512</v>
      </c>
      <c r="K20" s="18" t="n">
        <v>0</v>
      </c>
      <c r="L20" s="20" t="n">
        <v>0</v>
      </c>
      <c r="M20" s="18" t="n">
        <v>0.48405624</v>
      </c>
      <c r="N20" s="20" t="n">
        <v>0.48436783</v>
      </c>
      <c r="O20" s="18" t="n">
        <v>0.63031978</v>
      </c>
      <c r="P20" s="20" t="n">
        <v>0.63610378</v>
      </c>
      <c r="Q20" s="18" t="n">
        <v>0</v>
      </c>
      <c r="R20" s="20" t="n">
        <v>0</v>
      </c>
      <c r="S20" s="18" t="n">
        <v>11.70898738</v>
      </c>
      <c r="T20" s="20" t="n">
        <v>2.48210257</v>
      </c>
    </row>
    <row r="21" spans="1:20">
      <c r="A21" s="15" t="s">
        <v>579</v>
      </c>
      <c r="B21" s="17" t="n">
        <v>2833</v>
      </c>
      <c r="C21" s="18">
        <f>(2556.0/B21*100)</f>
        <v/>
      </c>
      <c r="D21" s="19" t="n">
        <v>277</v>
      </c>
      <c r="E21" s="18" t="n">
        <v>68.89035536</v>
      </c>
      <c r="F21" s="20" t="n">
        <v>2.46372103</v>
      </c>
      <c r="G21" s="18" t="n">
        <v>25.34518338</v>
      </c>
      <c r="H21" s="20" t="n">
        <v>2.25764062</v>
      </c>
      <c r="I21" s="18" t="n">
        <v>2.86404231</v>
      </c>
      <c r="J21" s="20" t="n">
        <v>1.03874063</v>
      </c>
      <c r="K21" s="18" t="n">
        <v>0</v>
      </c>
      <c r="L21" s="20" t="n">
        <v>0</v>
      </c>
      <c r="M21" s="18" t="n">
        <v>0.3121142</v>
      </c>
      <c r="N21" s="20" t="n">
        <v>0.22597434</v>
      </c>
      <c r="O21" s="18" t="n">
        <v>0</v>
      </c>
      <c r="P21" s="20" t="n">
        <v>0</v>
      </c>
      <c r="Q21" s="18" t="n">
        <v>0</v>
      </c>
      <c r="R21" s="20" t="n">
        <v>0</v>
      </c>
      <c r="S21" s="18" t="n">
        <v>2.58830476</v>
      </c>
      <c r="T21" s="20" t="n">
        <v>1.05696967</v>
      </c>
    </row>
    <row r="22" spans="1:20">
      <c r="A22" s="15" t="s">
        <v>580</v>
      </c>
      <c r="B22" s="17" t="n">
        <v>3667</v>
      </c>
      <c r="C22" s="18">
        <f>(3290.0/B22*100)</f>
        <v/>
      </c>
      <c r="D22" s="19" t="n">
        <v>377</v>
      </c>
      <c r="E22" s="18" t="n">
        <v>49.03040843</v>
      </c>
      <c r="F22" s="20" t="n">
        <v>2.85725841</v>
      </c>
      <c r="G22" s="18" t="n">
        <v>36.72690361</v>
      </c>
      <c r="H22" s="20" t="n">
        <v>2.56602617</v>
      </c>
      <c r="I22" s="18" t="n">
        <v>5.04233336</v>
      </c>
      <c r="J22" s="20" t="n">
        <v>1.64094773</v>
      </c>
      <c r="K22" s="18" t="n">
        <v>0</v>
      </c>
      <c r="L22" s="20" t="n">
        <v>0</v>
      </c>
      <c r="M22" s="18" t="n">
        <v>0.26035268</v>
      </c>
      <c r="N22" s="20" t="n">
        <v>0.24869964</v>
      </c>
      <c r="O22" s="18" t="n">
        <v>0</v>
      </c>
      <c r="P22" s="20" t="n">
        <v>0</v>
      </c>
      <c r="Q22" s="18" t="n">
        <v>0</v>
      </c>
      <c r="R22" s="20" t="n">
        <v>0</v>
      </c>
      <c r="S22" s="18" t="n">
        <v>8.94000192</v>
      </c>
      <c r="T22" s="20" t="n">
        <v>1.35151014</v>
      </c>
    </row>
    <row r="23" spans="1:20">
      <c r="A23" s="15" t="s">
        <v>581</v>
      </c>
      <c r="B23" s="17" t="n">
        <v>5792</v>
      </c>
      <c r="C23" s="18">
        <f>(5128.0/B23*100)</f>
        <v/>
      </c>
      <c r="D23" s="19" t="n">
        <v>664</v>
      </c>
      <c r="E23" s="18" t="n">
        <v>52.21820869</v>
      </c>
      <c r="F23" s="20" t="n">
        <v>2.99373157</v>
      </c>
      <c r="G23" s="18" t="n">
        <v>23.9513239</v>
      </c>
      <c r="H23" s="20" t="n">
        <v>2.47405159</v>
      </c>
      <c r="I23" s="18" t="n">
        <v>8.44303777</v>
      </c>
      <c r="J23" s="20" t="n">
        <v>1.66494183</v>
      </c>
      <c r="K23" s="18" t="n">
        <v>0</v>
      </c>
      <c r="L23" s="20" t="n">
        <v>0</v>
      </c>
      <c r="M23" s="18" t="n">
        <v>0.00420184</v>
      </c>
      <c r="N23" s="20" t="n">
        <v>0.00424262</v>
      </c>
      <c r="O23" s="18" t="n">
        <v>0</v>
      </c>
      <c r="P23" s="20" t="n">
        <v>0</v>
      </c>
      <c r="Q23" s="18" t="n">
        <v>0</v>
      </c>
      <c r="R23" s="20" t="n">
        <v>0</v>
      </c>
      <c r="S23" s="18" t="n">
        <v>15.38322781</v>
      </c>
      <c r="T23" s="20" t="n">
        <v>2.38997989</v>
      </c>
    </row>
    <row r="24" spans="1:20">
      <c r="A24" s="15" t="s">
        <v>582</v>
      </c>
      <c r="B24" s="17" t="n">
        <v>3309</v>
      </c>
      <c r="C24" s="18">
        <f>(2978.0/B24*100)</f>
        <v/>
      </c>
      <c r="D24" s="19" t="n">
        <v>331</v>
      </c>
      <c r="E24" s="18" t="n">
        <v>49.7314212</v>
      </c>
      <c r="F24" s="20" t="n">
        <v>2.8523368</v>
      </c>
      <c r="G24" s="18" t="n">
        <v>34.94545424</v>
      </c>
      <c r="H24" s="20" t="n">
        <v>2.72732561</v>
      </c>
      <c r="I24" s="18" t="n">
        <v>3.97622272</v>
      </c>
      <c r="J24" s="20" t="n">
        <v>0.86968459</v>
      </c>
      <c r="K24" s="18" t="n">
        <v>0</v>
      </c>
      <c r="L24" s="20" t="n">
        <v>0</v>
      </c>
      <c r="M24" s="18" t="n">
        <v>0</v>
      </c>
      <c r="N24" s="20" t="n">
        <v>0</v>
      </c>
      <c r="O24" s="18" t="n">
        <v>0</v>
      </c>
      <c r="P24" s="20" t="n">
        <v>0</v>
      </c>
      <c r="Q24" s="18" t="n">
        <v>0</v>
      </c>
      <c r="R24" s="20" t="n">
        <v>0</v>
      </c>
      <c r="S24" s="18" t="n">
        <v>11.34690184</v>
      </c>
      <c r="T24" s="20" t="n">
        <v>1.73862029</v>
      </c>
    </row>
    <row r="25" spans="1:20">
      <c r="A25" s="15" t="s">
        <v>583</v>
      </c>
      <c r="B25" s="17" t="n">
        <v>2669</v>
      </c>
      <c r="C25" s="18">
        <f>(2365.0/B25*100)</f>
        <v/>
      </c>
      <c r="D25" s="19" t="n">
        <v>304</v>
      </c>
      <c r="E25" s="18" t="n">
        <v>57.91517533</v>
      </c>
      <c r="F25" s="20" t="n">
        <v>3.2343137</v>
      </c>
      <c r="G25" s="18" t="n">
        <v>25.62352805</v>
      </c>
      <c r="H25" s="20" t="n">
        <v>2.77860972</v>
      </c>
      <c r="I25" s="18" t="n">
        <v>7.65230952</v>
      </c>
      <c r="J25" s="20" t="n">
        <v>1.54138288</v>
      </c>
      <c r="K25" s="18" t="n">
        <v>0</v>
      </c>
      <c r="L25" s="20" t="n">
        <v>0</v>
      </c>
      <c r="M25" s="18" t="n">
        <v>0</v>
      </c>
      <c r="N25" s="20" t="n">
        <v>0</v>
      </c>
      <c r="O25" s="18" t="n">
        <v>0</v>
      </c>
      <c r="P25" s="20" t="n">
        <v>0</v>
      </c>
      <c r="Q25" s="18" t="n">
        <v>0</v>
      </c>
      <c r="R25" s="20" t="n">
        <v>0</v>
      </c>
      <c r="S25" s="18" t="n">
        <v>8.8089871</v>
      </c>
      <c r="T25" s="20" t="n">
        <v>1.8218775</v>
      </c>
    </row>
    <row r="26" spans="1:20">
      <c r="A26" s="15" t="s">
        <v>584</v>
      </c>
      <c r="B26" s="17" t="n">
        <v>2419</v>
      </c>
      <c r="C26" s="18">
        <f>(2142.0/B26*100)</f>
        <v/>
      </c>
      <c r="D26" s="19" t="n">
        <v>277</v>
      </c>
      <c r="E26" s="18" t="n">
        <v>68.55903662999999</v>
      </c>
      <c r="F26" s="20" t="n">
        <v>3.26333878</v>
      </c>
      <c r="G26" s="18" t="n">
        <v>27.81888885</v>
      </c>
      <c r="H26" s="20" t="n">
        <v>3.22081821</v>
      </c>
      <c r="I26" s="18" t="n">
        <v>1.3925473</v>
      </c>
      <c r="J26" s="20" t="n">
        <v>0.71982075</v>
      </c>
      <c r="K26" s="18" t="n">
        <v>0</v>
      </c>
      <c r="L26" s="20" t="n">
        <v>0</v>
      </c>
      <c r="M26" s="18" t="n">
        <v>0</v>
      </c>
      <c r="N26" s="20" t="n">
        <v>0</v>
      </c>
      <c r="O26" s="18" t="n">
        <v>0.33025775</v>
      </c>
      <c r="P26" s="20" t="n">
        <v>0.33409261</v>
      </c>
      <c r="Q26" s="18" t="n">
        <v>0</v>
      </c>
      <c r="R26" s="20" t="n">
        <v>0</v>
      </c>
      <c r="S26" s="18" t="n">
        <v>1.89926947</v>
      </c>
      <c r="T26" s="20" t="n">
        <v>0.79663501</v>
      </c>
    </row>
    <row r="27" spans="1:20">
      <c r="A27" s="15" t="s">
        <v>585</v>
      </c>
      <c r="B27" s="17" t="n">
        <v>2683</v>
      </c>
      <c r="C27" s="18">
        <f>(2380.0/B27*100)</f>
        <v/>
      </c>
      <c r="D27" s="19" t="n">
        <v>303</v>
      </c>
      <c r="E27" s="18" t="n">
        <v>47.54583223</v>
      </c>
      <c r="F27" s="20" t="n">
        <v>3.13155417</v>
      </c>
      <c r="G27" s="18" t="n">
        <v>36.81386095</v>
      </c>
      <c r="H27" s="20" t="n">
        <v>2.79526703</v>
      </c>
      <c r="I27" s="18" t="n">
        <v>1.3276289</v>
      </c>
      <c r="J27" s="20" t="n">
        <v>0.65287674</v>
      </c>
      <c r="K27" s="18" t="n">
        <v>0</v>
      </c>
      <c r="L27" s="20" t="n">
        <v>0</v>
      </c>
      <c r="M27" s="18" t="n">
        <v>0</v>
      </c>
      <c r="N27" s="20" t="n">
        <v>0</v>
      </c>
      <c r="O27" s="18" t="n">
        <v>0</v>
      </c>
      <c r="P27" s="20" t="n">
        <v>0</v>
      </c>
      <c r="Q27" s="18" t="n">
        <v>0</v>
      </c>
      <c r="R27" s="20" t="n">
        <v>0</v>
      </c>
      <c r="S27" s="18" t="n">
        <v>14.31267792</v>
      </c>
      <c r="T27" s="20" t="n">
        <v>2.03990252</v>
      </c>
    </row>
    <row r="28" spans="1:20">
      <c r="A28" s="15" t="s">
        <v>586</v>
      </c>
      <c r="B28" s="17" t="n">
        <v>3803</v>
      </c>
      <c r="C28" s="18">
        <f>(3390.0/B28*100)</f>
        <v/>
      </c>
      <c r="D28" s="19" t="n">
        <v>413</v>
      </c>
      <c r="E28" s="18" t="n">
        <v>85.30868347000001</v>
      </c>
      <c r="F28" s="20" t="n">
        <v>1.85501853</v>
      </c>
      <c r="G28" s="18" t="n">
        <v>10.03788321</v>
      </c>
      <c r="H28" s="20" t="n">
        <v>1.5079336</v>
      </c>
      <c r="I28" s="18" t="n">
        <v>1.28514746</v>
      </c>
      <c r="J28" s="20" t="n">
        <v>0.61279396</v>
      </c>
      <c r="K28" s="18" t="n">
        <v>0</v>
      </c>
      <c r="L28" s="20" t="n">
        <v>0</v>
      </c>
      <c r="M28" s="18" t="n">
        <v>0.20953237</v>
      </c>
      <c r="N28" s="20" t="n">
        <v>0.20967778</v>
      </c>
      <c r="O28" s="18" t="n">
        <v>0.40388244</v>
      </c>
      <c r="P28" s="20" t="n">
        <v>0.40491847</v>
      </c>
      <c r="Q28" s="18" t="n">
        <v>0</v>
      </c>
      <c r="R28" s="20" t="n">
        <v>0</v>
      </c>
      <c r="S28" s="18" t="n">
        <v>2.75487105</v>
      </c>
      <c r="T28" s="20" t="n">
        <v>0.97936777</v>
      </c>
    </row>
    <row r="29" spans="1:20">
      <c r="A29" s="15" t="s">
        <v>587</v>
      </c>
      <c r="B29" s="17" t="n">
        <v>2700</v>
      </c>
      <c r="C29" s="18">
        <f>(2422.0/B29*100)</f>
        <v/>
      </c>
      <c r="D29" s="19" t="n">
        <v>278</v>
      </c>
      <c r="E29" s="18" t="n">
        <v>47.51685399</v>
      </c>
      <c r="F29" s="20" t="n">
        <v>3.27375229</v>
      </c>
      <c r="G29" s="18" t="n">
        <v>49.34713255</v>
      </c>
      <c r="H29" s="20" t="n">
        <v>3.22017782</v>
      </c>
      <c r="I29" s="18" t="n">
        <v>0.96274825</v>
      </c>
      <c r="J29" s="20" t="n">
        <v>0.63279877</v>
      </c>
      <c r="K29" s="18" t="n">
        <v>0</v>
      </c>
      <c r="L29" s="20" t="n">
        <v>0</v>
      </c>
      <c r="M29" s="18" t="n">
        <v>0</v>
      </c>
      <c r="N29" s="20" t="n">
        <v>0</v>
      </c>
      <c r="O29" s="18" t="n">
        <v>0</v>
      </c>
      <c r="P29" s="20" t="n">
        <v>0</v>
      </c>
      <c r="Q29" s="18" t="n">
        <v>0</v>
      </c>
      <c r="R29" s="20" t="n">
        <v>0</v>
      </c>
      <c r="S29" s="18" t="n">
        <v>2.17326521</v>
      </c>
      <c r="T29" s="20" t="n">
        <v>0.8793701</v>
      </c>
    </row>
    <row r="30" spans="1:20">
      <c r="A30" s="15" t="s">
        <v>588</v>
      </c>
      <c r="B30" s="17" t="n">
        <v>2257</v>
      </c>
      <c r="C30" s="18">
        <f>(2009.0/B30*100)</f>
        <v/>
      </c>
      <c r="D30" s="19" t="n">
        <v>248</v>
      </c>
      <c r="E30" s="18" t="n">
        <v>50.35206394</v>
      </c>
      <c r="F30" s="20" t="n">
        <v>3.94373767</v>
      </c>
      <c r="G30" s="18" t="n">
        <v>38.60216179</v>
      </c>
      <c r="H30" s="20" t="n">
        <v>3.87254962</v>
      </c>
      <c r="I30" s="18" t="n">
        <v>1.01771594</v>
      </c>
      <c r="J30" s="20" t="n">
        <v>0.63971774</v>
      </c>
      <c r="K30" s="18" t="n">
        <v>0</v>
      </c>
      <c r="L30" s="20" t="n">
        <v>0</v>
      </c>
      <c r="M30" s="18" t="n">
        <v>0.50449391</v>
      </c>
      <c r="N30" s="20" t="n">
        <v>0.5362993</v>
      </c>
      <c r="O30" s="18" t="n">
        <v>0</v>
      </c>
      <c r="P30" s="20" t="n">
        <v>0</v>
      </c>
      <c r="Q30" s="18" t="n">
        <v>0</v>
      </c>
      <c r="R30" s="20" t="n">
        <v>0</v>
      </c>
      <c r="S30" s="18" t="n">
        <v>9.523564410000001</v>
      </c>
      <c r="T30" s="20" t="n">
        <v>1.80003662</v>
      </c>
    </row>
    <row r="31" spans="1:20">
      <c r="A31" s="15" t="s">
        <v>589</v>
      </c>
      <c r="B31" s="17" t="n">
        <v>2706</v>
      </c>
      <c r="C31" s="18">
        <f>(2404.0/B31*100)</f>
        <v/>
      </c>
      <c r="D31" s="19" t="n">
        <v>302</v>
      </c>
      <c r="E31" s="18" t="n">
        <v>52.02426757</v>
      </c>
      <c r="F31" s="20" t="n">
        <v>2.80507463</v>
      </c>
      <c r="G31" s="18" t="n">
        <v>30.7538962</v>
      </c>
      <c r="H31" s="20" t="n">
        <v>2.64376716</v>
      </c>
      <c r="I31" s="18" t="n">
        <v>0.98316662</v>
      </c>
      <c r="J31" s="20" t="n">
        <v>0.57810424</v>
      </c>
      <c r="K31" s="18" t="n">
        <v>0</v>
      </c>
      <c r="L31" s="20" t="n">
        <v>0</v>
      </c>
      <c r="M31" s="18" t="n">
        <v>0.28183403</v>
      </c>
      <c r="N31" s="20" t="n">
        <v>0.28326841</v>
      </c>
      <c r="O31" s="18" t="n">
        <v>0</v>
      </c>
      <c r="P31" s="20" t="n">
        <v>0</v>
      </c>
      <c r="Q31" s="18" t="n">
        <v>0</v>
      </c>
      <c r="R31" s="20" t="n">
        <v>0</v>
      </c>
      <c r="S31" s="18" t="n">
        <v>15.95683559</v>
      </c>
      <c r="T31" s="20" t="n">
        <v>2.36278265</v>
      </c>
    </row>
    <row r="32" spans="1:20">
      <c r="A32" s="15" t="s">
        <v>590</v>
      </c>
      <c r="B32" s="17" t="n">
        <v>2209</v>
      </c>
      <c r="C32" s="18">
        <f>(1968.0/B32*100)</f>
        <v/>
      </c>
      <c r="D32" s="19" t="n">
        <v>241</v>
      </c>
      <c r="E32" s="18" t="n">
        <v>58.59118879</v>
      </c>
      <c r="F32" s="20" t="n">
        <v>3.11973999</v>
      </c>
      <c r="G32" s="18" t="n">
        <v>31.70734351</v>
      </c>
      <c r="H32" s="20" t="n">
        <v>3.08095434</v>
      </c>
      <c r="I32" s="18" t="n">
        <v>1.6381654</v>
      </c>
      <c r="J32" s="20" t="n">
        <v>0.74500061</v>
      </c>
      <c r="K32" s="18" t="n">
        <v>0</v>
      </c>
      <c r="L32" s="20" t="n">
        <v>0</v>
      </c>
      <c r="M32" s="18" t="n">
        <v>0</v>
      </c>
      <c r="N32" s="20" t="n">
        <v>0</v>
      </c>
      <c r="O32" s="18" t="n">
        <v>0</v>
      </c>
      <c r="P32" s="20" t="n">
        <v>0</v>
      </c>
      <c r="Q32" s="18" t="n">
        <v>0</v>
      </c>
      <c r="R32" s="20" t="n">
        <v>0</v>
      </c>
      <c r="S32" s="18" t="n">
        <v>8.0633023</v>
      </c>
      <c r="T32" s="20" t="n">
        <v>1.47434403</v>
      </c>
    </row>
    <row r="33" spans="1:20">
      <c r="A33" s="15" t="s">
        <v>591</v>
      </c>
      <c r="B33" s="17" t="n">
        <v>3651</v>
      </c>
      <c r="C33" s="18">
        <f>(3239.0/B33*100)</f>
        <v/>
      </c>
      <c r="D33" s="19" t="n">
        <v>412</v>
      </c>
      <c r="E33" s="18" t="n">
        <v>51.25055021</v>
      </c>
      <c r="F33" s="20" t="n">
        <v>3.62996937</v>
      </c>
      <c r="G33" s="18" t="n">
        <v>27.42636952</v>
      </c>
      <c r="H33" s="20" t="n">
        <v>3.29862981</v>
      </c>
      <c r="I33" s="18" t="n">
        <v>2.95174784</v>
      </c>
      <c r="J33" s="20" t="n">
        <v>0.83212742</v>
      </c>
      <c r="K33" s="18" t="n">
        <v>0</v>
      </c>
      <c r="L33" s="20" t="n">
        <v>0</v>
      </c>
      <c r="M33" s="18" t="n">
        <v>0.40905889</v>
      </c>
      <c r="N33" s="20" t="n">
        <v>0.39107836</v>
      </c>
      <c r="O33" s="18" t="n">
        <v>0</v>
      </c>
      <c r="P33" s="20" t="n">
        <v>0</v>
      </c>
      <c r="Q33" s="18" t="n">
        <v>0</v>
      </c>
      <c r="R33" s="20" t="n">
        <v>0</v>
      </c>
      <c r="S33" s="18" t="n">
        <v>17.96227355</v>
      </c>
      <c r="T33" s="20" t="n">
        <v>1.95586258</v>
      </c>
    </row>
    <row r="34" spans="1:20">
      <c r="A34" s="15" t="s">
        <v>592</v>
      </c>
      <c r="B34" s="17" t="n">
        <v>3035</v>
      </c>
      <c r="C34" s="18">
        <f>(2682.0/B34*100)</f>
        <v/>
      </c>
      <c r="D34" s="19" t="n">
        <v>353</v>
      </c>
      <c r="E34" s="18" t="n">
        <v>54.84161006</v>
      </c>
      <c r="F34" s="20" t="n">
        <v>2.58160826</v>
      </c>
      <c r="G34" s="18" t="n">
        <v>34.68195131</v>
      </c>
      <c r="H34" s="20" t="n">
        <v>2.20030978</v>
      </c>
      <c r="I34" s="18" t="n">
        <v>3.72899721</v>
      </c>
      <c r="J34" s="20" t="n">
        <v>1.34583287</v>
      </c>
      <c r="K34" s="18" t="n">
        <v>0</v>
      </c>
      <c r="L34" s="20" t="n">
        <v>0</v>
      </c>
      <c r="M34" s="18" t="n">
        <v>0</v>
      </c>
      <c r="N34" s="20" t="n">
        <v>0</v>
      </c>
      <c r="O34" s="18" t="n">
        <v>0.54362211</v>
      </c>
      <c r="P34" s="20" t="n">
        <v>0.38098066</v>
      </c>
      <c r="Q34" s="18" t="n">
        <v>0</v>
      </c>
      <c r="R34" s="20" t="n">
        <v>0</v>
      </c>
      <c r="S34" s="18" t="n">
        <v>6.20381931</v>
      </c>
      <c r="T34" s="20" t="n">
        <v>1.24784599</v>
      </c>
    </row>
    <row r="35" spans="1:20">
      <c r="A35" s="15" t="s">
        <v>593</v>
      </c>
      <c r="B35" s="17" t="n">
        <v>2901</v>
      </c>
      <c r="C35" s="18">
        <f>(2574.0/B35*100)</f>
        <v/>
      </c>
      <c r="D35" s="19" t="n">
        <v>327</v>
      </c>
      <c r="E35" s="18" t="n">
        <v>46.19198838</v>
      </c>
      <c r="F35" s="20" t="n">
        <v>3.08947671</v>
      </c>
      <c r="G35" s="18" t="n">
        <v>45.98244719</v>
      </c>
      <c r="H35" s="20" t="n">
        <v>3.11049835</v>
      </c>
      <c r="I35" s="18" t="n">
        <v>1.98706496</v>
      </c>
      <c r="J35" s="20" t="n">
        <v>0.96581002</v>
      </c>
      <c r="K35" s="18" t="n">
        <v>0</v>
      </c>
      <c r="L35" s="20" t="n">
        <v>0</v>
      </c>
      <c r="M35" s="18" t="n">
        <v>0.16036806</v>
      </c>
      <c r="N35" s="20" t="n">
        <v>0.15974908</v>
      </c>
      <c r="O35" s="18" t="n">
        <v>0</v>
      </c>
      <c r="P35" s="20" t="n">
        <v>0</v>
      </c>
      <c r="Q35" s="18" t="n">
        <v>0</v>
      </c>
      <c r="R35" s="20" t="n">
        <v>0</v>
      </c>
      <c r="S35" s="18" t="n">
        <v>5.6781314</v>
      </c>
      <c r="T35" s="20" t="n">
        <v>1.51868506</v>
      </c>
    </row>
    <row r="36" spans="1:20">
      <c r="A36" s="15" t="s">
        <v>594</v>
      </c>
      <c r="B36" s="17" t="n">
        <v>3404</v>
      </c>
      <c r="C36" s="18">
        <f>(2997.0/B36*100)</f>
        <v/>
      </c>
      <c r="D36" s="19" t="n">
        <v>407</v>
      </c>
      <c r="E36" s="18" t="n">
        <v>60.63437196</v>
      </c>
      <c r="F36" s="20" t="n">
        <v>2.61757929</v>
      </c>
      <c r="G36" s="18" t="n">
        <v>22.34911404</v>
      </c>
      <c r="H36" s="20" t="n">
        <v>2.43662934</v>
      </c>
      <c r="I36" s="18" t="n">
        <v>10.14373371</v>
      </c>
      <c r="J36" s="20" t="n">
        <v>1.50197689</v>
      </c>
      <c r="K36" s="18" t="n">
        <v>0</v>
      </c>
      <c r="L36" s="20" t="n">
        <v>0</v>
      </c>
      <c r="M36" s="18" t="n">
        <v>0</v>
      </c>
      <c r="N36" s="20" t="n">
        <v>0</v>
      </c>
      <c r="O36" s="18" t="n">
        <v>0.23541115</v>
      </c>
      <c r="P36" s="20" t="n">
        <v>0.23331772</v>
      </c>
      <c r="Q36" s="18" t="n">
        <v>0</v>
      </c>
      <c r="R36" s="20" t="n">
        <v>0</v>
      </c>
      <c r="S36" s="18" t="n">
        <v>6.63736914</v>
      </c>
      <c r="T36" s="20" t="n">
        <v>1.39503215</v>
      </c>
    </row>
    <row r="37" spans="1:20">
      <c r="A37" s="15" t="s">
        <v>595</v>
      </c>
      <c r="B37" s="17" t="n">
        <v>2731</v>
      </c>
      <c r="C37" s="18">
        <f>(2427.0/B37*100)</f>
        <v/>
      </c>
      <c r="D37" s="19" t="n">
        <v>304</v>
      </c>
      <c r="E37" s="18" t="n">
        <v>35.37210251</v>
      </c>
      <c r="F37" s="20" t="n">
        <v>2.5972015</v>
      </c>
      <c r="G37" s="18" t="n">
        <v>49.3875138</v>
      </c>
      <c r="H37" s="20" t="n">
        <v>3.03630571</v>
      </c>
      <c r="I37" s="18" t="n">
        <v>2.86966538</v>
      </c>
      <c r="J37" s="20" t="n">
        <v>1.14924923</v>
      </c>
      <c r="K37" s="18" t="n">
        <v>0</v>
      </c>
      <c r="L37" s="20" t="n">
        <v>0</v>
      </c>
      <c r="M37" s="18" t="n">
        <v>0</v>
      </c>
      <c r="N37" s="20" t="n">
        <v>0</v>
      </c>
      <c r="O37" s="18" t="n">
        <v>0</v>
      </c>
      <c r="P37" s="20" t="n">
        <v>0</v>
      </c>
      <c r="Q37" s="18" t="n">
        <v>0</v>
      </c>
      <c r="R37" s="20" t="n">
        <v>0</v>
      </c>
      <c r="S37" s="18" t="n">
        <v>12.37071832</v>
      </c>
      <c r="T37" s="20" t="n">
        <v>2.3044322</v>
      </c>
    </row>
    <row r="38" spans="1:20">
      <c r="A38" s="15" t="s">
        <v>596</v>
      </c>
      <c r="B38" s="17" t="n">
        <v>2807</v>
      </c>
      <c r="C38" s="18">
        <f>(2495.0/B38*100)</f>
        <v/>
      </c>
      <c r="D38" s="19" t="n">
        <v>312</v>
      </c>
      <c r="E38" s="18" t="n">
        <v>41.97674091</v>
      </c>
      <c r="F38" s="20" t="n">
        <v>3.00661809</v>
      </c>
      <c r="G38" s="18" t="n">
        <v>39.84428509</v>
      </c>
      <c r="H38" s="20" t="n">
        <v>2.85436601</v>
      </c>
      <c r="I38" s="18" t="n">
        <v>2.44161484</v>
      </c>
      <c r="J38" s="20" t="n">
        <v>0.87030023</v>
      </c>
      <c r="K38" s="18" t="n">
        <v>0</v>
      </c>
      <c r="L38" s="20" t="n">
        <v>0</v>
      </c>
      <c r="M38" s="18" t="n">
        <v>0</v>
      </c>
      <c r="N38" s="20" t="n">
        <v>0</v>
      </c>
      <c r="O38" s="18" t="n">
        <v>4.24063904</v>
      </c>
      <c r="P38" s="20" t="n">
        <v>1.20425321</v>
      </c>
      <c r="Q38" s="18" t="n">
        <v>0</v>
      </c>
      <c r="R38" s="20" t="n">
        <v>0</v>
      </c>
      <c r="S38" s="18" t="n">
        <v>11.49672012</v>
      </c>
      <c r="T38" s="20" t="n">
        <v>2.13471408</v>
      </c>
    </row>
    <row r="39" spans="1:20">
      <c r="A39" s="15" t="s">
        <v>597</v>
      </c>
      <c r="B39" s="17" t="n">
        <v>2938</v>
      </c>
      <c r="C39" s="18">
        <f>(2632.0/B39*100)</f>
        <v/>
      </c>
      <c r="D39" s="19" t="n">
        <v>306</v>
      </c>
      <c r="E39" s="18" t="n">
        <v>92.462107</v>
      </c>
      <c r="F39" s="20" t="n">
        <v>1.69529967</v>
      </c>
      <c r="G39" s="18" t="n">
        <v>1.71277475</v>
      </c>
      <c r="H39" s="20" t="n">
        <v>0.71339749</v>
      </c>
      <c r="I39" s="18" t="n">
        <v>0.19079478</v>
      </c>
      <c r="J39" s="20" t="n">
        <v>0.27407425</v>
      </c>
      <c r="K39" s="18" t="n">
        <v>0</v>
      </c>
      <c r="L39" s="20" t="n">
        <v>0</v>
      </c>
      <c r="M39" s="18" t="n">
        <v>0</v>
      </c>
      <c r="N39" s="20" t="n">
        <v>0</v>
      </c>
      <c r="O39" s="18" t="n">
        <v>0</v>
      </c>
      <c r="P39" s="20" t="n">
        <v>0</v>
      </c>
      <c r="Q39" s="18" t="n">
        <v>0</v>
      </c>
      <c r="R39" s="20" t="n">
        <v>0</v>
      </c>
      <c r="S39" s="18" t="n">
        <v>5.63432347</v>
      </c>
      <c r="T39" s="20" t="n">
        <v>1.62128373</v>
      </c>
    </row>
    <row r="40" spans="1:20">
      <c r="A40" s="15" t="s">
        <v>598</v>
      </c>
      <c r="B40" s="17" t="n">
        <v>6922</v>
      </c>
      <c r="C40" s="18">
        <f>(6131.0/B40*100)</f>
        <v/>
      </c>
      <c r="D40" s="19" t="n">
        <v>791</v>
      </c>
      <c r="E40" s="18" t="n">
        <v>42.25378599</v>
      </c>
      <c r="F40" s="20" t="n">
        <v>2.69195635</v>
      </c>
      <c r="G40" s="18" t="n">
        <v>46.53572031</v>
      </c>
      <c r="H40" s="20" t="n">
        <v>2.70648007</v>
      </c>
      <c r="I40" s="18" t="n">
        <v>4.00291552</v>
      </c>
      <c r="J40" s="20" t="n">
        <v>1.19245248</v>
      </c>
      <c r="K40" s="18" t="n">
        <v>0</v>
      </c>
      <c r="L40" s="20" t="n">
        <v>0</v>
      </c>
      <c r="M40" s="18" t="n">
        <v>0.04050835</v>
      </c>
      <c r="N40" s="20" t="n">
        <v>0.04763929</v>
      </c>
      <c r="O40" s="18" t="n">
        <v>0</v>
      </c>
      <c r="P40" s="20" t="n">
        <v>0</v>
      </c>
      <c r="Q40" s="18" t="n">
        <v>0</v>
      </c>
      <c r="R40" s="20" t="n">
        <v>0</v>
      </c>
      <c r="S40" s="18" t="n">
        <v>7.16706983</v>
      </c>
      <c r="T40" s="20" t="n">
        <v>1.32819155</v>
      </c>
    </row>
    <row r="41" spans="1:20">
      <c r="A41" s="15" t="s">
        <v>599</v>
      </c>
      <c r="B41" s="17" t="n">
        <v>2854</v>
      </c>
      <c r="C41" s="18">
        <f>(2546.0/B41*100)</f>
        <v/>
      </c>
      <c r="D41" s="19" t="n">
        <v>308</v>
      </c>
      <c r="E41" s="18" t="n">
        <v>59.97389149</v>
      </c>
      <c r="F41" s="20" t="n">
        <v>3.44268007</v>
      </c>
      <c r="G41" s="18" t="n">
        <v>31.3240331</v>
      </c>
      <c r="H41" s="20" t="n">
        <v>3.44085687</v>
      </c>
      <c r="I41" s="18" t="n">
        <v>5.32874695</v>
      </c>
      <c r="J41" s="20" t="n">
        <v>1.4224952</v>
      </c>
      <c r="K41" s="18" t="n">
        <v>0</v>
      </c>
      <c r="L41" s="20" t="n">
        <v>0</v>
      </c>
      <c r="M41" s="18" t="n">
        <v>0.3687156</v>
      </c>
      <c r="N41" s="20" t="n">
        <v>0.37375785</v>
      </c>
      <c r="O41" s="18" t="n">
        <v>0</v>
      </c>
      <c r="P41" s="20" t="n">
        <v>0</v>
      </c>
      <c r="Q41" s="18" t="n">
        <v>0</v>
      </c>
      <c r="R41" s="20" t="n">
        <v>0</v>
      </c>
      <c r="S41" s="18" t="n">
        <v>3.00461286</v>
      </c>
      <c r="T41" s="20" t="n">
        <v>1.31648788</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12073</v>
      </c>
      <c r="C46" s="18">
        <f>(10900.0/B46*100)</f>
        <v/>
      </c>
      <c r="D46" s="19" t="n">
        <v>1173</v>
      </c>
      <c r="E46" s="18" t="n">
        <v>73.29872044</v>
      </c>
      <c r="F46" s="20" t="n">
        <v>1.66919701</v>
      </c>
      <c r="G46" s="18" t="n">
        <v>10.30463849</v>
      </c>
      <c r="H46" s="20" t="n">
        <v>1.30132522</v>
      </c>
      <c r="I46" s="18" t="n">
        <v>1.34146181</v>
      </c>
      <c r="J46" s="20" t="n">
        <v>0.45222993</v>
      </c>
      <c r="K46" s="18" t="n">
        <v>0</v>
      </c>
      <c r="L46" s="20" t="n">
        <v>0</v>
      </c>
      <c r="M46" s="18" t="n">
        <v>0.34643784</v>
      </c>
      <c r="N46" s="20" t="n">
        <v>0.15438999</v>
      </c>
      <c r="O46" s="18" t="n">
        <v>0.29164883</v>
      </c>
      <c r="P46" s="20" t="n">
        <v>0.20027234</v>
      </c>
      <c r="Q46" s="18" t="n">
        <v>0</v>
      </c>
      <c r="R46" s="20" t="n">
        <v>0</v>
      </c>
      <c r="S46" s="18" t="n">
        <v>14.41709259</v>
      </c>
      <c r="T46" s="20" t="n">
        <v>1.40390031</v>
      </c>
    </row>
    <row r="47" spans="1:20">
      <c r="A47" s="15" t="s">
        <v>606</v>
      </c>
      <c r="B47" s="17" t="n">
        <v>2823</v>
      </c>
      <c r="C47" s="18">
        <f>(2513.0/B47*100)</f>
        <v/>
      </c>
      <c r="D47" s="19" t="n">
        <v>310</v>
      </c>
      <c r="E47" s="18" t="n">
        <v>59.30304301</v>
      </c>
      <c r="F47" s="20" t="n">
        <v>2.96680067</v>
      </c>
      <c r="G47" s="18" t="n">
        <v>23.16670913</v>
      </c>
      <c r="H47" s="20" t="n">
        <v>3.0333776</v>
      </c>
      <c r="I47" s="18" t="n">
        <v>0.98004788</v>
      </c>
      <c r="J47" s="20" t="n">
        <v>0.51350436</v>
      </c>
      <c r="K47" s="18" t="n">
        <v>0</v>
      </c>
      <c r="L47" s="20" t="n">
        <v>0</v>
      </c>
      <c r="M47" s="18" t="n">
        <v>0</v>
      </c>
      <c r="N47" s="20" t="n">
        <v>0</v>
      </c>
      <c r="O47" s="18" t="n">
        <v>0.32454192</v>
      </c>
      <c r="P47" s="20" t="n">
        <v>0.31238041</v>
      </c>
      <c r="Q47" s="18" t="n">
        <v>0</v>
      </c>
      <c r="R47" s="20" t="n">
        <v>0</v>
      </c>
      <c r="S47" s="18" t="n">
        <v>16.22565806</v>
      </c>
      <c r="T47" s="20" t="n">
        <v>2.18703058</v>
      </c>
    </row>
    <row r="48" spans="1:20">
      <c r="A48" s="15" t="s">
        <v>607</v>
      </c>
      <c r="B48" s="17" t="n">
        <v>4682</v>
      </c>
      <c r="C48" s="18">
        <f>(4151.0/B48*100)</f>
        <v/>
      </c>
      <c r="D48" s="19" t="n">
        <v>531</v>
      </c>
      <c r="E48" s="18" t="n">
        <v>30.6462963</v>
      </c>
      <c r="F48" s="20" t="n">
        <v>2.8060639</v>
      </c>
      <c r="G48" s="18" t="n">
        <v>48.71443993</v>
      </c>
      <c r="H48" s="20" t="n">
        <v>2.94767925</v>
      </c>
      <c r="I48" s="18" t="n">
        <v>15.37424934</v>
      </c>
      <c r="J48" s="20" t="n">
        <v>1.94402125</v>
      </c>
      <c r="K48" s="18" t="n">
        <v>0</v>
      </c>
      <c r="L48" s="20" t="n">
        <v>0</v>
      </c>
      <c r="M48" s="18" t="n">
        <v>0.40462225</v>
      </c>
      <c r="N48" s="20" t="n">
        <v>0.48343905</v>
      </c>
      <c r="O48" s="18" t="n">
        <v>0</v>
      </c>
      <c r="P48" s="20" t="n">
        <v>0</v>
      </c>
      <c r="Q48" s="18" t="n">
        <v>0</v>
      </c>
      <c r="R48" s="20" t="n">
        <v>0</v>
      </c>
      <c r="S48" s="18" t="n">
        <v>4.86039217</v>
      </c>
      <c r="T48" s="20" t="n">
        <v>1.25739293</v>
      </c>
    </row>
    <row r="49" spans="1:20">
      <c r="A49" s="15" t="s">
        <v>608</v>
      </c>
      <c r="B49" s="17" t="n">
        <v>6158</v>
      </c>
      <c r="C49" s="18">
        <f>(5491.0/B49*100)</f>
        <v/>
      </c>
      <c r="D49" s="19" t="n">
        <v>667</v>
      </c>
      <c r="E49" s="18" t="n">
        <v>75.51772415000001</v>
      </c>
      <c r="F49" s="20" t="n">
        <v>2.09215406</v>
      </c>
      <c r="G49" s="18" t="n">
        <v>15.79226743</v>
      </c>
      <c r="H49" s="20" t="n">
        <v>1.96909931</v>
      </c>
      <c r="I49" s="18" t="n">
        <v>4.57696527</v>
      </c>
      <c r="J49" s="20" t="n">
        <v>1.26556593</v>
      </c>
      <c r="K49" s="18" t="n">
        <v>0</v>
      </c>
      <c r="L49" s="20" t="n">
        <v>0</v>
      </c>
      <c r="M49" s="18" t="n">
        <v>0.47970563</v>
      </c>
      <c r="N49" s="20" t="n">
        <v>0.41792421</v>
      </c>
      <c r="O49" s="18" t="n">
        <v>0.0079977</v>
      </c>
      <c r="P49" s="20" t="n">
        <v>0.008060400000000001</v>
      </c>
      <c r="Q49" s="18" t="n">
        <v>0</v>
      </c>
      <c r="R49" s="20" t="n">
        <v>0</v>
      </c>
      <c r="S49" s="18" t="n">
        <v>3.62533981</v>
      </c>
      <c r="T49" s="20" t="n">
        <v>0.96992526</v>
      </c>
    </row>
    <row r="50" spans="1:20">
      <c r="A50" s="15" t="s">
        <v>609</v>
      </c>
      <c r="B50" s="17" t="n">
        <v>3494</v>
      </c>
      <c r="C50" s="18">
        <f>(3140.0/B50*100)</f>
        <v/>
      </c>
      <c r="D50" s="19" t="n">
        <v>354</v>
      </c>
      <c r="E50" s="18" t="n">
        <v>79.14979954</v>
      </c>
      <c r="F50" s="20" t="n">
        <v>2.35889186</v>
      </c>
      <c r="G50" s="18" t="n">
        <v>8.26935581</v>
      </c>
      <c r="H50" s="20" t="n">
        <v>1.73045931</v>
      </c>
      <c r="I50" s="18" t="n">
        <v>5.00848138</v>
      </c>
      <c r="J50" s="20" t="n">
        <v>1.21526505</v>
      </c>
      <c r="K50" s="18" t="n">
        <v>0</v>
      </c>
      <c r="L50" s="20" t="n">
        <v>0</v>
      </c>
      <c r="M50" s="18" t="n">
        <v>0</v>
      </c>
      <c r="N50" s="20" t="n">
        <v>0</v>
      </c>
      <c r="O50" s="18" t="n">
        <v>0.34494886</v>
      </c>
      <c r="P50" s="20" t="n">
        <v>0.32313457</v>
      </c>
      <c r="Q50" s="18" t="n">
        <v>0</v>
      </c>
      <c r="R50" s="20" t="n">
        <v>0</v>
      </c>
      <c r="S50" s="18" t="n">
        <v>7.22741441</v>
      </c>
      <c r="T50" s="20" t="n">
        <v>1.5419706</v>
      </c>
    </row>
    <row r="51" spans="1:20">
      <c r="A51" s="15" t="s">
        <v>610</v>
      </c>
      <c r="B51" s="17" t="n">
        <v>3013</v>
      </c>
      <c r="C51" s="18">
        <f>(2690.0/B51*100)</f>
        <v/>
      </c>
      <c r="D51" s="19" t="n">
        <v>323</v>
      </c>
      <c r="E51" s="18" t="n">
        <v>70.16784250000001</v>
      </c>
      <c r="F51" s="20" t="n">
        <v>2.75510032</v>
      </c>
      <c r="G51" s="18" t="n">
        <v>15.50491877</v>
      </c>
      <c r="H51" s="20" t="n">
        <v>2.11393157</v>
      </c>
      <c r="I51" s="18" t="n">
        <v>4.03681957</v>
      </c>
      <c r="J51" s="20" t="n">
        <v>1.2110291</v>
      </c>
      <c r="K51" s="18" t="n">
        <v>0</v>
      </c>
      <c r="L51" s="20" t="n">
        <v>0</v>
      </c>
      <c r="M51" s="18" t="n">
        <v>0</v>
      </c>
      <c r="N51" s="20" t="n">
        <v>0</v>
      </c>
      <c r="O51" s="18" t="n">
        <v>0</v>
      </c>
      <c r="P51" s="20" t="n">
        <v>0</v>
      </c>
      <c r="Q51" s="18" t="n">
        <v>0</v>
      </c>
      <c r="R51" s="20" t="n">
        <v>0</v>
      </c>
      <c r="S51" s="18" t="n">
        <v>10.29041916</v>
      </c>
      <c r="T51" s="20" t="n">
        <v>2.07472054</v>
      </c>
    </row>
    <row r="52" spans="1:20">
      <c r="A52" s="15" t="s">
        <v>611</v>
      </c>
      <c r="B52" s="17" t="n">
        <v>2760</v>
      </c>
      <c r="C52" s="18">
        <f>(2460.0/B52*100)</f>
        <v/>
      </c>
      <c r="D52" s="19" t="n">
        <v>300</v>
      </c>
      <c r="E52" s="18" t="n">
        <v>45.8476683</v>
      </c>
      <c r="F52" s="20" t="n">
        <v>3.00216955</v>
      </c>
      <c r="G52" s="18" t="n">
        <v>31.43512803</v>
      </c>
      <c r="H52" s="20" t="n">
        <v>3.1049984</v>
      </c>
      <c r="I52" s="18" t="n">
        <v>10.47054346</v>
      </c>
      <c r="J52" s="20" t="n">
        <v>1.8566199</v>
      </c>
      <c r="K52" s="18" t="n">
        <v>0</v>
      </c>
      <c r="L52" s="20" t="n">
        <v>0</v>
      </c>
      <c r="M52" s="18" t="n">
        <v>0.2393558</v>
      </c>
      <c r="N52" s="20" t="n">
        <v>0.23889112</v>
      </c>
      <c r="O52" s="18" t="n">
        <v>0</v>
      </c>
      <c r="P52" s="20" t="n">
        <v>0</v>
      </c>
      <c r="Q52" s="18" t="n">
        <v>0</v>
      </c>
      <c r="R52" s="20" t="n">
        <v>0</v>
      </c>
      <c r="S52" s="18" t="n">
        <v>12.00730442</v>
      </c>
      <c r="T52" s="20" t="n">
        <v>1.62627649</v>
      </c>
    </row>
    <row r="53" spans="1:20">
      <c r="A53" s="15" t="s">
        <v>612</v>
      </c>
      <c r="B53" s="17" t="n">
        <v>2474</v>
      </c>
      <c r="C53" s="18">
        <f>(2194.0/B53*100)</f>
        <v/>
      </c>
      <c r="D53" s="19" t="n">
        <v>280</v>
      </c>
      <c r="E53" s="18" t="n">
        <v>71.53728346</v>
      </c>
      <c r="F53" s="20" t="n">
        <v>3.01581061</v>
      </c>
      <c r="G53" s="18" t="n">
        <v>4.4802907</v>
      </c>
      <c r="H53" s="20" t="n">
        <v>1.3517446</v>
      </c>
      <c r="I53" s="18" t="n">
        <v>0</v>
      </c>
      <c r="J53" s="20" t="n">
        <v>0</v>
      </c>
      <c r="K53" s="18" t="n">
        <v>0</v>
      </c>
      <c r="L53" s="20" t="n">
        <v>0</v>
      </c>
      <c r="M53" s="18" t="n">
        <v>10.57218715</v>
      </c>
      <c r="N53" s="20" t="n">
        <v>2.2595246</v>
      </c>
      <c r="O53" s="18" t="n">
        <v>0.78954116</v>
      </c>
      <c r="P53" s="20" t="n">
        <v>0.8528979799999999</v>
      </c>
      <c r="Q53" s="18" t="n">
        <v>0</v>
      </c>
      <c r="R53" s="20" t="n">
        <v>0</v>
      </c>
      <c r="S53" s="18" t="n">
        <v>12.62069753</v>
      </c>
      <c r="T53" s="20" t="n">
        <v>1.98820296</v>
      </c>
    </row>
    <row r="54" spans="1:20">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2675</v>
      </c>
      <c r="C55" s="18">
        <f>(2393.0/B55*100)</f>
        <v/>
      </c>
      <c r="D55" s="19" t="n">
        <v>282</v>
      </c>
      <c r="E55" s="18" t="n">
        <v>32.18791102</v>
      </c>
      <c r="F55" s="20" t="n">
        <v>2.87994001</v>
      </c>
      <c r="G55" s="18" t="n">
        <v>43.84099724</v>
      </c>
      <c r="H55" s="20" t="n">
        <v>2.81215625</v>
      </c>
      <c r="I55" s="18" t="n">
        <v>20.58498384</v>
      </c>
      <c r="J55" s="20" t="n">
        <v>2.22651044</v>
      </c>
      <c r="K55" s="18" t="n">
        <v>0</v>
      </c>
      <c r="L55" s="20" t="n">
        <v>0</v>
      </c>
      <c r="M55" s="18" t="n">
        <v>0</v>
      </c>
      <c r="N55" s="20" t="n">
        <v>0</v>
      </c>
      <c r="O55" s="18" t="n">
        <v>0</v>
      </c>
      <c r="P55" s="20" t="n">
        <v>0</v>
      </c>
      <c r="Q55" s="18" t="n">
        <v>0</v>
      </c>
      <c r="R55" s="20" t="n">
        <v>0</v>
      </c>
      <c r="S55" s="18" t="n">
        <v>3.3861079</v>
      </c>
      <c r="T55" s="20" t="n">
        <v>1.26125198</v>
      </c>
    </row>
    <row r="56" spans="1:20">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3201</v>
      </c>
      <c r="C61" s="18">
        <f>(2854.0/B61*100)</f>
        <v/>
      </c>
      <c r="D61" s="19" t="n">
        <v>347</v>
      </c>
      <c r="E61" s="18" t="n">
        <v>56.66308264</v>
      </c>
      <c r="F61" s="20" t="n">
        <v>2.50469942</v>
      </c>
      <c r="G61" s="18" t="n">
        <v>32.86030643</v>
      </c>
      <c r="H61" s="20" t="n">
        <v>2.30472358</v>
      </c>
      <c r="I61" s="18" t="n">
        <v>1.70282168</v>
      </c>
      <c r="J61" s="20" t="n">
        <v>0.71301328</v>
      </c>
      <c r="K61" s="18" t="n">
        <v>0</v>
      </c>
      <c r="L61" s="20" t="n">
        <v>0</v>
      </c>
      <c r="M61" s="18" t="n">
        <v>0.80215066</v>
      </c>
      <c r="N61" s="20" t="n">
        <v>0.78923861</v>
      </c>
      <c r="O61" s="18" t="n">
        <v>0</v>
      </c>
      <c r="P61" s="20" t="n">
        <v>0</v>
      </c>
      <c r="Q61" s="18" t="n">
        <v>0</v>
      </c>
      <c r="R61" s="20" t="n">
        <v>0</v>
      </c>
      <c r="S61" s="18" t="n">
        <v>7.97163858</v>
      </c>
      <c r="T61" s="20" t="n">
        <v>1.68813909</v>
      </c>
    </row>
    <row r="62" spans="1:20">
      <c r="A62" s="15" t="s">
        <v>622</v>
      </c>
      <c r="B62" s="17" t="n">
        <v>2230</v>
      </c>
      <c r="C62" s="18">
        <f>(1961.0/B62*100)</f>
        <v/>
      </c>
      <c r="D62" s="19" t="n">
        <v>269</v>
      </c>
      <c r="E62" s="18" t="n">
        <v>33.10043359</v>
      </c>
      <c r="F62" s="20" t="n">
        <v>2.61378621</v>
      </c>
      <c r="G62" s="18" t="n">
        <v>41.61608454</v>
      </c>
      <c r="H62" s="20" t="n">
        <v>2.70372797</v>
      </c>
      <c r="I62" s="18" t="n">
        <v>24.15337563</v>
      </c>
      <c r="J62" s="20" t="n">
        <v>2.54703352</v>
      </c>
      <c r="K62" s="18" t="n">
        <v>0</v>
      </c>
      <c r="L62" s="20" t="n">
        <v>0</v>
      </c>
      <c r="M62" s="18" t="n">
        <v>0</v>
      </c>
      <c r="N62" s="20" t="n">
        <v>0</v>
      </c>
      <c r="O62" s="18" t="n">
        <v>0</v>
      </c>
      <c r="P62" s="20" t="n">
        <v>0</v>
      </c>
      <c r="Q62" s="18" t="n">
        <v>0</v>
      </c>
      <c r="R62" s="20" t="n">
        <v>0</v>
      </c>
      <c r="S62" s="18" t="n">
        <v>1.13010624</v>
      </c>
      <c r="T62" s="20" t="n">
        <v>0.63945914</v>
      </c>
    </row>
    <row r="63" spans="1:20">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2771</v>
      </c>
      <c r="C67" s="18">
        <f>(2475.0/B67*100)</f>
        <v/>
      </c>
      <c r="D67" s="19" t="n">
        <v>296</v>
      </c>
      <c r="E67" s="18" t="n">
        <v>59.68874654</v>
      </c>
      <c r="F67" s="20" t="n">
        <v>3.46296237</v>
      </c>
      <c r="G67" s="18" t="n">
        <v>13.1160199</v>
      </c>
      <c r="H67" s="20" t="n">
        <v>1.9013762</v>
      </c>
      <c r="I67" s="18" t="n">
        <v>1.96239533</v>
      </c>
      <c r="J67" s="20" t="n">
        <v>0.78758951</v>
      </c>
      <c r="K67" s="18" t="n">
        <v>0</v>
      </c>
      <c r="L67" s="20" t="n">
        <v>0</v>
      </c>
      <c r="M67" s="18" t="n">
        <v>0.73415441</v>
      </c>
      <c r="N67" s="20" t="n">
        <v>0.51999474</v>
      </c>
      <c r="O67" s="18" t="n">
        <v>0.36606567</v>
      </c>
      <c r="P67" s="20" t="n">
        <v>0.3659854</v>
      </c>
      <c r="Q67" s="18" t="n">
        <v>0</v>
      </c>
      <c r="R67" s="20" t="n">
        <v>0</v>
      </c>
      <c r="S67" s="18" t="n">
        <v>24.13261816</v>
      </c>
      <c r="T67" s="20" t="n">
        <v>2.80868502</v>
      </c>
    </row>
    <row r="68" spans="1:20">
      <c r="A68" s="15" t="s">
        <v>628</v>
      </c>
      <c r="B68" s="17" t="n">
        <v>3460</v>
      </c>
      <c r="C68" s="18">
        <f>(3091.0/B68*100)</f>
        <v/>
      </c>
      <c r="D68" s="19" t="n">
        <v>369</v>
      </c>
      <c r="E68" s="18" t="n">
        <v>82.471825</v>
      </c>
      <c r="F68" s="20" t="n">
        <v>1.81888826</v>
      </c>
      <c r="G68" s="18" t="n">
        <v>7.73642248</v>
      </c>
      <c r="H68" s="20" t="n">
        <v>1.36243105</v>
      </c>
      <c r="I68" s="18" t="n">
        <v>1.39257584</v>
      </c>
      <c r="J68" s="20" t="n">
        <v>0.74110175</v>
      </c>
      <c r="K68" s="18" t="n">
        <v>0</v>
      </c>
      <c r="L68" s="20" t="n">
        <v>0</v>
      </c>
      <c r="M68" s="18" t="n">
        <v>0.35110274</v>
      </c>
      <c r="N68" s="20" t="n">
        <v>0.34826401</v>
      </c>
      <c r="O68" s="18" t="n">
        <v>0.5259336</v>
      </c>
      <c r="P68" s="20" t="n">
        <v>0.37340109</v>
      </c>
      <c r="Q68" s="18" t="n">
        <v>0</v>
      </c>
      <c r="R68" s="20" t="n">
        <v>0</v>
      </c>
      <c r="S68" s="18" t="n">
        <v>7.52214035</v>
      </c>
      <c r="T68" s="20" t="n">
        <v>1.52404818</v>
      </c>
    </row>
    <row r="69" spans="1:20">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6034</v>
      </c>
      <c r="C70" s="18">
        <f>(5342.0/B70*100)</f>
        <v/>
      </c>
      <c r="D70" s="19" t="n">
        <v>692</v>
      </c>
      <c r="E70" s="18" t="n">
        <v>71.5096605</v>
      </c>
      <c r="F70" s="20" t="n">
        <v>1.61151409</v>
      </c>
      <c r="G70" s="18" t="n">
        <v>17.85282005</v>
      </c>
      <c r="H70" s="20" t="n">
        <v>1.43011486</v>
      </c>
      <c r="I70" s="18" t="n">
        <v>1.95234451</v>
      </c>
      <c r="J70" s="20" t="n">
        <v>0.49974026</v>
      </c>
      <c r="K70" s="18" t="n">
        <v>0</v>
      </c>
      <c r="L70" s="20" t="n">
        <v>0</v>
      </c>
      <c r="M70" s="18" t="n">
        <v>1.14793607</v>
      </c>
      <c r="N70" s="20" t="n">
        <v>0.45726183</v>
      </c>
      <c r="O70" s="18" t="n">
        <v>0</v>
      </c>
      <c r="P70" s="20" t="n">
        <v>0</v>
      </c>
      <c r="Q70" s="18" t="n">
        <v>0</v>
      </c>
      <c r="R70" s="20" t="n">
        <v>0</v>
      </c>
      <c r="S70" s="18" t="n">
        <v>7.53723887</v>
      </c>
      <c r="T70" s="20" t="n">
        <v>1.03077107</v>
      </c>
    </row>
    <row r="71" spans="1:20">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3107</v>
      </c>
      <c r="C72" s="18">
        <f>(2776.0/B72*100)</f>
        <v/>
      </c>
      <c r="D72" s="19" t="n">
        <v>331</v>
      </c>
      <c r="E72" s="18" t="n">
        <v>71.76520804</v>
      </c>
      <c r="F72" s="20" t="n">
        <v>2.61372503</v>
      </c>
      <c r="G72" s="18" t="n">
        <v>19.10503607</v>
      </c>
      <c r="H72" s="20" t="n">
        <v>2.25225116</v>
      </c>
      <c r="I72" s="18" t="n">
        <v>2.52080283</v>
      </c>
      <c r="J72" s="20" t="n">
        <v>0.82090514</v>
      </c>
      <c r="K72" s="18" t="n">
        <v>0</v>
      </c>
      <c r="L72" s="20" t="n">
        <v>0</v>
      </c>
      <c r="M72" s="18" t="n">
        <v>0</v>
      </c>
      <c r="N72" s="20" t="n">
        <v>0</v>
      </c>
      <c r="O72" s="18" t="n">
        <v>0</v>
      </c>
      <c r="P72" s="20" t="n">
        <v>0</v>
      </c>
      <c r="Q72" s="18" t="n">
        <v>0</v>
      </c>
      <c r="R72" s="20" t="n">
        <v>0</v>
      </c>
      <c r="S72" s="18" t="n">
        <v>6.60895306</v>
      </c>
      <c r="T72" s="20" t="n">
        <v>1.58323046</v>
      </c>
    </row>
    <row r="73" spans="1:20">
      <c r="A73" s="15" t="s">
        <v>633</v>
      </c>
      <c r="B73" s="17" t="n">
        <v>2973</v>
      </c>
      <c r="C73" s="18">
        <f>(2646.0/B73*100)</f>
        <v/>
      </c>
      <c r="D73" s="19" t="n">
        <v>327</v>
      </c>
      <c r="E73" s="18" t="n">
        <v>31.75990651</v>
      </c>
      <c r="F73" s="20" t="n">
        <v>3.06150901</v>
      </c>
      <c r="G73" s="18" t="n">
        <v>61.96059738</v>
      </c>
      <c r="H73" s="20" t="n">
        <v>3.00784066</v>
      </c>
      <c r="I73" s="18" t="n">
        <v>4.61724947</v>
      </c>
      <c r="J73" s="20" t="n">
        <v>1.26232471</v>
      </c>
      <c r="K73" s="18" t="n">
        <v>0</v>
      </c>
      <c r="L73" s="20" t="n">
        <v>0</v>
      </c>
      <c r="M73" s="18" t="n">
        <v>0</v>
      </c>
      <c r="N73" s="20" t="n">
        <v>0</v>
      </c>
      <c r="O73" s="18" t="n">
        <v>0.42675644</v>
      </c>
      <c r="P73" s="20" t="n">
        <v>0.43046196</v>
      </c>
      <c r="Q73" s="18" t="n">
        <v>0</v>
      </c>
      <c r="R73" s="20" t="n">
        <v>0</v>
      </c>
      <c r="S73" s="18" t="n">
        <v>1.2354902</v>
      </c>
      <c r="T73" s="20" t="n">
        <v>0.55615621</v>
      </c>
    </row>
    <row r="74" spans="1:20">
      <c r="A74" s="15" t="s">
        <v>634</v>
      </c>
      <c r="B74" s="17" t="n">
        <v>3819</v>
      </c>
      <c r="C74" s="18">
        <f>(3392.0/B74*100)</f>
        <v/>
      </c>
      <c r="D74" s="19" t="n">
        <v>427</v>
      </c>
      <c r="E74" s="18" t="n">
        <v>34.14715223</v>
      </c>
      <c r="F74" s="20" t="n">
        <v>2.86859065</v>
      </c>
      <c r="G74" s="18" t="n">
        <v>40.93521294</v>
      </c>
      <c r="H74" s="20" t="n">
        <v>2.44338842</v>
      </c>
      <c r="I74" s="18" t="n">
        <v>20.64564944</v>
      </c>
      <c r="J74" s="20" t="n">
        <v>2.78132834</v>
      </c>
      <c r="K74" s="18" t="n">
        <v>0</v>
      </c>
      <c r="L74" s="20" t="n">
        <v>0</v>
      </c>
      <c r="M74" s="18" t="n">
        <v>0</v>
      </c>
      <c r="N74" s="20" t="n">
        <v>0</v>
      </c>
      <c r="O74" s="18" t="n">
        <v>0</v>
      </c>
      <c r="P74" s="20" t="n">
        <v>0</v>
      </c>
      <c r="Q74" s="18" t="n">
        <v>0</v>
      </c>
      <c r="R74" s="20" t="n">
        <v>0</v>
      </c>
      <c r="S74" s="18" t="n">
        <v>4.27198539</v>
      </c>
      <c r="T74" s="20" t="n">
        <v>0.88152727</v>
      </c>
    </row>
    <row r="75" spans="1:20">
      <c r="A75" s="15" t="s">
        <v>635</v>
      </c>
      <c r="B75" s="17" t="n">
        <v>4652</v>
      </c>
      <c r="C75" s="18">
        <f>(4155.0/B75*100)</f>
        <v/>
      </c>
      <c r="D75" s="19" t="n">
        <v>497</v>
      </c>
      <c r="E75" s="18" t="n">
        <v>76.73391667999999</v>
      </c>
      <c r="F75" s="20" t="n">
        <v>2.3984434</v>
      </c>
      <c r="G75" s="18" t="n">
        <v>20.42553218</v>
      </c>
      <c r="H75" s="20" t="n">
        <v>2.37204843</v>
      </c>
      <c r="I75" s="18" t="n">
        <v>1.19932183</v>
      </c>
      <c r="J75" s="20" t="n">
        <v>0.6906927899999999</v>
      </c>
      <c r="K75" s="18" t="n">
        <v>0</v>
      </c>
      <c r="L75" s="20" t="n">
        <v>0</v>
      </c>
      <c r="M75" s="18" t="n">
        <v>0</v>
      </c>
      <c r="N75" s="20" t="n">
        <v>0</v>
      </c>
      <c r="O75" s="18" t="n">
        <v>0.45372521</v>
      </c>
      <c r="P75" s="20" t="n">
        <v>0.44162882</v>
      </c>
      <c r="Q75" s="18" t="n">
        <v>0</v>
      </c>
      <c r="R75" s="20" t="n">
        <v>0</v>
      </c>
      <c r="S75" s="18" t="n">
        <v>1.1875041</v>
      </c>
      <c r="T75" s="20" t="n">
        <v>0.743232</v>
      </c>
    </row>
    <row r="76" spans="1:20">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2969</v>
      </c>
      <c r="C77" s="18">
        <f>(2652.0/B77*100)</f>
        <v/>
      </c>
      <c r="D77" s="19" t="n">
        <v>317</v>
      </c>
      <c r="E77" s="18" t="n">
        <v>70.69655883999999</v>
      </c>
      <c r="F77" s="20" t="n">
        <v>3.32625271</v>
      </c>
      <c r="G77" s="18" t="n">
        <v>4.47947065</v>
      </c>
      <c r="H77" s="20" t="n">
        <v>1.19466698</v>
      </c>
      <c r="I77" s="18" t="n">
        <v>2.44007377</v>
      </c>
      <c r="J77" s="20" t="n">
        <v>0.82664762</v>
      </c>
      <c r="K77" s="18" t="n">
        <v>0</v>
      </c>
      <c r="L77" s="20" t="n">
        <v>0</v>
      </c>
      <c r="M77" s="18" t="n">
        <v>1.6679849</v>
      </c>
      <c r="N77" s="20" t="n">
        <v>0.74334947</v>
      </c>
      <c r="O77" s="18" t="n">
        <v>0.97181662</v>
      </c>
      <c r="P77" s="20" t="n">
        <v>0.57167851</v>
      </c>
      <c r="Q77" s="18" t="n">
        <v>0</v>
      </c>
      <c r="R77" s="20" t="n">
        <v>0</v>
      </c>
      <c r="S77" s="18" t="n">
        <v>19.74409522</v>
      </c>
      <c r="T77" s="20" t="n">
        <v>2.71151246</v>
      </c>
    </row>
    <row r="78" spans="1:20">
      <c r="A78" s="15" t="s">
        <v>638</v>
      </c>
      <c r="B78" s="17" t="n">
        <v>7115</v>
      </c>
      <c r="C78" s="18">
        <f>(6349.0/B78*100)</f>
        <v/>
      </c>
      <c r="D78" s="19" t="n">
        <v>766</v>
      </c>
      <c r="E78" s="18" t="n">
        <v>63.67023312</v>
      </c>
      <c r="F78" s="20" t="n">
        <v>2.47942956</v>
      </c>
      <c r="G78" s="18" t="n">
        <v>25.92026194</v>
      </c>
      <c r="H78" s="20" t="n">
        <v>2.17968296</v>
      </c>
      <c r="I78" s="18" t="n">
        <v>6.90907245</v>
      </c>
      <c r="J78" s="20" t="n">
        <v>1.15034029</v>
      </c>
      <c r="K78" s="18" t="n">
        <v>0</v>
      </c>
      <c r="L78" s="20" t="n">
        <v>0</v>
      </c>
      <c r="M78" s="18" t="n">
        <v>0.0643509</v>
      </c>
      <c r="N78" s="20" t="n">
        <v>0.06450754</v>
      </c>
      <c r="O78" s="18" t="n">
        <v>0.19627702</v>
      </c>
      <c r="P78" s="20" t="n">
        <v>0.14192686</v>
      </c>
      <c r="Q78" s="18" t="n">
        <v>0</v>
      </c>
      <c r="R78" s="20" t="n">
        <v>0</v>
      </c>
      <c r="S78" s="18" t="n">
        <v>3.23980457</v>
      </c>
      <c r="T78" s="20" t="n">
        <v>0.57206302</v>
      </c>
    </row>
    <row r="79" spans="1:20">
      <c r="A79" s="15" t="s">
        <v>639</v>
      </c>
      <c r="B79" s="17" t="n">
        <v>3154</v>
      </c>
      <c r="C79" s="18">
        <f>(2809.0/B79*100)</f>
        <v/>
      </c>
      <c r="D79" s="19" t="n">
        <v>345</v>
      </c>
      <c r="E79" s="18" t="n">
        <v>59.29977607</v>
      </c>
      <c r="F79" s="20" t="n">
        <v>2.64821314</v>
      </c>
      <c r="G79" s="18" t="n">
        <v>15.72046188</v>
      </c>
      <c r="H79" s="20" t="n">
        <v>1.93083291</v>
      </c>
      <c r="I79" s="18" t="n">
        <v>3.47332323</v>
      </c>
      <c r="J79" s="20" t="n">
        <v>0.9215726</v>
      </c>
      <c r="K79" s="18" t="n">
        <v>0</v>
      </c>
      <c r="L79" s="20" t="n">
        <v>0</v>
      </c>
      <c r="M79" s="18" t="n">
        <v>0.32956473</v>
      </c>
      <c r="N79" s="20" t="n">
        <v>0.34009606</v>
      </c>
      <c r="O79" s="18" t="n">
        <v>0</v>
      </c>
      <c r="P79" s="20" t="n">
        <v>0</v>
      </c>
      <c r="Q79" s="18" t="n">
        <v>0</v>
      </c>
      <c r="R79" s="20" t="n">
        <v>0</v>
      </c>
      <c r="S79" s="18" t="n">
        <v>21.17687409</v>
      </c>
      <c r="T79" s="20" t="n">
        <v>2.56096301</v>
      </c>
    </row>
    <row r="80" spans="1:20">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15961</v>
      </c>
      <c r="C82" s="18">
        <f>(14174.0/B82*100)</f>
        <v/>
      </c>
      <c r="D82" s="19" t="n">
        <v>1787</v>
      </c>
      <c r="E82" s="18" t="n">
        <v>55.65108976</v>
      </c>
      <c r="F82" s="20" t="n">
        <v>1.76779944</v>
      </c>
      <c r="G82" s="18" t="n">
        <v>25.64600136</v>
      </c>
      <c r="H82" s="20" t="n">
        <v>1.68241741</v>
      </c>
      <c r="I82" s="18" t="n">
        <v>10.49536855</v>
      </c>
      <c r="J82" s="20" t="n">
        <v>1.06437014</v>
      </c>
      <c r="K82" s="18" t="n">
        <v>0</v>
      </c>
      <c r="L82" s="20" t="n">
        <v>0</v>
      </c>
      <c r="M82" s="18" t="n">
        <v>0</v>
      </c>
      <c r="N82" s="20" t="n">
        <v>0</v>
      </c>
      <c r="O82" s="18" t="n">
        <v>0.17814219</v>
      </c>
      <c r="P82" s="20" t="n">
        <v>0.17691774</v>
      </c>
      <c r="Q82" s="18" t="n">
        <v>0</v>
      </c>
      <c r="R82" s="20" t="n">
        <v>0</v>
      </c>
      <c r="S82" s="18" t="n">
        <v>8.02939815</v>
      </c>
      <c r="T82" s="20" t="n">
        <v>0.9782800699999999</v>
      </c>
    </row>
    <row r="83" spans="1:20">
      <c r="A83" s="15" t="s">
        <v>643</v>
      </c>
      <c r="B83" s="17" t="n">
        <v>808</v>
      </c>
      <c r="C83" s="18">
        <f>(707.0/B83*100)</f>
        <v/>
      </c>
      <c r="D83" s="19" t="n">
        <v>101</v>
      </c>
      <c r="E83" s="18" t="n">
        <v>54.84289807</v>
      </c>
      <c r="F83" s="20" t="n">
        <v>5.8332523</v>
      </c>
      <c r="G83" s="18" t="n">
        <v>33.17567042</v>
      </c>
      <c r="H83" s="20" t="n">
        <v>4.59093661</v>
      </c>
      <c r="I83" s="18" t="n">
        <v>8.091849590000001</v>
      </c>
      <c r="J83" s="20" t="n">
        <v>3.37264004</v>
      </c>
      <c r="K83" s="18" t="n">
        <v>0</v>
      </c>
      <c r="L83" s="20" t="n">
        <v>0</v>
      </c>
      <c r="M83" s="18" t="n">
        <v>0</v>
      </c>
      <c r="N83" s="20" t="n">
        <v>0</v>
      </c>
      <c r="O83" s="18" t="n">
        <v>0</v>
      </c>
      <c r="P83" s="20" t="n">
        <v>0</v>
      </c>
      <c r="Q83" s="18" t="n">
        <v>0</v>
      </c>
      <c r="R83" s="20" t="n">
        <v>0</v>
      </c>
      <c r="S83" s="18" t="n">
        <v>3.88958192</v>
      </c>
      <c r="T83" s="20" t="n">
        <v>2.01625605</v>
      </c>
    </row>
    <row r="84" spans="1:20">
      <c r="A84" s="23" t="s">
        <v>644</v>
      </c>
      <c r="B84" s="24" t="n">
        <v>938</v>
      </c>
      <c r="C84" s="25">
        <f>(834.0/B84*100)</f>
        <v/>
      </c>
      <c r="D84" s="19" t="n">
        <v>104</v>
      </c>
      <c r="E84" s="18" t="n">
        <v>64.21260671</v>
      </c>
      <c r="F84" s="20" t="n">
        <v>4.94879901</v>
      </c>
      <c r="G84" s="18" t="n">
        <v>26.21284127</v>
      </c>
      <c r="H84" s="20" t="n">
        <v>4.24045705</v>
      </c>
      <c r="I84" s="18" t="n">
        <v>6.76410215</v>
      </c>
      <c r="J84" s="20" t="n">
        <v>2.51758413</v>
      </c>
      <c r="K84" s="18" t="n">
        <v>0</v>
      </c>
      <c r="L84" s="20" t="n">
        <v>0</v>
      </c>
      <c r="M84" s="18" t="n">
        <v>0</v>
      </c>
      <c r="N84" s="20" t="n">
        <v>0</v>
      </c>
      <c r="O84" s="18" t="n">
        <v>0</v>
      </c>
      <c r="P84" s="20" t="n">
        <v>0</v>
      </c>
      <c r="Q84" s="18" t="n">
        <v>0</v>
      </c>
      <c r="R84" s="20" t="n">
        <v>0</v>
      </c>
      <c r="S84" s="18" t="n">
        <v>2.81044986</v>
      </c>
      <c r="T84" s="20" t="n">
        <v>1.72767735</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(6377.0/B7*100)</f>
        <v/>
      </c>
      <c r="D7" s="19" t="n">
        <v>786</v>
      </c>
      <c r="E7" s="18" t="n">
        <v>32.59732522</v>
      </c>
      <c r="F7" s="20" t="n">
        <v>2.14090832</v>
      </c>
      <c r="G7" s="18" t="n">
        <v>67.32706702</v>
      </c>
      <c r="H7" s="20" t="n">
        <v>2.13830029</v>
      </c>
      <c r="I7" s="18" t="n">
        <v>0</v>
      </c>
      <c r="J7" s="20" t="n">
        <v>0</v>
      </c>
      <c r="K7" s="18" t="n">
        <v>0.03176142</v>
      </c>
      <c r="L7" s="20" t="n">
        <v>0.0236524</v>
      </c>
      <c r="M7" s="18" t="n">
        <v>0</v>
      </c>
      <c r="N7" s="20" t="n">
        <v>0</v>
      </c>
      <c r="O7" s="18" t="n">
        <v>0</v>
      </c>
      <c r="P7" s="20" t="n">
        <v>0</v>
      </c>
      <c r="Q7" s="18" t="n">
        <v>0.04384633</v>
      </c>
      <c r="R7" s="20" t="n">
        <v>0.0449448</v>
      </c>
    </row>
    <row r="8" spans="1:18">
      <c r="A8" s="15" t="s">
        <v>566</v>
      </c>
      <c r="B8" s="17" t="n">
        <v>3443</v>
      </c>
      <c r="C8" s="18">
        <f>(3088.0/B8*100)</f>
        <v/>
      </c>
      <c r="D8" s="19" t="n">
        <v>355</v>
      </c>
      <c r="E8" s="18" t="n">
        <v>43.05414267</v>
      </c>
      <c r="F8" s="20" t="n">
        <v>3.35362449</v>
      </c>
      <c r="G8" s="18" t="n">
        <v>56.43475754</v>
      </c>
      <c r="H8" s="20" t="n">
        <v>3.41211975</v>
      </c>
      <c r="I8" s="18" t="n">
        <v>0</v>
      </c>
      <c r="J8" s="20" t="n">
        <v>0</v>
      </c>
      <c r="K8" s="18" t="n">
        <v>0.10302582</v>
      </c>
      <c r="L8" s="20" t="n">
        <v>0.10255822</v>
      </c>
      <c r="M8" s="18" t="n">
        <v>0</v>
      </c>
      <c r="N8" s="20" t="n">
        <v>0</v>
      </c>
      <c r="O8" s="18" t="n">
        <v>0</v>
      </c>
      <c r="P8" s="20" t="n">
        <v>0</v>
      </c>
      <c r="Q8" s="18" t="n">
        <v>0.40807397</v>
      </c>
      <c r="R8" s="20" t="n">
        <v>0.40273104</v>
      </c>
    </row>
    <row r="9" spans="1:18">
      <c r="A9" s="15" t="s">
        <v>567</v>
      </c>
      <c r="B9" s="17" t="n">
        <v>4752</v>
      </c>
      <c r="C9" s="18">
        <f>(4240.0/B9*100)</f>
        <v/>
      </c>
      <c r="D9" s="19" t="n">
        <v>512</v>
      </c>
      <c r="E9" s="18" t="n">
        <v>33.65300426</v>
      </c>
      <c r="F9" s="20" t="n">
        <v>2.24858891</v>
      </c>
      <c r="G9" s="18" t="n">
        <v>66.06970507</v>
      </c>
      <c r="H9" s="20" t="n">
        <v>2.25652481</v>
      </c>
      <c r="I9" s="18" t="n">
        <v>0</v>
      </c>
      <c r="J9" s="20" t="n">
        <v>0</v>
      </c>
      <c r="K9" s="18" t="n">
        <v>0</v>
      </c>
      <c r="L9" s="20" t="n">
        <v>0</v>
      </c>
      <c r="M9" s="18" t="n">
        <v>0</v>
      </c>
      <c r="N9" s="20" t="n">
        <v>0</v>
      </c>
      <c r="O9" s="18" t="n">
        <v>0</v>
      </c>
      <c r="P9" s="20" t="n">
        <v>0</v>
      </c>
      <c r="Q9" s="18" t="n">
        <v>0.27729067</v>
      </c>
      <c r="R9" s="20" t="n">
        <v>0.20289114</v>
      </c>
    </row>
    <row r="10" spans="1:18">
      <c r="A10" s="15" t="s">
        <v>568</v>
      </c>
      <c r="B10" s="17" t="n">
        <v>10022</v>
      </c>
      <c r="C10" s="18">
        <f>(8895.0/B10*100)</f>
        <v/>
      </c>
      <c r="D10" s="19" t="n">
        <v>1127</v>
      </c>
      <c r="E10" s="18" t="n">
        <v>30.51987447</v>
      </c>
      <c r="F10" s="20" t="n">
        <v>2.12398622</v>
      </c>
      <c r="G10" s="18" t="n">
        <v>68.78396356</v>
      </c>
      <c r="H10" s="20" t="n">
        <v>2.19019633</v>
      </c>
      <c r="I10" s="18" t="n">
        <v>0</v>
      </c>
      <c r="J10" s="20" t="n">
        <v>0</v>
      </c>
      <c r="K10" s="18" t="n">
        <v>0.60714591</v>
      </c>
      <c r="L10" s="20" t="n">
        <v>0.33012174</v>
      </c>
      <c r="M10" s="18" t="n">
        <v>0</v>
      </c>
      <c r="N10" s="20" t="n">
        <v>0</v>
      </c>
      <c r="O10" s="18" t="n">
        <v>0</v>
      </c>
      <c r="P10" s="20" t="n">
        <v>0</v>
      </c>
      <c r="Q10" s="18" t="n">
        <v>0.08901605999999999</v>
      </c>
      <c r="R10" s="20" t="n">
        <v>0.08377490999999999</v>
      </c>
    </row>
    <row r="11" spans="1:18">
      <c r="A11" s="15" t="s">
        <v>569</v>
      </c>
      <c r="B11" s="17" t="n">
        <v>3500</v>
      </c>
      <c r="C11" s="18">
        <f>(3092.0/B11*100)</f>
        <v/>
      </c>
      <c r="D11" s="19" t="n">
        <v>408</v>
      </c>
      <c r="E11" s="18" t="n">
        <v>49.20323441</v>
      </c>
      <c r="F11" s="20" t="n">
        <v>3.01364955</v>
      </c>
      <c r="G11" s="18" t="n">
        <v>49.00257222</v>
      </c>
      <c r="H11" s="20" t="n">
        <v>3.02276599</v>
      </c>
      <c r="I11" s="18" t="n">
        <v>0</v>
      </c>
      <c r="J11" s="20" t="n">
        <v>0</v>
      </c>
      <c r="K11" s="18" t="n">
        <v>1.25071807</v>
      </c>
      <c r="L11" s="20" t="n">
        <v>0.76314359</v>
      </c>
      <c r="M11" s="18" t="n">
        <v>0</v>
      </c>
      <c r="N11" s="20" t="n">
        <v>0</v>
      </c>
      <c r="O11" s="18" t="n">
        <v>0</v>
      </c>
      <c r="P11" s="20" t="n">
        <v>0</v>
      </c>
      <c r="Q11" s="18" t="n">
        <v>0.5434752900000001</v>
      </c>
      <c r="R11" s="20" t="n">
        <v>0.3350558</v>
      </c>
    </row>
    <row r="12" spans="1:18">
      <c r="A12" s="15" t="s">
        <v>570</v>
      </c>
      <c r="B12" s="17" t="n">
        <v>3422</v>
      </c>
      <c r="C12" s="18">
        <f>(3034.0/B12*100)</f>
        <v/>
      </c>
      <c r="D12" s="19" t="n">
        <v>388</v>
      </c>
      <c r="E12" s="18" t="n">
        <v>32.45967692</v>
      </c>
      <c r="F12" s="20" t="n">
        <v>3.36370031</v>
      </c>
      <c r="G12" s="18" t="n">
        <v>67.54032307999999</v>
      </c>
      <c r="H12" s="20" t="n">
        <v>3.36370031</v>
      </c>
      <c r="I12" s="18" t="n">
        <v>0</v>
      </c>
      <c r="J12" s="20" t="n">
        <v>0</v>
      </c>
      <c r="K12" s="18" t="n">
        <v>0</v>
      </c>
      <c r="L12" s="20" t="n">
        <v>0</v>
      </c>
      <c r="M12" s="18" t="n">
        <v>0</v>
      </c>
      <c r="N12" s="20" t="n">
        <v>0</v>
      </c>
      <c r="O12" s="18" t="n">
        <v>0</v>
      </c>
      <c r="P12" s="20" t="n">
        <v>0</v>
      </c>
      <c r="Q12" s="18" t="n">
        <v>0</v>
      </c>
      <c r="R12" s="20" t="n">
        <v>0</v>
      </c>
    </row>
    <row r="13" spans="1:18">
      <c r="A13" s="15" t="s">
        <v>571</v>
      </c>
      <c r="B13" s="17" t="n">
        <v>3602</v>
      </c>
      <c r="C13" s="18">
        <f>(3252.0/B13*100)</f>
        <v/>
      </c>
      <c r="D13" s="19" t="n">
        <v>350</v>
      </c>
      <c r="E13" s="18" t="n">
        <v>31.63204551</v>
      </c>
      <c r="F13" s="20" t="n">
        <v>2.71352379</v>
      </c>
      <c r="G13" s="18" t="n">
        <v>67.41438839</v>
      </c>
      <c r="H13" s="20" t="n">
        <v>2.80601856</v>
      </c>
      <c r="I13" s="18" t="n">
        <v>0</v>
      </c>
      <c r="J13" s="20" t="n">
        <v>0</v>
      </c>
      <c r="K13" s="18" t="n">
        <v>0.47568424</v>
      </c>
      <c r="L13" s="20" t="n">
        <v>0.33574115</v>
      </c>
      <c r="M13" s="18" t="n">
        <v>0</v>
      </c>
      <c r="N13" s="20" t="n">
        <v>0</v>
      </c>
      <c r="O13" s="18" t="n">
        <v>0</v>
      </c>
      <c r="P13" s="20" t="n">
        <v>0</v>
      </c>
      <c r="Q13" s="18" t="n">
        <v>0.47788186</v>
      </c>
      <c r="R13" s="20" t="n">
        <v>0.50813838</v>
      </c>
    </row>
    <row r="14" spans="1:18">
      <c r="A14" s="15" t="s">
        <v>572</v>
      </c>
      <c r="B14" s="17" t="n">
        <v>2788</v>
      </c>
      <c r="C14" s="18">
        <f>(2469.0/B14*100)</f>
        <v/>
      </c>
      <c r="D14" s="19" t="n">
        <v>319</v>
      </c>
      <c r="E14" s="18" t="n">
        <v>25.41391727</v>
      </c>
      <c r="F14" s="20" t="n">
        <v>2.5131835</v>
      </c>
      <c r="G14" s="18" t="n">
        <v>74.58608273</v>
      </c>
      <c r="H14" s="20" t="n">
        <v>2.5131835</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(2538.0/B15*100)</f>
        <v/>
      </c>
      <c r="D15" s="19" t="n">
        <v>325</v>
      </c>
      <c r="E15" s="18" t="n">
        <v>16.18903707</v>
      </c>
      <c r="F15" s="20" t="n">
        <v>2.32643924</v>
      </c>
      <c r="G15" s="18" t="n">
        <v>83.81096293</v>
      </c>
      <c r="H15" s="20" t="n">
        <v>2.32643924</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(2749.0/B16*100)</f>
        <v/>
      </c>
      <c r="D16" s="19" t="n">
        <v>362</v>
      </c>
      <c r="E16" s="18" t="n">
        <v>32.43641791</v>
      </c>
      <c r="F16" s="20" t="n">
        <v>2.22274619</v>
      </c>
      <c r="G16" s="18" t="n">
        <v>66.58733406</v>
      </c>
      <c r="H16" s="20" t="n">
        <v>2.31002979</v>
      </c>
      <c r="I16" s="18" t="n">
        <v>0</v>
      </c>
      <c r="J16" s="20" t="n">
        <v>0</v>
      </c>
      <c r="K16" s="18" t="n">
        <v>0</v>
      </c>
      <c r="L16" s="20" t="n">
        <v>0</v>
      </c>
      <c r="M16" s="18" t="n">
        <v>0</v>
      </c>
      <c r="N16" s="20" t="n">
        <v>0</v>
      </c>
      <c r="O16" s="18" t="n">
        <v>0</v>
      </c>
      <c r="P16" s="20" t="n">
        <v>0</v>
      </c>
      <c r="Q16" s="18" t="n">
        <v>0.97624802</v>
      </c>
      <c r="R16" s="20" t="n">
        <v>0.32704836</v>
      </c>
    </row>
    <row r="17" spans="1:18">
      <c r="A17" s="15" t="s">
        <v>575</v>
      </c>
      <c r="B17" s="17" t="n">
        <v>3197</v>
      </c>
      <c r="C17" s="18">
        <f>(2849.0/B17*100)</f>
        <v/>
      </c>
      <c r="D17" s="19" t="n">
        <v>348</v>
      </c>
      <c r="E17" s="18" t="n">
        <v>31.73778983</v>
      </c>
      <c r="F17" s="20" t="n">
        <v>2.62667201</v>
      </c>
      <c r="G17" s="18" t="n">
        <v>68.02586287</v>
      </c>
      <c r="H17" s="20" t="n">
        <v>2.60691371</v>
      </c>
      <c r="I17" s="18" t="n">
        <v>0</v>
      </c>
      <c r="J17" s="20" t="n">
        <v>0</v>
      </c>
      <c r="K17" s="18" t="n">
        <v>0</v>
      </c>
      <c r="L17" s="20" t="n">
        <v>0</v>
      </c>
      <c r="M17" s="18" t="n">
        <v>0</v>
      </c>
      <c r="N17" s="20" t="n">
        <v>0</v>
      </c>
      <c r="O17" s="18" t="n">
        <v>0</v>
      </c>
      <c r="P17" s="20" t="n">
        <v>0</v>
      </c>
      <c r="Q17" s="18" t="n">
        <v>0.2363473</v>
      </c>
      <c r="R17" s="20" t="n">
        <v>0.23470975</v>
      </c>
    </row>
    <row r="18" spans="1:18">
      <c r="A18" s="15" t="s">
        <v>576</v>
      </c>
      <c r="B18" s="17" t="n">
        <v>2706</v>
      </c>
      <c r="C18" s="18">
        <f>(2407.0/B18*100)</f>
        <v/>
      </c>
      <c r="D18" s="19" t="n">
        <v>299</v>
      </c>
      <c r="E18" s="18" t="n">
        <v>37.01344569</v>
      </c>
      <c r="F18" s="20" t="n">
        <v>3.09109556</v>
      </c>
      <c r="G18" s="18" t="n">
        <v>62.71069445</v>
      </c>
      <c r="H18" s="20" t="n">
        <v>3.07506725</v>
      </c>
      <c r="I18" s="18" t="n">
        <v>0</v>
      </c>
      <c r="J18" s="20" t="n">
        <v>0</v>
      </c>
      <c r="K18" s="18" t="n">
        <v>0.27585986</v>
      </c>
      <c r="L18" s="20" t="n">
        <v>0.26997879</v>
      </c>
      <c r="M18" s="18" t="n">
        <v>0</v>
      </c>
      <c r="N18" s="20" t="n">
        <v>0</v>
      </c>
      <c r="O18" s="18" t="n">
        <v>0</v>
      </c>
      <c r="P18" s="20" t="n">
        <v>0</v>
      </c>
      <c r="Q18" s="18" t="n">
        <v>0</v>
      </c>
      <c r="R18" s="20" t="n">
        <v>0</v>
      </c>
    </row>
    <row r="19" spans="1:18">
      <c r="A19" s="15" t="s">
        <v>577</v>
      </c>
      <c r="B19" s="17" t="n">
        <v>2850</v>
      </c>
      <c r="C19" s="18">
        <f>(2560.0/B19*100)</f>
        <v/>
      </c>
      <c r="D19" s="19" t="n">
        <v>290</v>
      </c>
      <c r="E19" s="18" t="n">
        <v>17.13311161</v>
      </c>
      <c r="F19" s="20" t="n">
        <v>2.53456831</v>
      </c>
      <c r="G19" s="18" t="n">
        <v>82.86688839</v>
      </c>
      <c r="H19" s="20" t="n">
        <v>2.53456831</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(1548.0/B20*100)</f>
        <v/>
      </c>
      <c r="D20" s="19" t="n">
        <v>193</v>
      </c>
      <c r="E20" s="18" t="n">
        <v>24.8386682</v>
      </c>
      <c r="F20" s="20" t="n">
        <v>3.05379648</v>
      </c>
      <c r="G20" s="18" t="n">
        <v>74.06084349</v>
      </c>
      <c r="H20" s="20" t="n">
        <v>3.05581432</v>
      </c>
      <c r="I20" s="18" t="n">
        <v>0</v>
      </c>
      <c r="J20" s="20" t="n">
        <v>0</v>
      </c>
      <c r="K20" s="18" t="n">
        <v>1.1004883</v>
      </c>
      <c r="L20" s="20" t="n">
        <v>0.78285956</v>
      </c>
      <c r="M20" s="18" t="n">
        <v>0</v>
      </c>
      <c r="N20" s="20" t="n">
        <v>0</v>
      </c>
      <c r="O20" s="18" t="n">
        <v>0</v>
      </c>
      <c r="P20" s="20" t="n">
        <v>0</v>
      </c>
      <c r="Q20" s="18" t="n">
        <v>0</v>
      </c>
      <c r="R20" s="20" t="n">
        <v>0</v>
      </c>
    </row>
    <row r="21" spans="1:18">
      <c r="A21" s="15" t="s">
        <v>579</v>
      </c>
      <c r="B21" s="17" t="n">
        <v>2833</v>
      </c>
      <c r="C21" s="18">
        <f>(2558.0/B21*100)</f>
        <v/>
      </c>
      <c r="D21" s="19" t="n">
        <v>275</v>
      </c>
      <c r="E21" s="18" t="n">
        <v>40.44642052</v>
      </c>
      <c r="F21" s="20" t="n">
        <v>3.34138327</v>
      </c>
      <c r="G21" s="18" t="n">
        <v>59.23959546</v>
      </c>
      <c r="H21" s="20" t="n">
        <v>3.36162362</v>
      </c>
      <c r="I21" s="18" t="n">
        <v>0</v>
      </c>
      <c r="J21" s="20" t="n">
        <v>0</v>
      </c>
      <c r="K21" s="18" t="n">
        <v>0.31398402</v>
      </c>
      <c r="L21" s="20" t="n">
        <v>0.22735401</v>
      </c>
      <c r="M21" s="18" t="n">
        <v>0</v>
      </c>
      <c r="N21" s="20" t="n">
        <v>0</v>
      </c>
      <c r="O21" s="18" t="n">
        <v>0</v>
      </c>
      <c r="P21" s="20" t="n">
        <v>0</v>
      </c>
      <c r="Q21" s="18" t="n">
        <v>0</v>
      </c>
      <c r="R21" s="20" t="n">
        <v>0</v>
      </c>
    </row>
    <row r="22" spans="1:18">
      <c r="A22" s="15" t="s">
        <v>580</v>
      </c>
      <c r="B22" s="17" t="n">
        <v>3667</v>
      </c>
      <c r="C22" s="18">
        <f>(3291.0/B22*100)</f>
        <v/>
      </c>
      <c r="D22" s="19" t="n">
        <v>376</v>
      </c>
      <c r="E22" s="18" t="n">
        <v>33.40250818</v>
      </c>
      <c r="F22" s="20" t="n">
        <v>2.88291226</v>
      </c>
      <c r="G22" s="18" t="n">
        <v>66.07186348</v>
      </c>
      <c r="H22" s="20" t="n">
        <v>2.84574954</v>
      </c>
      <c r="I22" s="18" t="n">
        <v>0</v>
      </c>
      <c r="J22" s="20" t="n">
        <v>0</v>
      </c>
      <c r="K22" s="18" t="n">
        <v>0.26099733</v>
      </c>
      <c r="L22" s="20" t="n">
        <v>0.24929614</v>
      </c>
      <c r="M22" s="18" t="n">
        <v>0</v>
      </c>
      <c r="N22" s="20" t="n">
        <v>0</v>
      </c>
      <c r="O22" s="18" t="n">
        <v>0</v>
      </c>
      <c r="P22" s="20" t="n">
        <v>0</v>
      </c>
      <c r="Q22" s="18" t="n">
        <v>0.26463101</v>
      </c>
      <c r="R22" s="20" t="n">
        <v>0.18811952</v>
      </c>
    </row>
    <row r="23" spans="1:18">
      <c r="A23" s="15" t="s">
        <v>581</v>
      </c>
      <c r="B23" s="17" t="n">
        <v>5792</v>
      </c>
      <c r="C23" s="18">
        <f>(5128.0/B23*100)</f>
        <v/>
      </c>
      <c r="D23" s="19" t="n">
        <v>664</v>
      </c>
      <c r="E23" s="18" t="n">
        <v>36.13341403</v>
      </c>
      <c r="F23" s="20" t="n">
        <v>3.15619395</v>
      </c>
      <c r="G23" s="18" t="n">
        <v>63.72115999</v>
      </c>
      <c r="H23" s="20" t="n">
        <v>3.1577636</v>
      </c>
      <c r="I23" s="18" t="n">
        <v>0</v>
      </c>
      <c r="J23" s="20" t="n">
        <v>0</v>
      </c>
      <c r="K23" s="18" t="n">
        <v>0.02003705</v>
      </c>
      <c r="L23" s="20" t="n">
        <v>0.01667995</v>
      </c>
      <c r="M23" s="18" t="n">
        <v>0</v>
      </c>
      <c r="N23" s="20" t="n">
        <v>0</v>
      </c>
      <c r="O23" s="18" t="n">
        <v>0</v>
      </c>
      <c r="P23" s="20" t="n">
        <v>0</v>
      </c>
      <c r="Q23" s="18" t="n">
        <v>0.12538894</v>
      </c>
      <c r="R23" s="20" t="n">
        <v>0.11990924</v>
      </c>
    </row>
    <row r="24" spans="1:18">
      <c r="A24" s="15" t="s">
        <v>582</v>
      </c>
      <c r="B24" s="17" t="n">
        <v>3309</v>
      </c>
      <c r="C24" s="18">
        <f>(2978.0/B24*100)</f>
        <v/>
      </c>
      <c r="D24" s="19" t="n">
        <v>331</v>
      </c>
      <c r="E24" s="18" t="n">
        <v>26.00640125</v>
      </c>
      <c r="F24" s="20" t="n">
        <v>2.27898668</v>
      </c>
      <c r="G24" s="18" t="n">
        <v>73.69437713000001</v>
      </c>
      <c r="H24" s="20" t="n">
        <v>2.30453911</v>
      </c>
      <c r="I24" s="18" t="n">
        <v>0</v>
      </c>
      <c r="J24" s="20" t="n">
        <v>0</v>
      </c>
      <c r="K24" s="18" t="n">
        <v>0</v>
      </c>
      <c r="L24" s="20" t="n">
        <v>0</v>
      </c>
      <c r="M24" s="18" t="n">
        <v>0</v>
      </c>
      <c r="N24" s="20" t="n">
        <v>0</v>
      </c>
      <c r="O24" s="18" t="n">
        <v>0</v>
      </c>
      <c r="P24" s="20" t="n">
        <v>0</v>
      </c>
      <c r="Q24" s="18" t="n">
        <v>0.29922162</v>
      </c>
      <c r="R24" s="20" t="n">
        <v>0.30064005</v>
      </c>
    </row>
    <row r="25" spans="1:18">
      <c r="A25" s="15" t="s">
        <v>583</v>
      </c>
      <c r="B25" s="17" t="n">
        <v>2669</v>
      </c>
      <c r="C25" s="18">
        <f>(2366.0/B25*100)</f>
        <v/>
      </c>
      <c r="D25" s="19" t="n">
        <v>303</v>
      </c>
      <c r="E25" s="18" t="n">
        <v>48.14926691</v>
      </c>
      <c r="F25" s="20" t="n">
        <v>2.69798222</v>
      </c>
      <c r="G25" s="18" t="n">
        <v>51.85073309</v>
      </c>
      <c r="H25" s="20" t="n">
        <v>2.69798222</v>
      </c>
      <c r="I25" s="18" t="n">
        <v>0</v>
      </c>
      <c r="J25" s="20" t="n">
        <v>0</v>
      </c>
      <c r="K25" s="18" t="n">
        <v>0</v>
      </c>
      <c r="L25" s="20" t="n">
        <v>0</v>
      </c>
      <c r="M25" s="18" t="n">
        <v>0</v>
      </c>
      <c r="N25" s="20" t="n">
        <v>0</v>
      </c>
      <c r="O25" s="18" t="n">
        <v>0</v>
      </c>
      <c r="P25" s="20" t="n">
        <v>0</v>
      </c>
      <c r="Q25" s="18" t="n">
        <v>0</v>
      </c>
      <c r="R25" s="20" t="n">
        <v>0</v>
      </c>
    </row>
    <row r="26" spans="1:18">
      <c r="A26" s="15" t="s">
        <v>584</v>
      </c>
      <c r="B26" s="17" t="n">
        <v>2419</v>
      </c>
      <c r="C26" s="18">
        <f>(2142.0/B26*100)</f>
        <v/>
      </c>
      <c r="D26" s="19" t="n">
        <v>277</v>
      </c>
      <c r="E26" s="18" t="n">
        <v>27.51438394</v>
      </c>
      <c r="F26" s="20" t="n">
        <v>3.04300604</v>
      </c>
      <c r="G26" s="18" t="n">
        <v>72.48561606</v>
      </c>
      <c r="H26" s="20" t="n">
        <v>3.04300604</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(2381.0/B27*100)</f>
        <v/>
      </c>
      <c r="D27" s="19" t="n">
        <v>302</v>
      </c>
      <c r="E27" s="18" t="n">
        <v>34.49465254</v>
      </c>
      <c r="F27" s="20" t="n">
        <v>2.79624279</v>
      </c>
      <c r="G27" s="18" t="n">
        <v>65.50534746</v>
      </c>
      <c r="H27" s="20" t="n">
        <v>2.79624279</v>
      </c>
      <c r="I27" s="18" t="n">
        <v>0</v>
      </c>
      <c r="J27" s="20" t="n">
        <v>0</v>
      </c>
      <c r="K27" s="18" t="n">
        <v>0</v>
      </c>
      <c r="L27" s="20" t="n">
        <v>0</v>
      </c>
      <c r="M27" s="18" t="n">
        <v>0</v>
      </c>
      <c r="N27" s="20" t="n">
        <v>0</v>
      </c>
      <c r="O27" s="18" t="n">
        <v>0</v>
      </c>
      <c r="P27" s="20" t="n">
        <v>0</v>
      </c>
      <c r="Q27" s="18" t="n">
        <v>0</v>
      </c>
      <c r="R27" s="20" t="n">
        <v>0</v>
      </c>
    </row>
    <row r="28" spans="1:18">
      <c r="A28" s="15" t="s">
        <v>586</v>
      </c>
      <c r="B28" s="17" t="n">
        <v>3803</v>
      </c>
      <c r="C28" s="18">
        <f>(3391.0/B28*100)</f>
        <v/>
      </c>
      <c r="D28" s="19" t="n">
        <v>412</v>
      </c>
      <c r="E28" s="18" t="n">
        <v>55.42021027</v>
      </c>
      <c r="F28" s="20" t="n">
        <v>3.13548992</v>
      </c>
      <c r="G28" s="18" t="n">
        <v>44.16525305</v>
      </c>
      <c r="H28" s="20" t="n">
        <v>3.144559</v>
      </c>
      <c r="I28" s="18" t="n">
        <v>0</v>
      </c>
      <c r="J28" s="20" t="n">
        <v>0</v>
      </c>
      <c r="K28" s="18" t="n">
        <v>0.2097679</v>
      </c>
      <c r="L28" s="20" t="n">
        <v>0.20992365</v>
      </c>
      <c r="M28" s="18" t="n">
        <v>0</v>
      </c>
      <c r="N28" s="20" t="n">
        <v>0</v>
      </c>
      <c r="O28" s="18" t="n">
        <v>0</v>
      </c>
      <c r="P28" s="20" t="n">
        <v>0</v>
      </c>
      <c r="Q28" s="18" t="n">
        <v>0.20476878</v>
      </c>
      <c r="R28" s="20" t="n">
        <v>0.20479066</v>
      </c>
    </row>
    <row r="29" spans="1:18">
      <c r="A29" s="15" t="s">
        <v>587</v>
      </c>
      <c r="B29" s="17" t="n">
        <v>2700</v>
      </c>
      <c r="C29" s="18">
        <f>(2422.0/B29*100)</f>
        <v/>
      </c>
      <c r="D29" s="19" t="n">
        <v>278</v>
      </c>
      <c r="E29" s="18" t="n">
        <v>20.02332095</v>
      </c>
      <c r="F29" s="20" t="n">
        <v>2.47478206</v>
      </c>
      <c r="G29" s="18" t="n">
        <v>79.48627648999999</v>
      </c>
      <c r="H29" s="20" t="n">
        <v>2.47285368</v>
      </c>
      <c r="I29" s="18" t="n">
        <v>0</v>
      </c>
      <c r="J29" s="20" t="n">
        <v>0</v>
      </c>
      <c r="K29" s="18" t="n">
        <v>0</v>
      </c>
      <c r="L29" s="20" t="n">
        <v>0</v>
      </c>
      <c r="M29" s="18" t="n">
        <v>0</v>
      </c>
      <c r="N29" s="20" t="n">
        <v>0</v>
      </c>
      <c r="O29" s="18" t="n">
        <v>0</v>
      </c>
      <c r="P29" s="20" t="n">
        <v>0</v>
      </c>
      <c r="Q29" s="18" t="n">
        <v>0.49040256</v>
      </c>
      <c r="R29" s="20" t="n">
        <v>0.4256382</v>
      </c>
    </row>
    <row r="30" spans="1:18">
      <c r="A30" s="15" t="s">
        <v>588</v>
      </c>
      <c r="B30" s="17" t="n">
        <v>2257</v>
      </c>
      <c r="C30" s="18">
        <f>(2009.0/B30*100)</f>
        <v/>
      </c>
      <c r="D30" s="19" t="n">
        <v>248</v>
      </c>
      <c r="E30" s="18" t="n">
        <v>38.00819043</v>
      </c>
      <c r="F30" s="20" t="n">
        <v>3.25664474</v>
      </c>
      <c r="G30" s="18" t="n">
        <v>60.2607966</v>
      </c>
      <c r="H30" s="20" t="n">
        <v>3.41222858</v>
      </c>
      <c r="I30" s="18" t="n">
        <v>0</v>
      </c>
      <c r="J30" s="20" t="n">
        <v>0</v>
      </c>
      <c r="K30" s="18" t="n">
        <v>0.50449391</v>
      </c>
      <c r="L30" s="20" t="n">
        <v>0.5362993</v>
      </c>
      <c r="M30" s="18" t="n">
        <v>0</v>
      </c>
      <c r="N30" s="20" t="n">
        <v>0</v>
      </c>
      <c r="O30" s="18" t="n">
        <v>0</v>
      </c>
      <c r="P30" s="20" t="n">
        <v>0</v>
      </c>
      <c r="Q30" s="18" t="n">
        <v>1.22651906</v>
      </c>
      <c r="R30" s="20" t="n">
        <v>0.70469162</v>
      </c>
    </row>
    <row r="31" spans="1:18">
      <c r="A31" s="15" t="s">
        <v>589</v>
      </c>
      <c r="B31" s="17" t="n">
        <v>2706</v>
      </c>
      <c r="C31" s="18">
        <f>(2404.0/B31*100)</f>
        <v/>
      </c>
      <c r="D31" s="19" t="n">
        <v>302</v>
      </c>
      <c r="E31" s="18" t="n">
        <v>26.44790023</v>
      </c>
      <c r="F31" s="20" t="n">
        <v>2.69519793</v>
      </c>
      <c r="G31" s="18" t="n">
        <v>72.92629547999999</v>
      </c>
      <c r="H31" s="20" t="n">
        <v>2.73217145</v>
      </c>
      <c r="I31" s="18" t="n">
        <v>0</v>
      </c>
      <c r="J31" s="20" t="n">
        <v>0</v>
      </c>
      <c r="K31" s="18" t="n">
        <v>0.28183403</v>
      </c>
      <c r="L31" s="20" t="n">
        <v>0.28326841</v>
      </c>
      <c r="M31" s="18" t="n">
        <v>0</v>
      </c>
      <c r="N31" s="20" t="n">
        <v>0</v>
      </c>
      <c r="O31" s="18" t="n">
        <v>0</v>
      </c>
      <c r="P31" s="20" t="n">
        <v>0</v>
      </c>
      <c r="Q31" s="18" t="n">
        <v>0.34397027</v>
      </c>
      <c r="R31" s="20" t="n">
        <v>0.36629466</v>
      </c>
    </row>
    <row r="32" spans="1:18">
      <c r="A32" s="15" t="s">
        <v>590</v>
      </c>
      <c r="B32" s="17" t="n">
        <v>2209</v>
      </c>
      <c r="C32" s="18">
        <f>(1968.0/B32*100)</f>
        <v/>
      </c>
      <c r="D32" s="19" t="n">
        <v>241</v>
      </c>
      <c r="E32" s="18" t="n">
        <v>28.48037869</v>
      </c>
      <c r="F32" s="20" t="n">
        <v>2.77151246</v>
      </c>
      <c r="G32" s="18" t="n">
        <v>71.51962131000001</v>
      </c>
      <c r="H32" s="20" t="n">
        <v>2.77151246</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(3241.0/B33*100)</f>
        <v/>
      </c>
      <c r="D33" s="19" t="n">
        <v>410</v>
      </c>
      <c r="E33" s="18" t="n">
        <v>37.25858309</v>
      </c>
      <c r="F33" s="20" t="n">
        <v>2.7006366</v>
      </c>
      <c r="G33" s="18" t="n">
        <v>61.93588182</v>
      </c>
      <c r="H33" s="20" t="n">
        <v>2.73741079</v>
      </c>
      <c r="I33" s="18" t="n">
        <v>0</v>
      </c>
      <c r="J33" s="20" t="n">
        <v>0</v>
      </c>
      <c r="K33" s="18" t="n">
        <v>0.41007916</v>
      </c>
      <c r="L33" s="20" t="n">
        <v>0.39204925</v>
      </c>
      <c r="M33" s="18" t="n">
        <v>0</v>
      </c>
      <c r="N33" s="20" t="n">
        <v>0</v>
      </c>
      <c r="O33" s="18" t="n">
        <v>0</v>
      </c>
      <c r="P33" s="20" t="n">
        <v>0</v>
      </c>
      <c r="Q33" s="18" t="n">
        <v>0.39545594</v>
      </c>
      <c r="R33" s="20" t="n">
        <v>0.29671047</v>
      </c>
    </row>
    <row r="34" spans="1:18">
      <c r="A34" s="15" t="s">
        <v>592</v>
      </c>
      <c r="B34" s="17" t="n">
        <v>3035</v>
      </c>
      <c r="C34" s="18">
        <f>(2683.0/B34*100)</f>
        <v/>
      </c>
      <c r="D34" s="19" t="n">
        <v>352</v>
      </c>
      <c r="E34" s="18" t="n">
        <v>27.4352836</v>
      </c>
      <c r="F34" s="20" t="n">
        <v>2.47563626</v>
      </c>
      <c r="G34" s="18" t="n">
        <v>71.94636078000001</v>
      </c>
      <c r="H34" s="20" t="n">
        <v>2.52346561</v>
      </c>
      <c r="I34" s="18" t="n">
        <v>0</v>
      </c>
      <c r="J34" s="20" t="n">
        <v>0</v>
      </c>
      <c r="K34" s="18" t="n">
        <v>0</v>
      </c>
      <c r="L34" s="20" t="n">
        <v>0</v>
      </c>
      <c r="M34" s="18" t="n">
        <v>0</v>
      </c>
      <c r="N34" s="20" t="n">
        <v>0</v>
      </c>
      <c r="O34" s="18" t="n">
        <v>0</v>
      </c>
      <c r="P34" s="20" t="n">
        <v>0</v>
      </c>
      <c r="Q34" s="18" t="n">
        <v>0.61835562</v>
      </c>
      <c r="R34" s="20" t="n">
        <v>0.47463806</v>
      </c>
    </row>
    <row r="35" spans="1:18">
      <c r="A35" s="15" t="s">
        <v>593</v>
      </c>
      <c r="B35" s="17" t="n">
        <v>2901</v>
      </c>
      <c r="C35" s="18">
        <f>(2574.0/B35*100)</f>
        <v/>
      </c>
      <c r="D35" s="19" t="n">
        <v>327</v>
      </c>
      <c r="E35" s="18" t="n">
        <v>18.8660099</v>
      </c>
      <c r="F35" s="20" t="n">
        <v>2.39923053</v>
      </c>
      <c r="G35" s="18" t="n">
        <v>80.55265498</v>
      </c>
      <c r="H35" s="20" t="n">
        <v>2.46281275</v>
      </c>
      <c r="I35" s="18" t="n">
        <v>0</v>
      </c>
      <c r="J35" s="20" t="n">
        <v>0</v>
      </c>
      <c r="K35" s="18" t="n">
        <v>0.16036806</v>
      </c>
      <c r="L35" s="20" t="n">
        <v>0.15974908</v>
      </c>
      <c r="M35" s="18" t="n">
        <v>0</v>
      </c>
      <c r="N35" s="20" t="n">
        <v>0</v>
      </c>
      <c r="O35" s="18" t="n">
        <v>0</v>
      </c>
      <c r="P35" s="20" t="n">
        <v>0</v>
      </c>
      <c r="Q35" s="18" t="n">
        <v>0.42096707</v>
      </c>
      <c r="R35" s="20" t="n">
        <v>0.4270203</v>
      </c>
    </row>
    <row r="36" spans="1:18">
      <c r="A36" s="15" t="s">
        <v>594</v>
      </c>
      <c r="B36" s="17" t="n">
        <v>3404</v>
      </c>
      <c r="C36" s="18">
        <f>(2996.0/B36*100)</f>
        <v/>
      </c>
      <c r="D36" s="19" t="n">
        <v>408</v>
      </c>
      <c r="E36" s="18" t="n">
        <v>34.32860618</v>
      </c>
      <c r="F36" s="20" t="n">
        <v>3.023423</v>
      </c>
      <c r="G36" s="18" t="n">
        <v>65.39878867</v>
      </c>
      <c r="H36" s="20" t="n">
        <v>3.027018</v>
      </c>
      <c r="I36" s="18" t="n">
        <v>0</v>
      </c>
      <c r="J36" s="20" t="n">
        <v>0</v>
      </c>
      <c r="K36" s="18" t="n">
        <v>0</v>
      </c>
      <c r="L36" s="20" t="n">
        <v>0</v>
      </c>
      <c r="M36" s="18" t="n">
        <v>0</v>
      </c>
      <c r="N36" s="20" t="n">
        <v>0</v>
      </c>
      <c r="O36" s="18" t="n">
        <v>0</v>
      </c>
      <c r="P36" s="20" t="n">
        <v>0</v>
      </c>
      <c r="Q36" s="18" t="n">
        <v>0.27260516</v>
      </c>
      <c r="R36" s="20" t="n">
        <v>0.19961901</v>
      </c>
    </row>
    <row r="37" spans="1:18">
      <c r="A37" s="15" t="s">
        <v>595</v>
      </c>
      <c r="B37" s="17" t="n">
        <v>2731</v>
      </c>
      <c r="C37" s="18">
        <f>(2428.0/B37*100)</f>
        <v/>
      </c>
      <c r="D37" s="19" t="n">
        <v>303</v>
      </c>
      <c r="E37" s="18" t="n">
        <v>27.50636141</v>
      </c>
      <c r="F37" s="20" t="n">
        <v>2.78284531</v>
      </c>
      <c r="G37" s="18" t="n">
        <v>72.20283367</v>
      </c>
      <c r="H37" s="20" t="n">
        <v>2.79792556</v>
      </c>
      <c r="I37" s="18" t="n">
        <v>0</v>
      </c>
      <c r="J37" s="20" t="n">
        <v>0</v>
      </c>
      <c r="K37" s="18" t="n">
        <v>0</v>
      </c>
      <c r="L37" s="20" t="n">
        <v>0</v>
      </c>
      <c r="M37" s="18" t="n">
        <v>0</v>
      </c>
      <c r="N37" s="20" t="n">
        <v>0</v>
      </c>
      <c r="O37" s="18" t="n">
        <v>0</v>
      </c>
      <c r="P37" s="20" t="n">
        <v>0</v>
      </c>
      <c r="Q37" s="18" t="n">
        <v>0.29080492</v>
      </c>
      <c r="R37" s="20" t="n">
        <v>0.29179358</v>
      </c>
    </row>
    <row r="38" spans="1:18">
      <c r="A38" s="15" t="s">
        <v>596</v>
      </c>
      <c r="B38" s="17" t="n">
        <v>2807</v>
      </c>
      <c r="C38" s="18">
        <f>(2496.0/B38*100)</f>
        <v/>
      </c>
      <c r="D38" s="19" t="n">
        <v>311</v>
      </c>
      <c r="E38" s="18" t="n">
        <v>38.1283502</v>
      </c>
      <c r="F38" s="20" t="n">
        <v>3.11371109</v>
      </c>
      <c r="G38" s="18" t="n">
        <v>61.52087168</v>
      </c>
      <c r="H38" s="20" t="n">
        <v>3.09334395</v>
      </c>
      <c r="I38" s="18" t="n">
        <v>0</v>
      </c>
      <c r="J38" s="20" t="n">
        <v>0</v>
      </c>
      <c r="K38" s="18" t="n">
        <v>0</v>
      </c>
      <c r="L38" s="20" t="n">
        <v>0</v>
      </c>
      <c r="M38" s="18" t="n">
        <v>0</v>
      </c>
      <c r="N38" s="20" t="n">
        <v>0</v>
      </c>
      <c r="O38" s="18" t="n">
        <v>0</v>
      </c>
      <c r="P38" s="20" t="n">
        <v>0</v>
      </c>
      <c r="Q38" s="18" t="n">
        <v>0.35077812</v>
      </c>
      <c r="R38" s="20" t="n">
        <v>0.35134177</v>
      </c>
    </row>
    <row r="39" spans="1:18">
      <c r="A39" s="15" t="s">
        <v>597</v>
      </c>
      <c r="B39" s="17" t="n">
        <v>2938</v>
      </c>
      <c r="C39" s="18">
        <f>(2632.0/B39*100)</f>
        <v/>
      </c>
      <c r="D39" s="19" t="n">
        <v>306</v>
      </c>
      <c r="E39" s="18" t="n">
        <v>42.77119116</v>
      </c>
      <c r="F39" s="20" t="n">
        <v>3.32009044</v>
      </c>
      <c r="G39" s="18" t="n">
        <v>57.22880884</v>
      </c>
      <c r="H39" s="20" t="n">
        <v>3.32009044</v>
      </c>
      <c r="I39" s="18" t="n">
        <v>0</v>
      </c>
      <c r="J39" s="20" t="n">
        <v>0</v>
      </c>
      <c r="K39" s="18" t="n">
        <v>0</v>
      </c>
      <c r="L39" s="20" t="n">
        <v>0</v>
      </c>
      <c r="M39" s="18" t="n">
        <v>0</v>
      </c>
      <c r="N39" s="20" t="n">
        <v>0</v>
      </c>
      <c r="O39" s="18" t="n">
        <v>0</v>
      </c>
      <c r="P39" s="20" t="n">
        <v>0</v>
      </c>
      <c r="Q39" s="18" t="n">
        <v>0</v>
      </c>
      <c r="R39" s="20" t="n">
        <v>0</v>
      </c>
    </row>
    <row r="40" spans="1:18">
      <c r="A40" s="15" t="s">
        <v>598</v>
      </c>
      <c r="B40" s="17" t="n">
        <v>6922</v>
      </c>
      <c r="C40" s="18">
        <f>(6132.0/B40*100)</f>
        <v/>
      </c>
      <c r="D40" s="19" t="n">
        <v>790</v>
      </c>
      <c r="E40" s="18" t="n">
        <v>32.3131294</v>
      </c>
      <c r="F40" s="20" t="n">
        <v>2.66040667</v>
      </c>
      <c r="G40" s="18" t="n">
        <v>67.58530226000001</v>
      </c>
      <c r="H40" s="20" t="n">
        <v>2.65659906</v>
      </c>
      <c r="I40" s="18" t="n">
        <v>0</v>
      </c>
      <c r="J40" s="20" t="n">
        <v>0</v>
      </c>
      <c r="K40" s="18" t="n">
        <v>0.0405828</v>
      </c>
      <c r="L40" s="20" t="n">
        <v>0.04772923</v>
      </c>
      <c r="M40" s="18" t="n">
        <v>0</v>
      </c>
      <c r="N40" s="20" t="n">
        <v>0</v>
      </c>
      <c r="O40" s="18" t="n">
        <v>0</v>
      </c>
      <c r="P40" s="20" t="n">
        <v>0</v>
      </c>
      <c r="Q40" s="18" t="n">
        <v>0.06098554</v>
      </c>
      <c r="R40" s="20" t="n">
        <v>0.04586234</v>
      </c>
    </row>
    <row r="41" spans="1:18">
      <c r="A41" s="15" t="s">
        <v>599</v>
      </c>
      <c r="B41" s="17" t="n">
        <v>2854</v>
      </c>
      <c r="C41" s="18">
        <f>(2548.0/B41*100)</f>
        <v/>
      </c>
      <c r="D41" s="19" t="n">
        <v>306</v>
      </c>
      <c r="E41" s="18" t="n">
        <v>45.26710245</v>
      </c>
      <c r="F41" s="20" t="n">
        <v>2.9466816</v>
      </c>
      <c r="G41" s="18" t="n">
        <v>53.95783845</v>
      </c>
      <c r="H41" s="20" t="n">
        <v>2.97069782</v>
      </c>
      <c r="I41" s="18" t="n">
        <v>0</v>
      </c>
      <c r="J41" s="20" t="n">
        <v>0</v>
      </c>
      <c r="K41" s="18" t="n">
        <v>0.37304106</v>
      </c>
      <c r="L41" s="20" t="n">
        <v>0.37816492</v>
      </c>
      <c r="M41" s="18" t="n">
        <v>0</v>
      </c>
      <c r="N41" s="20" t="n">
        <v>0</v>
      </c>
      <c r="O41" s="18" t="n">
        <v>0</v>
      </c>
      <c r="P41" s="20" t="n">
        <v>0</v>
      </c>
      <c r="Q41" s="18" t="n">
        <v>0.40201804</v>
      </c>
      <c r="R41" s="20" t="n">
        <v>0.43551709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(10919.0/B46*100)</f>
        <v/>
      </c>
      <c r="D46" s="19" t="n">
        <v>1154</v>
      </c>
      <c r="E46" s="18" t="n">
        <v>53.18387547</v>
      </c>
      <c r="F46" s="20" t="n">
        <v>1.82526718</v>
      </c>
      <c r="G46" s="18" t="n">
        <v>45.31049963</v>
      </c>
      <c r="H46" s="20" t="n">
        <v>1.80594211</v>
      </c>
      <c r="I46" s="18" t="n">
        <v>0</v>
      </c>
      <c r="J46" s="20" t="n">
        <v>0</v>
      </c>
      <c r="K46" s="18" t="n">
        <v>0.35096053</v>
      </c>
      <c r="L46" s="20" t="n">
        <v>0.1563055</v>
      </c>
      <c r="M46" s="18" t="n">
        <v>0</v>
      </c>
      <c r="N46" s="20" t="n">
        <v>0</v>
      </c>
      <c r="O46" s="18" t="n">
        <v>0</v>
      </c>
      <c r="P46" s="20" t="n">
        <v>0</v>
      </c>
      <c r="Q46" s="18" t="n">
        <v>1.15466437</v>
      </c>
      <c r="R46" s="20" t="n">
        <v>0.45443768</v>
      </c>
    </row>
    <row r="47" spans="1:18">
      <c r="A47" s="15" t="s">
        <v>606</v>
      </c>
      <c r="B47" s="17" t="n">
        <v>2823</v>
      </c>
      <c r="C47" s="18">
        <f>(2514.0/B47*100)</f>
        <v/>
      </c>
      <c r="D47" s="19" t="n">
        <v>309</v>
      </c>
      <c r="E47" s="18" t="n">
        <v>29.26744548</v>
      </c>
      <c r="F47" s="20" t="n">
        <v>2.88990245</v>
      </c>
      <c r="G47" s="18" t="n">
        <v>70.73255451999999</v>
      </c>
      <c r="H47" s="20" t="n">
        <v>2.88990245</v>
      </c>
      <c r="I47" s="18" t="n">
        <v>0</v>
      </c>
      <c r="J47" s="20" t="n">
        <v>0</v>
      </c>
      <c r="K47" s="18" t="n">
        <v>0</v>
      </c>
      <c r="L47" s="20" t="n">
        <v>0</v>
      </c>
      <c r="M47" s="18" t="n">
        <v>0</v>
      </c>
      <c r="N47" s="20" t="n">
        <v>0</v>
      </c>
      <c r="O47" s="18" t="n">
        <v>0</v>
      </c>
      <c r="P47" s="20" t="n">
        <v>0</v>
      </c>
      <c r="Q47" s="18" t="n">
        <v>0</v>
      </c>
      <c r="R47" s="20" t="n">
        <v>0</v>
      </c>
    </row>
    <row r="48" spans="1:18">
      <c r="A48" s="15" t="s">
        <v>607</v>
      </c>
      <c r="B48" s="17" t="n">
        <v>4682</v>
      </c>
      <c r="C48" s="18">
        <f>(4151.0/B48*100)</f>
        <v/>
      </c>
      <c r="D48" s="19" t="n">
        <v>531</v>
      </c>
      <c r="E48" s="18" t="n">
        <v>15.90374432</v>
      </c>
      <c r="F48" s="20" t="n">
        <v>2.10141948</v>
      </c>
      <c r="G48" s="18" t="n">
        <v>83.49317729000001</v>
      </c>
      <c r="H48" s="20" t="n">
        <v>2.18891379</v>
      </c>
      <c r="I48" s="18" t="n">
        <v>0</v>
      </c>
      <c r="J48" s="20" t="n">
        <v>0</v>
      </c>
      <c r="K48" s="18" t="n">
        <v>0.40462225</v>
      </c>
      <c r="L48" s="20" t="n">
        <v>0.48343905</v>
      </c>
      <c r="M48" s="18" t="n">
        <v>0</v>
      </c>
      <c r="N48" s="20" t="n">
        <v>0</v>
      </c>
      <c r="O48" s="18" t="n">
        <v>0</v>
      </c>
      <c r="P48" s="20" t="n">
        <v>0</v>
      </c>
      <c r="Q48" s="18" t="n">
        <v>0.19845613</v>
      </c>
      <c r="R48" s="20" t="n">
        <v>0.15226742</v>
      </c>
    </row>
    <row r="49" spans="1:18">
      <c r="A49" s="15" t="s">
        <v>608</v>
      </c>
      <c r="B49" s="17" t="n">
        <v>6158</v>
      </c>
      <c r="C49" s="18">
        <f>(5490.0/B49*100)</f>
        <v/>
      </c>
      <c r="D49" s="19" t="n">
        <v>668</v>
      </c>
      <c r="E49" s="18" t="n">
        <v>52.34534879</v>
      </c>
      <c r="F49" s="20" t="n">
        <v>2.61050445</v>
      </c>
      <c r="G49" s="18" t="n">
        <v>45.98002245</v>
      </c>
      <c r="H49" s="20" t="n">
        <v>2.54625644</v>
      </c>
      <c r="I49" s="18" t="n">
        <v>0</v>
      </c>
      <c r="J49" s="20" t="n">
        <v>0</v>
      </c>
      <c r="K49" s="18" t="n">
        <v>0.70918761</v>
      </c>
      <c r="L49" s="20" t="n">
        <v>0.47666368</v>
      </c>
      <c r="M49" s="18" t="n">
        <v>0</v>
      </c>
      <c r="N49" s="20" t="n">
        <v>0</v>
      </c>
      <c r="O49" s="18" t="n">
        <v>0</v>
      </c>
      <c r="P49" s="20" t="n">
        <v>0</v>
      </c>
      <c r="Q49" s="18" t="n">
        <v>0.96544115</v>
      </c>
      <c r="R49" s="20" t="n">
        <v>0.54516168</v>
      </c>
    </row>
    <row r="50" spans="1:18">
      <c r="A50" s="15" t="s">
        <v>609</v>
      </c>
      <c r="B50" s="17" t="n">
        <v>3494</v>
      </c>
      <c r="C50" s="18">
        <f>(3140.0/B50*100)</f>
        <v/>
      </c>
      <c r="D50" s="19" t="n">
        <v>354</v>
      </c>
      <c r="E50" s="18" t="n">
        <v>52.78496143</v>
      </c>
      <c r="F50" s="20" t="n">
        <v>2.99261784</v>
      </c>
      <c r="G50" s="18" t="n">
        <v>45.54213807</v>
      </c>
      <c r="H50" s="20" t="n">
        <v>2.92609435</v>
      </c>
      <c r="I50" s="18" t="n">
        <v>0</v>
      </c>
      <c r="J50" s="20" t="n">
        <v>0</v>
      </c>
      <c r="K50" s="18" t="n">
        <v>0.31120514</v>
      </c>
      <c r="L50" s="20" t="n">
        <v>0.31105808</v>
      </c>
      <c r="M50" s="18" t="n">
        <v>0</v>
      </c>
      <c r="N50" s="20" t="n">
        <v>0</v>
      </c>
      <c r="O50" s="18" t="n">
        <v>0</v>
      </c>
      <c r="P50" s="20" t="n">
        <v>0</v>
      </c>
      <c r="Q50" s="18" t="n">
        <v>1.36169537</v>
      </c>
      <c r="R50" s="20" t="n">
        <v>0.73622546</v>
      </c>
    </row>
    <row r="51" spans="1:18">
      <c r="A51" s="15" t="s">
        <v>610</v>
      </c>
      <c r="B51" s="17" t="n">
        <v>3013</v>
      </c>
      <c r="C51" s="18">
        <f>(2691.0/B51*100)</f>
        <v/>
      </c>
      <c r="D51" s="19" t="n">
        <v>322</v>
      </c>
      <c r="E51" s="18" t="n">
        <v>32.60712447</v>
      </c>
      <c r="F51" s="20" t="n">
        <v>2.38784379</v>
      </c>
      <c r="G51" s="18" t="n">
        <v>66.65035808</v>
      </c>
      <c r="H51" s="20" t="n">
        <v>2.45652627</v>
      </c>
      <c r="I51" s="18" t="n">
        <v>0</v>
      </c>
      <c r="J51" s="20" t="n">
        <v>0</v>
      </c>
      <c r="K51" s="18" t="n">
        <v>0</v>
      </c>
      <c r="L51" s="20" t="n">
        <v>0</v>
      </c>
      <c r="M51" s="18" t="n">
        <v>0</v>
      </c>
      <c r="N51" s="20" t="n">
        <v>0</v>
      </c>
      <c r="O51" s="18" t="n">
        <v>0</v>
      </c>
      <c r="P51" s="20" t="n">
        <v>0</v>
      </c>
      <c r="Q51" s="18" t="n">
        <v>0.74251745</v>
      </c>
      <c r="R51" s="20" t="n">
        <v>0.5359444799999999</v>
      </c>
    </row>
    <row r="52" spans="1:18">
      <c r="A52" s="15" t="s">
        <v>611</v>
      </c>
      <c r="B52" s="17" t="n">
        <v>2760</v>
      </c>
      <c r="C52" s="18">
        <f>(2460.0/B52*100)</f>
        <v/>
      </c>
      <c r="D52" s="19" t="n">
        <v>300</v>
      </c>
      <c r="E52" s="18" t="n">
        <v>42.00435064</v>
      </c>
      <c r="F52" s="20" t="n">
        <v>3.020577</v>
      </c>
      <c r="G52" s="18" t="n">
        <v>56.68004098</v>
      </c>
      <c r="H52" s="20" t="n">
        <v>3.12915741</v>
      </c>
      <c r="I52" s="18" t="n">
        <v>0</v>
      </c>
      <c r="J52" s="20" t="n">
        <v>0</v>
      </c>
      <c r="K52" s="18" t="n">
        <v>0.2393558</v>
      </c>
      <c r="L52" s="20" t="n">
        <v>0.23889112</v>
      </c>
      <c r="M52" s="18" t="n">
        <v>0</v>
      </c>
      <c r="N52" s="20" t="n">
        <v>0</v>
      </c>
      <c r="O52" s="18" t="n">
        <v>0</v>
      </c>
      <c r="P52" s="20" t="n">
        <v>0</v>
      </c>
      <c r="Q52" s="18" t="n">
        <v>1.07625259</v>
      </c>
      <c r="R52" s="20" t="n">
        <v>0.61941306</v>
      </c>
    </row>
    <row r="53" spans="1:18">
      <c r="A53" s="15" t="s">
        <v>612</v>
      </c>
      <c r="B53" s="17" t="n">
        <v>2474</v>
      </c>
      <c r="C53" s="18">
        <f>(2194.0/B53*100)</f>
        <v/>
      </c>
      <c r="D53" s="19" t="n">
        <v>280</v>
      </c>
      <c r="E53" s="18" t="n">
        <v>48.04894743</v>
      </c>
      <c r="F53" s="20" t="n">
        <v>3.21010913</v>
      </c>
      <c r="G53" s="18" t="n">
        <v>37.83709348</v>
      </c>
      <c r="H53" s="20" t="n">
        <v>3.25039838</v>
      </c>
      <c r="I53" s="18" t="n">
        <v>0</v>
      </c>
      <c r="J53" s="20" t="n">
        <v>0</v>
      </c>
      <c r="K53" s="18" t="n">
        <v>12.43102122</v>
      </c>
      <c r="L53" s="20" t="n">
        <v>2.55728963</v>
      </c>
      <c r="M53" s="18" t="n">
        <v>0</v>
      </c>
      <c r="N53" s="20" t="n">
        <v>0</v>
      </c>
      <c r="O53" s="18" t="n">
        <v>0</v>
      </c>
      <c r="P53" s="20" t="n">
        <v>0</v>
      </c>
      <c r="Q53" s="18" t="n">
        <v>1.68293787</v>
      </c>
      <c r="R53" s="20" t="n">
        <v>0.87116485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(2393.0/B55*100)</f>
        <v/>
      </c>
      <c r="D55" s="19" t="n">
        <v>282</v>
      </c>
      <c r="E55" s="18" t="n">
        <v>14.07638578</v>
      </c>
      <c r="F55" s="20" t="n">
        <v>2.25003971</v>
      </c>
      <c r="G55" s="18" t="n">
        <v>85.92361422</v>
      </c>
      <c r="H55" s="20" t="n">
        <v>2.25003971</v>
      </c>
      <c r="I55" s="18" t="n">
        <v>0</v>
      </c>
      <c r="J55" s="20" t="n">
        <v>0</v>
      </c>
      <c r="K55" s="18" t="n">
        <v>0</v>
      </c>
      <c r="L55" s="20" t="n">
        <v>0</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(2854.0/B61*100)</f>
        <v/>
      </c>
      <c r="D61" s="19" t="n">
        <v>347</v>
      </c>
      <c r="E61" s="18" t="n">
        <v>26.69401314</v>
      </c>
      <c r="F61" s="20" t="n">
        <v>2.42287976</v>
      </c>
      <c r="G61" s="18" t="n">
        <v>72.50383619999999</v>
      </c>
      <c r="H61" s="20" t="n">
        <v>2.47038466</v>
      </c>
      <c r="I61" s="18" t="n">
        <v>0</v>
      </c>
      <c r="J61" s="20" t="n">
        <v>0</v>
      </c>
      <c r="K61" s="18" t="n">
        <v>0.80215066</v>
      </c>
      <c r="L61" s="20" t="n">
        <v>0.78923861</v>
      </c>
      <c r="M61" s="18" t="n">
        <v>0</v>
      </c>
      <c r="N61" s="20" t="n">
        <v>0</v>
      </c>
      <c r="O61" s="18" t="n">
        <v>0</v>
      </c>
      <c r="P61" s="20" t="n">
        <v>0</v>
      </c>
      <c r="Q61" s="18" t="n">
        <v>0</v>
      </c>
      <c r="R61" s="20" t="n">
        <v>0</v>
      </c>
    </row>
    <row r="62" spans="1:18">
      <c r="A62" s="15" t="s">
        <v>622</v>
      </c>
      <c r="B62" s="17" t="n">
        <v>2230</v>
      </c>
      <c r="C62" s="18">
        <f>(1961.0/B62*100)</f>
        <v/>
      </c>
      <c r="D62" s="19" t="n">
        <v>269</v>
      </c>
      <c r="E62" s="18" t="n">
        <v>20.39968437</v>
      </c>
      <c r="F62" s="20" t="n">
        <v>2.26530862</v>
      </c>
      <c r="G62" s="18" t="n">
        <v>79.23182475999999</v>
      </c>
      <c r="H62" s="20" t="n">
        <v>2.29209532</v>
      </c>
      <c r="I62" s="18" t="n">
        <v>0</v>
      </c>
      <c r="J62" s="20" t="n">
        <v>0</v>
      </c>
      <c r="K62" s="18" t="n">
        <v>0</v>
      </c>
      <c r="L62" s="20" t="n">
        <v>0</v>
      </c>
      <c r="M62" s="18" t="n">
        <v>0</v>
      </c>
      <c r="N62" s="20" t="n">
        <v>0</v>
      </c>
      <c r="O62" s="18" t="n">
        <v>0</v>
      </c>
      <c r="P62" s="20" t="n">
        <v>0</v>
      </c>
      <c r="Q62" s="18" t="n">
        <v>0.36849088</v>
      </c>
      <c r="R62" s="20" t="n">
        <v>0.37130313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(2475.0/B67*100)</f>
        <v/>
      </c>
      <c r="D67" s="19" t="n">
        <v>296</v>
      </c>
      <c r="E67" s="18" t="n">
        <v>50.44475457</v>
      </c>
      <c r="F67" s="20" t="n">
        <v>3.03089569</v>
      </c>
      <c r="G67" s="18" t="n">
        <v>47.95611438</v>
      </c>
      <c r="H67" s="20" t="n">
        <v>2.96596351</v>
      </c>
      <c r="I67" s="18" t="n">
        <v>0</v>
      </c>
      <c r="J67" s="20" t="n">
        <v>0</v>
      </c>
      <c r="K67" s="18" t="n">
        <v>0.73415441</v>
      </c>
      <c r="L67" s="20" t="n">
        <v>0.51999474</v>
      </c>
      <c r="M67" s="18" t="n">
        <v>0</v>
      </c>
      <c r="N67" s="20" t="n">
        <v>0</v>
      </c>
      <c r="O67" s="18" t="n">
        <v>0</v>
      </c>
      <c r="P67" s="20" t="n">
        <v>0</v>
      </c>
      <c r="Q67" s="18" t="n">
        <v>0.86497664</v>
      </c>
      <c r="R67" s="20" t="n">
        <v>0.49650081</v>
      </c>
    </row>
    <row r="68" spans="1:18">
      <c r="A68" s="15" t="s">
        <v>628</v>
      </c>
      <c r="B68" s="17" t="n">
        <v>3460</v>
      </c>
      <c r="C68" s="18">
        <f>(3093.0/B68*100)</f>
        <v/>
      </c>
      <c r="D68" s="19" t="n">
        <v>367</v>
      </c>
      <c r="E68" s="18" t="n">
        <v>52.80260001</v>
      </c>
      <c r="F68" s="20" t="n">
        <v>2.72993879</v>
      </c>
      <c r="G68" s="18" t="n">
        <v>46.11622044</v>
      </c>
      <c r="H68" s="20" t="n">
        <v>2.78257112</v>
      </c>
      <c r="I68" s="18" t="n">
        <v>0</v>
      </c>
      <c r="J68" s="20" t="n">
        <v>0</v>
      </c>
      <c r="K68" s="18" t="n">
        <v>0.35283739</v>
      </c>
      <c r="L68" s="20" t="n">
        <v>0.34998849</v>
      </c>
      <c r="M68" s="18" t="n">
        <v>0</v>
      </c>
      <c r="N68" s="20" t="n">
        <v>0</v>
      </c>
      <c r="O68" s="18" t="n">
        <v>0</v>
      </c>
      <c r="P68" s="20" t="n">
        <v>0</v>
      </c>
      <c r="Q68" s="18" t="n">
        <v>0.72834216</v>
      </c>
      <c r="R68" s="20" t="n">
        <v>0.42303439</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(5343.0/B70*100)</f>
        <v/>
      </c>
      <c r="D70" s="19" t="n">
        <v>691</v>
      </c>
      <c r="E70" s="18" t="n">
        <v>38.99152527</v>
      </c>
      <c r="F70" s="20" t="n">
        <v>1.65922948</v>
      </c>
      <c r="G70" s="18" t="n">
        <v>59.70828197</v>
      </c>
      <c r="H70" s="20" t="n">
        <v>1.74981171</v>
      </c>
      <c r="I70" s="18" t="n">
        <v>0</v>
      </c>
      <c r="J70" s="20" t="n">
        <v>0</v>
      </c>
      <c r="K70" s="18" t="n">
        <v>1.14952154</v>
      </c>
      <c r="L70" s="20" t="n">
        <v>0.45798296</v>
      </c>
      <c r="M70" s="18" t="n">
        <v>0</v>
      </c>
      <c r="N70" s="20" t="n">
        <v>0</v>
      </c>
      <c r="O70" s="18" t="n">
        <v>0</v>
      </c>
      <c r="P70" s="20" t="n">
        <v>0</v>
      </c>
      <c r="Q70" s="18" t="n">
        <v>0.15067122</v>
      </c>
      <c r="R70" s="20" t="n">
        <v>0.15189864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(2777.0/B72*100)</f>
        <v/>
      </c>
      <c r="D72" s="19" t="n">
        <v>330</v>
      </c>
      <c r="E72" s="18" t="n">
        <v>29.98346679</v>
      </c>
      <c r="F72" s="20" t="n">
        <v>2.93800301</v>
      </c>
      <c r="G72" s="18" t="n">
        <v>70.01653321000001</v>
      </c>
      <c r="H72" s="20" t="n">
        <v>2.93800301</v>
      </c>
      <c r="I72" s="18" t="n">
        <v>0</v>
      </c>
      <c r="J72" s="20" t="n">
        <v>0</v>
      </c>
      <c r="K72" s="18" t="n">
        <v>0</v>
      </c>
      <c r="L72" s="20" t="n">
        <v>0</v>
      </c>
      <c r="M72" s="18" t="n">
        <v>0</v>
      </c>
      <c r="N72" s="20" t="n">
        <v>0</v>
      </c>
      <c r="O72" s="18" t="n">
        <v>0</v>
      </c>
      <c r="P72" s="20" t="n">
        <v>0</v>
      </c>
      <c r="Q72" s="18" t="n">
        <v>0</v>
      </c>
      <c r="R72" s="20" t="n">
        <v>0</v>
      </c>
    </row>
    <row r="73" spans="1:18">
      <c r="A73" s="15" t="s">
        <v>633</v>
      </c>
      <c r="B73" s="17" t="n">
        <v>2973</v>
      </c>
      <c r="C73" s="18">
        <f>(2646.0/B73*100)</f>
        <v/>
      </c>
      <c r="D73" s="19" t="n">
        <v>327</v>
      </c>
      <c r="E73" s="18" t="n">
        <v>28.20262481</v>
      </c>
      <c r="F73" s="20" t="n">
        <v>2.57820155</v>
      </c>
      <c r="G73" s="18" t="n">
        <v>71.55928709</v>
      </c>
      <c r="H73" s="20" t="n">
        <v>2.58771245</v>
      </c>
      <c r="I73" s="18" t="n">
        <v>0</v>
      </c>
      <c r="J73" s="20" t="n">
        <v>0</v>
      </c>
      <c r="K73" s="18" t="n">
        <v>0</v>
      </c>
      <c r="L73" s="20" t="n">
        <v>0</v>
      </c>
      <c r="M73" s="18" t="n">
        <v>0</v>
      </c>
      <c r="N73" s="20" t="n">
        <v>0</v>
      </c>
      <c r="O73" s="18" t="n">
        <v>0</v>
      </c>
      <c r="P73" s="20" t="n">
        <v>0</v>
      </c>
      <c r="Q73" s="18" t="n">
        <v>0.2380881</v>
      </c>
      <c r="R73" s="20" t="n">
        <v>0.23045165</v>
      </c>
    </row>
    <row r="74" spans="1:18">
      <c r="A74" s="15" t="s">
        <v>634</v>
      </c>
      <c r="B74" s="17" t="n">
        <v>3819</v>
      </c>
      <c r="C74" s="18">
        <f>(3392.0/B74*100)</f>
        <v/>
      </c>
      <c r="D74" s="19" t="n">
        <v>427</v>
      </c>
      <c r="E74" s="18" t="n">
        <v>18.1040352</v>
      </c>
      <c r="F74" s="20" t="n">
        <v>2.18907873</v>
      </c>
      <c r="G74" s="18" t="n">
        <v>81.8959648</v>
      </c>
      <c r="H74" s="20" t="n">
        <v>2.18907873</v>
      </c>
      <c r="I74" s="18" t="n">
        <v>0</v>
      </c>
      <c r="J74" s="20" t="n">
        <v>0</v>
      </c>
      <c r="K74" s="18" t="n">
        <v>0</v>
      </c>
      <c r="L74" s="20" t="n">
        <v>0</v>
      </c>
      <c r="M74" s="18" t="n">
        <v>0</v>
      </c>
      <c r="N74" s="20" t="n">
        <v>0</v>
      </c>
      <c r="O74" s="18" t="n">
        <v>0</v>
      </c>
      <c r="P74" s="20" t="n">
        <v>0</v>
      </c>
      <c r="Q74" s="18" t="n">
        <v>0</v>
      </c>
      <c r="R74" s="20" t="n">
        <v>0</v>
      </c>
    </row>
    <row r="75" spans="1:18">
      <c r="A75" s="15" t="s">
        <v>635</v>
      </c>
      <c r="B75" s="17" t="n">
        <v>4652</v>
      </c>
      <c r="C75" s="18">
        <f>(4157.0/B75*100)</f>
        <v/>
      </c>
      <c r="D75" s="19" t="n">
        <v>495</v>
      </c>
      <c r="E75" s="18" t="n">
        <v>71.01277002</v>
      </c>
      <c r="F75" s="20" t="n">
        <v>2.47399307</v>
      </c>
      <c r="G75" s="18" t="n">
        <v>28.65353168</v>
      </c>
      <c r="H75" s="20" t="n">
        <v>2.48063477</v>
      </c>
      <c r="I75" s="18" t="n">
        <v>0</v>
      </c>
      <c r="J75" s="20" t="n">
        <v>0</v>
      </c>
      <c r="K75" s="18" t="n">
        <v>0</v>
      </c>
      <c r="L75" s="20" t="n">
        <v>0</v>
      </c>
      <c r="M75" s="18" t="n">
        <v>0</v>
      </c>
      <c r="N75" s="20" t="n">
        <v>0</v>
      </c>
      <c r="O75" s="18" t="n">
        <v>0</v>
      </c>
      <c r="P75" s="20" t="n">
        <v>0</v>
      </c>
      <c r="Q75" s="18" t="n">
        <v>0.3336983</v>
      </c>
      <c r="R75" s="20" t="n">
        <v>0.2190076</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(2658.0/B77*100)</f>
        <v/>
      </c>
      <c r="D77" s="19" t="n">
        <v>311</v>
      </c>
      <c r="E77" s="18" t="n">
        <v>29.39428456</v>
      </c>
      <c r="F77" s="20" t="n">
        <v>2.69898976</v>
      </c>
      <c r="G77" s="18" t="n">
        <v>67.62013157</v>
      </c>
      <c r="H77" s="20" t="n">
        <v>2.66250329</v>
      </c>
      <c r="I77" s="18" t="n">
        <v>0</v>
      </c>
      <c r="J77" s="20" t="n">
        <v>0</v>
      </c>
      <c r="K77" s="18" t="n">
        <v>2.14903589</v>
      </c>
      <c r="L77" s="20" t="n">
        <v>0.80561297</v>
      </c>
      <c r="M77" s="18" t="n">
        <v>0</v>
      </c>
      <c r="N77" s="20" t="n">
        <v>0</v>
      </c>
      <c r="O77" s="18" t="n">
        <v>0</v>
      </c>
      <c r="P77" s="20" t="n">
        <v>0</v>
      </c>
      <c r="Q77" s="18" t="n">
        <v>0.83654797</v>
      </c>
      <c r="R77" s="20" t="n">
        <v>0.49898048</v>
      </c>
    </row>
    <row r="78" spans="1:18">
      <c r="A78" s="15" t="s">
        <v>638</v>
      </c>
      <c r="B78" s="17" t="n">
        <v>7115</v>
      </c>
      <c r="C78" s="18">
        <f>(6350.0/B78*100)</f>
        <v/>
      </c>
      <c r="D78" s="19" t="n">
        <v>765</v>
      </c>
      <c r="E78" s="18" t="n">
        <v>37.59055667</v>
      </c>
      <c r="F78" s="20" t="n">
        <v>2.19863348</v>
      </c>
      <c r="G78" s="18" t="n">
        <v>62.16604533</v>
      </c>
      <c r="H78" s="20" t="n">
        <v>2.13854204</v>
      </c>
      <c r="I78" s="18" t="n">
        <v>0</v>
      </c>
      <c r="J78" s="20" t="n">
        <v>0</v>
      </c>
      <c r="K78" s="18" t="n">
        <v>0.06439589</v>
      </c>
      <c r="L78" s="20" t="n">
        <v>0.06455231</v>
      </c>
      <c r="M78" s="18" t="n">
        <v>0</v>
      </c>
      <c r="N78" s="20" t="n">
        <v>0</v>
      </c>
      <c r="O78" s="18" t="n">
        <v>0</v>
      </c>
      <c r="P78" s="20" t="n">
        <v>0</v>
      </c>
      <c r="Q78" s="18" t="n">
        <v>0.17900211</v>
      </c>
      <c r="R78" s="20" t="n">
        <v>0.17659685</v>
      </c>
    </row>
    <row r="79" spans="1:18">
      <c r="A79" s="15" t="s">
        <v>639</v>
      </c>
      <c r="B79" s="17" t="n">
        <v>3154</v>
      </c>
      <c r="C79" s="18">
        <f>(2812.0/B79*100)</f>
        <v/>
      </c>
      <c r="D79" s="19" t="n">
        <v>342</v>
      </c>
      <c r="E79" s="18" t="n">
        <v>51.55035213</v>
      </c>
      <c r="F79" s="20" t="n">
        <v>2.89531814</v>
      </c>
      <c r="G79" s="18" t="n">
        <v>47.56802917</v>
      </c>
      <c r="H79" s="20" t="n">
        <v>2.81917352</v>
      </c>
      <c r="I79" s="18" t="n">
        <v>0</v>
      </c>
      <c r="J79" s="20" t="n">
        <v>0</v>
      </c>
      <c r="K79" s="18" t="n">
        <v>0.33382588</v>
      </c>
      <c r="L79" s="20" t="n">
        <v>0.3445992</v>
      </c>
      <c r="M79" s="18" t="n">
        <v>0</v>
      </c>
      <c r="N79" s="20" t="n">
        <v>0</v>
      </c>
      <c r="O79" s="18" t="n">
        <v>0</v>
      </c>
      <c r="P79" s="20" t="n">
        <v>0</v>
      </c>
      <c r="Q79" s="18" t="n">
        <v>0.54779282</v>
      </c>
      <c r="R79" s="20" t="n">
        <v>0.38164695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(14175.0/B82*100)</f>
        <v/>
      </c>
      <c r="D82" s="19" t="n">
        <v>1786</v>
      </c>
      <c r="E82" s="18" t="n">
        <v>35.70475838</v>
      </c>
      <c r="F82" s="20" t="n">
        <v>1.8701112</v>
      </c>
      <c r="G82" s="18" t="n">
        <v>64.04724065000001</v>
      </c>
      <c r="H82" s="20" t="n">
        <v>1.88235614</v>
      </c>
      <c r="I82" s="18" t="n">
        <v>0</v>
      </c>
      <c r="J82" s="20" t="n">
        <v>0</v>
      </c>
      <c r="K82" s="18" t="n">
        <v>0.02322842</v>
      </c>
      <c r="L82" s="20" t="n">
        <v>0.0231296</v>
      </c>
      <c r="M82" s="18" t="n">
        <v>0</v>
      </c>
      <c r="N82" s="20" t="n">
        <v>0</v>
      </c>
      <c r="O82" s="18" t="n">
        <v>0</v>
      </c>
      <c r="P82" s="20" t="n">
        <v>0</v>
      </c>
      <c r="Q82" s="18" t="n">
        <v>0.22477254</v>
      </c>
      <c r="R82" s="20" t="n">
        <v>0.09982691</v>
      </c>
    </row>
    <row r="83" spans="1:18">
      <c r="A83" s="15" t="s">
        <v>643</v>
      </c>
      <c r="B83" s="17" t="n">
        <v>808</v>
      </c>
      <c r="C83" s="18">
        <f>(707.0/B83*100)</f>
        <v/>
      </c>
      <c r="D83" s="19" t="n">
        <v>101</v>
      </c>
      <c r="E83" s="18" t="n">
        <v>35.5163354</v>
      </c>
      <c r="F83" s="20" t="n">
        <v>4.43088849</v>
      </c>
      <c r="G83" s="18" t="n">
        <v>64.4836646</v>
      </c>
      <c r="H83" s="20" t="n">
        <v>4.43088849</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(834.0/B84*100)</f>
        <v/>
      </c>
      <c r="D84" s="19" t="n">
        <v>104</v>
      </c>
      <c r="E84" s="18" t="n">
        <v>45.14037796</v>
      </c>
      <c r="F84" s="20" t="n">
        <v>5.81793026</v>
      </c>
      <c r="G84" s="18" t="n">
        <v>54.85962204</v>
      </c>
      <c r="H84" s="20" t="n">
        <v>5.81793026</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(6377.0/B7*100)</f>
        <v/>
      </c>
      <c r="D7" s="19" t="n">
        <v>786</v>
      </c>
      <c r="E7" s="18" t="n">
        <v>51.12357908</v>
      </c>
      <c r="F7" s="20" t="n">
        <v>2.05677216</v>
      </c>
      <c r="G7" s="18" t="n">
        <v>48.77018168</v>
      </c>
      <c r="H7" s="20" t="n">
        <v>2.05520208</v>
      </c>
      <c r="I7" s="18" t="n">
        <v>0</v>
      </c>
      <c r="J7" s="20" t="n">
        <v>0</v>
      </c>
      <c r="K7" s="18" t="n">
        <v>0.03178416</v>
      </c>
      <c r="L7" s="20" t="n">
        <v>0.02367025</v>
      </c>
      <c r="M7" s="18" t="n">
        <v>0</v>
      </c>
      <c r="N7" s="20" t="n">
        <v>0</v>
      </c>
      <c r="O7" s="18" t="n">
        <v>0</v>
      </c>
      <c r="P7" s="20" t="n">
        <v>0</v>
      </c>
      <c r="Q7" s="18" t="n">
        <v>0.07445509</v>
      </c>
      <c r="R7" s="20" t="n">
        <v>0.05504517</v>
      </c>
    </row>
    <row r="8" spans="1:18">
      <c r="A8" s="15" t="s">
        <v>566</v>
      </c>
      <c r="B8" s="17" t="n">
        <v>3443</v>
      </c>
      <c r="C8" s="18">
        <f>(3088.0/B8*100)</f>
        <v/>
      </c>
      <c r="D8" s="19" t="n">
        <v>355</v>
      </c>
      <c r="E8" s="18" t="n">
        <v>52.10527753</v>
      </c>
      <c r="F8" s="20" t="n">
        <v>2.65917392</v>
      </c>
      <c r="G8" s="18" t="n">
        <v>47.53994556</v>
      </c>
      <c r="H8" s="20" t="n">
        <v>2.61997407</v>
      </c>
      <c r="I8" s="18" t="n">
        <v>0</v>
      </c>
      <c r="J8" s="20" t="n">
        <v>0</v>
      </c>
      <c r="K8" s="18" t="n">
        <v>0.10302582</v>
      </c>
      <c r="L8" s="20" t="n">
        <v>0.10255822</v>
      </c>
      <c r="M8" s="18" t="n">
        <v>0</v>
      </c>
      <c r="N8" s="20" t="n">
        <v>0</v>
      </c>
      <c r="O8" s="18" t="n">
        <v>0</v>
      </c>
      <c r="P8" s="20" t="n">
        <v>0</v>
      </c>
      <c r="Q8" s="18" t="n">
        <v>0.25175109</v>
      </c>
      <c r="R8" s="20" t="n">
        <v>0.24893466</v>
      </c>
    </row>
    <row r="9" spans="1:18">
      <c r="A9" s="15" t="s">
        <v>567</v>
      </c>
      <c r="B9" s="17" t="n">
        <v>4752</v>
      </c>
      <c r="C9" s="18">
        <f>(4241.0/B9*100)</f>
        <v/>
      </c>
      <c r="D9" s="19" t="n">
        <v>511</v>
      </c>
      <c r="E9" s="18" t="n">
        <v>50.25442486</v>
      </c>
      <c r="F9" s="20" t="n">
        <v>2.09546803</v>
      </c>
      <c r="G9" s="18" t="n">
        <v>48.58651881</v>
      </c>
      <c r="H9" s="20" t="n">
        <v>1.94503703</v>
      </c>
      <c r="I9" s="18" t="n">
        <v>0</v>
      </c>
      <c r="J9" s="20" t="n">
        <v>0</v>
      </c>
      <c r="K9" s="18" t="n">
        <v>0</v>
      </c>
      <c r="L9" s="20" t="n">
        <v>0</v>
      </c>
      <c r="M9" s="18" t="n">
        <v>0</v>
      </c>
      <c r="N9" s="20" t="n">
        <v>0</v>
      </c>
      <c r="O9" s="18" t="n">
        <v>0</v>
      </c>
      <c r="P9" s="20" t="n">
        <v>0</v>
      </c>
      <c r="Q9" s="18" t="n">
        <v>1.15905633</v>
      </c>
      <c r="R9" s="20" t="n">
        <v>0.54804676</v>
      </c>
    </row>
    <row r="10" spans="1:18">
      <c r="A10" s="15" t="s">
        <v>568</v>
      </c>
      <c r="B10" s="17" t="n">
        <v>10022</v>
      </c>
      <c r="C10" s="18">
        <f>(8895.0/B10*100)</f>
        <v/>
      </c>
      <c r="D10" s="19" t="n">
        <v>1127</v>
      </c>
      <c r="E10" s="18" t="n">
        <v>52.11945842</v>
      </c>
      <c r="F10" s="20" t="n">
        <v>1.81054438</v>
      </c>
      <c r="G10" s="18" t="n">
        <v>46.86654641</v>
      </c>
      <c r="H10" s="20" t="n">
        <v>1.7834028</v>
      </c>
      <c r="I10" s="18" t="n">
        <v>0</v>
      </c>
      <c r="J10" s="20" t="n">
        <v>0</v>
      </c>
      <c r="K10" s="18" t="n">
        <v>0.60714591</v>
      </c>
      <c r="L10" s="20" t="n">
        <v>0.33012174</v>
      </c>
      <c r="M10" s="18" t="n">
        <v>0</v>
      </c>
      <c r="N10" s="20" t="n">
        <v>0</v>
      </c>
      <c r="O10" s="18" t="n">
        <v>0</v>
      </c>
      <c r="P10" s="20" t="n">
        <v>0</v>
      </c>
      <c r="Q10" s="18" t="n">
        <v>0.40684927</v>
      </c>
      <c r="R10" s="20" t="n">
        <v>0.25901</v>
      </c>
    </row>
    <row r="11" spans="1:18">
      <c r="A11" s="15" t="s">
        <v>569</v>
      </c>
      <c r="B11" s="17" t="n">
        <v>3500</v>
      </c>
      <c r="C11" s="18">
        <f>(3092.0/B11*100)</f>
        <v/>
      </c>
      <c r="D11" s="19" t="n">
        <v>408</v>
      </c>
      <c r="E11" s="18" t="n">
        <v>47.46446809</v>
      </c>
      <c r="F11" s="20" t="n">
        <v>2.86263113</v>
      </c>
      <c r="G11" s="18" t="n">
        <v>50.56187046</v>
      </c>
      <c r="H11" s="20" t="n">
        <v>2.87917514</v>
      </c>
      <c r="I11" s="18" t="n">
        <v>0</v>
      </c>
      <c r="J11" s="20" t="n">
        <v>0</v>
      </c>
      <c r="K11" s="18" t="n">
        <v>1.25071807</v>
      </c>
      <c r="L11" s="20" t="n">
        <v>0.76314359</v>
      </c>
      <c r="M11" s="18" t="n">
        <v>0</v>
      </c>
      <c r="N11" s="20" t="n">
        <v>0</v>
      </c>
      <c r="O11" s="18" t="n">
        <v>0</v>
      </c>
      <c r="P11" s="20" t="n">
        <v>0</v>
      </c>
      <c r="Q11" s="18" t="n">
        <v>0.72294338</v>
      </c>
      <c r="R11" s="20" t="n">
        <v>0.46890951</v>
      </c>
    </row>
    <row r="12" spans="1:18">
      <c r="A12" s="15" t="s">
        <v>570</v>
      </c>
      <c r="B12" s="17" t="n">
        <v>3422</v>
      </c>
      <c r="C12" s="18">
        <f>(3034.0/B12*100)</f>
        <v/>
      </c>
      <c r="D12" s="19" t="n">
        <v>388</v>
      </c>
      <c r="E12" s="18" t="n">
        <v>41.04420526</v>
      </c>
      <c r="F12" s="20" t="n">
        <v>2.36614276</v>
      </c>
      <c r="G12" s="18" t="n">
        <v>58.95579474</v>
      </c>
      <c r="H12" s="20" t="n">
        <v>2.36614276</v>
      </c>
      <c r="I12" s="18" t="n">
        <v>0</v>
      </c>
      <c r="J12" s="20" t="n">
        <v>0</v>
      </c>
      <c r="K12" s="18" t="n">
        <v>0</v>
      </c>
      <c r="L12" s="20" t="n">
        <v>0</v>
      </c>
      <c r="M12" s="18" t="n">
        <v>0</v>
      </c>
      <c r="N12" s="20" t="n">
        <v>0</v>
      </c>
      <c r="O12" s="18" t="n">
        <v>0</v>
      </c>
      <c r="P12" s="20" t="n">
        <v>0</v>
      </c>
      <c r="Q12" s="18" t="n">
        <v>0</v>
      </c>
      <c r="R12" s="20" t="n">
        <v>0</v>
      </c>
    </row>
    <row r="13" spans="1:18">
      <c r="A13" s="15" t="s">
        <v>571</v>
      </c>
      <c r="B13" s="17" t="n">
        <v>3602</v>
      </c>
      <c r="C13" s="18">
        <f>(3252.0/B13*100)</f>
        <v/>
      </c>
      <c r="D13" s="19" t="n">
        <v>350</v>
      </c>
      <c r="E13" s="18" t="n">
        <v>46.64793628</v>
      </c>
      <c r="F13" s="20" t="n">
        <v>3.14437704</v>
      </c>
      <c r="G13" s="18" t="n">
        <v>52.52851555</v>
      </c>
      <c r="H13" s="20" t="n">
        <v>3.16184303</v>
      </c>
      <c r="I13" s="18" t="n">
        <v>0</v>
      </c>
      <c r="J13" s="20" t="n">
        <v>0</v>
      </c>
      <c r="K13" s="18" t="n">
        <v>0.47568424</v>
      </c>
      <c r="L13" s="20" t="n">
        <v>0.33574115</v>
      </c>
      <c r="M13" s="18" t="n">
        <v>0</v>
      </c>
      <c r="N13" s="20" t="n">
        <v>0</v>
      </c>
      <c r="O13" s="18" t="n">
        <v>0</v>
      </c>
      <c r="P13" s="20" t="n">
        <v>0</v>
      </c>
      <c r="Q13" s="18" t="n">
        <v>0.34786393</v>
      </c>
      <c r="R13" s="20" t="n">
        <v>0.3112556</v>
      </c>
    </row>
    <row r="14" spans="1:18">
      <c r="A14" s="15" t="s">
        <v>572</v>
      </c>
      <c r="B14" s="17" t="n">
        <v>2788</v>
      </c>
      <c r="C14" s="18">
        <f>(2469.0/B14*100)</f>
        <v/>
      </c>
      <c r="D14" s="19" t="n">
        <v>319</v>
      </c>
      <c r="E14" s="18" t="n">
        <v>48.01772877</v>
      </c>
      <c r="F14" s="20" t="n">
        <v>3.00105934</v>
      </c>
      <c r="G14" s="18" t="n">
        <v>51.98227123</v>
      </c>
      <c r="H14" s="20" t="n">
        <v>3.00105934</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(2538.0/B15*100)</f>
        <v/>
      </c>
      <c r="D15" s="19" t="n">
        <v>325</v>
      </c>
      <c r="E15" s="18" t="n">
        <v>34.72735555</v>
      </c>
      <c r="F15" s="20" t="n">
        <v>2.72213359</v>
      </c>
      <c r="G15" s="18" t="n">
        <v>64.99089691</v>
      </c>
      <c r="H15" s="20" t="n">
        <v>2.70214117</v>
      </c>
      <c r="I15" s="18" t="n">
        <v>0</v>
      </c>
      <c r="J15" s="20" t="n">
        <v>0</v>
      </c>
      <c r="K15" s="18" t="n">
        <v>0</v>
      </c>
      <c r="L15" s="20" t="n">
        <v>0</v>
      </c>
      <c r="M15" s="18" t="n">
        <v>0</v>
      </c>
      <c r="N15" s="20" t="n">
        <v>0</v>
      </c>
      <c r="O15" s="18" t="n">
        <v>0</v>
      </c>
      <c r="P15" s="20" t="n">
        <v>0</v>
      </c>
      <c r="Q15" s="18" t="n">
        <v>0.28174754</v>
      </c>
      <c r="R15" s="20" t="n">
        <v>0.28198654</v>
      </c>
    </row>
    <row r="16" spans="1:18">
      <c r="A16" s="15" t="s">
        <v>574</v>
      </c>
      <c r="B16" s="17" t="n">
        <v>3111</v>
      </c>
      <c r="C16" s="18">
        <f>(2749.0/B16*100)</f>
        <v/>
      </c>
      <c r="D16" s="19" t="n">
        <v>362</v>
      </c>
      <c r="E16" s="18" t="n">
        <v>45.41008272</v>
      </c>
      <c r="F16" s="20" t="n">
        <v>2.73029822</v>
      </c>
      <c r="G16" s="18" t="n">
        <v>53.96523865</v>
      </c>
      <c r="H16" s="20" t="n">
        <v>2.72275933</v>
      </c>
      <c r="I16" s="18" t="n">
        <v>0</v>
      </c>
      <c r="J16" s="20" t="n">
        <v>0</v>
      </c>
      <c r="K16" s="18" t="n">
        <v>0.36348184</v>
      </c>
      <c r="L16" s="20" t="n">
        <v>0.32019102</v>
      </c>
      <c r="M16" s="18" t="n">
        <v>0</v>
      </c>
      <c r="N16" s="20" t="n">
        <v>0</v>
      </c>
      <c r="O16" s="18" t="n">
        <v>0</v>
      </c>
      <c r="P16" s="20" t="n">
        <v>0</v>
      </c>
      <c r="Q16" s="18" t="n">
        <v>0.26119679</v>
      </c>
      <c r="R16" s="20" t="n">
        <v>0.25740722</v>
      </c>
    </row>
    <row r="17" spans="1:18">
      <c r="A17" s="15" t="s">
        <v>575</v>
      </c>
      <c r="B17" s="17" t="n">
        <v>3197</v>
      </c>
      <c r="C17" s="18">
        <f>(2849.0/B17*100)</f>
        <v/>
      </c>
      <c r="D17" s="19" t="n">
        <v>348</v>
      </c>
      <c r="E17" s="18" t="n">
        <v>56.3132469</v>
      </c>
      <c r="F17" s="20" t="n">
        <v>3.01254358</v>
      </c>
      <c r="G17" s="18" t="n">
        <v>43.42099811</v>
      </c>
      <c r="H17" s="20" t="n">
        <v>2.9825775</v>
      </c>
      <c r="I17" s="18" t="n">
        <v>0</v>
      </c>
      <c r="J17" s="20" t="n">
        <v>0</v>
      </c>
      <c r="K17" s="18" t="n">
        <v>0</v>
      </c>
      <c r="L17" s="20" t="n">
        <v>0</v>
      </c>
      <c r="M17" s="18" t="n">
        <v>0</v>
      </c>
      <c r="N17" s="20" t="n">
        <v>0</v>
      </c>
      <c r="O17" s="18" t="n">
        <v>0</v>
      </c>
      <c r="P17" s="20" t="n">
        <v>0</v>
      </c>
      <c r="Q17" s="18" t="n">
        <v>0.26575499</v>
      </c>
      <c r="R17" s="20" t="n">
        <v>0.26758537</v>
      </c>
    </row>
    <row r="18" spans="1:18">
      <c r="A18" s="15" t="s">
        <v>576</v>
      </c>
      <c r="B18" s="17" t="n">
        <v>2706</v>
      </c>
      <c r="C18" s="18">
        <f>(2407.0/B18*100)</f>
        <v/>
      </c>
      <c r="D18" s="19" t="n">
        <v>299</v>
      </c>
      <c r="E18" s="18" t="n">
        <v>51.8681925</v>
      </c>
      <c r="F18" s="20" t="n">
        <v>3.25535758</v>
      </c>
      <c r="G18" s="18" t="n">
        <v>47.85594764</v>
      </c>
      <c r="H18" s="20" t="n">
        <v>3.25883622</v>
      </c>
      <c r="I18" s="18" t="n">
        <v>0</v>
      </c>
      <c r="J18" s="20" t="n">
        <v>0</v>
      </c>
      <c r="K18" s="18" t="n">
        <v>0.27585986</v>
      </c>
      <c r="L18" s="20" t="n">
        <v>0.26997879</v>
      </c>
      <c r="M18" s="18" t="n">
        <v>0</v>
      </c>
      <c r="N18" s="20" t="n">
        <v>0</v>
      </c>
      <c r="O18" s="18" t="n">
        <v>0</v>
      </c>
      <c r="P18" s="20" t="n">
        <v>0</v>
      </c>
      <c r="Q18" s="18" t="n">
        <v>0</v>
      </c>
      <c r="R18" s="20" t="n">
        <v>0</v>
      </c>
    </row>
    <row r="19" spans="1:18">
      <c r="A19" s="15" t="s">
        <v>577</v>
      </c>
      <c r="B19" s="17" t="n">
        <v>2850</v>
      </c>
      <c r="C19" s="18">
        <f>(2560.0/B19*100)</f>
        <v/>
      </c>
      <c r="D19" s="19" t="n">
        <v>290</v>
      </c>
      <c r="E19" s="18" t="n">
        <v>39.51091979</v>
      </c>
      <c r="F19" s="20" t="n">
        <v>3.46379452</v>
      </c>
      <c r="G19" s="18" t="n">
        <v>59.51731203</v>
      </c>
      <c r="H19" s="20" t="n">
        <v>3.41596717</v>
      </c>
      <c r="I19" s="18" t="n">
        <v>0</v>
      </c>
      <c r="J19" s="20" t="n">
        <v>0</v>
      </c>
      <c r="K19" s="18" t="n">
        <v>0</v>
      </c>
      <c r="L19" s="20" t="n">
        <v>0</v>
      </c>
      <c r="M19" s="18" t="n">
        <v>0</v>
      </c>
      <c r="N19" s="20" t="n">
        <v>0</v>
      </c>
      <c r="O19" s="18" t="n">
        <v>0</v>
      </c>
      <c r="P19" s="20" t="n">
        <v>0</v>
      </c>
      <c r="Q19" s="18" t="n">
        <v>0.97176817</v>
      </c>
      <c r="R19" s="20" t="n">
        <v>0.56267024</v>
      </c>
    </row>
    <row r="20" spans="1:18">
      <c r="A20" s="15" t="s">
        <v>578</v>
      </c>
      <c r="B20" s="17" t="n">
        <v>1741</v>
      </c>
      <c r="C20" s="18">
        <f>(1550.0/B20*100)</f>
        <v/>
      </c>
      <c r="D20" s="19" t="n">
        <v>191</v>
      </c>
      <c r="E20" s="18" t="n">
        <v>64.63941932</v>
      </c>
      <c r="F20" s="20" t="n">
        <v>3.24393889</v>
      </c>
      <c r="G20" s="18" t="n">
        <v>33.74501702</v>
      </c>
      <c r="H20" s="20" t="n">
        <v>3.28191753</v>
      </c>
      <c r="I20" s="18" t="n">
        <v>0</v>
      </c>
      <c r="J20" s="20" t="n">
        <v>0</v>
      </c>
      <c r="K20" s="18" t="n">
        <v>1.11232296</v>
      </c>
      <c r="L20" s="20" t="n">
        <v>0.79131733</v>
      </c>
      <c r="M20" s="18" t="n">
        <v>0</v>
      </c>
      <c r="N20" s="20" t="n">
        <v>0</v>
      </c>
      <c r="O20" s="18" t="n">
        <v>0</v>
      </c>
      <c r="P20" s="20" t="n">
        <v>0</v>
      </c>
      <c r="Q20" s="18" t="n">
        <v>0.50324069</v>
      </c>
      <c r="R20" s="20" t="n">
        <v>0.50214704</v>
      </c>
    </row>
    <row r="21" spans="1:18">
      <c r="A21" s="15" t="s">
        <v>579</v>
      </c>
      <c r="B21" s="17" t="n">
        <v>2833</v>
      </c>
      <c r="C21" s="18">
        <f>(2557.0/B21*100)</f>
        <v/>
      </c>
      <c r="D21" s="19" t="n">
        <v>276</v>
      </c>
      <c r="E21" s="18" t="n">
        <v>63.06474692</v>
      </c>
      <c r="F21" s="20" t="n">
        <v>2.97826859</v>
      </c>
      <c r="G21" s="18" t="n">
        <v>35.95934086</v>
      </c>
      <c r="H21" s="20" t="n">
        <v>2.98534989</v>
      </c>
      <c r="I21" s="18" t="n">
        <v>0</v>
      </c>
      <c r="J21" s="20" t="n">
        <v>0</v>
      </c>
      <c r="K21" s="18" t="n">
        <v>0.31322315</v>
      </c>
      <c r="L21" s="20" t="n">
        <v>0.22678196</v>
      </c>
      <c r="M21" s="18" t="n">
        <v>0</v>
      </c>
      <c r="N21" s="20" t="n">
        <v>0</v>
      </c>
      <c r="O21" s="18" t="n">
        <v>0</v>
      </c>
      <c r="P21" s="20" t="n">
        <v>0</v>
      </c>
      <c r="Q21" s="18" t="n">
        <v>0.66268908</v>
      </c>
      <c r="R21" s="20" t="n">
        <v>0.45871427</v>
      </c>
    </row>
    <row r="22" spans="1:18">
      <c r="A22" s="15" t="s">
        <v>580</v>
      </c>
      <c r="B22" s="17" t="n">
        <v>3667</v>
      </c>
      <c r="C22" s="18">
        <f>(3292.0/B22*100)</f>
        <v/>
      </c>
      <c r="D22" s="19" t="n">
        <v>375</v>
      </c>
      <c r="E22" s="18" t="n">
        <v>54.77318916</v>
      </c>
      <c r="F22" s="20" t="n">
        <v>2.76628252</v>
      </c>
      <c r="G22" s="18" t="n">
        <v>43.91037787</v>
      </c>
      <c r="H22" s="20" t="n">
        <v>2.74926475</v>
      </c>
      <c r="I22" s="18" t="n">
        <v>0</v>
      </c>
      <c r="J22" s="20" t="n">
        <v>0</v>
      </c>
      <c r="K22" s="18" t="n">
        <v>0.26161921</v>
      </c>
      <c r="L22" s="20" t="n">
        <v>0.24989246</v>
      </c>
      <c r="M22" s="18" t="n">
        <v>0</v>
      </c>
      <c r="N22" s="20" t="n">
        <v>0</v>
      </c>
      <c r="O22" s="18" t="n">
        <v>0</v>
      </c>
      <c r="P22" s="20" t="n">
        <v>0</v>
      </c>
      <c r="Q22" s="18" t="n">
        <v>1.05481376</v>
      </c>
      <c r="R22" s="20" t="n">
        <v>0.54751703</v>
      </c>
    </row>
    <row r="23" spans="1:18">
      <c r="A23" s="15" t="s">
        <v>581</v>
      </c>
      <c r="B23" s="17" t="n">
        <v>5792</v>
      </c>
      <c r="C23" s="18">
        <f>(5128.0/B23*100)</f>
        <v/>
      </c>
      <c r="D23" s="19" t="n">
        <v>664</v>
      </c>
      <c r="E23" s="18" t="n">
        <v>50.11463822</v>
      </c>
      <c r="F23" s="20" t="n">
        <v>2.85649232</v>
      </c>
      <c r="G23" s="18" t="n">
        <v>49.38144238</v>
      </c>
      <c r="H23" s="20" t="n">
        <v>2.7091921</v>
      </c>
      <c r="I23" s="18" t="n">
        <v>0</v>
      </c>
      <c r="J23" s="20" t="n">
        <v>0</v>
      </c>
      <c r="K23" s="18" t="n">
        <v>0.5039194</v>
      </c>
      <c r="L23" s="20" t="n">
        <v>0.49335509</v>
      </c>
      <c r="M23" s="18" t="n">
        <v>0</v>
      </c>
      <c r="N23" s="20" t="n">
        <v>0</v>
      </c>
      <c r="O23" s="18" t="n">
        <v>0</v>
      </c>
      <c r="P23" s="20" t="n">
        <v>0</v>
      </c>
      <c r="Q23" s="18" t="n">
        <v>0</v>
      </c>
      <c r="R23" s="20" t="n">
        <v>0</v>
      </c>
    </row>
    <row r="24" spans="1:18">
      <c r="A24" s="15" t="s">
        <v>582</v>
      </c>
      <c r="B24" s="17" t="n">
        <v>3309</v>
      </c>
      <c r="C24" s="18">
        <f>(2978.0/B24*100)</f>
        <v/>
      </c>
      <c r="D24" s="19" t="n">
        <v>331</v>
      </c>
      <c r="E24" s="18" t="n">
        <v>45.56112175</v>
      </c>
      <c r="F24" s="20" t="n">
        <v>2.62681193</v>
      </c>
      <c r="G24" s="18" t="n">
        <v>53.84575356</v>
      </c>
      <c r="H24" s="20" t="n">
        <v>2.67098057</v>
      </c>
      <c r="I24" s="18" t="n">
        <v>0</v>
      </c>
      <c r="J24" s="20" t="n">
        <v>0</v>
      </c>
      <c r="K24" s="18" t="n">
        <v>0</v>
      </c>
      <c r="L24" s="20" t="n">
        <v>0</v>
      </c>
      <c r="M24" s="18" t="n">
        <v>0</v>
      </c>
      <c r="N24" s="20" t="n">
        <v>0</v>
      </c>
      <c r="O24" s="18" t="n">
        <v>0</v>
      </c>
      <c r="P24" s="20" t="n">
        <v>0</v>
      </c>
      <c r="Q24" s="18" t="n">
        <v>0.59312469</v>
      </c>
      <c r="R24" s="20" t="n">
        <v>0.42083755</v>
      </c>
    </row>
    <row r="25" spans="1:18">
      <c r="A25" s="15" t="s">
        <v>583</v>
      </c>
      <c r="B25" s="17" t="n">
        <v>2669</v>
      </c>
      <c r="C25" s="18">
        <f>(2365.0/B25*100)</f>
        <v/>
      </c>
      <c r="D25" s="19" t="n">
        <v>304</v>
      </c>
      <c r="E25" s="18" t="n">
        <v>45.56845244</v>
      </c>
      <c r="F25" s="20" t="n">
        <v>2.45444615</v>
      </c>
      <c r="G25" s="18" t="n">
        <v>54.10666252</v>
      </c>
      <c r="H25" s="20" t="n">
        <v>2.45033683</v>
      </c>
      <c r="I25" s="18" t="n">
        <v>0</v>
      </c>
      <c r="J25" s="20" t="n">
        <v>0</v>
      </c>
      <c r="K25" s="18" t="n">
        <v>0.32488504</v>
      </c>
      <c r="L25" s="20" t="n">
        <v>0.3269345</v>
      </c>
      <c r="M25" s="18" t="n">
        <v>0</v>
      </c>
      <c r="N25" s="20" t="n">
        <v>0</v>
      </c>
      <c r="O25" s="18" t="n">
        <v>0</v>
      </c>
      <c r="P25" s="20" t="n">
        <v>0</v>
      </c>
      <c r="Q25" s="18" t="n">
        <v>0</v>
      </c>
      <c r="R25" s="20" t="n">
        <v>0</v>
      </c>
    </row>
    <row r="26" spans="1:18">
      <c r="A26" s="15" t="s">
        <v>584</v>
      </c>
      <c r="B26" s="17" t="n">
        <v>2419</v>
      </c>
      <c r="C26" s="18">
        <f>(2142.0/B26*100)</f>
        <v/>
      </c>
      <c r="D26" s="19" t="n">
        <v>277</v>
      </c>
      <c r="E26" s="18" t="n">
        <v>63.33162494</v>
      </c>
      <c r="F26" s="20" t="n">
        <v>3.35250213</v>
      </c>
      <c r="G26" s="18" t="n">
        <v>36.66837506</v>
      </c>
      <c r="H26" s="20" t="n">
        <v>3.35250213</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(2382.0/B27*100)</f>
        <v/>
      </c>
      <c r="D27" s="19" t="n">
        <v>301</v>
      </c>
      <c r="E27" s="18" t="n">
        <v>52.46405453</v>
      </c>
      <c r="F27" s="20" t="n">
        <v>3.00235931</v>
      </c>
      <c r="G27" s="18" t="n">
        <v>46.8508667</v>
      </c>
      <c r="H27" s="20" t="n">
        <v>3.01734638</v>
      </c>
      <c r="I27" s="18" t="n">
        <v>0</v>
      </c>
      <c r="J27" s="20" t="n">
        <v>0</v>
      </c>
      <c r="K27" s="18" t="n">
        <v>0</v>
      </c>
      <c r="L27" s="20" t="n">
        <v>0</v>
      </c>
      <c r="M27" s="18" t="n">
        <v>0</v>
      </c>
      <c r="N27" s="20" t="n">
        <v>0</v>
      </c>
      <c r="O27" s="18" t="n">
        <v>0</v>
      </c>
      <c r="P27" s="20" t="n">
        <v>0</v>
      </c>
      <c r="Q27" s="18" t="n">
        <v>0.6850787699999999</v>
      </c>
      <c r="R27" s="20" t="n">
        <v>0.47838265</v>
      </c>
    </row>
    <row r="28" spans="1:18">
      <c r="A28" s="15" t="s">
        <v>586</v>
      </c>
      <c r="B28" s="17" t="n">
        <v>3803</v>
      </c>
      <c r="C28" s="18">
        <f>(3392.0/B28*100)</f>
        <v/>
      </c>
      <c r="D28" s="19" t="n">
        <v>411</v>
      </c>
      <c r="E28" s="18" t="n">
        <v>59.92247343</v>
      </c>
      <c r="F28" s="20" t="n">
        <v>2.47273836</v>
      </c>
      <c r="G28" s="18" t="n">
        <v>39.25409506</v>
      </c>
      <c r="H28" s="20" t="n">
        <v>2.54070471</v>
      </c>
      <c r="I28" s="18" t="n">
        <v>0</v>
      </c>
      <c r="J28" s="20" t="n">
        <v>0</v>
      </c>
      <c r="K28" s="18" t="n">
        <v>0.82343151</v>
      </c>
      <c r="L28" s="20" t="n">
        <v>0.62923944</v>
      </c>
      <c r="M28" s="18" t="n">
        <v>0</v>
      </c>
      <c r="N28" s="20" t="n">
        <v>0</v>
      </c>
      <c r="O28" s="18" t="n">
        <v>0</v>
      </c>
      <c r="P28" s="20" t="n">
        <v>0</v>
      </c>
      <c r="Q28" s="18" t="n">
        <v>0</v>
      </c>
      <c r="R28" s="20" t="n">
        <v>0</v>
      </c>
    </row>
    <row r="29" spans="1:18">
      <c r="A29" s="15" t="s">
        <v>587</v>
      </c>
      <c r="B29" s="17" t="n">
        <v>2700</v>
      </c>
      <c r="C29" s="18">
        <f>(2422.0/B29*100)</f>
        <v/>
      </c>
      <c r="D29" s="19" t="n">
        <v>278</v>
      </c>
      <c r="E29" s="18" t="n">
        <v>50.04124945</v>
      </c>
      <c r="F29" s="20" t="n">
        <v>2.74501393</v>
      </c>
      <c r="G29" s="18" t="n">
        <v>48.82098739</v>
      </c>
      <c r="H29" s="20" t="n">
        <v>2.73110198</v>
      </c>
      <c r="I29" s="18" t="n">
        <v>0</v>
      </c>
      <c r="J29" s="20" t="n">
        <v>0</v>
      </c>
      <c r="K29" s="18" t="n">
        <v>0</v>
      </c>
      <c r="L29" s="20" t="n">
        <v>0</v>
      </c>
      <c r="M29" s="18" t="n">
        <v>0</v>
      </c>
      <c r="N29" s="20" t="n">
        <v>0</v>
      </c>
      <c r="O29" s="18" t="n">
        <v>0</v>
      </c>
      <c r="P29" s="20" t="n">
        <v>0</v>
      </c>
      <c r="Q29" s="18" t="n">
        <v>1.13776316</v>
      </c>
      <c r="R29" s="20" t="n">
        <v>0.6151033</v>
      </c>
    </row>
    <row r="30" spans="1:18">
      <c r="A30" s="15" t="s">
        <v>588</v>
      </c>
      <c r="B30" s="17" t="n">
        <v>2257</v>
      </c>
      <c r="C30" s="18">
        <f>(2009.0/B30*100)</f>
        <v/>
      </c>
      <c r="D30" s="19" t="n">
        <v>248</v>
      </c>
      <c r="E30" s="18" t="n">
        <v>51.9039346</v>
      </c>
      <c r="F30" s="20" t="n">
        <v>2.94324475</v>
      </c>
      <c r="G30" s="18" t="n">
        <v>46.79068657</v>
      </c>
      <c r="H30" s="20" t="n">
        <v>3.02494577</v>
      </c>
      <c r="I30" s="18" t="n">
        <v>0</v>
      </c>
      <c r="J30" s="20" t="n">
        <v>0</v>
      </c>
      <c r="K30" s="18" t="n">
        <v>0.50449391</v>
      </c>
      <c r="L30" s="20" t="n">
        <v>0.5362993</v>
      </c>
      <c r="M30" s="18" t="n">
        <v>0</v>
      </c>
      <c r="N30" s="20" t="n">
        <v>0</v>
      </c>
      <c r="O30" s="18" t="n">
        <v>0</v>
      </c>
      <c r="P30" s="20" t="n">
        <v>0</v>
      </c>
      <c r="Q30" s="18" t="n">
        <v>0.80088492</v>
      </c>
      <c r="R30" s="20" t="n">
        <v>0.55646427</v>
      </c>
    </row>
    <row r="31" spans="1:18">
      <c r="A31" s="15" t="s">
        <v>589</v>
      </c>
      <c r="B31" s="17" t="n">
        <v>2706</v>
      </c>
      <c r="C31" s="18">
        <f>(2404.0/B31*100)</f>
        <v/>
      </c>
      <c r="D31" s="19" t="n">
        <v>302</v>
      </c>
      <c r="E31" s="18" t="n">
        <v>51.50607943</v>
      </c>
      <c r="F31" s="20" t="n">
        <v>3.07002881</v>
      </c>
      <c r="G31" s="18" t="n">
        <v>48.21208655</v>
      </c>
      <c r="H31" s="20" t="n">
        <v>3.08653273</v>
      </c>
      <c r="I31" s="18" t="n">
        <v>0</v>
      </c>
      <c r="J31" s="20" t="n">
        <v>0</v>
      </c>
      <c r="K31" s="18" t="n">
        <v>0.28183403</v>
      </c>
      <c r="L31" s="20" t="n">
        <v>0.28326841</v>
      </c>
      <c r="M31" s="18" t="n">
        <v>0</v>
      </c>
      <c r="N31" s="20" t="n">
        <v>0</v>
      </c>
      <c r="O31" s="18" t="n">
        <v>0</v>
      </c>
      <c r="P31" s="20" t="n">
        <v>0</v>
      </c>
      <c r="Q31" s="18" t="n">
        <v>0</v>
      </c>
      <c r="R31" s="20" t="n">
        <v>0</v>
      </c>
    </row>
    <row r="32" spans="1:18">
      <c r="A32" s="15" t="s">
        <v>590</v>
      </c>
      <c r="B32" s="17" t="n">
        <v>2209</v>
      </c>
      <c r="C32" s="18">
        <f>(1968.0/B32*100)</f>
        <v/>
      </c>
      <c r="D32" s="19" t="n">
        <v>241</v>
      </c>
      <c r="E32" s="18" t="n">
        <v>52.360609</v>
      </c>
      <c r="F32" s="20" t="n">
        <v>3.32548507</v>
      </c>
      <c r="G32" s="18" t="n">
        <v>47.639391</v>
      </c>
      <c r="H32" s="20" t="n">
        <v>3.32548507</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(3241.0/B33*100)</f>
        <v/>
      </c>
      <c r="D33" s="19" t="n">
        <v>410</v>
      </c>
      <c r="E33" s="18" t="n">
        <v>54.92587073</v>
      </c>
      <c r="F33" s="20" t="n">
        <v>3.19716755</v>
      </c>
      <c r="G33" s="18" t="n">
        <v>43.74363571</v>
      </c>
      <c r="H33" s="20" t="n">
        <v>3.0828413</v>
      </c>
      <c r="I33" s="18" t="n">
        <v>0</v>
      </c>
      <c r="J33" s="20" t="n">
        <v>0</v>
      </c>
      <c r="K33" s="18" t="n">
        <v>0.41007916</v>
      </c>
      <c r="L33" s="20" t="n">
        <v>0.39204925</v>
      </c>
      <c r="M33" s="18" t="n">
        <v>0</v>
      </c>
      <c r="N33" s="20" t="n">
        <v>0</v>
      </c>
      <c r="O33" s="18" t="n">
        <v>0</v>
      </c>
      <c r="P33" s="20" t="n">
        <v>0</v>
      </c>
      <c r="Q33" s="18" t="n">
        <v>0.9204144</v>
      </c>
      <c r="R33" s="20" t="n">
        <v>0.59060123</v>
      </c>
    </row>
    <row r="34" spans="1:18">
      <c r="A34" s="15" t="s">
        <v>592</v>
      </c>
      <c r="B34" s="17" t="n">
        <v>3035</v>
      </c>
      <c r="C34" s="18">
        <f>(2684.0/B34*100)</f>
        <v/>
      </c>
      <c r="D34" s="19" t="n">
        <v>351</v>
      </c>
      <c r="E34" s="18" t="n">
        <v>44.67973038</v>
      </c>
      <c r="F34" s="20" t="n">
        <v>2.92295797</v>
      </c>
      <c r="G34" s="18" t="n">
        <v>54.60313997</v>
      </c>
      <c r="H34" s="20" t="n">
        <v>3.005935</v>
      </c>
      <c r="I34" s="18" t="n">
        <v>0</v>
      </c>
      <c r="J34" s="20" t="n">
        <v>0</v>
      </c>
      <c r="K34" s="18" t="n">
        <v>0</v>
      </c>
      <c r="L34" s="20" t="n">
        <v>0</v>
      </c>
      <c r="M34" s="18" t="n">
        <v>0</v>
      </c>
      <c r="N34" s="20" t="n">
        <v>0</v>
      </c>
      <c r="O34" s="18" t="n">
        <v>0</v>
      </c>
      <c r="P34" s="20" t="n">
        <v>0</v>
      </c>
      <c r="Q34" s="18" t="n">
        <v>0.71712965</v>
      </c>
      <c r="R34" s="20" t="n">
        <v>0.42775199</v>
      </c>
    </row>
    <row r="35" spans="1:18">
      <c r="A35" s="15" t="s">
        <v>593</v>
      </c>
      <c r="B35" s="17" t="n">
        <v>2901</v>
      </c>
      <c r="C35" s="18">
        <f>(2574.0/B35*100)</f>
        <v/>
      </c>
      <c r="D35" s="19" t="n">
        <v>327</v>
      </c>
      <c r="E35" s="18" t="n">
        <v>55.41566654</v>
      </c>
      <c r="F35" s="20" t="n">
        <v>3.39567739</v>
      </c>
      <c r="G35" s="18" t="n">
        <v>44.4239654</v>
      </c>
      <c r="H35" s="20" t="n">
        <v>3.40089302</v>
      </c>
      <c r="I35" s="18" t="n">
        <v>0</v>
      </c>
      <c r="J35" s="20" t="n">
        <v>0</v>
      </c>
      <c r="K35" s="18" t="n">
        <v>0.16036806</v>
      </c>
      <c r="L35" s="20" t="n">
        <v>0.15974908</v>
      </c>
      <c r="M35" s="18" t="n">
        <v>0</v>
      </c>
      <c r="N35" s="20" t="n">
        <v>0</v>
      </c>
      <c r="O35" s="18" t="n">
        <v>0</v>
      </c>
      <c r="P35" s="20" t="n">
        <v>0</v>
      </c>
      <c r="Q35" s="18" t="n">
        <v>0</v>
      </c>
      <c r="R35" s="20" t="n">
        <v>0</v>
      </c>
    </row>
    <row r="36" spans="1:18">
      <c r="A36" s="15" t="s">
        <v>594</v>
      </c>
      <c r="B36" s="17" t="n">
        <v>3404</v>
      </c>
      <c r="C36" s="18">
        <f>(2996.0/B36*100)</f>
        <v/>
      </c>
      <c r="D36" s="19" t="n">
        <v>408</v>
      </c>
      <c r="E36" s="18" t="n">
        <v>47.91750777</v>
      </c>
      <c r="F36" s="20" t="n">
        <v>2.83663111</v>
      </c>
      <c r="G36" s="18" t="n">
        <v>51.49531744</v>
      </c>
      <c r="H36" s="20" t="n">
        <v>2.74973175</v>
      </c>
      <c r="I36" s="18" t="n">
        <v>0</v>
      </c>
      <c r="J36" s="20" t="n">
        <v>0</v>
      </c>
      <c r="K36" s="18" t="n">
        <v>0.31456964</v>
      </c>
      <c r="L36" s="20" t="n">
        <v>0.25961001</v>
      </c>
      <c r="M36" s="18" t="n">
        <v>0</v>
      </c>
      <c r="N36" s="20" t="n">
        <v>0</v>
      </c>
      <c r="O36" s="18" t="n">
        <v>0</v>
      </c>
      <c r="P36" s="20" t="n">
        <v>0</v>
      </c>
      <c r="Q36" s="18" t="n">
        <v>0.27260516</v>
      </c>
      <c r="R36" s="20" t="n">
        <v>0.19961901</v>
      </c>
    </row>
    <row r="37" spans="1:18">
      <c r="A37" s="15" t="s">
        <v>595</v>
      </c>
      <c r="B37" s="17" t="n">
        <v>2731</v>
      </c>
      <c r="C37" s="18">
        <f>(2428.0/B37*100)</f>
        <v/>
      </c>
      <c r="D37" s="19" t="n">
        <v>303</v>
      </c>
      <c r="E37" s="18" t="n">
        <v>46.80804713</v>
      </c>
      <c r="F37" s="20" t="n">
        <v>2.7127504</v>
      </c>
      <c r="G37" s="18" t="n">
        <v>52.62978811</v>
      </c>
      <c r="H37" s="20" t="n">
        <v>2.75492541</v>
      </c>
      <c r="I37" s="18" t="n">
        <v>0</v>
      </c>
      <c r="J37" s="20" t="n">
        <v>0</v>
      </c>
      <c r="K37" s="18" t="n">
        <v>0</v>
      </c>
      <c r="L37" s="20" t="n">
        <v>0</v>
      </c>
      <c r="M37" s="18" t="n">
        <v>0</v>
      </c>
      <c r="N37" s="20" t="n">
        <v>0</v>
      </c>
      <c r="O37" s="18" t="n">
        <v>0</v>
      </c>
      <c r="P37" s="20" t="n">
        <v>0</v>
      </c>
      <c r="Q37" s="18" t="n">
        <v>0.56216476</v>
      </c>
      <c r="R37" s="20" t="n">
        <v>0.39590204</v>
      </c>
    </row>
    <row r="38" spans="1:18">
      <c r="A38" s="15" t="s">
        <v>596</v>
      </c>
      <c r="B38" s="17" t="n">
        <v>2807</v>
      </c>
      <c r="C38" s="18">
        <f>(2496.0/B38*100)</f>
        <v/>
      </c>
      <c r="D38" s="19" t="n">
        <v>311</v>
      </c>
      <c r="E38" s="18" t="n">
        <v>53.85867962</v>
      </c>
      <c r="F38" s="20" t="n">
        <v>3.85877174</v>
      </c>
      <c r="G38" s="18" t="n">
        <v>45.79054226</v>
      </c>
      <c r="H38" s="20" t="n">
        <v>3.84889291</v>
      </c>
      <c r="I38" s="18" t="n">
        <v>0</v>
      </c>
      <c r="J38" s="20" t="n">
        <v>0</v>
      </c>
      <c r="K38" s="18" t="n">
        <v>0</v>
      </c>
      <c r="L38" s="20" t="n">
        <v>0</v>
      </c>
      <c r="M38" s="18" t="n">
        <v>0</v>
      </c>
      <c r="N38" s="20" t="n">
        <v>0</v>
      </c>
      <c r="O38" s="18" t="n">
        <v>0</v>
      </c>
      <c r="P38" s="20" t="n">
        <v>0</v>
      </c>
      <c r="Q38" s="18" t="n">
        <v>0.35077812</v>
      </c>
      <c r="R38" s="20" t="n">
        <v>0.35134177</v>
      </c>
    </row>
    <row r="39" spans="1:18">
      <c r="A39" s="15" t="s">
        <v>597</v>
      </c>
      <c r="B39" s="17" t="n">
        <v>2938</v>
      </c>
      <c r="C39" s="18">
        <f>(2632.0/B39*100)</f>
        <v/>
      </c>
      <c r="D39" s="19" t="n">
        <v>306</v>
      </c>
      <c r="E39" s="18" t="n">
        <v>76.45815075</v>
      </c>
      <c r="F39" s="20" t="n">
        <v>2.45839526</v>
      </c>
      <c r="G39" s="18" t="n">
        <v>23.39377478</v>
      </c>
      <c r="H39" s="20" t="n">
        <v>2.47576771</v>
      </c>
      <c r="I39" s="18" t="n">
        <v>0</v>
      </c>
      <c r="J39" s="20" t="n">
        <v>0</v>
      </c>
      <c r="K39" s="18" t="n">
        <v>0</v>
      </c>
      <c r="L39" s="20" t="n">
        <v>0</v>
      </c>
      <c r="M39" s="18" t="n">
        <v>0</v>
      </c>
      <c r="N39" s="20" t="n">
        <v>0</v>
      </c>
      <c r="O39" s="18" t="n">
        <v>0</v>
      </c>
      <c r="P39" s="20" t="n">
        <v>0</v>
      </c>
      <c r="Q39" s="18" t="n">
        <v>0.14807447</v>
      </c>
      <c r="R39" s="20" t="n">
        <v>0.14728142</v>
      </c>
    </row>
    <row r="40" spans="1:18">
      <c r="A40" s="15" t="s">
        <v>598</v>
      </c>
      <c r="B40" s="17" t="n">
        <v>6922</v>
      </c>
      <c r="C40" s="18">
        <f>(6132.0/B40*100)</f>
        <v/>
      </c>
      <c r="D40" s="19" t="n">
        <v>790</v>
      </c>
      <c r="E40" s="18" t="n">
        <v>51.32916069</v>
      </c>
      <c r="F40" s="20" t="n">
        <v>2.76191372</v>
      </c>
      <c r="G40" s="18" t="n">
        <v>48.26168433</v>
      </c>
      <c r="H40" s="20" t="n">
        <v>2.70094393</v>
      </c>
      <c r="I40" s="18" t="n">
        <v>0</v>
      </c>
      <c r="J40" s="20" t="n">
        <v>0</v>
      </c>
      <c r="K40" s="18" t="n">
        <v>0.0405828</v>
      </c>
      <c r="L40" s="20" t="n">
        <v>0.04772923</v>
      </c>
      <c r="M40" s="18" t="n">
        <v>0</v>
      </c>
      <c r="N40" s="20" t="n">
        <v>0</v>
      </c>
      <c r="O40" s="18" t="n">
        <v>0</v>
      </c>
      <c r="P40" s="20" t="n">
        <v>0</v>
      </c>
      <c r="Q40" s="18" t="n">
        <v>0.36857218</v>
      </c>
      <c r="R40" s="20" t="n">
        <v>0.34484161</v>
      </c>
    </row>
    <row r="41" spans="1:18">
      <c r="A41" s="15" t="s">
        <v>599</v>
      </c>
      <c r="B41" s="17" t="n">
        <v>2854</v>
      </c>
      <c r="C41" s="18">
        <f>(2548.0/B41*100)</f>
        <v/>
      </c>
      <c r="D41" s="19" t="n">
        <v>306</v>
      </c>
      <c r="E41" s="18" t="n">
        <v>52.80136895</v>
      </c>
      <c r="F41" s="20" t="n">
        <v>3.40484945</v>
      </c>
      <c r="G41" s="18" t="n">
        <v>46.16217479</v>
      </c>
      <c r="H41" s="20" t="n">
        <v>3.41788411</v>
      </c>
      <c r="I41" s="18" t="n">
        <v>0</v>
      </c>
      <c r="J41" s="20" t="n">
        <v>0</v>
      </c>
      <c r="K41" s="18" t="n">
        <v>0.37304106</v>
      </c>
      <c r="L41" s="20" t="n">
        <v>0.37816492</v>
      </c>
      <c r="M41" s="18" t="n">
        <v>0</v>
      </c>
      <c r="N41" s="20" t="n">
        <v>0</v>
      </c>
      <c r="O41" s="18" t="n">
        <v>0</v>
      </c>
      <c r="P41" s="20" t="n">
        <v>0</v>
      </c>
      <c r="Q41" s="18" t="n">
        <v>0.6634152</v>
      </c>
      <c r="R41" s="20" t="n">
        <v>0.48223211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(10935.0/B46*100)</f>
        <v/>
      </c>
      <c r="D46" s="19" t="n">
        <v>1138</v>
      </c>
      <c r="E46" s="18" t="n">
        <v>60.04243925</v>
      </c>
      <c r="F46" s="20" t="n">
        <v>1.88495162</v>
      </c>
      <c r="G46" s="18" t="n">
        <v>38.81899683</v>
      </c>
      <c r="H46" s="20" t="n">
        <v>1.84232013</v>
      </c>
      <c r="I46" s="18" t="n">
        <v>0</v>
      </c>
      <c r="J46" s="20" t="n">
        <v>0</v>
      </c>
      <c r="K46" s="18" t="n">
        <v>0.36024462</v>
      </c>
      <c r="L46" s="20" t="n">
        <v>0.15811877</v>
      </c>
      <c r="M46" s="18" t="n">
        <v>0</v>
      </c>
      <c r="N46" s="20" t="n">
        <v>0</v>
      </c>
      <c r="O46" s="18" t="n">
        <v>0</v>
      </c>
      <c r="P46" s="20" t="n">
        <v>0</v>
      </c>
      <c r="Q46" s="18" t="n">
        <v>0.77831929</v>
      </c>
      <c r="R46" s="20" t="n">
        <v>0.22503634</v>
      </c>
    </row>
    <row r="47" spans="1:18">
      <c r="A47" s="15" t="s">
        <v>606</v>
      </c>
      <c r="B47" s="17" t="n">
        <v>2823</v>
      </c>
      <c r="C47" s="18">
        <f>(2514.0/B47*100)</f>
        <v/>
      </c>
      <c r="D47" s="19" t="n">
        <v>309</v>
      </c>
      <c r="E47" s="18" t="n">
        <v>63.65130308</v>
      </c>
      <c r="F47" s="20" t="n">
        <v>3.14387274</v>
      </c>
      <c r="G47" s="18" t="n">
        <v>36.34869692</v>
      </c>
      <c r="H47" s="20" t="n">
        <v>3.14387274</v>
      </c>
      <c r="I47" s="18" t="n">
        <v>0</v>
      </c>
      <c r="J47" s="20" t="n">
        <v>0</v>
      </c>
      <c r="K47" s="18" t="n">
        <v>0</v>
      </c>
      <c r="L47" s="20" t="n">
        <v>0</v>
      </c>
      <c r="M47" s="18" t="n">
        <v>0</v>
      </c>
      <c r="N47" s="20" t="n">
        <v>0</v>
      </c>
      <c r="O47" s="18" t="n">
        <v>0</v>
      </c>
      <c r="P47" s="20" t="n">
        <v>0</v>
      </c>
      <c r="Q47" s="18" t="n">
        <v>0</v>
      </c>
      <c r="R47" s="20" t="n">
        <v>0</v>
      </c>
    </row>
    <row r="48" spans="1:18">
      <c r="A48" s="15" t="s">
        <v>607</v>
      </c>
      <c r="B48" s="17" t="n">
        <v>4682</v>
      </c>
      <c r="C48" s="18">
        <f>(4151.0/B48*100)</f>
        <v/>
      </c>
      <c r="D48" s="19" t="n">
        <v>531</v>
      </c>
      <c r="E48" s="18" t="n">
        <v>30.90479446</v>
      </c>
      <c r="F48" s="20" t="n">
        <v>2.54215604</v>
      </c>
      <c r="G48" s="18" t="n">
        <v>68.69058329000001</v>
      </c>
      <c r="H48" s="20" t="n">
        <v>2.54364372</v>
      </c>
      <c r="I48" s="18" t="n">
        <v>0</v>
      </c>
      <c r="J48" s="20" t="n">
        <v>0</v>
      </c>
      <c r="K48" s="18" t="n">
        <v>0.40462225</v>
      </c>
      <c r="L48" s="20" t="n">
        <v>0.48343905</v>
      </c>
      <c r="M48" s="18" t="n">
        <v>0</v>
      </c>
      <c r="N48" s="20" t="n">
        <v>0</v>
      </c>
      <c r="O48" s="18" t="n">
        <v>0</v>
      </c>
      <c r="P48" s="20" t="n">
        <v>0</v>
      </c>
      <c r="Q48" s="18" t="n">
        <v>0</v>
      </c>
      <c r="R48" s="20" t="n">
        <v>0</v>
      </c>
    </row>
    <row r="49" spans="1:18">
      <c r="A49" s="15" t="s">
        <v>608</v>
      </c>
      <c r="B49" s="17" t="n">
        <v>6158</v>
      </c>
      <c r="C49" s="18">
        <f>(5493.0/B49*100)</f>
        <v/>
      </c>
      <c r="D49" s="19" t="n">
        <v>665</v>
      </c>
      <c r="E49" s="18" t="n">
        <v>61.30585308</v>
      </c>
      <c r="F49" s="20" t="n">
        <v>2.55729603</v>
      </c>
      <c r="G49" s="18" t="n">
        <v>37.05441895</v>
      </c>
      <c r="H49" s="20" t="n">
        <v>2.48753689</v>
      </c>
      <c r="I49" s="18" t="n">
        <v>0</v>
      </c>
      <c r="J49" s="20" t="n">
        <v>0</v>
      </c>
      <c r="K49" s="18" t="n">
        <v>0.71349306</v>
      </c>
      <c r="L49" s="20" t="n">
        <v>0.4798802</v>
      </c>
      <c r="M49" s="18" t="n">
        <v>0</v>
      </c>
      <c r="N49" s="20" t="n">
        <v>0</v>
      </c>
      <c r="O49" s="18" t="n">
        <v>0</v>
      </c>
      <c r="P49" s="20" t="n">
        <v>0</v>
      </c>
      <c r="Q49" s="18" t="n">
        <v>0.92623491</v>
      </c>
      <c r="R49" s="20" t="n">
        <v>0.41415799</v>
      </c>
    </row>
    <row r="50" spans="1:18">
      <c r="A50" s="15" t="s">
        <v>609</v>
      </c>
      <c r="B50" s="17" t="n">
        <v>3494</v>
      </c>
      <c r="C50" s="18">
        <f>(3141.0/B50*100)</f>
        <v/>
      </c>
      <c r="D50" s="19" t="n">
        <v>353</v>
      </c>
      <c r="E50" s="18" t="n">
        <v>58.09724727</v>
      </c>
      <c r="F50" s="20" t="n">
        <v>2.70583534</v>
      </c>
      <c r="G50" s="18" t="n">
        <v>39.91594986</v>
      </c>
      <c r="H50" s="20" t="n">
        <v>2.84395933</v>
      </c>
      <c r="I50" s="18" t="n">
        <v>0</v>
      </c>
      <c r="J50" s="20" t="n">
        <v>0</v>
      </c>
      <c r="K50" s="18" t="n">
        <v>0.59251631</v>
      </c>
      <c r="L50" s="20" t="n">
        <v>0.42073911</v>
      </c>
      <c r="M50" s="18" t="n">
        <v>0</v>
      </c>
      <c r="N50" s="20" t="n">
        <v>0</v>
      </c>
      <c r="O50" s="18" t="n">
        <v>0</v>
      </c>
      <c r="P50" s="20" t="n">
        <v>0</v>
      </c>
      <c r="Q50" s="18" t="n">
        <v>1.39428655</v>
      </c>
      <c r="R50" s="20" t="n">
        <v>0.703751</v>
      </c>
    </row>
    <row r="51" spans="1:18">
      <c r="A51" s="15" t="s">
        <v>610</v>
      </c>
      <c r="B51" s="17" t="n">
        <v>3013</v>
      </c>
      <c r="C51" s="18">
        <f>(2690.0/B51*100)</f>
        <v/>
      </c>
      <c r="D51" s="19" t="n">
        <v>323</v>
      </c>
      <c r="E51" s="18" t="n">
        <v>52.11989485</v>
      </c>
      <c r="F51" s="20" t="n">
        <v>3.15019913</v>
      </c>
      <c r="G51" s="18" t="n">
        <v>47.60219724</v>
      </c>
      <c r="H51" s="20" t="n">
        <v>3.12769507</v>
      </c>
      <c r="I51" s="18" t="n">
        <v>0</v>
      </c>
      <c r="J51" s="20" t="n">
        <v>0</v>
      </c>
      <c r="K51" s="18" t="n">
        <v>0</v>
      </c>
      <c r="L51" s="20" t="n">
        <v>0</v>
      </c>
      <c r="M51" s="18" t="n">
        <v>0</v>
      </c>
      <c r="N51" s="20" t="n">
        <v>0</v>
      </c>
      <c r="O51" s="18" t="n">
        <v>0</v>
      </c>
      <c r="P51" s="20" t="n">
        <v>0</v>
      </c>
      <c r="Q51" s="18" t="n">
        <v>0.2779079</v>
      </c>
      <c r="R51" s="20" t="n">
        <v>0.27991508</v>
      </c>
    </row>
    <row r="52" spans="1:18">
      <c r="A52" s="15" t="s">
        <v>611</v>
      </c>
      <c r="B52" s="17" t="n">
        <v>2760</v>
      </c>
      <c r="C52" s="18">
        <f>(2460.0/B52*100)</f>
        <v/>
      </c>
      <c r="D52" s="19" t="n">
        <v>300</v>
      </c>
      <c r="E52" s="18" t="n">
        <v>53.42360763</v>
      </c>
      <c r="F52" s="20" t="n">
        <v>3.01541226</v>
      </c>
      <c r="G52" s="18" t="n">
        <v>45.93548103</v>
      </c>
      <c r="H52" s="20" t="n">
        <v>3.01786026</v>
      </c>
      <c r="I52" s="18" t="n">
        <v>0</v>
      </c>
      <c r="J52" s="20" t="n">
        <v>0</v>
      </c>
      <c r="K52" s="18" t="n">
        <v>0.6409113400000001</v>
      </c>
      <c r="L52" s="20" t="n">
        <v>0.45819082</v>
      </c>
      <c r="M52" s="18" t="n">
        <v>0</v>
      </c>
      <c r="N52" s="20" t="n">
        <v>0</v>
      </c>
      <c r="O52" s="18" t="n">
        <v>0</v>
      </c>
      <c r="P52" s="20" t="n">
        <v>0</v>
      </c>
      <c r="Q52" s="18" t="n">
        <v>0</v>
      </c>
      <c r="R52" s="20" t="n">
        <v>0</v>
      </c>
    </row>
    <row r="53" spans="1:18">
      <c r="A53" s="15" t="s">
        <v>612</v>
      </c>
      <c r="B53" s="17" t="n">
        <v>2474</v>
      </c>
      <c r="C53" s="18">
        <f>(2194.0/B53*100)</f>
        <v/>
      </c>
      <c r="D53" s="19" t="n">
        <v>280</v>
      </c>
      <c r="E53" s="18" t="n">
        <v>63.67855708</v>
      </c>
      <c r="F53" s="20" t="n">
        <v>2.88847546</v>
      </c>
      <c r="G53" s="18" t="n">
        <v>22.46771356</v>
      </c>
      <c r="H53" s="20" t="n">
        <v>2.44700407</v>
      </c>
      <c r="I53" s="18" t="n">
        <v>0</v>
      </c>
      <c r="J53" s="20" t="n">
        <v>0</v>
      </c>
      <c r="K53" s="18" t="n">
        <v>13.21559406</v>
      </c>
      <c r="L53" s="20" t="n">
        <v>2.58452655</v>
      </c>
      <c r="M53" s="18" t="n">
        <v>0</v>
      </c>
      <c r="N53" s="20" t="n">
        <v>0</v>
      </c>
      <c r="O53" s="18" t="n">
        <v>0</v>
      </c>
      <c r="P53" s="20" t="n">
        <v>0</v>
      </c>
      <c r="Q53" s="18" t="n">
        <v>0.6381353</v>
      </c>
      <c r="R53" s="20" t="n">
        <v>0.45399381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(2393.0/B55*100)</f>
        <v/>
      </c>
      <c r="D55" s="19" t="n">
        <v>282</v>
      </c>
      <c r="E55" s="18" t="n">
        <v>37.06936102</v>
      </c>
      <c r="F55" s="20" t="n">
        <v>3.26275821</v>
      </c>
      <c r="G55" s="18" t="n">
        <v>62.65778995</v>
      </c>
      <c r="H55" s="20" t="n">
        <v>3.24671571</v>
      </c>
      <c r="I55" s="18" t="n">
        <v>0</v>
      </c>
      <c r="J55" s="20" t="n">
        <v>0</v>
      </c>
      <c r="K55" s="18" t="n">
        <v>0</v>
      </c>
      <c r="L55" s="20" t="n">
        <v>0</v>
      </c>
      <c r="M55" s="18" t="n">
        <v>0</v>
      </c>
      <c r="N55" s="20" t="n">
        <v>0</v>
      </c>
      <c r="O55" s="18" t="n">
        <v>0</v>
      </c>
      <c r="P55" s="20" t="n">
        <v>0</v>
      </c>
      <c r="Q55" s="18" t="n">
        <v>0.27284904</v>
      </c>
      <c r="R55" s="20" t="n">
        <v>0.27381383</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(2855.0/B61*100)</f>
        <v/>
      </c>
      <c r="D61" s="19" t="n">
        <v>346</v>
      </c>
      <c r="E61" s="18" t="n">
        <v>54.77751026</v>
      </c>
      <c r="F61" s="20" t="n">
        <v>2.34477056</v>
      </c>
      <c r="G61" s="18" t="n">
        <v>44.41946686</v>
      </c>
      <c r="H61" s="20" t="n">
        <v>2.35352976</v>
      </c>
      <c r="I61" s="18" t="n">
        <v>0</v>
      </c>
      <c r="J61" s="20" t="n">
        <v>0</v>
      </c>
      <c r="K61" s="18" t="n">
        <v>0.80302288</v>
      </c>
      <c r="L61" s="20" t="n">
        <v>0.79003711</v>
      </c>
      <c r="M61" s="18" t="n">
        <v>0</v>
      </c>
      <c r="N61" s="20" t="n">
        <v>0</v>
      </c>
      <c r="O61" s="18" t="n">
        <v>0</v>
      </c>
      <c r="P61" s="20" t="n">
        <v>0</v>
      </c>
      <c r="Q61" s="18" t="n">
        <v>0</v>
      </c>
      <c r="R61" s="20" t="n">
        <v>0</v>
      </c>
    </row>
    <row r="62" spans="1:18">
      <c r="A62" s="15" t="s">
        <v>622</v>
      </c>
      <c r="B62" s="17" t="n">
        <v>2230</v>
      </c>
      <c r="C62" s="18">
        <f>(1961.0/B62*100)</f>
        <v/>
      </c>
      <c r="D62" s="19" t="n">
        <v>269</v>
      </c>
      <c r="E62" s="18" t="n">
        <v>43.81466324</v>
      </c>
      <c r="F62" s="20" t="n">
        <v>2.82948875</v>
      </c>
      <c r="G62" s="18" t="n">
        <v>56.18533676</v>
      </c>
      <c r="H62" s="20" t="n">
        <v>2.82948875</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(2476.0/B67*100)</f>
        <v/>
      </c>
      <c r="D67" s="19" t="n">
        <v>295</v>
      </c>
      <c r="E67" s="18" t="n">
        <v>59.39920735</v>
      </c>
      <c r="F67" s="20" t="n">
        <v>3.1339544</v>
      </c>
      <c r="G67" s="18" t="n">
        <v>38.88290045</v>
      </c>
      <c r="H67" s="20" t="n">
        <v>2.98572182</v>
      </c>
      <c r="I67" s="18" t="n">
        <v>0</v>
      </c>
      <c r="J67" s="20" t="n">
        <v>0</v>
      </c>
      <c r="K67" s="18" t="n">
        <v>1.05595203</v>
      </c>
      <c r="L67" s="20" t="n">
        <v>0.61402557</v>
      </c>
      <c r="M67" s="18" t="n">
        <v>0</v>
      </c>
      <c r="N67" s="20" t="n">
        <v>0</v>
      </c>
      <c r="O67" s="18" t="n">
        <v>0</v>
      </c>
      <c r="P67" s="20" t="n">
        <v>0</v>
      </c>
      <c r="Q67" s="18" t="n">
        <v>0.66194016</v>
      </c>
      <c r="R67" s="20" t="n">
        <v>0.47075019</v>
      </c>
    </row>
    <row r="68" spans="1:18">
      <c r="A68" s="15" t="s">
        <v>628</v>
      </c>
      <c r="B68" s="17" t="n">
        <v>3460</v>
      </c>
      <c r="C68" s="18">
        <f>(3093.0/B68*100)</f>
        <v/>
      </c>
      <c r="D68" s="19" t="n">
        <v>367</v>
      </c>
      <c r="E68" s="18" t="n">
        <v>59.83254046</v>
      </c>
      <c r="F68" s="20" t="n">
        <v>2.46925969</v>
      </c>
      <c r="G68" s="18" t="n">
        <v>39.04790827</v>
      </c>
      <c r="H68" s="20" t="n">
        <v>2.50762622</v>
      </c>
      <c r="I68" s="18" t="n">
        <v>0</v>
      </c>
      <c r="J68" s="20" t="n">
        <v>0</v>
      </c>
      <c r="K68" s="18" t="n">
        <v>0.61453919</v>
      </c>
      <c r="L68" s="20" t="n">
        <v>0.43512963</v>
      </c>
      <c r="M68" s="18" t="n">
        <v>0</v>
      </c>
      <c r="N68" s="20" t="n">
        <v>0</v>
      </c>
      <c r="O68" s="18" t="n">
        <v>0</v>
      </c>
      <c r="P68" s="20" t="n">
        <v>0</v>
      </c>
      <c r="Q68" s="18" t="n">
        <v>0.50501208</v>
      </c>
      <c r="R68" s="20" t="n">
        <v>0.35584802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(5342.0/B70*100)</f>
        <v/>
      </c>
      <c r="D70" s="19" t="n">
        <v>692</v>
      </c>
      <c r="E70" s="18" t="n">
        <v>52.96026565</v>
      </c>
      <c r="F70" s="20" t="n">
        <v>2.03542223</v>
      </c>
      <c r="G70" s="18" t="n">
        <v>45.46200981</v>
      </c>
      <c r="H70" s="20" t="n">
        <v>1.98835997</v>
      </c>
      <c r="I70" s="18" t="n">
        <v>0</v>
      </c>
      <c r="J70" s="20" t="n">
        <v>0</v>
      </c>
      <c r="K70" s="18" t="n">
        <v>1.14793607</v>
      </c>
      <c r="L70" s="20" t="n">
        <v>0.45726183</v>
      </c>
      <c r="M70" s="18" t="n">
        <v>0</v>
      </c>
      <c r="N70" s="20" t="n">
        <v>0</v>
      </c>
      <c r="O70" s="18" t="n">
        <v>0</v>
      </c>
      <c r="P70" s="20" t="n">
        <v>0</v>
      </c>
      <c r="Q70" s="18" t="n">
        <v>0.42978847</v>
      </c>
      <c r="R70" s="20" t="n">
        <v>0.24863161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(2777.0/B72*100)</f>
        <v/>
      </c>
      <c r="D72" s="19" t="n">
        <v>330</v>
      </c>
      <c r="E72" s="18" t="n">
        <v>60.22551855</v>
      </c>
      <c r="F72" s="20" t="n">
        <v>2.62753289</v>
      </c>
      <c r="G72" s="18" t="n">
        <v>39.46878725</v>
      </c>
      <c r="H72" s="20" t="n">
        <v>2.63464942</v>
      </c>
      <c r="I72" s="18" t="n">
        <v>0</v>
      </c>
      <c r="J72" s="20" t="n">
        <v>0</v>
      </c>
      <c r="K72" s="18" t="n">
        <v>0</v>
      </c>
      <c r="L72" s="20" t="n">
        <v>0</v>
      </c>
      <c r="M72" s="18" t="n">
        <v>0</v>
      </c>
      <c r="N72" s="20" t="n">
        <v>0</v>
      </c>
      <c r="O72" s="18" t="n">
        <v>0</v>
      </c>
      <c r="P72" s="20" t="n">
        <v>0</v>
      </c>
      <c r="Q72" s="18" t="n">
        <v>0.3056942</v>
      </c>
      <c r="R72" s="20" t="n">
        <v>0.21099995</v>
      </c>
    </row>
    <row r="73" spans="1:18">
      <c r="A73" s="15" t="s">
        <v>633</v>
      </c>
      <c r="B73" s="17" t="n">
        <v>2973</v>
      </c>
      <c r="C73" s="18">
        <f>(2646.0/B73*100)</f>
        <v/>
      </c>
      <c r="D73" s="19" t="n">
        <v>327</v>
      </c>
      <c r="E73" s="18" t="n">
        <v>44.13468352</v>
      </c>
      <c r="F73" s="20" t="n">
        <v>2.90601425</v>
      </c>
      <c r="G73" s="18" t="n">
        <v>55.86531648</v>
      </c>
      <c r="H73" s="20" t="n">
        <v>2.90601425</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(3392.0/B74*100)</f>
        <v/>
      </c>
      <c r="D74" s="19" t="n">
        <v>427</v>
      </c>
      <c r="E74" s="18" t="n">
        <v>35.01859039</v>
      </c>
      <c r="F74" s="20" t="n">
        <v>2.69591594</v>
      </c>
      <c r="G74" s="18" t="n">
        <v>64.74616838</v>
      </c>
      <c r="H74" s="20" t="n">
        <v>2.71550712</v>
      </c>
      <c r="I74" s="18" t="n">
        <v>0</v>
      </c>
      <c r="J74" s="20" t="n">
        <v>0</v>
      </c>
      <c r="K74" s="18" t="n">
        <v>0</v>
      </c>
      <c r="L74" s="20" t="n">
        <v>0</v>
      </c>
      <c r="M74" s="18" t="n">
        <v>0</v>
      </c>
      <c r="N74" s="20" t="n">
        <v>0</v>
      </c>
      <c r="O74" s="18" t="n">
        <v>0</v>
      </c>
      <c r="P74" s="20" t="n">
        <v>0</v>
      </c>
      <c r="Q74" s="18" t="n">
        <v>0.23524122</v>
      </c>
      <c r="R74" s="20" t="n">
        <v>0.23517177</v>
      </c>
    </row>
    <row r="75" spans="1:18">
      <c r="A75" s="15" t="s">
        <v>635</v>
      </c>
      <c r="B75" s="17" t="n">
        <v>4652</v>
      </c>
      <c r="C75" s="18">
        <f>(4156.0/B75*100)</f>
        <v/>
      </c>
      <c r="D75" s="19" t="n">
        <v>496</v>
      </c>
      <c r="E75" s="18" t="n">
        <v>62.29842601</v>
      </c>
      <c r="F75" s="20" t="n">
        <v>2.80302275</v>
      </c>
      <c r="G75" s="18" t="n">
        <v>37.70157399</v>
      </c>
      <c r="H75" s="20" t="n">
        <v>2.80302275</v>
      </c>
      <c r="I75" s="18" t="n">
        <v>0</v>
      </c>
      <c r="J75" s="20" t="n">
        <v>0</v>
      </c>
      <c r="K75" s="18" t="n">
        <v>0</v>
      </c>
      <c r="L75" s="20" t="n">
        <v>0</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(2656.0/B77*100)</f>
        <v/>
      </c>
      <c r="D77" s="19" t="n">
        <v>313</v>
      </c>
      <c r="E77" s="18" t="n">
        <v>65.97311415</v>
      </c>
      <c r="F77" s="20" t="n">
        <v>2.63857149</v>
      </c>
      <c r="G77" s="18" t="n">
        <v>31.15021477</v>
      </c>
      <c r="H77" s="20" t="n">
        <v>2.38927122</v>
      </c>
      <c r="I77" s="18" t="n">
        <v>0</v>
      </c>
      <c r="J77" s="20" t="n">
        <v>0</v>
      </c>
      <c r="K77" s="18" t="n">
        <v>2.48700985</v>
      </c>
      <c r="L77" s="20" t="n">
        <v>0.90869763</v>
      </c>
      <c r="M77" s="18" t="n">
        <v>0</v>
      </c>
      <c r="N77" s="20" t="n">
        <v>0</v>
      </c>
      <c r="O77" s="18" t="n">
        <v>0</v>
      </c>
      <c r="P77" s="20" t="n">
        <v>0</v>
      </c>
      <c r="Q77" s="18" t="n">
        <v>0.38966123</v>
      </c>
      <c r="R77" s="20" t="n">
        <v>0.27857727</v>
      </c>
    </row>
    <row r="78" spans="1:18">
      <c r="A78" s="15" t="s">
        <v>638</v>
      </c>
      <c r="B78" s="17" t="n">
        <v>7115</v>
      </c>
      <c r="C78" s="18">
        <f>(6350.0/B78*100)</f>
        <v/>
      </c>
      <c r="D78" s="19" t="n">
        <v>765</v>
      </c>
      <c r="E78" s="18" t="n">
        <v>55.7563394</v>
      </c>
      <c r="F78" s="20" t="n">
        <v>2.3874811</v>
      </c>
      <c r="G78" s="18" t="n">
        <v>43.59140216</v>
      </c>
      <c r="H78" s="20" t="n">
        <v>2.39008031</v>
      </c>
      <c r="I78" s="18" t="n">
        <v>0</v>
      </c>
      <c r="J78" s="20" t="n">
        <v>0</v>
      </c>
      <c r="K78" s="18" t="n">
        <v>0.06439589</v>
      </c>
      <c r="L78" s="20" t="n">
        <v>0.06455231</v>
      </c>
      <c r="M78" s="18" t="n">
        <v>0</v>
      </c>
      <c r="N78" s="20" t="n">
        <v>0</v>
      </c>
      <c r="O78" s="18" t="n">
        <v>0</v>
      </c>
      <c r="P78" s="20" t="n">
        <v>0</v>
      </c>
      <c r="Q78" s="18" t="n">
        <v>0.58786255</v>
      </c>
      <c r="R78" s="20" t="n">
        <v>0.23654845</v>
      </c>
    </row>
    <row r="79" spans="1:18">
      <c r="A79" s="15" t="s">
        <v>639</v>
      </c>
      <c r="B79" s="17" t="n">
        <v>3154</v>
      </c>
      <c r="C79" s="18">
        <f>(2811.0/B79*100)</f>
        <v/>
      </c>
      <c r="D79" s="19" t="n">
        <v>343</v>
      </c>
      <c r="E79" s="18" t="n">
        <v>57.319882</v>
      </c>
      <c r="F79" s="20" t="n">
        <v>2.69391223</v>
      </c>
      <c r="G79" s="18" t="n">
        <v>41.47882452</v>
      </c>
      <c r="H79" s="20" t="n">
        <v>2.6433961</v>
      </c>
      <c r="I79" s="18" t="n">
        <v>0</v>
      </c>
      <c r="J79" s="20" t="n">
        <v>0</v>
      </c>
      <c r="K79" s="18" t="n">
        <v>0.66803114</v>
      </c>
      <c r="L79" s="20" t="n">
        <v>0.46147537</v>
      </c>
      <c r="M79" s="18" t="n">
        <v>0</v>
      </c>
      <c r="N79" s="20" t="n">
        <v>0</v>
      </c>
      <c r="O79" s="18" t="n">
        <v>0</v>
      </c>
      <c r="P79" s="20" t="n">
        <v>0</v>
      </c>
      <c r="Q79" s="18" t="n">
        <v>0.53326235</v>
      </c>
      <c r="R79" s="20" t="n">
        <v>0.55052484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(14176.0/B82*100)</f>
        <v/>
      </c>
      <c r="D82" s="19" t="n">
        <v>1785</v>
      </c>
      <c r="E82" s="18" t="n">
        <v>45.54472908</v>
      </c>
      <c r="F82" s="20" t="n">
        <v>1.7065977</v>
      </c>
      <c r="G82" s="18" t="n">
        <v>53.81419662</v>
      </c>
      <c r="H82" s="20" t="n">
        <v>1.75580671</v>
      </c>
      <c r="I82" s="18" t="n">
        <v>0</v>
      </c>
      <c r="J82" s="20" t="n">
        <v>0</v>
      </c>
      <c r="K82" s="18" t="n">
        <v>0.35253611</v>
      </c>
      <c r="L82" s="20" t="n">
        <v>0.25071603</v>
      </c>
      <c r="M82" s="18" t="n">
        <v>0</v>
      </c>
      <c r="N82" s="20" t="n">
        <v>0</v>
      </c>
      <c r="O82" s="18" t="n">
        <v>0</v>
      </c>
      <c r="P82" s="20" t="n">
        <v>0</v>
      </c>
      <c r="Q82" s="18" t="n">
        <v>0.28853819</v>
      </c>
      <c r="R82" s="20" t="n">
        <v>0.11138007</v>
      </c>
    </row>
    <row r="83" spans="1:18">
      <c r="A83" s="15" t="s">
        <v>643</v>
      </c>
      <c r="B83" s="17" t="n">
        <v>808</v>
      </c>
      <c r="C83" s="18">
        <f>(707.0/B83*100)</f>
        <v/>
      </c>
      <c r="D83" s="19" t="n">
        <v>101</v>
      </c>
      <c r="E83" s="18" t="n">
        <v>48.37654616</v>
      </c>
      <c r="F83" s="20" t="n">
        <v>4.8823335</v>
      </c>
      <c r="G83" s="18" t="n">
        <v>50.76307163</v>
      </c>
      <c r="H83" s="20" t="n">
        <v>4.80580332</v>
      </c>
      <c r="I83" s="18" t="n">
        <v>0</v>
      </c>
      <c r="J83" s="20" t="n">
        <v>0</v>
      </c>
      <c r="K83" s="18" t="n">
        <v>0</v>
      </c>
      <c r="L83" s="20" t="n">
        <v>0</v>
      </c>
      <c r="M83" s="18" t="n">
        <v>0</v>
      </c>
      <c r="N83" s="20" t="n">
        <v>0</v>
      </c>
      <c r="O83" s="18" t="n">
        <v>0</v>
      </c>
      <c r="P83" s="20" t="n">
        <v>0</v>
      </c>
      <c r="Q83" s="18" t="n">
        <v>0.86038221</v>
      </c>
      <c r="R83" s="20" t="n">
        <v>0.61277669</v>
      </c>
    </row>
    <row r="84" spans="1:18">
      <c r="A84" s="23" t="s">
        <v>644</v>
      </c>
      <c r="B84" s="24" t="n">
        <v>938</v>
      </c>
      <c r="C84" s="25">
        <f>(834.0/B84*100)</f>
        <v/>
      </c>
      <c r="D84" s="19" t="n">
        <v>104</v>
      </c>
      <c r="E84" s="18" t="n">
        <v>42.30186005</v>
      </c>
      <c r="F84" s="20" t="n">
        <v>4.78449446</v>
      </c>
      <c r="G84" s="18" t="n">
        <v>57.69813995</v>
      </c>
      <c r="H84" s="20" t="n">
        <v>4.78449446</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(6377.0/B7*100)</f>
        <v/>
      </c>
      <c r="D7" s="19" t="n">
        <v>786</v>
      </c>
      <c r="E7" s="18" t="n">
        <v>48.72208927</v>
      </c>
      <c r="F7" s="20" t="n">
        <v>1.85287865</v>
      </c>
      <c r="G7" s="18" t="n">
        <v>51.02493391</v>
      </c>
      <c r="H7" s="20" t="n">
        <v>1.8762228</v>
      </c>
      <c r="I7" s="18" t="n">
        <v>0</v>
      </c>
      <c r="J7" s="20" t="n">
        <v>0</v>
      </c>
      <c r="K7" s="18" t="n">
        <v>0.03178416</v>
      </c>
      <c r="L7" s="20" t="n">
        <v>0.02367025</v>
      </c>
      <c r="M7" s="18" t="n">
        <v>0</v>
      </c>
      <c r="N7" s="20" t="n">
        <v>0</v>
      </c>
      <c r="O7" s="18" t="n">
        <v>0</v>
      </c>
      <c r="P7" s="20" t="n">
        <v>0</v>
      </c>
      <c r="Q7" s="18" t="n">
        <v>0.22119266</v>
      </c>
      <c r="R7" s="20" t="n">
        <v>0.14539684</v>
      </c>
    </row>
    <row r="8" spans="1:18">
      <c r="A8" s="15" t="s">
        <v>566</v>
      </c>
      <c r="B8" s="17" t="n">
        <v>3443</v>
      </c>
      <c r="C8" s="18">
        <f>(3088.0/B8*100)</f>
        <v/>
      </c>
      <c r="D8" s="19" t="n">
        <v>355</v>
      </c>
      <c r="E8" s="18" t="n">
        <v>48.53876458</v>
      </c>
      <c r="F8" s="20" t="n">
        <v>2.90835913</v>
      </c>
      <c r="G8" s="18" t="n">
        <v>51.09599471</v>
      </c>
      <c r="H8" s="20" t="n">
        <v>2.96955681</v>
      </c>
      <c r="I8" s="18" t="n">
        <v>0</v>
      </c>
      <c r="J8" s="20" t="n">
        <v>0</v>
      </c>
      <c r="K8" s="18" t="n">
        <v>0.10302582</v>
      </c>
      <c r="L8" s="20" t="n">
        <v>0.10255822</v>
      </c>
      <c r="M8" s="18" t="n">
        <v>0</v>
      </c>
      <c r="N8" s="20" t="n">
        <v>0</v>
      </c>
      <c r="O8" s="18" t="n">
        <v>0</v>
      </c>
      <c r="P8" s="20" t="n">
        <v>0</v>
      </c>
      <c r="Q8" s="18" t="n">
        <v>0.26221489</v>
      </c>
      <c r="R8" s="20" t="n">
        <v>0.26407121</v>
      </c>
    </row>
    <row r="9" spans="1:18">
      <c r="A9" s="15" t="s">
        <v>567</v>
      </c>
      <c r="B9" s="17" t="n">
        <v>4752</v>
      </c>
      <c r="C9" s="18">
        <f>(4241.0/B9*100)</f>
        <v/>
      </c>
      <c r="D9" s="19" t="n">
        <v>511</v>
      </c>
      <c r="E9" s="18" t="n">
        <v>51.16775119</v>
      </c>
      <c r="F9" s="20" t="n">
        <v>2.43189052</v>
      </c>
      <c r="G9" s="18" t="n">
        <v>48.15608724</v>
      </c>
      <c r="H9" s="20" t="n">
        <v>2.42950553</v>
      </c>
      <c r="I9" s="18" t="n">
        <v>0</v>
      </c>
      <c r="J9" s="20" t="n">
        <v>0</v>
      </c>
      <c r="K9" s="18" t="n">
        <v>0</v>
      </c>
      <c r="L9" s="20" t="n">
        <v>0</v>
      </c>
      <c r="M9" s="18" t="n">
        <v>0</v>
      </c>
      <c r="N9" s="20" t="n">
        <v>0</v>
      </c>
      <c r="O9" s="18" t="n">
        <v>0</v>
      </c>
      <c r="P9" s="20" t="n">
        <v>0</v>
      </c>
      <c r="Q9" s="18" t="n">
        <v>0.67616157</v>
      </c>
      <c r="R9" s="20" t="n">
        <v>0.42944599</v>
      </c>
    </row>
    <row r="10" spans="1:18">
      <c r="A10" s="15" t="s">
        <v>568</v>
      </c>
      <c r="B10" s="17" t="n">
        <v>10022</v>
      </c>
      <c r="C10" s="18">
        <f>(8895.0/B10*100)</f>
        <v/>
      </c>
      <c r="D10" s="19" t="n">
        <v>1127</v>
      </c>
      <c r="E10" s="18" t="n">
        <v>39.762702</v>
      </c>
      <c r="F10" s="20" t="n">
        <v>2.75757881</v>
      </c>
      <c r="G10" s="18" t="n">
        <v>58.71355145</v>
      </c>
      <c r="H10" s="20" t="n">
        <v>2.7195238</v>
      </c>
      <c r="I10" s="18" t="n">
        <v>0</v>
      </c>
      <c r="J10" s="20" t="n">
        <v>0</v>
      </c>
      <c r="K10" s="18" t="n">
        <v>0.60714591</v>
      </c>
      <c r="L10" s="20" t="n">
        <v>0.33012174</v>
      </c>
      <c r="M10" s="18" t="n">
        <v>0</v>
      </c>
      <c r="N10" s="20" t="n">
        <v>0</v>
      </c>
      <c r="O10" s="18" t="n">
        <v>0</v>
      </c>
      <c r="P10" s="20" t="n">
        <v>0</v>
      </c>
      <c r="Q10" s="18" t="n">
        <v>0.91660064</v>
      </c>
      <c r="R10" s="20" t="n">
        <v>0.37953356</v>
      </c>
    </row>
    <row r="11" spans="1:18">
      <c r="A11" s="15" t="s">
        <v>569</v>
      </c>
      <c r="B11" s="17" t="n">
        <v>3500</v>
      </c>
      <c r="C11" s="18">
        <f>(3092.0/B11*100)</f>
        <v/>
      </c>
      <c r="D11" s="19" t="n">
        <v>408</v>
      </c>
      <c r="E11" s="18" t="n">
        <v>61.51029214</v>
      </c>
      <c r="F11" s="20" t="n">
        <v>2.8625211</v>
      </c>
      <c r="G11" s="18" t="n">
        <v>35.90422619</v>
      </c>
      <c r="H11" s="20" t="n">
        <v>2.90698905</v>
      </c>
      <c r="I11" s="18" t="n">
        <v>0</v>
      </c>
      <c r="J11" s="20" t="n">
        <v>0</v>
      </c>
      <c r="K11" s="18" t="n">
        <v>1.45003307</v>
      </c>
      <c r="L11" s="20" t="n">
        <v>0.78763793</v>
      </c>
      <c r="M11" s="18" t="n">
        <v>0</v>
      </c>
      <c r="N11" s="20" t="n">
        <v>0</v>
      </c>
      <c r="O11" s="18" t="n">
        <v>0</v>
      </c>
      <c r="P11" s="20" t="n">
        <v>0</v>
      </c>
      <c r="Q11" s="18" t="n">
        <v>1.1354486</v>
      </c>
      <c r="R11" s="20" t="n">
        <v>0.50333618</v>
      </c>
    </row>
    <row r="12" spans="1:18">
      <c r="A12" s="15" t="s">
        <v>570</v>
      </c>
      <c r="B12" s="17" t="n">
        <v>3422</v>
      </c>
      <c r="C12" s="18">
        <f>(3034.0/B12*100)</f>
        <v/>
      </c>
      <c r="D12" s="19" t="n">
        <v>388</v>
      </c>
      <c r="E12" s="18" t="n">
        <v>50.449272</v>
      </c>
      <c r="F12" s="20" t="n">
        <v>2.95456336</v>
      </c>
      <c r="G12" s="18" t="n">
        <v>49.16523087</v>
      </c>
      <c r="H12" s="20" t="n">
        <v>2.93536522</v>
      </c>
      <c r="I12" s="18" t="n">
        <v>0</v>
      </c>
      <c r="J12" s="20" t="n">
        <v>0</v>
      </c>
      <c r="K12" s="18" t="n">
        <v>0</v>
      </c>
      <c r="L12" s="20" t="n">
        <v>0</v>
      </c>
      <c r="M12" s="18" t="n">
        <v>0</v>
      </c>
      <c r="N12" s="20" t="n">
        <v>0</v>
      </c>
      <c r="O12" s="18" t="n">
        <v>0</v>
      </c>
      <c r="P12" s="20" t="n">
        <v>0</v>
      </c>
      <c r="Q12" s="18" t="n">
        <v>0.38549712</v>
      </c>
      <c r="R12" s="20" t="n">
        <v>0.28541202</v>
      </c>
    </row>
    <row r="13" spans="1:18">
      <c r="A13" s="15" t="s">
        <v>571</v>
      </c>
      <c r="B13" s="17" t="n">
        <v>3602</v>
      </c>
      <c r="C13" s="18">
        <f>(3253.0/B13*100)</f>
        <v/>
      </c>
      <c r="D13" s="19" t="n">
        <v>349</v>
      </c>
      <c r="E13" s="18" t="n">
        <v>53.17208503</v>
      </c>
      <c r="F13" s="20" t="n">
        <v>2.80573745</v>
      </c>
      <c r="G13" s="18" t="n">
        <v>45.54902079</v>
      </c>
      <c r="H13" s="20" t="n">
        <v>2.84923583</v>
      </c>
      <c r="I13" s="18" t="n">
        <v>0</v>
      </c>
      <c r="J13" s="20" t="n">
        <v>0</v>
      </c>
      <c r="K13" s="18" t="n">
        <v>0.95926988</v>
      </c>
      <c r="L13" s="20" t="n">
        <v>0.60960887</v>
      </c>
      <c r="M13" s="18" t="n">
        <v>0</v>
      </c>
      <c r="N13" s="20" t="n">
        <v>0</v>
      </c>
      <c r="O13" s="18" t="n">
        <v>0</v>
      </c>
      <c r="P13" s="20" t="n">
        <v>0</v>
      </c>
      <c r="Q13" s="18" t="n">
        <v>0.31962429</v>
      </c>
      <c r="R13" s="20" t="n">
        <v>0.27934773</v>
      </c>
    </row>
    <row r="14" spans="1:18">
      <c r="A14" s="15" t="s">
        <v>572</v>
      </c>
      <c r="B14" s="17" t="n">
        <v>2788</v>
      </c>
      <c r="C14" s="18">
        <f>(2469.0/B14*100)</f>
        <v/>
      </c>
      <c r="D14" s="19" t="n">
        <v>319</v>
      </c>
      <c r="E14" s="18" t="n">
        <v>47.5498626</v>
      </c>
      <c r="F14" s="20" t="n">
        <v>3.11667042</v>
      </c>
      <c r="G14" s="18" t="n">
        <v>51.71320182</v>
      </c>
      <c r="H14" s="20" t="n">
        <v>3.05095722</v>
      </c>
      <c r="I14" s="18" t="n">
        <v>0</v>
      </c>
      <c r="J14" s="20" t="n">
        <v>0</v>
      </c>
      <c r="K14" s="18" t="n">
        <v>0</v>
      </c>
      <c r="L14" s="20" t="n">
        <v>0</v>
      </c>
      <c r="M14" s="18" t="n">
        <v>0</v>
      </c>
      <c r="N14" s="20" t="n">
        <v>0</v>
      </c>
      <c r="O14" s="18" t="n">
        <v>0</v>
      </c>
      <c r="P14" s="20" t="n">
        <v>0</v>
      </c>
      <c r="Q14" s="18" t="n">
        <v>0.73693558</v>
      </c>
      <c r="R14" s="20" t="n">
        <v>0.71874192</v>
      </c>
    </row>
    <row r="15" spans="1:18">
      <c r="A15" s="15" t="s">
        <v>573</v>
      </c>
      <c r="B15" s="17" t="n">
        <v>2863</v>
      </c>
      <c r="C15" s="18">
        <f>(2538.0/B15*100)</f>
        <v/>
      </c>
      <c r="D15" s="19" t="n">
        <v>325</v>
      </c>
      <c r="E15" s="18" t="n">
        <v>25.73493135</v>
      </c>
      <c r="F15" s="20" t="n">
        <v>2.43633082</v>
      </c>
      <c r="G15" s="18" t="n">
        <v>74.26506865</v>
      </c>
      <c r="H15" s="20" t="n">
        <v>2.43633082</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(2751.0/B16*100)</f>
        <v/>
      </c>
      <c r="D16" s="19" t="n">
        <v>360</v>
      </c>
      <c r="E16" s="18" t="n">
        <v>51.68231959</v>
      </c>
      <c r="F16" s="20" t="n">
        <v>2.78101122</v>
      </c>
      <c r="G16" s="18" t="n">
        <v>46.94022272</v>
      </c>
      <c r="H16" s="20" t="n">
        <v>2.79125614</v>
      </c>
      <c r="I16" s="18" t="n">
        <v>0</v>
      </c>
      <c r="J16" s="20" t="n">
        <v>0</v>
      </c>
      <c r="K16" s="18" t="n">
        <v>0.36541451</v>
      </c>
      <c r="L16" s="20" t="n">
        <v>0.32187853</v>
      </c>
      <c r="M16" s="18" t="n">
        <v>0</v>
      </c>
      <c r="N16" s="20" t="n">
        <v>0</v>
      </c>
      <c r="O16" s="18" t="n">
        <v>0</v>
      </c>
      <c r="P16" s="20" t="n">
        <v>0</v>
      </c>
      <c r="Q16" s="18" t="n">
        <v>1.01204318</v>
      </c>
      <c r="R16" s="20" t="n">
        <v>0.57662126</v>
      </c>
    </row>
    <row r="17" spans="1:18">
      <c r="A17" s="15" t="s">
        <v>575</v>
      </c>
      <c r="B17" s="17" t="n">
        <v>3197</v>
      </c>
      <c r="C17" s="18">
        <f>(2849.0/B17*100)</f>
        <v/>
      </c>
      <c r="D17" s="19" t="n">
        <v>348</v>
      </c>
      <c r="E17" s="18" t="n">
        <v>38.74547175</v>
      </c>
      <c r="F17" s="20" t="n">
        <v>2.10020198</v>
      </c>
      <c r="G17" s="18" t="n">
        <v>60.56407293</v>
      </c>
      <c r="H17" s="20" t="n">
        <v>2.16184693</v>
      </c>
      <c r="I17" s="18" t="n">
        <v>0</v>
      </c>
      <c r="J17" s="20" t="n">
        <v>0</v>
      </c>
      <c r="K17" s="18" t="n">
        <v>0</v>
      </c>
      <c r="L17" s="20" t="n">
        <v>0</v>
      </c>
      <c r="M17" s="18" t="n">
        <v>0</v>
      </c>
      <c r="N17" s="20" t="n">
        <v>0</v>
      </c>
      <c r="O17" s="18" t="n">
        <v>0</v>
      </c>
      <c r="P17" s="20" t="n">
        <v>0</v>
      </c>
      <c r="Q17" s="18" t="n">
        <v>0.69045531</v>
      </c>
      <c r="R17" s="20" t="n">
        <v>0.43418578</v>
      </c>
    </row>
    <row r="18" spans="1:18">
      <c r="A18" s="15" t="s">
        <v>576</v>
      </c>
      <c r="B18" s="17" t="n">
        <v>2706</v>
      </c>
      <c r="C18" s="18">
        <f>(2407.0/B18*100)</f>
        <v/>
      </c>
      <c r="D18" s="19" t="n">
        <v>299</v>
      </c>
      <c r="E18" s="18" t="n">
        <v>58.74428505</v>
      </c>
      <c r="F18" s="20" t="n">
        <v>3.1009987</v>
      </c>
      <c r="G18" s="18" t="n">
        <v>40.07137462</v>
      </c>
      <c r="H18" s="20" t="n">
        <v>2.98523326</v>
      </c>
      <c r="I18" s="18" t="n">
        <v>0</v>
      </c>
      <c r="J18" s="20" t="n">
        <v>0</v>
      </c>
      <c r="K18" s="18" t="n">
        <v>0.27585986</v>
      </c>
      <c r="L18" s="20" t="n">
        <v>0.26997879</v>
      </c>
      <c r="M18" s="18" t="n">
        <v>0</v>
      </c>
      <c r="N18" s="20" t="n">
        <v>0</v>
      </c>
      <c r="O18" s="18" t="n">
        <v>0</v>
      </c>
      <c r="P18" s="20" t="n">
        <v>0</v>
      </c>
      <c r="Q18" s="18" t="n">
        <v>0.90848047</v>
      </c>
      <c r="R18" s="20" t="n">
        <v>0.49346897</v>
      </c>
    </row>
    <row r="19" spans="1:18">
      <c r="A19" s="15" t="s">
        <v>577</v>
      </c>
      <c r="B19" s="17" t="n">
        <v>2850</v>
      </c>
      <c r="C19" s="18">
        <f>(2562.0/B19*100)</f>
        <v/>
      </c>
      <c r="D19" s="19" t="n">
        <v>288</v>
      </c>
      <c r="E19" s="18" t="n">
        <v>40.93130472</v>
      </c>
      <c r="F19" s="20" t="n">
        <v>3.1795774</v>
      </c>
      <c r="G19" s="18" t="n">
        <v>58.45615255</v>
      </c>
      <c r="H19" s="20" t="n">
        <v>3.14769102</v>
      </c>
      <c r="I19" s="18" t="n">
        <v>0</v>
      </c>
      <c r="J19" s="20" t="n">
        <v>0</v>
      </c>
      <c r="K19" s="18" t="n">
        <v>0</v>
      </c>
      <c r="L19" s="20" t="n">
        <v>0</v>
      </c>
      <c r="M19" s="18" t="n">
        <v>0</v>
      </c>
      <c r="N19" s="20" t="n">
        <v>0</v>
      </c>
      <c r="O19" s="18" t="n">
        <v>0</v>
      </c>
      <c r="P19" s="20" t="n">
        <v>0</v>
      </c>
      <c r="Q19" s="18" t="n">
        <v>0.61254273</v>
      </c>
      <c r="R19" s="20" t="n">
        <v>0.43426694</v>
      </c>
    </row>
    <row r="20" spans="1:18">
      <c r="A20" s="15" t="s">
        <v>578</v>
      </c>
      <c r="B20" s="17" t="n">
        <v>1741</v>
      </c>
      <c r="C20" s="18">
        <f>(1550.0/B20*100)</f>
        <v/>
      </c>
      <c r="D20" s="19" t="n">
        <v>191</v>
      </c>
      <c r="E20" s="18" t="n">
        <v>40.78813665</v>
      </c>
      <c r="F20" s="20" t="n">
        <v>3.90752637</v>
      </c>
      <c r="G20" s="18" t="n">
        <v>57.1380599</v>
      </c>
      <c r="H20" s="20" t="n">
        <v>3.91208268</v>
      </c>
      <c r="I20" s="18" t="n">
        <v>0</v>
      </c>
      <c r="J20" s="20" t="n">
        <v>0</v>
      </c>
      <c r="K20" s="18" t="n">
        <v>1.11232296</v>
      </c>
      <c r="L20" s="20" t="n">
        <v>0.79131733</v>
      </c>
      <c r="M20" s="18" t="n">
        <v>0</v>
      </c>
      <c r="N20" s="20" t="n">
        <v>0</v>
      </c>
      <c r="O20" s="18" t="n">
        <v>0</v>
      </c>
      <c r="P20" s="20" t="n">
        <v>0</v>
      </c>
      <c r="Q20" s="18" t="n">
        <v>0.96148048</v>
      </c>
      <c r="R20" s="20" t="n">
        <v>0.69687634</v>
      </c>
    </row>
    <row r="21" spans="1:18">
      <c r="A21" s="15" t="s">
        <v>579</v>
      </c>
      <c r="B21" s="17" t="n">
        <v>2833</v>
      </c>
      <c r="C21" s="18">
        <f>(2557.0/B21*100)</f>
        <v/>
      </c>
      <c r="D21" s="19" t="n">
        <v>276</v>
      </c>
      <c r="E21" s="18" t="n">
        <v>65.29110405</v>
      </c>
      <c r="F21" s="20" t="n">
        <v>3.41605289</v>
      </c>
      <c r="G21" s="18" t="n">
        <v>34.3956728</v>
      </c>
      <c r="H21" s="20" t="n">
        <v>3.43253829</v>
      </c>
      <c r="I21" s="18" t="n">
        <v>0</v>
      </c>
      <c r="J21" s="20" t="n">
        <v>0</v>
      </c>
      <c r="K21" s="18" t="n">
        <v>0.31322315</v>
      </c>
      <c r="L21" s="20" t="n">
        <v>0.22678196</v>
      </c>
      <c r="M21" s="18" t="n">
        <v>0</v>
      </c>
      <c r="N21" s="20" t="n">
        <v>0</v>
      </c>
      <c r="O21" s="18" t="n">
        <v>0</v>
      </c>
      <c r="P21" s="20" t="n">
        <v>0</v>
      </c>
      <c r="Q21" s="18" t="n">
        <v>0</v>
      </c>
      <c r="R21" s="20" t="n">
        <v>0</v>
      </c>
    </row>
    <row r="22" spans="1:18">
      <c r="A22" s="15" t="s">
        <v>580</v>
      </c>
      <c r="B22" s="17" t="n">
        <v>3667</v>
      </c>
      <c r="C22" s="18">
        <f>(3293.0/B22*100)</f>
        <v/>
      </c>
      <c r="D22" s="19" t="n">
        <v>374</v>
      </c>
      <c r="E22" s="18" t="n">
        <v>61.64089974</v>
      </c>
      <c r="F22" s="20" t="n">
        <v>3.0363769</v>
      </c>
      <c r="G22" s="18" t="n">
        <v>36.73276212</v>
      </c>
      <c r="H22" s="20" t="n">
        <v>2.99456665</v>
      </c>
      <c r="I22" s="18" t="n">
        <v>0</v>
      </c>
      <c r="J22" s="20" t="n">
        <v>0</v>
      </c>
      <c r="K22" s="18" t="n">
        <v>0.55203457</v>
      </c>
      <c r="L22" s="20" t="n">
        <v>0.38959971</v>
      </c>
      <c r="M22" s="18" t="n">
        <v>0</v>
      </c>
      <c r="N22" s="20" t="n">
        <v>0</v>
      </c>
      <c r="O22" s="18" t="n">
        <v>0</v>
      </c>
      <c r="P22" s="20" t="n">
        <v>0</v>
      </c>
      <c r="Q22" s="18" t="n">
        <v>1.07430357</v>
      </c>
      <c r="R22" s="20" t="n">
        <v>0.55951291</v>
      </c>
    </row>
    <row r="23" spans="1:18">
      <c r="A23" s="15" t="s">
        <v>581</v>
      </c>
      <c r="B23" s="17" t="n">
        <v>5792</v>
      </c>
      <c r="C23" s="18">
        <f>(5129.0/B23*100)</f>
        <v/>
      </c>
      <c r="D23" s="19" t="n">
        <v>663</v>
      </c>
      <c r="E23" s="18" t="n">
        <v>54.45526677</v>
      </c>
      <c r="F23" s="20" t="n">
        <v>3.05416178</v>
      </c>
      <c r="G23" s="18" t="n">
        <v>44.18864056</v>
      </c>
      <c r="H23" s="20" t="n">
        <v>2.89815726</v>
      </c>
      <c r="I23" s="18" t="n">
        <v>0</v>
      </c>
      <c r="J23" s="20" t="n">
        <v>0</v>
      </c>
      <c r="K23" s="18" t="n">
        <v>0.50615668</v>
      </c>
      <c r="L23" s="20" t="n">
        <v>0.49548697</v>
      </c>
      <c r="M23" s="18" t="n">
        <v>0</v>
      </c>
      <c r="N23" s="20" t="n">
        <v>0</v>
      </c>
      <c r="O23" s="18" t="n">
        <v>0</v>
      </c>
      <c r="P23" s="20" t="n">
        <v>0</v>
      </c>
      <c r="Q23" s="18" t="n">
        <v>0.84993599</v>
      </c>
      <c r="R23" s="20" t="n">
        <v>0.57745461</v>
      </c>
    </row>
    <row r="24" spans="1:18">
      <c r="A24" s="15" t="s">
        <v>582</v>
      </c>
      <c r="B24" s="17" t="n">
        <v>3309</v>
      </c>
      <c r="C24" s="18">
        <f>(2978.0/B24*100)</f>
        <v/>
      </c>
      <c r="D24" s="19" t="n">
        <v>331</v>
      </c>
      <c r="E24" s="18" t="n">
        <v>43.03228743</v>
      </c>
      <c r="F24" s="20" t="n">
        <v>2.72960702</v>
      </c>
      <c r="G24" s="18" t="n">
        <v>56.7957812</v>
      </c>
      <c r="H24" s="20" t="n">
        <v>2.7352694</v>
      </c>
      <c r="I24" s="18" t="n">
        <v>0</v>
      </c>
      <c r="J24" s="20" t="n">
        <v>0</v>
      </c>
      <c r="K24" s="18" t="n">
        <v>0</v>
      </c>
      <c r="L24" s="20" t="n">
        <v>0</v>
      </c>
      <c r="M24" s="18" t="n">
        <v>0</v>
      </c>
      <c r="N24" s="20" t="n">
        <v>0</v>
      </c>
      <c r="O24" s="18" t="n">
        <v>0</v>
      </c>
      <c r="P24" s="20" t="n">
        <v>0</v>
      </c>
      <c r="Q24" s="18" t="n">
        <v>0.17193137</v>
      </c>
      <c r="R24" s="20" t="n">
        <v>0.17214011</v>
      </c>
    </row>
    <row r="25" spans="1:18">
      <c r="A25" s="15" t="s">
        <v>583</v>
      </c>
      <c r="B25" s="17" t="n">
        <v>2669</v>
      </c>
      <c r="C25" s="18">
        <f>(2365.0/B25*100)</f>
        <v/>
      </c>
      <c r="D25" s="19" t="n">
        <v>304</v>
      </c>
      <c r="E25" s="18" t="n">
        <v>35.65800463</v>
      </c>
      <c r="F25" s="20" t="n">
        <v>2.88027082</v>
      </c>
      <c r="G25" s="18" t="n">
        <v>63.72168963</v>
      </c>
      <c r="H25" s="20" t="n">
        <v>2.8930484</v>
      </c>
      <c r="I25" s="18" t="n">
        <v>0</v>
      </c>
      <c r="J25" s="20" t="n">
        <v>0</v>
      </c>
      <c r="K25" s="18" t="n">
        <v>0.32488504</v>
      </c>
      <c r="L25" s="20" t="n">
        <v>0.3269345</v>
      </c>
      <c r="M25" s="18" t="n">
        <v>0</v>
      </c>
      <c r="N25" s="20" t="n">
        <v>0</v>
      </c>
      <c r="O25" s="18" t="n">
        <v>0</v>
      </c>
      <c r="P25" s="20" t="n">
        <v>0</v>
      </c>
      <c r="Q25" s="18" t="n">
        <v>0.29542069</v>
      </c>
      <c r="R25" s="20" t="n">
        <v>0.29431489</v>
      </c>
    </row>
    <row r="26" spans="1:18">
      <c r="A26" s="15" t="s">
        <v>584</v>
      </c>
      <c r="B26" s="17" t="n">
        <v>2419</v>
      </c>
      <c r="C26" s="18">
        <f>(2143.0/B26*100)</f>
        <v/>
      </c>
      <c r="D26" s="19" t="n">
        <v>276</v>
      </c>
      <c r="E26" s="18" t="n">
        <v>45.05447032</v>
      </c>
      <c r="F26" s="20" t="n">
        <v>3.18263782</v>
      </c>
      <c r="G26" s="18" t="n">
        <v>54.63355025</v>
      </c>
      <c r="H26" s="20" t="n">
        <v>3.09577523</v>
      </c>
      <c r="I26" s="18" t="n">
        <v>0</v>
      </c>
      <c r="J26" s="20" t="n">
        <v>0</v>
      </c>
      <c r="K26" s="18" t="n">
        <v>0</v>
      </c>
      <c r="L26" s="20" t="n">
        <v>0</v>
      </c>
      <c r="M26" s="18" t="n">
        <v>0</v>
      </c>
      <c r="N26" s="20" t="n">
        <v>0</v>
      </c>
      <c r="O26" s="18" t="n">
        <v>0</v>
      </c>
      <c r="P26" s="20" t="n">
        <v>0</v>
      </c>
      <c r="Q26" s="18" t="n">
        <v>0.31197943</v>
      </c>
      <c r="R26" s="20" t="n">
        <v>0.32568816</v>
      </c>
    </row>
    <row r="27" spans="1:18">
      <c r="A27" s="15" t="s">
        <v>585</v>
      </c>
      <c r="B27" s="17" t="n">
        <v>2683</v>
      </c>
      <c r="C27" s="18">
        <f>(2382.0/B27*100)</f>
        <v/>
      </c>
      <c r="D27" s="19" t="n">
        <v>301</v>
      </c>
      <c r="E27" s="18" t="n">
        <v>49.66218553</v>
      </c>
      <c r="F27" s="20" t="n">
        <v>2.95478088</v>
      </c>
      <c r="G27" s="18" t="n">
        <v>49.67842331</v>
      </c>
      <c r="H27" s="20" t="n">
        <v>2.97667461</v>
      </c>
      <c r="I27" s="18" t="n">
        <v>0</v>
      </c>
      <c r="J27" s="20" t="n">
        <v>0</v>
      </c>
      <c r="K27" s="18" t="n">
        <v>0</v>
      </c>
      <c r="L27" s="20" t="n">
        <v>0</v>
      </c>
      <c r="M27" s="18" t="n">
        <v>0</v>
      </c>
      <c r="N27" s="20" t="n">
        <v>0</v>
      </c>
      <c r="O27" s="18" t="n">
        <v>0</v>
      </c>
      <c r="P27" s="20" t="n">
        <v>0</v>
      </c>
      <c r="Q27" s="18" t="n">
        <v>0.65939117</v>
      </c>
      <c r="R27" s="20" t="n">
        <v>0.45878139</v>
      </c>
    </row>
    <row r="28" spans="1:18">
      <c r="A28" s="15" t="s">
        <v>586</v>
      </c>
      <c r="B28" s="17" t="n">
        <v>3803</v>
      </c>
      <c r="C28" s="18">
        <f>(3395.0/B28*100)</f>
        <v/>
      </c>
      <c r="D28" s="19" t="n">
        <v>408</v>
      </c>
      <c r="E28" s="18" t="n">
        <v>78.55280824</v>
      </c>
      <c r="F28" s="20" t="n">
        <v>2.32700943</v>
      </c>
      <c r="G28" s="18" t="n">
        <v>19.57153417</v>
      </c>
      <c r="H28" s="20" t="n">
        <v>2.27896798</v>
      </c>
      <c r="I28" s="18" t="n">
        <v>0</v>
      </c>
      <c r="J28" s="20" t="n">
        <v>0</v>
      </c>
      <c r="K28" s="18" t="n">
        <v>0.82899759</v>
      </c>
      <c r="L28" s="20" t="n">
        <v>0.63353938</v>
      </c>
      <c r="M28" s="18" t="n">
        <v>0</v>
      </c>
      <c r="N28" s="20" t="n">
        <v>0</v>
      </c>
      <c r="O28" s="18" t="n">
        <v>0</v>
      </c>
      <c r="P28" s="20" t="n">
        <v>0</v>
      </c>
      <c r="Q28" s="18" t="n">
        <v>1.04666</v>
      </c>
      <c r="R28" s="20" t="n">
        <v>0.55594278</v>
      </c>
    </row>
    <row r="29" spans="1:18">
      <c r="A29" s="15" t="s">
        <v>587</v>
      </c>
      <c r="B29" s="17" t="n">
        <v>2700</v>
      </c>
      <c r="C29" s="18">
        <f>(2422.0/B29*100)</f>
        <v/>
      </c>
      <c r="D29" s="19" t="n">
        <v>278</v>
      </c>
      <c r="E29" s="18" t="n">
        <v>47.3765095</v>
      </c>
      <c r="F29" s="20" t="n">
        <v>3.33544591</v>
      </c>
      <c r="G29" s="18" t="n">
        <v>52.13308794</v>
      </c>
      <c r="H29" s="20" t="n">
        <v>3.29287572</v>
      </c>
      <c r="I29" s="18" t="n">
        <v>0</v>
      </c>
      <c r="J29" s="20" t="n">
        <v>0</v>
      </c>
      <c r="K29" s="18" t="n">
        <v>0</v>
      </c>
      <c r="L29" s="20" t="n">
        <v>0</v>
      </c>
      <c r="M29" s="18" t="n">
        <v>0</v>
      </c>
      <c r="N29" s="20" t="n">
        <v>0</v>
      </c>
      <c r="O29" s="18" t="n">
        <v>0</v>
      </c>
      <c r="P29" s="20" t="n">
        <v>0</v>
      </c>
      <c r="Q29" s="18" t="n">
        <v>0.49040256</v>
      </c>
      <c r="R29" s="20" t="n">
        <v>0.4256382</v>
      </c>
    </row>
    <row r="30" spans="1:18">
      <c r="A30" s="15" t="s">
        <v>588</v>
      </c>
      <c r="B30" s="17" t="n">
        <v>2257</v>
      </c>
      <c r="C30" s="18">
        <f>(2009.0/B30*100)</f>
        <v/>
      </c>
      <c r="D30" s="19" t="n">
        <v>248</v>
      </c>
      <c r="E30" s="18" t="n">
        <v>48.91908057</v>
      </c>
      <c r="F30" s="20" t="n">
        <v>3.06415226</v>
      </c>
      <c r="G30" s="18" t="n">
        <v>49.30244719</v>
      </c>
      <c r="H30" s="20" t="n">
        <v>3.26589506</v>
      </c>
      <c r="I30" s="18" t="n">
        <v>0</v>
      </c>
      <c r="J30" s="20" t="n">
        <v>0</v>
      </c>
      <c r="K30" s="18" t="n">
        <v>0.50449391</v>
      </c>
      <c r="L30" s="20" t="n">
        <v>0.5362993</v>
      </c>
      <c r="M30" s="18" t="n">
        <v>0</v>
      </c>
      <c r="N30" s="20" t="n">
        <v>0</v>
      </c>
      <c r="O30" s="18" t="n">
        <v>0</v>
      </c>
      <c r="P30" s="20" t="n">
        <v>0</v>
      </c>
      <c r="Q30" s="18" t="n">
        <v>1.27397833</v>
      </c>
      <c r="R30" s="20" t="n">
        <v>0.9824191799999999</v>
      </c>
    </row>
    <row r="31" spans="1:18">
      <c r="A31" s="15" t="s">
        <v>589</v>
      </c>
      <c r="B31" s="17" t="n">
        <v>2706</v>
      </c>
      <c r="C31" s="18">
        <f>(2404.0/B31*100)</f>
        <v/>
      </c>
      <c r="D31" s="19" t="n">
        <v>302</v>
      </c>
      <c r="E31" s="18" t="n">
        <v>40.24291222</v>
      </c>
      <c r="F31" s="20" t="n">
        <v>2.63951522</v>
      </c>
      <c r="G31" s="18" t="n">
        <v>59.1203813</v>
      </c>
      <c r="H31" s="20" t="n">
        <v>2.60700447</v>
      </c>
      <c r="I31" s="18" t="n">
        <v>0</v>
      </c>
      <c r="J31" s="20" t="n">
        <v>0</v>
      </c>
      <c r="K31" s="18" t="n">
        <v>0.28183403</v>
      </c>
      <c r="L31" s="20" t="n">
        <v>0.28326841</v>
      </c>
      <c r="M31" s="18" t="n">
        <v>0</v>
      </c>
      <c r="N31" s="20" t="n">
        <v>0</v>
      </c>
      <c r="O31" s="18" t="n">
        <v>0</v>
      </c>
      <c r="P31" s="20" t="n">
        <v>0</v>
      </c>
      <c r="Q31" s="18" t="n">
        <v>0.35487245</v>
      </c>
      <c r="R31" s="20" t="n">
        <v>0.3256154</v>
      </c>
    </row>
    <row r="32" spans="1:18">
      <c r="A32" s="15" t="s">
        <v>590</v>
      </c>
      <c r="B32" s="17" t="n">
        <v>2209</v>
      </c>
      <c r="C32" s="18">
        <f>(1968.0/B32*100)</f>
        <v/>
      </c>
      <c r="D32" s="19" t="n">
        <v>241</v>
      </c>
      <c r="E32" s="18" t="n">
        <v>49.44654888</v>
      </c>
      <c r="F32" s="20" t="n">
        <v>3.34550971</v>
      </c>
      <c r="G32" s="18" t="n">
        <v>50.55345112</v>
      </c>
      <c r="H32" s="20" t="n">
        <v>3.34550971</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(3243.0/B33*100)</f>
        <v/>
      </c>
      <c r="D33" s="19" t="n">
        <v>408</v>
      </c>
      <c r="E33" s="18" t="n">
        <v>63.37891315</v>
      </c>
      <c r="F33" s="20" t="n">
        <v>2.48939579</v>
      </c>
      <c r="G33" s="18" t="n">
        <v>35.82611773</v>
      </c>
      <c r="H33" s="20" t="n">
        <v>2.46709678</v>
      </c>
      <c r="I33" s="18" t="n">
        <v>0</v>
      </c>
      <c r="J33" s="20" t="n">
        <v>0</v>
      </c>
      <c r="K33" s="18" t="n">
        <v>0.41276668</v>
      </c>
      <c r="L33" s="20" t="n">
        <v>0.3946423</v>
      </c>
      <c r="M33" s="18" t="n">
        <v>0</v>
      </c>
      <c r="N33" s="20" t="n">
        <v>0</v>
      </c>
      <c r="O33" s="18" t="n">
        <v>0</v>
      </c>
      <c r="P33" s="20" t="n">
        <v>0</v>
      </c>
      <c r="Q33" s="18" t="n">
        <v>0.38220244</v>
      </c>
      <c r="R33" s="20" t="n">
        <v>0.25958889</v>
      </c>
    </row>
    <row r="34" spans="1:18">
      <c r="A34" s="15" t="s">
        <v>592</v>
      </c>
      <c r="B34" s="17" t="n">
        <v>3035</v>
      </c>
      <c r="C34" s="18">
        <f>(2683.0/B34*100)</f>
        <v/>
      </c>
      <c r="D34" s="19" t="n">
        <v>352</v>
      </c>
      <c r="E34" s="18" t="n">
        <v>62.98897871</v>
      </c>
      <c r="F34" s="20" t="n">
        <v>2.59202218</v>
      </c>
      <c r="G34" s="18" t="n">
        <v>36.12147232</v>
      </c>
      <c r="H34" s="20" t="n">
        <v>2.5115127</v>
      </c>
      <c r="I34" s="18" t="n">
        <v>0</v>
      </c>
      <c r="J34" s="20" t="n">
        <v>0</v>
      </c>
      <c r="K34" s="18" t="n">
        <v>0</v>
      </c>
      <c r="L34" s="20" t="n">
        <v>0</v>
      </c>
      <c r="M34" s="18" t="n">
        <v>0</v>
      </c>
      <c r="N34" s="20" t="n">
        <v>0</v>
      </c>
      <c r="O34" s="18" t="n">
        <v>0</v>
      </c>
      <c r="P34" s="20" t="n">
        <v>0</v>
      </c>
      <c r="Q34" s="18" t="n">
        <v>0.8895489600000001</v>
      </c>
      <c r="R34" s="20" t="n">
        <v>0.53317868</v>
      </c>
    </row>
    <row r="35" spans="1:18">
      <c r="A35" s="15" t="s">
        <v>593</v>
      </c>
      <c r="B35" s="17" t="n">
        <v>2901</v>
      </c>
      <c r="C35" s="18">
        <f>(2574.0/B35*100)</f>
        <v/>
      </c>
      <c r="D35" s="19" t="n">
        <v>327</v>
      </c>
      <c r="E35" s="18" t="n">
        <v>53.50432963</v>
      </c>
      <c r="F35" s="20" t="n">
        <v>3.28619246</v>
      </c>
      <c r="G35" s="18" t="n">
        <v>46.33530231</v>
      </c>
      <c r="H35" s="20" t="n">
        <v>3.27216669</v>
      </c>
      <c r="I35" s="18" t="n">
        <v>0</v>
      </c>
      <c r="J35" s="20" t="n">
        <v>0</v>
      </c>
      <c r="K35" s="18" t="n">
        <v>0.16036806</v>
      </c>
      <c r="L35" s="20" t="n">
        <v>0.15974908</v>
      </c>
      <c r="M35" s="18" t="n">
        <v>0</v>
      </c>
      <c r="N35" s="20" t="n">
        <v>0</v>
      </c>
      <c r="O35" s="18" t="n">
        <v>0</v>
      </c>
      <c r="P35" s="20" t="n">
        <v>0</v>
      </c>
      <c r="Q35" s="18" t="n">
        <v>0</v>
      </c>
      <c r="R35" s="20" t="n">
        <v>0</v>
      </c>
    </row>
    <row r="36" spans="1:18">
      <c r="A36" s="15" t="s">
        <v>594</v>
      </c>
      <c r="B36" s="17" t="n">
        <v>3404</v>
      </c>
      <c r="C36" s="18">
        <f>(2996.0/B36*100)</f>
        <v/>
      </c>
      <c r="D36" s="19" t="n">
        <v>408</v>
      </c>
      <c r="E36" s="18" t="n">
        <v>53.67016593</v>
      </c>
      <c r="F36" s="20" t="n">
        <v>2.51339075</v>
      </c>
      <c r="G36" s="18" t="n">
        <v>44.76137199</v>
      </c>
      <c r="H36" s="20" t="n">
        <v>2.54327069</v>
      </c>
      <c r="I36" s="18" t="n">
        <v>0</v>
      </c>
      <c r="J36" s="20" t="n">
        <v>0</v>
      </c>
      <c r="K36" s="18" t="n">
        <v>0.31456964</v>
      </c>
      <c r="L36" s="20" t="n">
        <v>0.25961001</v>
      </c>
      <c r="M36" s="18" t="n">
        <v>0</v>
      </c>
      <c r="N36" s="20" t="n">
        <v>0</v>
      </c>
      <c r="O36" s="18" t="n">
        <v>0</v>
      </c>
      <c r="P36" s="20" t="n">
        <v>0</v>
      </c>
      <c r="Q36" s="18" t="n">
        <v>1.25389244</v>
      </c>
      <c r="R36" s="20" t="n">
        <v>0.52909918</v>
      </c>
    </row>
    <row r="37" spans="1:18">
      <c r="A37" s="15" t="s">
        <v>595</v>
      </c>
      <c r="B37" s="17" t="n">
        <v>2731</v>
      </c>
      <c r="C37" s="18">
        <f>(2430.0/B37*100)</f>
        <v/>
      </c>
      <c r="D37" s="19" t="n">
        <v>301</v>
      </c>
      <c r="E37" s="18" t="n">
        <v>37.93953295</v>
      </c>
      <c r="F37" s="20" t="n">
        <v>2.44323413</v>
      </c>
      <c r="G37" s="18" t="n">
        <v>61.49211662</v>
      </c>
      <c r="H37" s="20" t="n">
        <v>2.44857489</v>
      </c>
      <c r="I37" s="18" t="n">
        <v>0</v>
      </c>
      <c r="J37" s="20" t="n">
        <v>0</v>
      </c>
      <c r="K37" s="18" t="n">
        <v>0</v>
      </c>
      <c r="L37" s="20" t="n">
        <v>0</v>
      </c>
      <c r="M37" s="18" t="n">
        <v>0</v>
      </c>
      <c r="N37" s="20" t="n">
        <v>0</v>
      </c>
      <c r="O37" s="18" t="n">
        <v>0</v>
      </c>
      <c r="P37" s="20" t="n">
        <v>0</v>
      </c>
      <c r="Q37" s="18" t="n">
        <v>0.56835043</v>
      </c>
      <c r="R37" s="20" t="n">
        <v>0.41957786</v>
      </c>
    </row>
    <row r="38" spans="1:18">
      <c r="A38" s="15" t="s">
        <v>596</v>
      </c>
      <c r="B38" s="17" t="n">
        <v>2807</v>
      </c>
      <c r="C38" s="18">
        <f>(2496.0/B38*100)</f>
        <v/>
      </c>
      <c r="D38" s="19" t="n">
        <v>311</v>
      </c>
      <c r="E38" s="18" t="n">
        <v>52.37175889</v>
      </c>
      <c r="F38" s="20" t="n">
        <v>3.4201958</v>
      </c>
      <c r="G38" s="18" t="n">
        <v>47.27746299</v>
      </c>
      <c r="H38" s="20" t="n">
        <v>3.40771278</v>
      </c>
      <c r="I38" s="18" t="n">
        <v>0</v>
      </c>
      <c r="J38" s="20" t="n">
        <v>0</v>
      </c>
      <c r="K38" s="18" t="n">
        <v>0</v>
      </c>
      <c r="L38" s="20" t="n">
        <v>0</v>
      </c>
      <c r="M38" s="18" t="n">
        <v>0</v>
      </c>
      <c r="N38" s="20" t="n">
        <v>0</v>
      </c>
      <c r="O38" s="18" t="n">
        <v>0</v>
      </c>
      <c r="P38" s="20" t="n">
        <v>0</v>
      </c>
      <c r="Q38" s="18" t="n">
        <v>0.35077812</v>
      </c>
      <c r="R38" s="20" t="n">
        <v>0.35134177</v>
      </c>
    </row>
    <row r="39" spans="1:18">
      <c r="A39" s="15" t="s">
        <v>597</v>
      </c>
      <c r="B39" s="17" t="n">
        <v>2938</v>
      </c>
      <c r="C39" s="18">
        <f>(2633.0/B39*100)</f>
        <v/>
      </c>
      <c r="D39" s="19" t="n">
        <v>305</v>
      </c>
      <c r="E39" s="18" t="n">
        <v>63.24489696</v>
      </c>
      <c r="F39" s="20" t="n">
        <v>2.73420072</v>
      </c>
      <c r="G39" s="18" t="n">
        <v>35.99174569</v>
      </c>
      <c r="H39" s="20" t="n">
        <v>2.83190752</v>
      </c>
      <c r="I39" s="18" t="n">
        <v>0</v>
      </c>
      <c r="J39" s="20" t="n">
        <v>0</v>
      </c>
      <c r="K39" s="18" t="n">
        <v>0</v>
      </c>
      <c r="L39" s="20" t="n">
        <v>0</v>
      </c>
      <c r="M39" s="18" t="n">
        <v>0</v>
      </c>
      <c r="N39" s="20" t="n">
        <v>0</v>
      </c>
      <c r="O39" s="18" t="n">
        <v>0</v>
      </c>
      <c r="P39" s="20" t="n">
        <v>0</v>
      </c>
      <c r="Q39" s="18" t="n">
        <v>0.76335736</v>
      </c>
      <c r="R39" s="20" t="n">
        <v>0.63179618</v>
      </c>
    </row>
    <row r="40" spans="1:18">
      <c r="A40" s="15" t="s">
        <v>598</v>
      </c>
      <c r="B40" s="17" t="n">
        <v>6922</v>
      </c>
      <c r="C40" s="18">
        <f>(6132.0/B40*100)</f>
        <v/>
      </c>
      <c r="D40" s="19" t="n">
        <v>790</v>
      </c>
      <c r="E40" s="18" t="n">
        <v>56.15911961</v>
      </c>
      <c r="F40" s="20" t="n">
        <v>2.69795543</v>
      </c>
      <c r="G40" s="18" t="n">
        <v>42.95948902</v>
      </c>
      <c r="H40" s="20" t="n">
        <v>2.6842247</v>
      </c>
      <c r="I40" s="18" t="n">
        <v>0</v>
      </c>
      <c r="J40" s="20" t="n">
        <v>0</v>
      </c>
      <c r="K40" s="18" t="n">
        <v>0.07348659</v>
      </c>
      <c r="L40" s="20" t="n">
        <v>0.05883575</v>
      </c>
      <c r="M40" s="18" t="n">
        <v>0</v>
      </c>
      <c r="N40" s="20" t="n">
        <v>0</v>
      </c>
      <c r="O40" s="18" t="n">
        <v>0</v>
      </c>
      <c r="P40" s="20" t="n">
        <v>0</v>
      </c>
      <c r="Q40" s="18" t="n">
        <v>0.80790478</v>
      </c>
      <c r="R40" s="20" t="n">
        <v>0.40789872</v>
      </c>
    </row>
    <row r="41" spans="1:18">
      <c r="A41" s="15" t="s">
        <v>599</v>
      </c>
      <c r="B41" s="17" t="n">
        <v>2854</v>
      </c>
      <c r="C41" s="18">
        <f>(2548.0/B41*100)</f>
        <v/>
      </c>
      <c r="D41" s="19" t="n">
        <v>306</v>
      </c>
      <c r="E41" s="18" t="n">
        <v>61.74681866</v>
      </c>
      <c r="F41" s="20" t="n">
        <v>3.55049955</v>
      </c>
      <c r="G41" s="18" t="n">
        <v>37.58752256</v>
      </c>
      <c r="H41" s="20" t="n">
        <v>3.47574852</v>
      </c>
      <c r="I41" s="18" t="n">
        <v>0</v>
      </c>
      <c r="J41" s="20" t="n">
        <v>0</v>
      </c>
      <c r="K41" s="18" t="n">
        <v>0.37304106</v>
      </c>
      <c r="L41" s="20" t="n">
        <v>0.37816492</v>
      </c>
      <c r="M41" s="18" t="n">
        <v>0</v>
      </c>
      <c r="N41" s="20" t="n">
        <v>0</v>
      </c>
      <c r="O41" s="18" t="n">
        <v>0</v>
      </c>
      <c r="P41" s="20" t="n">
        <v>0</v>
      </c>
      <c r="Q41" s="18" t="n">
        <v>0.29261773</v>
      </c>
      <c r="R41" s="20" t="n">
        <v>0.29925711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(10950.0/B46*100)</f>
        <v/>
      </c>
      <c r="D46" s="19" t="n">
        <v>1123</v>
      </c>
      <c r="E46" s="18" t="n">
        <v>63.74310847</v>
      </c>
      <c r="F46" s="20" t="n">
        <v>1.49181912</v>
      </c>
      <c r="G46" s="18" t="n">
        <v>34.22749289</v>
      </c>
      <c r="H46" s="20" t="n">
        <v>1.48975116</v>
      </c>
      <c r="I46" s="18" t="n">
        <v>0</v>
      </c>
      <c r="J46" s="20" t="n">
        <v>0</v>
      </c>
      <c r="K46" s="18" t="n">
        <v>0.81178977</v>
      </c>
      <c r="L46" s="20" t="n">
        <v>0.28411813</v>
      </c>
      <c r="M46" s="18" t="n">
        <v>0</v>
      </c>
      <c r="N46" s="20" t="n">
        <v>0</v>
      </c>
      <c r="O46" s="18" t="n">
        <v>0</v>
      </c>
      <c r="P46" s="20" t="n">
        <v>0</v>
      </c>
      <c r="Q46" s="18" t="n">
        <v>1.21760887</v>
      </c>
      <c r="R46" s="20" t="n">
        <v>0.38140565</v>
      </c>
    </row>
    <row r="47" spans="1:18">
      <c r="A47" s="15" t="s">
        <v>606</v>
      </c>
      <c r="B47" s="17" t="n">
        <v>2823</v>
      </c>
      <c r="C47" s="18">
        <f>(2514.0/B47*100)</f>
        <v/>
      </c>
      <c r="D47" s="19" t="n">
        <v>309</v>
      </c>
      <c r="E47" s="18" t="n">
        <v>58.98609495</v>
      </c>
      <c r="F47" s="20" t="n">
        <v>3.00503622</v>
      </c>
      <c r="G47" s="18" t="n">
        <v>40.33311622</v>
      </c>
      <c r="H47" s="20" t="n">
        <v>3.08249298</v>
      </c>
      <c r="I47" s="18" t="n">
        <v>0</v>
      </c>
      <c r="J47" s="20" t="n">
        <v>0</v>
      </c>
      <c r="K47" s="18" t="n">
        <v>0</v>
      </c>
      <c r="L47" s="20" t="n">
        <v>0</v>
      </c>
      <c r="M47" s="18" t="n">
        <v>0</v>
      </c>
      <c r="N47" s="20" t="n">
        <v>0</v>
      </c>
      <c r="O47" s="18" t="n">
        <v>0</v>
      </c>
      <c r="P47" s="20" t="n">
        <v>0</v>
      </c>
      <c r="Q47" s="18" t="n">
        <v>0.68078884</v>
      </c>
      <c r="R47" s="20" t="n">
        <v>0.42158299</v>
      </c>
    </row>
    <row r="48" spans="1:18">
      <c r="A48" s="15" t="s">
        <v>607</v>
      </c>
      <c r="B48" s="17" t="n">
        <v>4682</v>
      </c>
      <c r="C48" s="18">
        <f>(4151.0/B48*100)</f>
        <v/>
      </c>
      <c r="D48" s="19" t="n">
        <v>531</v>
      </c>
      <c r="E48" s="18" t="n">
        <v>55.95091419</v>
      </c>
      <c r="F48" s="20" t="n">
        <v>3.34934493</v>
      </c>
      <c r="G48" s="18" t="n">
        <v>42.25555045</v>
      </c>
      <c r="H48" s="20" t="n">
        <v>3.38452798</v>
      </c>
      <c r="I48" s="18" t="n">
        <v>0</v>
      </c>
      <c r="J48" s="20" t="n">
        <v>0</v>
      </c>
      <c r="K48" s="18" t="n">
        <v>0.88964158</v>
      </c>
      <c r="L48" s="20" t="n">
        <v>0.58863368</v>
      </c>
      <c r="M48" s="18" t="n">
        <v>0</v>
      </c>
      <c r="N48" s="20" t="n">
        <v>0</v>
      </c>
      <c r="O48" s="18" t="n">
        <v>0</v>
      </c>
      <c r="P48" s="20" t="n">
        <v>0</v>
      </c>
      <c r="Q48" s="18" t="n">
        <v>0.90389379</v>
      </c>
      <c r="R48" s="20" t="n">
        <v>0.52145566</v>
      </c>
    </row>
    <row r="49" spans="1:18">
      <c r="A49" s="15" t="s">
        <v>608</v>
      </c>
      <c r="B49" s="17" t="n">
        <v>6158</v>
      </c>
      <c r="C49" s="18">
        <f>(5493.0/B49*100)</f>
        <v/>
      </c>
      <c r="D49" s="19" t="n">
        <v>665</v>
      </c>
      <c r="E49" s="18" t="n">
        <v>71.12743073</v>
      </c>
      <c r="F49" s="20" t="n">
        <v>2.22300318</v>
      </c>
      <c r="G49" s="18" t="n">
        <v>27.36947716</v>
      </c>
      <c r="H49" s="20" t="n">
        <v>2.273883</v>
      </c>
      <c r="I49" s="18" t="n">
        <v>0</v>
      </c>
      <c r="J49" s="20" t="n">
        <v>0</v>
      </c>
      <c r="K49" s="18" t="n">
        <v>0.71349306</v>
      </c>
      <c r="L49" s="20" t="n">
        <v>0.4798802</v>
      </c>
      <c r="M49" s="18" t="n">
        <v>0</v>
      </c>
      <c r="N49" s="20" t="n">
        <v>0</v>
      </c>
      <c r="O49" s="18" t="n">
        <v>0</v>
      </c>
      <c r="P49" s="20" t="n">
        <v>0</v>
      </c>
      <c r="Q49" s="18" t="n">
        <v>0.78959905</v>
      </c>
      <c r="R49" s="20" t="n">
        <v>0.37339633</v>
      </c>
    </row>
    <row r="50" spans="1:18">
      <c r="A50" s="15" t="s">
        <v>609</v>
      </c>
      <c r="B50" s="17" t="n">
        <v>3494</v>
      </c>
      <c r="C50" s="18">
        <f>(3143.0/B50*100)</f>
        <v/>
      </c>
      <c r="D50" s="19" t="n">
        <v>351</v>
      </c>
      <c r="E50" s="18" t="n">
        <v>76.0784879</v>
      </c>
      <c r="F50" s="20" t="n">
        <v>2.34451207</v>
      </c>
      <c r="G50" s="18" t="n">
        <v>22.42741785</v>
      </c>
      <c r="H50" s="20" t="n">
        <v>2.37054989</v>
      </c>
      <c r="I50" s="18" t="n">
        <v>0</v>
      </c>
      <c r="J50" s="20" t="n">
        <v>0</v>
      </c>
      <c r="K50" s="18" t="n">
        <v>0.59459639</v>
      </c>
      <c r="L50" s="20" t="n">
        <v>0.42222516</v>
      </c>
      <c r="M50" s="18" t="n">
        <v>0</v>
      </c>
      <c r="N50" s="20" t="n">
        <v>0</v>
      </c>
      <c r="O50" s="18" t="n">
        <v>0</v>
      </c>
      <c r="P50" s="20" t="n">
        <v>0</v>
      </c>
      <c r="Q50" s="18" t="n">
        <v>0.89949787</v>
      </c>
      <c r="R50" s="20" t="n">
        <v>0.54811315</v>
      </c>
    </row>
    <row r="51" spans="1:18">
      <c r="A51" s="15" t="s">
        <v>610</v>
      </c>
      <c r="B51" s="17" t="n">
        <v>3013</v>
      </c>
      <c r="C51" s="18">
        <f>(2690.0/B51*100)</f>
        <v/>
      </c>
      <c r="D51" s="19" t="n">
        <v>323</v>
      </c>
      <c r="E51" s="18" t="n">
        <v>60.97779857</v>
      </c>
      <c r="F51" s="20" t="n">
        <v>2.89567791</v>
      </c>
      <c r="G51" s="18" t="n">
        <v>37.82439738</v>
      </c>
      <c r="H51" s="20" t="n">
        <v>2.85097578</v>
      </c>
      <c r="I51" s="18" t="n">
        <v>0</v>
      </c>
      <c r="J51" s="20" t="n">
        <v>0</v>
      </c>
      <c r="K51" s="18" t="n">
        <v>0</v>
      </c>
      <c r="L51" s="20" t="n">
        <v>0</v>
      </c>
      <c r="M51" s="18" t="n">
        <v>0</v>
      </c>
      <c r="N51" s="20" t="n">
        <v>0</v>
      </c>
      <c r="O51" s="18" t="n">
        <v>0</v>
      </c>
      <c r="P51" s="20" t="n">
        <v>0</v>
      </c>
      <c r="Q51" s="18" t="n">
        <v>1.19780405</v>
      </c>
      <c r="R51" s="20" t="n">
        <v>0.59168438</v>
      </c>
    </row>
    <row r="52" spans="1:18">
      <c r="A52" s="15" t="s">
        <v>611</v>
      </c>
      <c r="B52" s="17" t="n">
        <v>2760</v>
      </c>
      <c r="C52" s="18">
        <f>(2460.0/B52*100)</f>
        <v/>
      </c>
      <c r="D52" s="19" t="n">
        <v>300</v>
      </c>
      <c r="E52" s="18" t="n">
        <v>58.38493596</v>
      </c>
      <c r="F52" s="20" t="n">
        <v>2.83011911</v>
      </c>
      <c r="G52" s="18" t="n">
        <v>40.61252475</v>
      </c>
      <c r="H52" s="20" t="n">
        <v>2.91479933</v>
      </c>
      <c r="I52" s="18" t="n">
        <v>0</v>
      </c>
      <c r="J52" s="20" t="n">
        <v>0</v>
      </c>
      <c r="K52" s="18" t="n">
        <v>1.0025393</v>
      </c>
      <c r="L52" s="20" t="n">
        <v>0.5761149</v>
      </c>
      <c r="M52" s="18" t="n">
        <v>0</v>
      </c>
      <c r="N52" s="20" t="n">
        <v>0</v>
      </c>
      <c r="O52" s="18" t="n">
        <v>0</v>
      </c>
      <c r="P52" s="20" t="n">
        <v>0</v>
      </c>
      <c r="Q52" s="18" t="n">
        <v>0</v>
      </c>
      <c r="R52" s="20" t="n">
        <v>0</v>
      </c>
    </row>
    <row r="53" spans="1:18">
      <c r="A53" s="15" t="s">
        <v>612</v>
      </c>
      <c r="B53" s="17" t="n">
        <v>2474</v>
      </c>
      <c r="C53" s="18">
        <f>(2194.0/B53*100)</f>
        <v/>
      </c>
      <c r="D53" s="19" t="n">
        <v>280</v>
      </c>
      <c r="E53" s="18" t="n">
        <v>68.33542445</v>
      </c>
      <c r="F53" s="20" t="n">
        <v>3.20113303</v>
      </c>
      <c r="G53" s="18" t="n">
        <v>14.29645093</v>
      </c>
      <c r="H53" s="20" t="n">
        <v>2.29677392</v>
      </c>
      <c r="I53" s="18" t="n">
        <v>0</v>
      </c>
      <c r="J53" s="20" t="n">
        <v>0</v>
      </c>
      <c r="K53" s="18" t="n">
        <v>15.07562488</v>
      </c>
      <c r="L53" s="20" t="n">
        <v>2.78233103</v>
      </c>
      <c r="M53" s="18" t="n">
        <v>0</v>
      </c>
      <c r="N53" s="20" t="n">
        <v>0</v>
      </c>
      <c r="O53" s="18" t="n">
        <v>0</v>
      </c>
      <c r="P53" s="20" t="n">
        <v>0</v>
      </c>
      <c r="Q53" s="18" t="n">
        <v>2.29249974</v>
      </c>
      <c r="R53" s="20" t="n">
        <v>0.70297916</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(2393.0/B55*100)</f>
        <v/>
      </c>
      <c r="D55" s="19" t="n">
        <v>282</v>
      </c>
      <c r="E55" s="18" t="n">
        <v>39.73470555</v>
      </c>
      <c r="F55" s="20" t="n">
        <v>2.63228977</v>
      </c>
      <c r="G55" s="18" t="n">
        <v>60.26529445</v>
      </c>
      <c r="H55" s="20" t="n">
        <v>2.63228977</v>
      </c>
      <c r="I55" s="18" t="n">
        <v>0</v>
      </c>
      <c r="J55" s="20" t="n">
        <v>0</v>
      </c>
      <c r="K55" s="18" t="n">
        <v>0</v>
      </c>
      <c r="L55" s="20" t="n">
        <v>0</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(2855.0/B61*100)</f>
        <v/>
      </c>
      <c r="D61" s="19" t="n">
        <v>346</v>
      </c>
      <c r="E61" s="18" t="n">
        <v>42.28641042</v>
      </c>
      <c r="F61" s="20" t="n">
        <v>2.85751524</v>
      </c>
      <c r="G61" s="18" t="n">
        <v>56.49895383</v>
      </c>
      <c r="H61" s="20" t="n">
        <v>2.83044624</v>
      </c>
      <c r="I61" s="18" t="n">
        <v>0</v>
      </c>
      <c r="J61" s="20" t="n">
        <v>0</v>
      </c>
      <c r="K61" s="18" t="n">
        <v>0.80302288</v>
      </c>
      <c r="L61" s="20" t="n">
        <v>0.79003711</v>
      </c>
      <c r="M61" s="18" t="n">
        <v>0</v>
      </c>
      <c r="N61" s="20" t="n">
        <v>0</v>
      </c>
      <c r="O61" s="18" t="n">
        <v>0</v>
      </c>
      <c r="P61" s="20" t="n">
        <v>0</v>
      </c>
      <c r="Q61" s="18" t="n">
        <v>0.41161288</v>
      </c>
      <c r="R61" s="20" t="n">
        <v>0.35189924</v>
      </c>
    </row>
    <row r="62" spans="1:18">
      <c r="A62" s="15" t="s">
        <v>622</v>
      </c>
      <c r="B62" s="17" t="n">
        <v>2230</v>
      </c>
      <c r="C62" s="18">
        <f>(1962.0/B62*100)</f>
        <v/>
      </c>
      <c r="D62" s="19" t="n">
        <v>268</v>
      </c>
      <c r="E62" s="18" t="n">
        <v>44.00378301</v>
      </c>
      <c r="F62" s="20" t="n">
        <v>3.29107162</v>
      </c>
      <c r="G62" s="18" t="n">
        <v>55.99621699</v>
      </c>
      <c r="H62" s="20" t="n">
        <v>3.29107162</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(2478.0/B67*100)</f>
        <v/>
      </c>
      <c r="D67" s="19" t="n">
        <v>293</v>
      </c>
      <c r="E67" s="18" t="n">
        <v>71.41117281</v>
      </c>
      <c r="F67" s="20" t="n">
        <v>2.78501894</v>
      </c>
      <c r="G67" s="18" t="n">
        <v>24.09228258</v>
      </c>
      <c r="H67" s="20" t="n">
        <v>2.53833407</v>
      </c>
      <c r="I67" s="18" t="n">
        <v>0</v>
      </c>
      <c r="J67" s="20" t="n">
        <v>0</v>
      </c>
      <c r="K67" s="18" t="n">
        <v>1.65870506</v>
      </c>
      <c r="L67" s="20" t="n">
        <v>0.73717268</v>
      </c>
      <c r="M67" s="18" t="n">
        <v>0</v>
      </c>
      <c r="N67" s="20" t="n">
        <v>0</v>
      </c>
      <c r="O67" s="18" t="n">
        <v>0</v>
      </c>
      <c r="P67" s="20" t="n">
        <v>0</v>
      </c>
      <c r="Q67" s="18" t="n">
        <v>2.83783955</v>
      </c>
      <c r="R67" s="20" t="n">
        <v>1.10586881</v>
      </c>
    </row>
    <row r="68" spans="1:18">
      <c r="A68" s="15" t="s">
        <v>628</v>
      </c>
      <c r="B68" s="17" t="n">
        <v>3460</v>
      </c>
      <c r="C68" s="18">
        <f>(3097.0/B68*100)</f>
        <v/>
      </c>
      <c r="D68" s="19" t="n">
        <v>363</v>
      </c>
      <c r="E68" s="18" t="n">
        <v>79.13826641</v>
      </c>
      <c r="F68" s="20" t="n">
        <v>1.97192061</v>
      </c>
      <c r="G68" s="18" t="n">
        <v>19.18027393</v>
      </c>
      <c r="H68" s="20" t="n">
        <v>2.05728002</v>
      </c>
      <c r="I68" s="18" t="n">
        <v>0</v>
      </c>
      <c r="J68" s="20" t="n">
        <v>0</v>
      </c>
      <c r="K68" s="18" t="n">
        <v>0.89742297</v>
      </c>
      <c r="L68" s="20" t="n">
        <v>0.51956555</v>
      </c>
      <c r="M68" s="18" t="n">
        <v>0</v>
      </c>
      <c r="N68" s="20" t="n">
        <v>0</v>
      </c>
      <c r="O68" s="18" t="n">
        <v>0</v>
      </c>
      <c r="P68" s="20" t="n">
        <v>0</v>
      </c>
      <c r="Q68" s="18" t="n">
        <v>0.7840367</v>
      </c>
      <c r="R68" s="20" t="n">
        <v>0.457232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(5342.0/B70*100)</f>
        <v/>
      </c>
      <c r="D70" s="19" t="n">
        <v>692</v>
      </c>
      <c r="E70" s="18" t="n">
        <v>65.71318279</v>
      </c>
      <c r="F70" s="20" t="n">
        <v>1.94851847</v>
      </c>
      <c r="G70" s="18" t="n">
        <v>32.28236199</v>
      </c>
      <c r="H70" s="20" t="n">
        <v>2.01554525</v>
      </c>
      <c r="I70" s="18" t="n">
        <v>0</v>
      </c>
      <c r="J70" s="20" t="n">
        <v>0</v>
      </c>
      <c r="K70" s="18" t="n">
        <v>1.29734849</v>
      </c>
      <c r="L70" s="20" t="n">
        <v>0.52315975</v>
      </c>
      <c r="M70" s="18" t="n">
        <v>0</v>
      </c>
      <c r="N70" s="20" t="n">
        <v>0</v>
      </c>
      <c r="O70" s="18" t="n">
        <v>0</v>
      </c>
      <c r="P70" s="20" t="n">
        <v>0</v>
      </c>
      <c r="Q70" s="18" t="n">
        <v>0.70710672</v>
      </c>
      <c r="R70" s="20" t="n">
        <v>0.31054558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(2778.0/B72*100)</f>
        <v/>
      </c>
      <c r="D72" s="19" t="n">
        <v>329</v>
      </c>
      <c r="E72" s="18" t="n">
        <v>50.39918294</v>
      </c>
      <c r="F72" s="20" t="n">
        <v>2.81109698</v>
      </c>
      <c r="G72" s="18" t="n">
        <v>48.4779065</v>
      </c>
      <c r="H72" s="20" t="n">
        <v>3.11685808</v>
      </c>
      <c r="I72" s="18" t="n">
        <v>0</v>
      </c>
      <c r="J72" s="20" t="n">
        <v>0</v>
      </c>
      <c r="K72" s="18" t="n">
        <v>0</v>
      </c>
      <c r="L72" s="20" t="n">
        <v>0</v>
      </c>
      <c r="M72" s="18" t="n">
        <v>0</v>
      </c>
      <c r="N72" s="20" t="n">
        <v>0</v>
      </c>
      <c r="O72" s="18" t="n">
        <v>0</v>
      </c>
      <c r="P72" s="20" t="n">
        <v>0</v>
      </c>
      <c r="Q72" s="18" t="n">
        <v>1.12291055</v>
      </c>
      <c r="R72" s="20" t="n">
        <v>0.88934319</v>
      </c>
    </row>
    <row r="73" spans="1:18">
      <c r="A73" s="15" t="s">
        <v>633</v>
      </c>
      <c r="B73" s="17" t="n">
        <v>2973</v>
      </c>
      <c r="C73" s="18">
        <f>(2646.0/B73*100)</f>
        <v/>
      </c>
      <c r="D73" s="19" t="n">
        <v>327</v>
      </c>
      <c r="E73" s="18" t="n">
        <v>33.48357779</v>
      </c>
      <c r="F73" s="20" t="n">
        <v>2.95963837</v>
      </c>
      <c r="G73" s="18" t="n">
        <v>66.51642221</v>
      </c>
      <c r="H73" s="20" t="n">
        <v>2.95963837</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(3392.0/B74*100)</f>
        <v/>
      </c>
      <c r="D74" s="19" t="n">
        <v>427</v>
      </c>
      <c r="E74" s="18" t="n">
        <v>58.13129267</v>
      </c>
      <c r="F74" s="20" t="n">
        <v>2.71506123</v>
      </c>
      <c r="G74" s="18" t="n">
        <v>41.5598411</v>
      </c>
      <c r="H74" s="20" t="n">
        <v>2.70382691</v>
      </c>
      <c r="I74" s="18" t="n">
        <v>0</v>
      </c>
      <c r="J74" s="20" t="n">
        <v>0</v>
      </c>
      <c r="K74" s="18" t="n">
        <v>0</v>
      </c>
      <c r="L74" s="20" t="n">
        <v>0</v>
      </c>
      <c r="M74" s="18" t="n">
        <v>0</v>
      </c>
      <c r="N74" s="20" t="n">
        <v>0</v>
      </c>
      <c r="O74" s="18" t="n">
        <v>0</v>
      </c>
      <c r="P74" s="20" t="n">
        <v>0</v>
      </c>
      <c r="Q74" s="18" t="n">
        <v>0.30886623</v>
      </c>
      <c r="R74" s="20" t="n">
        <v>0.3090879</v>
      </c>
    </row>
    <row r="75" spans="1:18">
      <c r="A75" s="15" t="s">
        <v>635</v>
      </c>
      <c r="B75" s="17" t="n">
        <v>4652</v>
      </c>
      <c r="C75" s="18">
        <f>(4156.0/B75*100)</f>
        <v/>
      </c>
      <c r="D75" s="19" t="n">
        <v>496</v>
      </c>
      <c r="E75" s="18" t="n">
        <v>61.84013527</v>
      </c>
      <c r="F75" s="20" t="n">
        <v>2.6974978</v>
      </c>
      <c r="G75" s="18" t="n">
        <v>37.68017763</v>
      </c>
      <c r="H75" s="20" t="n">
        <v>2.68591748</v>
      </c>
      <c r="I75" s="18" t="n">
        <v>0</v>
      </c>
      <c r="J75" s="20" t="n">
        <v>0</v>
      </c>
      <c r="K75" s="18" t="n">
        <v>0</v>
      </c>
      <c r="L75" s="20" t="n">
        <v>0</v>
      </c>
      <c r="M75" s="18" t="n">
        <v>0</v>
      </c>
      <c r="N75" s="20" t="n">
        <v>0</v>
      </c>
      <c r="O75" s="18" t="n">
        <v>0</v>
      </c>
      <c r="P75" s="20" t="n">
        <v>0</v>
      </c>
      <c r="Q75" s="18" t="n">
        <v>0.4796871</v>
      </c>
      <c r="R75" s="20" t="n">
        <v>0.46000926</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(2657.0/B77*100)</f>
        <v/>
      </c>
      <c r="D77" s="19" t="n">
        <v>312</v>
      </c>
      <c r="E77" s="18" t="n">
        <v>54.54144666</v>
      </c>
      <c r="F77" s="20" t="n">
        <v>2.72324651</v>
      </c>
      <c r="G77" s="18" t="n">
        <v>41.37685688</v>
      </c>
      <c r="H77" s="20" t="n">
        <v>2.84843476</v>
      </c>
      <c r="I77" s="18" t="n">
        <v>0</v>
      </c>
      <c r="J77" s="20" t="n">
        <v>0</v>
      </c>
      <c r="K77" s="18" t="n">
        <v>3.15246661</v>
      </c>
      <c r="L77" s="20" t="n">
        <v>0.99467823</v>
      </c>
      <c r="M77" s="18" t="n">
        <v>0</v>
      </c>
      <c r="N77" s="20" t="n">
        <v>0</v>
      </c>
      <c r="O77" s="18" t="n">
        <v>0</v>
      </c>
      <c r="P77" s="20" t="n">
        <v>0</v>
      </c>
      <c r="Q77" s="18" t="n">
        <v>0.92922985</v>
      </c>
      <c r="R77" s="20" t="n">
        <v>0.62668009</v>
      </c>
    </row>
    <row r="78" spans="1:18">
      <c r="A78" s="15" t="s">
        <v>638</v>
      </c>
      <c r="B78" s="17" t="n">
        <v>7115</v>
      </c>
      <c r="C78" s="18">
        <f>(6351.0/B78*100)</f>
        <v/>
      </c>
      <c r="D78" s="19" t="n">
        <v>764</v>
      </c>
      <c r="E78" s="18" t="n">
        <v>65.07604205</v>
      </c>
      <c r="F78" s="20" t="n">
        <v>1.46217968</v>
      </c>
      <c r="G78" s="18" t="n">
        <v>33.72614595</v>
      </c>
      <c r="H78" s="20" t="n">
        <v>1.56674465</v>
      </c>
      <c r="I78" s="18" t="n">
        <v>0</v>
      </c>
      <c r="J78" s="20" t="n">
        <v>0</v>
      </c>
      <c r="K78" s="18" t="n">
        <v>0.06455384</v>
      </c>
      <c r="L78" s="20" t="n">
        <v>0.06471207</v>
      </c>
      <c r="M78" s="18" t="n">
        <v>0</v>
      </c>
      <c r="N78" s="20" t="n">
        <v>0</v>
      </c>
      <c r="O78" s="18" t="n">
        <v>0</v>
      </c>
      <c r="P78" s="20" t="n">
        <v>0</v>
      </c>
      <c r="Q78" s="18" t="n">
        <v>1.13325816</v>
      </c>
      <c r="R78" s="20" t="n">
        <v>0.45182553</v>
      </c>
    </row>
    <row r="79" spans="1:18">
      <c r="A79" s="15" t="s">
        <v>639</v>
      </c>
      <c r="B79" s="17" t="n">
        <v>3154</v>
      </c>
      <c r="C79" s="18">
        <f>(2813.0/B79*100)</f>
        <v/>
      </c>
      <c r="D79" s="19" t="n">
        <v>341</v>
      </c>
      <c r="E79" s="18" t="n">
        <v>62.48027912</v>
      </c>
      <c r="F79" s="20" t="n">
        <v>2.70754104</v>
      </c>
      <c r="G79" s="18" t="n">
        <v>35.54216202</v>
      </c>
      <c r="H79" s="20" t="n">
        <v>2.83002267</v>
      </c>
      <c r="I79" s="18" t="n">
        <v>0</v>
      </c>
      <c r="J79" s="20" t="n">
        <v>0</v>
      </c>
      <c r="K79" s="18" t="n">
        <v>0.67147217</v>
      </c>
      <c r="L79" s="20" t="n">
        <v>0.46266773</v>
      </c>
      <c r="M79" s="18" t="n">
        <v>0</v>
      </c>
      <c r="N79" s="20" t="n">
        <v>0</v>
      </c>
      <c r="O79" s="18" t="n">
        <v>0</v>
      </c>
      <c r="P79" s="20" t="n">
        <v>0</v>
      </c>
      <c r="Q79" s="18" t="n">
        <v>1.30608669</v>
      </c>
      <c r="R79" s="20" t="n">
        <v>0.68148932</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(14176.0/B82*100)</f>
        <v/>
      </c>
      <c r="D82" s="19" t="n">
        <v>1785</v>
      </c>
      <c r="E82" s="18" t="n">
        <v>55.52536496</v>
      </c>
      <c r="F82" s="20" t="n">
        <v>2.05916301</v>
      </c>
      <c r="G82" s="18" t="n">
        <v>42.9823122</v>
      </c>
      <c r="H82" s="20" t="n">
        <v>2.05853374</v>
      </c>
      <c r="I82" s="18" t="n">
        <v>0</v>
      </c>
      <c r="J82" s="20" t="n">
        <v>0</v>
      </c>
      <c r="K82" s="18" t="n">
        <v>0.35253611</v>
      </c>
      <c r="L82" s="20" t="n">
        <v>0.25071603</v>
      </c>
      <c r="M82" s="18" t="n">
        <v>0</v>
      </c>
      <c r="N82" s="20" t="n">
        <v>0</v>
      </c>
      <c r="O82" s="18" t="n">
        <v>0</v>
      </c>
      <c r="P82" s="20" t="n">
        <v>0</v>
      </c>
      <c r="Q82" s="18" t="n">
        <v>1.13978673</v>
      </c>
      <c r="R82" s="20" t="n">
        <v>0.29085719</v>
      </c>
    </row>
    <row r="83" spans="1:18">
      <c r="A83" s="15" t="s">
        <v>643</v>
      </c>
      <c r="B83" s="17" t="n">
        <v>808</v>
      </c>
      <c r="C83" s="18">
        <f>(707.0/B83*100)</f>
        <v/>
      </c>
      <c r="D83" s="19" t="n">
        <v>101</v>
      </c>
      <c r="E83" s="18" t="n">
        <v>46.12662946</v>
      </c>
      <c r="F83" s="20" t="n">
        <v>5.70839353</v>
      </c>
      <c r="G83" s="18" t="n">
        <v>53.01298834</v>
      </c>
      <c r="H83" s="20" t="n">
        <v>5.77437082</v>
      </c>
      <c r="I83" s="18" t="n">
        <v>0</v>
      </c>
      <c r="J83" s="20" t="n">
        <v>0</v>
      </c>
      <c r="K83" s="18" t="n">
        <v>0</v>
      </c>
      <c r="L83" s="20" t="n">
        <v>0</v>
      </c>
      <c r="M83" s="18" t="n">
        <v>0</v>
      </c>
      <c r="N83" s="20" t="n">
        <v>0</v>
      </c>
      <c r="O83" s="18" t="n">
        <v>0</v>
      </c>
      <c r="P83" s="20" t="n">
        <v>0</v>
      </c>
      <c r="Q83" s="18" t="n">
        <v>0.86038221</v>
      </c>
      <c r="R83" s="20" t="n">
        <v>0.61277669</v>
      </c>
    </row>
    <row r="84" spans="1:18">
      <c r="A84" s="23" t="s">
        <v>644</v>
      </c>
      <c r="B84" s="24" t="n">
        <v>938</v>
      </c>
      <c r="C84" s="25">
        <f>(834.0/B84*100)</f>
        <v/>
      </c>
      <c r="D84" s="19" t="n">
        <v>104</v>
      </c>
      <c r="E84" s="18" t="n">
        <v>54.63511867</v>
      </c>
      <c r="F84" s="20" t="n">
        <v>6.06776702</v>
      </c>
      <c r="G84" s="18" t="n">
        <v>45.36488133</v>
      </c>
      <c r="H84" s="20" t="n">
        <v>6.06776702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(6380.0/B7*100)</f>
        <v/>
      </c>
      <c r="D7" s="19" t="n">
        <v>783</v>
      </c>
      <c r="E7" s="18" t="n">
        <v>17.06122019</v>
      </c>
      <c r="F7" s="20" t="n">
        <v>1.66340806</v>
      </c>
      <c r="G7" s="18" t="n">
        <v>76.68810472</v>
      </c>
      <c r="H7" s="20" t="n">
        <v>1.92197183</v>
      </c>
      <c r="I7" s="18" t="n">
        <v>0</v>
      </c>
      <c r="J7" s="20" t="n">
        <v>0</v>
      </c>
      <c r="K7" s="18" t="n">
        <v>0.16714038</v>
      </c>
      <c r="L7" s="20" t="n">
        <v>0.08573167</v>
      </c>
      <c r="M7" s="18" t="n">
        <v>0.01567283</v>
      </c>
      <c r="N7" s="20" t="n">
        <v>0.01579945</v>
      </c>
      <c r="O7" s="18" t="n">
        <v>0</v>
      </c>
      <c r="P7" s="20" t="n">
        <v>0</v>
      </c>
      <c r="Q7" s="18" t="n">
        <v>6.06786188</v>
      </c>
      <c r="R7" s="20" t="n">
        <v>0.96890798</v>
      </c>
    </row>
    <row r="8" spans="1:18">
      <c r="A8" s="15" t="s">
        <v>566</v>
      </c>
      <c r="B8" s="17" t="n">
        <v>3443</v>
      </c>
      <c r="C8" s="18">
        <f>(3088.0/B8*100)</f>
        <v/>
      </c>
      <c r="D8" s="19" t="n">
        <v>355</v>
      </c>
      <c r="E8" s="18" t="n">
        <v>11.90303583</v>
      </c>
      <c r="F8" s="20" t="n">
        <v>1.74221557</v>
      </c>
      <c r="G8" s="18" t="n">
        <v>76.45749957</v>
      </c>
      <c r="H8" s="20" t="n">
        <v>2.50291176</v>
      </c>
      <c r="I8" s="18" t="n">
        <v>0</v>
      </c>
      <c r="J8" s="20" t="n">
        <v>0</v>
      </c>
      <c r="K8" s="18" t="n">
        <v>0.10302582</v>
      </c>
      <c r="L8" s="20" t="n">
        <v>0.10255822</v>
      </c>
      <c r="M8" s="18" t="n">
        <v>0</v>
      </c>
      <c r="N8" s="20" t="n">
        <v>0</v>
      </c>
      <c r="O8" s="18" t="n">
        <v>0</v>
      </c>
      <c r="P8" s="20" t="n">
        <v>0</v>
      </c>
      <c r="Q8" s="18" t="n">
        <v>11.53643878</v>
      </c>
      <c r="R8" s="20" t="n">
        <v>1.84781822</v>
      </c>
    </row>
    <row r="9" spans="1:18">
      <c r="A9" s="15" t="s">
        <v>567</v>
      </c>
      <c r="B9" s="17" t="n">
        <v>4752</v>
      </c>
      <c r="C9" s="18">
        <f>(4242.0/B9*100)</f>
        <v/>
      </c>
      <c r="D9" s="19" t="n">
        <v>510</v>
      </c>
      <c r="E9" s="18" t="n">
        <v>16.79215426</v>
      </c>
      <c r="F9" s="20" t="n">
        <v>1.82433049</v>
      </c>
      <c r="G9" s="18" t="n">
        <v>75.76823034</v>
      </c>
      <c r="H9" s="20" t="n">
        <v>2.18314672</v>
      </c>
      <c r="I9" s="18" t="n">
        <v>0</v>
      </c>
      <c r="J9" s="20" t="n">
        <v>0</v>
      </c>
      <c r="K9" s="18" t="n">
        <v>0</v>
      </c>
      <c r="L9" s="20" t="n">
        <v>0</v>
      </c>
      <c r="M9" s="18" t="n">
        <v>0.15868138</v>
      </c>
      <c r="N9" s="20" t="n">
        <v>0.15394035</v>
      </c>
      <c r="O9" s="18" t="n">
        <v>0</v>
      </c>
      <c r="P9" s="20" t="n">
        <v>0</v>
      </c>
      <c r="Q9" s="18" t="n">
        <v>7.28093402</v>
      </c>
      <c r="R9" s="20" t="n">
        <v>1.14215166</v>
      </c>
    </row>
    <row r="10" spans="1:18">
      <c r="A10" s="15" t="s">
        <v>568</v>
      </c>
      <c r="B10" s="17" t="n">
        <v>10022</v>
      </c>
      <c r="C10" s="18">
        <f>(8894.0/B10*100)</f>
        <v/>
      </c>
      <c r="D10" s="19" t="n">
        <v>1128</v>
      </c>
      <c r="E10" s="18" t="n">
        <v>16.12630295</v>
      </c>
      <c r="F10" s="20" t="n">
        <v>1.58965319</v>
      </c>
      <c r="G10" s="18" t="n">
        <v>80.27034756</v>
      </c>
      <c r="H10" s="20" t="n">
        <v>1.66032029</v>
      </c>
      <c r="I10" s="18" t="n">
        <v>0</v>
      </c>
      <c r="J10" s="20" t="n">
        <v>0</v>
      </c>
      <c r="K10" s="18" t="n">
        <v>0.6382962</v>
      </c>
      <c r="L10" s="20" t="n">
        <v>0.33043409</v>
      </c>
      <c r="M10" s="18" t="n">
        <v>0</v>
      </c>
      <c r="N10" s="20" t="n">
        <v>0</v>
      </c>
      <c r="O10" s="18" t="n">
        <v>0</v>
      </c>
      <c r="P10" s="20" t="n">
        <v>0</v>
      </c>
      <c r="Q10" s="18" t="n">
        <v>2.96505329</v>
      </c>
      <c r="R10" s="20" t="n">
        <v>0.6185071</v>
      </c>
    </row>
    <row r="11" spans="1:18">
      <c r="A11" s="15" t="s">
        <v>569</v>
      </c>
      <c r="B11" s="17" t="n">
        <v>3500</v>
      </c>
      <c r="C11" s="18">
        <f>(3093.0/B11*100)</f>
        <v/>
      </c>
      <c r="D11" s="19" t="n">
        <v>407</v>
      </c>
      <c r="E11" s="18" t="n">
        <v>33.63932219</v>
      </c>
      <c r="F11" s="20" t="n">
        <v>2.80656698</v>
      </c>
      <c r="G11" s="18" t="n">
        <v>47.41000586</v>
      </c>
      <c r="H11" s="20" t="n">
        <v>2.8907945</v>
      </c>
      <c r="I11" s="18" t="n">
        <v>0</v>
      </c>
      <c r="J11" s="20" t="n">
        <v>0</v>
      </c>
      <c r="K11" s="18" t="n">
        <v>1.45446946</v>
      </c>
      <c r="L11" s="20" t="n">
        <v>0.79001119</v>
      </c>
      <c r="M11" s="18" t="n">
        <v>0</v>
      </c>
      <c r="N11" s="20" t="n">
        <v>0</v>
      </c>
      <c r="O11" s="18" t="n">
        <v>0</v>
      </c>
      <c r="P11" s="20" t="n">
        <v>0</v>
      </c>
      <c r="Q11" s="18" t="n">
        <v>17.49620249</v>
      </c>
      <c r="R11" s="20" t="n">
        <v>2.45507622</v>
      </c>
    </row>
    <row r="12" spans="1:18">
      <c r="A12" s="15" t="s">
        <v>570</v>
      </c>
      <c r="B12" s="17" t="n">
        <v>3422</v>
      </c>
      <c r="C12" s="18">
        <f>(3034.0/B12*100)</f>
        <v/>
      </c>
      <c r="D12" s="19" t="n">
        <v>388</v>
      </c>
      <c r="E12" s="18" t="n">
        <v>9.8942947</v>
      </c>
      <c r="F12" s="20" t="n">
        <v>1.50634476</v>
      </c>
      <c r="G12" s="18" t="n">
        <v>80.77646464999999</v>
      </c>
      <c r="H12" s="20" t="n">
        <v>1.62658055</v>
      </c>
      <c r="I12" s="18" t="n">
        <v>0</v>
      </c>
      <c r="J12" s="20" t="n">
        <v>0</v>
      </c>
      <c r="K12" s="18" t="n">
        <v>0.27780111</v>
      </c>
      <c r="L12" s="20" t="n">
        <v>0.28509924</v>
      </c>
      <c r="M12" s="18" t="n">
        <v>0.25640972</v>
      </c>
      <c r="N12" s="20" t="n">
        <v>0.25346263</v>
      </c>
      <c r="O12" s="18" t="n">
        <v>0</v>
      </c>
      <c r="P12" s="20" t="n">
        <v>0</v>
      </c>
      <c r="Q12" s="18" t="n">
        <v>8.795029830000001</v>
      </c>
      <c r="R12" s="20" t="n">
        <v>1.26163219</v>
      </c>
    </row>
    <row r="13" spans="1:18">
      <c r="A13" s="15" t="s">
        <v>571</v>
      </c>
      <c r="B13" s="17" t="n">
        <v>3602</v>
      </c>
      <c r="C13" s="18">
        <f>(3253.0/B13*100)</f>
        <v/>
      </c>
      <c r="D13" s="19" t="n">
        <v>349</v>
      </c>
      <c r="E13" s="18" t="n">
        <v>11.32881513</v>
      </c>
      <c r="F13" s="20" t="n">
        <v>2.14610702</v>
      </c>
      <c r="G13" s="18" t="n">
        <v>79.51099274000001</v>
      </c>
      <c r="H13" s="20" t="n">
        <v>2.90347888</v>
      </c>
      <c r="I13" s="18" t="n">
        <v>0</v>
      </c>
      <c r="J13" s="20" t="n">
        <v>0</v>
      </c>
      <c r="K13" s="18" t="n">
        <v>0.95926988</v>
      </c>
      <c r="L13" s="20" t="n">
        <v>0.60960887</v>
      </c>
      <c r="M13" s="18" t="n">
        <v>0.07124943</v>
      </c>
      <c r="N13" s="20" t="n">
        <v>0.07114002</v>
      </c>
      <c r="O13" s="18" t="n">
        <v>0</v>
      </c>
      <c r="P13" s="20" t="n">
        <v>0</v>
      </c>
      <c r="Q13" s="18" t="n">
        <v>8.12967282</v>
      </c>
      <c r="R13" s="20" t="n">
        <v>1.78649557</v>
      </c>
    </row>
    <row r="14" spans="1:18">
      <c r="A14" s="15" t="s">
        <v>572</v>
      </c>
      <c r="B14" s="17" t="n">
        <v>2788</v>
      </c>
      <c r="C14" s="18">
        <f>(2469.0/B14*100)</f>
        <v/>
      </c>
      <c r="D14" s="19" t="n">
        <v>319</v>
      </c>
      <c r="E14" s="18" t="n">
        <v>8.5501086</v>
      </c>
      <c r="F14" s="20" t="n">
        <v>1.7393477</v>
      </c>
      <c r="G14" s="18" t="n">
        <v>89.16352194</v>
      </c>
      <c r="H14" s="20" t="n">
        <v>2.02214636</v>
      </c>
      <c r="I14" s="18" t="n">
        <v>0</v>
      </c>
      <c r="J14" s="20" t="n">
        <v>0</v>
      </c>
      <c r="K14" s="18" t="n">
        <v>0</v>
      </c>
      <c r="L14" s="20" t="n">
        <v>0</v>
      </c>
      <c r="M14" s="18" t="n">
        <v>0</v>
      </c>
      <c r="N14" s="20" t="n">
        <v>0</v>
      </c>
      <c r="O14" s="18" t="n">
        <v>0</v>
      </c>
      <c r="P14" s="20" t="n">
        <v>0</v>
      </c>
      <c r="Q14" s="18" t="n">
        <v>2.28636946</v>
      </c>
      <c r="R14" s="20" t="n">
        <v>0.97506998</v>
      </c>
    </row>
    <row r="15" spans="1:18">
      <c r="A15" s="15" t="s">
        <v>573</v>
      </c>
      <c r="B15" s="17" t="n">
        <v>2863</v>
      </c>
      <c r="C15" s="18">
        <f>(2538.0/B15*100)</f>
        <v/>
      </c>
      <c r="D15" s="19" t="n">
        <v>325</v>
      </c>
      <c r="E15" s="18" t="n">
        <v>6.66918654</v>
      </c>
      <c r="F15" s="20" t="n">
        <v>1.27252932</v>
      </c>
      <c r="G15" s="18" t="n">
        <v>90.29263</v>
      </c>
      <c r="H15" s="20" t="n">
        <v>1.50245355</v>
      </c>
      <c r="I15" s="18" t="n">
        <v>0</v>
      </c>
      <c r="J15" s="20" t="n">
        <v>0</v>
      </c>
      <c r="K15" s="18" t="n">
        <v>0</v>
      </c>
      <c r="L15" s="20" t="n">
        <v>0</v>
      </c>
      <c r="M15" s="18" t="n">
        <v>0</v>
      </c>
      <c r="N15" s="20" t="n">
        <v>0</v>
      </c>
      <c r="O15" s="18" t="n">
        <v>0</v>
      </c>
      <c r="P15" s="20" t="n">
        <v>0</v>
      </c>
      <c r="Q15" s="18" t="n">
        <v>3.03818347</v>
      </c>
      <c r="R15" s="20" t="n">
        <v>0.94135463</v>
      </c>
    </row>
    <row r="16" spans="1:18">
      <c r="A16" s="15" t="s">
        <v>574</v>
      </c>
      <c r="B16" s="17" t="n">
        <v>3111</v>
      </c>
      <c r="C16" s="18">
        <f>(2751.0/B16*100)</f>
        <v/>
      </c>
      <c r="D16" s="19" t="n">
        <v>360</v>
      </c>
      <c r="E16" s="18" t="n">
        <v>17.96808149</v>
      </c>
      <c r="F16" s="20" t="n">
        <v>1.92786366</v>
      </c>
      <c r="G16" s="18" t="n">
        <v>70.49554228</v>
      </c>
      <c r="H16" s="20" t="n">
        <v>2.46820546</v>
      </c>
      <c r="I16" s="18" t="n">
        <v>0</v>
      </c>
      <c r="J16" s="20" t="n">
        <v>0</v>
      </c>
      <c r="K16" s="18" t="n">
        <v>1.06826425</v>
      </c>
      <c r="L16" s="20" t="n">
        <v>0.65616419</v>
      </c>
      <c r="M16" s="18" t="n">
        <v>0</v>
      </c>
      <c r="N16" s="20" t="n">
        <v>0</v>
      </c>
      <c r="O16" s="18" t="n">
        <v>0</v>
      </c>
      <c r="P16" s="20" t="n">
        <v>0</v>
      </c>
      <c r="Q16" s="18" t="n">
        <v>10.46811199</v>
      </c>
      <c r="R16" s="20" t="n">
        <v>1.63445369</v>
      </c>
    </row>
    <row r="17" spans="1:18">
      <c r="A17" s="15" t="s">
        <v>575</v>
      </c>
      <c r="B17" s="17" t="n">
        <v>3197</v>
      </c>
      <c r="C17" s="18">
        <f>(2849.0/B17*100)</f>
        <v/>
      </c>
      <c r="D17" s="19" t="n">
        <v>348</v>
      </c>
      <c r="E17" s="18" t="n">
        <v>11.38527503</v>
      </c>
      <c r="F17" s="20" t="n">
        <v>1.56391335</v>
      </c>
      <c r="G17" s="18" t="n">
        <v>83.55375776</v>
      </c>
      <c r="H17" s="20" t="n">
        <v>1.96865399</v>
      </c>
      <c r="I17" s="18" t="n">
        <v>0</v>
      </c>
      <c r="J17" s="20" t="n">
        <v>0</v>
      </c>
      <c r="K17" s="18" t="n">
        <v>0</v>
      </c>
      <c r="L17" s="20" t="n">
        <v>0</v>
      </c>
      <c r="M17" s="18" t="n">
        <v>0</v>
      </c>
      <c r="N17" s="20" t="n">
        <v>0</v>
      </c>
      <c r="O17" s="18" t="n">
        <v>0</v>
      </c>
      <c r="P17" s="20" t="n">
        <v>0</v>
      </c>
      <c r="Q17" s="18" t="n">
        <v>5.06096721</v>
      </c>
      <c r="R17" s="20" t="n">
        <v>1.19895799</v>
      </c>
    </row>
    <row r="18" spans="1:18">
      <c r="A18" s="15" t="s">
        <v>576</v>
      </c>
      <c r="B18" s="17" t="n">
        <v>2706</v>
      </c>
      <c r="C18" s="18">
        <f>(2407.0/B18*100)</f>
        <v/>
      </c>
      <c r="D18" s="19" t="n">
        <v>299</v>
      </c>
      <c r="E18" s="18" t="n">
        <v>26.58953333</v>
      </c>
      <c r="F18" s="20" t="n">
        <v>3.03342219</v>
      </c>
      <c r="G18" s="18" t="n">
        <v>65.55915400000001</v>
      </c>
      <c r="H18" s="20" t="n">
        <v>3.16856847</v>
      </c>
      <c r="I18" s="18" t="n">
        <v>0</v>
      </c>
      <c r="J18" s="20" t="n">
        <v>0</v>
      </c>
      <c r="K18" s="18" t="n">
        <v>0.27585986</v>
      </c>
      <c r="L18" s="20" t="n">
        <v>0.26997879</v>
      </c>
      <c r="M18" s="18" t="n">
        <v>0</v>
      </c>
      <c r="N18" s="20" t="n">
        <v>0</v>
      </c>
      <c r="O18" s="18" t="n">
        <v>0</v>
      </c>
      <c r="P18" s="20" t="n">
        <v>0</v>
      </c>
      <c r="Q18" s="18" t="n">
        <v>7.5754528</v>
      </c>
      <c r="R18" s="20" t="n">
        <v>1.80857823</v>
      </c>
    </row>
    <row r="19" spans="1:18">
      <c r="A19" s="15" t="s">
        <v>577</v>
      </c>
      <c r="B19" s="17" t="n">
        <v>2850</v>
      </c>
      <c r="C19" s="18">
        <f>(2562.0/B19*100)</f>
        <v/>
      </c>
      <c r="D19" s="19" t="n">
        <v>288</v>
      </c>
      <c r="E19" s="18" t="n">
        <v>12.47766728</v>
      </c>
      <c r="F19" s="20" t="n">
        <v>1.82390701</v>
      </c>
      <c r="G19" s="18" t="n">
        <v>75.23018006</v>
      </c>
      <c r="H19" s="20" t="n">
        <v>2.73943971</v>
      </c>
      <c r="I19" s="18" t="n">
        <v>0</v>
      </c>
      <c r="J19" s="20" t="n">
        <v>0</v>
      </c>
      <c r="K19" s="18" t="n">
        <v>0</v>
      </c>
      <c r="L19" s="20" t="n">
        <v>0</v>
      </c>
      <c r="M19" s="18" t="n">
        <v>0</v>
      </c>
      <c r="N19" s="20" t="n">
        <v>0</v>
      </c>
      <c r="O19" s="18" t="n">
        <v>0</v>
      </c>
      <c r="P19" s="20" t="n">
        <v>0</v>
      </c>
      <c r="Q19" s="18" t="n">
        <v>12.29215265</v>
      </c>
      <c r="R19" s="20" t="n">
        <v>2.60898941</v>
      </c>
    </row>
    <row r="20" spans="1:18">
      <c r="A20" s="15" t="s">
        <v>578</v>
      </c>
      <c r="B20" s="17" t="n">
        <v>1741</v>
      </c>
      <c r="C20" s="18">
        <f>(1550.0/B20*100)</f>
        <v/>
      </c>
      <c r="D20" s="19" t="n">
        <v>191</v>
      </c>
      <c r="E20" s="18" t="n">
        <v>15.76477734</v>
      </c>
      <c r="F20" s="20" t="n">
        <v>2.88589167</v>
      </c>
      <c r="G20" s="18" t="n">
        <v>74.5776491</v>
      </c>
      <c r="H20" s="20" t="n">
        <v>3.07867453</v>
      </c>
      <c r="I20" s="18" t="n">
        <v>0</v>
      </c>
      <c r="J20" s="20" t="n">
        <v>0</v>
      </c>
      <c r="K20" s="18" t="n">
        <v>1.11232296</v>
      </c>
      <c r="L20" s="20" t="n">
        <v>0.79131733</v>
      </c>
      <c r="M20" s="18" t="n">
        <v>0.63709824</v>
      </c>
      <c r="N20" s="20" t="n">
        <v>0.64296927</v>
      </c>
      <c r="O20" s="18" t="n">
        <v>0</v>
      </c>
      <c r="P20" s="20" t="n">
        <v>0</v>
      </c>
      <c r="Q20" s="18" t="n">
        <v>7.90815236</v>
      </c>
      <c r="R20" s="20" t="n">
        <v>2.04800364</v>
      </c>
    </row>
    <row r="21" spans="1:18">
      <c r="A21" s="15" t="s">
        <v>579</v>
      </c>
      <c r="B21" s="17" t="n">
        <v>2833</v>
      </c>
      <c r="C21" s="18">
        <f>(2557.0/B21*100)</f>
        <v/>
      </c>
      <c r="D21" s="19" t="n">
        <v>276</v>
      </c>
      <c r="E21" s="18" t="n">
        <v>14.3830267</v>
      </c>
      <c r="F21" s="20" t="n">
        <v>1.92545445</v>
      </c>
      <c r="G21" s="18" t="n">
        <v>81.58521979</v>
      </c>
      <c r="H21" s="20" t="n">
        <v>2.30123443</v>
      </c>
      <c r="I21" s="18" t="n">
        <v>0</v>
      </c>
      <c r="J21" s="20" t="n">
        <v>0</v>
      </c>
      <c r="K21" s="18" t="n">
        <v>0.31322315</v>
      </c>
      <c r="L21" s="20" t="n">
        <v>0.22678196</v>
      </c>
      <c r="M21" s="18" t="n">
        <v>0</v>
      </c>
      <c r="N21" s="20" t="n">
        <v>0</v>
      </c>
      <c r="O21" s="18" t="n">
        <v>0</v>
      </c>
      <c r="P21" s="20" t="n">
        <v>0</v>
      </c>
      <c r="Q21" s="18" t="n">
        <v>3.71853036</v>
      </c>
      <c r="R21" s="20" t="n">
        <v>1.45831072</v>
      </c>
    </row>
    <row r="22" spans="1:18">
      <c r="A22" s="15" t="s">
        <v>580</v>
      </c>
      <c r="B22" s="17" t="n">
        <v>3667</v>
      </c>
      <c r="C22" s="18">
        <f>(3294.0/B22*100)</f>
        <v/>
      </c>
      <c r="D22" s="19" t="n">
        <v>373</v>
      </c>
      <c r="E22" s="18" t="n">
        <v>23.76015932</v>
      </c>
      <c r="F22" s="20" t="n">
        <v>2.20751605</v>
      </c>
      <c r="G22" s="18" t="n">
        <v>62.94725696</v>
      </c>
      <c r="H22" s="20" t="n">
        <v>2.58398249</v>
      </c>
      <c r="I22" s="18" t="n">
        <v>0</v>
      </c>
      <c r="J22" s="20" t="n">
        <v>0</v>
      </c>
      <c r="K22" s="18" t="n">
        <v>0.8218542599999999</v>
      </c>
      <c r="L22" s="20" t="n">
        <v>0.43255051</v>
      </c>
      <c r="M22" s="18" t="n">
        <v>0</v>
      </c>
      <c r="N22" s="20" t="n">
        <v>0</v>
      </c>
      <c r="O22" s="18" t="n">
        <v>0</v>
      </c>
      <c r="P22" s="20" t="n">
        <v>0</v>
      </c>
      <c r="Q22" s="18" t="n">
        <v>12.47072946</v>
      </c>
      <c r="R22" s="20" t="n">
        <v>1.66335792</v>
      </c>
    </row>
    <row r="23" spans="1:18">
      <c r="A23" s="15" t="s">
        <v>581</v>
      </c>
      <c r="B23" s="17" t="n">
        <v>5792</v>
      </c>
      <c r="C23" s="18">
        <f>(5130.0/B23*100)</f>
        <v/>
      </c>
      <c r="D23" s="19" t="n">
        <v>662</v>
      </c>
      <c r="E23" s="18" t="n">
        <v>20.20147466</v>
      </c>
      <c r="F23" s="20" t="n">
        <v>2.26593654</v>
      </c>
      <c r="G23" s="18" t="n">
        <v>65.01183564</v>
      </c>
      <c r="H23" s="20" t="n">
        <v>3.18348961</v>
      </c>
      <c r="I23" s="18" t="n">
        <v>0</v>
      </c>
      <c r="J23" s="20" t="n">
        <v>0</v>
      </c>
      <c r="K23" s="18" t="n">
        <v>0.81854861</v>
      </c>
      <c r="L23" s="20" t="n">
        <v>0.55262416</v>
      </c>
      <c r="M23" s="18" t="n">
        <v>0</v>
      </c>
      <c r="N23" s="20" t="n">
        <v>0</v>
      </c>
      <c r="O23" s="18" t="n">
        <v>0</v>
      </c>
      <c r="P23" s="20" t="n">
        <v>0</v>
      </c>
      <c r="Q23" s="18" t="n">
        <v>13.96814109</v>
      </c>
      <c r="R23" s="20" t="n">
        <v>2.66643708</v>
      </c>
    </row>
    <row r="24" spans="1:18">
      <c r="A24" s="15" t="s">
        <v>582</v>
      </c>
      <c r="B24" s="17" t="n">
        <v>3309</v>
      </c>
      <c r="C24" s="18">
        <f>(2978.0/B24*100)</f>
        <v/>
      </c>
      <c r="D24" s="19" t="n">
        <v>331</v>
      </c>
      <c r="E24" s="18" t="n">
        <v>18.24597175</v>
      </c>
      <c r="F24" s="20" t="n">
        <v>2.26543629</v>
      </c>
      <c r="G24" s="18" t="n">
        <v>71.41013973</v>
      </c>
      <c r="H24" s="20" t="n">
        <v>2.6517458</v>
      </c>
      <c r="I24" s="18" t="n">
        <v>0</v>
      </c>
      <c r="J24" s="20" t="n">
        <v>0</v>
      </c>
      <c r="K24" s="18" t="n">
        <v>0</v>
      </c>
      <c r="L24" s="20" t="n">
        <v>0</v>
      </c>
      <c r="M24" s="18" t="n">
        <v>0</v>
      </c>
      <c r="N24" s="20" t="n">
        <v>0</v>
      </c>
      <c r="O24" s="18" t="n">
        <v>0</v>
      </c>
      <c r="P24" s="20" t="n">
        <v>0</v>
      </c>
      <c r="Q24" s="18" t="n">
        <v>10.34388852</v>
      </c>
      <c r="R24" s="20" t="n">
        <v>1.70570592</v>
      </c>
    </row>
    <row r="25" spans="1:18">
      <c r="A25" s="15" t="s">
        <v>583</v>
      </c>
      <c r="B25" s="17" t="n">
        <v>2669</v>
      </c>
      <c r="C25" s="18">
        <f>(2365.0/B25*100)</f>
        <v/>
      </c>
      <c r="D25" s="19" t="n">
        <v>304</v>
      </c>
      <c r="E25" s="18" t="n">
        <v>15.05130944</v>
      </c>
      <c r="F25" s="20" t="n">
        <v>2.16626631</v>
      </c>
      <c r="G25" s="18" t="n">
        <v>77.83047114</v>
      </c>
      <c r="H25" s="20" t="n">
        <v>2.58168533</v>
      </c>
      <c r="I25" s="18" t="n">
        <v>0</v>
      </c>
      <c r="J25" s="20" t="n">
        <v>0</v>
      </c>
      <c r="K25" s="18" t="n">
        <v>0.32488504</v>
      </c>
      <c r="L25" s="20" t="n">
        <v>0.3269345</v>
      </c>
      <c r="M25" s="18" t="n">
        <v>0</v>
      </c>
      <c r="N25" s="20" t="n">
        <v>0</v>
      </c>
      <c r="O25" s="18" t="n">
        <v>0</v>
      </c>
      <c r="P25" s="20" t="n">
        <v>0</v>
      </c>
      <c r="Q25" s="18" t="n">
        <v>6.79333438</v>
      </c>
      <c r="R25" s="20" t="n">
        <v>1.45320207</v>
      </c>
    </row>
    <row r="26" spans="1:18">
      <c r="A26" s="15" t="s">
        <v>584</v>
      </c>
      <c r="B26" s="17" t="n">
        <v>2419</v>
      </c>
      <c r="C26" s="18">
        <f>(2143.0/B26*100)</f>
        <v/>
      </c>
      <c r="D26" s="19" t="n">
        <v>276</v>
      </c>
      <c r="E26" s="18" t="n">
        <v>11.96206849</v>
      </c>
      <c r="F26" s="20" t="n">
        <v>2.09387364</v>
      </c>
      <c r="G26" s="18" t="n">
        <v>84.08969552000001</v>
      </c>
      <c r="H26" s="20" t="n">
        <v>2.52852979</v>
      </c>
      <c r="I26" s="18" t="n">
        <v>0</v>
      </c>
      <c r="J26" s="20" t="n">
        <v>0</v>
      </c>
      <c r="K26" s="18" t="n">
        <v>0</v>
      </c>
      <c r="L26" s="20" t="n">
        <v>0</v>
      </c>
      <c r="M26" s="18" t="n">
        <v>0.33157505</v>
      </c>
      <c r="N26" s="20" t="n">
        <v>0.33544117</v>
      </c>
      <c r="O26" s="18" t="n">
        <v>0</v>
      </c>
      <c r="P26" s="20" t="n">
        <v>0</v>
      </c>
      <c r="Q26" s="18" t="n">
        <v>3.61666094</v>
      </c>
      <c r="R26" s="20" t="n">
        <v>1.16570776</v>
      </c>
    </row>
    <row r="27" spans="1:18">
      <c r="A27" s="15" t="s">
        <v>585</v>
      </c>
      <c r="B27" s="17" t="n">
        <v>2683</v>
      </c>
      <c r="C27" s="18">
        <f>(2383.0/B27*100)</f>
        <v/>
      </c>
      <c r="D27" s="19" t="n">
        <v>300</v>
      </c>
      <c r="E27" s="18" t="n">
        <v>16.67725205</v>
      </c>
      <c r="F27" s="20" t="n">
        <v>2.52962304</v>
      </c>
      <c r="G27" s="18" t="n">
        <v>72.51861577</v>
      </c>
      <c r="H27" s="20" t="n">
        <v>2.81801188</v>
      </c>
      <c r="I27" s="18" t="n">
        <v>0</v>
      </c>
      <c r="J27" s="20" t="n">
        <v>0</v>
      </c>
      <c r="K27" s="18" t="n">
        <v>0</v>
      </c>
      <c r="L27" s="20" t="n">
        <v>0</v>
      </c>
      <c r="M27" s="18" t="n">
        <v>0</v>
      </c>
      <c r="N27" s="20" t="n">
        <v>0</v>
      </c>
      <c r="O27" s="18" t="n">
        <v>0</v>
      </c>
      <c r="P27" s="20" t="n">
        <v>0</v>
      </c>
      <c r="Q27" s="18" t="n">
        <v>10.80413218</v>
      </c>
      <c r="R27" s="20" t="n">
        <v>1.92048396</v>
      </c>
    </row>
    <row r="28" spans="1:18">
      <c r="A28" s="15" t="s">
        <v>586</v>
      </c>
      <c r="B28" s="17" t="n">
        <v>3803</v>
      </c>
      <c r="C28" s="18">
        <f>(3402.0/B28*100)</f>
        <v/>
      </c>
      <c r="D28" s="19" t="n">
        <v>401</v>
      </c>
      <c r="E28" s="18" t="n">
        <v>58.77776218</v>
      </c>
      <c r="F28" s="20" t="n">
        <v>2.86161029</v>
      </c>
      <c r="G28" s="18" t="n">
        <v>36.70679005</v>
      </c>
      <c r="H28" s="20" t="n">
        <v>2.87850663</v>
      </c>
      <c r="I28" s="18" t="n">
        <v>0</v>
      </c>
      <c r="J28" s="20" t="n">
        <v>0</v>
      </c>
      <c r="K28" s="18" t="n">
        <v>0.84297928</v>
      </c>
      <c r="L28" s="20" t="n">
        <v>0.64259106</v>
      </c>
      <c r="M28" s="18" t="n">
        <v>0.41482902</v>
      </c>
      <c r="N28" s="20" t="n">
        <v>0.41596374</v>
      </c>
      <c r="O28" s="18" t="n">
        <v>0</v>
      </c>
      <c r="P28" s="20" t="n">
        <v>0</v>
      </c>
      <c r="Q28" s="18" t="n">
        <v>3.25763948</v>
      </c>
      <c r="R28" s="20" t="n">
        <v>1.04183227</v>
      </c>
    </row>
    <row r="29" spans="1:18">
      <c r="A29" s="15" t="s">
        <v>587</v>
      </c>
      <c r="B29" s="17" t="n">
        <v>2700</v>
      </c>
      <c r="C29" s="18">
        <f>(2422.0/B29*100)</f>
        <v/>
      </c>
      <c r="D29" s="19" t="n">
        <v>278</v>
      </c>
      <c r="E29" s="18" t="n">
        <v>13.47559712</v>
      </c>
      <c r="F29" s="20" t="n">
        <v>2.09107966</v>
      </c>
      <c r="G29" s="18" t="n">
        <v>84.84432085</v>
      </c>
      <c r="H29" s="20" t="n">
        <v>2.1094365</v>
      </c>
      <c r="I29" s="18" t="n">
        <v>0</v>
      </c>
      <c r="J29" s="20" t="n">
        <v>0</v>
      </c>
      <c r="K29" s="18" t="n">
        <v>0</v>
      </c>
      <c r="L29" s="20" t="n">
        <v>0</v>
      </c>
      <c r="M29" s="18" t="n">
        <v>0</v>
      </c>
      <c r="N29" s="20" t="n">
        <v>0</v>
      </c>
      <c r="O29" s="18" t="n">
        <v>0</v>
      </c>
      <c r="P29" s="20" t="n">
        <v>0</v>
      </c>
      <c r="Q29" s="18" t="n">
        <v>1.68008203</v>
      </c>
      <c r="R29" s="20" t="n">
        <v>0.77843204</v>
      </c>
    </row>
    <row r="30" spans="1:18">
      <c r="A30" s="15" t="s">
        <v>588</v>
      </c>
      <c r="B30" s="17" t="n">
        <v>2257</v>
      </c>
      <c r="C30" s="18">
        <f>(2009.0/B30*100)</f>
        <v/>
      </c>
      <c r="D30" s="19" t="n">
        <v>248</v>
      </c>
      <c r="E30" s="18" t="n">
        <v>15.59809693</v>
      </c>
      <c r="F30" s="20" t="n">
        <v>2.49223023</v>
      </c>
      <c r="G30" s="18" t="n">
        <v>75.5874116</v>
      </c>
      <c r="H30" s="20" t="n">
        <v>2.54726772</v>
      </c>
      <c r="I30" s="18" t="n">
        <v>0</v>
      </c>
      <c r="J30" s="20" t="n">
        <v>0</v>
      </c>
      <c r="K30" s="18" t="n">
        <v>1.29995784</v>
      </c>
      <c r="L30" s="20" t="n">
        <v>0.77144643</v>
      </c>
      <c r="M30" s="18" t="n">
        <v>0</v>
      </c>
      <c r="N30" s="20" t="n">
        <v>0</v>
      </c>
      <c r="O30" s="18" t="n">
        <v>0</v>
      </c>
      <c r="P30" s="20" t="n">
        <v>0</v>
      </c>
      <c r="Q30" s="18" t="n">
        <v>7.51453363</v>
      </c>
      <c r="R30" s="20" t="n">
        <v>1.65053351</v>
      </c>
    </row>
    <row r="31" spans="1:18">
      <c r="A31" s="15" t="s">
        <v>589</v>
      </c>
      <c r="B31" s="17" t="n">
        <v>2706</v>
      </c>
      <c r="C31" s="18">
        <f>(2404.0/B31*100)</f>
        <v/>
      </c>
      <c r="D31" s="19" t="n">
        <v>302</v>
      </c>
      <c r="E31" s="18" t="n">
        <v>10.10342148</v>
      </c>
      <c r="F31" s="20" t="n">
        <v>1.50863314</v>
      </c>
      <c r="G31" s="18" t="n">
        <v>81.90106578</v>
      </c>
      <c r="H31" s="20" t="n">
        <v>1.93523749</v>
      </c>
      <c r="I31" s="18" t="n">
        <v>0</v>
      </c>
      <c r="J31" s="20" t="n">
        <v>0</v>
      </c>
      <c r="K31" s="18" t="n">
        <v>0.66074751</v>
      </c>
      <c r="L31" s="20" t="n">
        <v>0.46248363</v>
      </c>
      <c r="M31" s="18" t="n">
        <v>0</v>
      </c>
      <c r="N31" s="20" t="n">
        <v>0</v>
      </c>
      <c r="O31" s="18" t="n">
        <v>0</v>
      </c>
      <c r="P31" s="20" t="n">
        <v>0</v>
      </c>
      <c r="Q31" s="18" t="n">
        <v>7.33476523</v>
      </c>
      <c r="R31" s="20" t="n">
        <v>1.79100861</v>
      </c>
    </row>
    <row r="32" spans="1:18">
      <c r="A32" s="15" t="s">
        <v>590</v>
      </c>
      <c r="B32" s="17" t="n">
        <v>2209</v>
      </c>
      <c r="C32" s="18">
        <f>(1968.0/B32*100)</f>
        <v/>
      </c>
      <c r="D32" s="19" t="n">
        <v>241</v>
      </c>
      <c r="E32" s="18" t="n">
        <v>10.34625768</v>
      </c>
      <c r="F32" s="20" t="n">
        <v>1.95941105</v>
      </c>
      <c r="G32" s="18" t="n">
        <v>82.61242059999999</v>
      </c>
      <c r="H32" s="20" t="n">
        <v>2.21136463</v>
      </c>
      <c r="I32" s="18" t="n">
        <v>0</v>
      </c>
      <c r="J32" s="20" t="n">
        <v>0</v>
      </c>
      <c r="K32" s="18" t="n">
        <v>0</v>
      </c>
      <c r="L32" s="20" t="n">
        <v>0</v>
      </c>
      <c r="M32" s="18" t="n">
        <v>0</v>
      </c>
      <c r="N32" s="20" t="n">
        <v>0</v>
      </c>
      <c r="O32" s="18" t="n">
        <v>0</v>
      </c>
      <c r="P32" s="20" t="n">
        <v>0</v>
      </c>
      <c r="Q32" s="18" t="n">
        <v>7.04132173</v>
      </c>
      <c r="R32" s="20" t="n">
        <v>1.65461021</v>
      </c>
    </row>
    <row r="33" spans="1:18">
      <c r="A33" s="15" t="s">
        <v>591</v>
      </c>
      <c r="B33" s="17" t="n">
        <v>3651</v>
      </c>
      <c r="C33" s="18">
        <f>(3248.0/B33*100)</f>
        <v/>
      </c>
      <c r="D33" s="19" t="n">
        <v>403</v>
      </c>
      <c r="E33" s="18" t="n">
        <v>19.61472794</v>
      </c>
      <c r="F33" s="20" t="n">
        <v>2.58777428</v>
      </c>
      <c r="G33" s="18" t="n">
        <v>68.33252582</v>
      </c>
      <c r="H33" s="20" t="n">
        <v>2.86121567</v>
      </c>
      <c r="I33" s="18" t="n">
        <v>0</v>
      </c>
      <c r="J33" s="20" t="n">
        <v>0</v>
      </c>
      <c r="K33" s="18" t="n">
        <v>0.41955645</v>
      </c>
      <c r="L33" s="20" t="n">
        <v>0.40097032</v>
      </c>
      <c r="M33" s="18" t="n">
        <v>0</v>
      </c>
      <c r="N33" s="20" t="n">
        <v>0</v>
      </c>
      <c r="O33" s="18" t="n">
        <v>0</v>
      </c>
      <c r="P33" s="20" t="n">
        <v>0</v>
      </c>
      <c r="Q33" s="18" t="n">
        <v>11.63318978</v>
      </c>
      <c r="R33" s="20" t="n">
        <v>2.16253965</v>
      </c>
    </row>
    <row r="34" spans="1:18">
      <c r="A34" s="15" t="s">
        <v>592</v>
      </c>
      <c r="B34" s="17" t="n">
        <v>3035</v>
      </c>
      <c r="C34" s="18">
        <f>(2683.0/B34*100)</f>
        <v/>
      </c>
      <c r="D34" s="19" t="n">
        <v>352</v>
      </c>
      <c r="E34" s="18" t="n">
        <v>19.58334852</v>
      </c>
      <c r="F34" s="20" t="n">
        <v>1.76761928</v>
      </c>
      <c r="G34" s="18" t="n">
        <v>70.46746428</v>
      </c>
      <c r="H34" s="20" t="n">
        <v>2.02888508</v>
      </c>
      <c r="I34" s="18" t="n">
        <v>0</v>
      </c>
      <c r="J34" s="20" t="n">
        <v>0</v>
      </c>
      <c r="K34" s="18" t="n">
        <v>0.24955172</v>
      </c>
      <c r="L34" s="20" t="n">
        <v>0.26045164</v>
      </c>
      <c r="M34" s="18" t="n">
        <v>0.54481261</v>
      </c>
      <c r="N34" s="20" t="n">
        <v>0.38176371</v>
      </c>
      <c r="O34" s="18" t="n">
        <v>0</v>
      </c>
      <c r="P34" s="20" t="n">
        <v>0</v>
      </c>
      <c r="Q34" s="18" t="n">
        <v>9.154822879999999</v>
      </c>
      <c r="R34" s="20" t="n">
        <v>1.4124957</v>
      </c>
    </row>
    <row r="35" spans="1:18">
      <c r="A35" s="15" t="s">
        <v>593</v>
      </c>
      <c r="B35" s="17" t="n">
        <v>2901</v>
      </c>
      <c r="C35" s="18">
        <f>(2574.0/B35*100)</f>
        <v/>
      </c>
      <c r="D35" s="19" t="n">
        <v>327</v>
      </c>
      <c r="E35" s="18" t="n">
        <v>10.03700013</v>
      </c>
      <c r="F35" s="20" t="n">
        <v>1.78535756</v>
      </c>
      <c r="G35" s="18" t="n">
        <v>86.21364962</v>
      </c>
      <c r="H35" s="20" t="n">
        <v>2.05864881</v>
      </c>
      <c r="I35" s="18" t="n">
        <v>0</v>
      </c>
      <c r="J35" s="20" t="n">
        <v>0</v>
      </c>
      <c r="K35" s="18" t="n">
        <v>0.16036806</v>
      </c>
      <c r="L35" s="20" t="n">
        <v>0.15974908</v>
      </c>
      <c r="M35" s="18" t="n">
        <v>0</v>
      </c>
      <c r="N35" s="20" t="n">
        <v>0</v>
      </c>
      <c r="O35" s="18" t="n">
        <v>0</v>
      </c>
      <c r="P35" s="20" t="n">
        <v>0</v>
      </c>
      <c r="Q35" s="18" t="n">
        <v>3.58898219</v>
      </c>
      <c r="R35" s="20" t="n">
        <v>0.95019532</v>
      </c>
    </row>
    <row r="36" spans="1:18">
      <c r="A36" s="15" t="s">
        <v>594</v>
      </c>
      <c r="B36" s="17" t="n">
        <v>3404</v>
      </c>
      <c r="C36" s="18">
        <f>(2997.0/B36*100)</f>
        <v/>
      </c>
      <c r="D36" s="19" t="n">
        <v>407</v>
      </c>
      <c r="E36" s="18" t="n">
        <v>26.58714647</v>
      </c>
      <c r="F36" s="20" t="n">
        <v>2.21228416</v>
      </c>
      <c r="G36" s="18" t="n">
        <v>65.16711192</v>
      </c>
      <c r="H36" s="20" t="n">
        <v>2.5996333</v>
      </c>
      <c r="I36" s="18" t="n">
        <v>0</v>
      </c>
      <c r="J36" s="20" t="n">
        <v>0</v>
      </c>
      <c r="K36" s="18" t="n">
        <v>0.31547961</v>
      </c>
      <c r="L36" s="20" t="n">
        <v>0.26034822</v>
      </c>
      <c r="M36" s="18" t="n">
        <v>0.23552276</v>
      </c>
      <c r="N36" s="20" t="n">
        <v>0.23342853</v>
      </c>
      <c r="O36" s="18" t="n">
        <v>0</v>
      </c>
      <c r="P36" s="20" t="n">
        <v>0</v>
      </c>
      <c r="Q36" s="18" t="n">
        <v>7.69473924</v>
      </c>
      <c r="R36" s="20" t="n">
        <v>1.44138659</v>
      </c>
    </row>
    <row r="37" spans="1:18">
      <c r="A37" s="15" t="s">
        <v>595</v>
      </c>
      <c r="B37" s="17" t="n">
        <v>2731</v>
      </c>
      <c r="C37" s="18">
        <f>(2431.0/B37*100)</f>
        <v/>
      </c>
      <c r="D37" s="19" t="n">
        <v>300</v>
      </c>
      <c r="E37" s="18" t="n">
        <v>7.6209519</v>
      </c>
      <c r="F37" s="20" t="n">
        <v>1.46757519</v>
      </c>
      <c r="G37" s="18" t="n">
        <v>83.81571338000001</v>
      </c>
      <c r="H37" s="20" t="n">
        <v>2.1167495</v>
      </c>
      <c r="I37" s="18" t="n">
        <v>0</v>
      </c>
      <c r="J37" s="20" t="n">
        <v>0</v>
      </c>
      <c r="K37" s="18" t="n">
        <v>0.95193613</v>
      </c>
      <c r="L37" s="20" t="n">
        <v>0.5498529</v>
      </c>
      <c r="M37" s="18" t="n">
        <v>0</v>
      </c>
      <c r="N37" s="20" t="n">
        <v>0</v>
      </c>
      <c r="O37" s="18" t="n">
        <v>0</v>
      </c>
      <c r="P37" s="20" t="n">
        <v>0</v>
      </c>
      <c r="Q37" s="18" t="n">
        <v>7.61139859</v>
      </c>
      <c r="R37" s="20" t="n">
        <v>1.49689127</v>
      </c>
    </row>
    <row r="38" spans="1:18">
      <c r="A38" s="15" t="s">
        <v>596</v>
      </c>
      <c r="B38" s="17" t="n">
        <v>2807</v>
      </c>
      <c r="C38" s="18">
        <f>(2496.0/B38*100)</f>
        <v/>
      </c>
      <c r="D38" s="19" t="n">
        <v>311</v>
      </c>
      <c r="E38" s="18" t="n">
        <v>10.57957202</v>
      </c>
      <c r="F38" s="20" t="n">
        <v>1.98433825</v>
      </c>
      <c r="G38" s="18" t="n">
        <v>74.12864075</v>
      </c>
      <c r="H38" s="20" t="n">
        <v>2.74561023</v>
      </c>
      <c r="I38" s="18" t="n">
        <v>0</v>
      </c>
      <c r="J38" s="20" t="n">
        <v>0</v>
      </c>
      <c r="K38" s="18" t="n">
        <v>0</v>
      </c>
      <c r="L38" s="20" t="n">
        <v>0</v>
      </c>
      <c r="M38" s="18" t="n">
        <v>4.3825594</v>
      </c>
      <c r="N38" s="20" t="n">
        <v>1.13891606</v>
      </c>
      <c r="O38" s="18" t="n">
        <v>0</v>
      </c>
      <c r="P38" s="20" t="n">
        <v>0</v>
      </c>
      <c r="Q38" s="18" t="n">
        <v>10.90922783</v>
      </c>
      <c r="R38" s="20" t="n">
        <v>1.91159494</v>
      </c>
    </row>
    <row r="39" spans="1:18">
      <c r="A39" s="15" t="s">
        <v>597</v>
      </c>
      <c r="B39" s="17" t="n">
        <v>2938</v>
      </c>
      <c r="C39" s="18">
        <f>(2633.0/B39*100)</f>
        <v/>
      </c>
      <c r="D39" s="19" t="n">
        <v>305</v>
      </c>
      <c r="E39" s="18" t="n">
        <v>25.12454165</v>
      </c>
      <c r="F39" s="20" t="n">
        <v>2.82078402</v>
      </c>
      <c r="G39" s="18" t="n">
        <v>65.47994638999999</v>
      </c>
      <c r="H39" s="20" t="n">
        <v>3.15033995</v>
      </c>
      <c r="I39" s="18" t="n">
        <v>0</v>
      </c>
      <c r="J39" s="20" t="n">
        <v>0</v>
      </c>
      <c r="K39" s="18" t="n">
        <v>0</v>
      </c>
      <c r="L39" s="20" t="n">
        <v>0</v>
      </c>
      <c r="M39" s="18" t="n">
        <v>0</v>
      </c>
      <c r="N39" s="20" t="n">
        <v>0</v>
      </c>
      <c r="O39" s="18" t="n">
        <v>0</v>
      </c>
      <c r="P39" s="20" t="n">
        <v>0</v>
      </c>
      <c r="Q39" s="18" t="n">
        <v>9.39551196</v>
      </c>
      <c r="R39" s="20" t="n">
        <v>1.74401631</v>
      </c>
    </row>
    <row r="40" spans="1:18">
      <c r="A40" s="15" t="s">
        <v>598</v>
      </c>
      <c r="B40" s="17" t="n">
        <v>6922</v>
      </c>
      <c r="C40" s="18">
        <f>(6132.0/B40*100)</f>
        <v/>
      </c>
      <c r="D40" s="19" t="n">
        <v>790</v>
      </c>
      <c r="E40" s="18" t="n">
        <v>14.56052174</v>
      </c>
      <c r="F40" s="20" t="n">
        <v>1.64807133</v>
      </c>
      <c r="G40" s="18" t="n">
        <v>78.2942158</v>
      </c>
      <c r="H40" s="20" t="n">
        <v>2.07883989</v>
      </c>
      <c r="I40" s="18" t="n">
        <v>0</v>
      </c>
      <c r="J40" s="20" t="n">
        <v>0</v>
      </c>
      <c r="K40" s="18" t="n">
        <v>0.09494129</v>
      </c>
      <c r="L40" s="20" t="n">
        <v>0.06358442</v>
      </c>
      <c r="M40" s="18" t="n">
        <v>0</v>
      </c>
      <c r="N40" s="20" t="n">
        <v>0</v>
      </c>
      <c r="O40" s="18" t="n">
        <v>0</v>
      </c>
      <c r="P40" s="20" t="n">
        <v>0</v>
      </c>
      <c r="Q40" s="18" t="n">
        <v>7.05032117</v>
      </c>
      <c r="R40" s="20" t="n">
        <v>1.50582877</v>
      </c>
    </row>
    <row r="41" spans="1:18">
      <c r="A41" s="15" t="s">
        <v>599</v>
      </c>
      <c r="B41" s="17" t="n">
        <v>2854</v>
      </c>
      <c r="C41" s="18">
        <f>(2550.0/B41*100)</f>
        <v/>
      </c>
      <c r="D41" s="19" t="n">
        <v>304</v>
      </c>
      <c r="E41" s="18" t="n">
        <v>28.17382753</v>
      </c>
      <c r="F41" s="20" t="n">
        <v>2.56408563</v>
      </c>
      <c r="G41" s="18" t="n">
        <v>68.77626235</v>
      </c>
      <c r="H41" s="20" t="n">
        <v>2.68779552</v>
      </c>
      <c r="I41" s="18" t="n">
        <v>0</v>
      </c>
      <c r="J41" s="20" t="n">
        <v>0</v>
      </c>
      <c r="K41" s="18" t="n">
        <v>0.37470142</v>
      </c>
      <c r="L41" s="20" t="n">
        <v>0.37971312</v>
      </c>
      <c r="M41" s="18" t="n">
        <v>0</v>
      </c>
      <c r="N41" s="20" t="n">
        <v>0</v>
      </c>
      <c r="O41" s="18" t="n">
        <v>0</v>
      </c>
      <c r="P41" s="20" t="n">
        <v>0</v>
      </c>
      <c r="Q41" s="18" t="n">
        <v>2.6752087</v>
      </c>
      <c r="R41" s="20" t="n">
        <v>1.20424376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(10979.0/B46*100)</f>
        <v/>
      </c>
      <c r="D46" s="19" t="n">
        <v>1094</v>
      </c>
      <c r="E46" s="18" t="n">
        <v>39.04450034</v>
      </c>
      <c r="F46" s="20" t="n">
        <v>1.81086042</v>
      </c>
      <c r="G46" s="18" t="n">
        <v>38.15761296</v>
      </c>
      <c r="H46" s="20" t="n">
        <v>2.17924398</v>
      </c>
      <c r="I46" s="18" t="n">
        <v>0</v>
      </c>
      <c r="J46" s="20" t="n">
        <v>0</v>
      </c>
      <c r="K46" s="18" t="n">
        <v>1.29079458</v>
      </c>
      <c r="L46" s="20" t="n">
        <v>0.39239254</v>
      </c>
      <c r="M46" s="18" t="n">
        <v>0.30733704</v>
      </c>
      <c r="N46" s="20" t="n">
        <v>0.21106395</v>
      </c>
      <c r="O46" s="18" t="n">
        <v>0</v>
      </c>
      <c r="P46" s="20" t="n">
        <v>0</v>
      </c>
      <c r="Q46" s="18" t="n">
        <v>21.19975508</v>
      </c>
      <c r="R46" s="20" t="n">
        <v>1.56088069</v>
      </c>
    </row>
    <row r="47" spans="1:18">
      <c r="A47" s="15" t="s">
        <v>606</v>
      </c>
      <c r="B47" s="17" t="n">
        <v>2823</v>
      </c>
      <c r="C47" s="18">
        <f>(2515.0/B47*100)</f>
        <v/>
      </c>
      <c r="D47" s="19" t="n">
        <v>308</v>
      </c>
      <c r="E47" s="18" t="n">
        <v>14.10492274</v>
      </c>
      <c r="F47" s="20" t="n">
        <v>1.84615876</v>
      </c>
      <c r="G47" s="18" t="n">
        <v>65.97623089</v>
      </c>
      <c r="H47" s="20" t="n">
        <v>3.05486908</v>
      </c>
      <c r="I47" s="18" t="n">
        <v>0</v>
      </c>
      <c r="J47" s="20" t="n">
        <v>0</v>
      </c>
      <c r="K47" s="18" t="n">
        <v>0</v>
      </c>
      <c r="L47" s="20" t="n">
        <v>0</v>
      </c>
      <c r="M47" s="18" t="n">
        <v>0.32765711</v>
      </c>
      <c r="N47" s="20" t="n">
        <v>0.3154202</v>
      </c>
      <c r="O47" s="18" t="n">
        <v>0</v>
      </c>
      <c r="P47" s="20" t="n">
        <v>0</v>
      </c>
      <c r="Q47" s="18" t="n">
        <v>19.59118925</v>
      </c>
      <c r="R47" s="20" t="n">
        <v>2.41522914</v>
      </c>
    </row>
    <row r="48" spans="1:18">
      <c r="A48" s="15" t="s">
        <v>607</v>
      </c>
      <c r="B48" s="17" t="n">
        <v>4682</v>
      </c>
      <c r="C48" s="18">
        <f>(4152.0/B48*100)</f>
        <v/>
      </c>
      <c r="D48" s="19" t="n">
        <v>530</v>
      </c>
      <c r="E48" s="18" t="n">
        <v>13.71822966</v>
      </c>
      <c r="F48" s="20" t="n">
        <v>1.75515314</v>
      </c>
      <c r="G48" s="18" t="n">
        <v>80.15678081999999</v>
      </c>
      <c r="H48" s="20" t="n">
        <v>2.2424446</v>
      </c>
      <c r="I48" s="18" t="n">
        <v>0</v>
      </c>
      <c r="J48" s="20" t="n">
        <v>0</v>
      </c>
      <c r="K48" s="18" t="n">
        <v>0.89231169</v>
      </c>
      <c r="L48" s="20" t="n">
        <v>0.59040837</v>
      </c>
      <c r="M48" s="18" t="n">
        <v>0</v>
      </c>
      <c r="N48" s="20" t="n">
        <v>0</v>
      </c>
      <c r="O48" s="18" t="n">
        <v>0</v>
      </c>
      <c r="P48" s="20" t="n">
        <v>0</v>
      </c>
      <c r="Q48" s="18" t="n">
        <v>5.23267784</v>
      </c>
      <c r="R48" s="20" t="n">
        <v>1.30266915</v>
      </c>
    </row>
    <row r="49" spans="1:18">
      <c r="A49" s="15" t="s">
        <v>608</v>
      </c>
      <c r="B49" s="17" t="n">
        <v>6158</v>
      </c>
      <c r="C49" s="18">
        <f>(5498.0/B49*100)</f>
        <v/>
      </c>
      <c r="D49" s="19" t="n">
        <v>660</v>
      </c>
      <c r="E49" s="18" t="n">
        <v>65.30493482999999</v>
      </c>
      <c r="F49" s="20" t="n">
        <v>2.46465494</v>
      </c>
      <c r="G49" s="18" t="n">
        <v>27.54961932</v>
      </c>
      <c r="H49" s="20" t="n">
        <v>2.26603076</v>
      </c>
      <c r="I49" s="18" t="n">
        <v>0</v>
      </c>
      <c r="J49" s="20" t="n">
        <v>0</v>
      </c>
      <c r="K49" s="18" t="n">
        <v>1.0017666</v>
      </c>
      <c r="L49" s="20" t="n">
        <v>0.55133827</v>
      </c>
      <c r="M49" s="18" t="n">
        <v>0.00814428</v>
      </c>
      <c r="N49" s="20" t="n">
        <v>0.008208160000000001</v>
      </c>
      <c r="O49" s="18" t="n">
        <v>0</v>
      </c>
      <c r="P49" s="20" t="n">
        <v>0</v>
      </c>
      <c r="Q49" s="18" t="n">
        <v>6.13553496</v>
      </c>
      <c r="R49" s="20" t="n">
        <v>1.45043637</v>
      </c>
    </row>
    <row r="50" spans="1:18">
      <c r="A50" s="15" t="s">
        <v>609</v>
      </c>
      <c r="B50" s="17" t="n">
        <v>3494</v>
      </c>
      <c r="C50" s="18">
        <f>(3146.0/B50*100)</f>
        <v/>
      </c>
      <c r="D50" s="19" t="n">
        <v>348</v>
      </c>
      <c r="E50" s="18" t="n">
        <v>47.89592592</v>
      </c>
      <c r="F50" s="20" t="n">
        <v>2.82796698</v>
      </c>
      <c r="G50" s="18" t="n">
        <v>42.63489344</v>
      </c>
      <c r="H50" s="20" t="n">
        <v>2.96585005</v>
      </c>
      <c r="I50" s="18" t="n">
        <v>0</v>
      </c>
      <c r="J50" s="20" t="n">
        <v>0</v>
      </c>
      <c r="K50" s="18" t="n">
        <v>1.38936796</v>
      </c>
      <c r="L50" s="20" t="n">
        <v>0.59213412</v>
      </c>
      <c r="M50" s="18" t="n">
        <v>0.34954469</v>
      </c>
      <c r="N50" s="20" t="n">
        <v>0.32742168</v>
      </c>
      <c r="O50" s="18" t="n">
        <v>0</v>
      </c>
      <c r="P50" s="20" t="n">
        <v>0</v>
      </c>
      <c r="Q50" s="18" t="n">
        <v>7.73026799</v>
      </c>
      <c r="R50" s="20" t="n">
        <v>1.63401729</v>
      </c>
    </row>
    <row r="51" spans="1:18">
      <c r="A51" s="15" t="s">
        <v>610</v>
      </c>
      <c r="B51" s="17" t="n">
        <v>3013</v>
      </c>
      <c r="C51" s="18">
        <f>(2690.0/B51*100)</f>
        <v/>
      </c>
      <c r="D51" s="19" t="n">
        <v>323</v>
      </c>
      <c r="E51" s="18" t="n">
        <v>5.81753257</v>
      </c>
      <c r="F51" s="20" t="n">
        <v>1.35445526</v>
      </c>
      <c r="G51" s="18" t="n">
        <v>82.02172843</v>
      </c>
      <c r="H51" s="20" t="n">
        <v>2.15463558</v>
      </c>
      <c r="I51" s="18" t="n">
        <v>0</v>
      </c>
      <c r="J51" s="20" t="n">
        <v>0</v>
      </c>
      <c r="K51" s="18" t="n">
        <v>0</v>
      </c>
      <c r="L51" s="20" t="n">
        <v>0</v>
      </c>
      <c r="M51" s="18" t="n">
        <v>0</v>
      </c>
      <c r="N51" s="20" t="n">
        <v>0</v>
      </c>
      <c r="O51" s="18" t="n">
        <v>0</v>
      </c>
      <c r="P51" s="20" t="n">
        <v>0</v>
      </c>
      <c r="Q51" s="18" t="n">
        <v>12.160739</v>
      </c>
      <c r="R51" s="20" t="n">
        <v>2.00089569</v>
      </c>
    </row>
    <row r="52" spans="1:18">
      <c r="A52" s="15" t="s">
        <v>611</v>
      </c>
      <c r="B52" s="17" t="n">
        <v>2760</v>
      </c>
      <c r="C52" s="18">
        <f>(2461.0/B52*100)</f>
        <v/>
      </c>
      <c r="D52" s="19" t="n">
        <v>299</v>
      </c>
      <c r="E52" s="18" t="n">
        <v>29.41677931</v>
      </c>
      <c r="F52" s="20" t="n">
        <v>2.556526</v>
      </c>
      <c r="G52" s="18" t="n">
        <v>56.78642362</v>
      </c>
      <c r="H52" s="20" t="n">
        <v>2.55139865</v>
      </c>
      <c r="I52" s="18" t="n">
        <v>0</v>
      </c>
      <c r="J52" s="20" t="n">
        <v>0</v>
      </c>
      <c r="K52" s="18" t="n">
        <v>1.0061785</v>
      </c>
      <c r="L52" s="20" t="n">
        <v>0.57829464</v>
      </c>
      <c r="M52" s="18" t="n">
        <v>0</v>
      </c>
      <c r="N52" s="20" t="n">
        <v>0</v>
      </c>
      <c r="O52" s="18" t="n">
        <v>0</v>
      </c>
      <c r="P52" s="20" t="n">
        <v>0</v>
      </c>
      <c r="Q52" s="18" t="n">
        <v>12.79061858</v>
      </c>
      <c r="R52" s="20" t="n">
        <v>1.54815424</v>
      </c>
    </row>
    <row r="53" spans="1:18">
      <c r="A53" s="15" t="s">
        <v>612</v>
      </c>
      <c r="B53" s="17" t="n">
        <v>2474</v>
      </c>
      <c r="C53" s="18">
        <f>(2194.0/B53*100)</f>
        <v/>
      </c>
      <c r="D53" s="19" t="n">
        <v>280</v>
      </c>
      <c r="E53" s="18" t="n">
        <v>55.04544338</v>
      </c>
      <c r="F53" s="20" t="n">
        <v>3.07000323</v>
      </c>
      <c r="G53" s="18" t="n">
        <v>13.07580022</v>
      </c>
      <c r="H53" s="20" t="n">
        <v>2.29703371</v>
      </c>
      <c r="I53" s="18" t="n">
        <v>0</v>
      </c>
      <c r="J53" s="20" t="n">
        <v>0</v>
      </c>
      <c r="K53" s="18" t="n">
        <v>16.41302511</v>
      </c>
      <c r="L53" s="20" t="n">
        <v>2.80337311</v>
      </c>
      <c r="M53" s="18" t="n">
        <v>0.78954116</v>
      </c>
      <c r="N53" s="20" t="n">
        <v>0.8528979799999999</v>
      </c>
      <c r="O53" s="18" t="n">
        <v>0</v>
      </c>
      <c r="P53" s="20" t="n">
        <v>0</v>
      </c>
      <c r="Q53" s="18" t="n">
        <v>14.67619013</v>
      </c>
      <c r="R53" s="20" t="n">
        <v>2.2663981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(2393.0/B55*100)</f>
        <v/>
      </c>
      <c r="D55" s="19" t="n">
        <v>282</v>
      </c>
      <c r="E55" s="18" t="n">
        <v>9.94409018</v>
      </c>
      <c r="F55" s="20" t="n">
        <v>1.77795764</v>
      </c>
      <c r="G55" s="18" t="n">
        <v>88.10828936999999</v>
      </c>
      <c r="H55" s="20" t="n">
        <v>1.91498055</v>
      </c>
      <c r="I55" s="18" t="n">
        <v>0</v>
      </c>
      <c r="J55" s="20" t="n">
        <v>0</v>
      </c>
      <c r="K55" s="18" t="n">
        <v>0</v>
      </c>
      <c r="L55" s="20" t="n">
        <v>0</v>
      </c>
      <c r="M55" s="18" t="n">
        <v>0</v>
      </c>
      <c r="N55" s="20" t="n">
        <v>0</v>
      </c>
      <c r="O55" s="18" t="n">
        <v>0</v>
      </c>
      <c r="P55" s="20" t="n">
        <v>0</v>
      </c>
      <c r="Q55" s="18" t="n">
        <v>1.94762045</v>
      </c>
      <c r="R55" s="20" t="n">
        <v>0.74726588</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(2856.0/B61*100)</f>
        <v/>
      </c>
      <c r="D61" s="19" t="n">
        <v>345</v>
      </c>
      <c r="E61" s="18" t="n">
        <v>12.4772586</v>
      </c>
      <c r="F61" s="20" t="n">
        <v>1.97101237</v>
      </c>
      <c r="G61" s="18" t="n">
        <v>78.47340483000001</v>
      </c>
      <c r="H61" s="20" t="n">
        <v>2.47761974</v>
      </c>
      <c r="I61" s="18" t="n">
        <v>0</v>
      </c>
      <c r="J61" s="20" t="n">
        <v>0</v>
      </c>
      <c r="K61" s="18" t="n">
        <v>0.8059552</v>
      </c>
      <c r="L61" s="20" t="n">
        <v>0.79288296</v>
      </c>
      <c r="M61" s="18" t="n">
        <v>0</v>
      </c>
      <c r="N61" s="20" t="n">
        <v>0</v>
      </c>
      <c r="O61" s="18" t="n">
        <v>0</v>
      </c>
      <c r="P61" s="20" t="n">
        <v>0</v>
      </c>
      <c r="Q61" s="18" t="n">
        <v>8.24338137</v>
      </c>
      <c r="R61" s="20" t="n">
        <v>1.61000036</v>
      </c>
    </row>
    <row r="62" spans="1:18">
      <c r="A62" s="15" t="s">
        <v>622</v>
      </c>
      <c r="B62" s="17" t="n">
        <v>2230</v>
      </c>
      <c r="C62" s="18">
        <f>(1962.0/B62*100)</f>
        <v/>
      </c>
      <c r="D62" s="19" t="n">
        <v>268</v>
      </c>
      <c r="E62" s="18" t="n">
        <v>16.49314731</v>
      </c>
      <c r="F62" s="20" t="n">
        <v>2.01113529</v>
      </c>
      <c r="G62" s="18" t="n">
        <v>82.39729143</v>
      </c>
      <c r="H62" s="20" t="n">
        <v>2.05101808</v>
      </c>
      <c r="I62" s="18" t="n">
        <v>0</v>
      </c>
      <c r="J62" s="20" t="n">
        <v>0</v>
      </c>
      <c r="K62" s="18" t="n">
        <v>0</v>
      </c>
      <c r="L62" s="20" t="n">
        <v>0</v>
      </c>
      <c r="M62" s="18" t="n">
        <v>0</v>
      </c>
      <c r="N62" s="20" t="n">
        <v>0</v>
      </c>
      <c r="O62" s="18" t="n">
        <v>0</v>
      </c>
      <c r="P62" s="20" t="n">
        <v>0</v>
      </c>
      <c r="Q62" s="18" t="n">
        <v>1.10956126</v>
      </c>
      <c r="R62" s="20" t="n">
        <v>0.37802238</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(2479.0/B67*100)</f>
        <v/>
      </c>
      <c r="D67" s="19" t="n">
        <v>292</v>
      </c>
      <c r="E67" s="18" t="n">
        <v>20.3446775</v>
      </c>
      <c r="F67" s="20" t="n">
        <v>2.90189983</v>
      </c>
      <c r="G67" s="18" t="n">
        <v>45.3279911</v>
      </c>
      <c r="H67" s="20" t="n">
        <v>3.01946164</v>
      </c>
      <c r="I67" s="18" t="n">
        <v>0</v>
      </c>
      <c r="J67" s="20" t="n">
        <v>0</v>
      </c>
      <c r="K67" s="18" t="n">
        <v>3.03789846</v>
      </c>
      <c r="L67" s="20" t="n">
        <v>0.90539278</v>
      </c>
      <c r="M67" s="18" t="n">
        <v>0.37110285</v>
      </c>
      <c r="N67" s="20" t="n">
        <v>0.36991937</v>
      </c>
      <c r="O67" s="18" t="n">
        <v>0</v>
      </c>
      <c r="P67" s="20" t="n">
        <v>0</v>
      </c>
      <c r="Q67" s="18" t="n">
        <v>30.91833008</v>
      </c>
      <c r="R67" s="20" t="n">
        <v>2.37978039</v>
      </c>
    </row>
    <row r="68" spans="1:18">
      <c r="A68" s="15" t="s">
        <v>628</v>
      </c>
      <c r="B68" s="17" t="n">
        <v>3460</v>
      </c>
      <c r="C68" s="18">
        <f>(3102.0/B68*100)</f>
        <v/>
      </c>
      <c r="D68" s="19" t="n">
        <v>358</v>
      </c>
      <c r="E68" s="18" t="n">
        <v>61.24434234</v>
      </c>
      <c r="F68" s="20" t="n">
        <v>2.62902644</v>
      </c>
      <c r="G68" s="18" t="n">
        <v>26.83854634</v>
      </c>
      <c r="H68" s="20" t="n">
        <v>2.2784528</v>
      </c>
      <c r="I68" s="18" t="n">
        <v>0</v>
      </c>
      <c r="J68" s="20" t="n">
        <v>0</v>
      </c>
      <c r="K68" s="18" t="n">
        <v>0.91049316</v>
      </c>
      <c r="L68" s="20" t="n">
        <v>0.52691257</v>
      </c>
      <c r="M68" s="18" t="n">
        <v>0.54155603</v>
      </c>
      <c r="N68" s="20" t="n">
        <v>0.384534</v>
      </c>
      <c r="O68" s="18" t="n">
        <v>0</v>
      </c>
      <c r="P68" s="20" t="n">
        <v>0</v>
      </c>
      <c r="Q68" s="18" t="n">
        <v>10.46506213</v>
      </c>
      <c r="R68" s="20" t="n">
        <v>2.14614473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(5342.0/B70*100)</f>
        <v/>
      </c>
      <c r="D70" s="19" t="n">
        <v>692</v>
      </c>
      <c r="E70" s="18" t="n">
        <v>39.69201364</v>
      </c>
      <c r="F70" s="20" t="n">
        <v>1.89304552</v>
      </c>
      <c r="G70" s="18" t="n">
        <v>44.22932041</v>
      </c>
      <c r="H70" s="20" t="n">
        <v>1.86803531</v>
      </c>
      <c r="I70" s="18" t="n">
        <v>0</v>
      </c>
      <c r="J70" s="20" t="n">
        <v>0</v>
      </c>
      <c r="K70" s="18" t="n">
        <v>1.93447499</v>
      </c>
      <c r="L70" s="20" t="n">
        <v>0.61272012</v>
      </c>
      <c r="M70" s="18" t="n">
        <v>0</v>
      </c>
      <c r="N70" s="20" t="n">
        <v>0</v>
      </c>
      <c r="O70" s="18" t="n">
        <v>0</v>
      </c>
      <c r="P70" s="20" t="n">
        <v>0</v>
      </c>
      <c r="Q70" s="18" t="n">
        <v>14.14419096</v>
      </c>
      <c r="R70" s="20" t="n">
        <v>1.49100117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(2779.0/B72*100)</f>
        <v/>
      </c>
      <c r="D72" s="19" t="n">
        <v>328</v>
      </c>
      <c r="E72" s="18" t="n">
        <v>31.3454554</v>
      </c>
      <c r="F72" s="20" t="n">
        <v>3.917971</v>
      </c>
      <c r="G72" s="18" t="n">
        <v>57.3969943</v>
      </c>
      <c r="H72" s="20" t="n">
        <v>4.18806337</v>
      </c>
      <c r="I72" s="18" t="n">
        <v>0</v>
      </c>
      <c r="J72" s="20" t="n">
        <v>0</v>
      </c>
      <c r="K72" s="18" t="n">
        <v>0.29250377</v>
      </c>
      <c r="L72" s="20" t="n">
        <v>0.2930439</v>
      </c>
      <c r="M72" s="18" t="n">
        <v>0</v>
      </c>
      <c r="N72" s="20" t="n">
        <v>0</v>
      </c>
      <c r="O72" s="18" t="n">
        <v>0</v>
      </c>
      <c r="P72" s="20" t="n">
        <v>0</v>
      </c>
      <c r="Q72" s="18" t="n">
        <v>10.96504652</v>
      </c>
      <c r="R72" s="20" t="n">
        <v>2.16817695</v>
      </c>
    </row>
    <row r="73" spans="1:18">
      <c r="A73" s="15" t="s">
        <v>633</v>
      </c>
      <c r="B73" s="17" t="n">
        <v>2973</v>
      </c>
      <c r="C73" s="18">
        <f>(2647.0/B73*100)</f>
        <v/>
      </c>
      <c r="D73" s="19" t="n">
        <v>326</v>
      </c>
      <c r="E73" s="18" t="n">
        <v>21.91666947</v>
      </c>
      <c r="F73" s="20" t="n">
        <v>2.59750783</v>
      </c>
      <c r="G73" s="18" t="n">
        <v>75.33947949</v>
      </c>
      <c r="H73" s="20" t="n">
        <v>2.7480273</v>
      </c>
      <c r="I73" s="18" t="n">
        <v>0</v>
      </c>
      <c r="J73" s="20" t="n">
        <v>0</v>
      </c>
      <c r="K73" s="18" t="n">
        <v>0</v>
      </c>
      <c r="L73" s="20" t="n">
        <v>0</v>
      </c>
      <c r="M73" s="18" t="n">
        <v>0.42776155</v>
      </c>
      <c r="N73" s="20" t="n">
        <v>0.43149614</v>
      </c>
      <c r="O73" s="18" t="n">
        <v>0</v>
      </c>
      <c r="P73" s="20" t="n">
        <v>0</v>
      </c>
      <c r="Q73" s="18" t="n">
        <v>2.31608949</v>
      </c>
      <c r="R73" s="20" t="n">
        <v>0.71842552</v>
      </c>
    </row>
    <row r="74" spans="1:18">
      <c r="A74" s="15" t="s">
        <v>634</v>
      </c>
      <c r="B74" s="17" t="n">
        <v>3819</v>
      </c>
      <c r="C74" s="18">
        <f>(3392.0/B74*100)</f>
        <v/>
      </c>
      <c r="D74" s="19" t="n">
        <v>427</v>
      </c>
      <c r="E74" s="18" t="n">
        <v>9.9386665</v>
      </c>
      <c r="F74" s="20" t="n">
        <v>1.62841589</v>
      </c>
      <c r="G74" s="18" t="n">
        <v>87.25423618000001</v>
      </c>
      <c r="H74" s="20" t="n">
        <v>1.64096589</v>
      </c>
      <c r="I74" s="18" t="n">
        <v>0</v>
      </c>
      <c r="J74" s="20" t="n">
        <v>0</v>
      </c>
      <c r="K74" s="18" t="n">
        <v>0</v>
      </c>
      <c r="L74" s="20" t="n">
        <v>0</v>
      </c>
      <c r="M74" s="18" t="n">
        <v>0</v>
      </c>
      <c r="N74" s="20" t="n">
        <v>0</v>
      </c>
      <c r="O74" s="18" t="n">
        <v>0</v>
      </c>
      <c r="P74" s="20" t="n">
        <v>0</v>
      </c>
      <c r="Q74" s="18" t="n">
        <v>2.80709732</v>
      </c>
      <c r="R74" s="20" t="n">
        <v>0.82187767</v>
      </c>
    </row>
    <row r="75" spans="1:18">
      <c r="A75" s="15" t="s">
        <v>635</v>
      </c>
      <c r="B75" s="17" t="n">
        <v>4652</v>
      </c>
      <c r="C75" s="18">
        <f>(4159.0/B75*100)</f>
        <v/>
      </c>
      <c r="D75" s="19" t="n">
        <v>493</v>
      </c>
      <c r="E75" s="18" t="n">
        <v>62.26869571</v>
      </c>
      <c r="F75" s="20" t="n">
        <v>2.83081902</v>
      </c>
      <c r="G75" s="18" t="n">
        <v>35.45549704</v>
      </c>
      <c r="H75" s="20" t="n">
        <v>2.86527961</v>
      </c>
      <c r="I75" s="18" t="n">
        <v>0</v>
      </c>
      <c r="J75" s="20" t="n">
        <v>0</v>
      </c>
      <c r="K75" s="18" t="n">
        <v>0</v>
      </c>
      <c r="L75" s="20" t="n">
        <v>0</v>
      </c>
      <c r="M75" s="18" t="n">
        <v>0.00989756</v>
      </c>
      <c r="N75" s="20" t="n">
        <v>0.00984404</v>
      </c>
      <c r="O75" s="18" t="n">
        <v>0</v>
      </c>
      <c r="P75" s="20" t="n">
        <v>0</v>
      </c>
      <c r="Q75" s="18" t="n">
        <v>2.26590969</v>
      </c>
      <c r="R75" s="20" t="n">
        <v>0.81086491</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(2661.0/B77*100)</f>
        <v/>
      </c>
      <c r="D77" s="19" t="n">
        <v>308</v>
      </c>
      <c r="E77" s="18" t="n">
        <v>39.64791337</v>
      </c>
      <c r="F77" s="20" t="n">
        <v>3.0602487</v>
      </c>
      <c r="G77" s="18" t="n">
        <v>31.53969902</v>
      </c>
      <c r="H77" s="20" t="n">
        <v>2.67508271</v>
      </c>
      <c r="I77" s="18" t="n">
        <v>0</v>
      </c>
      <c r="J77" s="20" t="n">
        <v>0</v>
      </c>
      <c r="K77" s="18" t="n">
        <v>3.65349056</v>
      </c>
      <c r="L77" s="20" t="n">
        <v>0.93083002</v>
      </c>
      <c r="M77" s="18" t="n">
        <v>0.99888303</v>
      </c>
      <c r="N77" s="20" t="n">
        <v>0.58610798</v>
      </c>
      <c r="O77" s="18" t="n">
        <v>0</v>
      </c>
      <c r="P77" s="20" t="n">
        <v>0</v>
      </c>
      <c r="Q77" s="18" t="n">
        <v>24.16001401</v>
      </c>
      <c r="R77" s="20" t="n">
        <v>2.54816323</v>
      </c>
    </row>
    <row r="78" spans="1:18">
      <c r="A78" s="15" t="s">
        <v>638</v>
      </c>
      <c r="B78" s="17" t="n">
        <v>7115</v>
      </c>
      <c r="C78" s="18">
        <f>(6350.0/B78*100)</f>
        <v/>
      </c>
      <c r="D78" s="19" t="n">
        <v>765</v>
      </c>
      <c r="E78" s="18" t="n">
        <v>48.48673627</v>
      </c>
      <c r="F78" s="20" t="n">
        <v>2.21383596</v>
      </c>
      <c r="G78" s="18" t="n">
        <v>47.16469468</v>
      </c>
      <c r="H78" s="20" t="n">
        <v>2.18535832</v>
      </c>
      <c r="I78" s="18" t="n">
        <v>0</v>
      </c>
      <c r="J78" s="20" t="n">
        <v>0</v>
      </c>
      <c r="K78" s="18" t="n">
        <v>0.06450863</v>
      </c>
      <c r="L78" s="20" t="n">
        <v>0.06466710000000001</v>
      </c>
      <c r="M78" s="18" t="n">
        <v>0.19675812</v>
      </c>
      <c r="N78" s="20" t="n">
        <v>0.14227304</v>
      </c>
      <c r="O78" s="18" t="n">
        <v>0</v>
      </c>
      <c r="P78" s="20" t="n">
        <v>0</v>
      </c>
      <c r="Q78" s="18" t="n">
        <v>4.08730229</v>
      </c>
      <c r="R78" s="20" t="n">
        <v>0.72787545</v>
      </c>
    </row>
    <row r="79" spans="1:18">
      <c r="A79" s="15" t="s">
        <v>639</v>
      </c>
      <c r="B79" s="17" t="n">
        <v>3154</v>
      </c>
      <c r="C79" s="18">
        <f>(2815.0/B79*100)</f>
        <v/>
      </c>
      <c r="D79" s="19" t="n">
        <v>339</v>
      </c>
      <c r="E79" s="18" t="n">
        <v>27.3877521</v>
      </c>
      <c r="F79" s="20" t="n">
        <v>2.10489392</v>
      </c>
      <c r="G79" s="18" t="n">
        <v>50.94278693</v>
      </c>
      <c r="H79" s="20" t="n">
        <v>2.79340423</v>
      </c>
      <c r="I79" s="18" t="n">
        <v>0</v>
      </c>
      <c r="J79" s="20" t="n">
        <v>0</v>
      </c>
      <c r="K79" s="18" t="n">
        <v>1.5538871</v>
      </c>
      <c r="L79" s="20" t="n">
        <v>0.68547029</v>
      </c>
      <c r="M79" s="18" t="n">
        <v>0</v>
      </c>
      <c r="N79" s="20" t="n">
        <v>0</v>
      </c>
      <c r="O79" s="18" t="n">
        <v>0</v>
      </c>
      <c r="P79" s="20" t="n">
        <v>0</v>
      </c>
      <c r="Q79" s="18" t="n">
        <v>20.11557387</v>
      </c>
      <c r="R79" s="20" t="n">
        <v>2.50501175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(14179.0/B82*100)</f>
        <v/>
      </c>
      <c r="D82" s="19" t="n">
        <v>1782</v>
      </c>
      <c r="E82" s="18" t="n">
        <v>24.18188362</v>
      </c>
      <c r="F82" s="20" t="n">
        <v>1.45262851</v>
      </c>
      <c r="G82" s="18" t="n">
        <v>67.37519579000001</v>
      </c>
      <c r="H82" s="20" t="n">
        <v>1.75495586</v>
      </c>
      <c r="I82" s="18" t="n">
        <v>0</v>
      </c>
      <c r="J82" s="20" t="n">
        <v>0</v>
      </c>
      <c r="K82" s="18" t="n">
        <v>0.38112095</v>
      </c>
      <c r="L82" s="20" t="n">
        <v>0.25268684</v>
      </c>
      <c r="M82" s="18" t="n">
        <v>0.1786985</v>
      </c>
      <c r="N82" s="20" t="n">
        <v>0.17748537</v>
      </c>
      <c r="O82" s="18" t="n">
        <v>0</v>
      </c>
      <c r="P82" s="20" t="n">
        <v>0</v>
      </c>
      <c r="Q82" s="18" t="n">
        <v>7.88310114</v>
      </c>
      <c r="R82" s="20" t="n">
        <v>1.0089047</v>
      </c>
    </row>
    <row r="83" spans="1:18">
      <c r="A83" s="15" t="s">
        <v>643</v>
      </c>
      <c r="B83" s="17" t="n">
        <v>808</v>
      </c>
      <c r="C83" s="18">
        <f>(707.0/B83*100)</f>
        <v/>
      </c>
      <c r="D83" s="19" t="n">
        <v>101</v>
      </c>
      <c r="E83" s="18" t="n">
        <v>15.28831693</v>
      </c>
      <c r="F83" s="20" t="n">
        <v>4.40472689</v>
      </c>
      <c r="G83" s="18" t="n">
        <v>80.17917761</v>
      </c>
      <c r="H83" s="20" t="n">
        <v>4.86845891</v>
      </c>
      <c r="I83" s="18" t="n">
        <v>0</v>
      </c>
      <c r="J83" s="20" t="n">
        <v>0</v>
      </c>
      <c r="K83" s="18" t="n">
        <v>0</v>
      </c>
      <c r="L83" s="20" t="n">
        <v>0</v>
      </c>
      <c r="M83" s="18" t="n">
        <v>0</v>
      </c>
      <c r="N83" s="20" t="n">
        <v>0</v>
      </c>
      <c r="O83" s="18" t="n">
        <v>0</v>
      </c>
      <c r="P83" s="20" t="n">
        <v>0</v>
      </c>
      <c r="Q83" s="18" t="n">
        <v>4.53250546</v>
      </c>
      <c r="R83" s="20" t="n">
        <v>2.13824758</v>
      </c>
    </row>
    <row r="84" spans="1:18">
      <c r="A84" s="23" t="s">
        <v>644</v>
      </c>
      <c r="B84" s="24" t="n">
        <v>938</v>
      </c>
      <c r="C84" s="25">
        <f>(834.0/B84*100)</f>
        <v/>
      </c>
      <c r="D84" s="19" t="n">
        <v>104</v>
      </c>
      <c r="E84" s="18" t="n">
        <v>23.74051866</v>
      </c>
      <c r="F84" s="20" t="n">
        <v>4.08764194</v>
      </c>
      <c r="G84" s="18" t="n">
        <v>75.29731174</v>
      </c>
      <c r="H84" s="20" t="n">
        <v>4.17946206</v>
      </c>
      <c r="I84" s="18" t="n">
        <v>0</v>
      </c>
      <c r="J84" s="20" t="n">
        <v>0</v>
      </c>
      <c r="K84" s="18" t="n">
        <v>0</v>
      </c>
      <c r="L84" s="20" t="n">
        <v>0</v>
      </c>
      <c r="M84" s="18" t="n">
        <v>0</v>
      </c>
      <c r="N84" s="20" t="n">
        <v>0</v>
      </c>
      <c r="O84" s="18" t="n">
        <v>0</v>
      </c>
      <c r="P84" s="20" t="n">
        <v>0</v>
      </c>
      <c r="Q84" s="18" t="n">
        <v>0.96216961</v>
      </c>
      <c r="R84" s="20" t="n">
        <v>1.17143572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(6392.0/B7*100)</f>
        <v/>
      </c>
      <c r="D7" s="19" t="n">
        <v>771</v>
      </c>
      <c r="E7" s="18" t="n">
        <v>56.38167417</v>
      </c>
      <c r="F7" s="20" t="n">
        <v>2.20888535</v>
      </c>
      <c r="G7" s="18" t="n">
        <v>36.75860169</v>
      </c>
      <c r="H7" s="20" t="n">
        <v>2.25933532</v>
      </c>
      <c r="I7" s="18" t="n">
        <v>0</v>
      </c>
      <c r="J7" s="20" t="n">
        <v>0</v>
      </c>
      <c r="K7" s="18" t="n">
        <v>0.46344094</v>
      </c>
      <c r="L7" s="20" t="n">
        <v>0.30714987</v>
      </c>
      <c r="M7" s="18" t="n">
        <v>0.01587794</v>
      </c>
      <c r="N7" s="20" t="n">
        <v>0.01600716</v>
      </c>
      <c r="O7" s="18" t="n">
        <v>0</v>
      </c>
      <c r="P7" s="20" t="n">
        <v>0</v>
      </c>
      <c r="Q7" s="18" t="n">
        <v>6.38040527</v>
      </c>
      <c r="R7" s="20" t="n">
        <v>0.89764332</v>
      </c>
    </row>
    <row r="8" spans="1:18">
      <c r="A8" s="15" t="s">
        <v>566</v>
      </c>
      <c r="B8" s="17" t="n">
        <v>3443</v>
      </c>
      <c r="C8" s="18">
        <f>(3090.0/B8*100)</f>
        <v/>
      </c>
      <c r="D8" s="19" t="n">
        <v>353</v>
      </c>
      <c r="E8" s="18" t="n">
        <v>54.21471837</v>
      </c>
      <c r="F8" s="20" t="n">
        <v>2.7368688</v>
      </c>
      <c r="G8" s="18" t="n">
        <v>37.49944006</v>
      </c>
      <c r="H8" s="20" t="n">
        <v>2.70575632</v>
      </c>
      <c r="I8" s="18" t="n">
        <v>0</v>
      </c>
      <c r="J8" s="20" t="n">
        <v>0</v>
      </c>
      <c r="K8" s="18" t="n">
        <v>0.10354027</v>
      </c>
      <c r="L8" s="20" t="n">
        <v>0.10306696</v>
      </c>
      <c r="M8" s="18" t="n">
        <v>0</v>
      </c>
      <c r="N8" s="20" t="n">
        <v>0</v>
      </c>
      <c r="O8" s="18" t="n">
        <v>0</v>
      </c>
      <c r="P8" s="20" t="n">
        <v>0</v>
      </c>
      <c r="Q8" s="18" t="n">
        <v>8.182301300000001</v>
      </c>
      <c r="R8" s="20" t="n">
        <v>1.47080826</v>
      </c>
    </row>
    <row r="9" spans="1:18">
      <c r="A9" s="15" t="s">
        <v>567</v>
      </c>
      <c r="B9" s="17" t="n">
        <v>4752</v>
      </c>
      <c r="C9" s="18">
        <f>(4246.0/B9*100)</f>
        <v/>
      </c>
      <c r="D9" s="19" t="n">
        <v>506</v>
      </c>
      <c r="E9" s="18" t="n">
        <v>57.49886229</v>
      </c>
      <c r="F9" s="20" t="n">
        <v>2.4127099</v>
      </c>
      <c r="G9" s="18" t="n">
        <v>36.73277958</v>
      </c>
      <c r="H9" s="20" t="n">
        <v>2.49443902</v>
      </c>
      <c r="I9" s="18" t="n">
        <v>0</v>
      </c>
      <c r="J9" s="20" t="n">
        <v>0</v>
      </c>
      <c r="K9" s="18" t="n">
        <v>0</v>
      </c>
      <c r="L9" s="20" t="n">
        <v>0</v>
      </c>
      <c r="M9" s="18" t="n">
        <v>0.16004872</v>
      </c>
      <c r="N9" s="20" t="n">
        <v>0.15525777</v>
      </c>
      <c r="O9" s="18" t="n">
        <v>0</v>
      </c>
      <c r="P9" s="20" t="n">
        <v>0</v>
      </c>
      <c r="Q9" s="18" t="n">
        <v>5.60830941</v>
      </c>
      <c r="R9" s="20" t="n">
        <v>1.22653397</v>
      </c>
    </row>
    <row r="10" spans="1:18">
      <c r="A10" s="15" t="s">
        <v>568</v>
      </c>
      <c r="B10" s="17" t="n">
        <v>10022</v>
      </c>
      <c r="C10" s="18">
        <f>(8904.0/B10*100)</f>
        <v/>
      </c>
      <c r="D10" s="19" t="n">
        <v>1118</v>
      </c>
      <c r="E10" s="18" t="n">
        <v>58.04334531</v>
      </c>
      <c r="F10" s="20" t="n">
        <v>2.09188251</v>
      </c>
      <c r="G10" s="18" t="n">
        <v>38.18435437</v>
      </c>
      <c r="H10" s="20" t="n">
        <v>2.02300181</v>
      </c>
      <c r="I10" s="18" t="n">
        <v>0</v>
      </c>
      <c r="J10" s="20" t="n">
        <v>0</v>
      </c>
      <c r="K10" s="18" t="n">
        <v>0.6429386</v>
      </c>
      <c r="L10" s="20" t="n">
        <v>0.33236316</v>
      </c>
      <c r="M10" s="18" t="n">
        <v>0</v>
      </c>
      <c r="N10" s="20" t="n">
        <v>0</v>
      </c>
      <c r="O10" s="18" t="n">
        <v>0</v>
      </c>
      <c r="P10" s="20" t="n">
        <v>0</v>
      </c>
      <c r="Q10" s="18" t="n">
        <v>3.12936172</v>
      </c>
      <c r="R10" s="20" t="n">
        <v>0.59693664</v>
      </c>
    </row>
    <row r="11" spans="1:18">
      <c r="A11" s="15" t="s">
        <v>569</v>
      </c>
      <c r="B11" s="17" t="n">
        <v>3500</v>
      </c>
      <c r="C11" s="18">
        <f>(3102.0/B11*100)</f>
        <v/>
      </c>
      <c r="D11" s="19" t="n">
        <v>398</v>
      </c>
      <c r="E11" s="18" t="n">
        <v>61.63388632</v>
      </c>
      <c r="F11" s="20" t="n">
        <v>2.19675603</v>
      </c>
      <c r="G11" s="18" t="n">
        <v>26.10264057</v>
      </c>
      <c r="H11" s="20" t="n">
        <v>1.97268666</v>
      </c>
      <c r="I11" s="18" t="n">
        <v>0</v>
      </c>
      <c r="J11" s="20" t="n">
        <v>0</v>
      </c>
      <c r="K11" s="18" t="n">
        <v>1.49463013</v>
      </c>
      <c r="L11" s="20" t="n">
        <v>0.81058385</v>
      </c>
      <c r="M11" s="18" t="n">
        <v>0</v>
      </c>
      <c r="N11" s="20" t="n">
        <v>0</v>
      </c>
      <c r="O11" s="18" t="n">
        <v>0</v>
      </c>
      <c r="P11" s="20" t="n">
        <v>0</v>
      </c>
      <c r="Q11" s="18" t="n">
        <v>10.76884298</v>
      </c>
      <c r="R11" s="20" t="n">
        <v>1.61395804</v>
      </c>
    </row>
    <row r="12" spans="1:18">
      <c r="A12" s="15" t="s">
        <v>570</v>
      </c>
      <c r="B12" s="17" t="n">
        <v>3422</v>
      </c>
      <c r="C12" s="18">
        <f>(3037.0/B12*100)</f>
        <v/>
      </c>
      <c r="D12" s="19" t="n">
        <v>385</v>
      </c>
      <c r="E12" s="18" t="n">
        <v>53.0951527</v>
      </c>
      <c r="F12" s="20" t="n">
        <v>2.64679644</v>
      </c>
      <c r="G12" s="18" t="n">
        <v>36.980873</v>
      </c>
      <c r="H12" s="20" t="n">
        <v>2.32841601</v>
      </c>
      <c r="I12" s="18" t="n">
        <v>0</v>
      </c>
      <c r="J12" s="20" t="n">
        <v>0</v>
      </c>
      <c r="K12" s="18" t="n">
        <v>0.28033874</v>
      </c>
      <c r="L12" s="20" t="n">
        <v>0.28772664</v>
      </c>
      <c r="M12" s="18" t="n">
        <v>0.25875195</v>
      </c>
      <c r="N12" s="20" t="n">
        <v>0.25580196</v>
      </c>
      <c r="O12" s="18" t="n">
        <v>0</v>
      </c>
      <c r="P12" s="20" t="n">
        <v>0</v>
      </c>
      <c r="Q12" s="18" t="n">
        <v>9.384883609999999</v>
      </c>
      <c r="R12" s="20" t="n">
        <v>1.92383177</v>
      </c>
    </row>
    <row r="13" spans="1:18">
      <c r="A13" s="15" t="s">
        <v>571</v>
      </c>
      <c r="B13" s="17" t="n">
        <v>3602</v>
      </c>
      <c r="C13" s="18">
        <f>(3257.0/B13*100)</f>
        <v/>
      </c>
      <c r="D13" s="19" t="n">
        <v>345</v>
      </c>
      <c r="E13" s="18" t="n">
        <v>51.97799873</v>
      </c>
      <c r="F13" s="20" t="n">
        <v>3.25537666</v>
      </c>
      <c r="G13" s="18" t="n">
        <v>34.50475824</v>
      </c>
      <c r="H13" s="20" t="n">
        <v>2.89977967</v>
      </c>
      <c r="I13" s="18" t="n">
        <v>0</v>
      </c>
      <c r="J13" s="20" t="n">
        <v>0</v>
      </c>
      <c r="K13" s="18" t="n">
        <v>1.21981429</v>
      </c>
      <c r="L13" s="20" t="n">
        <v>0.64510495</v>
      </c>
      <c r="M13" s="18" t="n">
        <v>0.07197979</v>
      </c>
      <c r="N13" s="20" t="n">
        <v>0.0718685</v>
      </c>
      <c r="O13" s="18" t="n">
        <v>0</v>
      </c>
      <c r="P13" s="20" t="n">
        <v>0</v>
      </c>
      <c r="Q13" s="18" t="n">
        <v>12.22544896</v>
      </c>
      <c r="R13" s="20" t="n">
        <v>2.19972426</v>
      </c>
    </row>
    <row r="14" spans="1:18">
      <c r="A14" s="15" t="s">
        <v>572</v>
      </c>
      <c r="B14" s="17" t="n">
        <v>2788</v>
      </c>
      <c r="C14" s="18">
        <f>(2474.0/B14*100)</f>
        <v/>
      </c>
      <c r="D14" s="19" t="n">
        <v>314</v>
      </c>
      <c r="E14" s="18" t="n">
        <v>52.85494923</v>
      </c>
      <c r="F14" s="20" t="n">
        <v>2.94945847</v>
      </c>
      <c r="G14" s="18" t="n">
        <v>43.47150851</v>
      </c>
      <c r="H14" s="20" t="n">
        <v>2.75367976</v>
      </c>
      <c r="I14" s="18" t="n">
        <v>0</v>
      </c>
      <c r="J14" s="20" t="n">
        <v>0</v>
      </c>
      <c r="K14" s="18" t="n">
        <v>0</v>
      </c>
      <c r="L14" s="20" t="n">
        <v>0</v>
      </c>
      <c r="M14" s="18" t="n">
        <v>0</v>
      </c>
      <c r="N14" s="20" t="n">
        <v>0</v>
      </c>
      <c r="O14" s="18" t="n">
        <v>0</v>
      </c>
      <c r="P14" s="20" t="n">
        <v>0</v>
      </c>
      <c r="Q14" s="18" t="n">
        <v>3.67354226</v>
      </c>
      <c r="R14" s="20" t="n">
        <v>1.07227809</v>
      </c>
    </row>
    <row r="15" spans="1:18">
      <c r="A15" s="15" t="s">
        <v>573</v>
      </c>
      <c r="B15" s="17" t="n">
        <v>2863</v>
      </c>
      <c r="C15" s="18">
        <f>(2542.0/B15*100)</f>
        <v/>
      </c>
      <c r="D15" s="19" t="n">
        <v>321</v>
      </c>
      <c r="E15" s="18" t="n">
        <v>46.15023398</v>
      </c>
      <c r="F15" s="20" t="n">
        <v>2.89513317</v>
      </c>
      <c r="G15" s="18" t="n">
        <v>51.54409993</v>
      </c>
      <c r="H15" s="20" t="n">
        <v>2.92549008</v>
      </c>
      <c r="I15" s="18" t="n">
        <v>0</v>
      </c>
      <c r="J15" s="20" t="n">
        <v>0</v>
      </c>
      <c r="K15" s="18" t="n">
        <v>0</v>
      </c>
      <c r="L15" s="20" t="n">
        <v>0</v>
      </c>
      <c r="M15" s="18" t="n">
        <v>0</v>
      </c>
      <c r="N15" s="20" t="n">
        <v>0</v>
      </c>
      <c r="O15" s="18" t="n">
        <v>0</v>
      </c>
      <c r="P15" s="20" t="n">
        <v>0</v>
      </c>
      <c r="Q15" s="18" t="n">
        <v>2.30566609</v>
      </c>
      <c r="R15" s="20" t="n">
        <v>0.85019404</v>
      </c>
    </row>
    <row r="16" spans="1:18">
      <c r="A16" s="15" t="s">
        <v>574</v>
      </c>
      <c r="B16" s="17" t="n">
        <v>3111</v>
      </c>
      <c r="C16" s="18">
        <f>(2757.0/B16*100)</f>
        <v/>
      </c>
      <c r="D16" s="19" t="n">
        <v>354</v>
      </c>
      <c r="E16" s="18" t="n">
        <v>51.7908995</v>
      </c>
      <c r="F16" s="20" t="n">
        <v>2.24776131</v>
      </c>
      <c r="G16" s="18" t="n">
        <v>38.92092121</v>
      </c>
      <c r="H16" s="20" t="n">
        <v>2.33802939</v>
      </c>
      <c r="I16" s="18" t="n">
        <v>0</v>
      </c>
      <c r="J16" s="20" t="n">
        <v>0</v>
      </c>
      <c r="K16" s="18" t="n">
        <v>1.36726341</v>
      </c>
      <c r="L16" s="20" t="n">
        <v>0.73812923</v>
      </c>
      <c r="M16" s="18" t="n">
        <v>0</v>
      </c>
      <c r="N16" s="20" t="n">
        <v>0</v>
      </c>
      <c r="O16" s="18" t="n">
        <v>0</v>
      </c>
      <c r="P16" s="20" t="n">
        <v>0</v>
      </c>
      <c r="Q16" s="18" t="n">
        <v>7.92091587</v>
      </c>
      <c r="R16" s="20" t="n">
        <v>1.48954548</v>
      </c>
    </row>
    <row r="17" spans="1:18">
      <c r="A17" s="15" t="s">
        <v>575</v>
      </c>
      <c r="B17" s="17" t="n">
        <v>3197</v>
      </c>
      <c r="C17" s="18">
        <f>(2852.0/B17*100)</f>
        <v/>
      </c>
      <c r="D17" s="19" t="n">
        <v>345</v>
      </c>
      <c r="E17" s="18" t="n">
        <v>56.68318815</v>
      </c>
      <c r="F17" s="20" t="n">
        <v>2.81462453</v>
      </c>
      <c r="G17" s="18" t="n">
        <v>34.98433811</v>
      </c>
      <c r="H17" s="20" t="n">
        <v>2.62641171</v>
      </c>
      <c r="I17" s="18" t="n">
        <v>0</v>
      </c>
      <c r="J17" s="20" t="n">
        <v>0</v>
      </c>
      <c r="K17" s="18" t="n">
        <v>0</v>
      </c>
      <c r="L17" s="20" t="n">
        <v>0</v>
      </c>
      <c r="M17" s="18" t="n">
        <v>0</v>
      </c>
      <c r="N17" s="20" t="n">
        <v>0</v>
      </c>
      <c r="O17" s="18" t="n">
        <v>0</v>
      </c>
      <c r="P17" s="20" t="n">
        <v>0</v>
      </c>
      <c r="Q17" s="18" t="n">
        <v>8.332473739999999</v>
      </c>
      <c r="R17" s="20" t="n">
        <v>1.55310619</v>
      </c>
    </row>
    <row r="18" spans="1:18">
      <c r="A18" s="15" t="s">
        <v>576</v>
      </c>
      <c r="B18" s="17" t="n">
        <v>2706</v>
      </c>
      <c r="C18" s="18">
        <f>(2409.0/B18*100)</f>
        <v/>
      </c>
      <c r="D18" s="19" t="n">
        <v>297</v>
      </c>
      <c r="E18" s="18" t="n">
        <v>56.92008</v>
      </c>
      <c r="F18" s="20" t="n">
        <v>2.88018371</v>
      </c>
      <c r="G18" s="18" t="n">
        <v>36.84624198</v>
      </c>
      <c r="H18" s="20" t="n">
        <v>2.88561312</v>
      </c>
      <c r="I18" s="18" t="n">
        <v>0</v>
      </c>
      <c r="J18" s="20" t="n">
        <v>0</v>
      </c>
      <c r="K18" s="18" t="n">
        <v>0.62962224</v>
      </c>
      <c r="L18" s="20" t="n">
        <v>0.43679688</v>
      </c>
      <c r="M18" s="18" t="n">
        <v>0</v>
      </c>
      <c r="N18" s="20" t="n">
        <v>0</v>
      </c>
      <c r="O18" s="18" t="n">
        <v>0</v>
      </c>
      <c r="P18" s="20" t="n">
        <v>0</v>
      </c>
      <c r="Q18" s="18" t="n">
        <v>5.60405578</v>
      </c>
      <c r="R18" s="20" t="n">
        <v>1.82487453</v>
      </c>
    </row>
    <row r="19" spans="1:18">
      <c r="A19" s="15" t="s">
        <v>577</v>
      </c>
      <c r="B19" s="17" t="n">
        <v>2850</v>
      </c>
      <c r="C19" s="18">
        <f>(2569.0/B19*100)</f>
        <v/>
      </c>
      <c r="D19" s="19" t="n">
        <v>281</v>
      </c>
      <c r="E19" s="18" t="n">
        <v>62.69000379</v>
      </c>
      <c r="F19" s="20" t="n">
        <v>3.47025756</v>
      </c>
      <c r="G19" s="18" t="n">
        <v>27.40031277</v>
      </c>
      <c r="H19" s="20" t="n">
        <v>3.21015518</v>
      </c>
      <c r="I19" s="18" t="n">
        <v>0</v>
      </c>
      <c r="J19" s="20" t="n">
        <v>0</v>
      </c>
      <c r="K19" s="18" t="n">
        <v>0.3089756</v>
      </c>
      <c r="L19" s="20" t="n">
        <v>0.31084484</v>
      </c>
      <c r="M19" s="18" t="n">
        <v>0</v>
      </c>
      <c r="N19" s="20" t="n">
        <v>0</v>
      </c>
      <c r="O19" s="18" t="n">
        <v>0</v>
      </c>
      <c r="P19" s="20" t="n">
        <v>0</v>
      </c>
      <c r="Q19" s="18" t="n">
        <v>9.60070784</v>
      </c>
      <c r="R19" s="20" t="n">
        <v>2.50893088</v>
      </c>
    </row>
    <row r="20" spans="1:18">
      <c r="A20" s="15" t="s">
        <v>578</v>
      </c>
      <c r="B20" s="17" t="n">
        <v>1741</v>
      </c>
      <c r="C20" s="18">
        <f>(1554.0/B20*100)</f>
        <v/>
      </c>
      <c r="D20" s="19" t="n">
        <v>187</v>
      </c>
      <c r="E20" s="18" t="n">
        <v>51.50090482</v>
      </c>
      <c r="F20" s="20" t="n">
        <v>3.62311847</v>
      </c>
      <c r="G20" s="18" t="n">
        <v>38.78103836</v>
      </c>
      <c r="H20" s="20" t="n">
        <v>3.40358773</v>
      </c>
      <c r="I20" s="18" t="n">
        <v>0</v>
      </c>
      <c r="J20" s="20" t="n">
        <v>0</v>
      </c>
      <c r="K20" s="18" t="n">
        <v>1.68499258</v>
      </c>
      <c r="L20" s="20" t="n">
        <v>1.22355373</v>
      </c>
      <c r="M20" s="18" t="n">
        <v>0.65201537</v>
      </c>
      <c r="N20" s="20" t="n">
        <v>0.65812215</v>
      </c>
      <c r="O20" s="18" t="n">
        <v>0</v>
      </c>
      <c r="P20" s="20" t="n">
        <v>0</v>
      </c>
      <c r="Q20" s="18" t="n">
        <v>7.38104888</v>
      </c>
      <c r="R20" s="20" t="n">
        <v>2.06328449</v>
      </c>
    </row>
    <row r="21" spans="1:18">
      <c r="A21" s="15" t="s">
        <v>579</v>
      </c>
      <c r="B21" s="17" t="n">
        <v>2833</v>
      </c>
      <c r="C21" s="18">
        <f>(2558.0/B21*100)</f>
        <v/>
      </c>
      <c r="D21" s="19" t="n">
        <v>275</v>
      </c>
      <c r="E21" s="18" t="n">
        <v>56.30313695</v>
      </c>
      <c r="F21" s="20" t="n">
        <v>3.19208463</v>
      </c>
      <c r="G21" s="18" t="n">
        <v>41.75241678</v>
      </c>
      <c r="H21" s="20" t="n">
        <v>3.23067406</v>
      </c>
      <c r="I21" s="18" t="n">
        <v>0</v>
      </c>
      <c r="J21" s="20" t="n">
        <v>0</v>
      </c>
      <c r="K21" s="18" t="n">
        <v>0.31453889</v>
      </c>
      <c r="L21" s="20" t="n">
        <v>0.22773481</v>
      </c>
      <c r="M21" s="18" t="n">
        <v>0</v>
      </c>
      <c r="N21" s="20" t="n">
        <v>0</v>
      </c>
      <c r="O21" s="18" t="n">
        <v>0</v>
      </c>
      <c r="P21" s="20" t="n">
        <v>0</v>
      </c>
      <c r="Q21" s="18" t="n">
        <v>1.62990738</v>
      </c>
      <c r="R21" s="20" t="n">
        <v>0.72906419</v>
      </c>
    </row>
    <row r="22" spans="1:18">
      <c r="A22" s="15" t="s">
        <v>580</v>
      </c>
      <c r="B22" s="17" t="n">
        <v>3667</v>
      </c>
      <c r="C22" s="18">
        <f>(3305.0/B22*100)</f>
        <v/>
      </c>
      <c r="D22" s="19" t="n">
        <v>362</v>
      </c>
      <c r="E22" s="18" t="n">
        <v>57.67346522</v>
      </c>
      <c r="F22" s="20" t="n">
        <v>2.57816646</v>
      </c>
      <c r="G22" s="18" t="n">
        <v>29.59794524</v>
      </c>
      <c r="H22" s="20" t="n">
        <v>2.57415156</v>
      </c>
      <c r="I22" s="18" t="n">
        <v>0</v>
      </c>
      <c r="J22" s="20" t="n">
        <v>0</v>
      </c>
      <c r="K22" s="18" t="n">
        <v>0.84645189</v>
      </c>
      <c r="L22" s="20" t="n">
        <v>0.44510317</v>
      </c>
      <c r="M22" s="18" t="n">
        <v>0</v>
      </c>
      <c r="N22" s="20" t="n">
        <v>0</v>
      </c>
      <c r="O22" s="18" t="n">
        <v>0</v>
      </c>
      <c r="P22" s="20" t="n">
        <v>0</v>
      </c>
      <c r="Q22" s="18" t="n">
        <v>11.88213765</v>
      </c>
      <c r="R22" s="20" t="n">
        <v>1.81211799</v>
      </c>
    </row>
    <row r="23" spans="1:18">
      <c r="A23" s="15" t="s">
        <v>581</v>
      </c>
      <c r="B23" s="17" t="n">
        <v>5792</v>
      </c>
      <c r="C23" s="18">
        <f>(5133.0/B23*100)</f>
        <v/>
      </c>
      <c r="D23" s="19" t="n">
        <v>659</v>
      </c>
      <c r="E23" s="18" t="n">
        <v>60.14426781</v>
      </c>
      <c r="F23" s="20" t="n">
        <v>2.61675457</v>
      </c>
      <c r="G23" s="18" t="n">
        <v>28.54171961</v>
      </c>
      <c r="H23" s="20" t="n">
        <v>2.62275228</v>
      </c>
      <c r="I23" s="18" t="n">
        <v>0</v>
      </c>
      <c r="J23" s="20" t="n">
        <v>0</v>
      </c>
      <c r="K23" s="18" t="n">
        <v>1.49071063</v>
      </c>
      <c r="L23" s="20" t="n">
        <v>0.72105617</v>
      </c>
      <c r="M23" s="18" t="n">
        <v>0</v>
      </c>
      <c r="N23" s="20" t="n">
        <v>0</v>
      </c>
      <c r="O23" s="18" t="n">
        <v>0</v>
      </c>
      <c r="P23" s="20" t="n">
        <v>0</v>
      </c>
      <c r="Q23" s="18" t="n">
        <v>9.82330194</v>
      </c>
      <c r="R23" s="20" t="n">
        <v>1.90619525</v>
      </c>
    </row>
    <row r="24" spans="1:18">
      <c r="A24" s="15" t="s">
        <v>582</v>
      </c>
      <c r="B24" s="17" t="n">
        <v>3309</v>
      </c>
      <c r="C24" s="18">
        <f>(2979.0/B24*100)</f>
        <v/>
      </c>
      <c r="D24" s="19" t="n">
        <v>330</v>
      </c>
      <c r="E24" s="18" t="n">
        <v>36.20114827</v>
      </c>
      <c r="F24" s="20" t="n">
        <v>2.75005172</v>
      </c>
      <c r="G24" s="18" t="n">
        <v>55.33087162</v>
      </c>
      <c r="H24" s="20" t="n">
        <v>3.00933944</v>
      </c>
      <c r="I24" s="18" t="n">
        <v>0</v>
      </c>
      <c r="J24" s="20" t="n">
        <v>0</v>
      </c>
      <c r="K24" s="18" t="n">
        <v>0</v>
      </c>
      <c r="L24" s="20" t="n">
        <v>0</v>
      </c>
      <c r="M24" s="18" t="n">
        <v>0</v>
      </c>
      <c r="N24" s="20" t="n">
        <v>0</v>
      </c>
      <c r="O24" s="18" t="n">
        <v>0</v>
      </c>
      <c r="P24" s="20" t="n">
        <v>0</v>
      </c>
      <c r="Q24" s="18" t="n">
        <v>8.467980109999999</v>
      </c>
      <c r="R24" s="20" t="n">
        <v>1.83005759</v>
      </c>
    </row>
    <row r="25" spans="1:18">
      <c r="A25" s="15" t="s">
        <v>583</v>
      </c>
      <c r="B25" s="17" t="n">
        <v>2669</v>
      </c>
      <c r="C25" s="18">
        <f>(2365.0/B25*100)</f>
        <v/>
      </c>
      <c r="D25" s="19" t="n">
        <v>304</v>
      </c>
      <c r="E25" s="18" t="n">
        <v>40.07839083</v>
      </c>
      <c r="F25" s="20" t="n">
        <v>2.54946356</v>
      </c>
      <c r="G25" s="18" t="n">
        <v>54.53830291</v>
      </c>
      <c r="H25" s="20" t="n">
        <v>2.746509</v>
      </c>
      <c r="I25" s="18" t="n">
        <v>0</v>
      </c>
      <c r="J25" s="20" t="n">
        <v>0</v>
      </c>
      <c r="K25" s="18" t="n">
        <v>0.58455793</v>
      </c>
      <c r="L25" s="20" t="n">
        <v>0.37847607</v>
      </c>
      <c r="M25" s="18" t="n">
        <v>0</v>
      </c>
      <c r="N25" s="20" t="n">
        <v>0</v>
      </c>
      <c r="O25" s="18" t="n">
        <v>0</v>
      </c>
      <c r="P25" s="20" t="n">
        <v>0</v>
      </c>
      <c r="Q25" s="18" t="n">
        <v>4.79874833</v>
      </c>
      <c r="R25" s="20" t="n">
        <v>1.07545326</v>
      </c>
    </row>
    <row r="26" spans="1:18">
      <c r="A26" s="15" t="s">
        <v>584</v>
      </c>
      <c r="B26" s="17" t="n">
        <v>2419</v>
      </c>
      <c r="C26" s="18">
        <f>(2143.0/B26*100)</f>
        <v/>
      </c>
      <c r="D26" s="19" t="n">
        <v>276</v>
      </c>
      <c r="E26" s="18" t="n">
        <v>65.12544772</v>
      </c>
      <c r="F26" s="20" t="n">
        <v>2.76684665</v>
      </c>
      <c r="G26" s="18" t="n">
        <v>31.35611279</v>
      </c>
      <c r="H26" s="20" t="n">
        <v>2.86723906</v>
      </c>
      <c r="I26" s="18" t="n">
        <v>0</v>
      </c>
      <c r="J26" s="20" t="n">
        <v>0</v>
      </c>
      <c r="K26" s="18" t="n">
        <v>0</v>
      </c>
      <c r="L26" s="20" t="n">
        <v>0</v>
      </c>
      <c r="M26" s="18" t="n">
        <v>0.33157505</v>
      </c>
      <c r="N26" s="20" t="n">
        <v>0.33544117</v>
      </c>
      <c r="O26" s="18" t="n">
        <v>0</v>
      </c>
      <c r="P26" s="20" t="n">
        <v>0</v>
      </c>
      <c r="Q26" s="18" t="n">
        <v>3.18686443</v>
      </c>
      <c r="R26" s="20" t="n">
        <v>1.04707753</v>
      </c>
    </row>
    <row r="27" spans="1:18">
      <c r="A27" s="15" t="s">
        <v>585</v>
      </c>
      <c r="B27" s="17" t="n">
        <v>2683</v>
      </c>
      <c r="C27" s="18">
        <f>(2388.0/B27*100)</f>
        <v/>
      </c>
      <c r="D27" s="19" t="n">
        <v>295</v>
      </c>
      <c r="E27" s="18" t="n">
        <v>55.64174828</v>
      </c>
      <c r="F27" s="20" t="n">
        <v>3.25736529</v>
      </c>
      <c r="G27" s="18" t="n">
        <v>35.46293444</v>
      </c>
      <c r="H27" s="20" t="n">
        <v>3.11444781</v>
      </c>
      <c r="I27" s="18" t="n">
        <v>0</v>
      </c>
      <c r="J27" s="20" t="n">
        <v>0</v>
      </c>
      <c r="K27" s="18" t="n">
        <v>0.4062432</v>
      </c>
      <c r="L27" s="20" t="n">
        <v>0.40768119</v>
      </c>
      <c r="M27" s="18" t="n">
        <v>0</v>
      </c>
      <c r="N27" s="20" t="n">
        <v>0</v>
      </c>
      <c r="O27" s="18" t="n">
        <v>0</v>
      </c>
      <c r="P27" s="20" t="n">
        <v>0</v>
      </c>
      <c r="Q27" s="18" t="n">
        <v>8.489074090000001</v>
      </c>
      <c r="R27" s="20" t="n">
        <v>1.80407061</v>
      </c>
    </row>
    <row r="28" spans="1:18">
      <c r="A28" s="15" t="s">
        <v>586</v>
      </c>
      <c r="B28" s="17" t="n">
        <v>3803</v>
      </c>
      <c r="C28" s="18">
        <f>(3426.0/B28*100)</f>
        <v/>
      </c>
      <c r="D28" s="19" t="n">
        <v>377</v>
      </c>
      <c r="E28" s="18" t="n">
        <v>77.70107766</v>
      </c>
      <c r="F28" s="20" t="n">
        <v>1.95328068</v>
      </c>
      <c r="G28" s="18" t="n">
        <v>17.38791276</v>
      </c>
      <c r="H28" s="20" t="n">
        <v>1.82395903</v>
      </c>
      <c r="I28" s="18" t="n">
        <v>0</v>
      </c>
      <c r="J28" s="20" t="n">
        <v>0</v>
      </c>
      <c r="K28" s="18" t="n">
        <v>0.89943921</v>
      </c>
      <c r="L28" s="20" t="n">
        <v>0.68493879</v>
      </c>
      <c r="M28" s="18" t="n">
        <v>0.44261289</v>
      </c>
      <c r="N28" s="20" t="n">
        <v>0.44290343</v>
      </c>
      <c r="O28" s="18" t="n">
        <v>0</v>
      </c>
      <c r="P28" s="20" t="n">
        <v>0</v>
      </c>
      <c r="Q28" s="18" t="n">
        <v>3.56895748</v>
      </c>
      <c r="R28" s="20" t="n">
        <v>1.20017107</v>
      </c>
    </row>
    <row r="29" spans="1:18">
      <c r="A29" s="15" t="s">
        <v>587</v>
      </c>
      <c r="B29" s="17" t="n">
        <v>2700</v>
      </c>
      <c r="C29" s="18">
        <f>(2423.0/B29*100)</f>
        <v/>
      </c>
      <c r="D29" s="19" t="n">
        <v>277</v>
      </c>
      <c r="E29" s="18" t="n">
        <v>56.74576517</v>
      </c>
      <c r="F29" s="20" t="n">
        <v>3.06810783</v>
      </c>
      <c r="G29" s="18" t="n">
        <v>41.3329714</v>
      </c>
      <c r="H29" s="20" t="n">
        <v>3.04282028</v>
      </c>
      <c r="I29" s="18" t="n">
        <v>0</v>
      </c>
      <c r="J29" s="20" t="n">
        <v>0</v>
      </c>
      <c r="K29" s="18" t="n">
        <v>0</v>
      </c>
      <c r="L29" s="20" t="n">
        <v>0</v>
      </c>
      <c r="M29" s="18" t="n">
        <v>0</v>
      </c>
      <c r="N29" s="20" t="n">
        <v>0</v>
      </c>
      <c r="O29" s="18" t="n">
        <v>0</v>
      </c>
      <c r="P29" s="20" t="n">
        <v>0</v>
      </c>
      <c r="Q29" s="18" t="n">
        <v>1.92126343</v>
      </c>
      <c r="R29" s="20" t="n">
        <v>0.81249598</v>
      </c>
    </row>
    <row r="30" spans="1:18">
      <c r="A30" s="15" t="s">
        <v>588</v>
      </c>
      <c r="B30" s="17" t="n">
        <v>2257</v>
      </c>
      <c r="C30" s="18">
        <f>(2018.0/B30*100)</f>
        <v/>
      </c>
      <c r="D30" s="19" t="n">
        <v>239</v>
      </c>
      <c r="E30" s="18" t="n">
        <v>37.89959342</v>
      </c>
      <c r="F30" s="20" t="n">
        <v>4.07641454</v>
      </c>
      <c r="G30" s="18" t="n">
        <v>50.07029696</v>
      </c>
      <c r="H30" s="20" t="n">
        <v>3.76542129</v>
      </c>
      <c r="I30" s="18" t="n">
        <v>0</v>
      </c>
      <c r="J30" s="20" t="n">
        <v>0</v>
      </c>
      <c r="K30" s="18" t="n">
        <v>1.68632653</v>
      </c>
      <c r="L30" s="20" t="n">
        <v>0.85012077</v>
      </c>
      <c r="M30" s="18" t="n">
        <v>0</v>
      </c>
      <c r="N30" s="20" t="n">
        <v>0</v>
      </c>
      <c r="O30" s="18" t="n">
        <v>0</v>
      </c>
      <c r="P30" s="20" t="n">
        <v>0</v>
      </c>
      <c r="Q30" s="18" t="n">
        <v>10.34378309</v>
      </c>
      <c r="R30" s="20" t="n">
        <v>2.2383062</v>
      </c>
    </row>
    <row r="31" spans="1:18">
      <c r="A31" s="15" t="s">
        <v>589</v>
      </c>
      <c r="B31" s="17" t="n">
        <v>2706</v>
      </c>
      <c r="C31" s="18">
        <f>(2407.0/B31*100)</f>
        <v/>
      </c>
      <c r="D31" s="19" t="n">
        <v>299</v>
      </c>
      <c r="E31" s="18" t="n">
        <v>43.57827987</v>
      </c>
      <c r="F31" s="20" t="n">
        <v>3.17650054</v>
      </c>
      <c r="G31" s="18" t="n">
        <v>46.58704498</v>
      </c>
      <c r="H31" s="20" t="n">
        <v>3.11499138</v>
      </c>
      <c r="I31" s="18" t="n">
        <v>0</v>
      </c>
      <c r="J31" s="20" t="n">
        <v>0</v>
      </c>
      <c r="K31" s="18" t="n">
        <v>0.6672522400000001</v>
      </c>
      <c r="L31" s="20" t="n">
        <v>0.46687736</v>
      </c>
      <c r="M31" s="18" t="n">
        <v>0</v>
      </c>
      <c r="N31" s="20" t="n">
        <v>0</v>
      </c>
      <c r="O31" s="18" t="n">
        <v>0</v>
      </c>
      <c r="P31" s="20" t="n">
        <v>0</v>
      </c>
      <c r="Q31" s="18" t="n">
        <v>9.167422910000001</v>
      </c>
      <c r="R31" s="20" t="n">
        <v>1.80990937</v>
      </c>
    </row>
    <row r="32" spans="1:18">
      <c r="A32" s="15" t="s">
        <v>590</v>
      </c>
      <c r="B32" s="17" t="n">
        <v>2209</v>
      </c>
      <c r="C32" s="18">
        <f>(1971.0/B32*100)</f>
        <v/>
      </c>
      <c r="D32" s="19" t="n">
        <v>238</v>
      </c>
      <c r="E32" s="18" t="n">
        <v>57.98726416</v>
      </c>
      <c r="F32" s="20" t="n">
        <v>3.32919107</v>
      </c>
      <c r="G32" s="18" t="n">
        <v>35.48583142</v>
      </c>
      <c r="H32" s="20" t="n">
        <v>3.27806742</v>
      </c>
      <c r="I32" s="18" t="n">
        <v>0</v>
      </c>
      <c r="J32" s="20" t="n">
        <v>0</v>
      </c>
      <c r="K32" s="18" t="n">
        <v>0</v>
      </c>
      <c r="L32" s="20" t="n">
        <v>0</v>
      </c>
      <c r="M32" s="18" t="n">
        <v>0</v>
      </c>
      <c r="N32" s="20" t="n">
        <v>0</v>
      </c>
      <c r="O32" s="18" t="n">
        <v>0</v>
      </c>
      <c r="P32" s="20" t="n">
        <v>0</v>
      </c>
      <c r="Q32" s="18" t="n">
        <v>6.52690443</v>
      </c>
      <c r="R32" s="20" t="n">
        <v>1.71114682</v>
      </c>
    </row>
    <row r="33" spans="1:18">
      <c r="A33" s="15" t="s">
        <v>591</v>
      </c>
      <c r="B33" s="17" t="n">
        <v>3651</v>
      </c>
      <c r="C33" s="18">
        <f>(3265.0/B33*100)</f>
        <v/>
      </c>
      <c r="D33" s="19" t="n">
        <v>386</v>
      </c>
      <c r="E33" s="18" t="n">
        <v>61.13686214</v>
      </c>
      <c r="F33" s="20" t="n">
        <v>2.68097978</v>
      </c>
      <c r="G33" s="18" t="n">
        <v>33.64685637</v>
      </c>
      <c r="H33" s="20" t="n">
        <v>2.51119381</v>
      </c>
      <c r="I33" s="18" t="n">
        <v>0</v>
      </c>
      <c r="J33" s="20" t="n">
        <v>0</v>
      </c>
      <c r="K33" s="18" t="n">
        <v>0.43962085</v>
      </c>
      <c r="L33" s="20" t="n">
        <v>0.4195279</v>
      </c>
      <c r="M33" s="18" t="n">
        <v>0</v>
      </c>
      <c r="N33" s="20" t="n">
        <v>0</v>
      </c>
      <c r="O33" s="18" t="n">
        <v>0</v>
      </c>
      <c r="P33" s="20" t="n">
        <v>0</v>
      </c>
      <c r="Q33" s="18" t="n">
        <v>4.77666064</v>
      </c>
      <c r="R33" s="20" t="n">
        <v>0.9767776</v>
      </c>
    </row>
    <row r="34" spans="1:18">
      <c r="A34" s="15" t="s">
        <v>592</v>
      </c>
      <c r="B34" s="17" t="n">
        <v>3035</v>
      </c>
      <c r="C34" s="18">
        <f>(2690.0/B34*100)</f>
        <v/>
      </c>
      <c r="D34" s="19" t="n">
        <v>345</v>
      </c>
      <c r="E34" s="18" t="n">
        <v>64.0518096</v>
      </c>
      <c r="F34" s="20" t="n">
        <v>2.66845126</v>
      </c>
      <c r="G34" s="18" t="n">
        <v>25.53319276</v>
      </c>
      <c r="H34" s="20" t="n">
        <v>2.1649145</v>
      </c>
      <c r="I34" s="18" t="n">
        <v>0</v>
      </c>
      <c r="J34" s="20" t="n">
        <v>0</v>
      </c>
      <c r="K34" s="18" t="n">
        <v>0.25575938</v>
      </c>
      <c r="L34" s="20" t="n">
        <v>0.26688189</v>
      </c>
      <c r="M34" s="18" t="n">
        <v>0.55836496</v>
      </c>
      <c r="N34" s="20" t="n">
        <v>0.39113854</v>
      </c>
      <c r="O34" s="18" t="n">
        <v>0</v>
      </c>
      <c r="P34" s="20" t="n">
        <v>0</v>
      </c>
      <c r="Q34" s="18" t="n">
        <v>9.600873310000001</v>
      </c>
      <c r="R34" s="20" t="n">
        <v>1.73160734</v>
      </c>
    </row>
    <row r="35" spans="1:18">
      <c r="A35" s="15" t="s">
        <v>593</v>
      </c>
      <c r="B35" s="17" t="n">
        <v>2901</v>
      </c>
      <c r="C35" s="18">
        <f>(2574.0/B35*100)</f>
        <v/>
      </c>
      <c r="D35" s="19" t="n">
        <v>327</v>
      </c>
      <c r="E35" s="18" t="n">
        <v>54.10329308</v>
      </c>
      <c r="F35" s="20" t="n">
        <v>3.2919966</v>
      </c>
      <c r="G35" s="18" t="n">
        <v>42.95537812</v>
      </c>
      <c r="H35" s="20" t="n">
        <v>3.31754852</v>
      </c>
      <c r="I35" s="18" t="n">
        <v>0</v>
      </c>
      <c r="J35" s="20" t="n">
        <v>0</v>
      </c>
      <c r="K35" s="18" t="n">
        <v>0.16036806</v>
      </c>
      <c r="L35" s="20" t="n">
        <v>0.15974908</v>
      </c>
      <c r="M35" s="18" t="n">
        <v>0</v>
      </c>
      <c r="N35" s="20" t="n">
        <v>0</v>
      </c>
      <c r="O35" s="18" t="n">
        <v>0</v>
      </c>
      <c r="P35" s="20" t="n">
        <v>0</v>
      </c>
      <c r="Q35" s="18" t="n">
        <v>2.78096074</v>
      </c>
      <c r="R35" s="20" t="n">
        <v>0.81662002</v>
      </c>
    </row>
    <row r="36" spans="1:18">
      <c r="A36" s="15" t="s">
        <v>594</v>
      </c>
      <c r="B36" s="17" t="n">
        <v>3404</v>
      </c>
      <c r="C36" s="18">
        <f>(3008.0/B36*100)</f>
        <v/>
      </c>
      <c r="D36" s="19" t="n">
        <v>396</v>
      </c>
      <c r="E36" s="18" t="n">
        <v>61.48859951</v>
      </c>
      <c r="F36" s="20" t="n">
        <v>2.65889683</v>
      </c>
      <c r="G36" s="18" t="n">
        <v>34.70494146</v>
      </c>
      <c r="H36" s="20" t="n">
        <v>2.7643708</v>
      </c>
      <c r="I36" s="18" t="n">
        <v>0</v>
      </c>
      <c r="J36" s="20" t="n">
        <v>0</v>
      </c>
      <c r="K36" s="18" t="n">
        <v>0.62463945</v>
      </c>
      <c r="L36" s="20" t="n">
        <v>0.40763957</v>
      </c>
      <c r="M36" s="18" t="n">
        <v>0.24232389</v>
      </c>
      <c r="N36" s="20" t="n">
        <v>0.24012686</v>
      </c>
      <c r="O36" s="18" t="n">
        <v>0</v>
      </c>
      <c r="P36" s="20" t="n">
        <v>0</v>
      </c>
      <c r="Q36" s="18" t="n">
        <v>2.93949568</v>
      </c>
      <c r="R36" s="20" t="n">
        <v>0.92468367</v>
      </c>
    </row>
    <row r="37" spans="1:18">
      <c r="A37" s="15" t="s">
        <v>595</v>
      </c>
      <c r="B37" s="17" t="n">
        <v>2731</v>
      </c>
      <c r="C37" s="18">
        <f>(2441.0/B37*100)</f>
        <v/>
      </c>
      <c r="D37" s="19" t="n">
        <v>290</v>
      </c>
      <c r="E37" s="18" t="n">
        <v>40.61582678</v>
      </c>
      <c r="F37" s="20" t="n">
        <v>2.98915939</v>
      </c>
      <c r="G37" s="18" t="n">
        <v>40.92382436</v>
      </c>
      <c r="H37" s="20" t="n">
        <v>2.76646827</v>
      </c>
      <c r="I37" s="18" t="n">
        <v>0</v>
      </c>
      <c r="J37" s="20" t="n">
        <v>0</v>
      </c>
      <c r="K37" s="18" t="n">
        <v>1.61140467</v>
      </c>
      <c r="L37" s="20" t="n">
        <v>0.7274579</v>
      </c>
      <c r="M37" s="18" t="n">
        <v>0</v>
      </c>
      <c r="N37" s="20" t="n">
        <v>0</v>
      </c>
      <c r="O37" s="18" t="n">
        <v>0</v>
      </c>
      <c r="P37" s="20" t="n">
        <v>0</v>
      </c>
      <c r="Q37" s="18" t="n">
        <v>16.84894419</v>
      </c>
      <c r="R37" s="20" t="n">
        <v>2.35888013</v>
      </c>
    </row>
    <row r="38" spans="1:18">
      <c r="A38" s="15" t="s">
        <v>596</v>
      </c>
      <c r="B38" s="17" t="n">
        <v>2807</v>
      </c>
      <c r="C38" s="18">
        <f>(2500.0/B38*100)</f>
        <v/>
      </c>
      <c r="D38" s="19" t="n">
        <v>307</v>
      </c>
      <c r="E38" s="18" t="n">
        <v>46.62273316</v>
      </c>
      <c r="F38" s="20" t="n">
        <v>2.98835582</v>
      </c>
      <c r="G38" s="18" t="n">
        <v>43.85048008</v>
      </c>
      <c r="H38" s="20" t="n">
        <v>3.04821134</v>
      </c>
      <c r="I38" s="18" t="n">
        <v>0</v>
      </c>
      <c r="J38" s="20" t="n">
        <v>0</v>
      </c>
      <c r="K38" s="18" t="n">
        <v>0</v>
      </c>
      <c r="L38" s="20" t="n">
        <v>0</v>
      </c>
      <c r="M38" s="18" t="n">
        <v>3.03345078</v>
      </c>
      <c r="N38" s="20" t="n">
        <v>0.98416065</v>
      </c>
      <c r="O38" s="18" t="n">
        <v>0</v>
      </c>
      <c r="P38" s="20" t="n">
        <v>0</v>
      </c>
      <c r="Q38" s="18" t="n">
        <v>6.49333599</v>
      </c>
      <c r="R38" s="20" t="n">
        <v>1.88995684</v>
      </c>
    </row>
    <row r="39" spans="1:18">
      <c r="A39" s="15" t="s">
        <v>597</v>
      </c>
      <c r="B39" s="17" t="n">
        <v>2938</v>
      </c>
      <c r="C39" s="18">
        <f>(2633.0/B39*100)</f>
        <v/>
      </c>
      <c r="D39" s="19" t="n">
        <v>305</v>
      </c>
      <c r="E39" s="18" t="n">
        <v>75.33874398</v>
      </c>
      <c r="F39" s="20" t="n">
        <v>3.02437226</v>
      </c>
      <c r="G39" s="18" t="n">
        <v>18.26038798</v>
      </c>
      <c r="H39" s="20" t="n">
        <v>2.65672451</v>
      </c>
      <c r="I39" s="18" t="n">
        <v>0</v>
      </c>
      <c r="J39" s="20" t="n">
        <v>0</v>
      </c>
      <c r="K39" s="18" t="n">
        <v>0</v>
      </c>
      <c r="L39" s="20" t="n">
        <v>0</v>
      </c>
      <c r="M39" s="18" t="n">
        <v>0</v>
      </c>
      <c r="N39" s="20" t="n">
        <v>0</v>
      </c>
      <c r="O39" s="18" t="n">
        <v>0</v>
      </c>
      <c r="P39" s="20" t="n">
        <v>0</v>
      </c>
      <c r="Q39" s="18" t="n">
        <v>6.40086804</v>
      </c>
      <c r="R39" s="20" t="n">
        <v>1.51367851</v>
      </c>
    </row>
    <row r="40" spans="1:18">
      <c r="A40" s="15" t="s">
        <v>598</v>
      </c>
      <c r="B40" s="17" t="n">
        <v>6922</v>
      </c>
      <c r="C40" s="18">
        <f>(6133.0/B40*100)</f>
        <v/>
      </c>
      <c r="D40" s="19" t="n">
        <v>789</v>
      </c>
      <c r="E40" s="18" t="n">
        <v>59.60794724</v>
      </c>
      <c r="F40" s="20" t="n">
        <v>2.63629677</v>
      </c>
      <c r="G40" s="18" t="n">
        <v>34.99690429</v>
      </c>
      <c r="H40" s="20" t="n">
        <v>2.6218728</v>
      </c>
      <c r="I40" s="18" t="n">
        <v>0</v>
      </c>
      <c r="J40" s="20" t="n">
        <v>0</v>
      </c>
      <c r="K40" s="18" t="n">
        <v>0.09523247</v>
      </c>
      <c r="L40" s="20" t="n">
        <v>0.06378973</v>
      </c>
      <c r="M40" s="18" t="n">
        <v>0</v>
      </c>
      <c r="N40" s="20" t="n">
        <v>0</v>
      </c>
      <c r="O40" s="18" t="n">
        <v>0</v>
      </c>
      <c r="P40" s="20" t="n">
        <v>0</v>
      </c>
      <c r="Q40" s="18" t="n">
        <v>5.299916</v>
      </c>
      <c r="R40" s="20" t="n">
        <v>1.35995646</v>
      </c>
    </row>
    <row r="41" spans="1:18">
      <c r="A41" s="15" t="s">
        <v>599</v>
      </c>
      <c r="B41" s="17" t="n">
        <v>2854</v>
      </c>
      <c r="C41" s="18">
        <f>(2557.0/B41*100)</f>
        <v/>
      </c>
      <c r="D41" s="19" t="n">
        <v>297</v>
      </c>
      <c r="E41" s="18" t="n">
        <v>69.45092169999999</v>
      </c>
      <c r="F41" s="20" t="n">
        <v>2.96263664</v>
      </c>
      <c r="G41" s="18" t="n">
        <v>26.96737041</v>
      </c>
      <c r="H41" s="20" t="n">
        <v>2.83637653</v>
      </c>
      <c r="I41" s="18" t="n">
        <v>0</v>
      </c>
      <c r="J41" s="20" t="n">
        <v>0</v>
      </c>
      <c r="K41" s="18" t="n">
        <v>0.38028389</v>
      </c>
      <c r="L41" s="20" t="n">
        <v>0.38524715</v>
      </c>
      <c r="M41" s="18" t="n">
        <v>0</v>
      </c>
      <c r="N41" s="20" t="n">
        <v>0</v>
      </c>
      <c r="O41" s="18" t="n">
        <v>0</v>
      </c>
      <c r="P41" s="20" t="n">
        <v>0</v>
      </c>
      <c r="Q41" s="18" t="n">
        <v>3.20142401</v>
      </c>
      <c r="R41" s="20" t="n">
        <v>1.20849904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(11090.0/B46*100)</f>
        <v/>
      </c>
      <c r="D46" s="19" t="n">
        <v>983</v>
      </c>
      <c r="E46" s="18" t="n">
        <v>73.28181426</v>
      </c>
      <c r="F46" s="20" t="n">
        <v>1.77130688</v>
      </c>
      <c r="G46" s="18" t="n">
        <v>12.48313905</v>
      </c>
      <c r="H46" s="20" t="n">
        <v>1.27684101</v>
      </c>
      <c r="I46" s="18" t="n">
        <v>0</v>
      </c>
      <c r="J46" s="20" t="n">
        <v>0</v>
      </c>
      <c r="K46" s="18" t="n">
        <v>1.66844432</v>
      </c>
      <c r="L46" s="20" t="n">
        <v>0.48777536</v>
      </c>
      <c r="M46" s="18" t="n">
        <v>0.19888838</v>
      </c>
      <c r="N46" s="20" t="n">
        <v>0.19014749</v>
      </c>
      <c r="O46" s="18" t="n">
        <v>0</v>
      </c>
      <c r="P46" s="20" t="n">
        <v>0</v>
      </c>
      <c r="Q46" s="18" t="n">
        <v>12.36771399</v>
      </c>
      <c r="R46" s="20" t="n">
        <v>1.41604375</v>
      </c>
    </row>
    <row r="47" spans="1:18">
      <c r="A47" s="15" t="s">
        <v>606</v>
      </c>
      <c r="B47" s="17" t="n">
        <v>2823</v>
      </c>
      <c r="C47" s="18">
        <f>(2519.0/B47*100)</f>
        <v/>
      </c>
      <c r="D47" s="19" t="n">
        <v>304</v>
      </c>
      <c r="E47" s="18" t="n">
        <v>62.33048754</v>
      </c>
      <c r="F47" s="20" t="n">
        <v>2.72661672</v>
      </c>
      <c r="G47" s="18" t="n">
        <v>21.07870403</v>
      </c>
      <c r="H47" s="20" t="n">
        <v>2.12563935</v>
      </c>
      <c r="I47" s="18" t="n">
        <v>0</v>
      </c>
      <c r="J47" s="20" t="n">
        <v>0</v>
      </c>
      <c r="K47" s="18" t="n">
        <v>0</v>
      </c>
      <c r="L47" s="20" t="n">
        <v>0</v>
      </c>
      <c r="M47" s="18" t="n">
        <v>0.33210689</v>
      </c>
      <c r="N47" s="20" t="n">
        <v>0.31964882</v>
      </c>
      <c r="O47" s="18" t="n">
        <v>0</v>
      </c>
      <c r="P47" s="20" t="n">
        <v>0</v>
      </c>
      <c r="Q47" s="18" t="n">
        <v>16.25870154</v>
      </c>
      <c r="R47" s="20" t="n">
        <v>2.30737437</v>
      </c>
    </row>
    <row r="48" spans="1:18">
      <c r="A48" s="15" t="s">
        <v>607</v>
      </c>
      <c r="B48" s="17" t="n">
        <v>4682</v>
      </c>
      <c r="C48" s="18">
        <f>(4156.0/B48*100)</f>
        <v/>
      </c>
      <c r="D48" s="19" t="n">
        <v>526</v>
      </c>
      <c r="E48" s="18" t="n">
        <v>58.20239606</v>
      </c>
      <c r="F48" s="20" t="n">
        <v>2.7895568</v>
      </c>
      <c r="G48" s="18" t="n">
        <v>34.6719994</v>
      </c>
      <c r="H48" s="20" t="n">
        <v>2.79157438</v>
      </c>
      <c r="I48" s="18" t="n">
        <v>0</v>
      </c>
      <c r="J48" s="20" t="n">
        <v>0</v>
      </c>
      <c r="K48" s="18" t="n">
        <v>0.90167823</v>
      </c>
      <c r="L48" s="20" t="n">
        <v>0.59667337</v>
      </c>
      <c r="M48" s="18" t="n">
        <v>0</v>
      </c>
      <c r="N48" s="20" t="n">
        <v>0</v>
      </c>
      <c r="O48" s="18" t="n">
        <v>0</v>
      </c>
      <c r="P48" s="20" t="n">
        <v>0</v>
      </c>
      <c r="Q48" s="18" t="n">
        <v>6.22392631</v>
      </c>
      <c r="R48" s="20" t="n">
        <v>1.50507047</v>
      </c>
    </row>
    <row r="49" spans="1:18">
      <c r="A49" s="15" t="s">
        <v>608</v>
      </c>
      <c r="B49" s="17" t="n">
        <v>6158</v>
      </c>
      <c r="C49" s="18">
        <f>(5513.0/B49*100)</f>
        <v/>
      </c>
      <c r="D49" s="19" t="n">
        <v>645</v>
      </c>
      <c r="E49" s="18" t="n">
        <v>83.23506895</v>
      </c>
      <c r="F49" s="20" t="n">
        <v>1.82403858</v>
      </c>
      <c r="G49" s="18" t="n">
        <v>11.24464417</v>
      </c>
      <c r="H49" s="20" t="n">
        <v>1.59435297</v>
      </c>
      <c r="I49" s="18" t="n">
        <v>0</v>
      </c>
      <c r="J49" s="20" t="n">
        <v>0</v>
      </c>
      <c r="K49" s="18" t="n">
        <v>1.18945479</v>
      </c>
      <c r="L49" s="20" t="n">
        <v>0.58846763</v>
      </c>
      <c r="M49" s="18" t="n">
        <v>0.00837716</v>
      </c>
      <c r="N49" s="20" t="n">
        <v>0.008442440000000001</v>
      </c>
      <c r="O49" s="18" t="n">
        <v>0</v>
      </c>
      <c r="P49" s="20" t="n">
        <v>0</v>
      </c>
      <c r="Q49" s="18" t="n">
        <v>4.32245493</v>
      </c>
      <c r="R49" s="20" t="n">
        <v>0.98063477</v>
      </c>
    </row>
    <row r="50" spans="1:18">
      <c r="A50" s="15" t="s">
        <v>609</v>
      </c>
      <c r="B50" s="17" t="n">
        <v>3494</v>
      </c>
      <c r="C50" s="18">
        <f>(3158.0/B50*100)</f>
        <v/>
      </c>
      <c r="D50" s="19" t="n">
        <v>336</v>
      </c>
      <c r="E50" s="18" t="n">
        <v>71.76801801000001</v>
      </c>
      <c r="F50" s="20" t="n">
        <v>2.49900354</v>
      </c>
      <c r="G50" s="18" t="n">
        <v>22.42277876</v>
      </c>
      <c r="H50" s="20" t="n">
        <v>2.38955605</v>
      </c>
      <c r="I50" s="18" t="n">
        <v>0</v>
      </c>
      <c r="J50" s="20" t="n">
        <v>0</v>
      </c>
      <c r="K50" s="18" t="n">
        <v>1.76095008</v>
      </c>
      <c r="L50" s="20" t="n">
        <v>0.69743841</v>
      </c>
      <c r="M50" s="18" t="n">
        <v>0.35990874</v>
      </c>
      <c r="N50" s="20" t="n">
        <v>0.33717942</v>
      </c>
      <c r="O50" s="18" t="n">
        <v>0</v>
      </c>
      <c r="P50" s="20" t="n">
        <v>0</v>
      </c>
      <c r="Q50" s="18" t="n">
        <v>3.68834441</v>
      </c>
      <c r="R50" s="20" t="n">
        <v>1.15594694</v>
      </c>
    </row>
    <row r="51" spans="1:18">
      <c r="A51" s="15" t="s">
        <v>610</v>
      </c>
      <c r="B51" s="17" t="n">
        <v>3013</v>
      </c>
      <c r="C51" s="18">
        <f>(2695.0/B51*100)</f>
        <v/>
      </c>
      <c r="D51" s="19" t="n">
        <v>318</v>
      </c>
      <c r="E51" s="18" t="n">
        <v>61.79850705</v>
      </c>
      <c r="F51" s="20" t="n">
        <v>2.57286918</v>
      </c>
      <c r="G51" s="18" t="n">
        <v>31.90217132</v>
      </c>
      <c r="H51" s="20" t="n">
        <v>2.43552448</v>
      </c>
      <c r="I51" s="18" t="n">
        <v>0</v>
      </c>
      <c r="J51" s="20" t="n">
        <v>0</v>
      </c>
      <c r="K51" s="18" t="n">
        <v>0</v>
      </c>
      <c r="L51" s="20" t="n">
        <v>0</v>
      </c>
      <c r="M51" s="18" t="n">
        <v>0</v>
      </c>
      <c r="N51" s="20" t="n">
        <v>0</v>
      </c>
      <c r="O51" s="18" t="n">
        <v>0</v>
      </c>
      <c r="P51" s="20" t="n">
        <v>0</v>
      </c>
      <c r="Q51" s="18" t="n">
        <v>6.29932163</v>
      </c>
      <c r="R51" s="20" t="n">
        <v>1.52193523</v>
      </c>
    </row>
    <row r="52" spans="1:18">
      <c r="A52" s="15" t="s">
        <v>611</v>
      </c>
      <c r="B52" s="17" t="n">
        <v>2760</v>
      </c>
      <c r="C52" s="18">
        <f>(2465.0/B52*100)</f>
        <v/>
      </c>
      <c r="D52" s="19" t="n">
        <v>295</v>
      </c>
      <c r="E52" s="18" t="n">
        <v>65.11315104000001</v>
      </c>
      <c r="F52" s="20" t="n">
        <v>2.93872791</v>
      </c>
      <c r="G52" s="18" t="n">
        <v>23.71942165</v>
      </c>
      <c r="H52" s="20" t="n">
        <v>2.58242054</v>
      </c>
      <c r="I52" s="18" t="n">
        <v>0</v>
      </c>
      <c r="J52" s="20" t="n">
        <v>0</v>
      </c>
      <c r="K52" s="18" t="n">
        <v>1.23871416</v>
      </c>
      <c r="L52" s="20" t="n">
        <v>0.62621063</v>
      </c>
      <c r="M52" s="18" t="n">
        <v>0</v>
      </c>
      <c r="N52" s="20" t="n">
        <v>0</v>
      </c>
      <c r="O52" s="18" t="n">
        <v>0</v>
      </c>
      <c r="P52" s="20" t="n">
        <v>0</v>
      </c>
      <c r="Q52" s="18" t="n">
        <v>9.92871315</v>
      </c>
      <c r="R52" s="20" t="n">
        <v>1.75312568</v>
      </c>
    </row>
    <row r="53" spans="1:18">
      <c r="A53" s="15" t="s">
        <v>612</v>
      </c>
      <c r="B53" s="17" t="n">
        <v>2474</v>
      </c>
      <c r="C53" s="18">
        <f>(2198.0/B53*100)</f>
        <v/>
      </c>
      <c r="D53" s="19" t="n">
        <v>276</v>
      </c>
      <c r="E53" s="18" t="n">
        <v>69.00836746</v>
      </c>
      <c r="F53" s="20" t="n">
        <v>3.23554042</v>
      </c>
      <c r="G53" s="18" t="n">
        <v>4.00248812</v>
      </c>
      <c r="H53" s="20" t="n">
        <v>1.02550385</v>
      </c>
      <c r="I53" s="18" t="n">
        <v>0</v>
      </c>
      <c r="J53" s="20" t="n">
        <v>0</v>
      </c>
      <c r="K53" s="18" t="n">
        <v>17.76102043</v>
      </c>
      <c r="L53" s="20" t="n">
        <v>2.8665214</v>
      </c>
      <c r="M53" s="18" t="n">
        <v>0.79754787</v>
      </c>
      <c r="N53" s="20" t="n">
        <v>0.86143896</v>
      </c>
      <c r="O53" s="18" t="n">
        <v>0</v>
      </c>
      <c r="P53" s="20" t="n">
        <v>0</v>
      </c>
      <c r="Q53" s="18" t="n">
        <v>8.43057612</v>
      </c>
      <c r="R53" s="20" t="n">
        <v>1.80046681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(2398.0/B55*100)</f>
        <v/>
      </c>
      <c r="D55" s="19" t="n">
        <v>277</v>
      </c>
      <c r="E55" s="18" t="n">
        <v>62.09098795</v>
      </c>
      <c r="F55" s="20" t="n">
        <v>2.80089479</v>
      </c>
      <c r="G55" s="18" t="n">
        <v>35.64717241</v>
      </c>
      <c r="H55" s="20" t="n">
        <v>2.56885743</v>
      </c>
      <c r="I55" s="18" t="n">
        <v>0</v>
      </c>
      <c r="J55" s="20" t="n">
        <v>0</v>
      </c>
      <c r="K55" s="18" t="n">
        <v>0</v>
      </c>
      <c r="L55" s="20" t="n">
        <v>0</v>
      </c>
      <c r="M55" s="18" t="n">
        <v>0</v>
      </c>
      <c r="N55" s="20" t="n">
        <v>0</v>
      </c>
      <c r="O55" s="18" t="n">
        <v>0</v>
      </c>
      <c r="P55" s="20" t="n">
        <v>0</v>
      </c>
      <c r="Q55" s="18" t="n">
        <v>2.26183964</v>
      </c>
      <c r="R55" s="20" t="n">
        <v>1.07541933</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(2859.0/B61*100)</f>
        <v/>
      </c>
      <c r="D61" s="19" t="n">
        <v>342</v>
      </c>
      <c r="E61" s="18" t="n">
        <v>57.1430521</v>
      </c>
      <c r="F61" s="20" t="n">
        <v>3.25778183</v>
      </c>
      <c r="G61" s="18" t="n">
        <v>33.95366148</v>
      </c>
      <c r="H61" s="20" t="n">
        <v>3.05544449</v>
      </c>
      <c r="I61" s="18" t="n">
        <v>0</v>
      </c>
      <c r="J61" s="20" t="n">
        <v>0</v>
      </c>
      <c r="K61" s="18" t="n">
        <v>0.81057058</v>
      </c>
      <c r="L61" s="20" t="n">
        <v>0.79749676</v>
      </c>
      <c r="M61" s="18" t="n">
        <v>0</v>
      </c>
      <c r="N61" s="20" t="n">
        <v>0</v>
      </c>
      <c r="O61" s="18" t="n">
        <v>0</v>
      </c>
      <c r="P61" s="20" t="n">
        <v>0</v>
      </c>
      <c r="Q61" s="18" t="n">
        <v>8.09271584</v>
      </c>
      <c r="R61" s="20" t="n">
        <v>1.5917909</v>
      </c>
    </row>
    <row r="62" spans="1:18">
      <c r="A62" s="15" t="s">
        <v>622</v>
      </c>
      <c r="B62" s="17" t="n">
        <v>2230</v>
      </c>
      <c r="C62" s="18">
        <f>(1973.0/B62*100)</f>
        <v/>
      </c>
      <c r="D62" s="19" t="n">
        <v>257</v>
      </c>
      <c r="E62" s="18" t="n">
        <v>54.10328374</v>
      </c>
      <c r="F62" s="20" t="n">
        <v>3.06438356</v>
      </c>
      <c r="G62" s="18" t="n">
        <v>44.73091962</v>
      </c>
      <c r="H62" s="20" t="n">
        <v>3.08537687</v>
      </c>
      <c r="I62" s="18" t="n">
        <v>0</v>
      </c>
      <c r="J62" s="20" t="n">
        <v>0</v>
      </c>
      <c r="K62" s="18" t="n">
        <v>0</v>
      </c>
      <c r="L62" s="20" t="n">
        <v>0</v>
      </c>
      <c r="M62" s="18" t="n">
        <v>0</v>
      </c>
      <c r="N62" s="20" t="n">
        <v>0</v>
      </c>
      <c r="O62" s="18" t="n">
        <v>0</v>
      </c>
      <c r="P62" s="20" t="n">
        <v>0</v>
      </c>
      <c r="Q62" s="18" t="n">
        <v>1.16579665</v>
      </c>
      <c r="R62" s="20" t="n">
        <v>0.66857107</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(2480.0/B67*100)</f>
        <v/>
      </c>
      <c r="D67" s="19" t="n">
        <v>291</v>
      </c>
      <c r="E67" s="18" t="n">
        <v>63.31130063</v>
      </c>
      <c r="F67" s="20" t="n">
        <v>2.94181409</v>
      </c>
      <c r="G67" s="18" t="n">
        <v>17.02245472</v>
      </c>
      <c r="H67" s="20" t="n">
        <v>2.35708117</v>
      </c>
      <c r="I67" s="18" t="n">
        <v>0</v>
      </c>
      <c r="J67" s="20" t="n">
        <v>0</v>
      </c>
      <c r="K67" s="18" t="n">
        <v>3.85883716</v>
      </c>
      <c r="L67" s="20" t="n">
        <v>1.08140686</v>
      </c>
      <c r="M67" s="18" t="n">
        <v>0.37229318</v>
      </c>
      <c r="N67" s="20" t="n">
        <v>0.37111241</v>
      </c>
      <c r="O67" s="18" t="n">
        <v>0</v>
      </c>
      <c r="P67" s="20" t="n">
        <v>0</v>
      </c>
      <c r="Q67" s="18" t="n">
        <v>15.43511431</v>
      </c>
      <c r="R67" s="20" t="n">
        <v>2.07135249</v>
      </c>
    </row>
    <row r="68" spans="1:18">
      <c r="A68" s="15" t="s">
        <v>628</v>
      </c>
      <c r="B68" s="17" t="n">
        <v>3460</v>
      </c>
      <c r="C68" s="18">
        <f>(3128.0/B68*100)</f>
        <v/>
      </c>
      <c r="D68" s="19" t="n">
        <v>332</v>
      </c>
      <c r="E68" s="18" t="n">
        <v>78.10893219</v>
      </c>
      <c r="F68" s="20" t="n">
        <v>2.32497574</v>
      </c>
      <c r="G68" s="18" t="n">
        <v>15.11699762</v>
      </c>
      <c r="H68" s="20" t="n">
        <v>2.19190178</v>
      </c>
      <c r="I68" s="18" t="n">
        <v>0</v>
      </c>
      <c r="J68" s="20" t="n">
        <v>0</v>
      </c>
      <c r="K68" s="18" t="n">
        <v>0.98122804</v>
      </c>
      <c r="L68" s="20" t="n">
        <v>0.56548076</v>
      </c>
      <c r="M68" s="18" t="n">
        <v>0.58362873</v>
      </c>
      <c r="N68" s="20" t="n">
        <v>0.41497333</v>
      </c>
      <c r="O68" s="18" t="n">
        <v>0</v>
      </c>
      <c r="P68" s="20" t="n">
        <v>0</v>
      </c>
      <c r="Q68" s="18" t="n">
        <v>5.20921342</v>
      </c>
      <c r="R68" s="20" t="n">
        <v>1.2278502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(5343.0/B70*100)</f>
        <v/>
      </c>
      <c r="D70" s="19" t="n">
        <v>691</v>
      </c>
      <c r="E70" s="18" t="n">
        <v>71.17155685</v>
      </c>
      <c r="F70" s="20" t="n">
        <v>1.71291085</v>
      </c>
      <c r="G70" s="18" t="n">
        <v>19.28042658</v>
      </c>
      <c r="H70" s="20" t="n">
        <v>1.33044975</v>
      </c>
      <c r="I70" s="18" t="n">
        <v>0</v>
      </c>
      <c r="J70" s="20" t="n">
        <v>0</v>
      </c>
      <c r="K70" s="18" t="n">
        <v>2.21935477</v>
      </c>
      <c r="L70" s="20" t="n">
        <v>0.70797972</v>
      </c>
      <c r="M70" s="18" t="n">
        <v>0</v>
      </c>
      <c r="N70" s="20" t="n">
        <v>0</v>
      </c>
      <c r="O70" s="18" t="n">
        <v>0</v>
      </c>
      <c r="P70" s="20" t="n">
        <v>0</v>
      </c>
      <c r="Q70" s="18" t="n">
        <v>7.32866181</v>
      </c>
      <c r="R70" s="20" t="n">
        <v>1.0322225</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(2788.0/B72*100)</f>
        <v/>
      </c>
      <c r="D72" s="19" t="n">
        <v>319</v>
      </c>
      <c r="E72" s="18" t="n">
        <v>63.14756715</v>
      </c>
      <c r="F72" s="20" t="n">
        <v>2.85936057</v>
      </c>
      <c r="G72" s="18" t="n">
        <v>30.89392927</v>
      </c>
      <c r="H72" s="20" t="n">
        <v>2.7276934</v>
      </c>
      <c r="I72" s="18" t="n">
        <v>0</v>
      </c>
      <c r="J72" s="20" t="n">
        <v>0</v>
      </c>
      <c r="K72" s="18" t="n">
        <v>0.30321494</v>
      </c>
      <c r="L72" s="20" t="n">
        <v>0.30386968</v>
      </c>
      <c r="M72" s="18" t="n">
        <v>0</v>
      </c>
      <c r="N72" s="20" t="n">
        <v>0</v>
      </c>
      <c r="O72" s="18" t="n">
        <v>0</v>
      </c>
      <c r="P72" s="20" t="n">
        <v>0</v>
      </c>
      <c r="Q72" s="18" t="n">
        <v>5.65528864</v>
      </c>
      <c r="R72" s="20" t="n">
        <v>1.38128508</v>
      </c>
    </row>
    <row r="73" spans="1:18">
      <c r="A73" s="15" t="s">
        <v>633</v>
      </c>
      <c r="B73" s="17" t="n">
        <v>2973</v>
      </c>
      <c r="C73" s="18">
        <f>(2647.0/B73*100)</f>
        <v/>
      </c>
      <c r="D73" s="19" t="n">
        <v>326</v>
      </c>
      <c r="E73" s="18" t="n">
        <v>51.13774738</v>
      </c>
      <c r="F73" s="20" t="n">
        <v>2.82274742</v>
      </c>
      <c r="G73" s="18" t="n">
        <v>47.54947055</v>
      </c>
      <c r="H73" s="20" t="n">
        <v>2.90848635</v>
      </c>
      <c r="I73" s="18" t="n">
        <v>0</v>
      </c>
      <c r="J73" s="20" t="n">
        <v>0</v>
      </c>
      <c r="K73" s="18" t="n">
        <v>0</v>
      </c>
      <c r="L73" s="20" t="n">
        <v>0</v>
      </c>
      <c r="M73" s="18" t="n">
        <v>0.42776155</v>
      </c>
      <c r="N73" s="20" t="n">
        <v>0.43149614</v>
      </c>
      <c r="O73" s="18" t="n">
        <v>0</v>
      </c>
      <c r="P73" s="20" t="n">
        <v>0</v>
      </c>
      <c r="Q73" s="18" t="n">
        <v>0.88502053</v>
      </c>
      <c r="R73" s="20" t="n">
        <v>0.5111599999999999</v>
      </c>
    </row>
    <row r="74" spans="1:18">
      <c r="A74" s="15" t="s">
        <v>634</v>
      </c>
      <c r="B74" s="17" t="n">
        <v>3819</v>
      </c>
      <c r="C74" s="18">
        <f>(3392.0/B74*100)</f>
        <v/>
      </c>
      <c r="D74" s="19" t="n">
        <v>427</v>
      </c>
      <c r="E74" s="18" t="n">
        <v>55.97370897</v>
      </c>
      <c r="F74" s="20" t="n">
        <v>2.55223715</v>
      </c>
      <c r="G74" s="18" t="n">
        <v>39.94468331</v>
      </c>
      <c r="H74" s="20" t="n">
        <v>2.42953764</v>
      </c>
      <c r="I74" s="18" t="n">
        <v>0</v>
      </c>
      <c r="J74" s="20" t="n">
        <v>0</v>
      </c>
      <c r="K74" s="18" t="n">
        <v>0</v>
      </c>
      <c r="L74" s="20" t="n">
        <v>0</v>
      </c>
      <c r="M74" s="18" t="n">
        <v>0</v>
      </c>
      <c r="N74" s="20" t="n">
        <v>0</v>
      </c>
      <c r="O74" s="18" t="n">
        <v>0</v>
      </c>
      <c r="P74" s="20" t="n">
        <v>0</v>
      </c>
      <c r="Q74" s="18" t="n">
        <v>4.08160772</v>
      </c>
      <c r="R74" s="20" t="n">
        <v>1.0927237</v>
      </c>
    </row>
    <row r="75" spans="1:18">
      <c r="A75" s="15" t="s">
        <v>635</v>
      </c>
      <c r="B75" s="17" t="n">
        <v>4652</v>
      </c>
      <c r="C75" s="18">
        <f>(4173.0/B75*100)</f>
        <v/>
      </c>
      <c r="D75" s="19" t="n">
        <v>479</v>
      </c>
      <c r="E75" s="18" t="n">
        <v>91.12683689000001</v>
      </c>
      <c r="F75" s="20" t="n">
        <v>1.45264606</v>
      </c>
      <c r="G75" s="18" t="n">
        <v>7.45806943</v>
      </c>
      <c r="H75" s="20" t="n">
        <v>1.24406321</v>
      </c>
      <c r="I75" s="18" t="n">
        <v>0</v>
      </c>
      <c r="J75" s="20" t="n">
        <v>0</v>
      </c>
      <c r="K75" s="18" t="n">
        <v>0.29903838</v>
      </c>
      <c r="L75" s="20" t="n">
        <v>0.30373827</v>
      </c>
      <c r="M75" s="18" t="n">
        <v>0.01027227</v>
      </c>
      <c r="N75" s="20" t="n">
        <v>0.01023683</v>
      </c>
      <c r="O75" s="18" t="n">
        <v>0</v>
      </c>
      <c r="P75" s="20" t="n">
        <v>0</v>
      </c>
      <c r="Q75" s="18" t="n">
        <v>1.10578303</v>
      </c>
      <c r="R75" s="20" t="n">
        <v>0.54412511</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(2671.0/B77*100)</f>
        <v/>
      </c>
      <c r="D77" s="19" t="n">
        <v>298</v>
      </c>
      <c r="E77" s="18" t="n">
        <v>73.33694883</v>
      </c>
      <c r="F77" s="20" t="n">
        <v>2.56116367</v>
      </c>
      <c r="G77" s="18" t="n">
        <v>7.56504001</v>
      </c>
      <c r="H77" s="20" t="n">
        <v>1.42232719</v>
      </c>
      <c r="I77" s="18" t="n">
        <v>0</v>
      </c>
      <c r="J77" s="20" t="n">
        <v>0</v>
      </c>
      <c r="K77" s="18" t="n">
        <v>4.07935702</v>
      </c>
      <c r="L77" s="20" t="n">
        <v>1.00171292</v>
      </c>
      <c r="M77" s="18" t="n">
        <v>0.6971953</v>
      </c>
      <c r="N77" s="20" t="n">
        <v>0.51766932</v>
      </c>
      <c r="O77" s="18" t="n">
        <v>0</v>
      </c>
      <c r="P77" s="20" t="n">
        <v>0</v>
      </c>
      <c r="Q77" s="18" t="n">
        <v>14.32145885</v>
      </c>
      <c r="R77" s="20" t="n">
        <v>2.11946695</v>
      </c>
    </row>
    <row r="78" spans="1:18">
      <c r="A78" s="15" t="s">
        <v>638</v>
      </c>
      <c r="B78" s="17" t="n">
        <v>7115</v>
      </c>
      <c r="C78" s="18">
        <f>(6352.0/B78*100)</f>
        <v/>
      </c>
      <c r="D78" s="19" t="n">
        <v>763</v>
      </c>
      <c r="E78" s="18" t="n">
        <v>73.67223651</v>
      </c>
      <c r="F78" s="20" t="n">
        <v>1.67254291</v>
      </c>
      <c r="G78" s="18" t="n">
        <v>23.05749011</v>
      </c>
      <c r="H78" s="20" t="n">
        <v>1.56017996</v>
      </c>
      <c r="I78" s="18" t="n">
        <v>0</v>
      </c>
      <c r="J78" s="20" t="n">
        <v>0</v>
      </c>
      <c r="K78" s="18" t="n">
        <v>0.23213477</v>
      </c>
      <c r="L78" s="20" t="n">
        <v>0.16101671</v>
      </c>
      <c r="M78" s="18" t="n">
        <v>0.19751482</v>
      </c>
      <c r="N78" s="20" t="n">
        <v>0.14293963</v>
      </c>
      <c r="O78" s="18" t="n">
        <v>0</v>
      </c>
      <c r="P78" s="20" t="n">
        <v>0</v>
      </c>
      <c r="Q78" s="18" t="n">
        <v>2.84062378</v>
      </c>
      <c r="R78" s="20" t="n">
        <v>0.53619641</v>
      </c>
    </row>
    <row r="79" spans="1:18">
      <c r="A79" s="15" t="s">
        <v>639</v>
      </c>
      <c r="B79" s="17" t="n">
        <v>3154</v>
      </c>
      <c r="C79" s="18">
        <f>(2832.0/B79*100)</f>
        <v/>
      </c>
      <c r="D79" s="19" t="n">
        <v>322</v>
      </c>
      <c r="E79" s="18" t="n">
        <v>68.24436039</v>
      </c>
      <c r="F79" s="20" t="n">
        <v>2.4367121</v>
      </c>
      <c r="G79" s="18" t="n">
        <v>16.48304465</v>
      </c>
      <c r="H79" s="20" t="n">
        <v>1.86266612</v>
      </c>
      <c r="I79" s="18" t="n">
        <v>0</v>
      </c>
      <c r="J79" s="20" t="n">
        <v>0</v>
      </c>
      <c r="K79" s="18" t="n">
        <v>2.10263255</v>
      </c>
      <c r="L79" s="20" t="n">
        <v>1.01007512</v>
      </c>
      <c r="M79" s="18" t="n">
        <v>0</v>
      </c>
      <c r="N79" s="20" t="n">
        <v>0</v>
      </c>
      <c r="O79" s="18" t="n">
        <v>0</v>
      </c>
      <c r="P79" s="20" t="n">
        <v>0</v>
      </c>
      <c r="Q79" s="18" t="n">
        <v>13.16996241</v>
      </c>
      <c r="R79" s="20" t="n">
        <v>1.80125259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(14210.0/B82*100)</f>
        <v/>
      </c>
      <c r="D82" s="19" t="n">
        <v>1751</v>
      </c>
      <c r="E82" s="18" t="n">
        <v>64.23533103</v>
      </c>
      <c r="F82" s="20" t="n">
        <v>1.4092149</v>
      </c>
      <c r="G82" s="18" t="n">
        <v>32.09225382</v>
      </c>
      <c r="H82" s="20" t="n">
        <v>1.40284001</v>
      </c>
      <c r="I82" s="18" t="n">
        <v>0</v>
      </c>
      <c r="J82" s="20" t="n">
        <v>0</v>
      </c>
      <c r="K82" s="18" t="n">
        <v>0.58775417</v>
      </c>
      <c r="L82" s="20" t="n">
        <v>0.30291593</v>
      </c>
      <c r="M82" s="18" t="n">
        <v>0.18229269</v>
      </c>
      <c r="N82" s="20" t="n">
        <v>0.18106405</v>
      </c>
      <c r="O82" s="18" t="n">
        <v>0</v>
      </c>
      <c r="P82" s="20" t="n">
        <v>0</v>
      </c>
      <c r="Q82" s="18" t="n">
        <v>2.90236829</v>
      </c>
      <c r="R82" s="20" t="n">
        <v>0.5478476</v>
      </c>
    </row>
    <row r="83" spans="1:18">
      <c r="A83" s="15" t="s">
        <v>643</v>
      </c>
      <c r="B83" s="17" t="n">
        <v>808</v>
      </c>
      <c r="C83" s="18">
        <f>(713.0/B83*100)</f>
        <v/>
      </c>
      <c r="D83" s="19" t="n">
        <v>95</v>
      </c>
      <c r="E83" s="18" t="n">
        <v>59.55591454</v>
      </c>
      <c r="F83" s="20" t="n">
        <v>5.56667418</v>
      </c>
      <c r="G83" s="18" t="n">
        <v>36.52206217</v>
      </c>
      <c r="H83" s="20" t="n">
        <v>4.84540513</v>
      </c>
      <c r="I83" s="18" t="n">
        <v>0</v>
      </c>
      <c r="J83" s="20" t="n">
        <v>0</v>
      </c>
      <c r="K83" s="18" t="n">
        <v>0</v>
      </c>
      <c r="L83" s="20" t="n">
        <v>0</v>
      </c>
      <c r="M83" s="18" t="n">
        <v>0</v>
      </c>
      <c r="N83" s="20" t="n">
        <v>0</v>
      </c>
      <c r="O83" s="18" t="n">
        <v>0</v>
      </c>
      <c r="P83" s="20" t="n">
        <v>0</v>
      </c>
      <c r="Q83" s="18" t="n">
        <v>3.92202329</v>
      </c>
      <c r="R83" s="20" t="n">
        <v>2.59513434</v>
      </c>
    </row>
    <row r="84" spans="1:18">
      <c r="A84" s="23" t="s">
        <v>644</v>
      </c>
      <c r="B84" s="24" t="n">
        <v>938</v>
      </c>
      <c r="C84" s="25">
        <f>(834.0/B84*100)</f>
        <v/>
      </c>
      <c r="D84" s="19" t="n">
        <v>104</v>
      </c>
      <c r="E84" s="18" t="n">
        <v>66.65896655</v>
      </c>
      <c r="F84" s="20" t="n">
        <v>4.9642109</v>
      </c>
      <c r="G84" s="18" t="n">
        <v>29.48243574</v>
      </c>
      <c r="H84" s="20" t="n">
        <v>5.18507471</v>
      </c>
      <c r="I84" s="18" t="n">
        <v>0</v>
      </c>
      <c r="J84" s="20" t="n">
        <v>0</v>
      </c>
      <c r="K84" s="18" t="n">
        <v>0</v>
      </c>
      <c r="L84" s="20" t="n">
        <v>0</v>
      </c>
      <c r="M84" s="18" t="n">
        <v>0</v>
      </c>
      <c r="N84" s="20" t="n">
        <v>0</v>
      </c>
      <c r="O84" s="18" t="n">
        <v>0</v>
      </c>
      <c r="P84" s="20" t="n">
        <v>0</v>
      </c>
      <c r="Q84" s="18" t="n">
        <v>3.85859771</v>
      </c>
      <c r="R84" s="20" t="n">
        <v>1.9035403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(6386.0/B7*100)</f>
        <v/>
      </c>
      <c r="D7" s="19" t="n">
        <v>777</v>
      </c>
      <c r="E7" s="18" t="n">
        <v>39.45167532</v>
      </c>
      <c r="F7" s="20" t="n">
        <v>1.75945736</v>
      </c>
      <c r="G7" s="18" t="n">
        <v>58.51187668</v>
      </c>
      <c r="H7" s="20" t="n">
        <v>1.75178233</v>
      </c>
      <c r="I7" s="18" t="n">
        <v>0</v>
      </c>
      <c r="J7" s="20" t="n">
        <v>0</v>
      </c>
      <c r="K7" s="18" t="n">
        <v>0.45985465</v>
      </c>
      <c r="L7" s="20" t="n">
        <v>0.30477461</v>
      </c>
      <c r="M7" s="18" t="n">
        <v>0</v>
      </c>
      <c r="N7" s="20" t="n">
        <v>0</v>
      </c>
      <c r="O7" s="18" t="n">
        <v>0</v>
      </c>
      <c r="P7" s="20" t="n">
        <v>0</v>
      </c>
      <c r="Q7" s="18" t="n">
        <v>1.57659335</v>
      </c>
      <c r="R7" s="20" t="n">
        <v>0.50073135</v>
      </c>
    </row>
    <row r="8" spans="1:18">
      <c r="A8" s="15" t="s">
        <v>566</v>
      </c>
      <c r="B8" s="17" t="n">
        <v>3443</v>
      </c>
      <c r="C8" s="18">
        <f>(3088.0/B8*100)</f>
        <v/>
      </c>
      <c r="D8" s="19" t="n">
        <v>355</v>
      </c>
      <c r="E8" s="18" t="n">
        <v>46.21419296</v>
      </c>
      <c r="F8" s="20" t="n">
        <v>3.0818722</v>
      </c>
      <c r="G8" s="18" t="n">
        <v>53.26573465</v>
      </c>
      <c r="H8" s="20" t="n">
        <v>3.05261702</v>
      </c>
      <c r="I8" s="18" t="n">
        <v>0</v>
      </c>
      <c r="J8" s="20" t="n">
        <v>0</v>
      </c>
      <c r="K8" s="18" t="n">
        <v>0.10302582</v>
      </c>
      <c r="L8" s="20" t="n">
        <v>0.10255822</v>
      </c>
      <c r="M8" s="18" t="n">
        <v>0</v>
      </c>
      <c r="N8" s="20" t="n">
        <v>0</v>
      </c>
      <c r="O8" s="18" t="n">
        <v>0</v>
      </c>
      <c r="P8" s="20" t="n">
        <v>0</v>
      </c>
      <c r="Q8" s="18" t="n">
        <v>0.41704658</v>
      </c>
      <c r="R8" s="20" t="n">
        <v>0.24272757</v>
      </c>
    </row>
    <row r="9" spans="1:18">
      <c r="A9" s="15" t="s">
        <v>567</v>
      </c>
      <c r="B9" s="17" t="n">
        <v>4752</v>
      </c>
      <c r="C9" s="18">
        <f>(4242.0/B9*100)</f>
        <v/>
      </c>
      <c r="D9" s="19" t="n">
        <v>510</v>
      </c>
      <c r="E9" s="18" t="n">
        <v>39.04633604</v>
      </c>
      <c r="F9" s="20" t="n">
        <v>2.50850055</v>
      </c>
      <c r="G9" s="18" t="n">
        <v>60.01543119</v>
      </c>
      <c r="H9" s="20" t="n">
        <v>2.48575624</v>
      </c>
      <c r="I9" s="18" t="n">
        <v>0</v>
      </c>
      <c r="J9" s="20" t="n">
        <v>0</v>
      </c>
      <c r="K9" s="18" t="n">
        <v>0.1946326</v>
      </c>
      <c r="L9" s="20" t="n">
        <v>0.1419808</v>
      </c>
      <c r="M9" s="18" t="n">
        <v>0</v>
      </c>
      <c r="N9" s="20" t="n">
        <v>0</v>
      </c>
      <c r="O9" s="18" t="n">
        <v>0</v>
      </c>
      <c r="P9" s="20" t="n">
        <v>0</v>
      </c>
      <c r="Q9" s="18" t="n">
        <v>0.74360017</v>
      </c>
      <c r="R9" s="20" t="n">
        <v>0.39962495</v>
      </c>
    </row>
    <row r="10" spans="1:18">
      <c r="A10" s="15" t="s">
        <v>568</v>
      </c>
      <c r="B10" s="17" t="n">
        <v>10022</v>
      </c>
      <c r="C10" s="18">
        <f>(8901.0/B10*100)</f>
        <v/>
      </c>
      <c r="D10" s="19" t="n">
        <v>1121</v>
      </c>
      <c r="E10" s="18" t="n">
        <v>41.47521295</v>
      </c>
      <c r="F10" s="20" t="n">
        <v>2.18597865</v>
      </c>
      <c r="G10" s="18" t="n">
        <v>57.13405312</v>
      </c>
      <c r="H10" s="20" t="n">
        <v>2.16626861</v>
      </c>
      <c r="I10" s="18" t="n">
        <v>0</v>
      </c>
      <c r="J10" s="20" t="n">
        <v>0</v>
      </c>
      <c r="K10" s="18" t="n">
        <v>0.64159846</v>
      </c>
      <c r="L10" s="20" t="n">
        <v>0.33166471</v>
      </c>
      <c r="M10" s="18" t="n">
        <v>0</v>
      </c>
      <c r="N10" s="20" t="n">
        <v>0</v>
      </c>
      <c r="O10" s="18" t="n">
        <v>0</v>
      </c>
      <c r="P10" s="20" t="n">
        <v>0</v>
      </c>
      <c r="Q10" s="18" t="n">
        <v>0.74913546</v>
      </c>
      <c r="R10" s="20" t="n">
        <v>0.41643992</v>
      </c>
    </row>
    <row r="11" spans="1:18">
      <c r="A11" s="15" t="s">
        <v>569</v>
      </c>
      <c r="B11" s="17" t="n">
        <v>3500</v>
      </c>
      <c r="C11" s="18">
        <f>(3097.0/B11*100)</f>
        <v/>
      </c>
      <c r="D11" s="19" t="n">
        <v>403</v>
      </c>
      <c r="E11" s="18" t="n">
        <v>59.05193008</v>
      </c>
      <c r="F11" s="20" t="n">
        <v>2.72123995</v>
      </c>
      <c r="G11" s="18" t="n">
        <v>37.23234807</v>
      </c>
      <c r="H11" s="20" t="n">
        <v>2.93450123</v>
      </c>
      <c r="I11" s="18" t="n">
        <v>0</v>
      </c>
      <c r="J11" s="20" t="n">
        <v>0</v>
      </c>
      <c r="K11" s="18" t="n">
        <v>1.93279556</v>
      </c>
      <c r="L11" s="20" t="n">
        <v>0.93105197</v>
      </c>
      <c r="M11" s="18" t="n">
        <v>0</v>
      </c>
      <c r="N11" s="20" t="n">
        <v>0</v>
      </c>
      <c r="O11" s="18" t="n">
        <v>0</v>
      </c>
      <c r="P11" s="20" t="n">
        <v>0</v>
      </c>
      <c r="Q11" s="18" t="n">
        <v>1.78292629</v>
      </c>
      <c r="R11" s="20" t="n">
        <v>0.82265385</v>
      </c>
    </row>
    <row r="12" spans="1:18">
      <c r="A12" s="15" t="s">
        <v>570</v>
      </c>
      <c r="B12" s="17" t="n">
        <v>3422</v>
      </c>
      <c r="C12" s="18">
        <f>(3035.0/B12*100)</f>
        <v/>
      </c>
      <c r="D12" s="19" t="n">
        <v>387</v>
      </c>
      <c r="E12" s="18" t="n">
        <v>40.17350683</v>
      </c>
      <c r="F12" s="20" t="n">
        <v>2.77168305</v>
      </c>
      <c r="G12" s="18" t="n">
        <v>58.01205842</v>
      </c>
      <c r="H12" s="20" t="n">
        <v>2.6168585</v>
      </c>
      <c r="I12" s="18" t="n">
        <v>0</v>
      </c>
      <c r="J12" s="20" t="n">
        <v>0</v>
      </c>
      <c r="K12" s="18" t="n">
        <v>0.27845175</v>
      </c>
      <c r="L12" s="20" t="n">
        <v>0.28575591</v>
      </c>
      <c r="M12" s="18" t="n">
        <v>0</v>
      </c>
      <c r="N12" s="20" t="n">
        <v>0</v>
      </c>
      <c r="O12" s="18" t="n">
        <v>0</v>
      </c>
      <c r="P12" s="20" t="n">
        <v>0</v>
      </c>
      <c r="Q12" s="18" t="n">
        <v>1.53598299</v>
      </c>
      <c r="R12" s="20" t="n">
        <v>0.64433274</v>
      </c>
    </row>
    <row r="13" spans="1:18">
      <c r="A13" s="15" t="s">
        <v>571</v>
      </c>
      <c r="B13" s="17" t="n">
        <v>3602</v>
      </c>
      <c r="C13" s="18">
        <f>(3256.0/B13*100)</f>
        <v/>
      </c>
      <c r="D13" s="19" t="n">
        <v>346</v>
      </c>
      <c r="E13" s="18" t="n">
        <v>39.69060701</v>
      </c>
      <c r="F13" s="20" t="n">
        <v>3.75784419</v>
      </c>
      <c r="G13" s="18" t="n">
        <v>57.96637313</v>
      </c>
      <c r="H13" s="20" t="n">
        <v>3.9297824</v>
      </c>
      <c r="I13" s="18" t="n">
        <v>0</v>
      </c>
      <c r="J13" s="20" t="n">
        <v>0</v>
      </c>
      <c r="K13" s="18" t="n">
        <v>1.21658916</v>
      </c>
      <c r="L13" s="20" t="n">
        <v>0.6434552</v>
      </c>
      <c r="M13" s="18" t="n">
        <v>0</v>
      </c>
      <c r="N13" s="20" t="n">
        <v>0</v>
      </c>
      <c r="O13" s="18" t="n">
        <v>0</v>
      </c>
      <c r="P13" s="20" t="n">
        <v>0</v>
      </c>
      <c r="Q13" s="18" t="n">
        <v>1.1264307</v>
      </c>
      <c r="R13" s="20" t="n">
        <v>0.74264137</v>
      </c>
    </row>
    <row r="14" spans="1:18">
      <c r="A14" s="15" t="s">
        <v>572</v>
      </c>
      <c r="B14" s="17" t="n">
        <v>2788</v>
      </c>
      <c r="C14" s="18">
        <f>(2470.0/B14*100)</f>
        <v/>
      </c>
      <c r="D14" s="19" t="n">
        <v>318</v>
      </c>
      <c r="E14" s="18" t="n">
        <v>32.08676658</v>
      </c>
      <c r="F14" s="20" t="n">
        <v>2.99090124</v>
      </c>
      <c r="G14" s="18" t="n">
        <v>67.91323342</v>
      </c>
      <c r="H14" s="20" t="n">
        <v>2.99090124</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(2539.0/B15*100)</f>
        <v/>
      </c>
      <c r="D15" s="19" t="n">
        <v>324</v>
      </c>
      <c r="E15" s="18" t="n">
        <v>30.95278587</v>
      </c>
      <c r="F15" s="20" t="n">
        <v>3.08860805</v>
      </c>
      <c r="G15" s="18" t="n">
        <v>68.68382455</v>
      </c>
      <c r="H15" s="20" t="n">
        <v>3.15333095</v>
      </c>
      <c r="I15" s="18" t="n">
        <v>0</v>
      </c>
      <c r="J15" s="20" t="n">
        <v>0</v>
      </c>
      <c r="K15" s="18" t="n">
        <v>0</v>
      </c>
      <c r="L15" s="20" t="n">
        <v>0</v>
      </c>
      <c r="M15" s="18" t="n">
        <v>0</v>
      </c>
      <c r="N15" s="20" t="n">
        <v>0</v>
      </c>
      <c r="O15" s="18" t="n">
        <v>0</v>
      </c>
      <c r="P15" s="20" t="n">
        <v>0</v>
      </c>
      <c r="Q15" s="18" t="n">
        <v>0.36338959</v>
      </c>
      <c r="R15" s="20" t="n">
        <v>0.36515099</v>
      </c>
    </row>
    <row r="16" spans="1:18">
      <c r="A16" s="15" t="s">
        <v>574</v>
      </c>
      <c r="B16" s="17" t="n">
        <v>3111</v>
      </c>
      <c r="C16" s="18">
        <f>(2755.0/B16*100)</f>
        <v/>
      </c>
      <c r="D16" s="19" t="n">
        <v>356</v>
      </c>
      <c r="E16" s="18" t="n">
        <v>40.50437913</v>
      </c>
      <c r="F16" s="20" t="n">
        <v>2.39149707</v>
      </c>
      <c r="G16" s="18" t="n">
        <v>57.25408285</v>
      </c>
      <c r="H16" s="20" t="n">
        <v>2.55901104</v>
      </c>
      <c r="I16" s="18" t="n">
        <v>0</v>
      </c>
      <c r="J16" s="20" t="n">
        <v>0</v>
      </c>
      <c r="K16" s="18" t="n">
        <v>1.36040213</v>
      </c>
      <c r="L16" s="20" t="n">
        <v>0.73442408</v>
      </c>
      <c r="M16" s="18" t="n">
        <v>0</v>
      </c>
      <c r="N16" s="20" t="n">
        <v>0</v>
      </c>
      <c r="O16" s="18" t="n">
        <v>0</v>
      </c>
      <c r="P16" s="20" t="n">
        <v>0</v>
      </c>
      <c r="Q16" s="18" t="n">
        <v>0.88113589</v>
      </c>
      <c r="R16" s="20" t="n">
        <v>0.54182451</v>
      </c>
    </row>
    <row r="17" spans="1:18">
      <c r="A17" s="15" t="s">
        <v>575</v>
      </c>
      <c r="B17" s="17" t="n">
        <v>3197</v>
      </c>
      <c r="C17" s="18">
        <f>(2849.0/B17*100)</f>
        <v/>
      </c>
      <c r="D17" s="19" t="n">
        <v>348</v>
      </c>
      <c r="E17" s="18" t="n">
        <v>40.23217427</v>
      </c>
      <c r="F17" s="20" t="n">
        <v>2.66697455</v>
      </c>
      <c r="G17" s="18" t="n">
        <v>58.97523502</v>
      </c>
      <c r="H17" s="20" t="n">
        <v>2.68763749</v>
      </c>
      <c r="I17" s="18" t="n">
        <v>0</v>
      </c>
      <c r="J17" s="20" t="n">
        <v>0</v>
      </c>
      <c r="K17" s="18" t="n">
        <v>0</v>
      </c>
      <c r="L17" s="20" t="n">
        <v>0</v>
      </c>
      <c r="M17" s="18" t="n">
        <v>0</v>
      </c>
      <c r="N17" s="20" t="n">
        <v>0</v>
      </c>
      <c r="O17" s="18" t="n">
        <v>0</v>
      </c>
      <c r="P17" s="20" t="n">
        <v>0</v>
      </c>
      <c r="Q17" s="18" t="n">
        <v>0.79259071</v>
      </c>
      <c r="R17" s="20" t="n">
        <v>0.46390998</v>
      </c>
    </row>
    <row r="18" spans="1:18">
      <c r="A18" s="15" t="s">
        <v>576</v>
      </c>
      <c r="B18" s="17" t="n">
        <v>2706</v>
      </c>
      <c r="C18" s="18">
        <f>(2409.0/B18*100)</f>
        <v/>
      </c>
      <c r="D18" s="19" t="n">
        <v>297</v>
      </c>
      <c r="E18" s="18" t="n">
        <v>55.46057773</v>
      </c>
      <c r="F18" s="20" t="n">
        <v>3.08244058</v>
      </c>
      <c r="G18" s="18" t="n">
        <v>43.70968571</v>
      </c>
      <c r="H18" s="20" t="n">
        <v>3.07174775</v>
      </c>
      <c r="I18" s="18" t="n">
        <v>0</v>
      </c>
      <c r="J18" s="20" t="n">
        <v>0</v>
      </c>
      <c r="K18" s="18" t="n">
        <v>0.62962224</v>
      </c>
      <c r="L18" s="20" t="n">
        <v>0.43679688</v>
      </c>
      <c r="M18" s="18" t="n">
        <v>0</v>
      </c>
      <c r="N18" s="20" t="n">
        <v>0</v>
      </c>
      <c r="O18" s="18" t="n">
        <v>0</v>
      </c>
      <c r="P18" s="20" t="n">
        <v>0</v>
      </c>
      <c r="Q18" s="18" t="n">
        <v>0.20011431</v>
      </c>
      <c r="R18" s="20" t="n">
        <v>0.20119247</v>
      </c>
    </row>
    <row r="19" spans="1:18">
      <c r="A19" s="15" t="s">
        <v>577</v>
      </c>
      <c r="B19" s="17" t="n">
        <v>2850</v>
      </c>
      <c r="C19" s="18">
        <f>(2565.0/B19*100)</f>
        <v/>
      </c>
      <c r="D19" s="19" t="n">
        <v>285</v>
      </c>
      <c r="E19" s="18" t="n">
        <v>40.96993911</v>
      </c>
      <c r="F19" s="20" t="n">
        <v>3.4554323</v>
      </c>
      <c r="G19" s="18" t="n">
        <v>58.72833149</v>
      </c>
      <c r="H19" s="20" t="n">
        <v>3.46653615</v>
      </c>
      <c r="I19" s="18" t="n">
        <v>0</v>
      </c>
      <c r="J19" s="20" t="n">
        <v>0</v>
      </c>
      <c r="K19" s="18" t="n">
        <v>0.30172939</v>
      </c>
      <c r="L19" s="20" t="n">
        <v>0.3034276</v>
      </c>
      <c r="M19" s="18" t="n">
        <v>0</v>
      </c>
      <c r="N19" s="20" t="n">
        <v>0</v>
      </c>
      <c r="O19" s="18" t="n">
        <v>0</v>
      </c>
      <c r="P19" s="20" t="n">
        <v>0</v>
      </c>
      <c r="Q19" s="18" t="n">
        <v>0</v>
      </c>
      <c r="R19" s="20" t="n">
        <v>0</v>
      </c>
    </row>
    <row r="20" spans="1:18">
      <c r="A20" s="15" t="s">
        <v>578</v>
      </c>
      <c r="B20" s="17" t="n">
        <v>1741</v>
      </c>
      <c r="C20" s="18">
        <f>(1551.0/B20*100)</f>
        <v/>
      </c>
      <c r="D20" s="19" t="n">
        <v>190</v>
      </c>
      <c r="E20" s="18" t="n">
        <v>42.07382392</v>
      </c>
      <c r="F20" s="20" t="n">
        <v>3.61940271</v>
      </c>
      <c r="G20" s="18" t="n">
        <v>54.76861647</v>
      </c>
      <c r="H20" s="20" t="n">
        <v>3.63824368</v>
      </c>
      <c r="I20" s="18" t="n">
        <v>0</v>
      </c>
      <c r="J20" s="20" t="n">
        <v>0</v>
      </c>
      <c r="K20" s="18" t="n">
        <v>1.65413785</v>
      </c>
      <c r="L20" s="20" t="n">
        <v>1.20162081</v>
      </c>
      <c r="M20" s="18" t="n">
        <v>0</v>
      </c>
      <c r="N20" s="20" t="n">
        <v>0</v>
      </c>
      <c r="O20" s="18" t="n">
        <v>0</v>
      </c>
      <c r="P20" s="20" t="n">
        <v>0</v>
      </c>
      <c r="Q20" s="18" t="n">
        <v>1.50342176</v>
      </c>
      <c r="R20" s="20" t="n">
        <v>0.84568507</v>
      </c>
    </row>
    <row r="21" spans="1:18">
      <c r="A21" s="15" t="s">
        <v>579</v>
      </c>
      <c r="B21" s="17" t="n">
        <v>2833</v>
      </c>
      <c r="C21" s="18">
        <f>(2556.0/B21*100)</f>
        <v/>
      </c>
      <c r="D21" s="19" t="n">
        <v>277</v>
      </c>
      <c r="E21" s="18" t="n">
        <v>45.8968181</v>
      </c>
      <c r="F21" s="20" t="n">
        <v>3.09891489</v>
      </c>
      <c r="G21" s="18" t="n">
        <v>53.79106771</v>
      </c>
      <c r="H21" s="20" t="n">
        <v>3.06135999</v>
      </c>
      <c r="I21" s="18" t="n">
        <v>0</v>
      </c>
      <c r="J21" s="20" t="n">
        <v>0</v>
      </c>
      <c r="K21" s="18" t="n">
        <v>0.3121142</v>
      </c>
      <c r="L21" s="20" t="n">
        <v>0.22597434</v>
      </c>
      <c r="M21" s="18" t="n">
        <v>0</v>
      </c>
      <c r="N21" s="20" t="n">
        <v>0</v>
      </c>
      <c r="O21" s="18" t="n">
        <v>0</v>
      </c>
      <c r="P21" s="20" t="n">
        <v>0</v>
      </c>
      <c r="Q21" s="18" t="n">
        <v>0</v>
      </c>
      <c r="R21" s="20" t="n">
        <v>0</v>
      </c>
    </row>
    <row r="22" spans="1:18">
      <c r="A22" s="15" t="s">
        <v>580</v>
      </c>
      <c r="B22" s="17" t="n">
        <v>3667</v>
      </c>
      <c r="C22" s="18">
        <f>(3300.0/B22*100)</f>
        <v/>
      </c>
      <c r="D22" s="19" t="n">
        <v>367</v>
      </c>
      <c r="E22" s="18" t="n">
        <v>46.92586317</v>
      </c>
      <c r="F22" s="20" t="n">
        <v>2.85848897</v>
      </c>
      <c r="G22" s="18" t="n">
        <v>50.03374486</v>
      </c>
      <c r="H22" s="20" t="n">
        <v>2.91505037</v>
      </c>
      <c r="I22" s="18" t="n">
        <v>0</v>
      </c>
      <c r="J22" s="20" t="n">
        <v>0</v>
      </c>
      <c r="K22" s="18" t="n">
        <v>0.83411174</v>
      </c>
      <c r="L22" s="20" t="n">
        <v>0.43900007</v>
      </c>
      <c r="M22" s="18" t="n">
        <v>0</v>
      </c>
      <c r="N22" s="20" t="n">
        <v>0</v>
      </c>
      <c r="O22" s="18" t="n">
        <v>0</v>
      </c>
      <c r="P22" s="20" t="n">
        <v>0</v>
      </c>
      <c r="Q22" s="18" t="n">
        <v>2.20628023</v>
      </c>
      <c r="R22" s="20" t="n">
        <v>0.83511731</v>
      </c>
    </row>
    <row r="23" spans="1:18">
      <c r="A23" s="15" t="s">
        <v>581</v>
      </c>
      <c r="B23" s="17" t="n">
        <v>5792</v>
      </c>
      <c r="C23" s="18">
        <f>(5133.0/B23*100)</f>
        <v/>
      </c>
      <c r="D23" s="19" t="n">
        <v>659</v>
      </c>
      <c r="E23" s="18" t="n">
        <v>40.60942297</v>
      </c>
      <c r="F23" s="20" t="n">
        <v>2.20700368</v>
      </c>
      <c r="G23" s="18" t="n">
        <v>56.63718826</v>
      </c>
      <c r="H23" s="20" t="n">
        <v>2.45780928</v>
      </c>
      <c r="I23" s="18" t="n">
        <v>0</v>
      </c>
      <c r="J23" s="20" t="n">
        <v>0</v>
      </c>
      <c r="K23" s="18" t="n">
        <v>1.49071063</v>
      </c>
      <c r="L23" s="20" t="n">
        <v>0.72105617</v>
      </c>
      <c r="M23" s="18" t="n">
        <v>0</v>
      </c>
      <c r="N23" s="20" t="n">
        <v>0</v>
      </c>
      <c r="O23" s="18" t="n">
        <v>0</v>
      </c>
      <c r="P23" s="20" t="n">
        <v>0</v>
      </c>
      <c r="Q23" s="18" t="n">
        <v>1.26267813</v>
      </c>
      <c r="R23" s="20" t="n">
        <v>0.80676001</v>
      </c>
    </row>
    <row r="24" spans="1:18">
      <c r="A24" s="15" t="s">
        <v>582</v>
      </c>
      <c r="B24" s="17" t="n">
        <v>3309</v>
      </c>
      <c r="C24" s="18">
        <f>(2979.0/B24*100)</f>
        <v/>
      </c>
      <c r="D24" s="19" t="n">
        <v>330</v>
      </c>
      <c r="E24" s="18" t="n">
        <v>44.2441803</v>
      </c>
      <c r="F24" s="20" t="n">
        <v>2.84222265</v>
      </c>
      <c r="G24" s="18" t="n">
        <v>55.7558197</v>
      </c>
      <c r="H24" s="20" t="n">
        <v>2.84222265</v>
      </c>
      <c r="I24" s="18" t="n">
        <v>0</v>
      </c>
      <c r="J24" s="20" t="n">
        <v>0</v>
      </c>
      <c r="K24" s="18" t="n">
        <v>0</v>
      </c>
      <c r="L24" s="20" t="n">
        <v>0</v>
      </c>
      <c r="M24" s="18" t="n">
        <v>0</v>
      </c>
      <c r="N24" s="20" t="n">
        <v>0</v>
      </c>
      <c r="O24" s="18" t="n">
        <v>0</v>
      </c>
      <c r="P24" s="20" t="n">
        <v>0</v>
      </c>
      <c r="Q24" s="18" t="n">
        <v>0</v>
      </c>
      <c r="R24" s="20" t="n">
        <v>0</v>
      </c>
    </row>
    <row r="25" spans="1:18">
      <c r="A25" s="15" t="s">
        <v>583</v>
      </c>
      <c r="B25" s="17" t="n">
        <v>2669</v>
      </c>
      <c r="C25" s="18">
        <f>(2365.0/B25*100)</f>
        <v/>
      </c>
      <c r="D25" s="19" t="n">
        <v>304</v>
      </c>
      <c r="E25" s="18" t="n">
        <v>37.0578128</v>
      </c>
      <c r="F25" s="20" t="n">
        <v>3.14591553</v>
      </c>
      <c r="G25" s="18" t="n">
        <v>62.35762927</v>
      </c>
      <c r="H25" s="20" t="n">
        <v>3.19267668</v>
      </c>
      <c r="I25" s="18" t="n">
        <v>0</v>
      </c>
      <c r="J25" s="20" t="n">
        <v>0</v>
      </c>
      <c r="K25" s="18" t="n">
        <v>0.58455793</v>
      </c>
      <c r="L25" s="20" t="n">
        <v>0.37847607</v>
      </c>
      <c r="M25" s="18" t="n">
        <v>0</v>
      </c>
      <c r="N25" s="20" t="n">
        <v>0</v>
      </c>
      <c r="O25" s="18" t="n">
        <v>0</v>
      </c>
      <c r="P25" s="20" t="n">
        <v>0</v>
      </c>
      <c r="Q25" s="18" t="n">
        <v>0</v>
      </c>
      <c r="R25" s="20" t="n">
        <v>0</v>
      </c>
    </row>
    <row r="26" spans="1:18">
      <c r="A26" s="15" t="s">
        <v>584</v>
      </c>
      <c r="B26" s="17" t="n">
        <v>2419</v>
      </c>
      <c r="C26" s="18">
        <f>(2143.0/B26*100)</f>
        <v/>
      </c>
      <c r="D26" s="19" t="n">
        <v>276</v>
      </c>
      <c r="E26" s="18" t="n">
        <v>47.52059484</v>
      </c>
      <c r="F26" s="20" t="n">
        <v>3.21738356</v>
      </c>
      <c r="G26" s="18" t="n">
        <v>51.79899329</v>
      </c>
      <c r="H26" s="20" t="n">
        <v>3.12496077</v>
      </c>
      <c r="I26" s="18" t="n">
        <v>0</v>
      </c>
      <c r="J26" s="20" t="n">
        <v>0</v>
      </c>
      <c r="K26" s="18" t="n">
        <v>0</v>
      </c>
      <c r="L26" s="20" t="n">
        <v>0</v>
      </c>
      <c r="M26" s="18" t="n">
        <v>0</v>
      </c>
      <c r="N26" s="20" t="n">
        <v>0</v>
      </c>
      <c r="O26" s="18" t="n">
        <v>0</v>
      </c>
      <c r="P26" s="20" t="n">
        <v>0</v>
      </c>
      <c r="Q26" s="18" t="n">
        <v>0.68041187</v>
      </c>
      <c r="R26" s="20" t="n">
        <v>0.4807483</v>
      </c>
    </row>
    <row r="27" spans="1:18">
      <c r="A27" s="15" t="s">
        <v>585</v>
      </c>
      <c r="B27" s="17" t="n">
        <v>2683</v>
      </c>
      <c r="C27" s="18">
        <f>(2384.0/B27*100)</f>
        <v/>
      </c>
      <c r="D27" s="19" t="n">
        <v>299</v>
      </c>
      <c r="E27" s="18" t="n">
        <v>47.96944172</v>
      </c>
      <c r="F27" s="20" t="n">
        <v>2.94854078</v>
      </c>
      <c r="G27" s="18" t="n">
        <v>50.63829618</v>
      </c>
      <c r="H27" s="20" t="n">
        <v>2.86806429</v>
      </c>
      <c r="I27" s="18" t="n">
        <v>0</v>
      </c>
      <c r="J27" s="20" t="n">
        <v>0</v>
      </c>
      <c r="K27" s="18" t="n">
        <v>0.40086772</v>
      </c>
      <c r="L27" s="20" t="n">
        <v>0.402408</v>
      </c>
      <c r="M27" s="18" t="n">
        <v>0</v>
      </c>
      <c r="N27" s="20" t="n">
        <v>0</v>
      </c>
      <c r="O27" s="18" t="n">
        <v>0</v>
      </c>
      <c r="P27" s="20" t="n">
        <v>0</v>
      </c>
      <c r="Q27" s="18" t="n">
        <v>0.99139437</v>
      </c>
      <c r="R27" s="20" t="n">
        <v>0.56829271</v>
      </c>
    </row>
    <row r="28" spans="1:18">
      <c r="A28" s="15" t="s">
        <v>586</v>
      </c>
      <c r="B28" s="17" t="n">
        <v>3803</v>
      </c>
      <c r="C28" s="18">
        <f>(3414.0/B28*100)</f>
        <v/>
      </c>
      <c r="D28" s="19" t="n">
        <v>389</v>
      </c>
      <c r="E28" s="18" t="n">
        <v>65.46164204999999</v>
      </c>
      <c r="F28" s="20" t="n">
        <v>2.82163892</v>
      </c>
      <c r="G28" s="18" t="n">
        <v>33.24751078</v>
      </c>
      <c r="H28" s="20" t="n">
        <v>2.59466152</v>
      </c>
      <c r="I28" s="18" t="n">
        <v>0</v>
      </c>
      <c r="J28" s="20" t="n">
        <v>0</v>
      </c>
      <c r="K28" s="18" t="n">
        <v>0.86897085</v>
      </c>
      <c r="L28" s="20" t="n">
        <v>0.66203646</v>
      </c>
      <c r="M28" s="18" t="n">
        <v>0</v>
      </c>
      <c r="N28" s="20" t="n">
        <v>0</v>
      </c>
      <c r="O28" s="18" t="n">
        <v>0</v>
      </c>
      <c r="P28" s="20" t="n">
        <v>0</v>
      </c>
      <c r="Q28" s="18" t="n">
        <v>0.42187632</v>
      </c>
      <c r="R28" s="20" t="n">
        <v>0.29638754</v>
      </c>
    </row>
    <row r="29" spans="1:18">
      <c r="A29" s="15" t="s">
        <v>587</v>
      </c>
      <c r="B29" s="17" t="n">
        <v>2700</v>
      </c>
      <c r="C29" s="18">
        <f>(2422.0/B29*100)</f>
        <v/>
      </c>
      <c r="D29" s="19" t="n">
        <v>278</v>
      </c>
      <c r="E29" s="18" t="n">
        <v>41.31939654</v>
      </c>
      <c r="F29" s="20" t="n">
        <v>3.05432068</v>
      </c>
      <c r="G29" s="18" t="n">
        <v>58.68060346</v>
      </c>
      <c r="H29" s="20" t="n">
        <v>3.05432068</v>
      </c>
      <c r="I29" s="18" t="n">
        <v>0</v>
      </c>
      <c r="J29" s="20" t="n">
        <v>0</v>
      </c>
      <c r="K29" s="18" t="n">
        <v>0</v>
      </c>
      <c r="L29" s="20" t="n">
        <v>0</v>
      </c>
      <c r="M29" s="18" t="n">
        <v>0</v>
      </c>
      <c r="N29" s="20" t="n">
        <v>0</v>
      </c>
      <c r="O29" s="18" t="n">
        <v>0</v>
      </c>
      <c r="P29" s="20" t="n">
        <v>0</v>
      </c>
      <c r="Q29" s="18" t="n">
        <v>0</v>
      </c>
      <c r="R29" s="20" t="n">
        <v>0</v>
      </c>
    </row>
    <row r="30" spans="1:18">
      <c r="A30" s="15" t="s">
        <v>588</v>
      </c>
      <c r="B30" s="17" t="n">
        <v>2257</v>
      </c>
      <c r="C30" s="18">
        <f>(2015.0/B30*100)</f>
        <v/>
      </c>
      <c r="D30" s="19" t="n">
        <v>242</v>
      </c>
      <c r="E30" s="18" t="n">
        <v>35.60151159</v>
      </c>
      <c r="F30" s="20" t="n">
        <v>3.00119411</v>
      </c>
      <c r="G30" s="18" t="n">
        <v>61.20108841</v>
      </c>
      <c r="H30" s="20" t="n">
        <v>3.0119808</v>
      </c>
      <c r="I30" s="18" t="n">
        <v>0</v>
      </c>
      <c r="J30" s="20" t="n">
        <v>0</v>
      </c>
      <c r="K30" s="18" t="n">
        <v>1.99935808</v>
      </c>
      <c r="L30" s="20" t="n">
        <v>0.89193309</v>
      </c>
      <c r="M30" s="18" t="n">
        <v>0</v>
      </c>
      <c r="N30" s="20" t="n">
        <v>0</v>
      </c>
      <c r="O30" s="18" t="n">
        <v>0</v>
      </c>
      <c r="P30" s="20" t="n">
        <v>0</v>
      </c>
      <c r="Q30" s="18" t="n">
        <v>1.19804193</v>
      </c>
      <c r="R30" s="20" t="n">
        <v>0.45177874</v>
      </c>
    </row>
    <row r="31" spans="1:18">
      <c r="A31" s="15" t="s">
        <v>589</v>
      </c>
      <c r="B31" s="17" t="n">
        <v>2706</v>
      </c>
      <c r="C31" s="18">
        <f>(2406.0/B31*100)</f>
        <v/>
      </c>
      <c r="D31" s="19" t="n">
        <v>300</v>
      </c>
      <c r="E31" s="18" t="n">
        <v>42.98956028</v>
      </c>
      <c r="F31" s="20" t="n">
        <v>2.60470677</v>
      </c>
      <c r="G31" s="18" t="n">
        <v>55.66010257</v>
      </c>
      <c r="H31" s="20" t="n">
        <v>2.64946781</v>
      </c>
      <c r="I31" s="18" t="n">
        <v>0</v>
      </c>
      <c r="J31" s="20" t="n">
        <v>0</v>
      </c>
      <c r="K31" s="18" t="n">
        <v>0.66502976</v>
      </c>
      <c r="L31" s="20" t="n">
        <v>0.4653946</v>
      </c>
      <c r="M31" s="18" t="n">
        <v>0</v>
      </c>
      <c r="N31" s="20" t="n">
        <v>0</v>
      </c>
      <c r="O31" s="18" t="n">
        <v>0</v>
      </c>
      <c r="P31" s="20" t="n">
        <v>0</v>
      </c>
      <c r="Q31" s="18" t="n">
        <v>0.6853074</v>
      </c>
      <c r="R31" s="20" t="n">
        <v>0.504001</v>
      </c>
    </row>
    <row r="32" spans="1:18">
      <c r="A32" s="15" t="s">
        <v>590</v>
      </c>
      <c r="B32" s="17" t="n">
        <v>2209</v>
      </c>
      <c r="C32" s="18">
        <f>(1968.0/B32*100)</f>
        <v/>
      </c>
      <c r="D32" s="19" t="n">
        <v>241</v>
      </c>
      <c r="E32" s="18" t="n">
        <v>48.18613045</v>
      </c>
      <c r="F32" s="20" t="n">
        <v>3.57873025</v>
      </c>
      <c r="G32" s="18" t="n">
        <v>50.13797509</v>
      </c>
      <c r="H32" s="20" t="n">
        <v>3.51580148</v>
      </c>
      <c r="I32" s="18" t="n">
        <v>0</v>
      </c>
      <c r="J32" s="20" t="n">
        <v>0</v>
      </c>
      <c r="K32" s="18" t="n">
        <v>0</v>
      </c>
      <c r="L32" s="20" t="n">
        <v>0</v>
      </c>
      <c r="M32" s="18" t="n">
        <v>0</v>
      </c>
      <c r="N32" s="20" t="n">
        <v>0</v>
      </c>
      <c r="O32" s="18" t="n">
        <v>0</v>
      </c>
      <c r="P32" s="20" t="n">
        <v>0</v>
      </c>
      <c r="Q32" s="18" t="n">
        <v>1.67589446</v>
      </c>
      <c r="R32" s="20" t="n">
        <v>0.83816745</v>
      </c>
    </row>
    <row r="33" spans="1:18">
      <c r="A33" s="15" t="s">
        <v>591</v>
      </c>
      <c r="B33" s="17" t="n">
        <v>3651</v>
      </c>
      <c r="C33" s="18">
        <f>(3256.0/B33*100)</f>
        <v/>
      </c>
      <c r="D33" s="19" t="n">
        <v>395</v>
      </c>
      <c r="E33" s="18" t="n">
        <v>51.26907237</v>
      </c>
      <c r="F33" s="20" t="n">
        <v>2.97361343</v>
      </c>
      <c r="G33" s="18" t="n">
        <v>47.01072531</v>
      </c>
      <c r="H33" s="20" t="n">
        <v>2.94173042</v>
      </c>
      <c r="I33" s="18" t="n">
        <v>0</v>
      </c>
      <c r="J33" s="20" t="n">
        <v>0</v>
      </c>
      <c r="K33" s="18" t="n">
        <v>0.42986253</v>
      </c>
      <c r="L33" s="20" t="n">
        <v>0.41015701</v>
      </c>
      <c r="M33" s="18" t="n">
        <v>0</v>
      </c>
      <c r="N33" s="20" t="n">
        <v>0</v>
      </c>
      <c r="O33" s="18" t="n">
        <v>0</v>
      </c>
      <c r="P33" s="20" t="n">
        <v>0</v>
      </c>
      <c r="Q33" s="18" t="n">
        <v>1.2903398</v>
      </c>
      <c r="R33" s="20" t="n">
        <v>0.6102374699999999</v>
      </c>
    </row>
    <row r="34" spans="1:18">
      <c r="A34" s="15" t="s">
        <v>592</v>
      </c>
      <c r="B34" s="17" t="n">
        <v>3035</v>
      </c>
      <c r="C34" s="18">
        <f>(2688.0/B34*100)</f>
        <v/>
      </c>
      <c r="D34" s="19" t="n">
        <v>347</v>
      </c>
      <c r="E34" s="18" t="n">
        <v>53.98394509</v>
      </c>
      <c r="F34" s="20" t="n">
        <v>2.6109851</v>
      </c>
      <c r="G34" s="18" t="n">
        <v>45.29376316</v>
      </c>
      <c r="H34" s="20" t="n">
        <v>2.69956305</v>
      </c>
      <c r="I34" s="18" t="n">
        <v>0</v>
      </c>
      <c r="J34" s="20" t="n">
        <v>0</v>
      </c>
      <c r="K34" s="18" t="n">
        <v>0.25296151</v>
      </c>
      <c r="L34" s="20" t="n">
        <v>0.26401687</v>
      </c>
      <c r="M34" s="18" t="n">
        <v>0</v>
      </c>
      <c r="N34" s="20" t="n">
        <v>0</v>
      </c>
      <c r="O34" s="18" t="n">
        <v>0</v>
      </c>
      <c r="P34" s="20" t="n">
        <v>0</v>
      </c>
      <c r="Q34" s="18" t="n">
        <v>0.46933025</v>
      </c>
      <c r="R34" s="20" t="n">
        <v>0.35744323</v>
      </c>
    </row>
    <row r="35" spans="1:18">
      <c r="A35" s="15" t="s">
        <v>593</v>
      </c>
      <c r="B35" s="17" t="n">
        <v>2901</v>
      </c>
      <c r="C35" s="18">
        <f>(2574.0/B35*100)</f>
        <v/>
      </c>
      <c r="D35" s="19" t="n">
        <v>327</v>
      </c>
      <c r="E35" s="18" t="n">
        <v>40.9267875</v>
      </c>
      <c r="F35" s="20" t="n">
        <v>2.97477623</v>
      </c>
      <c r="G35" s="18" t="n">
        <v>57.97636581</v>
      </c>
      <c r="H35" s="20" t="n">
        <v>3.01998124</v>
      </c>
      <c r="I35" s="18" t="n">
        <v>0</v>
      </c>
      <c r="J35" s="20" t="n">
        <v>0</v>
      </c>
      <c r="K35" s="18" t="n">
        <v>0.16036806</v>
      </c>
      <c r="L35" s="20" t="n">
        <v>0.15974908</v>
      </c>
      <c r="M35" s="18" t="n">
        <v>0</v>
      </c>
      <c r="N35" s="20" t="n">
        <v>0</v>
      </c>
      <c r="O35" s="18" t="n">
        <v>0</v>
      </c>
      <c r="P35" s="20" t="n">
        <v>0</v>
      </c>
      <c r="Q35" s="18" t="n">
        <v>0.93647863</v>
      </c>
      <c r="R35" s="20" t="n">
        <v>0.68730751</v>
      </c>
    </row>
    <row r="36" spans="1:18">
      <c r="A36" s="15" t="s">
        <v>594</v>
      </c>
      <c r="B36" s="17" t="n">
        <v>3404</v>
      </c>
      <c r="C36" s="18">
        <f>(3003.0/B36*100)</f>
        <v/>
      </c>
      <c r="D36" s="19" t="n">
        <v>401</v>
      </c>
      <c r="E36" s="18" t="n">
        <v>46.18603253</v>
      </c>
      <c r="F36" s="20" t="n">
        <v>2.67553431</v>
      </c>
      <c r="G36" s="18" t="n">
        <v>52.67603532</v>
      </c>
      <c r="H36" s="20" t="n">
        <v>2.58620959</v>
      </c>
      <c r="I36" s="18" t="n">
        <v>0</v>
      </c>
      <c r="J36" s="20" t="n">
        <v>0</v>
      </c>
      <c r="K36" s="18" t="n">
        <v>0.61687464</v>
      </c>
      <c r="L36" s="20" t="n">
        <v>0.4026208</v>
      </c>
      <c r="M36" s="18" t="n">
        <v>0</v>
      </c>
      <c r="N36" s="20" t="n">
        <v>0</v>
      </c>
      <c r="O36" s="18" t="n">
        <v>0</v>
      </c>
      <c r="P36" s="20" t="n">
        <v>0</v>
      </c>
      <c r="Q36" s="18" t="n">
        <v>0.52105751</v>
      </c>
      <c r="R36" s="20" t="n">
        <v>0.36228881</v>
      </c>
    </row>
    <row r="37" spans="1:18">
      <c r="A37" s="15" t="s">
        <v>595</v>
      </c>
      <c r="B37" s="17" t="n">
        <v>2731</v>
      </c>
      <c r="C37" s="18">
        <f>(2437.0/B37*100)</f>
        <v/>
      </c>
      <c r="D37" s="19" t="n">
        <v>294</v>
      </c>
      <c r="E37" s="18" t="n">
        <v>36.84156371</v>
      </c>
      <c r="F37" s="20" t="n">
        <v>2.65643188</v>
      </c>
      <c r="G37" s="18" t="n">
        <v>60.36943477</v>
      </c>
      <c r="H37" s="20" t="n">
        <v>2.63472506</v>
      </c>
      <c r="I37" s="18" t="n">
        <v>0</v>
      </c>
      <c r="J37" s="20" t="n">
        <v>0</v>
      </c>
      <c r="K37" s="18" t="n">
        <v>1.87051004</v>
      </c>
      <c r="L37" s="20" t="n">
        <v>0.76479641</v>
      </c>
      <c r="M37" s="18" t="n">
        <v>0</v>
      </c>
      <c r="N37" s="20" t="n">
        <v>0</v>
      </c>
      <c r="O37" s="18" t="n">
        <v>0</v>
      </c>
      <c r="P37" s="20" t="n">
        <v>0</v>
      </c>
      <c r="Q37" s="18" t="n">
        <v>0.91849148</v>
      </c>
      <c r="R37" s="20" t="n">
        <v>0.5106640099999999</v>
      </c>
    </row>
    <row r="38" spans="1:18">
      <c r="A38" s="15" t="s">
        <v>596</v>
      </c>
      <c r="B38" s="17" t="n">
        <v>2807</v>
      </c>
      <c r="C38" s="18">
        <f>(2498.0/B38*100)</f>
        <v/>
      </c>
      <c r="D38" s="19" t="n">
        <v>309</v>
      </c>
      <c r="E38" s="18" t="n">
        <v>37.6448539</v>
      </c>
      <c r="F38" s="20" t="n">
        <v>3.41542565</v>
      </c>
      <c r="G38" s="18" t="n">
        <v>61.6788918</v>
      </c>
      <c r="H38" s="20" t="n">
        <v>3.38705076</v>
      </c>
      <c r="I38" s="18" t="n">
        <v>0</v>
      </c>
      <c r="J38" s="20" t="n">
        <v>0</v>
      </c>
      <c r="K38" s="18" t="n">
        <v>0</v>
      </c>
      <c r="L38" s="20" t="n">
        <v>0</v>
      </c>
      <c r="M38" s="18" t="n">
        <v>0</v>
      </c>
      <c r="N38" s="20" t="n">
        <v>0</v>
      </c>
      <c r="O38" s="18" t="n">
        <v>0</v>
      </c>
      <c r="P38" s="20" t="n">
        <v>0</v>
      </c>
      <c r="Q38" s="18" t="n">
        <v>0.6762543</v>
      </c>
      <c r="R38" s="20" t="n">
        <v>0.43618171</v>
      </c>
    </row>
    <row r="39" spans="1:18">
      <c r="A39" s="15" t="s">
        <v>597</v>
      </c>
      <c r="B39" s="17" t="n">
        <v>2938</v>
      </c>
      <c r="C39" s="18">
        <f>(2633.0/B39*100)</f>
        <v/>
      </c>
      <c r="D39" s="19" t="n">
        <v>305</v>
      </c>
      <c r="E39" s="18" t="n">
        <v>62.83317557</v>
      </c>
      <c r="F39" s="20" t="n">
        <v>2.98214203</v>
      </c>
      <c r="G39" s="18" t="n">
        <v>35.93976426</v>
      </c>
      <c r="H39" s="20" t="n">
        <v>2.81674022</v>
      </c>
      <c r="I39" s="18" t="n">
        <v>0</v>
      </c>
      <c r="J39" s="20" t="n">
        <v>0</v>
      </c>
      <c r="K39" s="18" t="n">
        <v>0</v>
      </c>
      <c r="L39" s="20" t="n">
        <v>0</v>
      </c>
      <c r="M39" s="18" t="n">
        <v>0</v>
      </c>
      <c r="N39" s="20" t="n">
        <v>0</v>
      </c>
      <c r="O39" s="18" t="n">
        <v>0</v>
      </c>
      <c r="P39" s="20" t="n">
        <v>0</v>
      </c>
      <c r="Q39" s="18" t="n">
        <v>1.22706017</v>
      </c>
      <c r="R39" s="20" t="n">
        <v>0.65861317</v>
      </c>
    </row>
    <row r="40" spans="1:18">
      <c r="A40" s="15" t="s">
        <v>598</v>
      </c>
      <c r="B40" s="17" t="n">
        <v>6922</v>
      </c>
      <c r="C40" s="18">
        <f>(6132.0/B40*100)</f>
        <v/>
      </c>
      <c r="D40" s="19" t="n">
        <v>790</v>
      </c>
      <c r="E40" s="18" t="n">
        <v>43.39088303</v>
      </c>
      <c r="F40" s="20" t="n">
        <v>2.28522346</v>
      </c>
      <c r="G40" s="18" t="n">
        <v>56.32093942</v>
      </c>
      <c r="H40" s="20" t="n">
        <v>2.26855133</v>
      </c>
      <c r="I40" s="18" t="n">
        <v>0</v>
      </c>
      <c r="J40" s="20" t="n">
        <v>0</v>
      </c>
      <c r="K40" s="18" t="n">
        <v>0.09479587</v>
      </c>
      <c r="L40" s="20" t="n">
        <v>0.06348109</v>
      </c>
      <c r="M40" s="18" t="n">
        <v>0</v>
      </c>
      <c r="N40" s="20" t="n">
        <v>0</v>
      </c>
      <c r="O40" s="18" t="n">
        <v>0</v>
      </c>
      <c r="P40" s="20" t="n">
        <v>0</v>
      </c>
      <c r="Q40" s="18" t="n">
        <v>0.19338169</v>
      </c>
      <c r="R40" s="20" t="n">
        <v>0.09191808999999999</v>
      </c>
    </row>
    <row r="41" spans="1:18">
      <c r="A41" s="15" t="s">
        <v>599</v>
      </c>
      <c r="B41" s="17" t="n">
        <v>2854</v>
      </c>
      <c r="C41" s="18">
        <f>(2551.0/B41*100)</f>
        <v/>
      </c>
      <c r="D41" s="19" t="n">
        <v>303</v>
      </c>
      <c r="E41" s="18" t="n">
        <v>53.78082005</v>
      </c>
      <c r="F41" s="20" t="n">
        <v>2.77718523</v>
      </c>
      <c r="G41" s="18" t="n">
        <v>45.84479858</v>
      </c>
      <c r="H41" s="20" t="n">
        <v>2.87528742</v>
      </c>
      <c r="I41" s="18" t="n">
        <v>0</v>
      </c>
      <c r="J41" s="20" t="n">
        <v>0</v>
      </c>
      <c r="K41" s="18" t="n">
        <v>0.37438137</v>
      </c>
      <c r="L41" s="20" t="n">
        <v>0.3794088</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(11044.0/B46*100)</f>
        <v/>
      </c>
      <c r="D46" s="19" t="n">
        <v>1029</v>
      </c>
      <c r="E46" s="18" t="n">
        <v>62.85298485</v>
      </c>
      <c r="F46" s="20" t="n">
        <v>1.95667239</v>
      </c>
      <c r="G46" s="18" t="n">
        <v>34.60493692</v>
      </c>
      <c r="H46" s="20" t="n">
        <v>1.87293228</v>
      </c>
      <c r="I46" s="18" t="n">
        <v>0</v>
      </c>
      <c r="J46" s="20" t="n">
        <v>0</v>
      </c>
      <c r="K46" s="18" t="n">
        <v>2.27358077</v>
      </c>
      <c r="L46" s="20" t="n">
        <v>0.64821871</v>
      </c>
      <c r="M46" s="18" t="n">
        <v>0</v>
      </c>
      <c r="N46" s="20" t="n">
        <v>0</v>
      </c>
      <c r="O46" s="18" t="n">
        <v>0</v>
      </c>
      <c r="P46" s="20" t="n">
        <v>0</v>
      </c>
      <c r="Q46" s="18" t="n">
        <v>0.26849746</v>
      </c>
      <c r="R46" s="20" t="n">
        <v>0.16284853</v>
      </c>
    </row>
    <row r="47" spans="1:18">
      <c r="A47" s="15" t="s">
        <v>606</v>
      </c>
      <c r="B47" s="17" t="n">
        <v>2823</v>
      </c>
      <c r="C47" s="18">
        <f>(2517.0/B47*100)</f>
        <v/>
      </c>
      <c r="D47" s="19" t="n">
        <v>306</v>
      </c>
      <c r="E47" s="18" t="n">
        <v>49.94513844</v>
      </c>
      <c r="F47" s="20" t="n">
        <v>2.72026297</v>
      </c>
      <c r="G47" s="18" t="n">
        <v>48.40013485</v>
      </c>
      <c r="H47" s="20" t="n">
        <v>2.86677536</v>
      </c>
      <c r="I47" s="18" t="n">
        <v>0</v>
      </c>
      <c r="J47" s="20" t="n">
        <v>0</v>
      </c>
      <c r="K47" s="18" t="n">
        <v>0.33014109</v>
      </c>
      <c r="L47" s="20" t="n">
        <v>0.32758848</v>
      </c>
      <c r="M47" s="18" t="n">
        <v>0</v>
      </c>
      <c r="N47" s="20" t="n">
        <v>0</v>
      </c>
      <c r="O47" s="18" t="n">
        <v>0</v>
      </c>
      <c r="P47" s="20" t="n">
        <v>0</v>
      </c>
      <c r="Q47" s="18" t="n">
        <v>1.32458563</v>
      </c>
      <c r="R47" s="20" t="n">
        <v>0.77673899</v>
      </c>
    </row>
    <row r="48" spans="1:18">
      <c r="A48" s="15" t="s">
        <v>607</v>
      </c>
      <c r="B48" s="17" t="n">
        <v>4682</v>
      </c>
      <c r="C48" s="18">
        <f>(4153.0/B48*100)</f>
        <v/>
      </c>
      <c r="D48" s="19" t="n">
        <v>529</v>
      </c>
      <c r="E48" s="18" t="n">
        <v>44.60529376</v>
      </c>
      <c r="F48" s="20" t="n">
        <v>2.77798744</v>
      </c>
      <c r="G48" s="18" t="n">
        <v>53.40553356</v>
      </c>
      <c r="H48" s="20" t="n">
        <v>2.85955286</v>
      </c>
      <c r="I48" s="18" t="n">
        <v>0</v>
      </c>
      <c r="J48" s="20" t="n">
        <v>0</v>
      </c>
      <c r="K48" s="18" t="n">
        <v>1.52195574</v>
      </c>
      <c r="L48" s="20" t="n">
        <v>0.7355937299999999</v>
      </c>
      <c r="M48" s="18" t="n">
        <v>0</v>
      </c>
      <c r="N48" s="20" t="n">
        <v>0</v>
      </c>
      <c r="O48" s="18" t="n">
        <v>0</v>
      </c>
      <c r="P48" s="20" t="n">
        <v>0</v>
      </c>
      <c r="Q48" s="18" t="n">
        <v>0.46721694</v>
      </c>
      <c r="R48" s="20" t="n">
        <v>0.48804845</v>
      </c>
    </row>
    <row r="49" spans="1:18">
      <c r="A49" s="15" t="s">
        <v>608</v>
      </c>
      <c r="B49" s="17" t="n">
        <v>6158</v>
      </c>
      <c r="C49" s="18">
        <f>(5507.0/B49*100)</f>
        <v/>
      </c>
      <c r="D49" s="19" t="n">
        <v>651</v>
      </c>
      <c r="E49" s="18" t="n">
        <v>67.44650903</v>
      </c>
      <c r="F49" s="20" t="n">
        <v>2.30543952</v>
      </c>
      <c r="G49" s="18" t="n">
        <v>28.69913648</v>
      </c>
      <c r="H49" s="20" t="n">
        <v>2.23444884</v>
      </c>
      <c r="I49" s="18" t="n">
        <v>0</v>
      </c>
      <c r="J49" s="20" t="n">
        <v>0</v>
      </c>
      <c r="K49" s="18" t="n">
        <v>2.25243688</v>
      </c>
      <c r="L49" s="20" t="n">
        <v>0.78382664</v>
      </c>
      <c r="M49" s="18" t="n">
        <v>0</v>
      </c>
      <c r="N49" s="20" t="n">
        <v>0</v>
      </c>
      <c r="O49" s="18" t="n">
        <v>0</v>
      </c>
      <c r="P49" s="20" t="n">
        <v>0</v>
      </c>
      <c r="Q49" s="18" t="n">
        <v>1.60191761</v>
      </c>
      <c r="R49" s="20" t="n">
        <v>0.65803411</v>
      </c>
    </row>
    <row r="50" spans="1:18">
      <c r="A50" s="15" t="s">
        <v>609</v>
      </c>
      <c r="B50" s="17" t="n">
        <v>3494</v>
      </c>
      <c r="C50" s="18">
        <f>(3152.0/B50*100)</f>
        <v/>
      </c>
      <c r="D50" s="19" t="n">
        <v>342</v>
      </c>
      <c r="E50" s="18" t="n">
        <v>58.96034254</v>
      </c>
      <c r="F50" s="20" t="n">
        <v>2.89776526</v>
      </c>
      <c r="G50" s="18" t="n">
        <v>37.59119342</v>
      </c>
      <c r="H50" s="20" t="n">
        <v>2.86572503</v>
      </c>
      <c r="I50" s="18" t="n">
        <v>0</v>
      </c>
      <c r="J50" s="20" t="n">
        <v>0</v>
      </c>
      <c r="K50" s="18" t="n">
        <v>1.73771156</v>
      </c>
      <c r="L50" s="20" t="n">
        <v>0.68754008</v>
      </c>
      <c r="M50" s="18" t="n">
        <v>0</v>
      </c>
      <c r="N50" s="20" t="n">
        <v>0</v>
      </c>
      <c r="O50" s="18" t="n">
        <v>0</v>
      </c>
      <c r="P50" s="20" t="n">
        <v>0</v>
      </c>
      <c r="Q50" s="18" t="n">
        <v>1.71075248</v>
      </c>
      <c r="R50" s="20" t="n">
        <v>0.81074757</v>
      </c>
    </row>
    <row r="51" spans="1:18">
      <c r="A51" s="15" t="s">
        <v>610</v>
      </c>
      <c r="B51" s="17" t="n">
        <v>3013</v>
      </c>
      <c r="C51" s="18">
        <f>(2690.0/B51*100)</f>
        <v/>
      </c>
      <c r="D51" s="19" t="n">
        <v>323</v>
      </c>
      <c r="E51" s="18" t="n">
        <v>46.87939205</v>
      </c>
      <c r="F51" s="20" t="n">
        <v>2.74310687</v>
      </c>
      <c r="G51" s="18" t="n">
        <v>52.7488003</v>
      </c>
      <c r="H51" s="20" t="n">
        <v>2.74119923</v>
      </c>
      <c r="I51" s="18" t="n">
        <v>0</v>
      </c>
      <c r="J51" s="20" t="n">
        <v>0</v>
      </c>
      <c r="K51" s="18" t="n">
        <v>0.37180766</v>
      </c>
      <c r="L51" s="20" t="n">
        <v>0.36324939</v>
      </c>
      <c r="M51" s="18" t="n">
        <v>0</v>
      </c>
      <c r="N51" s="20" t="n">
        <v>0</v>
      </c>
      <c r="O51" s="18" t="n">
        <v>0</v>
      </c>
      <c r="P51" s="20" t="n">
        <v>0</v>
      </c>
      <c r="Q51" s="18" t="n">
        <v>0</v>
      </c>
      <c r="R51" s="20" t="n">
        <v>0</v>
      </c>
    </row>
    <row r="52" spans="1:18">
      <c r="A52" s="15" t="s">
        <v>611</v>
      </c>
      <c r="B52" s="17" t="n">
        <v>2760</v>
      </c>
      <c r="C52" s="18">
        <f>(2462.0/B52*100)</f>
        <v/>
      </c>
      <c r="D52" s="19" t="n">
        <v>298</v>
      </c>
      <c r="E52" s="18" t="n">
        <v>55.83299351</v>
      </c>
      <c r="F52" s="20" t="n">
        <v>2.75987577</v>
      </c>
      <c r="G52" s="18" t="n">
        <v>42.39896739</v>
      </c>
      <c r="H52" s="20" t="n">
        <v>2.71569625</v>
      </c>
      <c r="I52" s="18" t="n">
        <v>0</v>
      </c>
      <c r="J52" s="20" t="n">
        <v>0</v>
      </c>
      <c r="K52" s="18" t="n">
        <v>1.22243972</v>
      </c>
      <c r="L52" s="20" t="n">
        <v>0.6175077</v>
      </c>
      <c r="M52" s="18" t="n">
        <v>0</v>
      </c>
      <c r="N52" s="20" t="n">
        <v>0</v>
      </c>
      <c r="O52" s="18" t="n">
        <v>0</v>
      </c>
      <c r="P52" s="20" t="n">
        <v>0</v>
      </c>
      <c r="Q52" s="18" t="n">
        <v>0.54559938</v>
      </c>
      <c r="R52" s="20" t="n">
        <v>0.3835136</v>
      </c>
    </row>
    <row r="53" spans="1:18">
      <c r="A53" s="15" t="s">
        <v>612</v>
      </c>
      <c r="B53" s="17" t="n">
        <v>2474</v>
      </c>
      <c r="C53" s="18">
        <f>(2197.0/B53*100)</f>
        <v/>
      </c>
      <c r="D53" s="19" t="n">
        <v>277</v>
      </c>
      <c r="E53" s="18" t="n">
        <v>58.12876218</v>
      </c>
      <c r="F53" s="20" t="n">
        <v>3.47335614</v>
      </c>
      <c r="G53" s="18" t="n">
        <v>21.84177197</v>
      </c>
      <c r="H53" s="20" t="n">
        <v>2.69367791</v>
      </c>
      <c r="I53" s="18" t="n">
        <v>0</v>
      </c>
      <c r="J53" s="20" t="n">
        <v>0</v>
      </c>
      <c r="K53" s="18" t="n">
        <v>18.28678925</v>
      </c>
      <c r="L53" s="20" t="n">
        <v>2.84406208</v>
      </c>
      <c r="M53" s="18" t="n">
        <v>0</v>
      </c>
      <c r="N53" s="20" t="n">
        <v>0</v>
      </c>
      <c r="O53" s="18" t="n">
        <v>0</v>
      </c>
      <c r="P53" s="20" t="n">
        <v>0</v>
      </c>
      <c r="Q53" s="18" t="n">
        <v>1.7426766</v>
      </c>
      <c r="R53" s="20" t="n">
        <v>0.78772967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(2393.0/B55*100)</f>
        <v/>
      </c>
      <c r="D55" s="19" t="n">
        <v>282</v>
      </c>
      <c r="E55" s="18" t="n">
        <v>37.85621409</v>
      </c>
      <c r="F55" s="20" t="n">
        <v>2.90185777</v>
      </c>
      <c r="G55" s="18" t="n">
        <v>62.14378591</v>
      </c>
      <c r="H55" s="20" t="n">
        <v>2.90185777</v>
      </c>
      <c r="I55" s="18" t="n">
        <v>0</v>
      </c>
      <c r="J55" s="20" t="n">
        <v>0</v>
      </c>
      <c r="K55" s="18" t="n">
        <v>0</v>
      </c>
      <c r="L55" s="20" t="n">
        <v>0</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(2858.0/B61*100)</f>
        <v/>
      </c>
      <c r="D61" s="19" t="n">
        <v>343</v>
      </c>
      <c r="E61" s="18" t="n">
        <v>42.11064007</v>
      </c>
      <c r="F61" s="20" t="n">
        <v>3.05462142</v>
      </c>
      <c r="G61" s="18" t="n">
        <v>56.77062467</v>
      </c>
      <c r="H61" s="20" t="n">
        <v>3.08408303</v>
      </c>
      <c r="I61" s="18" t="n">
        <v>0</v>
      </c>
      <c r="J61" s="20" t="n">
        <v>0</v>
      </c>
      <c r="K61" s="18" t="n">
        <v>0.80777126</v>
      </c>
      <c r="L61" s="20" t="n">
        <v>0.79468652</v>
      </c>
      <c r="M61" s="18" t="n">
        <v>0</v>
      </c>
      <c r="N61" s="20" t="n">
        <v>0</v>
      </c>
      <c r="O61" s="18" t="n">
        <v>0</v>
      </c>
      <c r="P61" s="20" t="n">
        <v>0</v>
      </c>
      <c r="Q61" s="18" t="n">
        <v>0.310964</v>
      </c>
      <c r="R61" s="20" t="n">
        <v>0.30979015</v>
      </c>
    </row>
    <row r="62" spans="1:18">
      <c r="A62" s="15" t="s">
        <v>622</v>
      </c>
      <c r="B62" s="17" t="n">
        <v>2230</v>
      </c>
      <c r="C62" s="18">
        <f>(1963.0/B62*100)</f>
        <v/>
      </c>
      <c r="D62" s="19" t="n">
        <v>267</v>
      </c>
      <c r="E62" s="18" t="n">
        <v>33.67369258</v>
      </c>
      <c r="F62" s="20" t="n">
        <v>2.67588417</v>
      </c>
      <c r="G62" s="18" t="n">
        <v>65.57990407</v>
      </c>
      <c r="H62" s="20" t="n">
        <v>2.70442426</v>
      </c>
      <c r="I62" s="18" t="n">
        <v>0</v>
      </c>
      <c r="J62" s="20" t="n">
        <v>0</v>
      </c>
      <c r="K62" s="18" t="n">
        <v>0</v>
      </c>
      <c r="L62" s="20" t="n">
        <v>0</v>
      </c>
      <c r="M62" s="18" t="n">
        <v>0</v>
      </c>
      <c r="N62" s="20" t="n">
        <v>0</v>
      </c>
      <c r="O62" s="18" t="n">
        <v>0</v>
      </c>
      <c r="P62" s="20" t="n">
        <v>0</v>
      </c>
      <c r="Q62" s="18" t="n">
        <v>0.74640335</v>
      </c>
      <c r="R62" s="20" t="n">
        <v>0.53123493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(2479.0/B67*100)</f>
        <v/>
      </c>
      <c r="D67" s="19" t="n">
        <v>292</v>
      </c>
      <c r="E67" s="18" t="n">
        <v>61.8477607</v>
      </c>
      <c r="F67" s="20" t="n">
        <v>2.99688857</v>
      </c>
      <c r="G67" s="18" t="n">
        <v>32.54362732</v>
      </c>
      <c r="H67" s="20" t="n">
        <v>3.09213855</v>
      </c>
      <c r="I67" s="18" t="n">
        <v>0</v>
      </c>
      <c r="J67" s="20" t="n">
        <v>0</v>
      </c>
      <c r="K67" s="18" t="n">
        <v>4.13874491</v>
      </c>
      <c r="L67" s="20" t="n">
        <v>1.12295683</v>
      </c>
      <c r="M67" s="18" t="n">
        <v>0</v>
      </c>
      <c r="N67" s="20" t="n">
        <v>0</v>
      </c>
      <c r="O67" s="18" t="n">
        <v>0</v>
      </c>
      <c r="P67" s="20" t="n">
        <v>0</v>
      </c>
      <c r="Q67" s="18" t="n">
        <v>1.46986707</v>
      </c>
      <c r="R67" s="20" t="n">
        <v>0.75488579</v>
      </c>
    </row>
    <row r="68" spans="1:18">
      <c r="A68" s="15" t="s">
        <v>628</v>
      </c>
      <c r="B68" s="17" t="n">
        <v>3460</v>
      </c>
      <c r="C68" s="18">
        <f>(3114.0/B68*100)</f>
        <v/>
      </c>
      <c r="D68" s="19" t="n">
        <v>346</v>
      </c>
      <c r="E68" s="18" t="n">
        <v>65.73907441999999</v>
      </c>
      <c r="F68" s="20" t="n">
        <v>2.24018373</v>
      </c>
      <c r="G68" s="18" t="n">
        <v>32.71713959</v>
      </c>
      <c r="H68" s="20" t="n">
        <v>2.28276107</v>
      </c>
      <c r="I68" s="18" t="n">
        <v>0</v>
      </c>
      <c r="J68" s="20" t="n">
        <v>0</v>
      </c>
      <c r="K68" s="18" t="n">
        <v>0.94104923</v>
      </c>
      <c r="L68" s="20" t="n">
        <v>0.54471031</v>
      </c>
      <c r="M68" s="18" t="n">
        <v>0</v>
      </c>
      <c r="N68" s="20" t="n">
        <v>0</v>
      </c>
      <c r="O68" s="18" t="n">
        <v>0</v>
      </c>
      <c r="P68" s="20" t="n">
        <v>0</v>
      </c>
      <c r="Q68" s="18" t="n">
        <v>0.60273677</v>
      </c>
      <c r="R68" s="20" t="n">
        <v>0.39833793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(5342.0/B70*100)</f>
        <v/>
      </c>
      <c r="D70" s="19" t="n">
        <v>692</v>
      </c>
      <c r="E70" s="18" t="n">
        <v>57.85818753</v>
      </c>
      <c r="F70" s="20" t="n">
        <v>1.96860704</v>
      </c>
      <c r="G70" s="18" t="n">
        <v>38.09141981</v>
      </c>
      <c r="H70" s="20" t="n">
        <v>1.98459446</v>
      </c>
      <c r="I70" s="18" t="n">
        <v>0</v>
      </c>
      <c r="J70" s="20" t="n">
        <v>0</v>
      </c>
      <c r="K70" s="18" t="n">
        <v>2.35421841</v>
      </c>
      <c r="L70" s="20" t="n">
        <v>0.7238067500000001</v>
      </c>
      <c r="M70" s="18" t="n">
        <v>0</v>
      </c>
      <c r="N70" s="20" t="n">
        <v>0</v>
      </c>
      <c r="O70" s="18" t="n">
        <v>0</v>
      </c>
      <c r="P70" s="20" t="n">
        <v>0</v>
      </c>
      <c r="Q70" s="18" t="n">
        <v>1.69617425</v>
      </c>
      <c r="R70" s="20" t="n">
        <v>0.48084629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(2785.0/B72*100)</f>
        <v/>
      </c>
      <c r="D72" s="19" t="n">
        <v>322</v>
      </c>
      <c r="E72" s="18" t="n">
        <v>40.1132332</v>
      </c>
      <c r="F72" s="20" t="n">
        <v>2.70063657</v>
      </c>
      <c r="G72" s="18" t="n">
        <v>59.37498808</v>
      </c>
      <c r="H72" s="20" t="n">
        <v>2.71005052</v>
      </c>
      <c r="I72" s="18" t="n">
        <v>0</v>
      </c>
      <c r="J72" s="20" t="n">
        <v>0</v>
      </c>
      <c r="K72" s="18" t="n">
        <v>0.29740623</v>
      </c>
      <c r="L72" s="20" t="n">
        <v>0.29797649</v>
      </c>
      <c r="M72" s="18" t="n">
        <v>0</v>
      </c>
      <c r="N72" s="20" t="n">
        <v>0</v>
      </c>
      <c r="O72" s="18" t="n">
        <v>0</v>
      </c>
      <c r="P72" s="20" t="n">
        <v>0</v>
      </c>
      <c r="Q72" s="18" t="n">
        <v>0.21437249</v>
      </c>
      <c r="R72" s="20" t="n">
        <v>0.2254268</v>
      </c>
    </row>
    <row r="73" spans="1:18">
      <c r="A73" s="15" t="s">
        <v>633</v>
      </c>
      <c r="B73" s="17" t="n">
        <v>2973</v>
      </c>
      <c r="C73" s="18">
        <f>(2647.0/B73*100)</f>
        <v/>
      </c>
      <c r="D73" s="19" t="n">
        <v>326</v>
      </c>
      <c r="E73" s="18" t="n">
        <v>24.54431724</v>
      </c>
      <c r="F73" s="20" t="n">
        <v>2.38863727</v>
      </c>
      <c r="G73" s="18" t="n">
        <v>75.45568276</v>
      </c>
      <c r="H73" s="20" t="n">
        <v>2.38863727</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(3392.0/B74*100)</f>
        <v/>
      </c>
      <c r="D74" s="19" t="n">
        <v>427</v>
      </c>
      <c r="E74" s="18" t="n">
        <v>39.69495158</v>
      </c>
      <c r="F74" s="20" t="n">
        <v>2.3419318</v>
      </c>
      <c r="G74" s="18" t="n">
        <v>60.30504842</v>
      </c>
      <c r="H74" s="20" t="n">
        <v>2.3419318</v>
      </c>
      <c r="I74" s="18" t="n">
        <v>0</v>
      </c>
      <c r="J74" s="20" t="n">
        <v>0</v>
      </c>
      <c r="K74" s="18" t="n">
        <v>0</v>
      </c>
      <c r="L74" s="20" t="n">
        <v>0</v>
      </c>
      <c r="M74" s="18" t="n">
        <v>0</v>
      </c>
      <c r="N74" s="20" t="n">
        <v>0</v>
      </c>
      <c r="O74" s="18" t="n">
        <v>0</v>
      </c>
      <c r="P74" s="20" t="n">
        <v>0</v>
      </c>
      <c r="Q74" s="18" t="n">
        <v>0</v>
      </c>
      <c r="R74" s="20" t="n">
        <v>0</v>
      </c>
    </row>
    <row r="75" spans="1:18">
      <c r="A75" s="15" t="s">
        <v>635</v>
      </c>
      <c r="B75" s="17" t="n">
        <v>4652</v>
      </c>
      <c r="C75" s="18">
        <f>(4166.0/B75*100)</f>
        <v/>
      </c>
      <c r="D75" s="19" t="n">
        <v>486</v>
      </c>
      <c r="E75" s="18" t="n">
        <v>66.99459949</v>
      </c>
      <c r="F75" s="20" t="n">
        <v>2.59523263</v>
      </c>
      <c r="G75" s="18" t="n">
        <v>32.71223716</v>
      </c>
      <c r="H75" s="20" t="n">
        <v>2.56082451</v>
      </c>
      <c r="I75" s="18" t="n">
        <v>0</v>
      </c>
      <c r="J75" s="20" t="n">
        <v>0</v>
      </c>
      <c r="K75" s="18" t="n">
        <v>0.29316336</v>
      </c>
      <c r="L75" s="20" t="n">
        <v>0.29767021</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(2666.0/B77*100)</f>
        <v/>
      </c>
      <c r="D77" s="19" t="n">
        <v>303</v>
      </c>
      <c r="E77" s="18" t="n">
        <v>52.78403367</v>
      </c>
      <c r="F77" s="20" t="n">
        <v>2.73227208</v>
      </c>
      <c r="G77" s="18" t="n">
        <v>41.78674582</v>
      </c>
      <c r="H77" s="20" t="n">
        <v>2.78918222</v>
      </c>
      <c r="I77" s="18" t="n">
        <v>0</v>
      </c>
      <c r="J77" s="20" t="n">
        <v>0</v>
      </c>
      <c r="K77" s="18" t="n">
        <v>4.00631981</v>
      </c>
      <c r="L77" s="20" t="n">
        <v>0.98753947</v>
      </c>
      <c r="M77" s="18" t="n">
        <v>0</v>
      </c>
      <c r="N77" s="20" t="n">
        <v>0</v>
      </c>
      <c r="O77" s="18" t="n">
        <v>0</v>
      </c>
      <c r="P77" s="20" t="n">
        <v>0</v>
      </c>
      <c r="Q77" s="18" t="n">
        <v>1.4229007</v>
      </c>
      <c r="R77" s="20" t="n">
        <v>0.67335765</v>
      </c>
    </row>
    <row r="78" spans="1:18">
      <c r="A78" s="15" t="s">
        <v>638</v>
      </c>
      <c r="B78" s="17" t="n">
        <v>7115</v>
      </c>
      <c r="C78" s="18">
        <f>(6352.0/B78*100)</f>
        <v/>
      </c>
      <c r="D78" s="19" t="n">
        <v>763</v>
      </c>
      <c r="E78" s="18" t="n">
        <v>51.44528955</v>
      </c>
      <c r="F78" s="20" t="n">
        <v>2.44580763</v>
      </c>
      <c r="G78" s="18" t="n">
        <v>47.26941563</v>
      </c>
      <c r="H78" s="20" t="n">
        <v>2.46116902</v>
      </c>
      <c r="I78" s="18" t="n">
        <v>0</v>
      </c>
      <c r="J78" s="20" t="n">
        <v>0</v>
      </c>
      <c r="K78" s="18" t="n">
        <v>0.5945683899999999</v>
      </c>
      <c r="L78" s="20" t="n">
        <v>0.35345808</v>
      </c>
      <c r="M78" s="18" t="n">
        <v>0</v>
      </c>
      <c r="N78" s="20" t="n">
        <v>0</v>
      </c>
      <c r="O78" s="18" t="n">
        <v>0</v>
      </c>
      <c r="P78" s="20" t="n">
        <v>0</v>
      </c>
      <c r="Q78" s="18" t="n">
        <v>0.69072643</v>
      </c>
      <c r="R78" s="20" t="n">
        <v>0.36912815</v>
      </c>
    </row>
    <row r="79" spans="1:18">
      <c r="A79" s="15" t="s">
        <v>639</v>
      </c>
      <c r="B79" s="17" t="n">
        <v>3154</v>
      </c>
      <c r="C79" s="18">
        <f>(2825.0/B79*100)</f>
        <v/>
      </c>
      <c r="D79" s="19" t="n">
        <v>329</v>
      </c>
      <c r="E79" s="18" t="n">
        <v>56.72016026</v>
      </c>
      <c r="F79" s="20" t="n">
        <v>2.85000847</v>
      </c>
      <c r="G79" s="18" t="n">
        <v>40.46761192</v>
      </c>
      <c r="H79" s="20" t="n">
        <v>2.72424351</v>
      </c>
      <c r="I79" s="18" t="n">
        <v>0</v>
      </c>
      <c r="J79" s="20" t="n">
        <v>0</v>
      </c>
      <c r="K79" s="18" t="n">
        <v>2.05233414</v>
      </c>
      <c r="L79" s="20" t="n">
        <v>0.9854265</v>
      </c>
      <c r="M79" s="18" t="n">
        <v>0</v>
      </c>
      <c r="N79" s="20" t="n">
        <v>0</v>
      </c>
      <c r="O79" s="18" t="n">
        <v>0</v>
      </c>
      <c r="P79" s="20" t="n">
        <v>0</v>
      </c>
      <c r="Q79" s="18" t="n">
        <v>0.75989368</v>
      </c>
      <c r="R79" s="20" t="n">
        <v>0.51221069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(14192.0/B82*100)</f>
        <v/>
      </c>
      <c r="D82" s="19" t="n">
        <v>1769</v>
      </c>
      <c r="E82" s="18" t="n">
        <v>46.69465066</v>
      </c>
      <c r="F82" s="20" t="n">
        <v>1.620565</v>
      </c>
      <c r="G82" s="18" t="n">
        <v>52.03455356</v>
      </c>
      <c r="H82" s="20" t="n">
        <v>1.69268066</v>
      </c>
      <c r="I82" s="18" t="n">
        <v>0</v>
      </c>
      <c r="J82" s="20" t="n">
        <v>0</v>
      </c>
      <c r="K82" s="18" t="n">
        <v>0.58138763</v>
      </c>
      <c r="L82" s="20" t="n">
        <v>0.30006498</v>
      </c>
      <c r="M82" s="18" t="n">
        <v>0</v>
      </c>
      <c r="N82" s="20" t="n">
        <v>0</v>
      </c>
      <c r="O82" s="18" t="n">
        <v>0</v>
      </c>
      <c r="P82" s="20" t="n">
        <v>0</v>
      </c>
      <c r="Q82" s="18" t="n">
        <v>0.68940815</v>
      </c>
      <c r="R82" s="20" t="n">
        <v>0.25356164</v>
      </c>
    </row>
    <row r="83" spans="1:18">
      <c r="A83" s="15" t="s">
        <v>643</v>
      </c>
      <c r="B83" s="17" t="n">
        <v>808</v>
      </c>
      <c r="C83" s="18">
        <f>(708.0/B83*100)</f>
        <v/>
      </c>
      <c r="D83" s="19" t="n">
        <v>100</v>
      </c>
      <c r="E83" s="18" t="n">
        <v>52.73525316</v>
      </c>
      <c r="F83" s="20" t="n">
        <v>5.7773484</v>
      </c>
      <c r="G83" s="18" t="n">
        <v>47.26474684</v>
      </c>
      <c r="H83" s="20" t="n">
        <v>5.7773484</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(834.0/B84*100)</f>
        <v/>
      </c>
      <c r="D84" s="19" t="n">
        <v>104</v>
      </c>
      <c r="E84" s="18" t="n">
        <v>50.4156225</v>
      </c>
      <c r="F84" s="20" t="n">
        <v>5.16359099</v>
      </c>
      <c r="G84" s="18" t="n">
        <v>48.56044885</v>
      </c>
      <c r="H84" s="20" t="n">
        <v>5.17088143</v>
      </c>
      <c r="I84" s="18" t="n">
        <v>0</v>
      </c>
      <c r="J84" s="20" t="n">
        <v>0</v>
      </c>
      <c r="K84" s="18" t="n">
        <v>0</v>
      </c>
      <c r="L84" s="20" t="n">
        <v>0</v>
      </c>
      <c r="M84" s="18" t="n">
        <v>0</v>
      </c>
      <c r="N84" s="20" t="n">
        <v>0</v>
      </c>
      <c r="O84" s="18" t="n">
        <v>0</v>
      </c>
      <c r="P84" s="20" t="n">
        <v>0</v>
      </c>
      <c r="Q84" s="18" t="n">
        <v>1.02392864</v>
      </c>
      <c r="R84" s="20" t="n">
        <v>1.05170321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(6392.0/B7*100)</f>
        <v/>
      </c>
      <c r="D7" s="19" t="n">
        <v>771</v>
      </c>
      <c r="E7" s="18" t="n">
        <v>50.45849809</v>
      </c>
      <c r="F7" s="20" t="n">
        <v>1.77205235</v>
      </c>
      <c r="G7" s="18" t="n">
        <v>32.16655264</v>
      </c>
      <c r="H7" s="20" t="n">
        <v>1.68943515</v>
      </c>
      <c r="I7" s="18" t="n">
        <v>0</v>
      </c>
      <c r="J7" s="20" t="n">
        <v>0</v>
      </c>
      <c r="K7" s="18" t="n">
        <v>1.82090354</v>
      </c>
      <c r="L7" s="20" t="n">
        <v>0.50385871</v>
      </c>
      <c r="M7" s="18" t="n">
        <v>0.01587794</v>
      </c>
      <c r="N7" s="20" t="n">
        <v>0.01600716</v>
      </c>
      <c r="O7" s="18" t="n">
        <v>0</v>
      </c>
      <c r="P7" s="20" t="n">
        <v>0</v>
      </c>
      <c r="Q7" s="18" t="n">
        <v>15.53816778</v>
      </c>
      <c r="R7" s="20" t="n">
        <v>1.33647764</v>
      </c>
    </row>
    <row r="8" spans="1:18">
      <c r="A8" s="15" t="s">
        <v>566</v>
      </c>
      <c r="B8" s="17" t="n">
        <v>3443</v>
      </c>
      <c r="C8" s="18">
        <f>(3090.0/B8*100)</f>
        <v/>
      </c>
      <c r="D8" s="19" t="n">
        <v>353</v>
      </c>
      <c r="E8" s="18" t="n">
        <v>43.66107553</v>
      </c>
      <c r="F8" s="20" t="n">
        <v>3.18746323</v>
      </c>
      <c r="G8" s="18" t="n">
        <v>39.74227207</v>
      </c>
      <c r="H8" s="20" t="n">
        <v>3.16349783</v>
      </c>
      <c r="I8" s="18" t="n">
        <v>0</v>
      </c>
      <c r="J8" s="20" t="n">
        <v>0</v>
      </c>
      <c r="K8" s="18" t="n">
        <v>4.02148861</v>
      </c>
      <c r="L8" s="20" t="n">
        <v>1.23076137</v>
      </c>
      <c r="M8" s="18" t="n">
        <v>0</v>
      </c>
      <c r="N8" s="20" t="n">
        <v>0</v>
      </c>
      <c r="O8" s="18" t="n">
        <v>0</v>
      </c>
      <c r="P8" s="20" t="n">
        <v>0</v>
      </c>
      <c r="Q8" s="18" t="n">
        <v>12.57516379</v>
      </c>
      <c r="R8" s="20" t="n">
        <v>1.74876291</v>
      </c>
    </row>
    <row r="9" spans="1:18">
      <c r="A9" s="15" t="s">
        <v>567</v>
      </c>
      <c r="B9" s="17" t="n">
        <v>4752</v>
      </c>
      <c r="C9" s="18">
        <f>(4246.0/B9*100)</f>
        <v/>
      </c>
      <c r="D9" s="19" t="n">
        <v>506</v>
      </c>
      <c r="E9" s="18" t="n">
        <v>36.20798212</v>
      </c>
      <c r="F9" s="20" t="n">
        <v>2.15745504</v>
      </c>
      <c r="G9" s="18" t="n">
        <v>43.47045383</v>
      </c>
      <c r="H9" s="20" t="n">
        <v>2.42608064</v>
      </c>
      <c r="I9" s="18" t="n">
        <v>0</v>
      </c>
      <c r="J9" s="20" t="n">
        <v>0</v>
      </c>
      <c r="K9" s="18" t="n">
        <v>2.76296579</v>
      </c>
      <c r="L9" s="20" t="n">
        <v>0.80100642</v>
      </c>
      <c r="M9" s="18" t="n">
        <v>0.16004872</v>
      </c>
      <c r="N9" s="20" t="n">
        <v>0.15525777</v>
      </c>
      <c r="O9" s="18" t="n">
        <v>0</v>
      </c>
      <c r="P9" s="20" t="n">
        <v>0</v>
      </c>
      <c r="Q9" s="18" t="n">
        <v>17.39854954</v>
      </c>
      <c r="R9" s="20" t="n">
        <v>1.90837169</v>
      </c>
    </row>
    <row r="10" spans="1:18">
      <c r="A10" s="15" t="s">
        <v>568</v>
      </c>
      <c r="B10" s="17" t="n">
        <v>10022</v>
      </c>
      <c r="C10" s="18">
        <f>(8904.0/B10*100)</f>
        <v/>
      </c>
      <c r="D10" s="19" t="n">
        <v>1118</v>
      </c>
      <c r="E10" s="18" t="n">
        <v>43.04692818</v>
      </c>
      <c r="F10" s="20" t="n">
        <v>2.02347744</v>
      </c>
      <c r="G10" s="18" t="n">
        <v>46.5952526</v>
      </c>
      <c r="H10" s="20" t="n">
        <v>2.1596154</v>
      </c>
      <c r="I10" s="18" t="n">
        <v>0</v>
      </c>
      <c r="J10" s="20" t="n">
        <v>0</v>
      </c>
      <c r="K10" s="18" t="n">
        <v>1.7520578</v>
      </c>
      <c r="L10" s="20" t="n">
        <v>0.49096055</v>
      </c>
      <c r="M10" s="18" t="n">
        <v>0</v>
      </c>
      <c r="N10" s="20" t="n">
        <v>0</v>
      </c>
      <c r="O10" s="18" t="n">
        <v>0</v>
      </c>
      <c r="P10" s="20" t="n">
        <v>0</v>
      </c>
      <c r="Q10" s="18" t="n">
        <v>8.60576142</v>
      </c>
      <c r="R10" s="20" t="n">
        <v>1.10387549</v>
      </c>
    </row>
    <row r="11" spans="1:18">
      <c r="A11" s="15" t="s">
        <v>569</v>
      </c>
      <c r="B11" s="17" t="n">
        <v>3500</v>
      </c>
      <c r="C11" s="18">
        <f>(3101.0/B11*100)</f>
        <v/>
      </c>
      <c r="D11" s="19" t="n">
        <v>399</v>
      </c>
      <c r="E11" s="18" t="n">
        <v>45.17842518</v>
      </c>
      <c r="F11" s="20" t="n">
        <v>2.97465584</v>
      </c>
      <c r="G11" s="18" t="n">
        <v>25.93500838</v>
      </c>
      <c r="H11" s="20" t="n">
        <v>2.52071105</v>
      </c>
      <c r="I11" s="18" t="n">
        <v>0</v>
      </c>
      <c r="J11" s="20" t="n">
        <v>0</v>
      </c>
      <c r="K11" s="18" t="n">
        <v>9.02142995</v>
      </c>
      <c r="L11" s="20" t="n">
        <v>1.79992159</v>
      </c>
      <c r="M11" s="18" t="n">
        <v>0</v>
      </c>
      <c r="N11" s="20" t="n">
        <v>0</v>
      </c>
      <c r="O11" s="18" t="n">
        <v>0</v>
      </c>
      <c r="P11" s="20" t="n">
        <v>0</v>
      </c>
      <c r="Q11" s="18" t="n">
        <v>19.86513648</v>
      </c>
      <c r="R11" s="20" t="n">
        <v>2.21265895</v>
      </c>
    </row>
    <row r="12" spans="1:18">
      <c r="A12" s="15" t="s">
        <v>570</v>
      </c>
      <c r="B12" s="17" t="n">
        <v>3422</v>
      </c>
      <c r="C12" s="18">
        <f>(3037.0/B12*100)</f>
        <v/>
      </c>
      <c r="D12" s="19" t="n">
        <v>385</v>
      </c>
      <c r="E12" s="18" t="n">
        <v>38.85952632</v>
      </c>
      <c r="F12" s="20" t="n">
        <v>3.13733026</v>
      </c>
      <c r="G12" s="18" t="n">
        <v>36.03927678</v>
      </c>
      <c r="H12" s="20" t="n">
        <v>2.98566864</v>
      </c>
      <c r="I12" s="18" t="n">
        <v>0</v>
      </c>
      <c r="J12" s="20" t="n">
        <v>0</v>
      </c>
      <c r="K12" s="18" t="n">
        <v>2.43131076</v>
      </c>
      <c r="L12" s="20" t="n">
        <v>0.94593662</v>
      </c>
      <c r="M12" s="18" t="n">
        <v>0.25875195</v>
      </c>
      <c r="N12" s="20" t="n">
        <v>0.25580196</v>
      </c>
      <c r="O12" s="18" t="n">
        <v>0</v>
      </c>
      <c r="P12" s="20" t="n">
        <v>0</v>
      </c>
      <c r="Q12" s="18" t="n">
        <v>22.41113419</v>
      </c>
      <c r="R12" s="20" t="n">
        <v>2.58324898</v>
      </c>
    </row>
    <row r="13" spans="1:18">
      <c r="A13" s="15" t="s">
        <v>571</v>
      </c>
      <c r="B13" s="17" t="n">
        <v>3602</v>
      </c>
      <c r="C13" s="18">
        <f>(3257.0/B13*100)</f>
        <v/>
      </c>
      <c r="D13" s="19" t="n">
        <v>345</v>
      </c>
      <c r="E13" s="18" t="n">
        <v>49.26406558</v>
      </c>
      <c r="F13" s="20" t="n">
        <v>3.70074547</v>
      </c>
      <c r="G13" s="18" t="n">
        <v>32.01910224</v>
      </c>
      <c r="H13" s="20" t="n">
        <v>2.68324229</v>
      </c>
      <c r="I13" s="18" t="n">
        <v>0</v>
      </c>
      <c r="J13" s="20" t="n">
        <v>0</v>
      </c>
      <c r="K13" s="18" t="n">
        <v>2.53445664</v>
      </c>
      <c r="L13" s="20" t="n">
        <v>0.99607153</v>
      </c>
      <c r="M13" s="18" t="n">
        <v>0.07197979</v>
      </c>
      <c r="N13" s="20" t="n">
        <v>0.0718685</v>
      </c>
      <c r="O13" s="18" t="n">
        <v>0</v>
      </c>
      <c r="P13" s="20" t="n">
        <v>0</v>
      </c>
      <c r="Q13" s="18" t="n">
        <v>16.11039575</v>
      </c>
      <c r="R13" s="20" t="n">
        <v>2.7366236</v>
      </c>
    </row>
    <row r="14" spans="1:18">
      <c r="A14" s="15" t="s">
        <v>572</v>
      </c>
      <c r="B14" s="17" t="n">
        <v>2788</v>
      </c>
      <c r="C14" s="18">
        <f>(2474.0/B14*100)</f>
        <v/>
      </c>
      <c r="D14" s="19" t="n">
        <v>314</v>
      </c>
      <c r="E14" s="18" t="n">
        <v>47.67598849</v>
      </c>
      <c r="F14" s="20" t="n">
        <v>2.81712712</v>
      </c>
      <c r="G14" s="18" t="n">
        <v>45.6177913</v>
      </c>
      <c r="H14" s="20" t="n">
        <v>2.71698457</v>
      </c>
      <c r="I14" s="18" t="n">
        <v>0</v>
      </c>
      <c r="J14" s="20" t="n">
        <v>0</v>
      </c>
      <c r="K14" s="18" t="n">
        <v>0.5774908</v>
      </c>
      <c r="L14" s="20" t="n">
        <v>0.40630186</v>
      </c>
      <c r="M14" s="18" t="n">
        <v>0</v>
      </c>
      <c r="N14" s="20" t="n">
        <v>0</v>
      </c>
      <c r="O14" s="18" t="n">
        <v>0</v>
      </c>
      <c r="P14" s="20" t="n">
        <v>0</v>
      </c>
      <c r="Q14" s="18" t="n">
        <v>6.12872941</v>
      </c>
      <c r="R14" s="20" t="n">
        <v>1.46759361</v>
      </c>
    </row>
    <row r="15" spans="1:18">
      <c r="A15" s="15" t="s">
        <v>573</v>
      </c>
      <c r="B15" s="17" t="n">
        <v>2863</v>
      </c>
      <c r="C15" s="18">
        <f>(2542.0/B15*100)</f>
        <v/>
      </c>
      <c r="D15" s="19" t="n">
        <v>321</v>
      </c>
      <c r="E15" s="18" t="n">
        <v>35.58392633</v>
      </c>
      <c r="F15" s="20" t="n">
        <v>2.78551372</v>
      </c>
      <c r="G15" s="18" t="n">
        <v>59.04338582</v>
      </c>
      <c r="H15" s="20" t="n">
        <v>2.98673232</v>
      </c>
      <c r="I15" s="18" t="n">
        <v>0</v>
      </c>
      <c r="J15" s="20" t="n">
        <v>0</v>
      </c>
      <c r="K15" s="18" t="n">
        <v>1.93684683</v>
      </c>
      <c r="L15" s="20" t="n">
        <v>0.7886389700000001</v>
      </c>
      <c r="M15" s="18" t="n">
        <v>0.29071595</v>
      </c>
      <c r="N15" s="20" t="n">
        <v>0.28937557</v>
      </c>
      <c r="O15" s="18" t="n">
        <v>0</v>
      </c>
      <c r="P15" s="20" t="n">
        <v>0</v>
      </c>
      <c r="Q15" s="18" t="n">
        <v>3.14512507</v>
      </c>
      <c r="R15" s="20" t="n">
        <v>0.96635668</v>
      </c>
    </row>
    <row r="16" spans="1:18">
      <c r="A16" s="15" t="s">
        <v>574</v>
      </c>
      <c r="B16" s="17" t="n">
        <v>3111</v>
      </c>
      <c r="C16" s="18">
        <f>(2757.0/B16*100)</f>
        <v/>
      </c>
      <c r="D16" s="19" t="n">
        <v>354</v>
      </c>
      <c r="E16" s="18" t="n">
        <v>28.24413195</v>
      </c>
      <c r="F16" s="20" t="n">
        <v>2.36461304</v>
      </c>
      <c r="G16" s="18" t="n">
        <v>43.38607948</v>
      </c>
      <c r="H16" s="20" t="n">
        <v>2.76503039</v>
      </c>
      <c r="I16" s="18" t="n">
        <v>0</v>
      </c>
      <c r="J16" s="20" t="n">
        <v>0</v>
      </c>
      <c r="K16" s="18" t="n">
        <v>5.50757651</v>
      </c>
      <c r="L16" s="20" t="n">
        <v>1.49054593</v>
      </c>
      <c r="M16" s="18" t="n">
        <v>0</v>
      </c>
      <c r="N16" s="20" t="n">
        <v>0</v>
      </c>
      <c r="O16" s="18" t="n">
        <v>0</v>
      </c>
      <c r="P16" s="20" t="n">
        <v>0</v>
      </c>
      <c r="Q16" s="18" t="n">
        <v>22.86221207</v>
      </c>
      <c r="R16" s="20" t="n">
        <v>2.0071832</v>
      </c>
    </row>
    <row r="17" spans="1:18">
      <c r="A17" s="15" t="s">
        <v>575</v>
      </c>
      <c r="B17" s="17" t="n">
        <v>3197</v>
      </c>
      <c r="C17" s="18">
        <f>(2852.0/B17*100)</f>
        <v/>
      </c>
      <c r="D17" s="19" t="n">
        <v>345</v>
      </c>
      <c r="E17" s="18" t="n">
        <v>35.12744249</v>
      </c>
      <c r="F17" s="20" t="n">
        <v>2.41974618</v>
      </c>
      <c r="G17" s="18" t="n">
        <v>50.19710901</v>
      </c>
      <c r="H17" s="20" t="n">
        <v>2.53527769</v>
      </c>
      <c r="I17" s="18" t="n">
        <v>0</v>
      </c>
      <c r="J17" s="20" t="n">
        <v>0</v>
      </c>
      <c r="K17" s="18" t="n">
        <v>1.09486818</v>
      </c>
      <c r="L17" s="20" t="n">
        <v>0.50978723</v>
      </c>
      <c r="M17" s="18" t="n">
        <v>0</v>
      </c>
      <c r="N17" s="20" t="n">
        <v>0</v>
      </c>
      <c r="O17" s="18" t="n">
        <v>0</v>
      </c>
      <c r="P17" s="20" t="n">
        <v>0</v>
      </c>
      <c r="Q17" s="18" t="n">
        <v>13.58058031</v>
      </c>
      <c r="R17" s="20" t="n">
        <v>1.56075288</v>
      </c>
    </row>
    <row r="18" spans="1:18">
      <c r="A18" s="15" t="s">
        <v>576</v>
      </c>
      <c r="B18" s="17" t="n">
        <v>2706</v>
      </c>
      <c r="C18" s="18">
        <f>(2409.0/B18*100)</f>
        <v/>
      </c>
      <c r="D18" s="19" t="n">
        <v>297</v>
      </c>
      <c r="E18" s="18" t="n">
        <v>44.33436041</v>
      </c>
      <c r="F18" s="20" t="n">
        <v>3.21991204</v>
      </c>
      <c r="G18" s="18" t="n">
        <v>33.39880923</v>
      </c>
      <c r="H18" s="20" t="n">
        <v>3.32661976</v>
      </c>
      <c r="I18" s="18" t="n">
        <v>0</v>
      </c>
      <c r="J18" s="20" t="n">
        <v>0</v>
      </c>
      <c r="K18" s="18" t="n">
        <v>1.76152695</v>
      </c>
      <c r="L18" s="20" t="n">
        <v>0.7594661700000001</v>
      </c>
      <c r="M18" s="18" t="n">
        <v>0</v>
      </c>
      <c r="N18" s="20" t="n">
        <v>0</v>
      </c>
      <c r="O18" s="18" t="n">
        <v>0</v>
      </c>
      <c r="P18" s="20" t="n">
        <v>0</v>
      </c>
      <c r="Q18" s="18" t="n">
        <v>20.50530341</v>
      </c>
      <c r="R18" s="20" t="n">
        <v>2.28025892</v>
      </c>
    </row>
    <row r="19" spans="1:18">
      <c r="A19" s="15" t="s">
        <v>577</v>
      </c>
      <c r="B19" s="17" t="n">
        <v>2850</v>
      </c>
      <c r="C19" s="18">
        <f>(2568.0/B19*100)</f>
        <v/>
      </c>
      <c r="D19" s="19" t="n">
        <v>282</v>
      </c>
      <c r="E19" s="18" t="n">
        <v>49.82267171</v>
      </c>
      <c r="F19" s="20" t="n">
        <v>3.30672816</v>
      </c>
      <c r="G19" s="18" t="n">
        <v>32.28100544</v>
      </c>
      <c r="H19" s="20" t="n">
        <v>2.79221105</v>
      </c>
      <c r="I19" s="18" t="n">
        <v>0</v>
      </c>
      <c r="J19" s="20" t="n">
        <v>0</v>
      </c>
      <c r="K19" s="18" t="n">
        <v>1.04482638</v>
      </c>
      <c r="L19" s="20" t="n">
        <v>0.61085691</v>
      </c>
      <c r="M19" s="18" t="n">
        <v>0</v>
      </c>
      <c r="N19" s="20" t="n">
        <v>0</v>
      </c>
      <c r="O19" s="18" t="n">
        <v>0</v>
      </c>
      <c r="P19" s="20" t="n">
        <v>0</v>
      </c>
      <c r="Q19" s="18" t="n">
        <v>16.85149648</v>
      </c>
      <c r="R19" s="20" t="n">
        <v>3.01713433</v>
      </c>
    </row>
    <row r="20" spans="1:18">
      <c r="A20" s="15" t="s">
        <v>578</v>
      </c>
      <c r="B20" s="17" t="n">
        <v>1741</v>
      </c>
      <c r="C20" s="18">
        <f>(1554.0/B20*100)</f>
        <v/>
      </c>
      <c r="D20" s="19" t="n">
        <v>187</v>
      </c>
      <c r="E20" s="18" t="n">
        <v>41.65972758</v>
      </c>
      <c r="F20" s="20" t="n">
        <v>3.42869733</v>
      </c>
      <c r="G20" s="18" t="n">
        <v>37.41368948</v>
      </c>
      <c r="H20" s="20" t="n">
        <v>3.60343679</v>
      </c>
      <c r="I20" s="18" t="n">
        <v>0</v>
      </c>
      <c r="J20" s="20" t="n">
        <v>0</v>
      </c>
      <c r="K20" s="18" t="n">
        <v>7.42626109</v>
      </c>
      <c r="L20" s="20" t="n">
        <v>1.77647326</v>
      </c>
      <c r="M20" s="18" t="n">
        <v>0.65201537</v>
      </c>
      <c r="N20" s="20" t="n">
        <v>0.65812215</v>
      </c>
      <c r="O20" s="18" t="n">
        <v>0</v>
      </c>
      <c r="P20" s="20" t="n">
        <v>0</v>
      </c>
      <c r="Q20" s="18" t="n">
        <v>12.84830649</v>
      </c>
      <c r="R20" s="20" t="n">
        <v>2.43138865</v>
      </c>
    </row>
    <row r="21" spans="1:18">
      <c r="A21" s="15" t="s">
        <v>579</v>
      </c>
      <c r="B21" s="17" t="n">
        <v>2833</v>
      </c>
      <c r="C21" s="18">
        <f>(2558.0/B21*100)</f>
        <v/>
      </c>
      <c r="D21" s="19" t="n">
        <v>275</v>
      </c>
      <c r="E21" s="18" t="n">
        <v>49.7013819</v>
      </c>
      <c r="F21" s="20" t="n">
        <v>2.85466946</v>
      </c>
      <c r="G21" s="18" t="n">
        <v>39.82661156</v>
      </c>
      <c r="H21" s="20" t="n">
        <v>2.96927558</v>
      </c>
      <c r="I21" s="18" t="n">
        <v>0</v>
      </c>
      <c r="J21" s="20" t="n">
        <v>0</v>
      </c>
      <c r="K21" s="18" t="n">
        <v>0.85217643</v>
      </c>
      <c r="L21" s="20" t="n">
        <v>0.57748301</v>
      </c>
      <c r="M21" s="18" t="n">
        <v>0</v>
      </c>
      <c r="N21" s="20" t="n">
        <v>0</v>
      </c>
      <c r="O21" s="18" t="n">
        <v>0</v>
      </c>
      <c r="P21" s="20" t="n">
        <v>0</v>
      </c>
      <c r="Q21" s="18" t="n">
        <v>9.619830110000001</v>
      </c>
      <c r="R21" s="20" t="n">
        <v>1.89187242</v>
      </c>
    </row>
    <row r="22" spans="1:18">
      <c r="A22" s="15" t="s">
        <v>580</v>
      </c>
      <c r="B22" s="17" t="n">
        <v>3667</v>
      </c>
      <c r="C22" s="18">
        <f>(3305.0/B22*100)</f>
        <v/>
      </c>
      <c r="D22" s="19" t="n">
        <v>362</v>
      </c>
      <c r="E22" s="18" t="n">
        <v>33.59943872</v>
      </c>
      <c r="F22" s="20" t="n">
        <v>2.65665209</v>
      </c>
      <c r="G22" s="18" t="n">
        <v>44.59668116</v>
      </c>
      <c r="H22" s="20" t="n">
        <v>2.70766303</v>
      </c>
      <c r="I22" s="18" t="n">
        <v>0</v>
      </c>
      <c r="J22" s="20" t="n">
        <v>0</v>
      </c>
      <c r="K22" s="18" t="n">
        <v>4.48276808</v>
      </c>
      <c r="L22" s="20" t="n">
        <v>1.00207264</v>
      </c>
      <c r="M22" s="18" t="n">
        <v>0</v>
      </c>
      <c r="N22" s="20" t="n">
        <v>0</v>
      </c>
      <c r="O22" s="18" t="n">
        <v>0</v>
      </c>
      <c r="P22" s="20" t="n">
        <v>0</v>
      </c>
      <c r="Q22" s="18" t="n">
        <v>17.32111204</v>
      </c>
      <c r="R22" s="20" t="n">
        <v>1.99264843</v>
      </c>
    </row>
    <row r="23" spans="1:18">
      <c r="A23" s="15" t="s">
        <v>581</v>
      </c>
      <c r="B23" s="17" t="n">
        <v>5792</v>
      </c>
      <c r="C23" s="18">
        <f>(5133.0/B23*100)</f>
        <v/>
      </c>
      <c r="D23" s="19" t="n">
        <v>659</v>
      </c>
      <c r="E23" s="18" t="n">
        <v>40.23198335</v>
      </c>
      <c r="F23" s="20" t="n">
        <v>2.33414145</v>
      </c>
      <c r="G23" s="18" t="n">
        <v>28.65967318</v>
      </c>
      <c r="H23" s="20" t="n">
        <v>2.73400681</v>
      </c>
      <c r="I23" s="18" t="n">
        <v>0</v>
      </c>
      <c r="J23" s="20" t="n">
        <v>0</v>
      </c>
      <c r="K23" s="18" t="n">
        <v>6.24785416</v>
      </c>
      <c r="L23" s="20" t="n">
        <v>1.47925644</v>
      </c>
      <c r="M23" s="18" t="n">
        <v>0</v>
      </c>
      <c r="N23" s="20" t="n">
        <v>0</v>
      </c>
      <c r="O23" s="18" t="n">
        <v>0</v>
      </c>
      <c r="P23" s="20" t="n">
        <v>0</v>
      </c>
      <c r="Q23" s="18" t="n">
        <v>24.86048932</v>
      </c>
      <c r="R23" s="20" t="n">
        <v>2.7587384</v>
      </c>
    </row>
    <row r="24" spans="1:18">
      <c r="A24" s="15" t="s">
        <v>582</v>
      </c>
      <c r="B24" s="17" t="n">
        <v>3309</v>
      </c>
      <c r="C24" s="18">
        <f>(2979.0/B24*100)</f>
        <v/>
      </c>
      <c r="D24" s="19" t="n">
        <v>330</v>
      </c>
      <c r="E24" s="18" t="n">
        <v>44.72877936</v>
      </c>
      <c r="F24" s="20" t="n">
        <v>2.88849064</v>
      </c>
      <c r="G24" s="18" t="n">
        <v>31.99830952</v>
      </c>
      <c r="H24" s="20" t="n">
        <v>2.57059882</v>
      </c>
      <c r="I24" s="18" t="n">
        <v>0</v>
      </c>
      <c r="J24" s="20" t="n">
        <v>0</v>
      </c>
      <c r="K24" s="18" t="n">
        <v>0.66600306</v>
      </c>
      <c r="L24" s="20" t="n">
        <v>0.48231206</v>
      </c>
      <c r="M24" s="18" t="n">
        <v>0</v>
      </c>
      <c r="N24" s="20" t="n">
        <v>0</v>
      </c>
      <c r="O24" s="18" t="n">
        <v>0</v>
      </c>
      <c r="P24" s="20" t="n">
        <v>0</v>
      </c>
      <c r="Q24" s="18" t="n">
        <v>22.60690806</v>
      </c>
      <c r="R24" s="20" t="n">
        <v>2.62299051</v>
      </c>
    </row>
    <row r="25" spans="1:18">
      <c r="A25" s="15" t="s">
        <v>583</v>
      </c>
      <c r="B25" s="17" t="n">
        <v>2669</v>
      </c>
      <c r="C25" s="18">
        <f>(2365.0/B25*100)</f>
        <v/>
      </c>
      <c r="D25" s="19" t="n">
        <v>304</v>
      </c>
      <c r="E25" s="18" t="n">
        <v>45.9408325</v>
      </c>
      <c r="F25" s="20" t="n">
        <v>2.91692156</v>
      </c>
      <c r="G25" s="18" t="n">
        <v>36.01802473</v>
      </c>
      <c r="H25" s="20" t="n">
        <v>3.18522009</v>
      </c>
      <c r="I25" s="18" t="n">
        <v>0</v>
      </c>
      <c r="J25" s="20" t="n">
        <v>0</v>
      </c>
      <c r="K25" s="18" t="n">
        <v>2.6524472</v>
      </c>
      <c r="L25" s="20" t="n">
        <v>0.78667263</v>
      </c>
      <c r="M25" s="18" t="n">
        <v>0</v>
      </c>
      <c r="N25" s="20" t="n">
        <v>0</v>
      </c>
      <c r="O25" s="18" t="n">
        <v>0</v>
      </c>
      <c r="P25" s="20" t="n">
        <v>0</v>
      </c>
      <c r="Q25" s="18" t="n">
        <v>15.38869557</v>
      </c>
      <c r="R25" s="20" t="n">
        <v>2.37330882</v>
      </c>
    </row>
    <row r="26" spans="1:18">
      <c r="A26" s="15" t="s">
        <v>584</v>
      </c>
      <c r="B26" s="17" t="n">
        <v>2419</v>
      </c>
      <c r="C26" s="18">
        <f>(2143.0/B26*100)</f>
        <v/>
      </c>
      <c r="D26" s="19" t="n">
        <v>276</v>
      </c>
      <c r="E26" s="18" t="n">
        <v>54.67684255</v>
      </c>
      <c r="F26" s="20" t="n">
        <v>3.67610775</v>
      </c>
      <c r="G26" s="18" t="n">
        <v>29.89871776</v>
      </c>
      <c r="H26" s="20" t="n">
        <v>3.18205028</v>
      </c>
      <c r="I26" s="18" t="n">
        <v>0</v>
      </c>
      <c r="J26" s="20" t="n">
        <v>0</v>
      </c>
      <c r="K26" s="18" t="n">
        <v>0.33253687</v>
      </c>
      <c r="L26" s="20" t="n">
        <v>0.34060333</v>
      </c>
      <c r="M26" s="18" t="n">
        <v>0.33157505</v>
      </c>
      <c r="N26" s="20" t="n">
        <v>0.33544117</v>
      </c>
      <c r="O26" s="18" t="n">
        <v>0</v>
      </c>
      <c r="P26" s="20" t="n">
        <v>0</v>
      </c>
      <c r="Q26" s="18" t="n">
        <v>14.76032777</v>
      </c>
      <c r="R26" s="20" t="n">
        <v>2.37010441</v>
      </c>
    </row>
    <row r="27" spans="1:18">
      <c r="A27" s="15" t="s">
        <v>585</v>
      </c>
      <c r="B27" s="17" t="n">
        <v>2683</v>
      </c>
      <c r="C27" s="18">
        <f>(2388.0/B27*100)</f>
        <v/>
      </c>
      <c r="D27" s="19" t="n">
        <v>295</v>
      </c>
      <c r="E27" s="18" t="n">
        <v>35.87604118</v>
      </c>
      <c r="F27" s="20" t="n">
        <v>3.16038864</v>
      </c>
      <c r="G27" s="18" t="n">
        <v>37.71858014</v>
      </c>
      <c r="H27" s="20" t="n">
        <v>2.99315442</v>
      </c>
      <c r="I27" s="18" t="n">
        <v>0</v>
      </c>
      <c r="J27" s="20" t="n">
        <v>0</v>
      </c>
      <c r="K27" s="18" t="n">
        <v>1.84328592</v>
      </c>
      <c r="L27" s="20" t="n">
        <v>0.84273419</v>
      </c>
      <c r="M27" s="18" t="n">
        <v>0</v>
      </c>
      <c r="N27" s="20" t="n">
        <v>0</v>
      </c>
      <c r="O27" s="18" t="n">
        <v>0</v>
      </c>
      <c r="P27" s="20" t="n">
        <v>0</v>
      </c>
      <c r="Q27" s="18" t="n">
        <v>24.56209277</v>
      </c>
      <c r="R27" s="20" t="n">
        <v>2.34498296</v>
      </c>
    </row>
    <row r="28" spans="1:18">
      <c r="A28" s="15" t="s">
        <v>586</v>
      </c>
      <c r="B28" s="17" t="n">
        <v>3803</v>
      </c>
      <c r="C28" s="18">
        <f>(3426.0/B28*100)</f>
        <v/>
      </c>
      <c r="D28" s="19" t="n">
        <v>377</v>
      </c>
      <c r="E28" s="18" t="n">
        <v>59.90902864</v>
      </c>
      <c r="F28" s="20" t="n">
        <v>2.57811679</v>
      </c>
      <c r="G28" s="18" t="n">
        <v>30.97467378</v>
      </c>
      <c r="H28" s="20" t="n">
        <v>2.93457808</v>
      </c>
      <c r="I28" s="18" t="n">
        <v>0</v>
      </c>
      <c r="J28" s="20" t="n">
        <v>0</v>
      </c>
      <c r="K28" s="18" t="n">
        <v>1.64263271</v>
      </c>
      <c r="L28" s="20" t="n">
        <v>0.95840099</v>
      </c>
      <c r="M28" s="18" t="n">
        <v>0.44261289</v>
      </c>
      <c r="N28" s="20" t="n">
        <v>0.44290343</v>
      </c>
      <c r="O28" s="18" t="n">
        <v>0</v>
      </c>
      <c r="P28" s="20" t="n">
        <v>0</v>
      </c>
      <c r="Q28" s="18" t="n">
        <v>7.03105198</v>
      </c>
      <c r="R28" s="20" t="n">
        <v>1.34463091</v>
      </c>
    </row>
    <row r="29" spans="1:18">
      <c r="A29" s="15" t="s">
        <v>587</v>
      </c>
      <c r="B29" s="17" t="n">
        <v>2700</v>
      </c>
      <c r="C29" s="18">
        <f>(2422.0/B29*100)</f>
        <v/>
      </c>
      <c r="D29" s="19" t="n">
        <v>278</v>
      </c>
      <c r="E29" s="18" t="n">
        <v>50.81566305</v>
      </c>
      <c r="F29" s="20" t="n">
        <v>2.82470616</v>
      </c>
      <c r="G29" s="18" t="n">
        <v>41.85303016</v>
      </c>
      <c r="H29" s="20" t="n">
        <v>2.80902751</v>
      </c>
      <c r="I29" s="18" t="n">
        <v>0</v>
      </c>
      <c r="J29" s="20" t="n">
        <v>0</v>
      </c>
      <c r="K29" s="18" t="n">
        <v>0.7320991</v>
      </c>
      <c r="L29" s="20" t="n">
        <v>0.45081354</v>
      </c>
      <c r="M29" s="18" t="n">
        <v>0</v>
      </c>
      <c r="N29" s="20" t="n">
        <v>0</v>
      </c>
      <c r="O29" s="18" t="n">
        <v>0</v>
      </c>
      <c r="P29" s="20" t="n">
        <v>0</v>
      </c>
      <c r="Q29" s="18" t="n">
        <v>6.5992077</v>
      </c>
      <c r="R29" s="20" t="n">
        <v>1.24419425</v>
      </c>
    </row>
    <row r="30" spans="1:18">
      <c r="A30" s="15" t="s">
        <v>588</v>
      </c>
      <c r="B30" s="17" t="n">
        <v>2257</v>
      </c>
      <c r="C30" s="18">
        <f>(2017.0/B30*100)</f>
        <v/>
      </c>
      <c r="D30" s="19" t="n">
        <v>240</v>
      </c>
      <c r="E30" s="18" t="n">
        <v>44.27887553</v>
      </c>
      <c r="F30" s="20" t="n">
        <v>2.96644377</v>
      </c>
      <c r="G30" s="18" t="n">
        <v>34.49954985</v>
      </c>
      <c r="H30" s="20" t="n">
        <v>3.10385626</v>
      </c>
      <c r="I30" s="18" t="n">
        <v>0</v>
      </c>
      <c r="J30" s="20" t="n">
        <v>0</v>
      </c>
      <c r="K30" s="18" t="n">
        <v>3.11180625</v>
      </c>
      <c r="L30" s="20" t="n">
        <v>0.93025914</v>
      </c>
      <c r="M30" s="18" t="n">
        <v>0</v>
      </c>
      <c r="N30" s="20" t="n">
        <v>0</v>
      </c>
      <c r="O30" s="18" t="n">
        <v>0</v>
      </c>
      <c r="P30" s="20" t="n">
        <v>0</v>
      </c>
      <c r="Q30" s="18" t="n">
        <v>18.10976838</v>
      </c>
      <c r="R30" s="20" t="n">
        <v>2.1192681</v>
      </c>
    </row>
    <row r="31" spans="1:18">
      <c r="A31" s="15" t="s">
        <v>589</v>
      </c>
      <c r="B31" s="17" t="n">
        <v>2706</v>
      </c>
      <c r="C31" s="18">
        <f>(2407.0/B31*100)</f>
        <v/>
      </c>
      <c r="D31" s="19" t="n">
        <v>299</v>
      </c>
      <c r="E31" s="18" t="n">
        <v>34.34521316</v>
      </c>
      <c r="F31" s="20" t="n">
        <v>3.06080021</v>
      </c>
      <c r="G31" s="18" t="n">
        <v>40.9978555</v>
      </c>
      <c r="H31" s="20" t="n">
        <v>3.22782676</v>
      </c>
      <c r="I31" s="18" t="n">
        <v>0</v>
      </c>
      <c r="J31" s="20" t="n">
        <v>0</v>
      </c>
      <c r="K31" s="18" t="n">
        <v>3.35484978</v>
      </c>
      <c r="L31" s="20" t="n">
        <v>1.05785458</v>
      </c>
      <c r="M31" s="18" t="n">
        <v>0</v>
      </c>
      <c r="N31" s="20" t="n">
        <v>0</v>
      </c>
      <c r="O31" s="18" t="n">
        <v>0</v>
      </c>
      <c r="P31" s="20" t="n">
        <v>0</v>
      </c>
      <c r="Q31" s="18" t="n">
        <v>21.30208156</v>
      </c>
      <c r="R31" s="20" t="n">
        <v>2.86469262</v>
      </c>
    </row>
    <row r="32" spans="1:18">
      <c r="A32" s="15" t="s">
        <v>590</v>
      </c>
      <c r="B32" s="17" t="n">
        <v>2209</v>
      </c>
      <c r="C32" s="18">
        <f>(1971.0/B32*100)</f>
        <v/>
      </c>
      <c r="D32" s="19" t="n">
        <v>238</v>
      </c>
      <c r="E32" s="18" t="n">
        <v>48.70947507</v>
      </c>
      <c r="F32" s="20" t="n">
        <v>3.29097282</v>
      </c>
      <c r="G32" s="18" t="n">
        <v>38.4728241</v>
      </c>
      <c r="H32" s="20" t="n">
        <v>3.3052386</v>
      </c>
      <c r="I32" s="18" t="n">
        <v>0</v>
      </c>
      <c r="J32" s="20" t="n">
        <v>0</v>
      </c>
      <c r="K32" s="18" t="n">
        <v>2.50138816</v>
      </c>
      <c r="L32" s="20" t="n">
        <v>1.02439253</v>
      </c>
      <c r="M32" s="18" t="n">
        <v>0</v>
      </c>
      <c r="N32" s="20" t="n">
        <v>0</v>
      </c>
      <c r="O32" s="18" t="n">
        <v>0</v>
      </c>
      <c r="P32" s="20" t="n">
        <v>0</v>
      </c>
      <c r="Q32" s="18" t="n">
        <v>10.31631266</v>
      </c>
      <c r="R32" s="20" t="n">
        <v>1.79096983</v>
      </c>
    </row>
    <row r="33" spans="1:18">
      <c r="A33" s="15" t="s">
        <v>591</v>
      </c>
      <c r="B33" s="17" t="n">
        <v>3651</v>
      </c>
      <c r="C33" s="18">
        <f>(3265.0/B33*100)</f>
        <v/>
      </c>
      <c r="D33" s="19" t="n">
        <v>386</v>
      </c>
      <c r="E33" s="18" t="n">
        <v>41.05020797</v>
      </c>
      <c r="F33" s="20" t="n">
        <v>3.25126042</v>
      </c>
      <c r="G33" s="18" t="n">
        <v>37.54483112</v>
      </c>
      <c r="H33" s="20" t="n">
        <v>3.23994635</v>
      </c>
      <c r="I33" s="18" t="n">
        <v>0</v>
      </c>
      <c r="J33" s="20" t="n">
        <v>0</v>
      </c>
      <c r="K33" s="18" t="n">
        <v>0.56312081</v>
      </c>
      <c r="L33" s="20" t="n">
        <v>0.42689609</v>
      </c>
      <c r="M33" s="18" t="n">
        <v>0</v>
      </c>
      <c r="N33" s="20" t="n">
        <v>0</v>
      </c>
      <c r="O33" s="18" t="n">
        <v>0</v>
      </c>
      <c r="P33" s="20" t="n">
        <v>0</v>
      </c>
      <c r="Q33" s="18" t="n">
        <v>20.84184011</v>
      </c>
      <c r="R33" s="20" t="n">
        <v>2.29241581</v>
      </c>
    </row>
    <row r="34" spans="1:18">
      <c r="A34" s="15" t="s">
        <v>592</v>
      </c>
      <c r="B34" s="17" t="n">
        <v>3035</v>
      </c>
      <c r="C34" s="18">
        <f>(2690.0/B34*100)</f>
        <v/>
      </c>
      <c r="D34" s="19" t="n">
        <v>345</v>
      </c>
      <c r="E34" s="18" t="n">
        <v>40.64283239</v>
      </c>
      <c r="F34" s="20" t="n">
        <v>2.58411423</v>
      </c>
      <c r="G34" s="18" t="n">
        <v>32.37083685</v>
      </c>
      <c r="H34" s="20" t="n">
        <v>2.29460288</v>
      </c>
      <c r="I34" s="18" t="n">
        <v>0</v>
      </c>
      <c r="J34" s="20" t="n">
        <v>0</v>
      </c>
      <c r="K34" s="18" t="n">
        <v>1.74128577</v>
      </c>
      <c r="L34" s="20" t="n">
        <v>0.75364194</v>
      </c>
      <c r="M34" s="18" t="n">
        <v>0.55836496</v>
      </c>
      <c r="N34" s="20" t="n">
        <v>0.39113854</v>
      </c>
      <c r="O34" s="18" t="n">
        <v>0</v>
      </c>
      <c r="P34" s="20" t="n">
        <v>0</v>
      </c>
      <c r="Q34" s="18" t="n">
        <v>24.68668003</v>
      </c>
      <c r="R34" s="20" t="n">
        <v>2.57462716</v>
      </c>
    </row>
    <row r="35" spans="1:18">
      <c r="A35" s="15" t="s">
        <v>593</v>
      </c>
      <c r="B35" s="17" t="n">
        <v>2901</v>
      </c>
      <c r="C35" s="18">
        <f>(2574.0/B35*100)</f>
        <v/>
      </c>
      <c r="D35" s="19" t="n">
        <v>327</v>
      </c>
      <c r="E35" s="18" t="n">
        <v>43.24031373</v>
      </c>
      <c r="F35" s="20" t="n">
        <v>3.48639791</v>
      </c>
      <c r="G35" s="18" t="n">
        <v>49.37153748</v>
      </c>
      <c r="H35" s="20" t="n">
        <v>3.49655156</v>
      </c>
      <c r="I35" s="18" t="n">
        <v>0</v>
      </c>
      <c r="J35" s="20" t="n">
        <v>0</v>
      </c>
      <c r="K35" s="18" t="n">
        <v>0.97395882</v>
      </c>
      <c r="L35" s="20" t="n">
        <v>0.32734316</v>
      </c>
      <c r="M35" s="18" t="n">
        <v>0</v>
      </c>
      <c r="N35" s="20" t="n">
        <v>0</v>
      </c>
      <c r="O35" s="18" t="n">
        <v>0</v>
      </c>
      <c r="P35" s="20" t="n">
        <v>0</v>
      </c>
      <c r="Q35" s="18" t="n">
        <v>6.41418997</v>
      </c>
      <c r="R35" s="20" t="n">
        <v>1.52013798</v>
      </c>
    </row>
    <row r="36" spans="1:18">
      <c r="A36" s="15" t="s">
        <v>594</v>
      </c>
      <c r="B36" s="17" t="n">
        <v>3404</v>
      </c>
      <c r="C36" s="18">
        <f>(3008.0/B36*100)</f>
        <v/>
      </c>
      <c r="D36" s="19" t="n">
        <v>396</v>
      </c>
      <c r="E36" s="18" t="n">
        <v>47.71480867</v>
      </c>
      <c r="F36" s="20" t="n">
        <v>2.52433934</v>
      </c>
      <c r="G36" s="18" t="n">
        <v>33.32156793</v>
      </c>
      <c r="H36" s="20" t="n">
        <v>2.35114403</v>
      </c>
      <c r="I36" s="18" t="n">
        <v>0</v>
      </c>
      <c r="J36" s="20" t="n">
        <v>0</v>
      </c>
      <c r="K36" s="18" t="n">
        <v>1.51774238</v>
      </c>
      <c r="L36" s="20" t="n">
        <v>0.57294229</v>
      </c>
      <c r="M36" s="18" t="n">
        <v>0.24232389</v>
      </c>
      <c r="N36" s="20" t="n">
        <v>0.24012686</v>
      </c>
      <c r="O36" s="18" t="n">
        <v>0</v>
      </c>
      <c r="P36" s="20" t="n">
        <v>0</v>
      </c>
      <c r="Q36" s="18" t="n">
        <v>17.20355713</v>
      </c>
      <c r="R36" s="20" t="n">
        <v>2.0804689</v>
      </c>
    </row>
    <row r="37" spans="1:18">
      <c r="A37" s="15" t="s">
        <v>595</v>
      </c>
      <c r="B37" s="17" t="n">
        <v>2731</v>
      </c>
      <c r="C37" s="18">
        <f>(2440.0/B37*100)</f>
        <v/>
      </c>
      <c r="D37" s="19" t="n">
        <v>291</v>
      </c>
      <c r="E37" s="18" t="n">
        <v>30.81329385</v>
      </c>
      <c r="F37" s="20" t="n">
        <v>2.96856815</v>
      </c>
      <c r="G37" s="18" t="n">
        <v>42.1929471</v>
      </c>
      <c r="H37" s="20" t="n">
        <v>3.13109942</v>
      </c>
      <c r="I37" s="18" t="n">
        <v>0</v>
      </c>
      <c r="J37" s="20" t="n">
        <v>0</v>
      </c>
      <c r="K37" s="18" t="n">
        <v>5.37653418</v>
      </c>
      <c r="L37" s="20" t="n">
        <v>1.37750485</v>
      </c>
      <c r="M37" s="18" t="n">
        <v>0</v>
      </c>
      <c r="N37" s="20" t="n">
        <v>0</v>
      </c>
      <c r="O37" s="18" t="n">
        <v>0</v>
      </c>
      <c r="P37" s="20" t="n">
        <v>0</v>
      </c>
      <c r="Q37" s="18" t="n">
        <v>21.61722487</v>
      </c>
      <c r="R37" s="20" t="n">
        <v>2.66203046</v>
      </c>
    </row>
    <row r="38" spans="1:18">
      <c r="A38" s="15" t="s">
        <v>596</v>
      </c>
      <c r="B38" s="17" t="n">
        <v>2807</v>
      </c>
      <c r="C38" s="18">
        <f>(2500.0/B38*100)</f>
        <v/>
      </c>
      <c r="D38" s="19" t="n">
        <v>307</v>
      </c>
      <c r="E38" s="18" t="n">
        <v>33.56910638</v>
      </c>
      <c r="F38" s="20" t="n">
        <v>2.96538227</v>
      </c>
      <c r="G38" s="18" t="n">
        <v>39.74130569</v>
      </c>
      <c r="H38" s="20" t="n">
        <v>3.53556181</v>
      </c>
      <c r="I38" s="18" t="n">
        <v>0</v>
      </c>
      <c r="J38" s="20" t="n">
        <v>0</v>
      </c>
      <c r="K38" s="18" t="n">
        <v>1.42572438</v>
      </c>
      <c r="L38" s="20" t="n">
        <v>0.8206883</v>
      </c>
      <c r="M38" s="18" t="n">
        <v>5.13012335</v>
      </c>
      <c r="N38" s="20" t="n">
        <v>1.69326227</v>
      </c>
      <c r="O38" s="18" t="n">
        <v>0</v>
      </c>
      <c r="P38" s="20" t="n">
        <v>0</v>
      </c>
      <c r="Q38" s="18" t="n">
        <v>20.1337402</v>
      </c>
      <c r="R38" s="20" t="n">
        <v>2.63431345</v>
      </c>
    </row>
    <row r="39" spans="1:18">
      <c r="A39" s="15" t="s">
        <v>597</v>
      </c>
      <c r="B39" s="17" t="n">
        <v>2938</v>
      </c>
      <c r="C39" s="18">
        <f>(2633.0/B39*100)</f>
        <v/>
      </c>
      <c r="D39" s="19" t="n">
        <v>305</v>
      </c>
      <c r="E39" s="18" t="n">
        <v>68.54019796</v>
      </c>
      <c r="F39" s="20" t="n">
        <v>2.94559729</v>
      </c>
      <c r="G39" s="18" t="n">
        <v>18.70914366</v>
      </c>
      <c r="H39" s="20" t="n">
        <v>3.07611523</v>
      </c>
      <c r="I39" s="18" t="n">
        <v>0</v>
      </c>
      <c r="J39" s="20" t="n">
        <v>0</v>
      </c>
      <c r="K39" s="18" t="n">
        <v>2.05865159</v>
      </c>
      <c r="L39" s="20" t="n">
        <v>0.48032111</v>
      </c>
      <c r="M39" s="18" t="n">
        <v>0</v>
      </c>
      <c r="N39" s="20" t="n">
        <v>0</v>
      </c>
      <c r="O39" s="18" t="n">
        <v>0</v>
      </c>
      <c r="P39" s="20" t="n">
        <v>0</v>
      </c>
      <c r="Q39" s="18" t="n">
        <v>10.69200679</v>
      </c>
      <c r="R39" s="20" t="n">
        <v>1.58721473</v>
      </c>
    </row>
    <row r="40" spans="1:18">
      <c r="A40" s="15" t="s">
        <v>598</v>
      </c>
      <c r="B40" s="17" t="n">
        <v>6922</v>
      </c>
      <c r="C40" s="18">
        <f>(6133.0/B40*100)</f>
        <v/>
      </c>
      <c r="D40" s="19" t="n">
        <v>789</v>
      </c>
      <c r="E40" s="18" t="n">
        <v>39.28927794</v>
      </c>
      <c r="F40" s="20" t="n">
        <v>2.56223745</v>
      </c>
      <c r="G40" s="18" t="n">
        <v>46.03528517</v>
      </c>
      <c r="H40" s="20" t="n">
        <v>2.84627901</v>
      </c>
      <c r="I40" s="18" t="n">
        <v>0</v>
      </c>
      <c r="J40" s="20" t="n">
        <v>0</v>
      </c>
      <c r="K40" s="18" t="n">
        <v>1.70479657</v>
      </c>
      <c r="L40" s="20" t="n">
        <v>0.59975626</v>
      </c>
      <c r="M40" s="18" t="n">
        <v>0</v>
      </c>
      <c r="N40" s="20" t="n">
        <v>0</v>
      </c>
      <c r="O40" s="18" t="n">
        <v>0</v>
      </c>
      <c r="P40" s="20" t="n">
        <v>0</v>
      </c>
      <c r="Q40" s="18" t="n">
        <v>12.97064032</v>
      </c>
      <c r="R40" s="20" t="n">
        <v>2.15756182</v>
      </c>
    </row>
    <row r="41" spans="1:18">
      <c r="A41" s="15" t="s">
        <v>599</v>
      </c>
      <c r="B41" s="17" t="n">
        <v>2854</v>
      </c>
      <c r="C41" s="18">
        <f>(2557.0/B41*100)</f>
        <v/>
      </c>
      <c r="D41" s="19" t="n">
        <v>297</v>
      </c>
      <c r="E41" s="18" t="n">
        <v>62.19170865</v>
      </c>
      <c r="F41" s="20" t="n">
        <v>2.82420152</v>
      </c>
      <c r="G41" s="18" t="n">
        <v>29.98468853</v>
      </c>
      <c r="H41" s="20" t="n">
        <v>2.93018562</v>
      </c>
      <c r="I41" s="18" t="n">
        <v>0</v>
      </c>
      <c r="J41" s="20" t="n">
        <v>0</v>
      </c>
      <c r="K41" s="18" t="n">
        <v>0.38028389</v>
      </c>
      <c r="L41" s="20" t="n">
        <v>0.38524715</v>
      </c>
      <c r="M41" s="18" t="n">
        <v>0</v>
      </c>
      <c r="N41" s="20" t="n">
        <v>0</v>
      </c>
      <c r="O41" s="18" t="n">
        <v>0</v>
      </c>
      <c r="P41" s="20" t="n">
        <v>0</v>
      </c>
      <c r="Q41" s="18" t="n">
        <v>7.44331894</v>
      </c>
      <c r="R41" s="20" t="n">
        <v>1.70599278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(11090.0/B46*100)</f>
        <v/>
      </c>
      <c r="D46" s="19" t="n">
        <v>983</v>
      </c>
      <c r="E46" s="18" t="n">
        <v>51.99691171</v>
      </c>
      <c r="F46" s="20" t="n">
        <v>2.14333698</v>
      </c>
      <c r="G46" s="18" t="n">
        <v>19.37951526</v>
      </c>
      <c r="H46" s="20" t="n">
        <v>1.8741416</v>
      </c>
      <c r="I46" s="18" t="n">
        <v>0</v>
      </c>
      <c r="J46" s="20" t="n">
        <v>0</v>
      </c>
      <c r="K46" s="18" t="n">
        <v>7.51848625</v>
      </c>
      <c r="L46" s="20" t="n">
        <v>1.03024051</v>
      </c>
      <c r="M46" s="18" t="n">
        <v>0.19888838</v>
      </c>
      <c r="N46" s="20" t="n">
        <v>0.19014749</v>
      </c>
      <c r="O46" s="18" t="n">
        <v>0</v>
      </c>
      <c r="P46" s="20" t="n">
        <v>0</v>
      </c>
      <c r="Q46" s="18" t="n">
        <v>20.9061984</v>
      </c>
      <c r="R46" s="20" t="n">
        <v>1.59129548</v>
      </c>
    </row>
    <row r="47" spans="1:18">
      <c r="A47" s="15" t="s">
        <v>606</v>
      </c>
      <c r="B47" s="17" t="n">
        <v>2823</v>
      </c>
      <c r="C47" s="18">
        <f>(2519.0/B47*100)</f>
        <v/>
      </c>
      <c r="D47" s="19" t="n">
        <v>304</v>
      </c>
      <c r="E47" s="18" t="n">
        <v>35.11541789</v>
      </c>
      <c r="F47" s="20" t="n">
        <v>3.08970481</v>
      </c>
      <c r="G47" s="18" t="n">
        <v>33.44649815</v>
      </c>
      <c r="H47" s="20" t="n">
        <v>3.24812074</v>
      </c>
      <c r="I47" s="18" t="n">
        <v>0</v>
      </c>
      <c r="J47" s="20" t="n">
        <v>0</v>
      </c>
      <c r="K47" s="18" t="n">
        <v>5.17968758</v>
      </c>
      <c r="L47" s="20" t="n">
        <v>1.36635242</v>
      </c>
      <c r="M47" s="18" t="n">
        <v>0.33210689</v>
      </c>
      <c r="N47" s="20" t="n">
        <v>0.31964882</v>
      </c>
      <c r="O47" s="18" t="n">
        <v>0</v>
      </c>
      <c r="P47" s="20" t="n">
        <v>0</v>
      </c>
      <c r="Q47" s="18" t="n">
        <v>25.9262895</v>
      </c>
      <c r="R47" s="20" t="n">
        <v>2.98467609</v>
      </c>
    </row>
    <row r="48" spans="1:18">
      <c r="A48" s="15" t="s">
        <v>607</v>
      </c>
      <c r="B48" s="17" t="n">
        <v>4682</v>
      </c>
      <c r="C48" s="18">
        <f>(4156.0/B48*100)</f>
        <v/>
      </c>
      <c r="D48" s="19" t="n">
        <v>526</v>
      </c>
      <c r="E48" s="18" t="n">
        <v>64.46348103</v>
      </c>
      <c r="F48" s="20" t="n">
        <v>2.8258532</v>
      </c>
      <c r="G48" s="18" t="n">
        <v>23.25418004</v>
      </c>
      <c r="H48" s="20" t="n">
        <v>2.18049383</v>
      </c>
      <c r="I48" s="18" t="n">
        <v>0</v>
      </c>
      <c r="J48" s="20" t="n">
        <v>0</v>
      </c>
      <c r="K48" s="18" t="n">
        <v>3.16745874</v>
      </c>
      <c r="L48" s="20" t="n">
        <v>1.02558458</v>
      </c>
      <c r="M48" s="18" t="n">
        <v>0</v>
      </c>
      <c r="N48" s="20" t="n">
        <v>0</v>
      </c>
      <c r="O48" s="18" t="n">
        <v>0</v>
      </c>
      <c r="P48" s="20" t="n">
        <v>0</v>
      </c>
      <c r="Q48" s="18" t="n">
        <v>9.11488018</v>
      </c>
      <c r="R48" s="20" t="n">
        <v>1.94304118</v>
      </c>
    </row>
    <row r="49" spans="1:18">
      <c r="A49" s="15" t="s">
        <v>608</v>
      </c>
      <c r="B49" s="17" t="n">
        <v>6158</v>
      </c>
      <c r="C49" s="18">
        <f>(5512.0/B49*100)</f>
        <v/>
      </c>
      <c r="D49" s="19" t="n">
        <v>646</v>
      </c>
      <c r="E49" s="18" t="n">
        <v>64.85681513999999</v>
      </c>
      <c r="F49" s="20" t="n">
        <v>2.47459251</v>
      </c>
      <c r="G49" s="18" t="n">
        <v>20.34210649</v>
      </c>
      <c r="H49" s="20" t="n">
        <v>1.5888901</v>
      </c>
      <c r="I49" s="18" t="n">
        <v>0</v>
      </c>
      <c r="J49" s="20" t="n">
        <v>0</v>
      </c>
      <c r="K49" s="18" t="n">
        <v>5.17376273</v>
      </c>
      <c r="L49" s="20" t="n">
        <v>1.29987102</v>
      </c>
      <c r="M49" s="18" t="n">
        <v>0.00835986</v>
      </c>
      <c r="N49" s="20" t="n">
        <v>0.00842555</v>
      </c>
      <c r="O49" s="18" t="n">
        <v>0</v>
      </c>
      <c r="P49" s="20" t="n">
        <v>0</v>
      </c>
      <c r="Q49" s="18" t="n">
        <v>9.618955769999999</v>
      </c>
      <c r="R49" s="20" t="n">
        <v>1.72330135</v>
      </c>
    </row>
    <row r="50" spans="1:18">
      <c r="A50" s="15" t="s">
        <v>609</v>
      </c>
      <c r="B50" s="17" t="n">
        <v>3494</v>
      </c>
      <c r="C50" s="18">
        <f>(3157.0/B50*100)</f>
        <v/>
      </c>
      <c r="D50" s="19" t="n">
        <v>337</v>
      </c>
      <c r="E50" s="18" t="n">
        <v>48.68597882</v>
      </c>
      <c r="F50" s="20" t="n">
        <v>2.88335739</v>
      </c>
      <c r="G50" s="18" t="n">
        <v>35.31963567</v>
      </c>
      <c r="H50" s="20" t="n">
        <v>2.90431233</v>
      </c>
      <c r="I50" s="18" t="n">
        <v>0</v>
      </c>
      <c r="J50" s="20" t="n">
        <v>0</v>
      </c>
      <c r="K50" s="18" t="n">
        <v>2.92252132</v>
      </c>
      <c r="L50" s="20" t="n">
        <v>1.0091461</v>
      </c>
      <c r="M50" s="18" t="n">
        <v>0.35895354</v>
      </c>
      <c r="N50" s="20" t="n">
        <v>0.33626295</v>
      </c>
      <c r="O50" s="18" t="n">
        <v>0</v>
      </c>
      <c r="P50" s="20" t="n">
        <v>0</v>
      </c>
      <c r="Q50" s="18" t="n">
        <v>12.71291064</v>
      </c>
      <c r="R50" s="20" t="n">
        <v>2.05906602</v>
      </c>
    </row>
    <row r="51" spans="1:18">
      <c r="A51" s="15" t="s">
        <v>610</v>
      </c>
      <c r="B51" s="17" t="n">
        <v>3013</v>
      </c>
      <c r="C51" s="18">
        <f>(2694.0/B51*100)</f>
        <v/>
      </c>
      <c r="D51" s="19" t="n">
        <v>319</v>
      </c>
      <c r="E51" s="18" t="n">
        <v>41.53289695</v>
      </c>
      <c r="F51" s="20" t="n">
        <v>2.5302006</v>
      </c>
      <c r="G51" s="18" t="n">
        <v>33.95627829</v>
      </c>
      <c r="H51" s="20" t="n">
        <v>2.64412422</v>
      </c>
      <c r="I51" s="18" t="n">
        <v>0</v>
      </c>
      <c r="J51" s="20" t="n">
        <v>0</v>
      </c>
      <c r="K51" s="18" t="n">
        <v>2.86030102</v>
      </c>
      <c r="L51" s="20" t="n">
        <v>0.98501445</v>
      </c>
      <c r="M51" s="18" t="n">
        <v>0</v>
      </c>
      <c r="N51" s="20" t="n">
        <v>0</v>
      </c>
      <c r="O51" s="18" t="n">
        <v>0</v>
      </c>
      <c r="P51" s="20" t="n">
        <v>0</v>
      </c>
      <c r="Q51" s="18" t="n">
        <v>21.65052375</v>
      </c>
      <c r="R51" s="20" t="n">
        <v>2.14362543</v>
      </c>
    </row>
    <row r="52" spans="1:18">
      <c r="A52" s="15" t="s">
        <v>611</v>
      </c>
      <c r="B52" s="17" t="n">
        <v>2760</v>
      </c>
      <c r="C52" s="18">
        <f>(2464.0/B52*100)</f>
        <v/>
      </c>
      <c r="D52" s="19" t="n">
        <v>296</v>
      </c>
      <c r="E52" s="18" t="n">
        <v>43.08807334</v>
      </c>
      <c r="F52" s="20" t="n">
        <v>2.86127499</v>
      </c>
      <c r="G52" s="18" t="n">
        <v>23.59422595</v>
      </c>
      <c r="H52" s="20" t="n">
        <v>2.51640482</v>
      </c>
      <c r="I52" s="18" t="n">
        <v>0</v>
      </c>
      <c r="J52" s="20" t="n">
        <v>0</v>
      </c>
      <c r="K52" s="18" t="n">
        <v>3.75464456</v>
      </c>
      <c r="L52" s="20" t="n">
        <v>0.98750771</v>
      </c>
      <c r="M52" s="18" t="n">
        <v>0</v>
      </c>
      <c r="N52" s="20" t="n">
        <v>0</v>
      </c>
      <c r="O52" s="18" t="n">
        <v>0</v>
      </c>
      <c r="P52" s="20" t="n">
        <v>0</v>
      </c>
      <c r="Q52" s="18" t="n">
        <v>29.56305614</v>
      </c>
      <c r="R52" s="20" t="n">
        <v>2.53979619</v>
      </c>
    </row>
    <row r="53" spans="1:18">
      <c r="A53" s="15" t="s">
        <v>612</v>
      </c>
      <c r="B53" s="17" t="n">
        <v>2474</v>
      </c>
      <c r="C53" s="18">
        <f>(2198.0/B53*100)</f>
        <v/>
      </c>
      <c r="D53" s="19" t="n">
        <v>276</v>
      </c>
      <c r="E53" s="18" t="n">
        <v>45.28486076</v>
      </c>
      <c r="F53" s="20" t="n">
        <v>3.90343989</v>
      </c>
      <c r="G53" s="18" t="n">
        <v>9.987046039999999</v>
      </c>
      <c r="H53" s="20" t="n">
        <v>1.76598855</v>
      </c>
      <c r="I53" s="18" t="n">
        <v>0</v>
      </c>
      <c r="J53" s="20" t="n">
        <v>0</v>
      </c>
      <c r="K53" s="18" t="n">
        <v>26.34020675</v>
      </c>
      <c r="L53" s="20" t="n">
        <v>3.33066942</v>
      </c>
      <c r="M53" s="18" t="n">
        <v>0.79754787</v>
      </c>
      <c r="N53" s="20" t="n">
        <v>0.86143896</v>
      </c>
      <c r="O53" s="18" t="n">
        <v>0</v>
      </c>
      <c r="P53" s="20" t="n">
        <v>0</v>
      </c>
      <c r="Q53" s="18" t="n">
        <v>17.59033858</v>
      </c>
      <c r="R53" s="20" t="n">
        <v>2.65618152</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(2398.0/B55*100)</f>
        <v/>
      </c>
      <c r="D55" s="19" t="n">
        <v>277</v>
      </c>
      <c r="E55" s="18" t="n">
        <v>65.99596455</v>
      </c>
      <c r="F55" s="20" t="n">
        <v>3.0697183</v>
      </c>
      <c r="G55" s="18" t="n">
        <v>29.63589686</v>
      </c>
      <c r="H55" s="20" t="n">
        <v>2.72490576</v>
      </c>
      <c r="I55" s="18" t="n">
        <v>0</v>
      </c>
      <c r="J55" s="20" t="n">
        <v>0</v>
      </c>
      <c r="K55" s="18" t="n">
        <v>0.34433009</v>
      </c>
      <c r="L55" s="20" t="n">
        <v>0.34635441</v>
      </c>
      <c r="M55" s="18" t="n">
        <v>0</v>
      </c>
      <c r="N55" s="20" t="n">
        <v>0</v>
      </c>
      <c r="O55" s="18" t="n">
        <v>0</v>
      </c>
      <c r="P55" s="20" t="n">
        <v>0</v>
      </c>
      <c r="Q55" s="18" t="n">
        <v>4.0238085</v>
      </c>
      <c r="R55" s="20" t="n">
        <v>1.22802348</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(2859.0/B61*100)</f>
        <v/>
      </c>
      <c r="D61" s="19" t="n">
        <v>342</v>
      </c>
      <c r="E61" s="18" t="n">
        <v>40.93848868</v>
      </c>
      <c r="F61" s="20" t="n">
        <v>3.00179226</v>
      </c>
      <c r="G61" s="18" t="n">
        <v>34.23688586</v>
      </c>
      <c r="H61" s="20" t="n">
        <v>2.7869501</v>
      </c>
      <c r="I61" s="18" t="n">
        <v>0</v>
      </c>
      <c r="J61" s="20" t="n">
        <v>0</v>
      </c>
      <c r="K61" s="18" t="n">
        <v>1.38845233</v>
      </c>
      <c r="L61" s="20" t="n">
        <v>0.90975606</v>
      </c>
      <c r="M61" s="18" t="n">
        <v>0</v>
      </c>
      <c r="N61" s="20" t="n">
        <v>0</v>
      </c>
      <c r="O61" s="18" t="n">
        <v>0</v>
      </c>
      <c r="P61" s="20" t="n">
        <v>0</v>
      </c>
      <c r="Q61" s="18" t="n">
        <v>23.43617313</v>
      </c>
      <c r="R61" s="20" t="n">
        <v>2.14908953</v>
      </c>
    </row>
    <row r="62" spans="1:18">
      <c r="A62" s="15" t="s">
        <v>622</v>
      </c>
      <c r="B62" s="17" t="n">
        <v>2230</v>
      </c>
      <c r="C62" s="18">
        <f>(1973.0/B62*100)</f>
        <v/>
      </c>
      <c r="D62" s="19" t="n">
        <v>257</v>
      </c>
      <c r="E62" s="18" t="n">
        <v>68.51458845000001</v>
      </c>
      <c r="F62" s="20" t="n">
        <v>3.00777957</v>
      </c>
      <c r="G62" s="18" t="n">
        <v>27.9385878</v>
      </c>
      <c r="H62" s="20" t="n">
        <v>2.87248829</v>
      </c>
      <c r="I62" s="18" t="n">
        <v>0</v>
      </c>
      <c r="J62" s="20" t="n">
        <v>0</v>
      </c>
      <c r="K62" s="18" t="n">
        <v>0</v>
      </c>
      <c r="L62" s="20" t="n">
        <v>0</v>
      </c>
      <c r="M62" s="18" t="n">
        <v>0</v>
      </c>
      <c r="N62" s="20" t="n">
        <v>0</v>
      </c>
      <c r="O62" s="18" t="n">
        <v>0</v>
      </c>
      <c r="P62" s="20" t="n">
        <v>0</v>
      </c>
      <c r="Q62" s="18" t="n">
        <v>3.54682375</v>
      </c>
      <c r="R62" s="20" t="n">
        <v>1.1630527</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(2480.0/B67*100)</f>
        <v/>
      </c>
      <c r="D67" s="19" t="n">
        <v>291</v>
      </c>
      <c r="E67" s="18" t="n">
        <v>33.74953189</v>
      </c>
      <c r="F67" s="20" t="n">
        <v>3.08563136</v>
      </c>
      <c r="G67" s="18" t="n">
        <v>14.38539163</v>
      </c>
      <c r="H67" s="20" t="n">
        <v>2.29852017</v>
      </c>
      <c r="I67" s="18" t="n">
        <v>0</v>
      </c>
      <c r="J67" s="20" t="n">
        <v>0</v>
      </c>
      <c r="K67" s="18" t="n">
        <v>11.14937206</v>
      </c>
      <c r="L67" s="20" t="n">
        <v>1.76988121</v>
      </c>
      <c r="M67" s="18" t="n">
        <v>0.37229318</v>
      </c>
      <c r="N67" s="20" t="n">
        <v>0.37111241</v>
      </c>
      <c r="O67" s="18" t="n">
        <v>0</v>
      </c>
      <c r="P67" s="20" t="n">
        <v>0</v>
      </c>
      <c r="Q67" s="18" t="n">
        <v>40.34341124</v>
      </c>
      <c r="R67" s="20" t="n">
        <v>2.58028949</v>
      </c>
    </row>
    <row r="68" spans="1:18">
      <c r="A68" s="15" t="s">
        <v>628</v>
      </c>
      <c r="B68" s="17" t="n">
        <v>3460</v>
      </c>
      <c r="C68" s="18">
        <f>(3128.0/B68*100)</f>
        <v/>
      </c>
      <c r="D68" s="19" t="n">
        <v>332</v>
      </c>
      <c r="E68" s="18" t="n">
        <v>62.70461718</v>
      </c>
      <c r="F68" s="20" t="n">
        <v>2.85332658</v>
      </c>
      <c r="G68" s="18" t="n">
        <v>17.296614</v>
      </c>
      <c r="H68" s="20" t="n">
        <v>2.10523501</v>
      </c>
      <c r="I68" s="18" t="n">
        <v>0</v>
      </c>
      <c r="J68" s="20" t="n">
        <v>0</v>
      </c>
      <c r="K68" s="18" t="n">
        <v>4.12857554</v>
      </c>
      <c r="L68" s="20" t="n">
        <v>1.32759835</v>
      </c>
      <c r="M68" s="18" t="n">
        <v>0.58362873</v>
      </c>
      <c r="N68" s="20" t="n">
        <v>0.41497333</v>
      </c>
      <c r="O68" s="18" t="n">
        <v>0</v>
      </c>
      <c r="P68" s="20" t="n">
        <v>0</v>
      </c>
      <c r="Q68" s="18" t="n">
        <v>15.28656455</v>
      </c>
      <c r="R68" s="20" t="n">
        <v>2.1299976</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(5342.0/B70*100)</f>
        <v/>
      </c>
      <c r="D70" s="19" t="n">
        <v>692</v>
      </c>
      <c r="E70" s="18" t="n">
        <v>53.84690893</v>
      </c>
      <c r="F70" s="20" t="n">
        <v>2.0522518</v>
      </c>
      <c r="G70" s="18" t="n">
        <v>25.91901799</v>
      </c>
      <c r="H70" s="20" t="n">
        <v>1.64374622</v>
      </c>
      <c r="I70" s="18" t="n">
        <v>0</v>
      </c>
      <c r="J70" s="20" t="n">
        <v>0</v>
      </c>
      <c r="K70" s="18" t="n">
        <v>5.84633196</v>
      </c>
      <c r="L70" s="20" t="n">
        <v>0.99185809</v>
      </c>
      <c r="M70" s="18" t="n">
        <v>0</v>
      </c>
      <c r="N70" s="20" t="n">
        <v>0</v>
      </c>
      <c r="O70" s="18" t="n">
        <v>0</v>
      </c>
      <c r="P70" s="20" t="n">
        <v>0</v>
      </c>
      <c r="Q70" s="18" t="n">
        <v>14.38774111</v>
      </c>
      <c r="R70" s="20" t="n">
        <v>1.44062147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(2788.0/B72*100)</f>
        <v/>
      </c>
      <c r="D72" s="19" t="n">
        <v>319</v>
      </c>
      <c r="E72" s="18" t="n">
        <v>46.15022877</v>
      </c>
      <c r="F72" s="20" t="n">
        <v>3.55948045</v>
      </c>
      <c r="G72" s="18" t="n">
        <v>35.91134143</v>
      </c>
      <c r="H72" s="20" t="n">
        <v>3.06229533</v>
      </c>
      <c r="I72" s="18" t="n">
        <v>0</v>
      </c>
      <c r="J72" s="20" t="n">
        <v>0</v>
      </c>
      <c r="K72" s="18" t="n">
        <v>2.03516832</v>
      </c>
      <c r="L72" s="20" t="n">
        <v>0.90716469</v>
      </c>
      <c r="M72" s="18" t="n">
        <v>0</v>
      </c>
      <c r="N72" s="20" t="n">
        <v>0</v>
      </c>
      <c r="O72" s="18" t="n">
        <v>0</v>
      </c>
      <c r="P72" s="20" t="n">
        <v>0</v>
      </c>
      <c r="Q72" s="18" t="n">
        <v>15.90326148</v>
      </c>
      <c r="R72" s="20" t="n">
        <v>2.30824017</v>
      </c>
    </row>
    <row r="73" spans="1:18">
      <c r="A73" s="15" t="s">
        <v>633</v>
      </c>
      <c r="B73" s="17" t="n">
        <v>2973</v>
      </c>
      <c r="C73" s="18">
        <f>(2647.0/B73*100)</f>
        <v/>
      </c>
      <c r="D73" s="19" t="n">
        <v>326</v>
      </c>
      <c r="E73" s="18" t="n">
        <v>47.22949377</v>
      </c>
      <c r="F73" s="20" t="n">
        <v>2.89237048</v>
      </c>
      <c r="G73" s="18" t="n">
        <v>48.50605378</v>
      </c>
      <c r="H73" s="20" t="n">
        <v>2.81727469</v>
      </c>
      <c r="I73" s="18" t="n">
        <v>0</v>
      </c>
      <c r="J73" s="20" t="n">
        <v>0</v>
      </c>
      <c r="K73" s="18" t="n">
        <v>0</v>
      </c>
      <c r="L73" s="20" t="n">
        <v>0</v>
      </c>
      <c r="M73" s="18" t="n">
        <v>0.42776155</v>
      </c>
      <c r="N73" s="20" t="n">
        <v>0.43149614</v>
      </c>
      <c r="O73" s="18" t="n">
        <v>0</v>
      </c>
      <c r="P73" s="20" t="n">
        <v>0</v>
      </c>
      <c r="Q73" s="18" t="n">
        <v>3.8366909</v>
      </c>
      <c r="R73" s="20" t="n">
        <v>1.06905041</v>
      </c>
    </row>
    <row r="74" spans="1:18">
      <c r="A74" s="15" t="s">
        <v>634</v>
      </c>
      <c r="B74" s="17" t="n">
        <v>3819</v>
      </c>
      <c r="C74" s="18">
        <f>(3392.0/B74*100)</f>
        <v/>
      </c>
      <c r="D74" s="19" t="n">
        <v>427</v>
      </c>
      <c r="E74" s="18" t="n">
        <v>70.07315869999999</v>
      </c>
      <c r="F74" s="20" t="n">
        <v>2.59091897</v>
      </c>
      <c r="G74" s="18" t="n">
        <v>23.05945815</v>
      </c>
      <c r="H74" s="20" t="n">
        <v>2.05944823</v>
      </c>
      <c r="I74" s="18" t="n">
        <v>0</v>
      </c>
      <c r="J74" s="20" t="n">
        <v>0</v>
      </c>
      <c r="K74" s="18" t="n">
        <v>0.38410876</v>
      </c>
      <c r="L74" s="20" t="n">
        <v>0.28162225</v>
      </c>
      <c r="M74" s="18" t="n">
        <v>0</v>
      </c>
      <c r="N74" s="20" t="n">
        <v>0</v>
      </c>
      <c r="O74" s="18" t="n">
        <v>0</v>
      </c>
      <c r="P74" s="20" t="n">
        <v>0</v>
      </c>
      <c r="Q74" s="18" t="n">
        <v>6.48327439</v>
      </c>
      <c r="R74" s="20" t="n">
        <v>1.566383</v>
      </c>
    </row>
    <row r="75" spans="1:18">
      <c r="A75" s="15" t="s">
        <v>635</v>
      </c>
      <c r="B75" s="17" t="n">
        <v>4652</v>
      </c>
      <c r="C75" s="18">
        <f>(4173.0/B75*100)</f>
        <v/>
      </c>
      <c r="D75" s="19" t="n">
        <v>479</v>
      </c>
      <c r="E75" s="18" t="n">
        <v>84.31979376</v>
      </c>
      <c r="F75" s="20" t="n">
        <v>1.99255581</v>
      </c>
      <c r="G75" s="18" t="n">
        <v>11.33644246</v>
      </c>
      <c r="H75" s="20" t="n">
        <v>1.95955109</v>
      </c>
      <c r="I75" s="18" t="n">
        <v>0</v>
      </c>
      <c r="J75" s="20" t="n">
        <v>0</v>
      </c>
      <c r="K75" s="18" t="n">
        <v>0.62589694</v>
      </c>
      <c r="L75" s="20" t="n">
        <v>0.44516639</v>
      </c>
      <c r="M75" s="18" t="n">
        <v>0.01027227</v>
      </c>
      <c r="N75" s="20" t="n">
        <v>0.01023683</v>
      </c>
      <c r="O75" s="18" t="n">
        <v>0</v>
      </c>
      <c r="P75" s="20" t="n">
        <v>0</v>
      </c>
      <c r="Q75" s="18" t="n">
        <v>3.70759457</v>
      </c>
      <c r="R75" s="20" t="n">
        <v>0.92467521</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(2671.0/B77*100)</f>
        <v/>
      </c>
      <c r="D77" s="19" t="n">
        <v>298</v>
      </c>
      <c r="E77" s="18" t="n">
        <v>55.08375168</v>
      </c>
      <c r="F77" s="20" t="n">
        <v>3.39928656</v>
      </c>
      <c r="G77" s="18" t="n">
        <v>7.90765448</v>
      </c>
      <c r="H77" s="20" t="n">
        <v>1.5189725</v>
      </c>
      <c r="I77" s="18" t="n">
        <v>0</v>
      </c>
      <c r="J77" s="20" t="n">
        <v>0</v>
      </c>
      <c r="K77" s="18" t="n">
        <v>11.2917324</v>
      </c>
      <c r="L77" s="20" t="n">
        <v>2.04216083</v>
      </c>
      <c r="M77" s="18" t="n">
        <v>0.6971953</v>
      </c>
      <c r="N77" s="20" t="n">
        <v>0.51766932</v>
      </c>
      <c r="O77" s="18" t="n">
        <v>0</v>
      </c>
      <c r="P77" s="20" t="n">
        <v>0</v>
      </c>
      <c r="Q77" s="18" t="n">
        <v>25.01966614</v>
      </c>
      <c r="R77" s="20" t="n">
        <v>2.74055578</v>
      </c>
    </row>
    <row r="78" spans="1:18">
      <c r="A78" s="15" t="s">
        <v>638</v>
      </c>
      <c r="B78" s="17" t="n">
        <v>7115</v>
      </c>
      <c r="C78" s="18">
        <f>(6351.0/B78*100)</f>
        <v/>
      </c>
      <c r="D78" s="19" t="n">
        <v>764</v>
      </c>
      <c r="E78" s="18" t="n">
        <v>61.70442945</v>
      </c>
      <c r="F78" s="20" t="n">
        <v>1.81708416</v>
      </c>
      <c r="G78" s="18" t="n">
        <v>29.30268639</v>
      </c>
      <c r="H78" s="20" t="n">
        <v>1.98027541</v>
      </c>
      <c r="I78" s="18" t="n">
        <v>0</v>
      </c>
      <c r="J78" s="20" t="n">
        <v>0</v>
      </c>
      <c r="K78" s="18" t="n">
        <v>1.2890026</v>
      </c>
      <c r="L78" s="20" t="n">
        <v>0.43938285</v>
      </c>
      <c r="M78" s="18" t="n">
        <v>0.19688694</v>
      </c>
      <c r="N78" s="20" t="n">
        <v>0.1423672</v>
      </c>
      <c r="O78" s="18" t="n">
        <v>0</v>
      </c>
      <c r="P78" s="20" t="n">
        <v>0</v>
      </c>
      <c r="Q78" s="18" t="n">
        <v>7.50699461</v>
      </c>
      <c r="R78" s="20" t="n">
        <v>1.01273833</v>
      </c>
    </row>
    <row r="79" spans="1:18">
      <c r="A79" s="15" t="s">
        <v>639</v>
      </c>
      <c r="B79" s="17" t="n">
        <v>3154</v>
      </c>
      <c r="C79" s="18">
        <f>(2832.0/B79*100)</f>
        <v/>
      </c>
      <c r="D79" s="19" t="n">
        <v>322</v>
      </c>
      <c r="E79" s="18" t="n">
        <v>36.74160544</v>
      </c>
      <c r="F79" s="20" t="n">
        <v>2.66184662</v>
      </c>
      <c r="G79" s="18" t="n">
        <v>30.57467124</v>
      </c>
      <c r="H79" s="20" t="n">
        <v>2.48430116</v>
      </c>
      <c r="I79" s="18" t="n">
        <v>0</v>
      </c>
      <c r="J79" s="20" t="n">
        <v>0</v>
      </c>
      <c r="K79" s="18" t="n">
        <v>9.67542212</v>
      </c>
      <c r="L79" s="20" t="n">
        <v>2.24505212</v>
      </c>
      <c r="M79" s="18" t="n">
        <v>0</v>
      </c>
      <c r="N79" s="20" t="n">
        <v>0</v>
      </c>
      <c r="O79" s="18" t="n">
        <v>0</v>
      </c>
      <c r="P79" s="20" t="n">
        <v>0</v>
      </c>
      <c r="Q79" s="18" t="n">
        <v>23.0083012</v>
      </c>
      <c r="R79" s="20" t="n">
        <v>2.53362783</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(14210.0/B82*100)</f>
        <v/>
      </c>
      <c r="D82" s="19" t="n">
        <v>1751</v>
      </c>
      <c r="E82" s="18" t="n">
        <v>48.0429431</v>
      </c>
      <c r="F82" s="20" t="n">
        <v>1.64349942</v>
      </c>
      <c r="G82" s="18" t="n">
        <v>33.11556631</v>
      </c>
      <c r="H82" s="20" t="n">
        <v>1.73045624</v>
      </c>
      <c r="I82" s="18" t="n">
        <v>0</v>
      </c>
      <c r="J82" s="20" t="n">
        <v>0</v>
      </c>
      <c r="K82" s="18" t="n">
        <v>1.74514669</v>
      </c>
      <c r="L82" s="20" t="n">
        <v>0.48386778</v>
      </c>
      <c r="M82" s="18" t="n">
        <v>0.18229269</v>
      </c>
      <c r="N82" s="20" t="n">
        <v>0.18106405</v>
      </c>
      <c r="O82" s="18" t="n">
        <v>0</v>
      </c>
      <c r="P82" s="20" t="n">
        <v>0</v>
      </c>
      <c r="Q82" s="18" t="n">
        <v>16.91405121</v>
      </c>
      <c r="R82" s="20" t="n">
        <v>1.39647271</v>
      </c>
    </row>
    <row r="83" spans="1:18">
      <c r="A83" s="15" t="s">
        <v>643</v>
      </c>
      <c r="B83" s="17" t="n">
        <v>808</v>
      </c>
      <c r="C83" s="18">
        <f>(713.0/B83*100)</f>
        <v/>
      </c>
      <c r="D83" s="19" t="n">
        <v>95</v>
      </c>
      <c r="E83" s="18" t="n">
        <v>59.70882248</v>
      </c>
      <c r="F83" s="20" t="n">
        <v>5.5700661</v>
      </c>
      <c r="G83" s="18" t="n">
        <v>32.32220276</v>
      </c>
      <c r="H83" s="20" t="n">
        <v>4.91957849</v>
      </c>
      <c r="I83" s="18" t="n">
        <v>0</v>
      </c>
      <c r="J83" s="20" t="n">
        <v>0</v>
      </c>
      <c r="K83" s="18" t="n">
        <v>1.83560076</v>
      </c>
      <c r="L83" s="20" t="n">
        <v>1.69397792</v>
      </c>
      <c r="M83" s="18" t="n">
        <v>0</v>
      </c>
      <c r="N83" s="20" t="n">
        <v>0</v>
      </c>
      <c r="O83" s="18" t="n">
        <v>0</v>
      </c>
      <c r="P83" s="20" t="n">
        <v>0</v>
      </c>
      <c r="Q83" s="18" t="n">
        <v>6.133374</v>
      </c>
      <c r="R83" s="20" t="n">
        <v>1.8031253</v>
      </c>
    </row>
    <row r="84" spans="1:18">
      <c r="A84" s="23" t="s">
        <v>644</v>
      </c>
      <c r="B84" s="24" t="n">
        <v>938</v>
      </c>
      <c r="C84" s="25">
        <f>(834.0/B84*100)</f>
        <v/>
      </c>
      <c r="D84" s="19" t="n">
        <v>104</v>
      </c>
      <c r="E84" s="18" t="n">
        <v>61.18985389</v>
      </c>
      <c r="F84" s="20" t="n">
        <v>4.93883337</v>
      </c>
      <c r="G84" s="18" t="n">
        <v>32.9736981</v>
      </c>
      <c r="H84" s="20" t="n">
        <v>4.56918145</v>
      </c>
      <c r="I84" s="18" t="n">
        <v>0</v>
      </c>
      <c r="J84" s="20" t="n">
        <v>0</v>
      </c>
      <c r="K84" s="18" t="n">
        <v>0</v>
      </c>
      <c r="L84" s="20" t="n">
        <v>0</v>
      </c>
      <c r="M84" s="18" t="n">
        <v>0</v>
      </c>
      <c r="N84" s="20" t="n">
        <v>0</v>
      </c>
      <c r="O84" s="18" t="n">
        <v>0</v>
      </c>
      <c r="P84" s="20" t="n">
        <v>0</v>
      </c>
      <c r="Q84" s="18" t="n">
        <v>5.83644801</v>
      </c>
      <c r="R84" s="20" t="n">
        <v>2.36454341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(6392.0/B7*100)</f>
        <v/>
      </c>
      <c r="D7" s="19" t="n">
        <v>771</v>
      </c>
      <c r="E7" s="18" t="n">
        <v>34.90516567</v>
      </c>
      <c r="F7" s="20" t="n">
        <v>2.09612966</v>
      </c>
      <c r="G7" s="18" t="n">
        <v>46.62682412</v>
      </c>
      <c r="H7" s="20" t="n">
        <v>2.00045336</v>
      </c>
      <c r="I7" s="18" t="n">
        <v>0</v>
      </c>
      <c r="J7" s="20" t="n">
        <v>0</v>
      </c>
      <c r="K7" s="18" t="n">
        <v>1.93618106</v>
      </c>
      <c r="L7" s="20" t="n">
        <v>0.51292807</v>
      </c>
      <c r="M7" s="18" t="n">
        <v>0.01587794</v>
      </c>
      <c r="N7" s="20" t="n">
        <v>0.01600716</v>
      </c>
      <c r="O7" s="18" t="n">
        <v>0</v>
      </c>
      <c r="P7" s="20" t="n">
        <v>0</v>
      </c>
      <c r="Q7" s="18" t="n">
        <v>16.51595121</v>
      </c>
      <c r="R7" s="20" t="n">
        <v>1.38739316</v>
      </c>
    </row>
    <row r="8" spans="1:18">
      <c r="A8" s="15" t="s">
        <v>566</v>
      </c>
      <c r="B8" s="17" t="n">
        <v>3443</v>
      </c>
      <c r="C8" s="18">
        <f>(3090.0/B8*100)</f>
        <v/>
      </c>
      <c r="D8" s="19" t="n">
        <v>353</v>
      </c>
      <c r="E8" s="18" t="n">
        <v>27.23424368</v>
      </c>
      <c r="F8" s="20" t="n">
        <v>3.16195569</v>
      </c>
      <c r="G8" s="18" t="n">
        <v>53.80421577</v>
      </c>
      <c r="H8" s="20" t="n">
        <v>3.26172623</v>
      </c>
      <c r="I8" s="18" t="n">
        <v>0</v>
      </c>
      <c r="J8" s="20" t="n">
        <v>0</v>
      </c>
      <c r="K8" s="18" t="n">
        <v>4.30405493</v>
      </c>
      <c r="L8" s="20" t="n">
        <v>1.25501384</v>
      </c>
      <c r="M8" s="18" t="n">
        <v>0</v>
      </c>
      <c r="N8" s="20" t="n">
        <v>0</v>
      </c>
      <c r="O8" s="18" t="n">
        <v>0</v>
      </c>
      <c r="P8" s="20" t="n">
        <v>0</v>
      </c>
      <c r="Q8" s="18" t="n">
        <v>14.65748563</v>
      </c>
      <c r="R8" s="20" t="n">
        <v>2.06737314</v>
      </c>
    </row>
    <row r="9" spans="1:18">
      <c r="A9" s="15" t="s">
        <v>567</v>
      </c>
      <c r="B9" s="17" t="n">
        <v>4752</v>
      </c>
      <c r="C9" s="18">
        <f>(4246.0/B9*100)</f>
        <v/>
      </c>
      <c r="D9" s="19" t="n">
        <v>506</v>
      </c>
      <c r="E9" s="18" t="n">
        <v>32.41812844</v>
      </c>
      <c r="F9" s="20" t="n">
        <v>2.27927529</v>
      </c>
      <c r="G9" s="18" t="n">
        <v>48.06946563</v>
      </c>
      <c r="H9" s="20" t="n">
        <v>2.48128682</v>
      </c>
      <c r="I9" s="18" t="n">
        <v>0</v>
      </c>
      <c r="J9" s="20" t="n">
        <v>0</v>
      </c>
      <c r="K9" s="18" t="n">
        <v>3.17252339</v>
      </c>
      <c r="L9" s="20" t="n">
        <v>0.85007906</v>
      </c>
      <c r="M9" s="18" t="n">
        <v>0.16004872</v>
      </c>
      <c r="N9" s="20" t="n">
        <v>0.15525777</v>
      </c>
      <c r="O9" s="18" t="n">
        <v>0</v>
      </c>
      <c r="P9" s="20" t="n">
        <v>0</v>
      </c>
      <c r="Q9" s="18" t="n">
        <v>16.17983382</v>
      </c>
      <c r="R9" s="20" t="n">
        <v>1.83893153</v>
      </c>
    </row>
    <row r="10" spans="1:18">
      <c r="A10" s="15" t="s">
        <v>568</v>
      </c>
      <c r="B10" s="17" t="n">
        <v>10022</v>
      </c>
      <c r="C10" s="18">
        <f>(8904.0/B10*100)</f>
        <v/>
      </c>
      <c r="D10" s="19" t="n">
        <v>1118</v>
      </c>
      <c r="E10" s="18" t="n">
        <v>35.03233983</v>
      </c>
      <c r="F10" s="20" t="n">
        <v>2.2186692</v>
      </c>
      <c r="G10" s="18" t="n">
        <v>54.57589851</v>
      </c>
      <c r="H10" s="20" t="n">
        <v>2.28034484</v>
      </c>
      <c r="I10" s="18" t="n">
        <v>0</v>
      </c>
      <c r="J10" s="20" t="n">
        <v>0</v>
      </c>
      <c r="K10" s="18" t="n">
        <v>2.05406637</v>
      </c>
      <c r="L10" s="20" t="n">
        <v>0.55800251</v>
      </c>
      <c r="M10" s="18" t="n">
        <v>0</v>
      </c>
      <c r="N10" s="20" t="n">
        <v>0</v>
      </c>
      <c r="O10" s="18" t="n">
        <v>0</v>
      </c>
      <c r="P10" s="20" t="n">
        <v>0</v>
      </c>
      <c r="Q10" s="18" t="n">
        <v>8.337695289999999</v>
      </c>
      <c r="R10" s="20" t="n">
        <v>1.03667347</v>
      </c>
    </row>
    <row r="11" spans="1:18">
      <c r="A11" s="15" t="s">
        <v>569</v>
      </c>
      <c r="B11" s="17" t="n">
        <v>3500</v>
      </c>
      <c r="C11" s="18">
        <f>(3101.0/B11*100)</f>
        <v/>
      </c>
      <c r="D11" s="19" t="n">
        <v>399</v>
      </c>
      <c r="E11" s="18" t="n">
        <v>38.3463283</v>
      </c>
      <c r="F11" s="20" t="n">
        <v>2.82971964</v>
      </c>
      <c r="G11" s="18" t="n">
        <v>28.69482189</v>
      </c>
      <c r="H11" s="20" t="n">
        <v>2.84681786</v>
      </c>
      <c r="I11" s="18" t="n">
        <v>0</v>
      </c>
      <c r="J11" s="20" t="n">
        <v>0</v>
      </c>
      <c r="K11" s="18" t="n">
        <v>10.53597104</v>
      </c>
      <c r="L11" s="20" t="n">
        <v>1.94935475</v>
      </c>
      <c r="M11" s="18" t="n">
        <v>0</v>
      </c>
      <c r="N11" s="20" t="n">
        <v>0</v>
      </c>
      <c r="O11" s="18" t="n">
        <v>0</v>
      </c>
      <c r="P11" s="20" t="n">
        <v>0</v>
      </c>
      <c r="Q11" s="18" t="n">
        <v>22.42287878</v>
      </c>
      <c r="R11" s="20" t="n">
        <v>2.42604626</v>
      </c>
    </row>
    <row r="12" spans="1:18">
      <c r="A12" s="15" t="s">
        <v>570</v>
      </c>
      <c r="B12" s="17" t="n">
        <v>3422</v>
      </c>
      <c r="C12" s="18">
        <f>(3037.0/B12*100)</f>
        <v/>
      </c>
      <c r="D12" s="19" t="n">
        <v>385</v>
      </c>
      <c r="E12" s="18" t="n">
        <v>28.32340189</v>
      </c>
      <c r="F12" s="20" t="n">
        <v>2.45451049</v>
      </c>
      <c r="G12" s="18" t="n">
        <v>48.88507384</v>
      </c>
      <c r="H12" s="20" t="n">
        <v>2.63135068</v>
      </c>
      <c r="I12" s="18" t="n">
        <v>0</v>
      </c>
      <c r="J12" s="20" t="n">
        <v>0</v>
      </c>
      <c r="K12" s="18" t="n">
        <v>2.43131076</v>
      </c>
      <c r="L12" s="20" t="n">
        <v>0.94593662</v>
      </c>
      <c r="M12" s="18" t="n">
        <v>0.25875195</v>
      </c>
      <c r="N12" s="20" t="n">
        <v>0.25580196</v>
      </c>
      <c r="O12" s="18" t="n">
        <v>0</v>
      </c>
      <c r="P12" s="20" t="n">
        <v>0</v>
      </c>
      <c r="Q12" s="18" t="n">
        <v>20.10146157</v>
      </c>
      <c r="R12" s="20" t="n">
        <v>2.30173789</v>
      </c>
    </row>
    <row r="13" spans="1:18">
      <c r="A13" s="15" t="s">
        <v>571</v>
      </c>
      <c r="B13" s="17" t="n">
        <v>3602</v>
      </c>
      <c r="C13" s="18">
        <f>(3257.0/B13*100)</f>
        <v/>
      </c>
      <c r="D13" s="19" t="n">
        <v>345</v>
      </c>
      <c r="E13" s="18" t="n">
        <v>33.08269004</v>
      </c>
      <c r="F13" s="20" t="n">
        <v>3.71296977</v>
      </c>
      <c r="G13" s="18" t="n">
        <v>48.68958334</v>
      </c>
      <c r="H13" s="20" t="n">
        <v>4.11483295</v>
      </c>
      <c r="I13" s="18" t="n">
        <v>0</v>
      </c>
      <c r="J13" s="20" t="n">
        <v>0</v>
      </c>
      <c r="K13" s="18" t="n">
        <v>3.0495552</v>
      </c>
      <c r="L13" s="20" t="n">
        <v>1.12639505</v>
      </c>
      <c r="M13" s="18" t="n">
        <v>0.07197979</v>
      </c>
      <c r="N13" s="20" t="n">
        <v>0.0718685</v>
      </c>
      <c r="O13" s="18" t="n">
        <v>0</v>
      </c>
      <c r="P13" s="20" t="n">
        <v>0</v>
      </c>
      <c r="Q13" s="18" t="n">
        <v>15.10619163</v>
      </c>
      <c r="R13" s="20" t="n">
        <v>2.60262927</v>
      </c>
    </row>
    <row r="14" spans="1:18">
      <c r="A14" s="15" t="s">
        <v>572</v>
      </c>
      <c r="B14" s="17" t="n">
        <v>2788</v>
      </c>
      <c r="C14" s="18">
        <f>(2474.0/B14*100)</f>
        <v/>
      </c>
      <c r="D14" s="19" t="n">
        <v>314</v>
      </c>
      <c r="E14" s="18" t="n">
        <v>31.56259641</v>
      </c>
      <c r="F14" s="20" t="n">
        <v>2.6196989</v>
      </c>
      <c r="G14" s="18" t="n">
        <v>61.655157</v>
      </c>
      <c r="H14" s="20" t="n">
        <v>2.83048855</v>
      </c>
      <c r="I14" s="18" t="n">
        <v>0</v>
      </c>
      <c r="J14" s="20" t="n">
        <v>0</v>
      </c>
      <c r="K14" s="18" t="n">
        <v>0.5774908</v>
      </c>
      <c r="L14" s="20" t="n">
        <v>0.40630186</v>
      </c>
      <c r="M14" s="18" t="n">
        <v>0</v>
      </c>
      <c r="N14" s="20" t="n">
        <v>0</v>
      </c>
      <c r="O14" s="18" t="n">
        <v>0</v>
      </c>
      <c r="P14" s="20" t="n">
        <v>0</v>
      </c>
      <c r="Q14" s="18" t="n">
        <v>6.2047558</v>
      </c>
      <c r="R14" s="20" t="n">
        <v>1.32311864</v>
      </c>
    </row>
    <row r="15" spans="1:18">
      <c r="A15" s="15" t="s">
        <v>573</v>
      </c>
      <c r="B15" s="17" t="n">
        <v>2863</v>
      </c>
      <c r="C15" s="18">
        <f>(2542.0/B15*100)</f>
        <v/>
      </c>
      <c r="D15" s="19" t="n">
        <v>321</v>
      </c>
      <c r="E15" s="18" t="n">
        <v>24.60507908</v>
      </c>
      <c r="F15" s="20" t="n">
        <v>2.34132838</v>
      </c>
      <c r="G15" s="18" t="n">
        <v>69.02187177</v>
      </c>
      <c r="H15" s="20" t="n">
        <v>2.69395052</v>
      </c>
      <c r="I15" s="18" t="n">
        <v>0</v>
      </c>
      <c r="J15" s="20" t="n">
        <v>0</v>
      </c>
      <c r="K15" s="18" t="n">
        <v>1.93684683</v>
      </c>
      <c r="L15" s="20" t="n">
        <v>0.7886389700000001</v>
      </c>
      <c r="M15" s="18" t="n">
        <v>0</v>
      </c>
      <c r="N15" s="20" t="n">
        <v>0</v>
      </c>
      <c r="O15" s="18" t="n">
        <v>0</v>
      </c>
      <c r="P15" s="20" t="n">
        <v>0</v>
      </c>
      <c r="Q15" s="18" t="n">
        <v>4.43620232</v>
      </c>
      <c r="R15" s="20" t="n">
        <v>1.15320558</v>
      </c>
    </row>
    <row r="16" spans="1:18">
      <c r="A16" s="15" t="s">
        <v>574</v>
      </c>
      <c r="B16" s="17" t="n">
        <v>3111</v>
      </c>
      <c r="C16" s="18">
        <f>(2757.0/B16*100)</f>
        <v/>
      </c>
      <c r="D16" s="19" t="n">
        <v>354</v>
      </c>
      <c r="E16" s="18" t="n">
        <v>26.06207349</v>
      </c>
      <c r="F16" s="20" t="n">
        <v>2.28304519</v>
      </c>
      <c r="G16" s="18" t="n">
        <v>45.61619014</v>
      </c>
      <c r="H16" s="20" t="n">
        <v>2.80509001</v>
      </c>
      <c r="I16" s="18" t="n">
        <v>0</v>
      </c>
      <c r="J16" s="20" t="n">
        <v>0</v>
      </c>
      <c r="K16" s="18" t="n">
        <v>5.50757651</v>
      </c>
      <c r="L16" s="20" t="n">
        <v>1.49054593</v>
      </c>
      <c r="M16" s="18" t="n">
        <v>0</v>
      </c>
      <c r="N16" s="20" t="n">
        <v>0</v>
      </c>
      <c r="O16" s="18" t="n">
        <v>0</v>
      </c>
      <c r="P16" s="20" t="n">
        <v>0</v>
      </c>
      <c r="Q16" s="18" t="n">
        <v>22.81415987</v>
      </c>
      <c r="R16" s="20" t="n">
        <v>2.11826393</v>
      </c>
    </row>
    <row r="17" spans="1:18">
      <c r="A17" s="15" t="s">
        <v>575</v>
      </c>
      <c r="B17" s="17" t="n">
        <v>3197</v>
      </c>
      <c r="C17" s="18">
        <f>(2852.0/B17*100)</f>
        <v/>
      </c>
      <c r="D17" s="19" t="n">
        <v>345</v>
      </c>
      <c r="E17" s="18" t="n">
        <v>23.05665837</v>
      </c>
      <c r="F17" s="20" t="n">
        <v>2.54514018</v>
      </c>
      <c r="G17" s="18" t="n">
        <v>61.24612761</v>
      </c>
      <c r="H17" s="20" t="n">
        <v>3.02967545</v>
      </c>
      <c r="I17" s="18" t="n">
        <v>0</v>
      </c>
      <c r="J17" s="20" t="n">
        <v>0</v>
      </c>
      <c r="K17" s="18" t="n">
        <v>1.40158265</v>
      </c>
      <c r="L17" s="20" t="n">
        <v>0.5961346199999999</v>
      </c>
      <c r="M17" s="18" t="n">
        <v>0</v>
      </c>
      <c r="N17" s="20" t="n">
        <v>0</v>
      </c>
      <c r="O17" s="18" t="n">
        <v>0</v>
      </c>
      <c r="P17" s="20" t="n">
        <v>0</v>
      </c>
      <c r="Q17" s="18" t="n">
        <v>14.29563137</v>
      </c>
      <c r="R17" s="20" t="n">
        <v>1.74990231</v>
      </c>
    </row>
    <row r="18" spans="1:18">
      <c r="A18" s="15" t="s">
        <v>576</v>
      </c>
      <c r="B18" s="17" t="n">
        <v>2706</v>
      </c>
      <c r="C18" s="18">
        <f>(2409.0/B18*100)</f>
        <v/>
      </c>
      <c r="D18" s="19" t="n">
        <v>297</v>
      </c>
      <c r="E18" s="18" t="n">
        <v>36.90944895</v>
      </c>
      <c r="F18" s="20" t="n">
        <v>2.88140185</v>
      </c>
      <c r="G18" s="18" t="n">
        <v>34.44088305</v>
      </c>
      <c r="H18" s="20" t="n">
        <v>2.89953992</v>
      </c>
      <c r="I18" s="18" t="n">
        <v>0</v>
      </c>
      <c r="J18" s="20" t="n">
        <v>0</v>
      </c>
      <c r="K18" s="18" t="n">
        <v>2.71967801</v>
      </c>
      <c r="L18" s="20" t="n">
        <v>0.91429523</v>
      </c>
      <c r="M18" s="18" t="n">
        <v>0</v>
      </c>
      <c r="N18" s="20" t="n">
        <v>0</v>
      </c>
      <c r="O18" s="18" t="n">
        <v>0</v>
      </c>
      <c r="P18" s="20" t="n">
        <v>0</v>
      </c>
      <c r="Q18" s="18" t="n">
        <v>25.92998998</v>
      </c>
      <c r="R18" s="20" t="n">
        <v>2.66745641</v>
      </c>
    </row>
    <row r="19" spans="1:18">
      <c r="A19" s="15" t="s">
        <v>577</v>
      </c>
      <c r="B19" s="17" t="n">
        <v>2850</v>
      </c>
      <c r="C19" s="18">
        <f>(2568.0/B19*100)</f>
        <v/>
      </c>
      <c r="D19" s="19" t="n">
        <v>282</v>
      </c>
      <c r="E19" s="18" t="n">
        <v>32.46388333</v>
      </c>
      <c r="F19" s="20" t="n">
        <v>3.28571701</v>
      </c>
      <c r="G19" s="18" t="n">
        <v>52.58552384</v>
      </c>
      <c r="H19" s="20" t="n">
        <v>3.61307295</v>
      </c>
      <c r="I19" s="18" t="n">
        <v>0</v>
      </c>
      <c r="J19" s="20" t="n">
        <v>0</v>
      </c>
      <c r="K19" s="18" t="n">
        <v>1.04482638</v>
      </c>
      <c r="L19" s="20" t="n">
        <v>0.61085691</v>
      </c>
      <c r="M19" s="18" t="n">
        <v>0</v>
      </c>
      <c r="N19" s="20" t="n">
        <v>0</v>
      </c>
      <c r="O19" s="18" t="n">
        <v>0</v>
      </c>
      <c r="P19" s="20" t="n">
        <v>0</v>
      </c>
      <c r="Q19" s="18" t="n">
        <v>13.90576644</v>
      </c>
      <c r="R19" s="20" t="n">
        <v>2.62448153</v>
      </c>
    </row>
    <row r="20" spans="1:18">
      <c r="A20" s="15" t="s">
        <v>578</v>
      </c>
      <c r="B20" s="17" t="n">
        <v>1741</v>
      </c>
      <c r="C20" s="18">
        <f>(1554.0/B20*100)</f>
        <v/>
      </c>
      <c r="D20" s="19" t="n">
        <v>187</v>
      </c>
      <c r="E20" s="18" t="n">
        <v>38.34200015</v>
      </c>
      <c r="F20" s="20" t="n">
        <v>3.62597987</v>
      </c>
      <c r="G20" s="18" t="n">
        <v>41.07151106</v>
      </c>
      <c r="H20" s="20" t="n">
        <v>3.83048283</v>
      </c>
      <c r="I20" s="18" t="n">
        <v>0</v>
      </c>
      <c r="J20" s="20" t="n">
        <v>0</v>
      </c>
      <c r="K20" s="18" t="n">
        <v>9.141999439999999</v>
      </c>
      <c r="L20" s="20" t="n">
        <v>2.16798055</v>
      </c>
      <c r="M20" s="18" t="n">
        <v>0.65201537</v>
      </c>
      <c r="N20" s="20" t="n">
        <v>0.65812215</v>
      </c>
      <c r="O20" s="18" t="n">
        <v>0</v>
      </c>
      <c r="P20" s="20" t="n">
        <v>0</v>
      </c>
      <c r="Q20" s="18" t="n">
        <v>10.79247399</v>
      </c>
      <c r="R20" s="20" t="n">
        <v>2.15925359</v>
      </c>
    </row>
    <row r="21" spans="1:18">
      <c r="A21" s="15" t="s">
        <v>579</v>
      </c>
      <c r="B21" s="17" t="n">
        <v>2833</v>
      </c>
      <c r="C21" s="18">
        <f>(2558.0/B21*100)</f>
        <v/>
      </c>
      <c r="D21" s="19" t="n">
        <v>275</v>
      </c>
      <c r="E21" s="18" t="n">
        <v>37.03477727</v>
      </c>
      <c r="F21" s="20" t="n">
        <v>2.96822572</v>
      </c>
      <c r="G21" s="18" t="n">
        <v>51.98481149</v>
      </c>
      <c r="H21" s="20" t="n">
        <v>3.31697802</v>
      </c>
      <c r="I21" s="18" t="n">
        <v>0</v>
      </c>
      <c r="J21" s="20" t="n">
        <v>0</v>
      </c>
      <c r="K21" s="18" t="n">
        <v>1.53227024</v>
      </c>
      <c r="L21" s="20" t="n">
        <v>0.73864368</v>
      </c>
      <c r="M21" s="18" t="n">
        <v>0</v>
      </c>
      <c r="N21" s="20" t="n">
        <v>0</v>
      </c>
      <c r="O21" s="18" t="n">
        <v>0</v>
      </c>
      <c r="P21" s="20" t="n">
        <v>0</v>
      </c>
      <c r="Q21" s="18" t="n">
        <v>9.448141</v>
      </c>
      <c r="R21" s="20" t="n">
        <v>1.9135003</v>
      </c>
    </row>
    <row r="22" spans="1:18">
      <c r="A22" s="15" t="s">
        <v>580</v>
      </c>
      <c r="B22" s="17" t="n">
        <v>3667</v>
      </c>
      <c r="C22" s="18">
        <f>(3305.0/B22*100)</f>
        <v/>
      </c>
      <c r="D22" s="19" t="n">
        <v>362</v>
      </c>
      <c r="E22" s="18" t="n">
        <v>31.07061839</v>
      </c>
      <c r="F22" s="20" t="n">
        <v>2.70750845</v>
      </c>
      <c r="G22" s="18" t="n">
        <v>47.12121907</v>
      </c>
      <c r="H22" s="20" t="n">
        <v>3.05209744</v>
      </c>
      <c r="I22" s="18" t="n">
        <v>0</v>
      </c>
      <c r="J22" s="20" t="n">
        <v>0</v>
      </c>
      <c r="K22" s="18" t="n">
        <v>5.97433808</v>
      </c>
      <c r="L22" s="20" t="n">
        <v>1.29771341</v>
      </c>
      <c r="M22" s="18" t="n">
        <v>0</v>
      </c>
      <c r="N22" s="20" t="n">
        <v>0</v>
      </c>
      <c r="O22" s="18" t="n">
        <v>0</v>
      </c>
      <c r="P22" s="20" t="n">
        <v>0</v>
      </c>
      <c r="Q22" s="18" t="n">
        <v>15.83382445</v>
      </c>
      <c r="R22" s="20" t="n">
        <v>1.81747149</v>
      </c>
    </row>
    <row r="23" spans="1:18">
      <c r="A23" s="15" t="s">
        <v>581</v>
      </c>
      <c r="B23" s="17" t="n">
        <v>5792</v>
      </c>
      <c r="C23" s="18">
        <f>(5133.0/B23*100)</f>
        <v/>
      </c>
      <c r="D23" s="19" t="n">
        <v>659</v>
      </c>
      <c r="E23" s="18" t="n">
        <v>30.61569124</v>
      </c>
      <c r="F23" s="20" t="n">
        <v>3.04476161</v>
      </c>
      <c r="G23" s="18" t="n">
        <v>42.86944916</v>
      </c>
      <c r="H23" s="20" t="n">
        <v>3.08822866</v>
      </c>
      <c r="I23" s="18" t="n">
        <v>0</v>
      </c>
      <c r="J23" s="20" t="n">
        <v>0</v>
      </c>
      <c r="K23" s="18" t="n">
        <v>6.39894882</v>
      </c>
      <c r="L23" s="20" t="n">
        <v>1.49474086</v>
      </c>
      <c r="M23" s="18" t="n">
        <v>0</v>
      </c>
      <c r="N23" s="20" t="n">
        <v>0</v>
      </c>
      <c r="O23" s="18" t="n">
        <v>0</v>
      </c>
      <c r="P23" s="20" t="n">
        <v>0</v>
      </c>
      <c r="Q23" s="18" t="n">
        <v>20.11591077</v>
      </c>
      <c r="R23" s="20" t="n">
        <v>2.26403182</v>
      </c>
    </row>
    <row r="24" spans="1:18">
      <c r="A24" s="15" t="s">
        <v>582</v>
      </c>
      <c r="B24" s="17" t="n">
        <v>3309</v>
      </c>
      <c r="C24" s="18">
        <f>(2979.0/B24*100)</f>
        <v/>
      </c>
      <c r="D24" s="19" t="n">
        <v>330</v>
      </c>
      <c r="E24" s="18" t="n">
        <v>17.72269436</v>
      </c>
      <c r="F24" s="20" t="n">
        <v>2.03340329</v>
      </c>
      <c r="G24" s="18" t="n">
        <v>65.44925979</v>
      </c>
      <c r="H24" s="20" t="n">
        <v>2.6321082</v>
      </c>
      <c r="I24" s="18" t="n">
        <v>0</v>
      </c>
      <c r="J24" s="20" t="n">
        <v>0</v>
      </c>
      <c r="K24" s="18" t="n">
        <v>0.66600306</v>
      </c>
      <c r="L24" s="20" t="n">
        <v>0.48231206</v>
      </c>
      <c r="M24" s="18" t="n">
        <v>0</v>
      </c>
      <c r="N24" s="20" t="n">
        <v>0</v>
      </c>
      <c r="O24" s="18" t="n">
        <v>0</v>
      </c>
      <c r="P24" s="20" t="n">
        <v>0</v>
      </c>
      <c r="Q24" s="18" t="n">
        <v>16.16204278</v>
      </c>
      <c r="R24" s="20" t="n">
        <v>2.21579053</v>
      </c>
    </row>
    <row r="25" spans="1:18">
      <c r="A25" s="15" t="s">
        <v>583</v>
      </c>
      <c r="B25" s="17" t="n">
        <v>2669</v>
      </c>
      <c r="C25" s="18">
        <f>(2365.0/B25*100)</f>
        <v/>
      </c>
      <c r="D25" s="19" t="n">
        <v>304</v>
      </c>
      <c r="E25" s="18" t="n">
        <v>37.24437322</v>
      </c>
      <c r="F25" s="20" t="n">
        <v>2.33100267</v>
      </c>
      <c r="G25" s="18" t="n">
        <v>43.72627586</v>
      </c>
      <c r="H25" s="20" t="n">
        <v>2.71829115</v>
      </c>
      <c r="I25" s="18" t="n">
        <v>0</v>
      </c>
      <c r="J25" s="20" t="n">
        <v>0</v>
      </c>
      <c r="K25" s="18" t="n">
        <v>2.6524472</v>
      </c>
      <c r="L25" s="20" t="n">
        <v>0.78667263</v>
      </c>
      <c r="M25" s="18" t="n">
        <v>0</v>
      </c>
      <c r="N25" s="20" t="n">
        <v>0</v>
      </c>
      <c r="O25" s="18" t="n">
        <v>0</v>
      </c>
      <c r="P25" s="20" t="n">
        <v>0</v>
      </c>
      <c r="Q25" s="18" t="n">
        <v>16.37690372</v>
      </c>
      <c r="R25" s="20" t="n">
        <v>2.35780066</v>
      </c>
    </row>
    <row r="26" spans="1:18">
      <c r="A26" s="15" t="s">
        <v>584</v>
      </c>
      <c r="B26" s="17" t="n">
        <v>2419</v>
      </c>
      <c r="C26" s="18">
        <f>(2143.0/B26*100)</f>
        <v/>
      </c>
      <c r="D26" s="19" t="n">
        <v>276</v>
      </c>
      <c r="E26" s="18" t="n">
        <v>45.35844</v>
      </c>
      <c r="F26" s="20" t="n">
        <v>3.18797844</v>
      </c>
      <c r="G26" s="18" t="n">
        <v>43.42996091</v>
      </c>
      <c r="H26" s="20" t="n">
        <v>3.39810615</v>
      </c>
      <c r="I26" s="18" t="n">
        <v>0</v>
      </c>
      <c r="J26" s="20" t="n">
        <v>0</v>
      </c>
      <c r="K26" s="18" t="n">
        <v>0.64338878</v>
      </c>
      <c r="L26" s="20" t="n">
        <v>0.65904445</v>
      </c>
      <c r="M26" s="18" t="n">
        <v>0.33157505</v>
      </c>
      <c r="N26" s="20" t="n">
        <v>0.33544117</v>
      </c>
      <c r="O26" s="18" t="n">
        <v>0</v>
      </c>
      <c r="P26" s="20" t="n">
        <v>0</v>
      </c>
      <c r="Q26" s="18" t="n">
        <v>10.23663526</v>
      </c>
      <c r="R26" s="20" t="n">
        <v>1.87943284</v>
      </c>
    </row>
    <row r="27" spans="1:18">
      <c r="A27" s="15" t="s">
        <v>585</v>
      </c>
      <c r="B27" s="17" t="n">
        <v>2683</v>
      </c>
      <c r="C27" s="18">
        <f>(2388.0/B27*100)</f>
        <v/>
      </c>
      <c r="D27" s="19" t="n">
        <v>295</v>
      </c>
      <c r="E27" s="18" t="n">
        <v>24.77406326</v>
      </c>
      <c r="F27" s="20" t="n">
        <v>2.6644041</v>
      </c>
      <c r="G27" s="18" t="n">
        <v>50.24796561</v>
      </c>
      <c r="H27" s="20" t="n">
        <v>2.85172889</v>
      </c>
      <c r="I27" s="18" t="n">
        <v>0</v>
      </c>
      <c r="J27" s="20" t="n">
        <v>0</v>
      </c>
      <c r="K27" s="18" t="n">
        <v>1.84328592</v>
      </c>
      <c r="L27" s="20" t="n">
        <v>0.84273419</v>
      </c>
      <c r="M27" s="18" t="n">
        <v>0</v>
      </c>
      <c r="N27" s="20" t="n">
        <v>0</v>
      </c>
      <c r="O27" s="18" t="n">
        <v>0</v>
      </c>
      <c r="P27" s="20" t="n">
        <v>0</v>
      </c>
      <c r="Q27" s="18" t="n">
        <v>23.13468521</v>
      </c>
      <c r="R27" s="20" t="n">
        <v>2.3939008</v>
      </c>
    </row>
    <row r="28" spans="1:18">
      <c r="A28" s="15" t="s">
        <v>586</v>
      </c>
      <c r="B28" s="17" t="n">
        <v>3803</v>
      </c>
      <c r="C28" s="18">
        <f>(3426.0/B28*100)</f>
        <v/>
      </c>
      <c r="D28" s="19" t="n">
        <v>377</v>
      </c>
      <c r="E28" s="18" t="n">
        <v>71.09256267000001</v>
      </c>
      <c r="F28" s="20" t="n">
        <v>2.59902853</v>
      </c>
      <c r="G28" s="18" t="n">
        <v>19.12735741</v>
      </c>
      <c r="H28" s="20" t="n">
        <v>2.3799937</v>
      </c>
      <c r="I28" s="18" t="n">
        <v>0</v>
      </c>
      <c r="J28" s="20" t="n">
        <v>0</v>
      </c>
      <c r="K28" s="18" t="n">
        <v>2.50044211</v>
      </c>
      <c r="L28" s="20" t="n">
        <v>1.04873269</v>
      </c>
      <c r="M28" s="18" t="n">
        <v>0.44261289</v>
      </c>
      <c r="N28" s="20" t="n">
        <v>0.44290343</v>
      </c>
      <c r="O28" s="18" t="n">
        <v>0</v>
      </c>
      <c r="P28" s="20" t="n">
        <v>0</v>
      </c>
      <c r="Q28" s="18" t="n">
        <v>6.83702493</v>
      </c>
      <c r="R28" s="20" t="n">
        <v>1.21205973</v>
      </c>
    </row>
    <row r="29" spans="1:18">
      <c r="A29" s="15" t="s">
        <v>587</v>
      </c>
      <c r="B29" s="17" t="n">
        <v>2700</v>
      </c>
      <c r="C29" s="18">
        <f>(2422.0/B29*100)</f>
        <v/>
      </c>
      <c r="D29" s="19" t="n">
        <v>278</v>
      </c>
      <c r="E29" s="18" t="n">
        <v>35.8382658</v>
      </c>
      <c r="F29" s="20" t="n">
        <v>3.00589301</v>
      </c>
      <c r="G29" s="18" t="n">
        <v>58.90329801</v>
      </c>
      <c r="H29" s="20" t="n">
        <v>2.79536132</v>
      </c>
      <c r="I29" s="18" t="n">
        <v>0</v>
      </c>
      <c r="J29" s="20" t="n">
        <v>0</v>
      </c>
      <c r="K29" s="18" t="n">
        <v>0.7320991</v>
      </c>
      <c r="L29" s="20" t="n">
        <v>0.45081354</v>
      </c>
      <c r="M29" s="18" t="n">
        <v>0</v>
      </c>
      <c r="N29" s="20" t="n">
        <v>0</v>
      </c>
      <c r="O29" s="18" t="n">
        <v>0</v>
      </c>
      <c r="P29" s="20" t="n">
        <v>0</v>
      </c>
      <c r="Q29" s="18" t="n">
        <v>4.52633709</v>
      </c>
      <c r="R29" s="20" t="n">
        <v>1.04940982</v>
      </c>
    </row>
    <row r="30" spans="1:18">
      <c r="A30" s="15" t="s">
        <v>588</v>
      </c>
      <c r="B30" s="17" t="n">
        <v>2257</v>
      </c>
      <c r="C30" s="18">
        <f>(2017.0/B30*100)</f>
        <v/>
      </c>
      <c r="D30" s="19" t="n">
        <v>240</v>
      </c>
      <c r="E30" s="18" t="n">
        <v>29.00310367</v>
      </c>
      <c r="F30" s="20" t="n">
        <v>2.938011</v>
      </c>
      <c r="G30" s="18" t="n">
        <v>48.20815028</v>
      </c>
      <c r="H30" s="20" t="n">
        <v>3.21570056</v>
      </c>
      <c r="I30" s="18" t="n">
        <v>0</v>
      </c>
      <c r="J30" s="20" t="n">
        <v>0</v>
      </c>
      <c r="K30" s="18" t="n">
        <v>3.56351485</v>
      </c>
      <c r="L30" s="20" t="n">
        <v>1.01490982</v>
      </c>
      <c r="M30" s="18" t="n">
        <v>0</v>
      </c>
      <c r="N30" s="20" t="n">
        <v>0</v>
      </c>
      <c r="O30" s="18" t="n">
        <v>0</v>
      </c>
      <c r="P30" s="20" t="n">
        <v>0</v>
      </c>
      <c r="Q30" s="18" t="n">
        <v>19.2252312</v>
      </c>
      <c r="R30" s="20" t="n">
        <v>2.40828938</v>
      </c>
    </row>
    <row r="31" spans="1:18">
      <c r="A31" s="15" t="s">
        <v>589</v>
      </c>
      <c r="B31" s="17" t="n">
        <v>2706</v>
      </c>
      <c r="C31" s="18">
        <f>(2407.0/B31*100)</f>
        <v/>
      </c>
      <c r="D31" s="19" t="n">
        <v>299</v>
      </c>
      <c r="E31" s="18" t="n">
        <v>23.14227952</v>
      </c>
      <c r="F31" s="20" t="n">
        <v>2.24199244</v>
      </c>
      <c r="G31" s="18" t="n">
        <v>48.06571141</v>
      </c>
      <c r="H31" s="20" t="n">
        <v>3.08260841</v>
      </c>
      <c r="I31" s="18" t="n">
        <v>0</v>
      </c>
      <c r="J31" s="20" t="n">
        <v>0</v>
      </c>
      <c r="K31" s="18" t="n">
        <v>3.35484978</v>
      </c>
      <c r="L31" s="20" t="n">
        <v>1.05785458</v>
      </c>
      <c r="M31" s="18" t="n">
        <v>0</v>
      </c>
      <c r="N31" s="20" t="n">
        <v>0</v>
      </c>
      <c r="O31" s="18" t="n">
        <v>0</v>
      </c>
      <c r="P31" s="20" t="n">
        <v>0</v>
      </c>
      <c r="Q31" s="18" t="n">
        <v>25.43715928</v>
      </c>
      <c r="R31" s="20" t="n">
        <v>2.96457017</v>
      </c>
    </row>
    <row r="32" spans="1:18">
      <c r="A32" s="15" t="s">
        <v>590</v>
      </c>
      <c r="B32" s="17" t="n">
        <v>2209</v>
      </c>
      <c r="C32" s="18">
        <f>(1971.0/B32*100)</f>
        <v/>
      </c>
      <c r="D32" s="19" t="n">
        <v>238</v>
      </c>
      <c r="E32" s="18" t="n">
        <v>21.924723</v>
      </c>
      <c r="F32" s="20" t="n">
        <v>2.62371755</v>
      </c>
      <c r="G32" s="18" t="n">
        <v>62.34257721</v>
      </c>
      <c r="H32" s="20" t="n">
        <v>3.13980619</v>
      </c>
      <c r="I32" s="18" t="n">
        <v>0</v>
      </c>
      <c r="J32" s="20" t="n">
        <v>0</v>
      </c>
      <c r="K32" s="18" t="n">
        <v>2.87234936</v>
      </c>
      <c r="L32" s="20" t="n">
        <v>1.07924729</v>
      </c>
      <c r="M32" s="18" t="n">
        <v>0</v>
      </c>
      <c r="N32" s="20" t="n">
        <v>0</v>
      </c>
      <c r="O32" s="18" t="n">
        <v>0</v>
      </c>
      <c r="P32" s="20" t="n">
        <v>0</v>
      </c>
      <c r="Q32" s="18" t="n">
        <v>12.86035043</v>
      </c>
      <c r="R32" s="20" t="n">
        <v>2.13623954</v>
      </c>
    </row>
    <row r="33" spans="1:18">
      <c r="A33" s="15" t="s">
        <v>591</v>
      </c>
      <c r="B33" s="17" t="n">
        <v>3651</v>
      </c>
      <c r="C33" s="18">
        <f>(3265.0/B33*100)</f>
        <v/>
      </c>
      <c r="D33" s="19" t="n">
        <v>386</v>
      </c>
      <c r="E33" s="18" t="n">
        <v>38.15439249</v>
      </c>
      <c r="F33" s="20" t="n">
        <v>3.07413009</v>
      </c>
      <c r="G33" s="18" t="n">
        <v>43.20528546</v>
      </c>
      <c r="H33" s="20" t="n">
        <v>3.59236572</v>
      </c>
      <c r="I33" s="18" t="n">
        <v>0</v>
      </c>
      <c r="J33" s="20" t="n">
        <v>0</v>
      </c>
      <c r="K33" s="18" t="n">
        <v>0.56312081</v>
      </c>
      <c r="L33" s="20" t="n">
        <v>0.42689609</v>
      </c>
      <c r="M33" s="18" t="n">
        <v>0</v>
      </c>
      <c r="N33" s="20" t="n">
        <v>0</v>
      </c>
      <c r="O33" s="18" t="n">
        <v>0</v>
      </c>
      <c r="P33" s="20" t="n">
        <v>0</v>
      </c>
      <c r="Q33" s="18" t="n">
        <v>18.07720124</v>
      </c>
      <c r="R33" s="20" t="n">
        <v>2.3961469</v>
      </c>
    </row>
    <row r="34" spans="1:18">
      <c r="A34" s="15" t="s">
        <v>592</v>
      </c>
      <c r="B34" s="17" t="n">
        <v>3035</v>
      </c>
      <c r="C34" s="18">
        <f>(2690.0/B34*100)</f>
        <v/>
      </c>
      <c r="D34" s="19" t="n">
        <v>345</v>
      </c>
      <c r="E34" s="18" t="n">
        <v>43.22253787</v>
      </c>
      <c r="F34" s="20" t="n">
        <v>2.5031781</v>
      </c>
      <c r="G34" s="18" t="n">
        <v>33.64559909</v>
      </c>
      <c r="H34" s="20" t="n">
        <v>2.44370768</v>
      </c>
      <c r="I34" s="18" t="n">
        <v>0</v>
      </c>
      <c r="J34" s="20" t="n">
        <v>0</v>
      </c>
      <c r="K34" s="18" t="n">
        <v>1.74128577</v>
      </c>
      <c r="L34" s="20" t="n">
        <v>0.75364194</v>
      </c>
      <c r="M34" s="18" t="n">
        <v>0.55836496</v>
      </c>
      <c r="N34" s="20" t="n">
        <v>0.39113854</v>
      </c>
      <c r="O34" s="18" t="n">
        <v>0</v>
      </c>
      <c r="P34" s="20" t="n">
        <v>0</v>
      </c>
      <c r="Q34" s="18" t="n">
        <v>20.83221232</v>
      </c>
      <c r="R34" s="20" t="n">
        <v>2.13632696</v>
      </c>
    </row>
    <row r="35" spans="1:18">
      <c r="A35" s="15" t="s">
        <v>593</v>
      </c>
      <c r="B35" s="17" t="n">
        <v>2901</v>
      </c>
      <c r="C35" s="18">
        <f>(2574.0/B35*100)</f>
        <v/>
      </c>
      <c r="D35" s="19" t="n">
        <v>327</v>
      </c>
      <c r="E35" s="18" t="n">
        <v>30.232811</v>
      </c>
      <c r="F35" s="20" t="n">
        <v>2.92142063</v>
      </c>
      <c r="G35" s="18" t="n">
        <v>63.82381174</v>
      </c>
      <c r="H35" s="20" t="n">
        <v>3.26715714</v>
      </c>
      <c r="I35" s="18" t="n">
        <v>0</v>
      </c>
      <c r="J35" s="20" t="n">
        <v>0</v>
      </c>
      <c r="K35" s="18" t="n">
        <v>0.97395882</v>
      </c>
      <c r="L35" s="20" t="n">
        <v>0.32734316</v>
      </c>
      <c r="M35" s="18" t="n">
        <v>0</v>
      </c>
      <c r="N35" s="20" t="n">
        <v>0</v>
      </c>
      <c r="O35" s="18" t="n">
        <v>0</v>
      </c>
      <c r="P35" s="20" t="n">
        <v>0</v>
      </c>
      <c r="Q35" s="18" t="n">
        <v>4.96941844</v>
      </c>
      <c r="R35" s="20" t="n">
        <v>1.03482803</v>
      </c>
    </row>
    <row r="36" spans="1:18">
      <c r="A36" s="15" t="s">
        <v>594</v>
      </c>
      <c r="B36" s="17" t="n">
        <v>3404</v>
      </c>
      <c r="C36" s="18">
        <f>(3008.0/B36*100)</f>
        <v/>
      </c>
      <c r="D36" s="19" t="n">
        <v>396</v>
      </c>
      <c r="E36" s="18" t="n">
        <v>34.94973164</v>
      </c>
      <c r="F36" s="20" t="n">
        <v>2.77115766</v>
      </c>
      <c r="G36" s="18" t="n">
        <v>49.64447364</v>
      </c>
      <c r="H36" s="20" t="n">
        <v>2.70221535</v>
      </c>
      <c r="I36" s="18" t="n">
        <v>0</v>
      </c>
      <c r="J36" s="20" t="n">
        <v>0</v>
      </c>
      <c r="K36" s="18" t="n">
        <v>1.51774238</v>
      </c>
      <c r="L36" s="20" t="n">
        <v>0.57294229</v>
      </c>
      <c r="M36" s="18" t="n">
        <v>0.24232389</v>
      </c>
      <c r="N36" s="20" t="n">
        <v>0.24012686</v>
      </c>
      <c r="O36" s="18" t="n">
        <v>0</v>
      </c>
      <c r="P36" s="20" t="n">
        <v>0</v>
      </c>
      <c r="Q36" s="18" t="n">
        <v>13.64572846</v>
      </c>
      <c r="R36" s="20" t="n">
        <v>1.88687619</v>
      </c>
    </row>
    <row r="37" spans="1:18">
      <c r="A37" s="15" t="s">
        <v>595</v>
      </c>
      <c r="B37" s="17" t="n">
        <v>2731</v>
      </c>
      <c r="C37" s="18">
        <f>(2440.0/B37*100)</f>
        <v/>
      </c>
      <c r="D37" s="19" t="n">
        <v>291</v>
      </c>
      <c r="E37" s="18" t="n">
        <v>17.50582158</v>
      </c>
      <c r="F37" s="20" t="n">
        <v>2.12248939</v>
      </c>
      <c r="G37" s="18" t="n">
        <v>54.25056244</v>
      </c>
      <c r="H37" s="20" t="n">
        <v>2.9799825</v>
      </c>
      <c r="I37" s="18" t="n">
        <v>0</v>
      </c>
      <c r="J37" s="20" t="n">
        <v>0</v>
      </c>
      <c r="K37" s="18" t="n">
        <v>5.37653418</v>
      </c>
      <c r="L37" s="20" t="n">
        <v>1.37750485</v>
      </c>
      <c r="M37" s="18" t="n">
        <v>0</v>
      </c>
      <c r="N37" s="20" t="n">
        <v>0</v>
      </c>
      <c r="O37" s="18" t="n">
        <v>0</v>
      </c>
      <c r="P37" s="20" t="n">
        <v>0</v>
      </c>
      <c r="Q37" s="18" t="n">
        <v>22.8670818</v>
      </c>
      <c r="R37" s="20" t="n">
        <v>2.83761737</v>
      </c>
    </row>
    <row r="38" spans="1:18">
      <c r="A38" s="15" t="s">
        <v>596</v>
      </c>
      <c r="B38" s="17" t="n">
        <v>2807</v>
      </c>
      <c r="C38" s="18">
        <f>(2500.0/B38*100)</f>
        <v/>
      </c>
      <c r="D38" s="19" t="n">
        <v>307</v>
      </c>
      <c r="E38" s="18" t="n">
        <v>23.93613287</v>
      </c>
      <c r="F38" s="20" t="n">
        <v>2.76505986</v>
      </c>
      <c r="G38" s="18" t="n">
        <v>52.84157891</v>
      </c>
      <c r="H38" s="20" t="n">
        <v>3.43314311</v>
      </c>
      <c r="I38" s="18" t="n">
        <v>0</v>
      </c>
      <c r="J38" s="20" t="n">
        <v>0</v>
      </c>
      <c r="K38" s="18" t="n">
        <v>1.42572438</v>
      </c>
      <c r="L38" s="20" t="n">
        <v>0.8206883</v>
      </c>
      <c r="M38" s="18" t="n">
        <v>5.72076074</v>
      </c>
      <c r="N38" s="20" t="n">
        <v>1.34100251</v>
      </c>
      <c r="O38" s="18" t="n">
        <v>0</v>
      </c>
      <c r="P38" s="20" t="n">
        <v>0</v>
      </c>
      <c r="Q38" s="18" t="n">
        <v>16.0758031</v>
      </c>
      <c r="R38" s="20" t="n">
        <v>2.51653981</v>
      </c>
    </row>
    <row r="39" spans="1:18">
      <c r="A39" s="15" t="s">
        <v>597</v>
      </c>
      <c r="B39" s="17" t="n">
        <v>2938</v>
      </c>
      <c r="C39" s="18">
        <f>(2633.0/B39*100)</f>
        <v/>
      </c>
      <c r="D39" s="19" t="n">
        <v>305</v>
      </c>
      <c r="E39" s="18" t="n">
        <v>54.07349168</v>
      </c>
      <c r="F39" s="20" t="n">
        <v>2.7788156</v>
      </c>
      <c r="G39" s="18" t="n">
        <v>32.68212141</v>
      </c>
      <c r="H39" s="20" t="n">
        <v>2.64067141</v>
      </c>
      <c r="I39" s="18" t="n">
        <v>0</v>
      </c>
      <c r="J39" s="20" t="n">
        <v>0</v>
      </c>
      <c r="K39" s="18" t="n">
        <v>2.34974026</v>
      </c>
      <c r="L39" s="20" t="n">
        <v>0.5590011</v>
      </c>
      <c r="M39" s="18" t="n">
        <v>0</v>
      </c>
      <c r="N39" s="20" t="n">
        <v>0</v>
      </c>
      <c r="O39" s="18" t="n">
        <v>0</v>
      </c>
      <c r="P39" s="20" t="n">
        <v>0</v>
      </c>
      <c r="Q39" s="18" t="n">
        <v>10.89464665</v>
      </c>
      <c r="R39" s="20" t="n">
        <v>1.67364165</v>
      </c>
    </row>
    <row r="40" spans="1:18">
      <c r="A40" s="15" t="s">
        <v>598</v>
      </c>
      <c r="B40" s="17" t="n">
        <v>6922</v>
      </c>
      <c r="C40" s="18">
        <f>(6133.0/B40*100)</f>
        <v/>
      </c>
      <c r="D40" s="19" t="n">
        <v>789</v>
      </c>
      <c r="E40" s="18" t="n">
        <v>28.83841789</v>
      </c>
      <c r="F40" s="20" t="n">
        <v>2.21150071</v>
      </c>
      <c r="G40" s="18" t="n">
        <v>55.57815167</v>
      </c>
      <c r="H40" s="20" t="n">
        <v>2.73701062</v>
      </c>
      <c r="I40" s="18" t="n">
        <v>0</v>
      </c>
      <c r="J40" s="20" t="n">
        <v>0</v>
      </c>
      <c r="K40" s="18" t="n">
        <v>2.21381754</v>
      </c>
      <c r="L40" s="20" t="n">
        <v>0.74376569</v>
      </c>
      <c r="M40" s="18" t="n">
        <v>0.44093926</v>
      </c>
      <c r="N40" s="20" t="n">
        <v>0.43997721</v>
      </c>
      <c r="O40" s="18" t="n">
        <v>0</v>
      </c>
      <c r="P40" s="20" t="n">
        <v>0</v>
      </c>
      <c r="Q40" s="18" t="n">
        <v>12.92867364</v>
      </c>
      <c r="R40" s="20" t="n">
        <v>2.0456133</v>
      </c>
    </row>
    <row r="41" spans="1:18">
      <c r="A41" s="15" t="s">
        <v>599</v>
      </c>
      <c r="B41" s="17" t="n">
        <v>2854</v>
      </c>
      <c r="C41" s="18">
        <f>(2557.0/B41*100)</f>
        <v/>
      </c>
      <c r="D41" s="19" t="n">
        <v>297</v>
      </c>
      <c r="E41" s="18" t="n">
        <v>58.79399343</v>
      </c>
      <c r="F41" s="20" t="n">
        <v>3.27842099</v>
      </c>
      <c r="G41" s="18" t="n">
        <v>33.07099315</v>
      </c>
      <c r="H41" s="20" t="n">
        <v>3.12885704</v>
      </c>
      <c r="I41" s="18" t="n">
        <v>0</v>
      </c>
      <c r="J41" s="20" t="n">
        <v>0</v>
      </c>
      <c r="K41" s="18" t="n">
        <v>0.65373156</v>
      </c>
      <c r="L41" s="20" t="n">
        <v>0.46608221</v>
      </c>
      <c r="M41" s="18" t="n">
        <v>0</v>
      </c>
      <c r="N41" s="20" t="n">
        <v>0</v>
      </c>
      <c r="O41" s="18" t="n">
        <v>0</v>
      </c>
      <c r="P41" s="20" t="n">
        <v>0</v>
      </c>
      <c r="Q41" s="18" t="n">
        <v>7.48128186</v>
      </c>
      <c r="R41" s="20" t="n">
        <v>1.66380105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(11091.0/B46*100)</f>
        <v/>
      </c>
      <c r="D46" s="19" t="n">
        <v>982</v>
      </c>
      <c r="E46" s="18" t="n">
        <v>53.51494385</v>
      </c>
      <c r="F46" s="20" t="n">
        <v>1.95839249</v>
      </c>
      <c r="G46" s="18" t="n">
        <v>16.73831961</v>
      </c>
      <c r="H46" s="20" t="n">
        <v>1.86340955</v>
      </c>
      <c r="I46" s="18" t="n">
        <v>0</v>
      </c>
      <c r="J46" s="20" t="n">
        <v>0</v>
      </c>
      <c r="K46" s="18" t="n">
        <v>8.59092573</v>
      </c>
      <c r="L46" s="20" t="n">
        <v>1.1200303</v>
      </c>
      <c r="M46" s="18" t="n">
        <v>0.19898824</v>
      </c>
      <c r="N46" s="20" t="n">
        <v>0.19024263</v>
      </c>
      <c r="O46" s="18" t="n">
        <v>0</v>
      </c>
      <c r="P46" s="20" t="n">
        <v>0</v>
      </c>
      <c r="Q46" s="18" t="n">
        <v>20.95682257</v>
      </c>
      <c r="R46" s="20" t="n">
        <v>1.5453459</v>
      </c>
    </row>
    <row r="47" spans="1:18">
      <c r="A47" s="15" t="s">
        <v>606</v>
      </c>
      <c r="B47" s="17" t="n">
        <v>2823</v>
      </c>
      <c r="C47" s="18">
        <f>(2519.0/B47*100)</f>
        <v/>
      </c>
      <c r="D47" s="19" t="n">
        <v>304</v>
      </c>
      <c r="E47" s="18" t="n">
        <v>31.02536713</v>
      </c>
      <c r="F47" s="20" t="n">
        <v>3.03226189</v>
      </c>
      <c r="G47" s="18" t="n">
        <v>38.01549138</v>
      </c>
      <c r="H47" s="20" t="n">
        <v>3.20254228</v>
      </c>
      <c r="I47" s="18" t="n">
        <v>0</v>
      </c>
      <c r="J47" s="20" t="n">
        <v>0</v>
      </c>
      <c r="K47" s="18" t="n">
        <v>5.17968758</v>
      </c>
      <c r="L47" s="20" t="n">
        <v>1.36635242</v>
      </c>
      <c r="M47" s="18" t="n">
        <v>0.33210689</v>
      </c>
      <c r="N47" s="20" t="n">
        <v>0.31964882</v>
      </c>
      <c r="O47" s="18" t="n">
        <v>0</v>
      </c>
      <c r="P47" s="20" t="n">
        <v>0</v>
      </c>
      <c r="Q47" s="18" t="n">
        <v>25.44734702</v>
      </c>
      <c r="R47" s="20" t="n">
        <v>3.25881501</v>
      </c>
    </row>
    <row r="48" spans="1:18">
      <c r="A48" s="15" t="s">
        <v>607</v>
      </c>
      <c r="B48" s="17" t="n">
        <v>4682</v>
      </c>
      <c r="C48" s="18">
        <f>(4156.0/B48*100)</f>
        <v/>
      </c>
      <c r="D48" s="19" t="n">
        <v>526</v>
      </c>
      <c r="E48" s="18" t="n">
        <v>41.95668419</v>
      </c>
      <c r="F48" s="20" t="n">
        <v>2.92835848</v>
      </c>
      <c r="G48" s="18" t="n">
        <v>46.51057153</v>
      </c>
      <c r="H48" s="20" t="n">
        <v>3.32849047</v>
      </c>
      <c r="I48" s="18" t="n">
        <v>0</v>
      </c>
      <c r="J48" s="20" t="n">
        <v>0</v>
      </c>
      <c r="K48" s="18" t="n">
        <v>3.16745874</v>
      </c>
      <c r="L48" s="20" t="n">
        <v>1.02558458</v>
      </c>
      <c r="M48" s="18" t="n">
        <v>0</v>
      </c>
      <c r="N48" s="20" t="n">
        <v>0</v>
      </c>
      <c r="O48" s="18" t="n">
        <v>0</v>
      </c>
      <c r="P48" s="20" t="n">
        <v>0</v>
      </c>
      <c r="Q48" s="18" t="n">
        <v>8.36528554</v>
      </c>
      <c r="R48" s="20" t="n">
        <v>1.79052233</v>
      </c>
    </row>
    <row r="49" spans="1:18">
      <c r="A49" s="15" t="s">
        <v>608</v>
      </c>
      <c r="B49" s="17" t="n">
        <v>6158</v>
      </c>
      <c r="C49" s="18">
        <f>(5512.0/B49*100)</f>
        <v/>
      </c>
      <c r="D49" s="19" t="n">
        <v>646</v>
      </c>
      <c r="E49" s="18" t="n">
        <v>70.89449485999999</v>
      </c>
      <c r="F49" s="20" t="n">
        <v>2.18343928</v>
      </c>
      <c r="G49" s="18" t="n">
        <v>13.15981723</v>
      </c>
      <c r="H49" s="20" t="n">
        <v>1.30609157</v>
      </c>
      <c r="I49" s="18" t="n">
        <v>0</v>
      </c>
      <c r="J49" s="20" t="n">
        <v>0</v>
      </c>
      <c r="K49" s="18" t="n">
        <v>6.43083777</v>
      </c>
      <c r="L49" s="20" t="n">
        <v>1.57796022</v>
      </c>
      <c r="M49" s="18" t="n">
        <v>0.00835986</v>
      </c>
      <c r="N49" s="20" t="n">
        <v>0.00842555</v>
      </c>
      <c r="O49" s="18" t="n">
        <v>0</v>
      </c>
      <c r="P49" s="20" t="n">
        <v>0</v>
      </c>
      <c r="Q49" s="18" t="n">
        <v>9.50649027</v>
      </c>
      <c r="R49" s="20" t="n">
        <v>1.50812328</v>
      </c>
    </row>
    <row r="50" spans="1:18">
      <c r="A50" s="15" t="s">
        <v>609</v>
      </c>
      <c r="B50" s="17" t="n">
        <v>3494</v>
      </c>
      <c r="C50" s="18">
        <f>(3157.0/B50*100)</f>
        <v/>
      </c>
      <c r="D50" s="19" t="n">
        <v>337</v>
      </c>
      <c r="E50" s="18" t="n">
        <v>51.75197867</v>
      </c>
      <c r="F50" s="20" t="n">
        <v>2.775184</v>
      </c>
      <c r="G50" s="18" t="n">
        <v>31.25669106</v>
      </c>
      <c r="H50" s="20" t="n">
        <v>2.48799645</v>
      </c>
      <c r="I50" s="18" t="n">
        <v>0</v>
      </c>
      <c r="J50" s="20" t="n">
        <v>0</v>
      </c>
      <c r="K50" s="18" t="n">
        <v>2.92252132</v>
      </c>
      <c r="L50" s="20" t="n">
        <v>1.0091461</v>
      </c>
      <c r="M50" s="18" t="n">
        <v>0.35895354</v>
      </c>
      <c r="N50" s="20" t="n">
        <v>0.33626295</v>
      </c>
      <c r="O50" s="18" t="n">
        <v>0</v>
      </c>
      <c r="P50" s="20" t="n">
        <v>0</v>
      </c>
      <c r="Q50" s="18" t="n">
        <v>13.7098554</v>
      </c>
      <c r="R50" s="20" t="n">
        <v>1.80002026</v>
      </c>
    </row>
    <row r="51" spans="1:18">
      <c r="A51" s="15" t="s">
        <v>610</v>
      </c>
      <c r="B51" s="17" t="n">
        <v>3013</v>
      </c>
      <c r="C51" s="18">
        <f>(2694.0/B51*100)</f>
        <v/>
      </c>
      <c r="D51" s="19" t="n">
        <v>319</v>
      </c>
      <c r="E51" s="18" t="n">
        <v>38.31721033</v>
      </c>
      <c r="F51" s="20" t="n">
        <v>2.96545847</v>
      </c>
      <c r="G51" s="18" t="n">
        <v>35.28673457</v>
      </c>
      <c r="H51" s="20" t="n">
        <v>2.67781155</v>
      </c>
      <c r="I51" s="18" t="n">
        <v>0</v>
      </c>
      <c r="J51" s="20" t="n">
        <v>0</v>
      </c>
      <c r="K51" s="18" t="n">
        <v>3.17871431</v>
      </c>
      <c r="L51" s="20" t="n">
        <v>1.04526533</v>
      </c>
      <c r="M51" s="18" t="n">
        <v>0</v>
      </c>
      <c r="N51" s="20" t="n">
        <v>0</v>
      </c>
      <c r="O51" s="18" t="n">
        <v>0</v>
      </c>
      <c r="P51" s="20" t="n">
        <v>0</v>
      </c>
      <c r="Q51" s="18" t="n">
        <v>23.2173408</v>
      </c>
      <c r="R51" s="20" t="n">
        <v>2.29255336</v>
      </c>
    </row>
    <row r="52" spans="1:18">
      <c r="A52" s="15" t="s">
        <v>611</v>
      </c>
      <c r="B52" s="17" t="n">
        <v>2760</v>
      </c>
      <c r="C52" s="18">
        <f>(2464.0/B52*100)</f>
        <v/>
      </c>
      <c r="D52" s="19" t="n">
        <v>296</v>
      </c>
      <c r="E52" s="18" t="n">
        <v>42.62813074</v>
      </c>
      <c r="F52" s="20" t="n">
        <v>2.66643743</v>
      </c>
      <c r="G52" s="18" t="n">
        <v>21.28970979</v>
      </c>
      <c r="H52" s="20" t="n">
        <v>2.28247939</v>
      </c>
      <c r="I52" s="18" t="n">
        <v>0</v>
      </c>
      <c r="J52" s="20" t="n">
        <v>0</v>
      </c>
      <c r="K52" s="18" t="n">
        <v>3.98318654</v>
      </c>
      <c r="L52" s="20" t="n">
        <v>1.00719441</v>
      </c>
      <c r="M52" s="18" t="n">
        <v>0</v>
      </c>
      <c r="N52" s="20" t="n">
        <v>0</v>
      </c>
      <c r="O52" s="18" t="n">
        <v>0</v>
      </c>
      <c r="P52" s="20" t="n">
        <v>0</v>
      </c>
      <c r="Q52" s="18" t="n">
        <v>32.09897294</v>
      </c>
      <c r="R52" s="20" t="n">
        <v>2.60753687</v>
      </c>
    </row>
    <row r="53" spans="1:18">
      <c r="A53" s="15" t="s">
        <v>612</v>
      </c>
      <c r="B53" s="17" t="n">
        <v>2474</v>
      </c>
      <c r="C53" s="18">
        <f>(2198.0/B53*100)</f>
        <v/>
      </c>
      <c r="D53" s="19" t="n">
        <v>276</v>
      </c>
      <c r="E53" s="18" t="n">
        <v>51.52195192</v>
      </c>
      <c r="F53" s="20" t="n">
        <v>3.23432077</v>
      </c>
      <c r="G53" s="18" t="n">
        <v>4.45254232</v>
      </c>
      <c r="H53" s="20" t="n">
        <v>1.45293537</v>
      </c>
      <c r="I53" s="18" t="n">
        <v>0</v>
      </c>
      <c r="J53" s="20" t="n">
        <v>0</v>
      </c>
      <c r="K53" s="18" t="n">
        <v>29.03771435</v>
      </c>
      <c r="L53" s="20" t="n">
        <v>3.22850031</v>
      </c>
      <c r="M53" s="18" t="n">
        <v>0.79754787</v>
      </c>
      <c r="N53" s="20" t="n">
        <v>0.86143896</v>
      </c>
      <c r="O53" s="18" t="n">
        <v>0</v>
      </c>
      <c r="P53" s="20" t="n">
        <v>0</v>
      </c>
      <c r="Q53" s="18" t="n">
        <v>14.19024354</v>
      </c>
      <c r="R53" s="20" t="n">
        <v>1.99731722</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(2398.0/B55*100)</f>
        <v/>
      </c>
      <c r="D55" s="19" t="n">
        <v>277</v>
      </c>
      <c r="E55" s="18" t="n">
        <v>33.19859693</v>
      </c>
      <c r="F55" s="20" t="n">
        <v>2.803747</v>
      </c>
      <c r="G55" s="18" t="n">
        <v>60.45786311</v>
      </c>
      <c r="H55" s="20" t="n">
        <v>2.55795661</v>
      </c>
      <c r="I55" s="18" t="n">
        <v>0</v>
      </c>
      <c r="J55" s="20" t="n">
        <v>0</v>
      </c>
      <c r="K55" s="18" t="n">
        <v>0.34433009</v>
      </c>
      <c r="L55" s="20" t="n">
        <v>0.34635441</v>
      </c>
      <c r="M55" s="18" t="n">
        <v>0</v>
      </c>
      <c r="N55" s="20" t="n">
        <v>0</v>
      </c>
      <c r="O55" s="18" t="n">
        <v>0</v>
      </c>
      <c r="P55" s="20" t="n">
        <v>0</v>
      </c>
      <c r="Q55" s="18" t="n">
        <v>5.99920987</v>
      </c>
      <c r="R55" s="20" t="n">
        <v>1.464486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(2859.0/B61*100)</f>
        <v/>
      </c>
      <c r="D61" s="19" t="n">
        <v>342</v>
      </c>
      <c r="E61" s="18" t="n">
        <v>38.60044404</v>
      </c>
      <c r="F61" s="20" t="n">
        <v>2.84942088</v>
      </c>
      <c r="G61" s="18" t="n">
        <v>42.95777728</v>
      </c>
      <c r="H61" s="20" t="n">
        <v>3.10612439</v>
      </c>
      <c r="I61" s="18" t="n">
        <v>0</v>
      </c>
      <c r="J61" s="20" t="n">
        <v>0</v>
      </c>
      <c r="K61" s="18" t="n">
        <v>1.38845233</v>
      </c>
      <c r="L61" s="20" t="n">
        <v>0.90975606</v>
      </c>
      <c r="M61" s="18" t="n">
        <v>0</v>
      </c>
      <c r="N61" s="20" t="n">
        <v>0</v>
      </c>
      <c r="O61" s="18" t="n">
        <v>0</v>
      </c>
      <c r="P61" s="20" t="n">
        <v>0</v>
      </c>
      <c r="Q61" s="18" t="n">
        <v>17.05332635</v>
      </c>
      <c r="R61" s="20" t="n">
        <v>1.97140499</v>
      </c>
    </row>
    <row r="62" spans="1:18">
      <c r="A62" s="15" t="s">
        <v>622</v>
      </c>
      <c r="B62" s="17" t="n">
        <v>2230</v>
      </c>
      <c r="C62" s="18">
        <f>(1973.0/B62*100)</f>
        <v/>
      </c>
      <c r="D62" s="19" t="n">
        <v>257</v>
      </c>
      <c r="E62" s="18" t="n">
        <v>31.93910227</v>
      </c>
      <c r="F62" s="20" t="n">
        <v>3.18902912</v>
      </c>
      <c r="G62" s="18" t="n">
        <v>65.32573379</v>
      </c>
      <c r="H62" s="20" t="n">
        <v>3.38839975</v>
      </c>
      <c r="I62" s="18" t="n">
        <v>0</v>
      </c>
      <c r="J62" s="20" t="n">
        <v>0</v>
      </c>
      <c r="K62" s="18" t="n">
        <v>0</v>
      </c>
      <c r="L62" s="20" t="n">
        <v>0</v>
      </c>
      <c r="M62" s="18" t="n">
        <v>0</v>
      </c>
      <c r="N62" s="20" t="n">
        <v>0</v>
      </c>
      <c r="O62" s="18" t="n">
        <v>0</v>
      </c>
      <c r="P62" s="20" t="n">
        <v>0</v>
      </c>
      <c r="Q62" s="18" t="n">
        <v>2.73516394</v>
      </c>
      <c r="R62" s="20" t="n">
        <v>1.02970056</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(2480.0/B67*100)</f>
        <v/>
      </c>
      <c r="D67" s="19" t="n">
        <v>291</v>
      </c>
      <c r="E67" s="18" t="n">
        <v>36.57994419</v>
      </c>
      <c r="F67" s="20" t="n">
        <v>3.38725466</v>
      </c>
      <c r="G67" s="18" t="n">
        <v>16.01823102</v>
      </c>
      <c r="H67" s="20" t="n">
        <v>2.37179041</v>
      </c>
      <c r="I67" s="18" t="n">
        <v>0</v>
      </c>
      <c r="J67" s="20" t="n">
        <v>0</v>
      </c>
      <c r="K67" s="18" t="n">
        <v>12.35093135</v>
      </c>
      <c r="L67" s="20" t="n">
        <v>1.77568424</v>
      </c>
      <c r="M67" s="18" t="n">
        <v>0.37229318</v>
      </c>
      <c r="N67" s="20" t="n">
        <v>0.37111241</v>
      </c>
      <c r="O67" s="18" t="n">
        <v>0</v>
      </c>
      <c r="P67" s="20" t="n">
        <v>0</v>
      </c>
      <c r="Q67" s="18" t="n">
        <v>34.67860026</v>
      </c>
      <c r="R67" s="20" t="n">
        <v>2.79610032</v>
      </c>
    </row>
    <row r="68" spans="1:18">
      <c r="A68" s="15" t="s">
        <v>628</v>
      </c>
      <c r="B68" s="17" t="n">
        <v>3460</v>
      </c>
      <c r="C68" s="18">
        <f>(3128.0/B68*100)</f>
        <v/>
      </c>
      <c r="D68" s="19" t="n">
        <v>332</v>
      </c>
      <c r="E68" s="18" t="n">
        <v>63.41685092</v>
      </c>
      <c r="F68" s="20" t="n">
        <v>2.72613404</v>
      </c>
      <c r="G68" s="18" t="n">
        <v>13.80059841</v>
      </c>
      <c r="H68" s="20" t="n">
        <v>2.22769787</v>
      </c>
      <c r="I68" s="18" t="n">
        <v>0</v>
      </c>
      <c r="J68" s="20" t="n">
        <v>0</v>
      </c>
      <c r="K68" s="18" t="n">
        <v>5.23901394</v>
      </c>
      <c r="L68" s="20" t="n">
        <v>1.42375785</v>
      </c>
      <c r="M68" s="18" t="n">
        <v>0.58362873</v>
      </c>
      <c r="N68" s="20" t="n">
        <v>0.41497333</v>
      </c>
      <c r="O68" s="18" t="n">
        <v>0</v>
      </c>
      <c r="P68" s="20" t="n">
        <v>0</v>
      </c>
      <c r="Q68" s="18" t="n">
        <v>16.959908</v>
      </c>
      <c r="R68" s="20" t="n">
        <v>2.25306852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(5342.0/B70*100)</f>
        <v/>
      </c>
      <c r="D70" s="19" t="n">
        <v>692</v>
      </c>
      <c r="E70" s="18" t="n">
        <v>52.51391243</v>
      </c>
      <c r="F70" s="20" t="n">
        <v>2.22691797</v>
      </c>
      <c r="G70" s="18" t="n">
        <v>24.41475904</v>
      </c>
      <c r="H70" s="20" t="n">
        <v>1.74943064</v>
      </c>
      <c r="I70" s="18" t="n">
        <v>0</v>
      </c>
      <c r="J70" s="20" t="n">
        <v>0</v>
      </c>
      <c r="K70" s="18" t="n">
        <v>6.67487171</v>
      </c>
      <c r="L70" s="20" t="n">
        <v>1.05366683</v>
      </c>
      <c r="M70" s="18" t="n">
        <v>0</v>
      </c>
      <c r="N70" s="20" t="n">
        <v>0</v>
      </c>
      <c r="O70" s="18" t="n">
        <v>0</v>
      </c>
      <c r="P70" s="20" t="n">
        <v>0</v>
      </c>
      <c r="Q70" s="18" t="n">
        <v>16.39645682</v>
      </c>
      <c r="R70" s="20" t="n">
        <v>1.5283627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(2788.0/B72*100)</f>
        <v/>
      </c>
      <c r="D72" s="19" t="n">
        <v>319</v>
      </c>
      <c r="E72" s="18" t="n">
        <v>43.55518716</v>
      </c>
      <c r="F72" s="20" t="n">
        <v>3.28244553</v>
      </c>
      <c r="G72" s="18" t="n">
        <v>41.11082144</v>
      </c>
      <c r="H72" s="20" t="n">
        <v>3.39555171</v>
      </c>
      <c r="I72" s="18" t="n">
        <v>0</v>
      </c>
      <c r="J72" s="20" t="n">
        <v>0</v>
      </c>
      <c r="K72" s="18" t="n">
        <v>2.03516832</v>
      </c>
      <c r="L72" s="20" t="n">
        <v>0.90716469</v>
      </c>
      <c r="M72" s="18" t="n">
        <v>0</v>
      </c>
      <c r="N72" s="20" t="n">
        <v>0</v>
      </c>
      <c r="O72" s="18" t="n">
        <v>0</v>
      </c>
      <c r="P72" s="20" t="n">
        <v>0</v>
      </c>
      <c r="Q72" s="18" t="n">
        <v>13.29882308</v>
      </c>
      <c r="R72" s="20" t="n">
        <v>2.07109104</v>
      </c>
    </row>
    <row r="73" spans="1:18">
      <c r="A73" s="15" t="s">
        <v>633</v>
      </c>
      <c r="B73" s="17" t="n">
        <v>2973</v>
      </c>
      <c r="C73" s="18">
        <f>(2647.0/B73*100)</f>
        <v/>
      </c>
      <c r="D73" s="19" t="n">
        <v>326</v>
      </c>
      <c r="E73" s="18" t="n">
        <v>25.251121</v>
      </c>
      <c r="F73" s="20" t="n">
        <v>2.55624158</v>
      </c>
      <c r="G73" s="18" t="n">
        <v>69.25177873</v>
      </c>
      <c r="H73" s="20" t="n">
        <v>2.75941247</v>
      </c>
      <c r="I73" s="18" t="n">
        <v>0</v>
      </c>
      <c r="J73" s="20" t="n">
        <v>0</v>
      </c>
      <c r="K73" s="18" t="n">
        <v>0.29310945</v>
      </c>
      <c r="L73" s="20" t="n">
        <v>0.29095932</v>
      </c>
      <c r="M73" s="18" t="n">
        <v>0.42776155</v>
      </c>
      <c r="N73" s="20" t="n">
        <v>0.43149614</v>
      </c>
      <c r="O73" s="18" t="n">
        <v>0</v>
      </c>
      <c r="P73" s="20" t="n">
        <v>0</v>
      </c>
      <c r="Q73" s="18" t="n">
        <v>4.77622927</v>
      </c>
      <c r="R73" s="20" t="n">
        <v>0.9033957</v>
      </c>
    </row>
    <row r="74" spans="1:18">
      <c r="A74" s="15" t="s">
        <v>634</v>
      </c>
      <c r="B74" s="17" t="n">
        <v>3819</v>
      </c>
      <c r="C74" s="18">
        <f>(3392.0/B74*100)</f>
        <v/>
      </c>
      <c r="D74" s="19" t="n">
        <v>427</v>
      </c>
      <c r="E74" s="18" t="n">
        <v>45.01192113</v>
      </c>
      <c r="F74" s="20" t="n">
        <v>2.59355887</v>
      </c>
      <c r="G74" s="18" t="n">
        <v>48.74817992</v>
      </c>
      <c r="H74" s="20" t="n">
        <v>2.59569229</v>
      </c>
      <c r="I74" s="18" t="n">
        <v>0</v>
      </c>
      <c r="J74" s="20" t="n">
        <v>0</v>
      </c>
      <c r="K74" s="18" t="n">
        <v>0.38410876</v>
      </c>
      <c r="L74" s="20" t="n">
        <v>0.28162225</v>
      </c>
      <c r="M74" s="18" t="n">
        <v>0</v>
      </c>
      <c r="N74" s="20" t="n">
        <v>0</v>
      </c>
      <c r="O74" s="18" t="n">
        <v>0</v>
      </c>
      <c r="P74" s="20" t="n">
        <v>0</v>
      </c>
      <c r="Q74" s="18" t="n">
        <v>5.8557902</v>
      </c>
      <c r="R74" s="20" t="n">
        <v>1.28721852</v>
      </c>
    </row>
    <row r="75" spans="1:18">
      <c r="A75" s="15" t="s">
        <v>635</v>
      </c>
      <c r="B75" s="17" t="n">
        <v>4652</v>
      </c>
      <c r="C75" s="18">
        <f>(4173.0/B75*100)</f>
        <v/>
      </c>
      <c r="D75" s="19" t="n">
        <v>479</v>
      </c>
      <c r="E75" s="18" t="n">
        <v>71.63103621</v>
      </c>
      <c r="F75" s="20" t="n">
        <v>2.50168485</v>
      </c>
      <c r="G75" s="18" t="n">
        <v>24.19402782</v>
      </c>
      <c r="H75" s="20" t="n">
        <v>2.32278561</v>
      </c>
      <c r="I75" s="18" t="n">
        <v>0</v>
      </c>
      <c r="J75" s="20" t="n">
        <v>0</v>
      </c>
      <c r="K75" s="18" t="n">
        <v>0.62589694</v>
      </c>
      <c r="L75" s="20" t="n">
        <v>0.44516639</v>
      </c>
      <c r="M75" s="18" t="n">
        <v>0.01027227</v>
      </c>
      <c r="N75" s="20" t="n">
        <v>0.01023683</v>
      </c>
      <c r="O75" s="18" t="n">
        <v>0</v>
      </c>
      <c r="P75" s="20" t="n">
        <v>0</v>
      </c>
      <c r="Q75" s="18" t="n">
        <v>3.53876676</v>
      </c>
      <c r="R75" s="20" t="n">
        <v>0.92773614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(2673.0/B77*100)</f>
        <v/>
      </c>
      <c r="D77" s="19" t="n">
        <v>296</v>
      </c>
      <c r="E77" s="18" t="n">
        <v>51.72572709</v>
      </c>
      <c r="F77" s="20" t="n">
        <v>3.40331542</v>
      </c>
      <c r="G77" s="18" t="n">
        <v>12.4600235</v>
      </c>
      <c r="H77" s="20" t="n">
        <v>1.8240567</v>
      </c>
      <c r="I77" s="18" t="n">
        <v>0</v>
      </c>
      <c r="J77" s="20" t="n">
        <v>0</v>
      </c>
      <c r="K77" s="18" t="n">
        <v>12.48672632</v>
      </c>
      <c r="L77" s="20" t="n">
        <v>2.14553335</v>
      </c>
      <c r="M77" s="18" t="n">
        <v>0.30875443</v>
      </c>
      <c r="N77" s="20" t="n">
        <v>0.30906505</v>
      </c>
      <c r="O77" s="18" t="n">
        <v>0</v>
      </c>
      <c r="P77" s="20" t="n">
        <v>0</v>
      </c>
      <c r="Q77" s="18" t="n">
        <v>23.01876866</v>
      </c>
      <c r="R77" s="20" t="n">
        <v>2.36084518</v>
      </c>
    </row>
    <row r="78" spans="1:18">
      <c r="A78" s="15" t="s">
        <v>638</v>
      </c>
      <c r="B78" s="17" t="n">
        <v>7115</v>
      </c>
      <c r="C78" s="18">
        <f>(6351.0/B78*100)</f>
        <v/>
      </c>
      <c r="D78" s="19" t="n">
        <v>764</v>
      </c>
      <c r="E78" s="18" t="n">
        <v>65.01936354</v>
      </c>
      <c r="F78" s="20" t="n">
        <v>2.09356142</v>
      </c>
      <c r="G78" s="18" t="n">
        <v>25.95606078</v>
      </c>
      <c r="H78" s="20" t="n">
        <v>1.92737244</v>
      </c>
      <c r="I78" s="18" t="n">
        <v>0</v>
      </c>
      <c r="J78" s="20" t="n">
        <v>0</v>
      </c>
      <c r="K78" s="18" t="n">
        <v>1.54018787</v>
      </c>
      <c r="L78" s="20" t="n">
        <v>0.47405959</v>
      </c>
      <c r="M78" s="18" t="n">
        <v>0.19688694</v>
      </c>
      <c r="N78" s="20" t="n">
        <v>0.1423672</v>
      </c>
      <c r="O78" s="18" t="n">
        <v>0</v>
      </c>
      <c r="P78" s="20" t="n">
        <v>0</v>
      </c>
      <c r="Q78" s="18" t="n">
        <v>7.28750087</v>
      </c>
      <c r="R78" s="20" t="n">
        <v>1.16852266</v>
      </c>
    </row>
    <row r="79" spans="1:18">
      <c r="A79" s="15" t="s">
        <v>639</v>
      </c>
      <c r="B79" s="17" t="n">
        <v>3154</v>
      </c>
      <c r="C79" s="18">
        <f>(2832.0/B79*100)</f>
        <v/>
      </c>
      <c r="D79" s="19" t="n">
        <v>322</v>
      </c>
      <c r="E79" s="18" t="n">
        <v>40.3353278</v>
      </c>
      <c r="F79" s="20" t="n">
        <v>3.48947307</v>
      </c>
      <c r="G79" s="18" t="n">
        <v>23.30381834</v>
      </c>
      <c r="H79" s="20" t="n">
        <v>2.48382064</v>
      </c>
      <c r="I79" s="18" t="n">
        <v>0</v>
      </c>
      <c r="J79" s="20" t="n">
        <v>0</v>
      </c>
      <c r="K79" s="18" t="n">
        <v>12.03209121</v>
      </c>
      <c r="L79" s="20" t="n">
        <v>2.33577341</v>
      </c>
      <c r="M79" s="18" t="n">
        <v>0</v>
      </c>
      <c r="N79" s="20" t="n">
        <v>0</v>
      </c>
      <c r="O79" s="18" t="n">
        <v>0</v>
      </c>
      <c r="P79" s="20" t="n">
        <v>0</v>
      </c>
      <c r="Q79" s="18" t="n">
        <v>24.32876264</v>
      </c>
      <c r="R79" s="20" t="n">
        <v>2.80671967</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(14210.0/B82*100)</f>
        <v/>
      </c>
      <c r="D82" s="19" t="n">
        <v>1751</v>
      </c>
      <c r="E82" s="18" t="n">
        <v>33.5565771</v>
      </c>
      <c r="F82" s="20" t="n">
        <v>1.58207097</v>
      </c>
      <c r="G82" s="18" t="n">
        <v>51.38151713</v>
      </c>
      <c r="H82" s="20" t="n">
        <v>1.66773765</v>
      </c>
      <c r="I82" s="18" t="n">
        <v>0</v>
      </c>
      <c r="J82" s="20" t="n">
        <v>0</v>
      </c>
      <c r="K82" s="18" t="n">
        <v>1.87504377</v>
      </c>
      <c r="L82" s="20" t="n">
        <v>0.49376618</v>
      </c>
      <c r="M82" s="18" t="n">
        <v>0.18229269</v>
      </c>
      <c r="N82" s="20" t="n">
        <v>0.18106405</v>
      </c>
      <c r="O82" s="18" t="n">
        <v>0</v>
      </c>
      <c r="P82" s="20" t="n">
        <v>0</v>
      </c>
      <c r="Q82" s="18" t="n">
        <v>13.0045693</v>
      </c>
      <c r="R82" s="20" t="n">
        <v>1.3116776</v>
      </c>
    </row>
    <row r="83" spans="1:18">
      <c r="A83" s="15" t="s">
        <v>643</v>
      </c>
      <c r="B83" s="17" t="n">
        <v>808</v>
      </c>
      <c r="C83" s="18">
        <f>(713.0/B83*100)</f>
        <v/>
      </c>
      <c r="D83" s="19" t="n">
        <v>95</v>
      </c>
      <c r="E83" s="18" t="n">
        <v>41.13813834</v>
      </c>
      <c r="F83" s="20" t="n">
        <v>6.84318858</v>
      </c>
      <c r="G83" s="18" t="n">
        <v>51.07364098</v>
      </c>
      <c r="H83" s="20" t="n">
        <v>6.40732797</v>
      </c>
      <c r="I83" s="18" t="n">
        <v>0</v>
      </c>
      <c r="J83" s="20" t="n">
        <v>0</v>
      </c>
      <c r="K83" s="18" t="n">
        <v>1.83560076</v>
      </c>
      <c r="L83" s="20" t="n">
        <v>1.69397792</v>
      </c>
      <c r="M83" s="18" t="n">
        <v>0</v>
      </c>
      <c r="N83" s="20" t="n">
        <v>0</v>
      </c>
      <c r="O83" s="18" t="n">
        <v>0</v>
      </c>
      <c r="P83" s="20" t="n">
        <v>0</v>
      </c>
      <c r="Q83" s="18" t="n">
        <v>5.95261992</v>
      </c>
      <c r="R83" s="20" t="n">
        <v>1.7647078</v>
      </c>
    </row>
    <row r="84" spans="1:18">
      <c r="A84" s="23" t="s">
        <v>644</v>
      </c>
      <c r="B84" s="24" t="n">
        <v>938</v>
      </c>
      <c r="C84" s="25">
        <f>(834.0/B84*100)</f>
        <v/>
      </c>
      <c r="D84" s="19" t="n">
        <v>104</v>
      </c>
      <c r="E84" s="18" t="n">
        <v>48.79326139</v>
      </c>
      <c r="F84" s="20" t="n">
        <v>4.29649291</v>
      </c>
      <c r="G84" s="18" t="n">
        <v>43.04876643</v>
      </c>
      <c r="H84" s="20" t="n">
        <v>4.57472348</v>
      </c>
      <c r="I84" s="18" t="n">
        <v>0</v>
      </c>
      <c r="J84" s="20" t="n">
        <v>0</v>
      </c>
      <c r="K84" s="18" t="n">
        <v>3.28660928</v>
      </c>
      <c r="L84" s="20" t="n">
        <v>1.6988243</v>
      </c>
      <c r="M84" s="18" t="n">
        <v>0</v>
      </c>
      <c r="N84" s="20" t="n">
        <v>0</v>
      </c>
      <c r="O84" s="18" t="n">
        <v>0</v>
      </c>
      <c r="P84" s="20" t="n">
        <v>0</v>
      </c>
      <c r="Q84" s="18" t="n">
        <v>4.8713629</v>
      </c>
      <c r="R84" s="20" t="n">
        <v>2.15976007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(6401.0/B7*100)</f>
        <v/>
      </c>
      <c r="D7" s="19" t="n">
        <v>762</v>
      </c>
      <c r="E7" s="18" t="n">
        <v>52.95105154</v>
      </c>
      <c r="F7" s="20" t="n">
        <v>2.01902922</v>
      </c>
      <c r="G7" s="18" t="n">
        <v>43.55568664</v>
      </c>
      <c r="H7" s="20" t="n">
        <v>2.20217018</v>
      </c>
      <c r="I7" s="18" t="n">
        <v>0</v>
      </c>
      <c r="J7" s="20" t="n">
        <v>0</v>
      </c>
      <c r="K7" s="18" t="n">
        <v>3.47724122</v>
      </c>
      <c r="L7" s="20" t="n">
        <v>0.76065576</v>
      </c>
      <c r="M7" s="18" t="n">
        <v>0.0160206</v>
      </c>
      <c r="N7" s="20" t="n">
        <v>0.01614976</v>
      </c>
      <c r="O7" s="18" t="n">
        <v>0</v>
      </c>
      <c r="P7" s="20" t="n">
        <v>0</v>
      </c>
      <c r="Q7" s="18" t="n">
        <v>0</v>
      </c>
      <c r="R7" s="20" t="n">
        <v>0</v>
      </c>
    </row>
    <row r="8" spans="1:18">
      <c r="A8" s="15" t="s">
        <v>566</v>
      </c>
      <c r="B8" s="17" t="n">
        <v>3443</v>
      </c>
      <c r="C8" s="18">
        <f>(3093.0/B8*100)</f>
        <v/>
      </c>
      <c r="D8" s="19" t="n">
        <v>350</v>
      </c>
      <c r="E8" s="18" t="n">
        <v>58.06797952</v>
      </c>
      <c r="F8" s="20" t="n">
        <v>2.78275244</v>
      </c>
      <c r="G8" s="18" t="n">
        <v>36.48402846</v>
      </c>
      <c r="H8" s="20" t="n">
        <v>2.50025432</v>
      </c>
      <c r="I8" s="18" t="n">
        <v>0</v>
      </c>
      <c r="J8" s="20" t="n">
        <v>0</v>
      </c>
      <c r="K8" s="18" t="n">
        <v>5.44799202</v>
      </c>
      <c r="L8" s="20" t="n">
        <v>1.35768738</v>
      </c>
      <c r="M8" s="18" t="n">
        <v>0</v>
      </c>
      <c r="N8" s="20" t="n">
        <v>0</v>
      </c>
      <c r="O8" s="18" t="n">
        <v>0</v>
      </c>
      <c r="P8" s="20" t="n">
        <v>0</v>
      </c>
      <c r="Q8" s="18" t="n">
        <v>0</v>
      </c>
      <c r="R8" s="20" t="n">
        <v>0</v>
      </c>
    </row>
    <row r="9" spans="1:18">
      <c r="A9" s="15" t="s">
        <v>567</v>
      </c>
      <c r="B9" s="17" t="n">
        <v>4752</v>
      </c>
      <c r="C9" s="18">
        <f>(4253.0/B9*100)</f>
        <v/>
      </c>
      <c r="D9" s="19" t="n">
        <v>499</v>
      </c>
      <c r="E9" s="18" t="n">
        <v>56.65698365</v>
      </c>
      <c r="F9" s="20" t="n">
        <v>2.49650536</v>
      </c>
      <c r="G9" s="18" t="n">
        <v>39.22649913</v>
      </c>
      <c r="H9" s="20" t="n">
        <v>2.3818526</v>
      </c>
      <c r="I9" s="18" t="n">
        <v>0</v>
      </c>
      <c r="J9" s="20" t="n">
        <v>0</v>
      </c>
      <c r="K9" s="18" t="n">
        <v>3.95411591</v>
      </c>
      <c r="L9" s="20" t="n">
        <v>0.95353646</v>
      </c>
      <c r="M9" s="18" t="n">
        <v>0.16240131</v>
      </c>
      <c r="N9" s="20" t="n">
        <v>0.15752345</v>
      </c>
      <c r="O9" s="18" t="n">
        <v>0</v>
      </c>
      <c r="P9" s="20" t="n">
        <v>0</v>
      </c>
      <c r="Q9" s="18" t="n">
        <v>0</v>
      </c>
      <c r="R9" s="20" t="n">
        <v>0</v>
      </c>
    </row>
    <row r="10" spans="1:18">
      <c r="A10" s="15" t="s">
        <v>568</v>
      </c>
      <c r="B10" s="17" t="n">
        <v>10022</v>
      </c>
      <c r="C10" s="18">
        <f>(8915.0/B10*100)</f>
        <v/>
      </c>
      <c r="D10" s="19" t="n">
        <v>1107</v>
      </c>
      <c r="E10" s="18" t="n">
        <v>47.54655185</v>
      </c>
      <c r="F10" s="20" t="n">
        <v>2.29537619</v>
      </c>
      <c r="G10" s="18" t="n">
        <v>49.43397239</v>
      </c>
      <c r="H10" s="20" t="n">
        <v>2.36820447</v>
      </c>
      <c r="I10" s="18" t="n">
        <v>0</v>
      </c>
      <c r="J10" s="20" t="n">
        <v>0</v>
      </c>
      <c r="K10" s="18" t="n">
        <v>3.01947576</v>
      </c>
      <c r="L10" s="20" t="n">
        <v>0.64664934</v>
      </c>
      <c r="M10" s="18" t="n">
        <v>0</v>
      </c>
      <c r="N10" s="20" t="n">
        <v>0</v>
      </c>
      <c r="O10" s="18" t="n">
        <v>0</v>
      </c>
      <c r="P10" s="20" t="n">
        <v>0</v>
      </c>
      <c r="Q10" s="18" t="n">
        <v>0</v>
      </c>
      <c r="R10" s="20" t="n">
        <v>0</v>
      </c>
    </row>
    <row r="11" spans="1:18">
      <c r="A11" s="15" t="s">
        <v>569</v>
      </c>
      <c r="B11" s="17" t="n">
        <v>3500</v>
      </c>
      <c r="C11" s="18">
        <f>(3112.0/B11*100)</f>
        <v/>
      </c>
      <c r="D11" s="19" t="n">
        <v>388</v>
      </c>
      <c r="E11" s="18" t="n">
        <v>56.76135472</v>
      </c>
      <c r="F11" s="20" t="n">
        <v>2.73888336</v>
      </c>
      <c r="G11" s="18" t="n">
        <v>29.90511912</v>
      </c>
      <c r="H11" s="20" t="n">
        <v>2.56411153</v>
      </c>
      <c r="I11" s="18" t="n">
        <v>0</v>
      </c>
      <c r="J11" s="20" t="n">
        <v>0</v>
      </c>
      <c r="K11" s="18" t="n">
        <v>13.33352615</v>
      </c>
      <c r="L11" s="20" t="n">
        <v>2.14190249</v>
      </c>
      <c r="M11" s="18" t="n">
        <v>0</v>
      </c>
      <c r="N11" s="20" t="n">
        <v>0</v>
      </c>
      <c r="O11" s="18" t="n">
        <v>0</v>
      </c>
      <c r="P11" s="20" t="n">
        <v>0</v>
      </c>
      <c r="Q11" s="18" t="n">
        <v>0</v>
      </c>
      <c r="R11" s="20" t="n">
        <v>0</v>
      </c>
    </row>
    <row r="12" spans="1:18">
      <c r="A12" s="15" t="s">
        <v>570</v>
      </c>
      <c r="B12" s="17" t="n">
        <v>3422</v>
      </c>
      <c r="C12" s="18">
        <f>(3042.0/B12*100)</f>
        <v/>
      </c>
      <c r="D12" s="19" t="n">
        <v>380</v>
      </c>
      <c r="E12" s="18" t="n">
        <v>43.67981914</v>
      </c>
      <c r="F12" s="20" t="n">
        <v>3.23097591</v>
      </c>
      <c r="G12" s="18" t="n">
        <v>52.45600554</v>
      </c>
      <c r="H12" s="20" t="n">
        <v>3.23985761</v>
      </c>
      <c r="I12" s="18" t="n">
        <v>0</v>
      </c>
      <c r="J12" s="20" t="n">
        <v>0</v>
      </c>
      <c r="K12" s="18" t="n">
        <v>3.60023875</v>
      </c>
      <c r="L12" s="20" t="n">
        <v>1.09419622</v>
      </c>
      <c r="M12" s="18" t="n">
        <v>0.26393658</v>
      </c>
      <c r="N12" s="20" t="n">
        <v>0.26077883</v>
      </c>
      <c r="O12" s="18" t="n">
        <v>0</v>
      </c>
      <c r="P12" s="20" t="n">
        <v>0</v>
      </c>
      <c r="Q12" s="18" t="n">
        <v>0</v>
      </c>
      <c r="R12" s="20" t="n">
        <v>0</v>
      </c>
    </row>
    <row r="13" spans="1:18">
      <c r="A13" s="15" t="s">
        <v>571</v>
      </c>
      <c r="B13" s="17" t="n">
        <v>3602</v>
      </c>
      <c r="C13" s="18">
        <f>(3261.0/B13*100)</f>
        <v/>
      </c>
      <c r="D13" s="19" t="n">
        <v>341</v>
      </c>
      <c r="E13" s="18" t="n">
        <v>51.62336737</v>
      </c>
      <c r="F13" s="20" t="n">
        <v>2.88760665</v>
      </c>
      <c r="G13" s="18" t="n">
        <v>44.58100413</v>
      </c>
      <c r="H13" s="20" t="n">
        <v>2.9908821</v>
      </c>
      <c r="I13" s="18" t="n">
        <v>0</v>
      </c>
      <c r="J13" s="20" t="n">
        <v>0</v>
      </c>
      <c r="K13" s="18" t="n">
        <v>3.72261815</v>
      </c>
      <c r="L13" s="20" t="n">
        <v>1.22813097</v>
      </c>
      <c r="M13" s="18" t="n">
        <v>0.07301034000000001</v>
      </c>
      <c r="N13" s="20" t="n">
        <v>0.07288501999999999</v>
      </c>
      <c r="O13" s="18" t="n">
        <v>0</v>
      </c>
      <c r="P13" s="20" t="n">
        <v>0</v>
      </c>
      <c r="Q13" s="18" t="n">
        <v>0</v>
      </c>
      <c r="R13" s="20" t="n">
        <v>0</v>
      </c>
    </row>
    <row r="14" spans="1:18">
      <c r="A14" s="15" t="s">
        <v>572</v>
      </c>
      <c r="B14" s="17" t="n">
        <v>2788</v>
      </c>
      <c r="C14" s="18">
        <f>(2476.0/B14*100)</f>
        <v/>
      </c>
      <c r="D14" s="19" t="n">
        <v>312</v>
      </c>
      <c r="E14" s="18" t="n">
        <v>46.87717562</v>
      </c>
      <c r="F14" s="20" t="n">
        <v>3.31434416</v>
      </c>
      <c r="G14" s="18" t="n">
        <v>50.54858269</v>
      </c>
      <c r="H14" s="20" t="n">
        <v>3.40437046</v>
      </c>
      <c r="I14" s="18" t="n">
        <v>0</v>
      </c>
      <c r="J14" s="20" t="n">
        <v>0</v>
      </c>
      <c r="K14" s="18" t="n">
        <v>2.57424169</v>
      </c>
      <c r="L14" s="20" t="n">
        <v>1.15965585</v>
      </c>
      <c r="M14" s="18" t="n">
        <v>0</v>
      </c>
      <c r="N14" s="20" t="n">
        <v>0</v>
      </c>
      <c r="O14" s="18" t="n">
        <v>0</v>
      </c>
      <c r="P14" s="20" t="n">
        <v>0</v>
      </c>
      <c r="Q14" s="18" t="n">
        <v>0</v>
      </c>
      <c r="R14" s="20" t="n">
        <v>0</v>
      </c>
    </row>
    <row r="15" spans="1:18">
      <c r="A15" s="15" t="s">
        <v>573</v>
      </c>
      <c r="B15" s="17" t="n">
        <v>2863</v>
      </c>
      <c r="C15" s="18">
        <f>(2544.0/B15*100)</f>
        <v/>
      </c>
      <c r="D15" s="19" t="n">
        <v>319</v>
      </c>
      <c r="E15" s="18" t="n">
        <v>42.03247981</v>
      </c>
      <c r="F15" s="20" t="n">
        <v>2.9353551</v>
      </c>
      <c r="G15" s="18" t="n">
        <v>55.36322517</v>
      </c>
      <c r="H15" s="20" t="n">
        <v>3.02363187</v>
      </c>
      <c r="I15" s="18" t="n">
        <v>0</v>
      </c>
      <c r="J15" s="20" t="n">
        <v>0</v>
      </c>
      <c r="K15" s="18" t="n">
        <v>2.60429502</v>
      </c>
      <c r="L15" s="20" t="n">
        <v>0.9229976</v>
      </c>
      <c r="M15" s="18" t="n">
        <v>0</v>
      </c>
      <c r="N15" s="20" t="n">
        <v>0</v>
      </c>
      <c r="O15" s="18" t="n">
        <v>0</v>
      </c>
      <c r="P15" s="20" t="n">
        <v>0</v>
      </c>
      <c r="Q15" s="18" t="n">
        <v>0</v>
      </c>
      <c r="R15" s="20" t="n">
        <v>0</v>
      </c>
    </row>
    <row r="16" spans="1:18">
      <c r="A16" s="15" t="s">
        <v>574</v>
      </c>
      <c r="B16" s="17" t="n">
        <v>3111</v>
      </c>
      <c r="C16" s="18">
        <f>(2764.0/B16*100)</f>
        <v/>
      </c>
      <c r="D16" s="19" t="n">
        <v>347</v>
      </c>
      <c r="E16" s="18" t="n">
        <v>50.60016205</v>
      </c>
      <c r="F16" s="20" t="n">
        <v>2.32030872</v>
      </c>
      <c r="G16" s="18" t="n">
        <v>40.52602564</v>
      </c>
      <c r="H16" s="20" t="n">
        <v>2.12524087</v>
      </c>
      <c r="I16" s="18" t="n">
        <v>0</v>
      </c>
      <c r="J16" s="20" t="n">
        <v>0</v>
      </c>
      <c r="K16" s="18" t="n">
        <v>8.873812300000001</v>
      </c>
      <c r="L16" s="20" t="n">
        <v>1.68374964</v>
      </c>
      <c r="M16" s="18" t="n">
        <v>0</v>
      </c>
      <c r="N16" s="20" t="n">
        <v>0</v>
      </c>
      <c r="O16" s="18" t="n">
        <v>0</v>
      </c>
      <c r="P16" s="20" t="n">
        <v>0</v>
      </c>
      <c r="Q16" s="18" t="n">
        <v>0</v>
      </c>
      <c r="R16" s="20" t="n">
        <v>0</v>
      </c>
    </row>
    <row r="17" spans="1:18">
      <c r="A17" s="15" t="s">
        <v>575</v>
      </c>
      <c r="B17" s="17" t="n">
        <v>3197</v>
      </c>
      <c r="C17" s="18">
        <f>(2854.0/B17*100)</f>
        <v/>
      </c>
      <c r="D17" s="19" t="n">
        <v>343</v>
      </c>
      <c r="E17" s="18" t="n">
        <v>48.33853662</v>
      </c>
      <c r="F17" s="20" t="n">
        <v>2.78978035</v>
      </c>
      <c r="G17" s="18" t="n">
        <v>48.22259229</v>
      </c>
      <c r="H17" s="20" t="n">
        <v>2.91010111</v>
      </c>
      <c r="I17" s="18" t="n">
        <v>0</v>
      </c>
      <c r="J17" s="20" t="n">
        <v>0</v>
      </c>
      <c r="K17" s="18" t="n">
        <v>3.4388711</v>
      </c>
      <c r="L17" s="20" t="n">
        <v>1.02689353</v>
      </c>
      <c r="M17" s="18" t="n">
        <v>0</v>
      </c>
      <c r="N17" s="20" t="n">
        <v>0</v>
      </c>
      <c r="O17" s="18" t="n">
        <v>0</v>
      </c>
      <c r="P17" s="20" t="n">
        <v>0</v>
      </c>
      <c r="Q17" s="18" t="n">
        <v>0</v>
      </c>
      <c r="R17" s="20" t="n">
        <v>0</v>
      </c>
    </row>
    <row r="18" spans="1:18">
      <c r="A18" s="15" t="s">
        <v>576</v>
      </c>
      <c r="B18" s="17" t="n">
        <v>2706</v>
      </c>
      <c r="C18" s="18">
        <f>(2410.0/B18*100)</f>
        <v/>
      </c>
      <c r="D18" s="19" t="n">
        <v>296</v>
      </c>
      <c r="E18" s="18" t="n">
        <v>69.09676354</v>
      </c>
      <c r="F18" s="20" t="n">
        <v>2.83482674</v>
      </c>
      <c r="G18" s="18" t="n">
        <v>26.58026047</v>
      </c>
      <c r="H18" s="20" t="n">
        <v>2.81882491</v>
      </c>
      <c r="I18" s="18" t="n">
        <v>0</v>
      </c>
      <c r="J18" s="20" t="n">
        <v>0</v>
      </c>
      <c r="K18" s="18" t="n">
        <v>4.322976</v>
      </c>
      <c r="L18" s="20" t="n">
        <v>1.43580673</v>
      </c>
      <c r="M18" s="18" t="n">
        <v>0</v>
      </c>
      <c r="N18" s="20" t="n">
        <v>0</v>
      </c>
      <c r="O18" s="18" t="n">
        <v>0</v>
      </c>
      <c r="P18" s="20" t="n">
        <v>0</v>
      </c>
      <c r="Q18" s="18" t="n">
        <v>0</v>
      </c>
      <c r="R18" s="20" t="n">
        <v>0</v>
      </c>
    </row>
    <row r="19" spans="1:18">
      <c r="A19" s="15" t="s">
        <v>577</v>
      </c>
      <c r="B19" s="17" t="n">
        <v>2850</v>
      </c>
      <c r="C19" s="18">
        <f>(2570.0/B19*100)</f>
        <v/>
      </c>
      <c r="D19" s="19" t="n">
        <v>280</v>
      </c>
      <c r="E19" s="18" t="n">
        <v>62.07072156</v>
      </c>
      <c r="F19" s="20" t="n">
        <v>3.17496209</v>
      </c>
      <c r="G19" s="18" t="n">
        <v>33.1702686</v>
      </c>
      <c r="H19" s="20" t="n">
        <v>2.9064465</v>
      </c>
      <c r="I19" s="18" t="n">
        <v>0</v>
      </c>
      <c r="J19" s="20" t="n">
        <v>0</v>
      </c>
      <c r="K19" s="18" t="n">
        <v>4.75900984</v>
      </c>
      <c r="L19" s="20" t="n">
        <v>1.75404377</v>
      </c>
      <c r="M19" s="18" t="n">
        <v>0</v>
      </c>
      <c r="N19" s="20" t="n">
        <v>0</v>
      </c>
      <c r="O19" s="18" t="n">
        <v>0</v>
      </c>
      <c r="P19" s="20" t="n">
        <v>0</v>
      </c>
      <c r="Q19" s="18" t="n">
        <v>0</v>
      </c>
      <c r="R19" s="20" t="n">
        <v>0</v>
      </c>
    </row>
    <row r="20" spans="1:18">
      <c r="A20" s="15" t="s">
        <v>578</v>
      </c>
      <c r="B20" s="17" t="n">
        <v>1741</v>
      </c>
      <c r="C20" s="18">
        <f>(1557.0/B20*100)</f>
        <v/>
      </c>
      <c r="D20" s="19" t="n">
        <v>184</v>
      </c>
      <c r="E20" s="18" t="n">
        <v>44.68515907</v>
      </c>
      <c r="F20" s="20" t="n">
        <v>3.45503359</v>
      </c>
      <c r="G20" s="18" t="n">
        <v>42.35652523</v>
      </c>
      <c r="H20" s="20" t="n">
        <v>3.65787424</v>
      </c>
      <c r="I20" s="18" t="n">
        <v>0</v>
      </c>
      <c r="J20" s="20" t="n">
        <v>0</v>
      </c>
      <c r="K20" s="18" t="n">
        <v>12.29611621</v>
      </c>
      <c r="L20" s="20" t="n">
        <v>2.5204568</v>
      </c>
      <c r="M20" s="18" t="n">
        <v>0.6621995000000001</v>
      </c>
      <c r="N20" s="20" t="n">
        <v>0.66846231</v>
      </c>
      <c r="O20" s="18" t="n">
        <v>0</v>
      </c>
      <c r="P20" s="20" t="n">
        <v>0</v>
      </c>
      <c r="Q20" s="18" t="n">
        <v>0</v>
      </c>
      <c r="R20" s="20" t="n">
        <v>0</v>
      </c>
    </row>
    <row r="21" spans="1:18">
      <c r="A21" s="15" t="s">
        <v>579</v>
      </c>
      <c r="B21" s="17" t="n">
        <v>2833</v>
      </c>
      <c r="C21" s="18">
        <f>(2561.0/B21*100)</f>
        <v/>
      </c>
      <c r="D21" s="19" t="n">
        <v>272</v>
      </c>
      <c r="E21" s="18" t="n">
        <v>57.27964719</v>
      </c>
      <c r="F21" s="20" t="n">
        <v>2.76832437</v>
      </c>
      <c r="G21" s="18" t="n">
        <v>40.49325188</v>
      </c>
      <c r="H21" s="20" t="n">
        <v>2.6726045</v>
      </c>
      <c r="I21" s="18" t="n">
        <v>0</v>
      </c>
      <c r="J21" s="20" t="n">
        <v>0</v>
      </c>
      <c r="K21" s="18" t="n">
        <v>2.22710093</v>
      </c>
      <c r="L21" s="20" t="n">
        <v>0.90427641</v>
      </c>
      <c r="M21" s="18" t="n">
        <v>0</v>
      </c>
      <c r="N21" s="20" t="n">
        <v>0</v>
      </c>
      <c r="O21" s="18" t="n">
        <v>0</v>
      </c>
      <c r="P21" s="20" t="n">
        <v>0</v>
      </c>
      <c r="Q21" s="18" t="n">
        <v>0</v>
      </c>
      <c r="R21" s="20" t="n">
        <v>0</v>
      </c>
    </row>
    <row r="22" spans="1:18">
      <c r="A22" s="15" t="s">
        <v>580</v>
      </c>
      <c r="B22" s="17" t="n">
        <v>3667</v>
      </c>
      <c r="C22" s="18">
        <f>(3315.0/B22*100)</f>
        <v/>
      </c>
      <c r="D22" s="19" t="n">
        <v>352</v>
      </c>
      <c r="E22" s="18" t="n">
        <v>58.96852229</v>
      </c>
      <c r="F22" s="20" t="n">
        <v>2.41700869</v>
      </c>
      <c r="G22" s="18" t="n">
        <v>31.41912226</v>
      </c>
      <c r="H22" s="20" t="n">
        <v>2.45382841</v>
      </c>
      <c r="I22" s="18" t="n">
        <v>0</v>
      </c>
      <c r="J22" s="20" t="n">
        <v>0</v>
      </c>
      <c r="K22" s="18" t="n">
        <v>9.612355450000001</v>
      </c>
      <c r="L22" s="20" t="n">
        <v>1.45606337</v>
      </c>
      <c r="M22" s="18" t="n">
        <v>0</v>
      </c>
      <c r="N22" s="20" t="n">
        <v>0</v>
      </c>
      <c r="O22" s="18" t="n">
        <v>0</v>
      </c>
      <c r="P22" s="20" t="n">
        <v>0</v>
      </c>
      <c r="Q22" s="18" t="n">
        <v>0</v>
      </c>
      <c r="R22" s="20" t="n">
        <v>0</v>
      </c>
    </row>
    <row r="23" spans="1:18">
      <c r="A23" s="15" t="s">
        <v>581</v>
      </c>
      <c r="B23" s="17" t="n">
        <v>5792</v>
      </c>
      <c r="C23" s="18">
        <f>(5136.0/B23*100)</f>
        <v/>
      </c>
      <c r="D23" s="19" t="n">
        <v>656</v>
      </c>
      <c r="E23" s="18" t="n">
        <v>49.78822117</v>
      </c>
      <c r="F23" s="20" t="n">
        <v>3.08383593</v>
      </c>
      <c r="G23" s="18" t="n">
        <v>41.53556119</v>
      </c>
      <c r="H23" s="20" t="n">
        <v>3.28580896</v>
      </c>
      <c r="I23" s="18" t="n">
        <v>0</v>
      </c>
      <c r="J23" s="20" t="n">
        <v>0</v>
      </c>
      <c r="K23" s="18" t="n">
        <v>8.676217640000001</v>
      </c>
      <c r="L23" s="20" t="n">
        <v>1.95014227</v>
      </c>
      <c r="M23" s="18" t="n">
        <v>0</v>
      </c>
      <c r="N23" s="20" t="n">
        <v>0</v>
      </c>
      <c r="O23" s="18" t="n">
        <v>0</v>
      </c>
      <c r="P23" s="20" t="n">
        <v>0</v>
      </c>
      <c r="Q23" s="18" t="n">
        <v>0</v>
      </c>
      <c r="R23" s="20" t="n">
        <v>0</v>
      </c>
    </row>
    <row r="24" spans="1:18">
      <c r="A24" s="15" t="s">
        <v>582</v>
      </c>
      <c r="B24" s="17" t="n">
        <v>3309</v>
      </c>
      <c r="C24" s="18">
        <f>(2983.0/B24*100)</f>
        <v/>
      </c>
      <c r="D24" s="19" t="n">
        <v>326</v>
      </c>
      <c r="E24" s="18" t="n">
        <v>29.65802818</v>
      </c>
      <c r="F24" s="20" t="n">
        <v>2.41017433</v>
      </c>
      <c r="G24" s="18" t="n">
        <v>69.02366603</v>
      </c>
      <c r="H24" s="20" t="n">
        <v>2.40818948</v>
      </c>
      <c r="I24" s="18" t="n">
        <v>0</v>
      </c>
      <c r="J24" s="20" t="n">
        <v>0</v>
      </c>
      <c r="K24" s="18" t="n">
        <v>1.31830579</v>
      </c>
      <c r="L24" s="20" t="n">
        <v>0.64301946</v>
      </c>
      <c r="M24" s="18" t="n">
        <v>0</v>
      </c>
      <c r="N24" s="20" t="n">
        <v>0</v>
      </c>
      <c r="O24" s="18" t="n">
        <v>0</v>
      </c>
      <c r="P24" s="20" t="n">
        <v>0</v>
      </c>
      <c r="Q24" s="18" t="n">
        <v>0</v>
      </c>
      <c r="R24" s="20" t="n">
        <v>0</v>
      </c>
    </row>
    <row r="25" spans="1:18">
      <c r="A25" s="15" t="s">
        <v>583</v>
      </c>
      <c r="B25" s="17" t="n">
        <v>2669</v>
      </c>
      <c r="C25" s="18">
        <f>(2365.0/B25*100)</f>
        <v/>
      </c>
      <c r="D25" s="19" t="n">
        <v>304</v>
      </c>
      <c r="E25" s="18" t="n">
        <v>42.10816444</v>
      </c>
      <c r="F25" s="20" t="n">
        <v>2.75707953</v>
      </c>
      <c r="G25" s="18" t="n">
        <v>54.55276789</v>
      </c>
      <c r="H25" s="20" t="n">
        <v>2.70404268</v>
      </c>
      <c r="I25" s="18" t="n">
        <v>0</v>
      </c>
      <c r="J25" s="20" t="n">
        <v>0</v>
      </c>
      <c r="K25" s="18" t="n">
        <v>3.33906767</v>
      </c>
      <c r="L25" s="20" t="n">
        <v>0.90541189</v>
      </c>
      <c r="M25" s="18" t="n">
        <v>0</v>
      </c>
      <c r="N25" s="20" t="n">
        <v>0</v>
      </c>
      <c r="O25" s="18" t="n">
        <v>0</v>
      </c>
      <c r="P25" s="20" t="n">
        <v>0</v>
      </c>
      <c r="Q25" s="18" t="n">
        <v>0</v>
      </c>
      <c r="R25" s="20" t="n">
        <v>0</v>
      </c>
    </row>
    <row r="26" spans="1:18">
      <c r="A26" s="15" t="s">
        <v>584</v>
      </c>
      <c r="B26" s="17" t="n">
        <v>2419</v>
      </c>
      <c r="C26" s="18">
        <f>(2143.0/B26*100)</f>
        <v/>
      </c>
      <c r="D26" s="19" t="n">
        <v>276</v>
      </c>
      <c r="E26" s="18" t="n">
        <v>57.70819006</v>
      </c>
      <c r="F26" s="20" t="n">
        <v>3.02498205</v>
      </c>
      <c r="G26" s="18" t="n">
        <v>41.05556151</v>
      </c>
      <c r="H26" s="20" t="n">
        <v>2.83161042</v>
      </c>
      <c r="I26" s="18" t="n">
        <v>0</v>
      </c>
      <c r="J26" s="20" t="n">
        <v>0</v>
      </c>
      <c r="K26" s="18" t="n">
        <v>0.90467338</v>
      </c>
      <c r="L26" s="20" t="n">
        <v>0.7171797600000001</v>
      </c>
      <c r="M26" s="18" t="n">
        <v>0.33157505</v>
      </c>
      <c r="N26" s="20" t="n">
        <v>0.33544117</v>
      </c>
      <c r="O26" s="18" t="n">
        <v>0</v>
      </c>
      <c r="P26" s="20" t="n">
        <v>0</v>
      </c>
      <c r="Q26" s="18" t="n">
        <v>0</v>
      </c>
      <c r="R26" s="20" t="n">
        <v>0</v>
      </c>
    </row>
    <row r="27" spans="1:18">
      <c r="A27" s="15" t="s">
        <v>585</v>
      </c>
      <c r="B27" s="17" t="n">
        <v>2683</v>
      </c>
      <c r="C27" s="18">
        <f>(2395.0/B27*100)</f>
        <v/>
      </c>
      <c r="D27" s="19" t="n">
        <v>288</v>
      </c>
      <c r="E27" s="18" t="n">
        <v>52.38814059</v>
      </c>
      <c r="F27" s="20" t="n">
        <v>3.06423386</v>
      </c>
      <c r="G27" s="18" t="n">
        <v>44.32136353</v>
      </c>
      <c r="H27" s="20" t="n">
        <v>3.02206565</v>
      </c>
      <c r="I27" s="18" t="n">
        <v>0</v>
      </c>
      <c r="J27" s="20" t="n">
        <v>0</v>
      </c>
      <c r="K27" s="18" t="n">
        <v>3.29049588</v>
      </c>
      <c r="L27" s="20" t="n">
        <v>1.11186568</v>
      </c>
      <c r="M27" s="18" t="n">
        <v>0</v>
      </c>
      <c r="N27" s="20" t="n">
        <v>0</v>
      </c>
      <c r="O27" s="18" t="n">
        <v>0</v>
      </c>
      <c r="P27" s="20" t="n">
        <v>0</v>
      </c>
      <c r="Q27" s="18" t="n">
        <v>0</v>
      </c>
      <c r="R27" s="20" t="n">
        <v>0</v>
      </c>
    </row>
    <row r="28" spans="1:18">
      <c r="A28" s="15" t="s">
        <v>586</v>
      </c>
      <c r="B28" s="17" t="n">
        <v>3803</v>
      </c>
      <c r="C28" s="18">
        <f>(3443.0/B28*100)</f>
        <v/>
      </c>
      <c r="D28" s="19" t="n">
        <v>360</v>
      </c>
      <c r="E28" s="18" t="n">
        <v>68.74284371</v>
      </c>
      <c r="F28" s="20" t="n">
        <v>2.84197307</v>
      </c>
      <c r="G28" s="18" t="n">
        <v>25.0941077</v>
      </c>
      <c r="H28" s="20" t="n">
        <v>2.41095079</v>
      </c>
      <c r="I28" s="18" t="n">
        <v>0</v>
      </c>
      <c r="J28" s="20" t="n">
        <v>0</v>
      </c>
      <c r="K28" s="18" t="n">
        <v>5.69375579</v>
      </c>
      <c r="L28" s="20" t="n">
        <v>1.47632253</v>
      </c>
      <c r="M28" s="18" t="n">
        <v>0.4692928</v>
      </c>
      <c r="N28" s="20" t="n">
        <v>0.46944038</v>
      </c>
      <c r="O28" s="18" t="n">
        <v>0</v>
      </c>
      <c r="P28" s="20" t="n">
        <v>0</v>
      </c>
      <c r="Q28" s="18" t="n">
        <v>0</v>
      </c>
      <c r="R28" s="20" t="n">
        <v>0</v>
      </c>
    </row>
    <row r="29" spans="1:18">
      <c r="A29" s="15" t="s">
        <v>587</v>
      </c>
      <c r="B29" s="17" t="n">
        <v>2700</v>
      </c>
      <c r="C29" s="18">
        <f>(2422.0/B29*100)</f>
        <v/>
      </c>
      <c r="D29" s="19" t="n">
        <v>278</v>
      </c>
      <c r="E29" s="18" t="n">
        <v>58.73219015</v>
      </c>
      <c r="F29" s="20" t="n">
        <v>3.12263283</v>
      </c>
      <c r="G29" s="18" t="n">
        <v>39.53922745</v>
      </c>
      <c r="H29" s="20" t="n">
        <v>3.08362846</v>
      </c>
      <c r="I29" s="18" t="n">
        <v>0</v>
      </c>
      <c r="J29" s="20" t="n">
        <v>0</v>
      </c>
      <c r="K29" s="18" t="n">
        <v>1.7285824</v>
      </c>
      <c r="L29" s="20" t="n">
        <v>0.74168079</v>
      </c>
      <c r="M29" s="18" t="n">
        <v>0</v>
      </c>
      <c r="N29" s="20" t="n">
        <v>0</v>
      </c>
      <c r="O29" s="18" t="n">
        <v>0</v>
      </c>
      <c r="P29" s="20" t="n">
        <v>0</v>
      </c>
      <c r="Q29" s="18" t="n">
        <v>0</v>
      </c>
      <c r="R29" s="20" t="n">
        <v>0</v>
      </c>
    </row>
    <row r="30" spans="1:18">
      <c r="A30" s="15" t="s">
        <v>588</v>
      </c>
      <c r="B30" s="17" t="n">
        <v>2257</v>
      </c>
      <c r="C30" s="18">
        <f>(2021.0/B30*100)</f>
        <v/>
      </c>
      <c r="D30" s="19" t="n">
        <v>236</v>
      </c>
      <c r="E30" s="18" t="n">
        <v>54.21569872</v>
      </c>
      <c r="F30" s="20" t="n">
        <v>2.9897926</v>
      </c>
      <c r="G30" s="18" t="n">
        <v>40.85322124</v>
      </c>
      <c r="H30" s="20" t="n">
        <v>2.93435815</v>
      </c>
      <c r="I30" s="18" t="n">
        <v>0</v>
      </c>
      <c r="J30" s="20" t="n">
        <v>0</v>
      </c>
      <c r="K30" s="18" t="n">
        <v>4.93108004</v>
      </c>
      <c r="L30" s="20" t="n">
        <v>1.26168314</v>
      </c>
      <c r="M30" s="18" t="n">
        <v>0</v>
      </c>
      <c r="N30" s="20" t="n">
        <v>0</v>
      </c>
      <c r="O30" s="18" t="n">
        <v>0</v>
      </c>
      <c r="P30" s="20" t="n">
        <v>0</v>
      </c>
      <c r="Q30" s="18" t="n">
        <v>0</v>
      </c>
      <c r="R30" s="20" t="n">
        <v>0</v>
      </c>
    </row>
    <row r="31" spans="1:18">
      <c r="A31" s="15" t="s">
        <v>589</v>
      </c>
      <c r="B31" s="17" t="n">
        <v>2706</v>
      </c>
      <c r="C31" s="18">
        <f>(2412.0/B31*100)</f>
        <v/>
      </c>
      <c r="D31" s="19" t="n">
        <v>294</v>
      </c>
      <c r="E31" s="18" t="n">
        <v>56.47407248</v>
      </c>
      <c r="F31" s="20" t="n">
        <v>3.11679586</v>
      </c>
      <c r="G31" s="18" t="n">
        <v>38.81499153</v>
      </c>
      <c r="H31" s="20" t="n">
        <v>3.10795869</v>
      </c>
      <c r="I31" s="18" t="n">
        <v>0</v>
      </c>
      <c r="J31" s="20" t="n">
        <v>0</v>
      </c>
      <c r="K31" s="18" t="n">
        <v>4.71093599</v>
      </c>
      <c r="L31" s="20" t="n">
        <v>1.26621487</v>
      </c>
      <c r="M31" s="18" t="n">
        <v>0</v>
      </c>
      <c r="N31" s="20" t="n">
        <v>0</v>
      </c>
      <c r="O31" s="18" t="n">
        <v>0</v>
      </c>
      <c r="P31" s="20" t="n">
        <v>0</v>
      </c>
      <c r="Q31" s="18" t="n">
        <v>0</v>
      </c>
      <c r="R31" s="20" t="n">
        <v>0</v>
      </c>
    </row>
    <row r="32" spans="1:18">
      <c r="A32" s="15" t="s">
        <v>590</v>
      </c>
      <c r="B32" s="17" t="n">
        <v>2209</v>
      </c>
      <c r="C32" s="18">
        <f>(1972.0/B32*100)</f>
        <v/>
      </c>
      <c r="D32" s="19" t="n">
        <v>237</v>
      </c>
      <c r="E32" s="18" t="n">
        <v>55.7433446</v>
      </c>
      <c r="F32" s="20" t="n">
        <v>3.15295429</v>
      </c>
      <c r="G32" s="18" t="n">
        <v>39.9186872</v>
      </c>
      <c r="H32" s="20" t="n">
        <v>2.98608144</v>
      </c>
      <c r="I32" s="18" t="n">
        <v>0</v>
      </c>
      <c r="J32" s="20" t="n">
        <v>0</v>
      </c>
      <c r="K32" s="18" t="n">
        <v>4.3379682</v>
      </c>
      <c r="L32" s="20" t="n">
        <v>1.27738857</v>
      </c>
      <c r="M32" s="18" t="n">
        <v>0</v>
      </c>
      <c r="N32" s="20" t="n">
        <v>0</v>
      </c>
      <c r="O32" s="18" t="n">
        <v>0</v>
      </c>
      <c r="P32" s="20" t="n">
        <v>0</v>
      </c>
      <c r="Q32" s="18" t="n">
        <v>0</v>
      </c>
      <c r="R32" s="20" t="n">
        <v>0</v>
      </c>
    </row>
    <row r="33" spans="1:18">
      <c r="A33" s="15" t="s">
        <v>591</v>
      </c>
      <c r="B33" s="17" t="n">
        <v>3651</v>
      </c>
      <c r="C33" s="18">
        <f>(3275.0/B33*100)</f>
        <v/>
      </c>
      <c r="D33" s="19" t="n">
        <v>376</v>
      </c>
      <c r="E33" s="18" t="n">
        <v>56.87414402</v>
      </c>
      <c r="F33" s="20" t="n">
        <v>2.8277038</v>
      </c>
      <c r="G33" s="18" t="n">
        <v>42.05861952</v>
      </c>
      <c r="H33" s="20" t="n">
        <v>2.69615484</v>
      </c>
      <c r="I33" s="18" t="n">
        <v>0</v>
      </c>
      <c r="J33" s="20" t="n">
        <v>0</v>
      </c>
      <c r="K33" s="18" t="n">
        <v>1.06723646</v>
      </c>
      <c r="L33" s="20" t="n">
        <v>0.59736721</v>
      </c>
      <c r="M33" s="18" t="n">
        <v>0</v>
      </c>
      <c r="N33" s="20" t="n">
        <v>0</v>
      </c>
      <c r="O33" s="18" t="n">
        <v>0</v>
      </c>
      <c r="P33" s="20" t="n">
        <v>0</v>
      </c>
      <c r="Q33" s="18" t="n">
        <v>0</v>
      </c>
      <c r="R33" s="20" t="n">
        <v>0</v>
      </c>
    </row>
    <row r="34" spans="1:18">
      <c r="A34" s="15" t="s">
        <v>592</v>
      </c>
      <c r="B34" s="17" t="n">
        <v>3035</v>
      </c>
      <c r="C34" s="18">
        <f>(2695.0/B34*100)</f>
        <v/>
      </c>
      <c r="D34" s="19" t="n">
        <v>340</v>
      </c>
      <c r="E34" s="18" t="n">
        <v>56.29472474</v>
      </c>
      <c r="F34" s="20" t="n">
        <v>2.77685321</v>
      </c>
      <c r="G34" s="18" t="n">
        <v>40.34105805</v>
      </c>
      <c r="H34" s="20" t="n">
        <v>2.85618552</v>
      </c>
      <c r="I34" s="18" t="n">
        <v>0</v>
      </c>
      <c r="J34" s="20" t="n">
        <v>0</v>
      </c>
      <c r="K34" s="18" t="n">
        <v>2.79737432</v>
      </c>
      <c r="L34" s="20" t="n">
        <v>0.90853543</v>
      </c>
      <c r="M34" s="18" t="n">
        <v>0.5668429</v>
      </c>
      <c r="N34" s="20" t="n">
        <v>0.39581664</v>
      </c>
      <c r="O34" s="18" t="n">
        <v>0</v>
      </c>
      <c r="P34" s="20" t="n">
        <v>0</v>
      </c>
      <c r="Q34" s="18" t="n">
        <v>0</v>
      </c>
      <c r="R34" s="20" t="n">
        <v>0</v>
      </c>
    </row>
    <row r="35" spans="1:18">
      <c r="A35" s="15" t="s">
        <v>593</v>
      </c>
      <c r="B35" s="17" t="n">
        <v>2901</v>
      </c>
      <c r="C35" s="18">
        <f>(2574.0/B35*100)</f>
        <v/>
      </c>
      <c r="D35" s="19" t="n">
        <v>327</v>
      </c>
      <c r="E35" s="18" t="n">
        <v>46.02160915</v>
      </c>
      <c r="F35" s="20" t="n">
        <v>3.26242517</v>
      </c>
      <c r="G35" s="18" t="n">
        <v>52.89195067</v>
      </c>
      <c r="H35" s="20" t="n">
        <v>3.24187868</v>
      </c>
      <c r="I35" s="18" t="n">
        <v>0</v>
      </c>
      <c r="J35" s="20" t="n">
        <v>0</v>
      </c>
      <c r="K35" s="18" t="n">
        <v>1.08644017</v>
      </c>
      <c r="L35" s="20" t="n">
        <v>0.34664555</v>
      </c>
      <c r="M35" s="18" t="n">
        <v>0</v>
      </c>
      <c r="N35" s="20" t="n">
        <v>0</v>
      </c>
      <c r="O35" s="18" t="n">
        <v>0</v>
      </c>
      <c r="P35" s="20" t="n">
        <v>0</v>
      </c>
      <c r="Q35" s="18" t="n">
        <v>0</v>
      </c>
      <c r="R35" s="20" t="n">
        <v>0</v>
      </c>
    </row>
    <row r="36" spans="1:18">
      <c r="A36" s="15" t="s">
        <v>594</v>
      </c>
      <c r="B36" s="17" t="n">
        <v>3404</v>
      </c>
      <c r="C36" s="18">
        <f>(3016.0/B36*100)</f>
        <v/>
      </c>
      <c r="D36" s="19" t="n">
        <v>388</v>
      </c>
      <c r="E36" s="18" t="n">
        <v>57.81534964</v>
      </c>
      <c r="F36" s="20" t="n">
        <v>3.02304826</v>
      </c>
      <c r="G36" s="18" t="n">
        <v>39.61586596</v>
      </c>
      <c r="H36" s="20" t="n">
        <v>2.95436989</v>
      </c>
      <c r="I36" s="18" t="n">
        <v>0</v>
      </c>
      <c r="J36" s="20" t="n">
        <v>0</v>
      </c>
      <c r="K36" s="18" t="n">
        <v>2.32138405</v>
      </c>
      <c r="L36" s="20" t="n">
        <v>0.79144077</v>
      </c>
      <c r="M36" s="18" t="n">
        <v>0.24740034</v>
      </c>
      <c r="N36" s="20" t="n">
        <v>0.24490105</v>
      </c>
      <c r="O36" s="18" t="n">
        <v>0</v>
      </c>
      <c r="P36" s="20" t="n">
        <v>0</v>
      </c>
      <c r="Q36" s="18" t="n">
        <v>0</v>
      </c>
      <c r="R36" s="20" t="n">
        <v>0</v>
      </c>
    </row>
    <row r="37" spans="1:18">
      <c r="A37" s="15" t="s">
        <v>595</v>
      </c>
      <c r="B37" s="17" t="n">
        <v>2731</v>
      </c>
      <c r="C37" s="18">
        <f>(2445.0/B37*100)</f>
        <v/>
      </c>
      <c r="D37" s="19" t="n">
        <v>286</v>
      </c>
      <c r="E37" s="18" t="n">
        <v>50.88714302</v>
      </c>
      <c r="F37" s="20" t="n">
        <v>2.94651057</v>
      </c>
      <c r="G37" s="18" t="n">
        <v>42.21334671</v>
      </c>
      <c r="H37" s="20" t="n">
        <v>3.25217438</v>
      </c>
      <c r="I37" s="18" t="n">
        <v>0</v>
      </c>
      <c r="J37" s="20" t="n">
        <v>0</v>
      </c>
      <c r="K37" s="18" t="n">
        <v>6.89951027</v>
      </c>
      <c r="L37" s="20" t="n">
        <v>1.53449483</v>
      </c>
      <c r="M37" s="18" t="n">
        <v>0</v>
      </c>
      <c r="N37" s="20" t="n">
        <v>0</v>
      </c>
      <c r="O37" s="18" t="n">
        <v>0</v>
      </c>
      <c r="P37" s="20" t="n">
        <v>0</v>
      </c>
      <c r="Q37" s="18" t="n">
        <v>0</v>
      </c>
      <c r="R37" s="20" t="n">
        <v>0</v>
      </c>
    </row>
    <row r="38" spans="1:18">
      <c r="A38" s="15" t="s">
        <v>596</v>
      </c>
      <c r="B38" s="17" t="n">
        <v>2807</v>
      </c>
      <c r="C38" s="18">
        <f>(2503.0/B38*100)</f>
        <v/>
      </c>
      <c r="D38" s="19" t="n">
        <v>304</v>
      </c>
      <c r="E38" s="18" t="n">
        <v>45.96583959</v>
      </c>
      <c r="F38" s="20" t="n">
        <v>2.85945009</v>
      </c>
      <c r="G38" s="18" t="n">
        <v>47.46179411</v>
      </c>
      <c r="H38" s="20" t="n">
        <v>2.78363725</v>
      </c>
      <c r="I38" s="18" t="n">
        <v>0</v>
      </c>
      <c r="J38" s="20" t="n">
        <v>0</v>
      </c>
      <c r="K38" s="18" t="n">
        <v>2.15607679</v>
      </c>
      <c r="L38" s="20" t="n">
        <v>0.96426726</v>
      </c>
      <c r="M38" s="18" t="n">
        <v>4.41628951</v>
      </c>
      <c r="N38" s="20" t="n">
        <v>1.33009483</v>
      </c>
      <c r="O38" s="18" t="n">
        <v>0</v>
      </c>
      <c r="P38" s="20" t="n">
        <v>0</v>
      </c>
      <c r="Q38" s="18" t="n">
        <v>0</v>
      </c>
      <c r="R38" s="20" t="n">
        <v>0</v>
      </c>
    </row>
    <row r="39" spans="1:18">
      <c r="A39" s="15" t="s">
        <v>597</v>
      </c>
      <c r="B39" s="17" t="n">
        <v>2938</v>
      </c>
      <c r="C39" s="18">
        <f>(2635.0/B39*100)</f>
        <v/>
      </c>
      <c r="D39" s="19" t="n">
        <v>303</v>
      </c>
      <c r="E39" s="18" t="n">
        <v>79.41795193999999</v>
      </c>
      <c r="F39" s="20" t="n">
        <v>2.15596979</v>
      </c>
      <c r="G39" s="18" t="n">
        <v>14.42800162</v>
      </c>
      <c r="H39" s="20" t="n">
        <v>1.91956641</v>
      </c>
      <c r="I39" s="18" t="n">
        <v>0</v>
      </c>
      <c r="J39" s="20" t="n">
        <v>0</v>
      </c>
      <c r="K39" s="18" t="n">
        <v>6.15404644</v>
      </c>
      <c r="L39" s="20" t="n">
        <v>1.21501852</v>
      </c>
      <c r="M39" s="18" t="n">
        <v>0</v>
      </c>
      <c r="N39" s="20" t="n">
        <v>0</v>
      </c>
      <c r="O39" s="18" t="n">
        <v>0</v>
      </c>
      <c r="P39" s="20" t="n">
        <v>0</v>
      </c>
      <c r="Q39" s="18" t="n">
        <v>0</v>
      </c>
      <c r="R39" s="20" t="n">
        <v>0</v>
      </c>
    </row>
    <row r="40" spans="1:18">
      <c r="A40" s="15" t="s">
        <v>598</v>
      </c>
      <c r="B40" s="17" t="n">
        <v>6922</v>
      </c>
      <c r="C40" s="18">
        <f>(6136.0/B40*100)</f>
        <v/>
      </c>
      <c r="D40" s="19" t="n">
        <v>786</v>
      </c>
      <c r="E40" s="18" t="n">
        <v>50.72580438</v>
      </c>
      <c r="F40" s="20" t="n">
        <v>2.77688727</v>
      </c>
      <c r="G40" s="18" t="n">
        <v>45.29763112</v>
      </c>
      <c r="H40" s="20" t="n">
        <v>2.67256094</v>
      </c>
      <c r="I40" s="18" t="n">
        <v>0</v>
      </c>
      <c r="J40" s="20" t="n">
        <v>0</v>
      </c>
      <c r="K40" s="18" t="n">
        <v>3.6365722</v>
      </c>
      <c r="L40" s="20" t="n">
        <v>0.99673944</v>
      </c>
      <c r="M40" s="18" t="n">
        <v>0.3399923</v>
      </c>
      <c r="N40" s="20" t="n">
        <v>0.34432946</v>
      </c>
      <c r="O40" s="18" t="n">
        <v>0</v>
      </c>
      <c r="P40" s="20" t="n">
        <v>0</v>
      </c>
      <c r="Q40" s="18" t="n">
        <v>0</v>
      </c>
      <c r="R40" s="20" t="n">
        <v>0</v>
      </c>
    </row>
    <row r="41" spans="1:18">
      <c r="A41" s="15" t="s">
        <v>599</v>
      </c>
      <c r="B41" s="17" t="n">
        <v>2854</v>
      </c>
      <c r="C41" s="18">
        <f>(2557.0/B41*100)</f>
        <v/>
      </c>
      <c r="D41" s="19" t="n">
        <v>297</v>
      </c>
      <c r="E41" s="18" t="n">
        <v>60.20289016</v>
      </c>
      <c r="F41" s="20" t="n">
        <v>3.24969566</v>
      </c>
      <c r="G41" s="18" t="n">
        <v>38.86459998</v>
      </c>
      <c r="H41" s="20" t="n">
        <v>3.33389947</v>
      </c>
      <c r="I41" s="18" t="n">
        <v>0</v>
      </c>
      <c r="J41" s="20" t="n">
        <v>0</v>
      </c>
      <c r="K41" s="18" t="n">
        <v>0.93250986</v>
      </c>
      <c r="L41" s="20" t="n">
        <v>0.5395109300000001</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(11134.0/B46*100)</f>
        <v/>
      </c>
      <c r="D46" s="19" t="n">
        <v>939</v>
      </c>
      <c r="E46" s="18" t="n">
        <v>74.34608403</v>
      </c>
      <c r="F46" s="20" t="n">
        <v>1.88026033</v>
      </c>
      <c r="G46" s="18" t="n">
        <v>11.93886715</v>
      </c>
      <c r="H46" s="20" t="n">
        <v>1.44502667</v>
      </c>
      <c r="I46" s="18" t="n">
        <v>0</v>
      </c>
      <c r="J46" s="20" t="n">
        <v>0</v>
      </c>
      <c r="K46" s="18" t="n">
        <v>13.50638549</v>
      </c>
      <c r="L46" s="20" t="n">
        <v>1.37569817</v>
      </c>
      <c r="M46" s="18" t="n">
        <v>0.20866332</v>
      </c>
      <c r="N46" s="20" t="n">
        <v>0.19920452</v>
      </c>
      <c r="O46" s="18" t="n">
        <v>0</v>
      </c>
      <c r="P46" s="20" t="n">
        <v>0</v>
      </c>
      <c r="Q46" s="18" t="n">
        <v>0</v>
      </c>
      <c r="R46" s="20" t="n">
        <v>0</v>
      </c>
    </row>
    <row r="47" spans="1:18">
      <c r="A47" s="15" t="s">
        <v>606</v>
      </c>
      <c r="B47" s="17" t="n">
        <v>2823</v>
      </c>
      <c r="C47" s="18">
        <f>(2525.0/B47*100)</f>
        <v/>
      </c>
      <c r="D47" s="19" t="n">
        <v>298</v>
      </c>
      <c r="E47" s="18" t="n">
        <v>57.42720096</v>
      </c>
      <c r="F47" s="20" t="n">
        <v>3.65056749</v>
      </c>
      <c r="G47" s="18" t="n">
        <v>35.98699455</v>
      </c>
      <c r="H47" s="20" t="n">
        <v>3.73402089</v>
      </c>
      <c r="I47" s="18" t="n">
        <v>0</v>
      </c>
      <c r="J47" s="20" t="n">
        <v>0</v>
      </c>
      <c r="K47" s="18" t="n">
        <v>6.24731933</v>
      </c>
      <c r="L47" s="20" t="n">
        <v>1.4811356</v>
      </c>
      <c r="M47" s="18" t="n">
        <v>0.33848516</v>
      </c>
      <c r="N47" s="20" t="n">
        <v>0.32585249</v>
      </c>
      <c r="O47" s="18" t="n">
        <v>0</v>
      </c>
      <c r="P47" s="20" t="n">
        <v>0</v>
      </c>
      <c r="Q47" s="18" t="n">
        <v>0</v>
      </c>
      <c r="R47" s="20" t="n">
        <v>0</v>
      </c>
    </row>
    <row r="48" spans="1:18">
      <c r="A48" s="15" t="s">
        <v>607</v>
      </c>
      <c r="B48" s="17" t="n">
        <v>4682</v>
      </c>
      <c r="C48" s="18">
        <f>(4162.0/B48*100)</f>
        <v/>
      </c>
      <c r="D48" s="19" t="n">
        <v>520</v>
      </c>
      <c r="E48" s="18" t="n">
        <v>66.88191381</v>
      </c>
      <c r="F48" s="20" t="n">
        <v>3.35503849</v>
      </c>
      <c r="G48" s="18" t="n">
        <v>28.06532552</v>
      </c>
      <c r="H48" s="20" t="n">
        <v>3.09118056</v>
      </c>
      <c r="I48" s="18" t="n">
        <v>0</v>
      </c>
      <c r="J48" s="20" t="n">
        <v>0</v>
      </c>
      <c r="K48" s="18" t="n">
        <v>5.05276067</v>
      </c>
      <c r="L48" s="20" t="n">
        <v>1.55564428</v>
      </c>
      <c r="M48" s="18" t="n">
        <v>0</v>
      </c>
      <c r="N48" s="20" t="n">
        <v>0</v>
      </c>
      <c r="O48" s="18" t="n">
        <v>0</v>
      </c>
      <c r="P48" s="20" t="n">
        <v>0</v>
      </c>
      <c r="Q48" s="18" t="n">
        <v>0</v>
      </c>
      <c r="R48" s="20" t="n">
        <v>0</v>
      </c>
    </row>
    <row r="49" spans="1:18">
      <c r="A49" s="15" t="s">
        <v>608</v>
      </c>
      <c r="B49" s="17" t="n">
        <v>6158</v>
      </c>
      <c r="C49" s="18">
        <f>(5523.0/B49*100)</f>
        <v/>
      </c>
      <c r="D49" s="19" t="n">
        <v>635</v>
      </c>
      <c r="E49" s="18" t="n">
        <v>76.72766074</v>
      </c>
      <c r="F49" s="20" t="n">
        <v>2.22943368</v>
      </c>
      <c r="G49" s="18" t="n">
        <v>12.87849737</v>
      </c>
      <c r="H49" s="20" t="n">
        <v>1.55211027</v>
      </c>
      <c r="I49" s="18" t="n">
        <v>0</v>
      </c>
      <c r="J49" s="20" t="n">
        <v>0</v>
      </c>
      <c r="K49" s="18" t="n">
        <v>10.38532038</v>
      </c>
      <c r="L49" s="20" t="n">
        <v>1.80656016</v>
      </c>
      <c r="M49" s="18" t="n">
        <v>0.0085215</v>
      </c>
      <c r="N49" s="20" t="n">
        <v>0.008571179999999999</v>
      </c>
      <c r="O49" s="18" t="n">
        <v>0</v>
      </c>
      <c r="P49" s="20" t="n">
        <v>0</v>
      </c>
      <c r="Q49" s="18" t="n">
        <v>0</v>
      </c>
      <c r="R49" s="20" t="n">
        <v>0</v>
      </c>
    </row>
    <row r="50" spans="1:18">
      <c r="A50" s="15" t="s">
        <v>609</v>
      </c>
      <c r="B50" s="17" t="n">
        <v>3494</v>
      </c>
      <c r="C50" s="18">
        <f>(3168.0/B50*100)</f>
        <v/>
      </c>
      <c r="D50" s="19" t="n">
        <v>326</v>
      </c>
      <c r="E50" s="18" t="n">
        <v>66.57659812999999</v>
      </c>
      <c r="F50" s="20" t="n">
        <v>2.69490749</v>
      </c>
      <c r="G50" s="18" t="n">
        <v>26.82222575</v>
      </c>
      <c r="H50" s="20" t="n">
        <v>2.65767969</v>
      </c>
      <c r="I50" s="18" t="n">
        <v>0</v>
      </c>
      <c r="J50" s="20" t="n">
        <v>0</v>
      </c>
      <c r="K50" s="18" t="n">
        <v>6.22977907</v>
      </c>
      <c r="L50" s="20" t="n">
        <v>1.50169523</v>
      </c>
      <c r="M50" s="18" t="n">
        <v>0.37139706</v>
      </c>
      <c r="N50" s="20" t="n">
        <v>0.34602723</v>
      </c>
      <c r="O50" s="18" t="n">
        <v>0</v>
      </c>
      <c r="P50" s="20" t="n">
        <v>0</v>
      </c>
      <c r="Q50" s="18" t="n">
        <v>0</v>
      </c>
      <c r="R50" s="20" t="n">
        <v>0</v>
      </c>
    </row>
    <row r="51" spans="1:18">
      <c r="A51" s="15" t="s">
        <v>610</v>
      </c>
      <c r="B51" s="17" t="n">
        <v>3013</v>
      </c>
      <c r="C51" s="18">
        <f>(2698.0/B51*100)</f>
        <v/>
      </c>
      <c r="D51" s="19" t="n">
        <v>315</v>
      </c>
      <c r="E51" s="18" t="n">
        <v>60.66038978</v>
      </c>
      <c r="F51" s="20" t="n">
        <v>2.79116188</v>
      </c>
      <c r="G51" s="18" t="n">
        <v>34.56817699</v>
      </c>
      <c r="H51" s="20" t="n">
        <v>2.70463975</v>
      </c>
      <c r="I51" s="18" t="n">
        <v>0</v>
      </c>
      <c r="J51" s="20" t="n">
        <v>0</v>
      </c>
      <c r="K51" s="18" t="n">
        <v>4.77143323</v>
      </c>
      <c r="L51" s="20" t="n">
        <v>1.22981686</v>
      </c>
      <c r="M51" s="18" t="n">
        <v>0</v>
      </c>
      <c r="N51" s="20" t="n">
        <v>0</v>
      </c>
      <c r="O51" s="18" t="n">
        <v>0</v>
      </c>
      <c r="P51" s="20" t="n">
        <v>0</v>
      </c>
      <c r="Q51" s="18" t="n">
        <v>0</v>
      </c>
      <c r="R51" s="20" t="n">
        <v>0</v>
      </c>
    </row>
    <row r="52" spans="1:18">
      <c r="A52" s="15" t="s">
        <v>611</v>
      </c>
      <c r="B52" s="17" t="n">
        <v>2760</v>
      </c>
      <c r="C52" s="18">
        <f>(2465.0/B52*100)</f>
        <v/>
      </c>
      <c r="D52" s="19" t="n">
        <v>295</v>
      </c>
      <c r="E52" s="18" t="n">
        <v>63.48686071</v>
      </c>
      <c r="F52" s="20" t="n">
        <v>2.80809397</v>
      </c>
      <c r="G52" s="18" t="n">
        <v>32.26940732</v>
      </c>
      <c r="H52" s="20" t="n">
        <v>2.96767885</v>
      </c>
      <c r="I52" s="18" t="n">
        <v>0</v>
      </c>
      <c r="J52" s="20" t="n">
        <v>0</v>
      </c>
      <c r="K52" s="18" t="n">
        <v>4.24373198</v>
      </c>
      <c r="L52" s="20" t="n">
        <v>1.03069234</v>
      </c>
      <c r="M52" s="18" t="n">
        <v>0</v>
      </c>
      <c r="N52" s="20" t="n">
        <v>0</v>
      </c>
      <c r="O52" s="18" t="n">
        <v>0</v>
      </c>
      <c r="P52" s="20" t="n">
        <v>0</v>
      </c>
      <c r="Q52" s="18" t="n">
        <v>0</v>
      </c>
      <c r="R52" s="20" t="n">
        <v>0</v>
      </c>
    </row>
    <row r="53" spans="1:18">
      <c r="A53" s="15" t="s">
        <v>612</v>
      </c>
      <c r="B53" s="17" t="n">
        <v>2474</v>
      </c>
      <c r="C53" s="18">
        <f>(2198.0/B53*100)</f>
        <v/>
      </c>
      <c r="D53" s="19" t="n">
        <v>276</v>
      </c>
      <c r="E53" s="18" t="n">
        <v>54.11605295</v>
      </c>
      <c r="F53" s="20" t="n">
        <v>3.3627165</v>
      </c>
      <c r="G53" s="18" t="n">
        <v>8.39494599</v>
      </c>
      <c r="H53" s="20" t="n">
        <v>1.87889334</v>
      </c>
      <c r="I53" s="18" t="n">
        <v>0</v>
      </c>
      <c r="J53" s="20" t="n">
        <v>0</v>
      </c>
      <c r="K53" s="18" t="n">
        <v>36.69145319</v>
      </c>
      <c r="L53" s="20" t="n">
        <v>3.18889652</v>
      </c>
      <c r="M53" s="18" t="n">
        <v>0.79754787</v>
      </c>
      <c r="N53" s="20" t="n">
        <v>0.86143896</v>
      </c>
      <c r="O53" s="18" t="n">
        <v>0</v>
      </c>
      <c r="P53" s="20" t="n">
        <v>0</v>
      </c>
      <c r="Q53" s="18" t="n">
        <v>0</v>
      </c>
      <c r="R53" s="20" t="n">
        <v>0</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(2400.0/B55*100)</f>
        <v/>
      </c>
      <c r="D55" s="19" t="n">
        <v>275</v>
      </c>
      <c r="E55" s="18" t="n">
        <v>56.30426758</v>
      </c>
      <c r="F55" s="20" t="n">
        <v>3.35021343</v>
      </c>
      <c r="G55" s="18" t="n">
        <v>42.26059678</v>
      </c>
      <c r="H55" s="20" t="n">
        <v>3.23709203</v>
      </c>
      <c r="I55" s="18" t="n">
        <v>0</v>
      </c>
      <c r="J55" s="20" t="n">
        <v>0</v>
      </c>
      <c r="K55" s="18" t="n">
        <v>1.43513564</v>
      </c>
      <c r="L55" s="20" t="n">
        <v>0.85603791</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(2862.0/B61*100)</f>
        <v/>
      </c>
      <c r="D61" s="19" t="n">
        <v>339</v>
      </c>
      <c r="E61" s="18" t="n">
        <v>59.60383371</v>
      </c>
      <c r="F61" s="20" t="n">
        <v>2.60476036</v>
      </c>
      <c r="G61" s="18" t="n">
        <v>37.57009506</v>
      </c>
      <c r="H61" s="20" t="n">
        <v>2.61051715</v>
      </c>
      <c r="I61" s="18" t="n">
        <v>0</v>
      </c>
      <c r="J61" s="20" t="n">
        <v>0</v>
      </c>
      <c r="K61" s="18" t="n">
        <v>2.82607123</v>
      </c>
      <c r="L61" s="20" t="n">
        <v>1.1765061</v>
      </c>
      <c r="M61" s="18" t="n">
        <v>0</v>
      </c>
      <c r="N61" s="20" t="n">
        <v>0</v>
      </c>
      <c r="O61" s="18" t="n">
        <v>0</v>
      </c>
      <c r="P61" s="20" t="n">
        <v>0</v>
      </c>
      <c r="Q61" s="18" t="n">
        <v>0</v>
      </c>
      <c r="R61" s="20" t="n">
        <v>0</v>
      </c>
    </row>
    <row r="62" spans="1:18">
      <c r="A62" s="15" t="s">
        <v>622</v>
      </c>
      <c r="B62" s="17" t="n">
        <v>2230</v>
      </c>
      <c r="C62" s="18">
        <f>(1985.0/B62*100)</f>
        <v/>
      </c>
      <c r="D62" s="19" t="n">
        <v>245</v>
      </c>
      <c r="E62" s="18" t="n">
        <v>46.12362529</v>
      </c>
      <c r="F62" s="20" t="n">
        <v>3.18785854</v>
      </c>
      <c r="G62" s="18" t="n">
        <v>53.04173914</v>
      </c>
      <c r="H62" s="20" t="n">
        <v>3.13805699</v>
      </c>
      <c r="I62" s="18" t="n">
        <v>0</v>
      </c>
      <c r="J62" s="20" t="n">
        <v>0</v>
      </c>
      <c r="K62" s="18" t="n">
        <v>0.83463557</v>
      </c>
      <c r="L62" s="20" t="n">
        <v>0.57920078</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(2485.0/B67*100)</f>
        <v/>
      </c>
      <c r="D67" s="19" t="n">
        <v>286</v>
      </c>
      <c r="E67" s="18" t="n">
        <v>67.28326874</v>
      </c>
      <c r="F67" s="20" t="n">
        <v>2.89893806</v>
      </c>
      <c r="G67" s="18" t="n">
        <v>17.33286652</v>
      </c>
      <c r="H67" s="20" t="n">
        <v>2.25498463</v>
      </c>
      <c r="I67" s="18" t="n">
        <v>0</v>
      </c>
      <c r="J67" s="20" t="n">
        <v>0</v>
      </c>
      <c r="K67" s="18" t="n">
        <v>15.00413638</v>
      </c>
      <c r="L67" s="20" t="n">
        <v>2.00352069</v>
      </c>
      <c r="M67" s="18" t="n">
        <v>0.37972836</v>
      </c>
      <c r="N67" s="20" t="n">
        <v>0.37837261</v>
      </c>
      <c r="O67" s="18" t="n">
        <v>0</v>
      </c>
      <c r="P67" s="20" t="n">
        <v>0</v>
      </c>
      <c r="Q67" s="18" t="n">
        <v>0</v>
      </c>
      <c r="R67" s="20" t="n">
        <v>0</v>
      </c>
    </row>
    <row r="68" spans="1:18">
      <c r="A68" s="15" t="s">
        <v>628</v>
      </c>
      <c r="B68" s="17" t="n">
        <v>3460</v>
      </c>
      <c r="C68" s="18">
        <f>(3144.0/B68*100)</f>
        <v/>
      </c>
      <c r="D68" s="19" t="n">
        <v>316</v>
      </c>
      <c r="E68" s="18" t="n">
        <v>70.69656774000001</v>
      </c>
      <c r="F68" s="20" t="n">
        <v>2.78374307</v>
      </c>
      <c r="G68" s="18" t="n">
        <v>19.25730511</v>
      </c>
      <c r="H68" s="20" t="n">
        <v>2.23273722</v>
      </c>
      <c r="I68" s="18" t="n">
        <v>0</v>
      </c>
      <c r="J68" s="20" t="n">
        <v>0</v>
      </c>
      <c r="K68" s="18" t="n">
        <v>9.733090450000001</v>
      </c>
      <c r="L68" s="20" t="n">
        <v>1.92990295</v>
      </c>
      <c r="M68" s="18" t="n">
        <v>0.3130367</v>
      </c>
      <c r="N68" s="20" t="n">
        <v>0.31319968</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(5343.0/B70*100)</f>
        <v/>
      </c>
      <c r="D70" s="19" t="n">
        <v>691</v>
      </c>
      <c r="E70" s="18" t="n">
        <v>64.45319116</v>
      </c>
      <c r="F70" s="20" t="n">
        <v>1.6139427</v>
      </c>
      <c r="G70" s="18" t="n">
        <v>27.01157311</v>
      </c>
      <c r="H70" s="20" t="n">
        <v>1.39402892</v>
      </c>
      <c r="I70" s="18" t="n">
        <v>0</v>
      </c>
      <c r="J70" s="20" t="n">
        <v>0</v>
      </c>
      <c r="K70" s="18" t="n">
        <v>8.53523573</v>
      </c>
      <c r="L70" s="20" t="n">
        <v>1.17926492</v>
      </c>
      <c r="M70" s="18" t="n">
        <v>0</v>
      </c>
      <c r="N70" s="20" t="n">
        <v>0</v>
      </c>
      <c r="O70" s="18" t="n">
        <v>0</v>
      </c>
      <c r="P70" s="20" t="n">
        <v>0</v>
      </c>
      <c r="Q70" s="18" t="n">
        <v>0</v>
      </c>
      <c r="R70" s="20" t="n">
        <v>0</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(2795.0/B72*100)</f>
        <v/>
      </c>
      <c r="D72" s="19" t="n">
        <v>312</v>
      </c>
      <c r="E72" s="18" t="n">
        <v>57.35639414</v>
      </c>
      <c r="F72" s="20" t="n">
        <v>2.81753693</v>
      </c>
      <c r="G72" s="18" t="n">
        <v>39.22170167</v>
      </c>
      <c r="H72" s="20" t="n">
        <v>2.60035098</v>
      </c>
      <c r="I72" s="18" t="n">
        <v>0</v>
      </c>
      <c r="J72" s="20" t="n">
        <v>0</v>
      </c>
      <c r="K72" s="18" t="n">
        <v>3.42190419</v>
      </c>
      <c r="L72" s="20" t="n">
        <v>1.16000677</v>
      </c>
      <c r="M72" s="18" t="n">
        <v>0</v>
      </c>
      <c r="N72" s="20" t="n">
        <v>0</v>
      </c>
      <c r="O72" s="18" t="n">
        <v>0</v>
      </c>
      <c r="P72" s="20" t="n">
        <v>0</v>
      </c>
      <c r="Q72" s="18" t="n">
        <v>0</v>
      </c>
      <c r="R72" s="20" t="n">
        <v>0</v>
      </c>
    </row>
    <row r="73" spans="1:18">
      <c r="A73" s="15" t="s">
        <v>633</v>
      </c>
      <c r="B73" s="17" t="n">
        <v>2973</v>
      </c>
      <c r="C73" s="18">
        <f>(2652.0/B73*100)</f>
        <v/>
      </c>
      <c r="D73" s="19" t="n">
        <v>321</v>
      </c>
      <c r="E73" s="18" t="n">
        <v>47.77124039</v>
      </c>
      <c r="F73" s="20" t="n">
        <v>2.67192659</v>
      </c>
      <c r="G73" s="18" t="n">
        <v>50.83110149</v>
      </c>
      <c r="H73" s="20" t="n">
        <v>2.72920472</v>
      </c>
      <c r="I73" s="18" t="n">
        <v>0</v>
      </c>
      <c r="J73" s="20" t="n">
        <v>0</v>
      </c>
      <c r="K73" s="18" t="n">
        <v>0.96386101</v>
      </c>
      <c r="L73" s="20" t="n">
        <v>0.55839152</v>
      </c>
      <c r="M73" s="18" t="n">
        <v>0.4337971</v>
      </c>
      <c r="N73" s="20" t="n">
        <v>0.43767485</v>
      </c>
      <c r="O73" s="18" t="n">
        <v>0</v>
      </c>
      <c r="P73" s="20" t="n">
        <v>0</v>
      </c>
      <c r="Q73" s="18" t="n">
        <v>0</v>
      </c>
      <c r="R73" s="20" t="n">
        <v>0</v>
      </c>
    </row>
    <row r="74" spans="1:18">
      <c r="A74" s="15" t="s">
        <v>634</v>
      </c>
      <c r="B74" s="17" t="n">
        <v>3819</v>
      </c>
      <c r="C74" s="18">
        <f>(3394.0/B74*100)</f>
        <v/>
      </c>
      <c r="D74" s="19" t="n">
        <v>425</v>
      </c>
      <c r="E74" s="18" t="n">
        <v>36.68231127</v>
      </c>
      <c r="F74" s="20" t="n">
        <v>2.40304366</v>
      </c>
      <c r="G74" s="18" t="n">
        <v>62.87082341</v>
      </c>
      <c r="H74" s="20" t="n">
        <v>2.33030249</v>
      </c>
      <c r="I74" s="18" t="n">
        <v>0</v>
      </c>
      <c r="J74" s="20" t="n">
        <v>0</v>
      </c>
      <c r="K74" s="18" t="n">
        <v>0.44686532</v>
      </c>
      <c r="L74" s="20" t="n">
        <v>0.29271815</v>
      </c>
      <c r="M74" s="18" t="n">
        <v>0</v>
      </c>
      <c r="N74" s="20" t="n">
        <v>0</v>
      </c>
      <c r="O74" s="18" t="n">
        <v>0</v>
      </c>
      <c r="P74" s="20" t="n">
        <v>0</v>
      </c>
      <c r="Q74" s="18" t="n">
        <v>0</v>
      </c>
      <c r="R74" s="20" t="n">
        <v>0</v>
      </c>
    </row>
    <row r="75" spans="1:18">
      <c r="A75" s="15" t="s">
        <v>635</v>
      </c>
      <c r="B75" s="17" t="n">
        <v>4652</v>
      </c>
      <c r="C75" s="18">
        <f>(4185.0/B75*100)</f>
        <v/>
      </c>
      <c r="D75" s="19" t="n">
        <v>467</v>
      </c>
      <c r="E75" s="18" t="n">
        <v>69.96953018000001</v>
      </c>
      <c r="F75" s="20" t="n">
        <v>2.63970635</v>
      </c>
      <c r="G75" s="18" t="n">
        <v>27.74901866</v>
      </c>
      <c r="H75" s="20" t="n">
        <v>2.43126116</v>
      </c>
      <c r="I75" s="18" t="n">
        <v>0</v>
      </c>
      <c r="J75" s="20" t="n">
        <v>0</v>
      </c>
      <c r="K75" s="18" t="n">
        <v>2.27094059</v>
      </c>
      <c r="L75" s="20" t="n">
        <v>0.83597588</v>
      </c>
      <c r="M75" s="18" t="n">
        <v>0.01051057</v>
      </c>
      <c r="N75" s="20" t="n">
        <v>0.01047295</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(2678.0/B77*100)</f>
        <v/>
      </c>
      <c r="D77" s="19" t="n">
        <v>291</v>
      </c>
      <c r="E77" s="18" t="n">
        <v>0</v>
      </c>
      <c r="F77" s="20" t="n">
        <v>0</v>
      </c>
      <c r="G77" s="18" t="n">
        <v>0</v>
      </c>
      <c r="H77" s="20" t="n">
        <v>0</v>
      </c>
      <c r="I77" s="18" t="n">
        <v>0</v>
      </c>
      <c r="J77" s="20" t="n">
        <v>0</v>
      </c>
      <c r="K77" s="18" t="n">
        <v>0</v>
      </c>
      <c r="L77" s="20" t="n">
        <v>0</v>
      </c>
      <c r="M77" s="18" t="n">
        <v>100</v>
      </c>
      <c r="N77" s="20" t="n">
        <v>0</v>
      </c>
      <c r="O77" s="18" t="n">
        <v>0</v>
      </c>
      <c r="P77" s="20" t="n">
        <v>0</v>
      </c>
      <c r="Q77" s="18" t="n">
        <v>0</v>
      </c>
      <c r="R77" s="20" t="n">
        <v>0</v>
      </c>
    </row>
    <row r="78" spans="1:18">
      <c r="A78" s="15" t="s">
        <v>638</v>
      </c>
      <c r="B78" s="17" t="n">
        <v>7115</v>
      </c>
      <c r="C78" s="18">
        <f>(6356.0/B78*100)</f>
        <v/>
      </c>
      <c r="D78" s="19" t="n">
        <v>759</v>
      </c>
      <c r="E78" s="18" t="n">
        <v>63.55538245</v>
      </c>
      <c r="F78" s="20" t="n">
        <v>2.73578466</v>
      </c>
      <c r="G78" s="18" t="n">
        <v>33.85756627</v>
      </c>
      <c r="H78" s="20" t="n">
        <v>2.74718078</v>
      </c>
      <c r="I78" s="18" t="n">
        <v>0</v>
      </c>
      <c r="J78" s="20" t="n">
        <v>0</v>
      </c>
      <c r="K78" s="18" t="n">
        <v>2.3884727</v>
      </c>
      <c r="L78" s="20" t="n">
        <v>0.64869831</v>
      </c>
      <c r="M78" s="18" t="n">
        <v>0.19857859</v>
      </c>
      <c r="N78" s="20" t="n">
        <v>0.14358793</v>
      </c>
      <c r="O78" s="18" t="n">
        <v>0</v>
      </c>
      <c r="P78" s="20" t="n">
        <v>0</v>
      </c>
      <c r="Q78" s="18" t="n">
        <v>0</v>
      </c>
      <c r="R78" s="20" t="n">
        <v>0</v>
      </c>
    </row>
    <row r="79" spans="1:18">
      <c r="A79" s="15" t="s">
        <v>639</v>
      </c>
      <c r="B79" s="17" t="n">
        <v>3154</v>
      </c>
      <c r="C79" s="18">
        <f>(2835.0/B79*100)</f>
        <v/>
      </c>
      <c r="D79" s="19" t="n">
        <v>319</v>
      </c>
      <c r="E79" s="18" t="n">
        <v>60.31884974</v>
      </c>
      <c r="F79" s="20" t="n">
        <v>3.04034858</v>
      </c>
      <c r="G79" s="18" t="n">
        <v>26.05680156</v>
      </c>
      <c r="H79" s="20" t="n">
        <v>2.24521058</v>
      </c>
      <c r="I79" s="18" t="n">
        <v>0</v>
      </c>
      <c r="J79" s="20" t="n">
        <v>0</v>
      </c>
      <c r="K79" s="18" t="n">
        <v>13.6243487</v>
      </c>
      <c r="L79" s="20" t="n">
        <v>2.55224288</v>
      </c>
      <c r="M79" s="18" t="n">
        <v>0</v>
      </c>
      <c r="N79" s="20" t="n">
        <v>0</v>
      </c>
      <c r="O79" s="18" t="n">
        <v>0</v>
      </c>
      <c r="P79" s="20" t="n">
        <v>0</v>
      </c>
      <c r="Q79" s="18" t="n">
        <v>0</v>
      </c>
      <c r="R79" s="20" t="n">
        <v>0</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(14242.0/B82*100)</f>
        <v/>
      </c>
      <c r="D82" s="19" t="n">
        <v>1719</v>
      </c>
      <c r="E82" s="18" t="n">
        <v>56.80459488</v>
      </c>
      <c r="F82" s="20" t="n">
        <v>1.90758253</v>
      </c>
      <c r="G82" s="18" t="n">
        <v>40.0539484</v>
      </c>
      <c r="H82" s="20" t="n">
        <v>2.035557</v>
      </c>
      <c r="I82" s="18" t="n">
        <v>0</v>
      </c>
      <c r="J82" s="20" t="n">
        <v>0</v>
      </c>
      <c r="K82" s="18" t="n">
        <v>2.95582696</v>
      </c>
      <c r="L82" s="20" t="n">
        <v>0.59186969</v>
      </c>
      <c r="M82" s="18" t="n">
        <v>0.18562976</v>
      </c>
      <c r="N82" s="20" t="n">
        <v>0.18430587</v>
      </c>
      <c r="O82" s="18" t="n">
        <v>0</v>
      </c>
      <c r="P82" s="20" t="n">
        <v>0</v>
      </c>
      <c r="Q82" s="18" t="n">
        <v>0</v>
      </c>
      <c r="R82" s="20" t="n">
        <v>0</v>
      </c>
    </row>
    <row r="83" spans="1:18">
      <c r="A83" s="15" t="s">
        <v>643</v>
      </c>
      <c r="B83" s="17" t="n">
        <v>808</v>
      </c>
      <c r="C83" s="18">
        <f>(714.0/B83*100)</f>
        <v/>
      </c>
      <c r="D83" s="19" t="n">
        <v>94</v>
      </c>
      <c r="E83" s="18" t="n">
        <v>40.68460534</v>
      </c>
      <c r="F83" s="20" t="n">
        <v>4.64560919</v>
      </c>
      <c r="G83" s="18" t="n">
        <v>55.16932437</v>
      </c>
      <c r="H83" s="20" t="n">
        <v>5.35985367</v>
      </c>
      <c r="I83" s="18" t="n">
        <v>0</v>
      </c>
      <c r="J83" s="20" t="n">
        <v>0</v>
      </c>
      <c r="K83" s="18" t="n">
        <v>4.14607029</v>
      </c>
      <c r="L83" s="20" t="n">
        <v>2.33556426</v>
      </c>
      <c r="M83" s="18" t="n">
        <v>0</v>
      </c>
      <c r="N83" s="20" t="n">
        <v>0</v>
      </c>
      <c r="O83" s="18" t="n">
        <v>0</v>
      </c>
      <c r="P83" s="20" t="n">
        <v>0</v>
      </c>
      <c r="Q83" s="18" t="n">
        <v>0</v>
      </c>
      <c r="R83" s="20" t="n">
        <v>0</v>
      </c>
    </row>
    <row r="84" spans="1:18">
      <c r="A84" s="23" t="s">
        <v>644</v>
      </c>
      <c r="B84" s="24" t="n">
        <v>938</v>
      </c>
      <c r="C84" s="25">
        <f>(834.0/B84*100)</f>
        <v/>
      </c>
      <c r="D84" s="19" t="n">
        <v>104</v>
      </c>
      <c r="E84" s="18" t="n">
        <v>48.17517824</v>
      </c>
      <c r="F84" s="20" t="n">
        <v>4.84733216</v>
      </c>
      <c r="G84" s="18" t="n">
        <v>47.74569671</v>
      </c>
      <c r="H84" s="20" t="n">
        <v>4.86406526</v>
      </c>
      <c r="I84" s="18" t="n">
        <v>0</v>
      </c>
      <c r="J84" s="20" t="n">
        <v>0</v>
      </c>
      <c r="K84" s="18" t="n">
        <v>4.07912505</v>
      </c>
      <c r="L84" s="20" t="n">
        <v>1.82928411</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(6384.0/B7*100)</f>
        <v/>
      </c>
      <c r="D7" s="19" t="n">
        <v>779</v>
      </c>
      <c r="E7" s="18" t="n">
        <v>82.92367896</v>
      </c>
      <c r="F7" s="20" t="n">
        <v>1.91900088</v>
      </c>
      <c r="G7" s="18" t="n">
        <v>8.876870139999999</v>
      </c>
      <c r="H7" s="20" t="n">
        <v>1.31697404</v>
      </c>
      <c r="I7" s="18" t="n">
        <v>0</v>
      </c>
      <c r="J7" s="20" t="n">
        <v>0</v>
      </c>
      <c r="K7" s="18" t="n">
        <v>0.17744419</v>
      </c>
      <c r="L7" s="20" t="n">
        <v>0.1710682</v>
      </c>
      <c r="M7" s="18" t="n">
        <v>0.01289593</v>
      </c>
      <c r="N7" s="20" t="n">
        <v>0.01304561</v>
      </c>
      <c r="O7" s="18" t="n">
        <v>0</v>
      </c>
      <c r="P7" s="20" t="n">
        <v>0</v>
      </c>
      <c r="Q7" s="18" t="n">
        <v>8.00911078</v>
      </c>
      <c r="R7" s="20" t="n">
        <v>1.13831555</v>
      </c>
    </row>
    <row r="8" spans="1:18">
      <c r="A8" s="15" t="s">
        <v>566</v>
      </c>
      <c r="B8" s="17" t="n">
        <v>3443</v>
      </c>
      <c r="C8" s="18">
        <f>(3033.0/B8*100)</f>
        <v/>
      </c>
      <c r="D8" s="19" t="n">
        <v>410</v>
      </c>
      <c r="E8" s="18" t="n">
        <v>78.9908585</v>
      </c>
      <c r="F8" s="20" t="n">
        <v>2.07253468</v>
      </c>
      <c r="G8" s="18" t="n">
        <v>7.8886068</v>
      </c>
      <c r="H8" s="20" t="n">
        <v>1.25856449</v>
      </c>
      <c r="I8" s="18" t="n">
        <v>0</v>
      </c>
      <c r="J8" s="20" t="n">
        <v>0</v>
      </c>
      <c r="K8" s="18" t="n">
        <v>0</v>
      </c>
      <c r="L8" s="20" t="n">
        <v>0</v>
      </c>
      <c r="M8" s="18" t="n">
        <v>0</v>
      </c>
      <c r="N8" s="20" t="n">
        <v>0</v>
      </c>
      <c r="O8" s="18" t="n">
        <v>0</v>
      </c>
      <c r="P8" s="20" t="n">
        <v>0</v>
      </c>
      <c r="Q8" s="18" t="n">
        <v>13.1205347</v>
      </c>
      <c r="R8" s="20" t="n">
        <v>1.62849456</v>
      </c>
    </row>
    <row r="9" spans="1:18">
      <c r="A9" s="15" t="s">
        <v>567</v>
      </c>
      <c r="B9" s="17" t="n">
        <v>4752</v>
      </c>
      <c r="C9" s="18">
        <f>(4205.0/B9*100)</f>
        <v/>
      </c>
      <c r="D9" s="19" t="n">
        <v>547</v>
      </c>
      <c r="E9" s="18" t="n">
        <v>78.24672361</v>
      </c>
      <c r="F9" s="20" t="n">
        <v>1.93889024</v>
      </c>
      <c r="G9" s="18" t="n">
        <v>11.0905843</v>
      </c>
      <c r="H9" s="20" t="n">
        <v>1.3984959</v>
      </c>
      <c r="I9" s="18" t="n">
        <v>0</v>
      </c>
      <c r="J9" s="20" t="n">
        <v>0</v>
      </c>
      <c r="K9" s="18" t="n">
        <v>0</v>
      </c>
      <c r="L9" s="20" t="n">
        <v>0</v>
      </c>
      <c r="M9" s="18" t="n">
        <v>0.19922968</v>
      </c>
      <c r="N9" s="20" t="n">
        <v>0.19851625</v>
      </c>
      <c r="O9" s="18" t="n">
        <v>0</v>
      </c>
      <c r="P9" s="20" t="n">
        <v>0</v>
      </c>
      <c r="Q9" s="18" t="n">
        <v>10.46346241</v>
      </c>
      <c r="R9" s="20" t="n">
        <v>1.44297282</v>
      </c>
    </row>
    <row r="10" spans="1:18">
      <c r="A10" s="15" t="s">
        <v>568</v>
      </c>
      <c r="B10" s="17" t="n">
        <v>10022</v>
      </c>
      <c r="C10" s="18">
        <f>(8899.0/B10*100)</f>
        <v/>
      </c>
      <c r="D10" s="19" t="n">
        <v>1123</v>
      </c>
      <c r="E10" s="18" t="n">
        <v>77.86795257999999</v>
      </c>
      <c r="F10" s="20" t="n">
        <v>1.72065652</v>
      </c>
      <c r="G10" s="18" t="n">
        <v>18.69852831</v>
      </c>
      <c r="H10" s="20" t="n">
        <v>1.5650723</v>
      </c>
      <c r="I10" s="18" t="n">
        <v>0</v>
      </c>
      <c r="J10" s="20" t="n">
        <v>0</v>
      </c>
      <c r="K10" s="18" t="n">
        <v>0.02816776</v>
      </c>
      <c r="L10" s="20" t="n">
        <v>0.02821065</v>
      </c>
      <c r="M10" s="18" t="n">
        <v>0</v>
      </c>
      <c r="N10" s="20" t="n">
        <v>0</v>
      </c>
      <c r="O10" s="18" t="n">
        <v>0</v>
      </c>
      <c r="P10" s="20" t="n">
        <v>0</v>
      </c>
      <c r="Q10" s="18" t="n">
        <v>3.40535135</v>
      </c>
      <c r="R10" s="20" t="n">
        <v>0.74646084</v>
      </c>
    </row>
    <row r="11" spans="1:18">
      <c r="A11" s="15" t="s">
        <v>569</v>
      </c>
      <c r="B11" s="17" t="n">
        <v>3500</v>
      </c>
      <c r="C11" s="18">
        <f>(3124.0/B11*100)</f>
        <v/>
      </c>
      <c r="D11" s="19" t="n">
        <v>376</v>
      </c>
      <c r="E11" s="18" t="n">
        <v>80.88552334000001</v>
      </c>
      <c r="F11" s="20" t="n">
        <v>2.48043874</v>
      </c>
      <c r="G11" s="18" t="n">
        <v>4.90125037</v>
      </c>
      <c r="H11" s="20" t="n">
        <v>1.51435093</v>
      </c>
      <c r="I11" s="18" t="n">
        <v>0</v>
      </c>
      <c r="J11" s="20" t="n">
        <v>0</v>
      </c>
      <c r="K11" s="18" t="n">
        <v>0</v>
      </c>
      <c r="L11" s="20" t="n">
        <v>0</v>
      </c>
      <c r="M11" s="18" t="n">
        <v>0</v>
      </c>
      <c r="N11" s="20" t="n">
        <v>0</v>
      </c>
      <c r="O11" s="18" t="n">
        <v>0</v>
      </c>
      <c r="P11" s="20" t="n">
        <v>0</v>
      </c>
      <c r="Q11" s="18" t="n">
        <v>14.21322629</v>
      </c>
      <c r="R11" s="20" t="n">
        <v>2.06711316</v>
      </c>
    </row>
    <row r="12" spans="1:18">
      <c r="A12" s="15" t="s">
        <v>570</v>
      </c>
      <c r="B12" s="17" t="n">
        <v>3422</v>
      </c>
      <c r="C12" s="18">
        <f>(3036.0/B12*100)</f>
        <v/>
      </c>
      <c r="D12" s="19" t="n">
        <v>386</v>
      </c>
      <c r="E12" s="18" t="n">
        <v>78.49445348</v>
      </c>
      <c r="F12" s="20" t="n">
        <v>2.43598614</v>
      </c>
      <c r="G12" s="18" t="n">
        <v>7.50554651</v>
      </c>
      <c r="H12" s="20" t="n">
        <v>1.4386704</v>
      </c>
      <c r="I12" s="18" t="n">
        <v>0</v>
      </c>
      <c r="J12" s="20" t="n">
        <v>0</v>
      </c>
      <c r="K12" s="18" t="n">
        <v>0</v>
      </c>
      <c r="L12" s="20" t="n">
        <v>0</v>
      </c>
      <c r="M12" s="18" t="n">
        <v>0</v>
      </c>
      <c r="N12" s="20" t="n">
        <v>0</v>
      </c>
      <c r="O12" s="18" t="n">
        <v>0</v>
      </c>
      <c r="P12" s="20" t="n">
        <v>0</v>
      </c>
      <c r="Q12" s="18" t="n">
        <v>14.00000002</v>
      </c>
      <c r="R12" s="20" t="n">
        <v>2.13733338</v>
      </c>
    </row>
    <row r="13" spans="1:18">
      <c r="A13" s="15" t="s">
        <v>571</v>
      </c>
      <c r="B13" s="17" t="n">
        <v>3602</v>
      </c>
      <c r="C13" s="18">
        <f>(3230.0/B13*100)</f>
        <v/>
      </c>
      <c r="D13" s="19" t="n">
        <v>372</v>
      </c>
      <c r="E13" s="18" t="n">
        <v>66.92037472</v>
      </c>
      <c r="F13" s="20" t="n">
        <v>3.04189137</v>
      </c>
      <c r="G13" s="18" t="n">
        <v>24.28861522</v>
      </c>
      <c r="H13" s="20" t="n">
        <v>2.74257238</v>
      </c>
      <c r="I13" s="18" t="n">
        <v>0</v>
      </c>
      <c r="J13" s="20" t="n">
        <v>0</v>
      </c>
      <c r="K13" s="18" t="n">
        <v>0</v>
      </c>
      <c r="L13" s="20" t="n">
        <v>0</v>
      </c>
      <c r="M13" s="18" t="n">
        <v>0</v>
      </c>
      <c r="N13" s="20" t="n">
        <v>0</v>
      </c>
      <c r="O13" s="18" t="n">
        <v>0</v>
      </c>
      <c r="P13" s="20" t="n">
        <v>0</v>
      </c>
      <c r="Q13" s="18" t="n">
        <v>8.791010050000001</v>
      </c>
      <c r="R13" s="20" t="n">
        <v>1.79792937</v>
      </c>
    </row>
    <row r="14" spans="1:18">
      <c r="A14" s="15" t="s">
        <v>572</v>
      </c>
      <c r="B14" s="17" t="n">
        <v>2788</v>
      </c>
      <c r="C14" s="18">
        <f>(2483.0/B14*100)</f>
        <v/>
      </c>
      <c r="D14" s="19" t="n">
        <v>305</v>
      </c>
      <c r="E14" s="18" t="n">
        <v>69.12962446</v>
      </c>
      <c r="F14" s="20" t="n">
        <v>3.17344942</v>
      </c>
      <c r="G14" s="18" t="n">
        <v>23.52947445</v>
      </c>
      <c r="H14" s="20" t="n">
        <v>2.70525193</v>
      </c>
      <c r="I14" s="18" t="n">
        <v>0</v>
      </c>
      <c r="J14" s="20" t="n">
        <v>0</v>
      </c>
      <c r="K14" s="18" t="n">
        <v>0</v>
      </c>
      <c r="L14" s="20" t="n">
        <v>0</v>
      </c>
      <c r="M14" s="18" t="n">
        <v>0</v>
      </c>
      <c r="N14" s="20" t="n">
        <v>0</v>
      </c>
      <c r="O14" s="18" t="n">
        <v>0</v>
      </c>
      <c r="P14" s="20" t="n">
        <v>0</v>
      </c>
      <c r="Q14" s="18" t="n">
        <v>7.34090109</v>
      </c>
      <c r="R14" s="20" t="n">
        <v>1.93757005</v>
      </c>
    </row>
    <row r="15" spans="1:18">
      <c r="A15" s="15" t="s">
        <v>573</v>
      </c>
      <c r="B15" s="17" t="n">
        <v>2863</v>
      </c>
      <c r="C15" s="18">
        <f>(2554.0/B15*100)</f>
        <v/>
      </c>
      <c r="D15" s="19" t="n">
        <v>309</v>
      </c>
      <c r="E15" s="18" t="n">
        <v>73.0468771</v>
      </c>
      <c r="F15" s="20" t="n">
        <v>2.58731828</v>
      </c>
      <c r="G15" s="18" t="n">
        <v>20.81544848</v>
      </c>
      <c r="H15" s="20" t="n">
        <v>2.38118534</v>
      </c>
      <c r="I15" s="18" t="n">
        <v>0</v>
      </c>
      <c r="J15" s="20" t="n">
        <v>0</v>
      </c>
      <c r="K15" s="18" t="n">
        <v>0</v>
      </c>
      <c r="L15" s="20" t="n">
        <v>0</v>
      </c>
      <c r="M15" s="18" t="n">
        <v>0</v>
      </c>
      <c r="N15" s="20" t="n">
        <v>0</v>
      </c>
      <c r="O15" s="18" t="n">
        <v>0</v>
      </c>
      <c r="P15" s="20" t="n">
        <v>0</v>
      </c>
      <c r="Q15" s="18" t="n">
        <v>6.13767442</v>
      </c>
      <c r="R15" s="20" t="n">
        <v>1.31825186</v>
      </c>
    </row>
    <row r="16" spans="1:18">
      <c r="A16" s="15" t="s">
        <v>574</v>
      </c>
      <c r="B16" s="17" t="n">
        <v>3111</v>
      </c>
      <c r="C16" s="18">
        <f>(2767.0/B16*100)</f>
        <v/>
      </c>
      <c r="D16" s="19" t="n">
        <v>344</v>
      </c>
      <c r="E16" s="18" t="n">
        <v>80.64247081000001</v>
      </c>
      <c r="F16" s="20" t="n">
        <v>2.28752783</v>
      </c>
      <c r="G16" s="18" t="n">
        <v>3.80799499</v>
      </c>
      <c r="H16" s="20" t="n">
        <v>1.09747306</v>
      </c>
      <c r="I16" s="18" t="n">
        <v>0</v>
      </c>
      <c r="J16" s="20" t="n">
        <v>0</v>
      </c>
      <c r="K16" s="18" t="n">
        <v>0.38918296</v>
      </c>
      <c r="L16" s="20" t="n">
        <v>0.72557176</v>
      </c>
      <c r="M16" s="18" t="n">
        <v>0.28290727</v>
      </c>
      <c r="N16" s="20" t="n">
        <v>0.25513926</v>
      </c>
      <c r="O16" s="18" t="n">
        <v>0</v>
      </c>
      <c r="P16" s="20" t="n">
        <v>0</v>
      </c>
      <c r="Q16" s="18" t="n">
        <v>14.87744397</v>
      </c>
      <c r="R16" s="20" t="n">
        <v>2.01415519</v>
      </c>
    </row>
    <row r="17" spans="1:18">
      <c r="A17" s="15" t="s">
        <v>575</v>
      </c>
      <c r="B17" s="17" t="n">
        <v>3197</v>
      </c>
      <c r="C17" s="18">
        <f>(2840.0/B17*100)</f>
        <v/>
      </c>
      <c r="D17" s="19" t="n">
        <v>357</v>
      </c>
      <c r="E17" s="18" t="n">
        <v>75.79921435</v>
      </c>
      <c r="F17" s="20" t="n">
        <v>2.41463811</v>
      </c>
      <c r="G17" s="18" t="n">
        <v>9.70939611</v>
      </c>
      <c r="H17" s="20" t="n">
        <v>1.65214624</v>
      </c>
      <c r="I17" s="18" t="n">
        <v>0</v>
      </c>
      <c r="J17" s="20" t="n">
        <v>0</v>
      </c>
      <c r="K17" s="18" t="n">
        <v>0.29204921</v>
      </c>
      <c r="L17" s="20" t="n">
        <v>0.28287519</v>
      </c>
      <c r="M17" s="18" t="n">
        <v>0</v>
      </c>
      <c r="N17" s="20" t="n">
        <v>0</v>
      </c>
      <c r="O17" s="18" t="n">
        <v>0</v>
      </c>
      <c r="P17" s="20" t="n">
        <v>0</v>
      </c>
      <c r="Q17" s="18" t="n">
        <v>14.19934032</v>
      </c>
      <c r="R17" s="20" t="n">
        <v>1.87055639</v>
      </c>
    </row>
    <row r="18" spans="1:18">
      <c r="A18" s="15" t="s">
        <v>576</v>
      </c>
      <c r="B18" s="17" t="n">
        <v>2706</v>
      </c>
      <c r="C18" s="18">
        <f>(2408.0/B18*100)</f>
        <v/>
      </c>
      <c r="D18" s="19" t="n">
        <v>298</v>
      </c>
      <c r="E18" s="18" t="n">
        <v>81.29408979</v>
      </c>
      <c r="F18" s="20" t="n">
        <v>2.22694779</v>
      </c>
      <c r="G18" s="18" t="n">
        <v>3.80281979</v>
      </c>
      <c r="H18" s="20" t="n">
        <v>1.09874038</v>
      </c>
      <c r="I18" s="18" t="n">
        <v>0</v>
      </c>
      <c r="J18" s="20" t="n">
        <v>0</v>
      </c>
      <c r="K18" s="18" t="n">
        <v>0.36742774</v>
      </c>
      <c r="L18" s="20" t="n">
        <v>0.29373431</v>
      </c>
      <c r="M18" s="18" t="n">
        <v>0</v>
      </c>
      <c r="N18" s="20" t="n">
        <v>0</v>
      </c>
      <c r="O18" s="18" t="n">
        <v>0</v>
      </c>
      <c r="P18" s="20" t="n">
        <v>0</v>
      </c>
      <c r="Q18" s="18" t="n">
        <v>14.53566267</v>
      </c>
      <c r="R18" s="20" t="n">
        <v>2.11903162</v>
      </c>
    </row>
    <row r="19" spans="1:18">
      <c r="A19" s="15" t="s">
        <v>577</v>
      </c>
      <c r="B19" s="17" t="n">
        <v>2850</v>
      </c>
      <c r="C19" s="18">
        <f>(2502.0/B19*100)</f>
        <v/>
      </c>
      <c r="D19" s="19" t="n">
        <v>348</v>
      </c>
      <c r="E19" s="18" t="n">
        <v>80.51227229</v>
      </c>
      <c r="F19" s="20" t="n">
        <v>2.64808511</v>
      </c>
      <c r="G19" s="18" t="n">
        <v>2.64183413</v>
      </c>
      <c r="H19" s="20" t="n">
        <v>0.87537789</v>
      </c>
      <c r="I19" s="18" t="n">
        <v>0</v>
      </c>
      <c r="J19" s="20" t="n">
        <v>0</v>
      </c>
      <c r="K19" s="18" t="n">
        <v>0</v>
      </c>
      <c r="L19" s="20" t="n">
        <v>0</v>
      </c>
      <c r="M19" s="18" t="n">
        <v>0</v>
      </c>
      <c r="N19" s="20" t="n">
        <v>0</v>
      </c>
      <c r="O19" s="18" t="n">
        <v>0</v>
      </c>
      <c r="P19" s="20" t="n">
        <v>0</v>
      </c>
      <c r="Q19" s="18" t="n">
        <v>16.84589358</v>
      </c>
      <c r="R19" s="20" t="n">
        <v>2.64441749</v>
      </c>
    </row>
    <row r="20" spans="1:18">
      <c r="A20" s="15" t="s">
        <v>578</v>
      </c>
      <c r="B20" s="17" t="n">
        <v>1741</v>
      </c>
      <c r="C20" s="18">
        <f>(1542.0/B20*100)</f>
        <v/>
      </c>
      <c r="D20" s="19" t="n">
        <v>199</v>
      </c>
      <c r="E20" s="18" t="n">
        <v>81.7947018</v>
      </c>
      <c r="F20" s="20" t="n">
        <v>2.7592421</v>
      </c>
      <c r="G20" s="18" t="n">
        <v>5.79683249</v>
      </c>
      <c r="H20" s="20" t="n">
        <v>1.43392485</v>
      </c>
      <c r="I20" s="18" t="n">
        <v>0</v>
      </c>
      <c r="J20" s="20" t="n">
        <v>0</v>
      </c>
      <c r="K20" s="18" t="n">
        <v>0.4314882</v>
      </c>
      <c r="L20" s="20" t="n">
        <v>0.42911272</v>
      </c>
      <c r="M20" s="18" t="n">
        <v>0</v>
      </c>
      <c r="N20" s="20" t="n">
        <v>0</v>
      </c>
      <c r="O20" s="18" t="n">
        <v>0</v>
      </c>
      <c r="P20" s="20" t="n">
        <v>0</v>
      </c>
      <c r="Q20" s="18" t="n">
        <v>11.97697752</v>
      </c>
      <c r="R20" s="20" t="n">
        <v>2.39577674</v>
      </c>
    </row>
    <row r="21" spans="1:18">
      <c r="A21" s="15" t="s">
        <v>579</v>
      </c>
      <c r="B21" s="17" t="n">
        <v>2833</v>
      </c>
      <c r="C21" s="18">
        <f>(2499.0/B21*100)</f>
        <v/>
      </c>
      <c r="D21" s="19" t="n">
        <v>334</v>
      </c>
      <c r="E21" s="18" t="n">
        <v>80.0913238</v>
      </c>
      <c r="F21" s="20" t="n">
        <v>2.12202443</v>
      </c>
      <c r="G21" s="18" t="n">
        <v>15.32048351</v>
      </c>
      <c r="H21" s="20" t="n">
        <v>1.97772728</v>
      </c>
      <c r="I21" s="18" t="n">
        <v>0</v>
      </c>
      <c r="J21" s="20" t="n">
        <v>0</v>
      </c>
      <c r="K21" s="18" t="n">
        <v>0</v>
      </c>
      <c r="L21" s="20" t="n">
        <v>0</v>
      </c>
      <c r="M21" s="18" t="n">
        <v>0</v>
      </c>
      <c r="N21" s="20" t="n">
        <v>0</v>
      </c>
      <c r="O21" s="18" t="n">
        <v>0</v>
      </c>
      <c r="P21" s="20" t="n">
        <v>0</v>
      </c>
      <c r="Q21" s="18" t="n">
        <v>4.58819269</v>
      </c>
      <c r="R21" s="20" t="n">
        <v>1.17477734</v>
      </c>
    </row>
    <row r="22" spans="1:18">
      <c r="A22" s="15" t="s">
        <v>580</v>
      </c>
      <c r="B22" s="17" t="n">
        <v>3667</v>
      </c>
      <c r="C22" s="18">
        <f>(3342.0/B22*100)</f>
        <v/>
      </c>
      <c r="D22" s="19" t="n">
        <v>325</v>
      </c>
      <c r="E22" s="18" t="n">
        <v>76.96516912</v>
      </c>
      <c r="F22" s="20" t="n">
        <v>2.61381326</v>
      </c>
      <c r="G22" s="18" t="n">
        <v>4.73981475</v>
      </c>
      <c r="H22" s="20" t="n">
        <v>1.16492215</v>
      </c>
      <c r="I22" s="18" t="n">
        <v>0</v>
      </c>
      <c r="J22" s="20" t="n">
        <v>0</v>
      </c>
      <c r="K22" s="18" t="n">
        <v>0</v>
      </c>
      <c r="L22" s="20" t="n">
        <v>0</v>
      </c>
      <c r="M22" s="18" t="n">
        <v>0.5189190299999999</v>
      </c>
      <c r="N22" s="20" t="n">
        <v>0.52217527</v>
      </c>
      <c r="O22" s="18" t="n">
        <v>0</v>
      </c>
      <c r="P22" s="20" t="n">
        <v>0</v>
      </c>
      <c r="Q22" s="18" t="n">
        <v>17.7760971</v>
      </c>
      <c r="R22" s="20" t="n">
        <v>2.46329852</v>
      </c>
    </row>
    <row r="23" spans="1:18">
      <c r="A23" s="15" t="s">
        <v>581</v>
      </c>
      <c r="B23" s="17" t="n">
        <v>5792</v>
      </c>
      <c r="C23" s="18">
        <f>(5169.0/B23*100)</f>
        <v/>
      </c>
      <c r="D23" s="19" t="n">
        <v>623</v>
      </c>
      <c r="E23" s="18" t="n">
        <v>76.17113209999999</v>
      </c>
      <c r="F23" s="20" t="n">
        <v>2.94747945</v>
      </c>
      <c r="G23" s="18" t="n">
        <v>5.50600953</v>
      </c>
      <c r="H23" s="20" t="n">
        <v>1.04842879</v>
      </c>
      <c r="I23" s="18" t="n">
        <v>0</v>
      </c>
      <c r="J23" s="20" t="n">
        <v>0</v>
      </c>
      <c r="K23" s="18" t="n">
        <v>0.49018152</v>
      </c>
      <c r="L23" s="20" t="n">
        <v>0.503962</v>
      </c>
      <c r="M23" s="18" t="n">
        <v>0</v>
      </c>
      <c r="N23" s="20" t="n">
        <v>0</v>
      </c>
      <c r="O23" s="18" t="n">
        <v>0</v>
      </c>
      <c r="P23" s="20" t="n">
        <v>0</v>
      </c>
      <c r="Q23" s="18" t="n">
        <v>17.83267686</v>
      </c>
      <c r="R23" s="20" t="n">
        <v>2.66694754</v>
      </c>
    </row>
    <row r="24" spans="1:18">
      <c r="A24" s="15" t="s">
        <v>582</v>
      </c>
      <c r="B24" s="17" t="n">
        <v>3309</v>
      </c>
      <c r="C24" s="18">
        <f>(2925.0/B24*100)</f>
        <v/>
      </c>
      <c r="D24" s="19" t="n">
        <v>384</v>
      </c>
      <c r="E24" s="18" t="n">
        <v>78.70567566</v>
      </c>
      <c r="F24" s="20" t="n">
        <v>1.89934596</v>
      </c>
      <c r="G24" s="18" t="n">
        <v>9.030785010000001</v>
      </c>
      <c r="H24" s="20" t="n">
        <v>1.41048736</v>
      </c>
      <c r="I24" s="18" t="n">
        <v>0</v>
      </c>
      <c r="J24" s="20" t="n">
        <v>0</v>
      </c>
      <c r="K24" s="18" t="n">
        <v>0</v>
      </c>
      <c r="L24" s="20" t="n">
        <v>0</v>
      </c>
      <c r="M24" s="18" t="n">
        <v>0</v>
      </c>
      <c r="N24" s="20" t="n">
        <v>0</v>
      </c>
      <c r="O24" s="18" t="n">
        <v>0</v>
      </c>
      <c r="P24" s="20" t="n">
        <v>0</v>
      </c>
      <c r="Q24" s="18" t="n">
        <v>12.26353934</v>
      </c>
      <c r="R24" s="20" t="n">
        <v>1.54947299</v>
      </c>
    </row>
    <row r="25" spans="1:18">
      <c r="A25" s="15" t="s">
        <v>583</v>
      </c>
      <c r="B25" s="17" t="n">
        <v>2669</v>
      </c>
      <c r="C25" s="18">
        <f>(2365.0/B25*100)</f>
        <v/>
      </c>
      <c r="D25" s="19" t="n">
        <v>304</v>
      </c>
      <c r="E25" s="18" t="n">
        <v>76.35914898999999</v>
      </c>
      <c r="F25" s="20" t="n">
        <v>2.27837636</v>
      </c>
      <c r="G25" s="18" t="n">
        <v>9.753218049999999</v>
      </c>
      <c r="H25" s="20" t="n">
        <v>1.72853788</v>
      </c>
      <c r="I25" s="18" t="n">
        <v>0</v>
      </c>
      <c r="J25" s="20" t="n">
        <v>0</v>
      </c>
      <c r="K25" s="18" t="n">
        <v>0</v>
      </c>
      <c r="L25" s="20" t="n">
        <v>0</v>
      </c>
      <c r="M25" s="18" t="n">
        <v>0</v>
      </c>
      <c r="N25" s="20" t="n">
        <v>0</v>
      </c>
      <c r="O25" s="18" t="n">
        <v>0</v>
      </c>
      <c r="P25" s="20" t="n">
        <v>0</v>
      </c>
      <c r="Q25" s="18" t="n">
        <v>13.88763295</v>
      </c>
      <c r="R25" s="20" t="n">
        <v>2.24594059</v>
      </c>
    </row>
    <row r="26" spans="1:18">
      <c r="A26" s="15" t="s">
        <v>584</v>
      </c>
      <c r="B26" s="17" t="n">
        <v>2419</v>
      </c>
      <c r="C26" s="18">
        <f>(2149.0/B26*100)</f>
        <v/>
      </c>
      <c r="D26" s="19" t="n">
        <v>270</v>
      </c>
      <c r="E26" s="18" t="n">
        <v>68.94523735999999</v>
      </c>
      <c r="F26" s="20" t="n">
        <v>2.78246283</v>
      </c>
      <c r="G26" s="18" t="n">
        <v>25.73154745</v>
      </c>
      <c r="H26" s="20" t="n">
        <v>2.57180136</v>
      </c>
      <c r="I26" s="18" t="n">
        <v>0</v>
      </c>
      <c r="J26" s="20" t="n">
        <v>0</v>
      </c>
      <c r="K26" s="18" t="n">
        <v>0</v>
      </c>
      <c r="L26" s="20" t="n">
        <v>0</v>
      </c>
      <c r="M26" s="18" t="n">
        <v>0</v>
      </c>
      <c r="N26" s="20" t="n">
        <v>0</v>
      </c>
      <c r="O26" s="18" t="n">
        <v>0</v>
      </c>
      <c r="P26" s="20" t="n">
        <v>0</v>
      </c>
      <c r="Q26" s="18" t="n">
        <v>5.3232152</v>
      </c>
      <c r="R26" s="20" t="n">
        <v>1.1927772</v>
      </c>
    </row>
    <row r="27" spans="1:18">
      <c r="A27" s="15" t="s">
        <v>585</v>
      </c>
      <c r="B27" s="17" t="n">
        <v>2683</v>
      </c>
      <c r="C27" s="18">
        <f>(2407.0/B27*100)</f>
        <v/>
      </c>
      <c r="D27" s="19" t="n">
        <v>276</v>
      </c>
      <c r="E27" s="18" t="n">
        <v>79.00086335</v>
      </c>
      <c r="F27" s="20" t="n">
        <v>2.48598965</v>
      </c>
      <c r="G27" s="18" t="n">
        <v>7.94323447</v>
      </c>
      <c r="H27" s="20" t="n">
        <v>1.58471668</v>
      </c>
      <c r="I27" s="18" t="n">
        <v>0</v>
      </c>
      <c r="J27" s="20" t="n">
        <v>0</v>
      </c>
      <c r="K27" s="18" t="n">
        <v>0</v>
      </c>
      <c r="L27" s="20" t="n">
        <v>0</v>
      </c>
      <c r="M27" s="18" t="n">
        <v>0</v>
      </c>
      <c r="N27" s="20" t="n">
        <v>0</v>
      </c>
      <c r="O27" s="18" t="n">
        <v>0</v>
      </c>
      <c r="P27" s="20" t="n">
        <v>0</v>
      </c>
      <c r="Q27" s="18" t="n">
        <v>13.05590218</v>
      </c>
      <c r="R27" s="20" t="n">
        <v>2.13107672</v>
      </c>
    </row>
    <row r="28" spans="1:18">
      <c r="A28" s="15" t="s">
        <v>586</v>
      </c>
      <c r="B28" s="17" t="n">
        <v>3803</v>
      </c>
      <c r="C28" s="18">
        <f>(3407.0/B28*100)</f>
        <v/>
      </c>
      <c r="D28" s="19" t="n">
        <v>396</v>
      </c>
      <c r="E28" s="18" t="n">
        <v>92.09479053</v>
      </c>
      <c r="F28" s="20" t="n">
        <v>1.49487802</v>
      </c>
      <c r="G28" s="18" t="n">
        <v>2.59051361</v>
      </c>
      <c r="H28" s="20" t="n">
        <v>0.89178419</v>
      </c>
      <c r="I28" s="18" t="n">
        <v>0</v>
      </c>
      <c r="J28" s="20" t="n">
        <v>0</v>
      </c>
      <c r="K28" s="18" t="n">
        <v>0.86087624</v>
      </c>
      <c r="L28" s="20" t="n">
        <v>0.64231117</v>
      </c>
      <c r="M28" s="18" t="n">
        <v>0</v>
      </c>
      <c r="N28" s="20" t="n">
        <v>0</v>
      </c>
      <c r="O28" s="18" t="n">
        <v>0</v>
      </c>
      <c r="P28" s="20" t="n">
        <v>0</v>
      </c>
      <c r="Q28" s="18" t="n">
        <v>4.45381962</v>
      </c>
      <c r="R28" s="20" t="n">
        <v>1.02411301</v>
      </c>
    </row>
    <row r="29" spans="1:18">
      <c r="A29" s="15" t="s">
        <v>587</v>
      </c>
      <c r="B29" s="17" t="n">
        <v>2700</v>
      </c>
      <c r="C29" s="18">
        <f>(2403.0/B29*100)</f>
        <v/>
      </c>
      <c r="D29" s="19" t="n">
        <v>297</v>
      </c>
      <c r="E29" s="18" t="n">
        <v>86.31512016000001</v>
      </c>
      <c r="F29" s="20" t="n">
        <v>2.00625734</v>
      </c>
      <c r="G29" s="18" t="n">
        <v>12.13666294</v>
      </c>
      <c r="H29" s="20" t="n">
        <v>1.95584199</v>
      </c>
      <c r="I29" s="18" t="n">
        <v>0</v>
      </c>
      <c r="J29" s="20" t="n">
        <v>0</v>
      </c>
      <c r="K29" s="18" t="n">
        <v>0</v>
      </c>
      <c r="L29" s="20" t="n">
        <v>0</v>
      </c>
      <c r="M29" s="18" t="n">
        <v>0</v>
      </c>
      <c r="N29" s="20" t="n">
        <v>0</v>
      </c>
      <c r="O29" s="18" t="n">
        <v>0</v>
      </c>
      <c r="P29" s="20" t="n">
        <v>0</v>
      </c>
      <c r="Q29" s="18" t="n">
        <v>1.5482169</v>
      </c>
      <c r="R29" s="20" t="n">
        <v>0.71571444</v>
      </c>
    </row>
    <row r="30" spans="1:18">
      <c r="A30" s="15" t="s">
        <v>588</v>
      </c>
      <c r="B30" s="17" t="n">
        <v>2257</v>
      </c>
      <c r="C30" s="18">
        <f>(1995.0/B30*100)</f>
        <v/>
      </c>
      <c r="D30" s="19" t="n">
        <v>262</v>
      </c>
      <c r="E30" s="18" t="n">
        <v>76.91035573000001</v>
      </c>
      <c r="F30" s="20" t="n">
        <v>2.44297813</v>
      </c>
      <c r="G30" s="18" t="n">
        <v>14.34774426</v>
      </c>
      <c r="H30" s="20" t="n">
        <v>2.04954346</v>
      </c>
      <c r="I30" s="18" t="n">
        <v>0</v>
      </c>
      <c r="J30" s="20" t="n">
        <v>0</v>
      </c>
      <c r="K30" s="18" t="n">
        <v>0</v>
      </c>
      <c r="L30" s="20" t="n">
        <v>0</v>
      </c>
      <c r="M30" s="18" t="n">
        <v>0</v>
      </c>
      <c r="N30" s="20" t="n">
        <v>0</v>
      </c>
      <c r="O30" s="18" t="n">
        <v>0</v>
      </c>
      <c r="P30" s="20" t="n">
        <v>0</v>
      </c>
      <c r="Q30" s="18" t="n">
        <v>8.74190001</v>
      </c>
      <c r="R30" s="20" t="n">
        <v>1.60427838</v>
      </c>
    </row>
    <row r="31" spans="1:18">
      <c r="A31" s="15" t="s">
        <v>589</v>
      </c>
      <c r="B31" s="17" t="n">
        <v>2706</v>
      </c>
      <c r="C31" s="18">
        <f>(2424.0/B31*100)</f>
        <v/>
      </c>
      <c r="D31" s="19" t="n">
        <v>282</v>
      </c>
      <c r="E31" s="18" t="n">
        <v>75.26366064</v>
      </c>
      <c r="F31" s="20" t="n">
        <v>2.35667557</v>
      </c>
      <c r="G31" s="18" t="n">
        <v>16.3820642</v>
      </c>
      <c r="H31" s="20" t="n">
        <v>2.17920857</v>
      </c>
      <c r="I31" s="18" t="n">
        <v>0</v>
      </c>
      <c r="J31" s="20" t="n">
        <v>0</v>
      </c>
      <c r="K31" s="18" t="n">
        <v>0</v>
      </c>
      <c r="L31" s="20" t="n">
        <v>0</v>
      </c>
      <c r="M31" s="18" t="n">
        <v>0</v>
      </c>
      <c r="N31" s="20" t="n">
        <v>0</v>
      </c>
      <c r="O31" s="18" t="n">
        <v>0</v>
      </c>
      <c r="P31" s="20" t="n">
        <v>0</v>
      </c>
      <c r="Q31" s="18" t="n">
        <v>8.354275169999999</v>
      </c>
      <c r="R31" s="20" t="n">
        <v>1.6129158</v>
      </c>
    </row>
    <row r="32" spans="1:18">
      <c r="A32" s="15" t="s">
        <v>590</v>
      </c>
      <c r="B32" s="17" t="n">
        <v>2209</v>
      </c>
      <c r="C32" s="18">
        <f>(1952.0/B32*100)</f>
        <v/>
      </c>
      <c r="D32" s="19" t="n">
        <v>257</v>
      </c>
      <c r="E32" s="18" t="n">
        <v>82.73191841000001</v>
      </c>
      <c r="F32" s="20" t="n">
        <v>2.26042992</v>
      </c>
      <c r="G32" s="18" t="n">
        <v>5.15240572</v>
      </c>
      <c r="H32" s="20" t="n">
        <v>1.46057117</v>
      </c>
      <c r="I32" s="18" t="n">
        <v>0</v>
      </c>
      <c r="J32" s="20" t="n">
        <v>0</v>
      </c>
      <c r="K32" s="18" t="n">
        <v>0</v>
      </c>
      <c r="L32" s="20" t="n">
        <v>0</v>
      </c>
      <c r="M32" s="18" t="n">
        <v>0</v>
      </c>
      <c r="N32" s="20" t="n">
        <v>0</v>
      </c>
      <c r="O32" s="18" t="n">
        <v>0</v>
      </c>
      <c r="P32" s="20" t="n">
        <v>0</v>
      </c>
      <c r="Q32" s="18" t="n">
        <v>12.11567586</v>
      </c>
      <c r="R32" s="20" t="n">
        <v>1.67355482</v>
      </c>
    </row>
    <row r="33" spans="1:18">
      <c r="A33" s="15" t="s">
        <v>591</v>
      </c>
      <c r="B33" s="17" t="n">
        <v>3651</v>
      </c>
      <c r="C33" s="18">
        <f>(3240.0/B33*100)</f>
        <v/>
      </c>
      <c r="D33" s="19" t="n">
        <v>411</v>
      </c>
      <c r="E33" s="18" t="n">
        <v>81.01374886000001</v>
      </c>
      <c r="F33" s="20" t="n">
        <v>2.29268169</v>
      </c>
      <c r="G33" s="18" t="n">
        <v>3.68365261</v>
      </c>
      <c r="H33" s="20" t="n">
        <v>1.16835581</v>
      </c>
      <c r="I33" s="18" t="n">
        <v>0</v>
      </c>
      <c r="J33" s="20" t="n">
        <v>0</v>
      </c>
      <c r="K33" s="18" t="n">
        <v>0</v>
      </c>
      <c r="L33" s="20" t="n">
        <v>0</v>
      </c>
      <c r="M33" s="18" t="n">
        <v>0.35083963</v>
      </c>
      <c r="N33" s="20" t="n">
        <v>0.26378959</v>
      </c>
      <c r="O33" s="18" t="n">
        <v>0</v>
      </c>
      <c r="P33" s="20" t="n">
        <v>0</v>
      </c>
      <c r="Q33" s="18" t="n">
        <v>14.9517589</v>
      </c>
      <c r="R33" s="20" t="n">
        <v>2.05476745</v>
      </c>
    </row>
    <row r="34" spans="1:18">
      <c r="A34" s="15" t="s">
        <v>592</v>
      </c>
      <c r="B34" s="17" t="n">
        <v>3035</v>
      </c>
      <c r="C34" s="18">
        <f>(2704.0/B34*100)</f>
        <v/>
      </c>
      <c r="D34" s="19" t="n">
        <v>331</v>
      </c>
      <c r="E34" s="18" t="n">
        <v>66.07103367000001</v>
      </c>
      <c r="F34" s="20" t="n">
        <v>2.70752187</v>
      </c>
      <c r="G34" s="18" t="n">
        <v>23.1958951</v>
      </c>
      <c r="H34" s="20" t="n">
        <v>2.34491841</v>
      </c>
      <c r="I34" s="18" t="n">
        <v>0</v>
      </c>
      <c r="J34" s="20" t="n">
        <v>0</v>
      </c>
      <c r="K34" s="18" t="n">
        <v>0.37034434</v>
      </c>
      <c r="L34" s="20" t="n">
        <v>0.36407774</v>
      </c>
      <c r="M34" s="18" t="n">
        <v>0</v>
      </c>
      <c r="N34" s="20" t="n">
        <v>0</v>
      </c>
      <c r="O34" s="18" t="n">
        <v>0</v>
      </c>
      <c r="P34" s="20" t="n">
        <v>0</v>
      </c>
      <c r="Q34" s="18" t="n">
        <v>10.36272689</v>
      </c>
      <c r="R34" s="20" t="n">
        <v>1.78299191</v>
      </c>
    </row>
    <row r="35" spans="1:18">
      <c r="A35" s="15" t="s">
        <v>593</v>
      </c>
      <c r="B35" s="17" t="n">
        <v>2901</v>
      </c>
      <c r="C35" s="18">
        <f>(2568.0/B35*100)</f>
        <v/>
      </c>
      <c r="D35" s="19" t="n">
        <v>333</v>
      </c>
      <c r="E35" s="18" t="n">
        <v>78.92648204</v>
      </c>
      <c r="F35" s="20" t="n">
        <v>3.17945719</v>
      </c>
      <c r="G35" s="18" t="n">
        <v>15.27204718</v>
      </c>
      <c r="H35" s="20" t="n">
        <v>2.74127326</v>
      </c>
      <c r="I35" s="18" t="n">
        <v>0</v>
      </c>
      <c r="J35" s="20" t="n">
        <v>0</v>
      </c>
      <c r="K35" s="18" t="n">
        <v>0.1650801</v>
      </c>
      <c r="L35" s="20" t="n">
        <v>0.16511886</v>
      </c>
      <c r="M35" s="18" t="n">
        <v>0</v>
      </c>
      <c r="N35" s="20" t="n">
        <v>0</v>
      </c>
      <c r="O35" s="18" t="n">
        <v>0</v>
      </c>
      <c r="P35" s="20" t="n">
        <v>0</v>
      </c>
      <c r="Q35" s="18" t="n">
        <v>5.63639067</v>
      </c>
      <c r="R35" s="20" t="n">
        <v>1.31413371</v>
      </c>
    </row>
    <row r="36" spans="1:18">
      <c r="A36" s="15" t="s">
        <v>594</v>
      </c>
      <c r="B36" s="17" t="n">
        <v>3404</v>
      </c>
      <c r="C36" s="18">
        <f>(3061.0/B36*100)</f>
        <v/>
      </c>
      <c r="D36" s="19" t="n">
        <v>343</v>
      </c>
      <c r="E36" s="18" t="n">
        <v>77.19001024000001</v>
      </c>
      <c r="F36" s="20" t="n">
        <v>2.4926152</v>
      </c>
      <c r="G36" s="18" t="n">
        <v>13.02237739</v>
      </c>
      <c r="H36" s="20" t="n">
        <v>1.59388811</v>
      </c>
      <c r="I36" s="18" t="n">
        <v>0</v>
      </c>
      <c r="J36" s="20" t="n">
        <v>0</v>
      </c>
      <c r="K36" s="18" t="n">
        <v>0</v>
      </c>
      <c r="L36" s="20" t="n">
        <v>0</v>
      </c>
      <c r="M36" s="18" t="n">
        <v>0</v>
      </c>
      <c r="N36" s="20" t="n">
        <v>0</v>
      </c>
      <c r="O36" s="18" t="n">
        <v>0</v>
      </c>
      <c r="P36" s="20" t="n">
        <v>0</v>
      </c>
      <c r="Q36" s="18" t="n">
        <v>9.78761237</v>
      </c>
      <c r="R36" s="20" t="n">
        <v>1.92168385</v>
      </c>
    </row>
    <row r="37" spans="1:18">
      <c r="A37" s="15" t="s">
        <v>595</v>
      </c>
      <c r="B37" s="17" t="n">
        <v>2731</v>
      </c>
      <c r="C37" s="18">
        <f>(2410.0/B37*100)</f>
        <v/>
      </c>
      <c r="D37" s="19" t="n">
        <v>321</v>
      </c>
      <c r="E37" s="18" t="n">
        <v>75.61454433</v>
      </c>
      <c r="F37" s="20" t="n">
        <v>2.6339425</v>
      </c>
      <c r="G37" s="18" t="n">
        <v>11.30223228</v>
      </c>
      <c r="H37" s="20" t="n">
        <v>1.9205648</v>
      </c>
      <c r="I37" s="18" t="n">
        <v>0</v>
      </c>
      <c r="J37" s="20" t="n">
        <v>0</v>
      </c>
      <c r="K37" s="18" t="n">
        <v>0</v>
      </c>
      <c r="L37" s="20" t="n">
        <v>0</v>
      </c>
      <c r="M37" s="18" t="n">
        <v>0</v>
      </c>
      <c r="N37" s="20" t="n">
        <v>0</v>
      </c>
      <c r="O37" s="18" t="n">
        <v>0</v>
      </c>
      <c r="P37" s="20" t="n">
        <v>0</v>
      </c>
      <c r="Q37" s="18" t="n">
        <v>13.08322339</v>
      </c>
      <c r="R37" s="20" t="n">
        <v>1.91985269</v>
      </c>
    </row>
    <row r="38" spans="1:18">
      <c r="A38" s="15" t="s">
        <v>596</v>
      </c>
      <c r="B38" s="17" t="n">
        <v>2807</v>
      </c>
      <c r="C38" s="18">
        <f>(2515.0/B38*100)</f>
        <v/>
      </c>
      <c r="D38" s="19" t="n">
        <v>292</v>
      </c>
      <c r="E38" s="18" t="n">
        <v>76.29049621999999</v>
      </c>
      <c r="F38" s="20" t="n">
        <v>3.51679452</v>
      </c>
      <c r="G38" s="18" t="n">
        <v>9.514654200000001</v>
      </c>
      <c r="H38" s="20" t="n">
        <v>2.03660496</v>
      </c>
      <c r="I38" s="18" t="n">
        <v>0</v>
      </c>
      <c r="J38" s="20" t="n">
        <v>0</v>
      </c>
      <c r="K38" s="18" t="n">
        <v>0</v>
      </c>
      <c r="L38" s="20" t="n">
        <v>0</v>
      </c>
      <c r="M38" s="18" t="n">
        <v>3.04557208</v>
      </c>
      <c r="N38" s="20" t="n">
        <v>1.14872327</v>
      </c>
      <c r="O38" s="18" t="n">
        <v>0</v>
      </c>
      <c r="P38" s="20" t="n">
        <v>0</v>
      </c>
      <c r="Q38" s="18" t="n">
        <v>11.1492775</v>
      </c>
      <c r="R38" s="20" t="n">
        <v>2.66702795</v>
      </c>
    </row>
    <row r="39" spans="1:18">
      <c r="A39" s="15" t="s">
        <v>597</v>
      </c>
      <c r="B39" s="17" t="n">
        <v>2938</v>
      </c>
      <c r="C39" s="18">
        <f>(2633.0/B39*100)</f>
        <v/>
      </c>
      <c r="D39" s="19" t="n">
        <v>305</v>
      </c>
      <c r="E39" s="18" t="n">
        <v>76.71047498999999</v>
      </c>
      <c r="F39" s="20" t="n">
        <v>2.90075102</v>
      </c>
      <c r="G39" s="18" t="n">
        <v>9.24614558</v>
      </c>
      <c r="H39" s="20" t="n">
        <v>2.26605126</v>
      </c>
      <c r="I39" s="18" t="n">
        <v>0</v>
      </c>
      <c r="J39" s="20" t="n">
        <v>0</v>
      </c>
      <c r="K39" s="18" t="n">
        <v>0</v>
      </c>
      <c r="L39" s="20" t="n">
        <v>0</v>
      </c>
      <c r="M39" s="18" t="n">
        <v>0.1453619</v>
      </c>
      <c r="N39" s="20" t="n">
        <v>0.14817447</v>
      </c>
      <c r="O39" s="18" t="n">
        <v>0</v>
      </c>
      <c r="P39" s="20" t="n">
        <v>0</v>
      </c>
      <c r="Q39" s="18" t="n">
        <v>13.89801754</v>
      </c>
      <c r="R39" s="20" t="n">
        <v>2.30075709</v>
      </c>
    </row>
    <row r="40" spans="1:18">
      <c r="A40" s="15" t="s">
        <v>598</v>
      </c>
      <c r="B40" s="17" t="n">
        <v>6922</v>
      </c>
      <c r="C40" s="18">
        <f>(6151.0/B40*100)</f>
        <v/>
      </c>
      <c r="D40" s="19" t="n">
        <v>771</v>
      </c>
      <c r="E40" s="18" t="n">
        <v>68.33385599</v>
      </c>
      <c r="F40" s="20" t="n">
        <v>2.74813024</v>
      </c>
      <c r="G40" s="18" t="n">
        <v>22.3916479</v>
      </c>
      <c r="H40" s="20" t="n">
        <v>2.53939844</v>
      </c>
      <c r="I40" s="18" t="n">
        <v>0</v>
      </c>
      <c r="J40" s="20" t="n">
        <v>0</v>
      </c>
      <c r="K40" s="18" t="n">
        <v>0.46272687</v>
      </c>
      <c r="L40" s="20" t="n">
        <v>0.40546434</v>
      </c>
      <c r="M40" s="18" t="n">
        <v>0</v>
      </c>
      <c r="N40" s="20" t="n">
        <v>0</v>
      </c>
      <c r="O40" s="18" t="n">
        <v>0</v>
      </c>
      <c r="P40" s="20" t="n">
        <v>0</v>
      </c>
      <c r="Q40" s="18" t="n">
        <v>8.81176924</v>
      </c>
      <c r="R40" s="20" t="n">
        <v>1.61030726</v>
      </c>
    </row>
    <row r="41" spans="1:18">
      <c r="A41" s="15" t="s">
        <v>599</v>
      </c>
      <c r="B41" s="17" t="n">
        <v>2854</v>
      </c>
      <c r="C41" s="18">
        <f>(2539.0/B41*100)</f>
        <v/>
      </c>
      <c r="D41" s="19" t="n">
        <v>315</v>
      </c>
      <c r="E41" s="18" t="n">
        <v>90.80387645</v>
      </c>
      <c r="F41" s="20" t="n">
        <v>1.73164074</v>
      </c>
      <c r="G41" s="18" t="n">
        <v>8.005431420000001</v>
      </c>
      <c r="H41" s="20" t="n">
        <v>1.64587539</v>
      </c>
      <c r="I41" s="18" t="n">
        <v>0</v>
      </c>
      <c r="J41" s="20" t="n">
        <v>0</v>
      </c>
      <c r="K41" s="18" t="n">
        <v>0</v>
      </c>
      <c r="L41" s="20" t="n">
        <v>0</v>
      </c>
      <c r="M41" s="18" t="n">
        <v>0</v>
      </c>
      <c r="N41" s="20" t="n">
        <v>0</v>
      </c>
      <c r="O41" s="18" t="n">
        <v>0</v>
      </c>
      <c r="P41" s="20" t="n">
        <v>0</v>
      </c>
      <c r="Q41" s="18" t="n">
        <v>1.19069213</v>
      </c>
      <c r="R41" s="20" t="n">
        <v>0.58772566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(10895.0/B46*100)</f>
        <v/>
      </c>
      <c r="D46" s="19" t="n">
        <v>1178</v>
      </c>
      <c r="E46" s="18" t="n">
        <v>73.21125297</v>
      </c>
      <c r="F46" s="20" t="n">
        <v>2.13641438</v>
      </c>
      <c r="G46" s="18" t="n">
        <v>8.829794189999999</v>
      </c>
      <c r="H46" s="20" t="n">
        <v>1.1403121</v>
      </c>
      <c r="I46" s="18" t="n">
        <v>0</v>
      </c>
      <c r="J46" s="20" t="n">
        <v>0</v>
      </c>
      <c r="K46" s="18" t="n">
        <v>0.09312558</v>
      </c>
      <c r="L46" s="20" t="n">
        <v>0.09412860000000001</v>
      </c>
      <c r="M46" s="18" t="n">
        <v>0.07881591</v>
      </c>
      <c r="N46" s="20" t="n">
        <v>0.05733725</v>
      </c>
      <c r="O46" s="18" t="n">
        <v>0</v>
      </c>
      <c r="P46" s="20" t="n">
        <v>0</v>
      </c>
      <c r="Q46" s="18" t="n">
        <v>17.78701134</v>
      </c>
      <c r="R46" s="20" t="n">
        <v>1.83542605</v>
      </c>
    </row>
    <row r="47" spans="1:18">
      <c r="A47" s="15" t="s">
        <v>606</v>
      </c>
      <c r="B47" s="17" t="n">
        <v>2823</v>
      </c>
      <c r="C47" s="18">
        <f>(2526.0/B47*100)</f>
        <v/>
      </c>
      <c r="D47" s="19" t="n">
        <v>297</v>
      </c>
      <c r="E47" s="18" t="n">
        <v>71.02351376</v>
      </c>
      <c r="F47" s="20" t="n">
        <v>2.70652739</v>
      </c>
      <c r="G47" s="18" t="n">
        <v>9.78511879</v>
      </c>
      <c r="H47" s="20" t="n">
        <v>2.10932552</v>
      </c>
      <c r="I47" s="18" t="n">
        <v>0</v>
      </c>
      <c r="J47" s="20" t="n">
        <v>0</v>
      </c>
      <c r="K47" s="18" t="n">
        <v>0.69406941</v>
      </c>
      <c r="L47" s="20" t="n">
        <v>0.48836141</v>
      </c>
      <c r="M47" s="18" t="n">
        <v>0</v>
      </c>
      <c r="N47" s="20" t="n">
        <v>0</v>
      </c>
      <c r="O47" s="18" t="n">
        <v>0</v>
      </c>
      <c r="P47" s="20" t="n">
        <v>0</v>
      </c>
      <c r="Q47" s="18" t="n">
        <v>18.49729804</v>
      </c>
      <c r="R47" s="20" t="n">
        <v>2.3769237</v>
      </c>
    </row>
    <row r="48" spans="1:18">
      <c r="A48" s="15" t="s">
        <v>607</v>
      </c>
      <c r="B48" s="17" t="n">
        <v>4682</v>
      </c>
      <c r="C48" s="18">
        <f>(4156.0/B48*100)</f>
        <v/>
      </c>
      <c r="D48" s="19" t="n">
        <v>526</v>
      </c>
      <c r="E48" s="18" t="n">
        <v>64.16475255</v>
      </c>
      <c r="F48" s="20" t="n">
        <v>2.59942024</v>
      </c>
      <c r="G48" s="18" t="n">
        <v>25.64567149</v>
      </c>
      <c r="H48" s="20" t="n">
        <v>2.35699024</v>
      </c>
      <c r="I48" s="18" t="n">
        <v>0</v>
      </c>
      <c r="J48" s="20" t="n">
        <v>0</v>
      </c>
      <c r="K48" s="18" t="n">
        <v>0.85831024</v>
      </c>
      <c r="L48" s="20" t="n">
        <v>0.1570662</v>
      </c>
      <c r="M48" s="18" t="n">
        <v>0.14210021</v>
      </c>
      <c r="N48" s="20" t="n">
        <v>0.108654</v>
      </c>
      <c r="O48" s="18" t="n">
        <v>0</v>
      </c>
      <c r="P48" s="20" t="n">
        <v>0</v>
      </c>
      <c r="Q48" s="18" t="n">
        <v>9.18916551</v>
      </c>
      <c r="R48" s="20" t="n">
        <v>1.69642899</v>
      </c>
    </row>
    <row r="49" spans="1:18">
      <c r="A49" s="15" t="s">
        <v>608</v>
      </c>
      <c r="B49" s="17" t="n">
        <v>6158</v>
      </c>
      <c r="C49" s="18">
        <f>(5466.0/B49*100)</f>
        <v/>
      </c>
      <c r="D49" s="19" t="n">
        <v>692</v>
      </c>
      <c r="E49" s="18" t="n">
        <v>91.03018935999999</v>
      </c>
      <c r="F49" s="20" t="n">
        <v>1.34668728</v>
      </c>
      <c r="G49" s="18" t="n">
        <v>3.7560917</v>
      </c>
      <c r="H49" s="20" t="n">
        <v>0.74753994</v>
      </c>
      <c r="I49" s="18" t="n">
        <v>0</v>
      </c>
      <c r="J49" s="20" t="n">
        <v>0</v>
      </c>
      <c r="K49" s="18" t="n">
        <v>0.52443058</v>
      </c>
      <c r="L49" s="20" t="n">
        <v>0.27201008</v>
      </c>
      <c r="M49" s="18" t="n">
        <v>0.15747342</v>
      </c>
      <c r="N49" s="20" t="n">
        <v>0.10539767</v>
      </c>
      <c r="O49" s="18" t="n">
        <v>0</v>
      </c>
      <c r="P49" s="20" t="n">
        <v>0</v>
      </c>
      <c r="Q49" s="18" t="n">
        <v>4.53181495</v>
      </c>
      <c r="R49" s="20" t="n">
        <v>1.03318421</v>
      </c>
    </row>
    <row r="50" spans="1:18">
      <c r="A50" s="15" t="s">
        <v>609</v>
      </c>
      <c r="B50" s="17" t="n">
        <v>3494</v>
      </c>
      <c r="C50" s="18">
        <f>(3137.0/B50*100)</f>
        <v/>
      </c>
      <c r="D50" s="19" t="n">
        <v>357</v>
      </c>
      <c r="E50" s="18" t="n">
        <v>91.19850377</v>
      </c>
      <c r="F50" s="20" t="n">
        <v>1.61551033</v>
      </c>
      <c r="G50" s="18" t="n">
        <v>2.08952029</v>
      </c>
      <c r="H50" s="20" t="n">
        <v>0.77373489</v>
      </c>
      <c r="I50" s="18" t="n">
        <v>0</v>
      </c>
      <c r="J50" s="20" t="n">
        <v>0</v>
      </c>
      <c r="K50" s="18" t="n">
        <v>0</v>
      </c>
      <c r="L50" s="20" t="n">
        <v>0</v>
      </c>
      <c r="M50" s="18" t="n">
        <v>0</v>
      </c>
      <c r="N50" s="20" t="n">
        <v>0</v>
      </c>
      <c r="O50" s="18" t="n">
        <v>0</v>
      </c>
      <c r="P50" s="20" t="n">
        <v>0</v>
      </c>
      <c r="Q50" s="18" t="n">
        <v>6.71197595</v>
      </c>
      <c r="R50" s="20" t="n">
        <v>1.54212035</v>
      </c>
    </row>
    <row r="51" spans="1:18">
      <c r="A51" s="15" t="s">
        <v>610</v>
      </c>
      <c r="B51" s="17" t="n">
        <v>3013</v>
      </c>
      <c r="C51" s="18">
        <f>(2675.0/B51*100)</f>
        <v/>
      </c>
      <c r="D51" s="19" t="n">
        <v>338</v>
      </c>
      <c r="E51" s="18" t="n">
        <v>79.46950150000001</v>
      </c>
      <c r="F51" s="20" t="n">
        <v>2.16781452</v>
      </c>
      <c r="G51" s="18" t="n">
        <v>4.31583719</v>
      </c>
      <c r="H51" s="20" t="n">
        <v>1.09238999</v>
      </c>
      <c r="I51" s="18" t="n">
        <v>0</v>
      </c>
      <c r="J51" s="20" t="n">
        <v>0</v>
      </c>
      <c r="K51" s="18" t="n">
        <v>0</v>
      </c>
      <c r="L51" s="20" t="n">
        <v>0</v>
      </c>
      <c r="M51" s="18" t="n">
        <v>0</v>
      </c>
      <c r="N51" s="20" t="n">
        <v>0</v>
      </c>
      <c r="O51" s="18" t="n">
        <v>0</v>
      </c>
      <c r="P51" s="20" t="n">
        <v>0</v>
      </c>
      <c r="Q51" s="18" t="n">
        <v>16.21466132</v>
      </c>
      <c r="R51" s="20" t="n">
        <v>2.19794286</v>
      </c>
    </row>
    <row r="52" spans="1:18">
      <c r="A52" s="15" t="s">
        <v>611</v>
      </c>
      <c r="B52" s="17" t="n">
        <v>2760</v>
      </c>
      <c r="C52" s="18">
        <f>(2458.0/B52*100)</f>
        <v/>
      </c>
      <c r="D52" s="19" t="n">
        <v>302</v>
      </c>
      <c r="E52" s="18" t="n">
        <v>76.37647822</v>
      </c>
      <c r="F52" s="20" t="n">
        <v>2.61027763</v>
      </c>
      <c r="G52" s="18" t="n">
        <v>4.68424969</v>
      </c>
      <c r="H52" s="20" t="n">
        <v>1.33410201</v>
      </c>
      <c r="I52" s="18" t="n">
        <v>0</v>
      </c>
      <c r="J52" s="20" t="n">
        <v>0</v>
      </c>
      <c r="K52" s="18" t="n">
        <v>0</v>
      </c>
      <c r="L52" s="20" t="n">
        <v>0</v>
      </c>
      <c r="M52" s="18" t="n">
        <v>0</v>
      </c>
      <c r="N52" s="20" t="n">
        <v>0</v>
      </c>
      <c r="O52" s="18" t="n">
        <v>0</v>
      </c>
      <c r="P52" s="20" t="n">
        <v>0</v>
      </c>
      <c r="Q52" s="18" t="n">
        <v>18.93927209</v>
      </c>
      <c r="R52" s="20" t="n">
        <v>2.31786964</v>
      </c>
    </row>
    <row r="53" spans="1:18">
      <c r="A53" s="15" t="s">
        <v>612</v>
      </c>
      <c r="B53" s="17" t="n">
        <v>2474</v>
      </c>
      <c r="C53" s="18">
        <f>(2208.0/B53*100)</f>
        <v/>
      </c>
      <c r="D53" s="19" t="n">
        <v>266</v>
      </c>
      <c r="E53" s="18" t="n">
        <v>73.60273856000001</v>
      </c>
      <c r="F53" s="20" t="n">
        <v>2.80973886</v>
      </c>
      <c r="G53" s="18" t="n">
        <v>0.97992656</v>
      </c>
      <c r="H53" s="20" t="n">
        <v>0.52673716</v>
      </c>
      <c r="I53" s="18" t="n">
        <v>0</v>
      </c>
      <c r="J53" s="20" t="n">
        <v>0</v>
      </c>
      <c r="K53" s="18" t="n">
        <v>6.44491083</v>
      </c>
      <c r="L53" s="20" t="n">
        <v>1.81696528</v>
      </c>
      <c r="M53" s="18" t="n">
        <v>0</v>
      </c>
      <c r="N53" s="20" t="n">
        <v>0</v>
      </c>
      <c r="O53" s="18" t="n">
        <v>0</v>
      </c>
      <c r="P53" s="20" t="n">
        <v>0</v>
      </c>
      <c r="Q53" s="18" t="n">
        <v>18.97242405</v>
      </c>
      <c r="R53" s="20" t="n">
        <v>2.53035708</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(2380.0/B55*100)</f>
        <v/>
      </c>
      <c r="D55" s="19" t="n">
        <v>295</v>
      </c>
      <c r="E55" s="18" t="n">
        <v>74.39680822</v>
      </c>
      <c r="F55" s="20" t="n">
        <v>2.40655365</v>
      </c>
      <c r="G55" s="18" t="n">
        <v>18.97829113</v>
      </c>
      <c r="H55" s="20" t="n">
        <v>2.29479685</v>
      </c>
      <c r="I55" s="18" t="n">
        <v>0</v>
      </c>
      <c r="J55" s="20" t="n">
        <v>0</v>
      </c>
      <c r="K55" s="18" t="n">
        <v>0.31126809</v>
      </c>
      <c r="L55" s="20" t="n">
        <v>0.34872341</v>
      </c>
      <c r="M55" s="18" t="n">
        <v>0.30790782</v>
      </c>
      <c r="N55" s="20" t="n">
        <v>0.31078314</v>
      </c>
      <c r="O55" s="18" t="n">
        <v>0</v>
      </c>
      <c r="P55" s="20" t="n">
        <v>0</v>
      </c>
      <c r="Q55" s="18" t="n">
        <v>6.00572473</v>
      </c>
      <c r="R55" s="20" t="n">
        <v>1.72188047</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(2853.0/B61*100)</f>
        <v/>
      </c>
      <c r="D61" s="19" t="n">
        <v>348</v>
      </c>
      <c r="E61" s="18" t="n">
        <v>77.94934944000001</v>
      </c>
      <c r="F61" s="20" t="n">
        <v>2.55567839</v>
      </c>
      <c r="G61" s="18" t="n">
        <v>13.45531941</v>
      </c>
      <c r="H61" s="20" t="n">
        <v>1.89621945</v>
      </c>
      <c r="I61" s="18" t="n">
        <v>0</v>
      </c>
      <c r="J61" s="20" t="n">
        <v>0</v>
      </c>
      <c r="K61" s="18" t="n">
        <v>0</v>
      </c>
      <c r="L61" s="20" t="n">
        <v>0</v>
      </c>
      <c r="M61" s="18" t="n">
        <v>0</v>
      </c>
      <c r="N61" s="20" t="n">
        <v>0</v>
      </c>
      <c r="O61" s="18" t="n">
        <v>0</v>
      </c>
      <c r="P61" s="20" t="n">
        <v>0</v>
      </c>
      <c r="Q61" s="18" t="n">
        <v>8.59533115</v>
      </c>
      <c r="R61" s="20" t="n">
        <v>1.62173042</v>
      </c>
    </row>
    <row r="62" spans="1:18">
      <c r="A62" s="15" t="s">
        <v>622</v>
      </c>
      <c r="B62" s="17" t="n">
        <v>2230</v>
      </c>
      <c r="C62" s="18">
        <f>(1978.0/B62*100)</f>
        <v/>
      </c>
      <c r="D62" s="19" t="n">
        <v>252</v>
      </c>
      <c r="E62" s="18" t="n">
        <v>71.48450462</v>
      </c>
      <c r="F62" s="20" t="n">
        <v>2.95231961</v>
      </c>
      <c r="G62" s="18" t="n">
        <v>26.93703822</v>
      </c>
      <c r="H62" s="20" t="n">
        <v>2.94585779</v>
      </c>
      <c r="I62" s="18" t="n">
        <v>0</v>
      </c>
      <c r="J62" s="20" t="n">
        <v>0</v>
      </c>
      <c r="K62" s="18" t="n">
        <v>0</v>
      </c>
      <c r="L62" s="20" t="n">
        <v>0</v>
      </c>
      <c r="M62" s="18" t="n">
        <v>0</v>
      </c>
      <c r="N62" s="20" t="n">
        <v>0</v>
      </c>
      <c r="O62" s="18" t="n">
        <v>0</v>
      </c>
      <c r="P62" s="20" t="n">
        <v>0</v>
      </c>
      <c r="Q62" s="18" t="n">
        <v>1.57845715</v>
      </c>
      <c r="R62" s="20" t="n">
        <v>0.79080777</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(2466.0/B67*100)</f>
        <v/>
      </c>
      <c r="D67" s="19" t="n">
        <v>305</v>
      </c>
      <c r="E67" s="18" t="n">
        <v>56.11580781</v>
      </c>
      <c r="F67" s="20" t="n">
        <v>3.06146155</v>
      </c>
      <c r="G67" s="18" t="n">
        <v>6.61336471</v>
      </c>
      <c r="H67" s="20" t="n">
        <v>1.33700847</v>
      </c>
      <c r="I67" s="18" t="n">
        <v>0</v>
      </c>
      <c r="J67" s="20" t="n">
        <v>0</v>
      </c>
      <c r="K67" s="18" t="n">
        <v>0.56323926</v>
      </c>
      <c r="L67" s="20" t="n">
        <v>0.39540562</v>
      </c>
      <c r="M67" s="18" t="n">
        <v>0</v>
      </c>
      <c r="N67" s="20" t="n">
        <v>0</v>
      </c>
      <c r="O67" s="18" t="n">
        <v>0</v>
      </c>
      <c r="P67" s="20" t="n">
        <v>0</v>
      </c>
      <c r="Q67" s="18" t="n">
        <v>36.70758822</v>
      </c>
      <c r="R67" s="20" t="n">
        <v>2.99907008</v>
      </c>
    </row>
    <row r="68" spans="1:18">
      <c r="A68" s="15" t="s">
        <v>628</v>
      </c>
      <c r="B68" s="17" t="n">
        <v>3460</v>
      </c>
      <c r="C68" s="18">
        <f>(3092.0/B68*100)</f>
        <v/>
      </c>
      <c r="D68" s="19" t="n">
        <v>368</v>
      </c>
      <c r="E68" s="18" t="n">
        <v>85.1914987</v>
      </c>
      <c r="F68" s="20" t="n">
        <v>1.9045662</v>
      </c>
      <c r="G68" s="18" t="n">
        <v>2.57290378</v>
      </c>
      <c r="H68" s="20" t="n">
        <v>0.80815546</v>
      </c>
      <c r="I68" s="18" t="n">
        <v>0</v>
      </c>
      <c r="J68" s="20" t="n">
        <v>0</v>
      </c>
      <c r="K68" s="18" t="n">
        <v>0</v>
      </c>
      <c r="L68" s="20" t="n">
        <v>0</v>
      </c>
      <c r="M68" s="18" t="n">
        <v>0.49159805</v>
      </c>
      <c r="N68" s="20" t="n">
        <v>0.43968913</v>
      </c>
      <c r="O68" s="18" t="n">
        <v>0</v>
      </c>
      <c r="P68" s="20" t="n">
        <v>0</v>
      </c>
      <c r="Q68" s="18" t="n">
        <v>11.74399947</v>
      </c>
      <c r="R68" s="20" t="n">
        <v>1.76562327</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(5362.0/B70*100)</f>
        <v/>
      </c>
      <c r="D70" s="19" t="n">
        <v>672</v>
      </c>
      <c r="E70" s="18" t="n">
        <v>74.52491374</v>
      </c>
      <c r="F70" s="20" t="n">
        <v>1.4790392</v>
      </c>
      <c r="G70" s="18" t="n">
        <v>14.65839754</v>
      </c>
      <c r="H70" s="20" t="n">
        <v>1.22842747</v>
      </c>
      <c r="I70" s="18" t="n">
        <v>0</v>
      </c>
      <c r="J70" s="20" t="n">
        <v>0</v>
      </c>
      <c r="K70" s="18" t="n">
        <v>0.17734921</v>
      </c>
      <c r="L70" s="20" t="n">
        <v>0.17859984</v>
      </c>
      <c r="M70" s="18" t="n">
        <v>0.14631736</v>
      </c>
      <c r="N70" s="20" t="n">
        <v>0.14604302</v>
      </c>
      <c r="O70" s="18" t="n">
        <v>0</v>
      </c>
      <c r="P70" s="20" t="n">
        <v>0</v>
      </c>
      <c r="Q70" s="18" t="n">
        <v>10.49302215</v>
      </c>
      <c r="R70" s="20" t="n">
        <v>1.34900353</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(2788.0/B72*100)</f>
        <v/>
      </c>
      <c r="D72" s="19" t="n">
        <v>319</v>
      </c>
      <c r="E72" s="18" t="n">
        <v>76.04528623</v>
      </c>
      <c r="F72" s="20" t="n">
        <v>3.09970755</v>
      </c>
      <c r="G72" s="18" t="n">
        <v>15.60453193</v>
      </c>
      <c r="H72" s="20" t="n">
        <v>2.12150762</v>
      </c>
      <c r="I72" s="18" t="n">
        <v>0</v>
      </c>
      <c r="J72" s="20" t="n">
        <v>0</v>
      </c>
      <c r="K72" s="18" t="n">
        <v>0.36041074</v>
      </c>
      <c r="L72" s="20" t="n">
        <v>0.37416938</v>
      </c>
      <c r="M72" s="18" t="n">
        <v>0</v>
      </c>
      <c r="N72" s="20" t="n">
        <v>0</v>
      </c>
      <c r="O72" s="18" t="n">
        <v>0</v>
      </c>
      <c r="P72" s="20" t="n">
        <v>0</v>
      </c>
      <c r="Q72" s="18" t="n">
        <v>7.9897711</v>
      </c>
      <c r="R72" s="20" t="n">
        <v>1.60033787</v>
      </c>
    </row>
    <row r="73" spans="1:18">
      <c r="A73" s="15" t="s">
        <v>633</v>
      </c>
      <c r="B73" s="17" t="n">
        <v>2973</v>
      </c>
      <c r="C73" s="18">
        <f>(2637.0/B73*100)</f>
        <v/>
      </c>
      <c r="D73" s="19" t="n">
        <v>336</v>
      </c>
      <c r="E73" s="18" t="n">
        <v>73.24259515999999</v>
      </c>
      <c r="F73" s="20" t="n">
        <v>2.65623125</v>
      </c>
      <c r="G73" s="18" t="n">
        <v>22.96773513</v>
      </c>
      <c r="H73" s="20" t="n">
        <v>2.53019459</v>
      </c>
      <c r="I73" s="18" t="n">
        <v>0</v>
      </c>
      <c r="J73" s="20" t="n">
        <v>0</v>
      </c>
      <c r="K73" s="18" t="n">
        <v>0</v>
      </c>
      <c r="L73" s="20" t="n">
        <v>0</v>
      </c>
      <c r="M73" s="18" t="n">
        <v>0</v>
      </c>
      <c r="N73" s="20" t="n">
        <v>0</v>
      </c>
      <c r="O73" s="18" t="n">
        <v>0</v>
      </c>
      <c r="P73" s="20" t="n">
        <v>0</v>
      </c>
      <c r="Q73" s="18" t="n">
        <v>3.78966971</v>
      </c>
      <c r="R73" s="20" t="n">
        <v>1.05444039</v>
      </c>
    </row>
    <row r="74" spans="1:18">
      <c r="A74" s="15" t="s">
        <v>634</v>
      </c>
      <c r="B74" s="17" t="n">
        <v>3819</v>
      </c>
      <c r="C74" s="18">
        <f>(3407.0/B74*100)</f>
        <v/>
      </c>
      <c r="D74" s="19" t="n">
        <v>412</v>
      </c>
      <c r="E74" s="18" t="n">
        <v>60.24500564</v>
      </c>
      <c r="F74" s="20" t="n">
        <v>2.46500786</v>
      </c>
      <c r="G74" s="18" t="n">
        <v>30.66475887</v>
      </c>
      <c r="H74" s="20" t="n">
        <v>2.39379709</v>
      </c>
      <c r="I74" s="18" t="n">
        <v>0</v>
      </c>
      <c r="J74" s="20" t="n">
        <v>0</v>
      </c>
      <c r="K74" s="18" t="n">
        <v>0.12551448</v>
      </c>
      <c r="L74" s="20" t="n">
        <v>0.12616843</v>
      </c>
      <c r="M74" s="18" t="n">
        <v>0</v>
      </c>
      <c r="N74" s="20" t="n">
        <v>0</v>
      </c>
      <c r="O74" s="18" t="n">
        <v>0</v>
      </c>
      <c r="P74" s="20" t="n">
        <v>0</v>
      </c>
      <c r="Q74" s="18" t="n">
        <v>8.96472101</v>
      </c>
      <c r="R74" s="20" t="n">
        <v>1.52908426</v>
      </c>
    </row>
    <row r="75" spans="1:18">
      <c r="A75" s="15" t="s">
        <v>635</v>
      </c>
      <c r="B75" s="17" t="n">
        <v>4652</v>
      </c>
      <c r="C75" s="18">
        <f>(4146.0/B75*100)</f>
        <v/>
      </c>
      <c r="D75" s="19" t="n">
        <v>506</v>
      </c>
      <c r="E75" s="18" t="n">
        <v>92.29900850999999</v>
      </c>
      <c r="F75" s="20" t="n">
        <v>1.34177927</v>
      </c>
      <c r="G75" s="18" t="n">
        <v>4.46466304</v>
      </c>
      <c r="H75" s="20" t="n">
        <v>1.07388783</v>
      </c>
      <c r="I75" s="18" t="n">
        <v>0</v>
      </c>
      <c r="J75" s="20" t="n">
        <v>0</v>
      </c>
      <c r="K75" s="18" t="n">
        <v>0</v>
      </c>
      <c r="L75" s="20" t="n">
        <v>0</v>
      </c>
      <c r="M75" s="18" t="n">
        <v>0</v>
      </c>
      <c r="N75" s="20" t="n">
        <v>0</v>
      </c>
      <c r="O75" s="18" t="n">
        <v>0</v>
      </c>
      <c r="P75" s="20" t="n">
        <v>0</v>
      </c>
      <c r="Q75" s="18" t="n">
        <v>3.23632845</v>
      </c>
      <c r="R75" s="20" t="n">
        <v>0.91661421</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(2665.0/B77*100)</f>
        <v/>
      </c>
      <c r="D77" s="19" t="n">
        <v>304</v>
      </c>
      <c r="E77" s="18" t="n">
        <v>56.91348701</v>
      </c>
      <c r="F77" s="20" t="n">
        <v>3.05044745</v>
      </c>
      <c r="G77" s="18" t="n">
        <v>12.51172151</v>
      </c>
      <c r="H77" s="20" t="n">
        <v>1.79431483</v>
      </c>
      <c r="I77" s="18" t="n">
        <v>0</v>
      </c>
      <c r="J77" s="20" t="n">
        <v>0</v>
      </c>
      <c r="K77" s="18" t="n">
        <v>0.42824563</v>
      </c>
      <c r="L77" s="20" t="n">
        <v>0.39152031</v>
      </c>
      <c r="M77" s="18" t="n">
        <v>0</v>
      </c>
      <c r="N77" s="20" t="n">
        <v>0</v>
      </c>
      <c r="O77" s="18" t="n">
        <v>0</v>
      </c>
      <c r="P77" s="20" t="n">
        <v>0</v>
      </c>
      <c r="Q77" s="18" t="n">
        <v>30.14654585</v>
      </c>
      <c r="R77" s="20" t="n">
        <v>3.14239199</v>
      </c>
    </row>
    <row r="78" spans="1:18">
      <c r="A78" s="15" t="s">
        <v>638</v>
      </c>
      <c r="B78" s="17" t="n">
        <v>7115</v>
      </c>
      <c r="C78" s="18">
        <f>(6331.0/B78*100)</f>
        <v/>
      </c>
      <c r="D78" s="19" t="n">
        <v>784</v>
      </c>
      <c r="E78" s="18" t="n">
        <v>79.45194506999999</v>
      </c>
      <c r="F78" s="20" t="n">
        <v>2.65341175</v>
      </c>
      <c r="G78" s="18" t="n">
        <v>15.12805842</v>
      </c>
      <c r="H78" s="20" t="n">
        <v>2.48265696</v>
      </c>
      <c r="I78" s="18" t="n">
        <v>0</v>
      </c>
      <c r="J78" s="20" t="n">
        <v>0</v>
      </c>
      <c r="K78" s="18" t="n">
        <v>0.67104215</v>
      </c>
      <c r="L78" s="20" t="n">
        <v>0.33504821</v>
      </c>
      <c r="M78" s="18" t="n">
        <v>0.42299202</v>
      </c>
      <c r="N78" s="20" t="n">
        <v>0.30040242</v>
      </c>
      <c r="O78" s="18" t="n">
        <v>0</v>
      </c>
      <c r="P78" s="20" t="n">
        <v>0</v>
      </c>
      <c r="Q78" s="18" t="n">
        <v>4.32596234</v>
      </c>
      <c r="R78" s="20" t="n">
        <v>0.77874892</v>
      </c>
    </row>
    <row r="79" spans="1:18">
      <c r="A79" s="15" t="s">
        <v>639</v>
      </c>
      <c r="B79" s="17" t="n">
        <v>3154</v>
      </c>
      <c r="C79" s="18">
        <f>(2814.0/B79*100)</f>
        <v/>
      </c>
      <c r="D79" s="19" t="n">
        <v>340</v>
      </c>
      <c r="E79" s="18" t="n">
        <v>73.39049842</v>
      </c>
      <c r="F79" s="20" t="n">
        <v>2.57265709</v>
      </c>
      <c r="G79" s="18" t="n">
        <v>6.26364612</v>
      </c>
      <c r="H79" s="20" t="n">
        <v>1.4102076</v>
      </c>
      <c r="I79" s="18" t="n">
        <v>0</v>
      </c>
      <c r="J79" s="20" t="n">
        <v>0</v>
      </c>
      <c r="K79" s="18" t="n">
        <v>0.31120762</v>
      </c>
      <c r="L79" s="20" t="n">
        <v>0.31585736</v>
      </c>
      <c r="M79" s="18" t="n">
        <v>0.67452095</v>
      </c>
      <c r="N79" s="20" t="n">
        <v>0.48813855</v>
      </c>
      <c r="O79" s="18" t="n">
        <v>0</v>
      </c>
      <c r="P79" s="20" t="n">
        <v>0</v>
      </c>
      <c r="Q79" s="18" t="n">
        <v>19.36012689</v>
      </c>
      <c r="R79" s="20" t="n">
        <v>2.36741296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(14193.0/B82*100)</f>
        <v/>
      </c>
      <c r="D82" s="19" t="n">
        <v>1768</v>
      </c>
      <c r="E82" s="18" t="n">
        <v>78.27265797</v>
      </c>
      <c r="F82" s="20" t="n">
        <v>1.3533898</v>
      </c>
      <c r="G82" s="18" t="n">
        <v>11.38036774</v>
      </c>
      <c r="H82" s="20" t="n">
        <v>0.93146914</v>
      </c>
      <c r="I82" s="18" t="n">
        <v>0</v>
      </c>
      <c r="J82" s="20" t="n">
        <v>0</v>
      </c>
      <c r="K82" s="18" t="n">
        <v>0.13054042</v>
      </c>
      <c r="L82" s="20" t="n">
        <v>0.07681789</v>
      </c>
      <c r="M82" s="18" t="n">
        <v>0.12360076</v>
      </c>
      <c r="N82" s="20" t="n">
        <v>0.11769188</v>
      </c>
      <c r="O82" s="18" t="n">
        <v>0</v>
      </c>
      <c r="P82" s="20" t="n">
        <v>0</v>
      </c>
      <c r="Q82" s="18" t="n">
        <v>10.0928331</v>
      </c>
      <c r="R82" s="20" t="n">
        <v>1.06500542</v>
      </c>
    </row>
    <row r="83" spans="1:18">
      <c r="A83" s="15" t="s">
        <v>643</v>
      </c>
      <c r="B83" s="17" t="n">
        <v>808</v>
      </c>
      <c r="C83" s="18">
        <f>(716.0/B83*100)</f>
        <v/>
      </c>
      <c r="D83" s="19" t="n">
        <v>92</v>
      </c>
      <c r="E83" s="18" t="n">
        <v>88.87903831</v>
      </c>
      <c r="F83" s="20" t="n">
        <v>3.18339512</v>
      </c>
      <c r="G83" s="18" t="n">
        <v>8.8310002</v>
      </c>
      <c r="H83" s="20" t="n">
        <v>2.77736097</v>
      </c>
      <c r="I83" s="18" t="n">
        <v>0</v>
      </c>
      <c r="J83" s="20" t="n">
        <v>0</v>
      </c>
      <c r="K83" s="18" t="n">
        <v>0</v>
      </c>
      <c r="L83" s="20" t="n">
        <v>0</v>
      </c>
      <c r="M83" s="18" t="n">
        <v>0</v>
      </c>
      <c r="N83" s="20" t="n">
        <v>0</v>
      </c>
      <c r="O83" s="18" t="n">
        <v>0</v>
      </c>
      <c r="P83" s="20" t="n">
        <v>0</v>
      </c>
      <c r="Q83" s="18" t="n">
        <v>2.28996148</v>
      </c>
      <c r="R83" s="20" t="n">
        <v>1.53203861</v>
      </c>
    </row>
    <row r="84" spans="1:18">
      <c r="A84" s="23" t="s">
        <v>644</v>
      </c>
      <c r="B84" s="24" t="n">
        <v>938</v>
      </c>
      <c r="C84" s="25">
        <f>(833.0/B84*100)</f>
        <v/>
      </c>
      <c r="D84" s="19" t="n">
        <v>105</v>
      </c>
      <c r="E84" s="18" t="n">
        <v>92.23385282</v>
      </c>
      <c r="F84" s="20" t="n">
        <v>3.84826152</v>
      </c>
      <c r="G84" s="18" t="n">
        <v>6.76518142</v>
      </c>
      <c r="H84" s="20" t="n">
        <v>2.92962749</v>
      </c>
      <c r="I84" s="18" t="n">
        <v>0</v>
      </c>
      <c r="J84" s="20" t="n">
        <v>0</v>
      </c>
      <c r="K84" s="18" t="n">
        <v>0</v>
      </c>
      <c r="L84" s="20" t="n">
        <v>0</v>
      </c>
      <c r="M84" s="18" t="n">
        <v>0</v>
      </c>
      <c r="N84" s="20" t="n">
        <v>0</v>
      </c>
      <c r="O84" s="18" t="n">
        <v>0</v>
      </c>
      <c r="P84" s="20" t="n">
        <v>0</v>
      </c>
      <c r="Q84" s="18" t="n">
        <v>1.00096576</v>
      </c>
      <c r="R84" s="20" t="n">
        <v>1.18918717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(6384.0/B7*100)</f>
        <v/>
      </c>
      <c r="D7" s="19" t="n">
        <v>779</v>
      </c>
      <c r="E7" s="18" t="n">
        <v>35.28296721</v>
      </c>
      <c r="F7" s="20" t="n">
        <v>2.05930456</v>
      </c>
      <c r="G7" s="18" t="n">
        <v>64.20077548</v>
      </c>
      <c r="H7" s="20" t="n">
        <v>2.08029395</v>
      </c>
      <c r="I7" s="18" t="n">
        <v>0</v>
      </c>
      <c r="J7" s="20" t="n">
        <v>0</v>
      </c>
      <c r="K7" s="18" t="n">
        <v>0.17744419</v>
      </c>
      <c r="L7" s="20" t="n">
        <v>0.1710682</v>
      </c>
      <c r="M7" s="18" t="n">
        <v>0</v>
      </c>
      <c r="N7" s="20" t="n">
        <v>0</v>
      </c>
      <c r="O7" s="18" t="n">
        <v>0</v>
      </c>
      <c r="P7" s="20" t="n">
        <v>0</v>
      </c>
      <c r="Q7" s="18" t="n">
        <v>0.33881311</v>
      </c>
      <c r="R7" s="20" t="n">
        <v>0.17150527</v>
      </c>
    </row>
    <row r="8" spans="1:18">
      <c r="A8" s="15" t="s">
        <v>566</v>
      </c>
      <c r="B8" s="17" t="n">
        <v>3443</v>
      </c>
      <c r="C8" s="18">
        <f>(3033.0/B8*100)</f>
        <v/>
      </c>
      <c r="D8" s="19" t="n">
        <v>410</v>
      </c>
      <c r="E8" s="18" t="n">
        <v>57.98569285</v>
      </c>
      <c r="F8" s="20" t="n">
        <v>2.27557781</v>
      </c>
      <c r="G8" s="18" t="n">
        <v>41.76189141</v>
      </c>
      <c r="H8" s="20" t="n">
        <v>2.27190111</v>
      </c>
      <c r="I8" s="18" t="n">
        <v>0</v>
      </c>
      <c r="J8" s="20" t="n">
        <v>0</v>
      </c>
      <c r="K8" s="18" t="n">
        <v>0</v>
      </c>
      <c r="L8" s="20" t="n">
        <v>0</v>
      </c>
      <c r="M8" s="18" t="n">
        <v>0</v>
      </c>
      <c r="N8" s="20" t="n">
        <v>0</v>
      </c>
      <c r="O8" s="18" t="n">
        <v>0</v>
      </c>
      <c r="P8" s="20" t="n">
        <v>0</v>
      </c>
      <c r="Q8" s="18" t="n">
        <v>0.25241574</v>
      </c>
      <c r="R8" s="20" t="n">
        <v>0.21621771</v>
      </c>
    </row>
    <row r="9" spans="1:18">
      <c r="A9" s="15" t="s">
        <v>567</v>
      </c>
      <c r="B9" s="17" t="n">
        <v>4752</v>
      </c>
      <c r="C9" s="18">
        <f>(4205.0/B9*100)</f>
        <v/>
      </c>
      <c r="D9" s="19" t="n">
        <v>547</v>
      </c>
      <c r="E9" s="18" t="n">
        <v>56.15333357</v>
      </c>
      <c r="F9" s="20" t="n">
        <v>2.06434387</v>
      </c>
      <c r="G9" s="18" t="n">
        <v>43.20608562</v>
      </c>
      <c r="H9" s="20" t="n">
        <v>2.05919769</v>
      </c>
      <c r="I9" s="18" t="n">
        <v>0</v>
      </c>
      <c r="J9" s="20" t="n">
        <v>0</v>
      </c>
      <c r="K9" s="18" t="n">
        <v>0</v>
      </c>
      <c r="L9" s="20" t="n">
        <v>0</v>
      </c>
      <c r="M9" s="18" t="n">
        <v>0</v>
      </c>
      <c r="N9" s="20" t="n">
        <v>0</v>
      </c>
      <c r="O9" s="18" t="n">
        <v>0</v>
      </c>
      <c r="P9" s="20" t="n">
        <v>0</v>
      </c>
      <c r="Q9" s="18" t="n">
        <v>0.6405808</v>
      </c>
      <c r="R9" s="20" t="n">
        <v>0.35738066</v>
      </c>
    </row>
    <row r="10" spans="1:18">
      <c r="A10" s="15" t="s">
        <v>568</v>
      </c>
      <c r="B10" s="17" t="n">
        <v>10022</v>
      </c>
      <c r="C10" s="18">
        <f>(8899.0/B10*100)</f>
        <v/>
      </c>
      <c r="D10" s="19" t="n">
        <v>1123</v>
      </c>
      <c r="E10" s="18" t="n">
        <v>34.9871887</v>
      </c>
      <c r="F10" s="20" t="n">
        <v>1.9115112</v>
      </c>
      <c r="G10" s="18" t="n">
        <v>64.58528041</v>
      </c>
      <c r="H10" s="20" t="n">
        <v>1.94314511</v>
      </c>
      <c r="I10" s="18" t="n">
        <v>0</v>
      </c>
      <c r="J10" s="20" t="n">
        <v>0</v>
      </c>
      <c r="K10" s="18" t="n">
        <v>0.02816776</v>
      </c>
      <c r="L10" s="20" t="n">
        <v>0.02821065</v>
      </c>
      <c r="M10" s="18" t="n">
        <v>0</v>
      </c>
      <c r="N10" s="20" t="n">
        <v>0</v>
      </c>
      <c r="O10" s="18" t="n">
        <v>0</v>
      </c>
      <c r="P10" s="20" t="n">
        <v>0</v>
      </c>
      <c r="Q10" s="18" t="n">
        <v>0.39936313</v>
      </c>
      <c r="R10" s="20" t="n">
        <v>0.24291956</v>
      </c>
    </row>
    <row r="11" spans="1:18">
      <c r="A11" s="15" t="s">
        <v>569</v>
      </c>
      <c r="B11" s="17" t="n">
        <v>3500</v>
      </c>
      <c r="C11" s="18">
        <f>(3124.0/B11*100)</f>
        <v/>
      </c>
      <c r="D11" s="19" t="n">
        <v>376</v>
      </c>
      <c r="E11" s="18" t="n">
        <v>49.4675574</v>
      </c>
      <c r="F11" s="20" t="n">
        <v>2.8069993</v>
      </c>
      <c r="G11" s="18" t="n">
        <v>49.39617518</v>
      </c>
      <c r="H11" s="20" t="n">
        <v>2.76871055</v>
      </c>
      <c r="I11" s="18" t="n">
        <v>0</v>
      </c>
      <c r="J11" s="20" t="n">
        <v>0</v>
      </c>
      <c r="K11" s="18" t="n">
        <v>0</v>
      </c>
      <c r="L11" s="20" t="n">
        <v>0</v>
      </c>
      <c r="M11" s="18" t="n">
        <v>0</v>
      </c>
      <c r="N11" s="20" t="n">
        <v>0</v>
      </c>
      <c r="O11" s="18" t="n">
        <v>0</v>
      </c>
      <c r="P11" s="20" t="n">
        <v>0</v>
      </c>
      <c r="Q11" s="18" t="n">
        <v>1.13626742</v>
      </c>
      <c r="R11" s="20" t="n">
        <v>0.53851463</v>
      </c>
    </row>
    <row r="12" spans="1:18">
      <c r="A12" s="15" t="s">
        <v>570</v>
      </c>
      <c r="B12" s="17" t="n">
        <v>3422</v>
      </c>
      <c r="C12" s="18">
        <f>(3036.0/B12*100)</f>
        <v/>
      </c>
      <c r="D12" s="19" t="n">
        <v>386</v>
      </c>
      <c r="E12" s="18" t="n">
        <v>44.63991785</v>
      </c>
      <c r="F12" s="20" t="n">
        <v>2.79174486</v>
      </c>
      <c r="G12" s="18" t="n">
        <v>55.0585682</v>
      </c>
      <c r="H12" s="20" t="n">
        <v>2.79211655</v>
      </c>
      <c r="I12" s="18" t="n">
        <v>0</v>
      </c>
      <c r="J12" s="20" t="n">
        <v>0</v>
      </c>
      <c r="K12" s="18" t="n">
        <v>0</v>
      </c>
      <c r="L12" s="20" t="n">
        <v>0</v>
      </c>
      <c r="M12" s="18" t="n">
        <v>0</v>
      </c>
      <c r="N12" s="20" t="n">
        <v>0</v>
      </c>
      <c r="O12" s="18" t="n">
        <v>0</v>
      </c>
      <c r="P12" s="20" t="n">
        <v>0</v>
      </c>
      <c r="Q12" s="18" t="n">
        <v>0.30151395</v>
      </c>
      <c r="R12" s="20" t="n">
        <v>0.29920592</v>
      </c>
    </row>
    <row r="13" spans="1:18">
      <c r="A13" s="15" t="s">
        <v>571</v>
      </c>
      <c r="B13" s="17" t="n">
        <v>3602</v>
      </c>
      <c r="C13" s="18">
        <f>(3230.0/B13*100)</f>
        <v/>
      </c>
      <c r="D13" s="19" t="n">
        <v>372</v>
      </c>
      <c r="E13" s="18" t="n">
        <v>46.87667261</v>
      </c>
      <c r="F13" s="20" t="n">
        <v>3.21865538</v>
      </c>
      <c r="G13" s="18" t="n">
        <v>52.39639813</v>
      </c>
      <c r="H13" s="20" t="n">
        <v>3.21898154</v>
      </c>
      <c r="I13" s="18" t="n">
        <v>0</v>
      </c>
      <c r="J13" s="20" t="n">
        <v>0</v>
      </c>
      <c r="K13" s="18" t="n">
        <v>0</v>
      </c>
      <c r="L13" s="20" t="n">
        <v>0</v>
      </c>
      <c r="M13" s="18" t="n">
        <v>0</v>
      </c>
      <c r="N13" s="20" t="n">
        <v>0</v>
      </c>
      <c r="O13" s="18" t="n">
        <v>0</v>
      </c>
      <c r="P13" s="20" t="n">
        <v>0</v>
      </c>
      <c r="Q13" s="18" t="n">
        <v>0.72692927</v>
      </c>
      <c r="R13" s="20" t="n">
        <v>0.50296179</v>
      </c>
    </row>
    <row r="14" spans="1:18">
      <c r="A14" s="15" t="s">
        <v>572</v>
      </c>
      <c r="B14" s="17" t="n">
        <v>2788</v>
      </c>
      <c r="C14" s="18">
        <f>(2482.0/B14*100)</f>
        <v/>
      </c>
      <c r="D14" s="19" t="n">
        <v>306</v>
      </c>
      <c r="E14" s="18" t="n">
        <v>48.28129301</v>
      </c>
      <c r="F14" s="20" t="n">
        <v>2.82444722</v>
      </c>
      <c r="G14" s="18" t="n">
        <v>51.71870699</v>
      </c>
      <c r="H14" s="20" t="n">
        <v>2.82444722</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(2554.0/B15*100)</f>
        <v/>
      </c>
      <c r="D15" s="19" t="n">
        <v>309</v>
      </c>
      <c r="E15" s="18" t="n">
        <v>29.17478731</v>
      </c>
      <c r="F15" s="20" t="n">
        <v>2.62741986</v>
      </c>
      <c r="G15" s="18" t="n">
        <v>70.82521269</v>
      </c>
      <c r="H15" s="20" t="n">
        <v>2.62741986</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(2767.0/B16*100)</f>
        <v/>
      </c>
      <c r="D16" s="19" t="n">
        <v>344</v>
      </c>
      <c r="E16" s="18" t="n">
        <v>45.75635394</v>
      </c>
      <c r="F16" s="20" t="n">
        <v>2.78739596</v>
      </c>
      <c r="G16" s="18" t="n">
        <v>52.46494156</v>
      </c>
      <c r="H16" s="20" t="n">
        <v>2.73734711</v>
      </c>
      <c r="I16" s="18" t="n">
        <v>0</v>
      </c>
      <c r="J16" s="20" t="n">
        <v>0</v>
      </c>
      <c r="K16" s="18" t="n">
        <v>0.38918296</v>
      </c>
      <c r="L16" s="20" t="n">
        <v>0.72557176</v>
      </c>
      <c r="M16" s="18" t="n">
        <v>0</v>
      </c>
      <c r="N16" s="20" t="n">
        <v>0</v>
      </c>
      <c r="O16" s="18" t="n">
        <v>0</v>
      </c>
      <c r="P16" s="20" t="n">
        <v>0</v>
      </c>
      <c r="Q16" s="18" t="n">
        <v>1.38952155</v>
      </c>
      <c r="R16" s="20" t="n">
        <v>0.70285821</v>
      </c>
    </row>
    <row r="17" spans="1:18">
      <c r="A17" s="15" t="s">
        <v>575</v>
      </c>
      <c r="B17" s="17" t="n">
        <v>3197</v>
      </c>
      <c r="C17" s="18">
        <f>(2840.0/B17*100)</f>
        <v/>
      </c>
      <c r="D17" s="19" t="n">
        <v>357</v>
      </c>
      <c r="E17" s="18" t="n">
        <v>42.89080861</v>
      </c>
      <c r="F17" s="20" t="n">
        <v>2.91228286</v>
      </c>
      <c r="G17" s="18" t="n">
        <v>55.84212396</v>
      </c>
      <c r="H17" s="20" t="n">
        <v>2.96803532</v>
      </c>
      <c r="I17" s="18" t="n">
        <v>0</v>
      </c>
      <c r="J17" s="20" t="n">
        <v>0</v>
      </c>
      <c r="K17" s="18" t="n">
        <v>0.29204921</v>
      </c>
      <c r="L17" s="20" t="n">
        <v>0.28287519</v>
      </c>
      <c r="M17" s="18" t="n">
        <v>0</v>
      </c>
      <c r="N17" s="20" t="n">
        <v>0</v>
      </c>
      <c r="O17" s="18" t="n">
        <v>0</v>
      </c>
      <c r="P17" s="20" t="n">
        <v>0</v>
      </c>
      <c r="Q17" s="18" t="n">
        <v>0.97501822</v>
      </c>
      <c r="R17" s="20" t="n">
        <v>0.45492296</v>
      </c>
    </row>
    <row r="18" spans="1:18">
      <c r="A18" s="15" t="s">
        <v>576</v>
      </c>
      <c r="B18" s="17" t="n">
        <v>2706</v>
      </c>
      <c r="C18" s="18">
        <f>(2408.0/B18*100)</f>
        <v/>
      </c>
      <c r="D18" s="19" t="n">
        <v>298</v>
      </c>
      <c r="E18" s="18" t="n">
        <v>56.82049799</v>
      </c>
      <c r="F18" s="20" t="n">
        <v>3.09558053</v>
      </c>
      <c r="G18" s="18" t="n">
        <v>42.4618892</v>
      </c>
      <c r="H18" s="20" t="n">
        <v>3.05770337</v>
      </c>
      <c r="I18" s="18" t="n">
        <v>0</v>
      </c>
      <c r="J18" s="20" t="n">
        <v>0</v>
      </c>
      <c r="K18" s="18" t="n">
        <v>0.36742774</v>
      </c>
      <c r="L18" s="20" t="n">
        <v>0.29373431</v>
      </c>
      <c r="M18" s="18" t="n">
        <v>0</v>
      </c>
      <c r="N18" s="20" t="n">
        <v>0</v>
      </c>
      <c r="O18" s="18" t="n">
        <v>0</v>
      </c>
      <c r="P18" s="20" t="n">
        <v>0</v>
      </c>
      <c r="Q18" s="18" t="n">
        <v>0.35018506</v>
      </c>
      <c r="R18" s="20" t="n">
        <v>0.34931331</v>
      </c>
    </row>
    <row r="19" spans="1:18">
      <c r="A19" s="15" t="s">
        <v>577</v>
      </c>
      <c r="B19" s="17" t="n">
        <v>2850</v>
      </c>
      <c r="C19" s="18">
        <f>(2502.0/B19*100)</f>
        <v/>
      </c>
      <c r="D19" s="19" t="n">
        <v>348</v>
      </c>
      <c r="E19" s="18" t="n">
        <v>45.36763119</v>
      </c>
      <c r="F19" s="20" t="n">
        <v>2.98243662</v>
      </c>
      <c r="G19" s="18" t="n">
        <v>53.9982317</v>
      </c>
      <c r="H19" s="20" t="n">
        <v>3.006317</v>
      </c>
      <c r="I19" s="18" t="n">
        <v>0</v>
      </c>
      <c r="J19" s="20" t="n">
        <v>0</v>
      </c>
      <c r="K19" s="18" t="n">
        <v>0</v>
      </c>
      <c r="L19" s="20" t="n">
        <v>0</v>
      </c>
      <c r="M19" s="18" t="n">
        <v>0</v>
      </c>
      <c r="N19" s="20" t="n">
        <v>0</v>
      </c>
      <c r="O19" s="18" t="n">
        <v>0</v>
      </c>
      <c r="P19" s="20" t="n">
        <v>0</v>
      </c>
      <c r="Q19" s="18" t="n">
        <v>0.6341371099999999</v>
      </c>
      <c r="R19" s="20" t="n">
        <v>0.63729057</v>
      </c>
    </row>
    <row r="20" spans="1:18">
      <c r="A20" s="15" t="s">
        <v>578</v>
      </c>
      <c r="B20" s="17" t="n">
        <v>1741</v>
      </c>
      <c r="C20" s="18">
        <f>(1541.0/B20*100)</f>
        <v/>
      </c>
      <c r="D20" s="19" t="n">
        <v>200</v>
      </c>
      <c r="E20" s="18" t="n">
        <v>42.82400462</v>
      </c>
      <c r="F20" s="20" t="n">
        <v>3.33868277</v>
      </c>
      <c r="G20" s="18" t="n">
        <v>55.70508994</v>
      </c>
      <c r="H20" s="20" t="n">
        <v>3.43804356</v>
      </c>
      <c r="I20" s="18" t="n">
        <v>0</v>
      </c>
      <c r="J20" s="20" t="n">
        <v>0</v>
      </c>
      <c r="K20" s="18" t="n">
        <v>0.42891043</v>
      </c>
      <c r="L20" s="20" t="n">
        <v>0.42656658</v>
      </c>
      <c r="M20" s="18" t="n">
        <v>0</v>
      </c>
      <c r="N20" s="20" t="n">
        <v>0</v>
      </c>
      <c r="O20" s="18" t="n">
        <v>0</v>
      </c>
      <c r="P20" s="20" t="n">
        <v>0</v>
      </c>
      <c r="Q20" s="18" t="n">
        <v>1.04199501</v>
      </c>
      <c r="R20" s="20" t="n">
        <v>0.72989201</v>
      </c>
    </row>
    <row r="21" spans="1:18">
      <c r="A21" s="15" t="s">
        <v>579</v>
      </c>
      <c r="B21" s="17" t="n">
        <v>2833</v>
      </c>
      <c r="C21" s="18">
        <f>(2499.0/B21*100)</f>
        <v/>
      </c>
      <c r="D21" s="19" t="n">
        <v>334</v>
      </c>
      <c r="E21" s="18" t="n">
        <v>40.69400315</v>
      </c>
      <c r="F21" s="20" t="n">
        <v>2.94474639</v>
      </c>
      <c r="G21" s="18" t="n">
        <v>59.07534676</v>
      </c>
      <c r="H21" s="20" t="n">
        <v>2.93342087</v>
      </c>
      <c r="I21" s="18" t="n">
        <v>0</v>
      </c>
      <c r="J21" s="20" t="n">
        <v>0</v>
      </c>
      <c r="K21" s="18" t="n">
        <v>0</v>
      </c>
      <c r="L21" s="20" t="n">
        <v>0</v>
      </c>
      <c r="M21" s="18" t="n">
        <v>0</v>
      </c>
      <c r="N21" s="20" t="n">
        <v>0</v>
      </c>
      <c r="O21" s="18" t="n">
        <v>0</v>
      </c>
      <c r="P21" s="20" t="n">
        <v>0</v>
      </c>
      <c r="Q21" s="18" t="n">
        <v>0.2306501</v>
      </c>
      <c r="R21" s="20" t="n">
        <v>0.2289299</v>
      </c>
    </row>
    <row r="22" spans="1:18">
      <c r="A22" s="15" t="s">
        <v>580</v>
      </c>
      <c r="B22" s="17" t="n">
        <v>3667</v>
      </c>
      <c r="C22" s="18">
        <f>(3341.0/B22*100)</f>
        <v/>
      </c>
      <c r="D22" s="19" t="n">
        <v>326</v>
      </c>
      <c r="E22" s="18" t="n">
        <v>52.2302199</v>
      </c>
      <c r="F22" s="20" t="n">
        <v>2.79296718</v>
      </c>
      <c r="G22" s="18" t="n">
        <v>46.50140801</v>
      </c>
      <c r="H22" s="20" t="n">
        <v>2.8787412</v>
      </c>
      <c r="I22" s="18" t="n">
        <v>0</v>
      </c>
      <c r="J22" s="20" t="n">
        <v>0</v>
      </c>
      <c r="K22" s="18" t="n">
        <v>0</v>
      </c>
      <c r="L22" s="20" t="n">
        <v>0</v>
      </c>
      <c r="M22" s="18" t="n">
        <v>0</v>
      </c>
      <c r="N22" s="20" t="n">
        <v>0</v>
      </c>
      <c r="O22" s="18" t="n">
        <v>0</v>
      </c>
      <c r="P22" s="20" t="n">
        <v>0</v>
      </c>
      <c r="Q22" s="18" t="n">
        <v>1.26837209</v>
      </c>
      <c r="R22" s="20" t="n">
        <v>0.7427642800000001</v>
      </c>
    </row>
    <row r="23" spans="1:18">
      <c r="A23" s="15" t="s">
        <v>581</v>
      </c>
      <c r="B23" s="17" t="n">
        <v>5792</v>
      </c>
      <c r="C23" s="18">
        <f>(5168.0/B23*100)</f>
        <v/>
      </c>
      <c r="D23" s="19" t="n">
        <v>624</v>
      </c>
      <c r="E23" s="18" t="n">
        <v>39.568109</v>
      </c>
      <c r="F23" s="20" t="n">
        <v>2.8996105</v>
      </c>
      <c r="G23" s="18" t="n">
        <v>57.77337735</v>
      </c>
      <c r="H23" s="20" t="n">
        <v>2.83963539</v>
      </c>
      <c r="I23" s="18" t="n">
        <v>0</v>
      </c>
      <c r="J23" s="20" t="n">
        <v>0</v>
      </c>
      <c r="K23" s="18" t="n">
        <v>0.48825788</v>
      </c>
      <c r="L23" s="20" t="n">
        <v>0.50200775</v>
      </c>
      <c r="M23" s="18" t="n">
        <v>0</v>
      </c>
      <c r="N23" s="20" t="n">
        <v>0</v>
      </c>
      <c r="O23" s="18" t="n">
        <v>0</v>
      </c>
      <c r="P23" s="20" t="n">
        <v>0</v>
      </c>
      <c r="Q23" s="18" t="n">
        <v>2.17025578</v>
      </c>
      <c r="R23" s="20" t="n">
        <v>0.48228683</v>
      </c>
    </row>
    <row r="24" spans="1:18">
      <c r="A24" s="15" t="s">
        <v>582</v>
      </c>
      <c r="B24" s="17" t="n">
        <v>3309</v>
      </c>
      <c r="C24" s="18">
        <f>(2925.0/B24*100)</f>
        <v/>
      </c>
      <c r="D24" s="19" t="n">
        <v>384</v>
      </c>
      <c r="E24" s="18" t="n">
        <v>41.16541567</v>
      </c>
      <c r="F24" s="20" t="n">
        <v>2.55987831</v>
      </c>
      <c r="G24" s="18" t="n">
        <v>58.58615864</v>
      </c>
      <c r="H24" s="20" t="n">
        <v>2.50866218</v>
      </c>
      <c r="I24" s="18" t="n">
        <v>0</v>
      </c>
      <c r="J24" s="20" t="n">
        <v>0</v>
      </c>
      <c r="K24" s="18" t="n">
        <v>0</v>
      </c>
      <c r="L24" s="20" t="n">
        <v>0</v>
      </c>
      <c r="M24" s="18" t="n">
        <v>0</v>
      </c>
      <c r="N24" s="20" t="n">
        <v>0</v>
      </c>
      <c r="O24" s="18" t="n">
        <v>0</v>
      </c>
      <c r="P24" s="20" t="n">
        <v>0</v>
      </c>
      <c r="Q24" s="18" t="n">
        <v>0.24842569</v>
      </c>
      <c r="R24" s="20" t="n">
        <v>0.25013476</v>
      </c>
    </row>
    <row r="25" spans="1:18">
      <c r="A25" s="15" t="s">
        <v>583</v>
      </c>
      <c r="B25" s="17" t="n">
        <v>2669</v>
      </c>
      <c r="C25" s="18">
        <f>(2365.0/B25*100)</f>
        <v/>
      </c>
      <c r="D25" s="19" t="n">
        <v>304</v>
      </c>
      <c r="E25" s="18" t="n">
        <v>54.55489618</v>
      </c>
      <c r="F25" s="20" t="n">
        <v>2.91416511</v>
      </c>
      <c r="G25" s="18" t="n">
        <v>45.126742</v>
      </c>
      <c r="H25" s="20" t="n">
        <v>2.92367813</v>
      </c>
      <c r="I25" s="18" t="n">
        <v>0</v>
      </c>
      <c r="J25" s="20" t="n">
        <v>0</v>
      </c>
      <c r="K25" s="18" t="n">
        <v>0</v>
      </c>
      <c r="L25" s="20" t="n">
        <v>0</v>
      </c>
      <c r="M25" s="18" t="n">
        <v>0</v>
      </c>
      <c r="N25" s="20" t="n">
        <v>0</v>
      </c>
      <c r="O25" s="18" t="n">
        <v>0</v>
      </c>
      <c r="P25" s="20" t="n">
        <v>0</v>
      </c>
      <c r="Q25" s="18" t="n">
        <v>0.31836182</v>
      </c>
      <c r="R25" s="20" t="n">
        <v>0.31909833</v>
      </c>
    </row>
    <row r="26" spans="1:18">
      <c r="A26" s="15" t="s">
        <v>584</v>
      </c>
      <c r="B26" s="17" t="n">
        <v>2419</v>
      </c>
      <c r="C26" s="18">
        <f>(2149.0/B26*100)</f>
        <v/>
      </c>
      <c r="D26" s="19" t="n">
        <v>270</v>
      </c>
      <c r="E26" s="18" t="n">
        <v>53.11896153</v>
      </c>
      <c r="F26" s="20" t="n">
        <v>3.49186891</v>
      </c>
      <c r="G26" s="18" t="n">
        <v>46.62724261</v>
      </c>
      <c r="H26" s="20" t="n">
        <v>3.46555609</v>
      </c>
      <c r="I26" s="18" t="n">
        <v>0</v>
      </c>
      <c r="J26" s="20" t="n">
        <v>0</v>
      </c>
      <c r="K26" s="18" t="n">
        <v>0</v>
      </c>
      <c r="L26" s="20" t="n">
        <v>0</v>
      </c>
      <c r="M26" s="18" t="n">
        <v>0</v>
      </c>
      <c r="N26" s="20" t="n">
        <v>0</v>
      </c>
      <c r="O26" s="18" t="n">
        <v>0</v>
      </c>
      <c r="P26" s="20" t="n">
        <v>0</v>
      </c>
      <c r="Q26" s="18" t="n">
        <v>0.25379585</v>
      </c>
      <c r="R26" s="20" t="n">
        <v>0.25421274</v>
      </c>
    </row>
    <row r="27" spans="1:18">
      <c r="A27" s="15" t="s">
        <v>585</v>
      </c>
      <c r="B27" s="17" t="n">
        <v>2683</v>
      </c>
      <c r="C27" s="18">
        <f>(2407.0/B27*100)</f>
        <v/>
      </c>
      <c r="D27" s="19" t="n">
        <v>276</v>
      </c>
      <c r="E27" s="18" t="n">
        <v>49.41672463</v>
      </c>
      <c r="F27" s="20" t="n">
        <v>2.89667192</v>
      </c>
      <c r="G27" s="18" t="n">
        <v>49.4573041</v>
      </c>
      <c r="H27" s="20" t="n">
        <v>3.00032951</v>
      </c>
      <c r="I27" s="18" t="n">
        <v>0</v>
      </c>
      <c r="J27" s="20" t="n">
        <v>0</v>
      </c>
      <c r="K27" s="18" t="n">
        <v>0</v>
      </c>
      <c r="L27" s="20" t="n">
        <v>0</v>
      </c>
      <c r="M27" s="18" t="n">
        <v>0</v>
      </c>
      <c r="N27" s="20" t="n">
        <v>0</v>
      </c>
      <c r="O27" s="18" t="n">
        <v>0</v>
      </c>
      <c r="P27" s="20" t="n">
        <v>0</v>
      </c>
      <c r="Q27" s="18" t="n">
        <v>1.12597127</v>
      </c>
      <c r="R27" s="20" t="n">
        <v>0.65388533</v>
      </c>
    </row>
    <row r="28" spans="1:18">
      <c r="A28" s="15" t="s">
        <v>586</v>
      </c>
      <c r="B28" s="17" t="n">
        <v>3803</v>
      </c>
      <c r="C28" s="18">
        <f>(3406.0/B28*100)</f>
        <v/>
      </c>
      <c r="D28" s="19" t="n">
        <v>397</v>
      </c>
      <c r="E28" s="18" t="n">
        <v>60.53512114</v>
      </c>
      <c r="F28" s="20" t="n">
        <v>2.1658489</v>
      </c>
      <c r="G28" s="18" t="n">
        <v>38.60567912</v>
      </c>
      <c r="H28" s="20" t="n">
        <v>2.31035517</v>
      </c>
      <c r="I28" s="18" t="n">
        <v>0</v>
      </c>
      <c r="J28" s="20" t="n">
        <v>0</v>
      </c>
      <c r="K28" s="18" t="n">
        <v>0.85919974</v>
      </c>
      <c r="L28" s="20" t="n">
        <v>0.64105418</v>
      </c>
      <c r="M28" s="18" t="n">
        <v>0</v>
      </c>
      <c r="N28" s="20" t="n">
        <v>0</v>
      </c>
      <c r="O28" s="18" t="n">
        <v>0</v>
      </c>
      <c r="P28" s="20" t="n">
        <v>0</v>
      </c>
      <c r="Q28" s="18" t="n">
        <v>0</v>
      </c>
      <c r="R28" s="20" t="n">
        <v>0</v>
      </c>
    </row>
    <row r="29" spans="1:18">
      <c r="A29" s="15" t="s">
        <v>587</v>
      </c>
      <c r="B29" s="17" t="n">
        <v>2700</v>
      </c>
      <c r="C29" s="18">
        <f>(2403.0/B29*100)</f>
        <v/>
      </c>
      <c r="D29" s="19" t="n">
        <v>297</v>
      </c>
      <c r="E29" s="18" t="n">
        <v>71.5056033</v>
      </c>
      <c r="F29" s="20" t="n">
        <v>2.8835629</v>
      </c>
      <c r="G29" s="18" t="n">
        <v>28.4943967</v>
      </c>
      <c r="H29" s="20" t="n">
        <v>2.8835629</v>
      </c>
      <c r="I29" s="18" t="n">
        <v>0</v>
      </c>
      <c r="J29" s="20" t="n">
        <v>0</v>
      </c>
      <c r="K29" s="18" t="n">
        <v>0</v>
      </c>
      <c r="L29" s="20" t="n">
        <v>0</v>
      </c>
      <c r="M29" s="18" t="n">
        <v>0</v>
      </c>
      <c r="N29" s="20" t="n">
        <v>0</v>
      </c>
      <c r="O29" s="18" t="n">
        <v>0</v>
      </c>
      <c r="P29" s="20" t="n">
        <v>0</v>
      </c>
      <c r="Q29" s="18" t="n">
        <v>0</v>
      </c>
      <c r="R29" s="20" t="n">
        <v>0</v>
      </c>
    </row>
    <row r="30" spans="1:18">
      <c r="A30" s="15" t="s">
        <v>588</v>
      </c>
      <c r="B30" s="17" t="n">
        <v>2257</v>
      </c>
      <c r="C30" s="18">
        <f>(1995.0/B30*100)</f>
        <v/>
      </c>
      <c r="D30" s="19" t="n">
        <v>262</v>
      </c>
      <c r="E30" s="18" t="n">
        <v>39.36415161</v>
      </c>
      <c r="F30" s="20" t="n">
        <v>2.97535459</v>
      </c>
      <c r="G30" s="18" t="n">
        <v>60.30222346</v>
      </c>
      <c r="H30" s="20" t="n">
        <v>3.03780167</v>
      </c>
      <c r="I30" s="18" t="n">
        <v>0</v>
      </c>
      <c r="J30" s="20" t="n">
        <v>0</v>
      </c>
      <c r="K30" s="18" t="n">
        <v>0</v>
      </c>
      <c r="L30" s="20" t="n">
        <v>0</v>
      </c>
      <c r="M30" s="18" t="n">
        <v>0</v>
      </c>
      <c r="N30" s="20" t="n">
        <v>0</v>
      </c>
      <c r="O30" s="18" t="n">
        <v>0</v>
      </c>
      <c r="P30" s="20" t="n">
        <v>0</v>
      </c>
      <c r="Q30" s="18" t="n">
        <v>0.33362493</v>
      </c>
      <c r="R30" s="20" t="n">
        <v>0.3386044</v>
      </c>
    </row>
    <row r="31" spans="1:18">
      <c r="A31" s="15" t="s">
        <v>589</v>
      </c>
      <c r="B31" s="17" t="n">
        <v>2706</v>
      </c>
      <c r="C31" s="18">
        <f>(2424.0/B31*100)</f>
        <v/>
      </c>
      <c r="D31" s="19" t="n">
        <v>282</v>
      </c>
      <c r="E31" s="18" t="n">
        <v>51.55058478</v>
      </c>
      <c r="F31" s="20" t="n">
        <v>2.26536855</v>
      </c>
      <c r="G31" s="18" t="n">
        <v>47.39849669</v>
      </c>
      <c r="H31" s="20" t="n">
        <v>2.27023914</v>
      </c>
      <c r="I31" s="18" t="n">
        <v>0</v>
      </c>
      <c r="J31" s="20" t="n">
        <v>0</v>
      </c>
      <c r="K31" s="18" t="n">
        <v>0</v>
      </c>
      <c r="L31" s="20" t="n">
        <v>0</v>
      </c>
      <c r="M31" s="18" t="n">
        <v>0</v>
      </c>
      <c r="N31" s="20" t="n">
        <v>0</v>
      </c>
      <c r="O31" s="18" t="n">
        <v>0</v>
      </c>
      <c r="P31" s="20" t="n">
        <v>0</v>
      </c>
      <c r="Q31" s="18" t="n">
        <v>1.05091853</v>
      </c>
      <c r="R31" s="20" t="n">
        <v>0.6232114600000001</v>
      </c>
    </row>
    <row r="32" spans="1:18">
      <c r="A32" s="15" t="s">
        <v>590</v>
      </c>
      <c r="B32" s="17" t="n">
        <v>2209</v>
      </c>
      <c r="C32" s="18">
        <f>(1952.0/B32*100)</f>
        <v/>
      </c>
      <c r="D32" s="19" t="n">
        <v>257</v>
      </c>
      <c r="E32" s="18" t="n">
        <v>38.47205819</v>
      </c>
      <c r="F32" s="20" t="n">
        <v>3.12575023</v>
      </c>
      <c r="G32" s="18" t="n">
        <v>60.84729055</v>
      </c>
      <c r="H32" s="20" t="n">
        <v>3.19662043</v>
      </c>
      <c r="I32" s="18" t="n">
        <v>0</v>
      </c>
      <c r="J32" s="20" t="n">
        <v>0</v>
      </c>
      <c r="K32" s="18" t="n">
        <v>0</v>
      </c>
      <c r="L32" s="20" t="n">
        <v>0</v>
      </c>
      <c r="M32" s="18" t="n">
        <v>0</v>
      </c>
      <c r="N32" s="20" t="n">
        <v>0</v>
      </c>
      <c r="O32" s="18" t="n">
        <v>0</v>
      </c>
      <c r="P32" s="20" t="n">
        <v>0</v>
      </c>
      <c r="Q32" s="18" t="n">
        <v>0.68065126</v>
      </c>
      <c r="R32" s="20" t="n">
        <v>0.46903347</v>
      </c>
    </row>
    <row r="33" spans="1:18">
      <c r="A33" s="15" t="s">
        <v>591</v>
      </c>
      <c r="B33" s="17" t="n">
        <v>3651</v>
      </c>
      <c r="C33" s="18">
        <f>(3240.0/B33*100)</f>
        <v/>
      </c>
      <c r="D33" s="19" t="n">
        <v>411</v>
      </c>
      <c r="E33" s="18" t="n">
        <v>46.20473752</v>
      </c>
      <c r="F33" s="20" t="n">
        <v>2.67500722</v>
      </c>
      <c r="G33" s="18" t="n">
        <v>53.3842613</v>
      </c>
      <c r="H33" s="20" t="n">
        <v>2.64850018</v>
      </c>
      <c r="I33" s="18" t="n">
        <v>0</v>
      </c>
      <c r="J33" s="20" t="n">
        <v>0</v>
      </c>
      <c r="K33" s="18" t="n">
        <v>0</v>
      </c>
      <c r="L33" s="20" t="n">
        <v>0</v>
      </c>
      <c r="M33" s="18" t="n">
        <v>0</v>
      </c>
      <c r="N33" s="20" t="n">
        <v>0</v>
      </c>
      <c r="O33" s="18" t="n">
        <v>0</v>
      </c>
      <c r="P33" s="20" t="n">
        <v>0</v>
      </c>
      <c r="Q33" s="18" t="n">
        <v>0.41100118</v>
      </c>
      <c r="R33" s="20" t="n">
        <v>0.31917143</v>
      </c>
    </row>
    <row r="34" spans="1:18">
      <c r="A34" s="15" t="s">
        <v>592</v>
      </c>
      <c r="B34" s="17" t="n">
        <v>3035</v>
      </c>
      <c r="C34" s="18">
        <f>(2704.0/B34*100)</f>
        <v/>
      </c>
      <c r="D34" s="19" t="n">
        <v>331</v>
      </c>
      <c r="E34" s="18" t="n">
        <v>45.64816699</v>
      </c>
      <c r="F34" s="20" t="n">
        <v>3.16084875</v>
      </c>
      <c r="G34" s="18" t="n">
        <v>53.10961768</v>
      </c>
      <c r="H34" s="20" t="n">
        <v>3.23056745</v>
      </c>
      <c r="I34" s="18" t="n">
        <v>0</v>
      </c>
      <c r="J34" s="20" t="n">
        <v>0</v>
      </c>
      <c r="K34" s="18" t="n">
        <v>0.37034434</v>
      </c>
      <c r="L34" s="20" t="n">
        <v>0.36407774</v>
      </c>
      <c r="M34" s="18" t="n">
        <v>0</v>
      </c>
      <c r="N34" s="20" t="n">
        <v>0</v>
      </c>
      <c r="O34" s="18" t="n">
        <v>0</v>
      </c>
      <c r="P34" s="20" t="n">
        <v>0</v>
      </c>
      <c r="Q34" s="18" t="n">
        <v>0.87187099</v>
      </c>
      <c r="R34" s="20" t="n">
        <v>0.61803093</v>
      </c>
    </row>
    <row r="35" spans="1:18">
      <c r="A35" s="15" t="s">
        <v>593</v>
      </c>
      <c r="B35" s="17" t="n">
        <v>2901</v>
      </c>
      <c r="C35" s="18">
        <f>(2568.0/B35*100)</f>
        <v/>
      </c>
      <c r="D35" s="19" t="n">
        <v>333</v>
      </c>
      <c r="E35" s="18" t="n">
        <v>47.57436367</v>
      </c>
      <c r="F35" s="20" t="n">
        <v>2.79340598</v>
      </c>
      <c r="G35" s="18" t="n">
        <v>51.65946453</v>
      </c>
      <c r="H35" s="20" t="n">
        <v>2.819419</v>
      </c>
      <c r="I35" s="18" t="n">
        <v>0</v>
      </c>
      <c r="J35" s="20" t="n">
        <v>0</v>
      </c>
      <c r="K35" s="18" t="n">
        <v>0.1650801</v>
      </c>
      <c r="L35" s="20" t="n">
        <v>0.16511886</v>
      </c>
      <c r="M35" s="18" t="n">
        <v>0</v>
      </c>
      <c r="N35" s="20" t="n">
        <v>0</v>
      </c>
      <c r="O35" s="18" t="n">
        <v>0</v>
      </c>
      <c r="P35" s="20" t="n">
        <v>0</v>
      </c>
      <c r="Q35" s="18" t="n">
        <v>0.6010917</v>
      </c>
      <c r="R35" s="20" t="n">
        <v>0.46183908</v>
      </c>
    </row>
    <row r="36" spans="1:18">
      <c r="A36" s="15" t="s">
        <v>594</v>
      </c>
      <c r="B36" s="17" t="n">
        <v>3404</v>
      </c>
      <c r="C36" s="18">
        <f>(3061.0/B36*100)</f>
        <v/>
      </c>
      <c r="D36" s="19" t="n">
        <v>343</v>
      </c>
      <c r="E36" s="18" t="n">
        <v>43.54490868</v>
      </c>
      <c r="F36" s="20" t="n">
        <v>2.44423471</v>
      </c>
      <c r="G36" s="18" t="n">
        <v>56.14161837</v>
      </c>
      <c r="H36" s="20" t="n">
        <v>2.39057473</v>
      </c>
      <c r="I36" s="18" t="n">
        <v>0</v>
      </c>
      <c r="J36" s="20" t="n">
        <v>0</v>
      </c>
      <c r="K36" s="18" t="n">
        <v>0</v>
      </c>
      <c r="L36" s="20" t="n">
        <v>0</v>
      </c>
      <c r="M36" s="18" t="n">
        <v>0</v>
      </c>
      <c r="N36" s="20" t="n">
        <v>0</v>
      </c>
      <c r="O36" s="18" t="n">
        <v>0</v>
      </c>
      <c r="P36" s="20" t="n">
        <v>0</v>
      </c>
      <c r="Q36" s="18" t="n">
        <v>0.31347295</v>
      </c>
      <c r="R36" s="20" t="n">
        <v>0.21981998</v>
      </c>
    </row>
    <row r="37" spans="1:18">
      <c r="A37" s="15" t="s">
        <v>595</v>
      </c>
      <c r="B37" s="17" t="n">
        <v>2731</v>
      </c>
      <c r="C37" s="18">
        <f>(2410.0/B37*100)</f>
        <v/>
      </c>
      <c r="D37" s="19" t="n">
        <v>321</v>
      </c>
      <c r="E37" s="18" t="n">
        <v>53.78973712</v>
      </c>
      <c r="F37" s="20" t="n">
        <v>2.8359919</v>
      </c>
      <c r="G37" s="18" t="n">
        <v>45.06583959</v>
      </c>
      <c r="H37" s="20" t="n">
        <v>2.93079492</v>
      </c>
      <c r="I37" s="18" t="n">
        <v>0</v>
      </c>
      <c r="J37" s="20" t="n">
        <v>0</v>
      </c>
      <c r="K37" s="18" t="n">
        <v>0</v>
      </c>
      <c r="L37" s="20" t="n">
        <v>0</v>
      </c>
      <c r="M37" s="18" t="n">
        <v>0</v>
      </c>
      <c r="N37" s="20" t="n">
        <v>0</v>
      </c>
      <c r="O37" s="18" t="n">
        <v>0</v>
      </c>
      <c r="P37" s="20" t="n">
        <v>0</v>
      </c>
      <c r="Q37" s="18" t="n">
        <v>1.14442328</v>
      </c>
      <c r="R37" s="20" t="n">
        <v>0.58333037</v>
      </c>
    </row>
    <row r="38" spans="1:18">
      <c r="A38" s="15" t="s">
        <v>596</v>
      </c>
      <c r="B38" s="17" t="n">
        <v>2807</v>
      </c>
      <c r="C38" s="18">
        <f>(2515.0/B38*100)</f>
        <v/>
      </c>
      <c r="D38" s="19" t="n">
        <v>292</v>
      </c>
      <c r="E38" s="18" t="n">
        <v>46.06727958</v>
      </c>
      <c r="F38" s="20" t="n">
        <v>4.0810291</v>
      </c>
      <c r="G38" s="18" t="n">
        <v>52.71395725</v>
      </c>
      <c r="H38" s="20" t="n">
        <v>4.06486961</v>
      </c>
      <c r="I38" s="18" t="n">
        <v>0</v>
      </c>
      <c r="J38" s="20" t="n">
        <v>0</v>
      </c>
      <c r="K38" s="18" t="n">
        <v>0</v>
      </c>
      <c r="L38" s="20" t="n">
        <v>0</v>
      </c>
      <c r="M38" s="18" t="n">
        <v>0</v>
      </c>
      <c r="N38" s="20" t="n">
        <v>0</v>
      </c>
      <c r="O38" s="18" t="n">
        <v>0</v>
      </c>
      <c r="P38" s="20" t="n">
        <v>0</v>
      </c>
      <c r="Q38" s="18" t="n">
        <v>1.21876317</v>
      </c>
      <c r="R38" s="20" t="n">
        <v>0.70636635</v>
      </c>
    </row>
    <row r="39" spans="1:18">
      <c r="A39" s="15" t="s">
        <v>597</v>
      </c>
      <c r="B39" s="17" t="n">
        <v>2938</v>
      </c>
      <c r="C39" s="18">
        <f>(2633.0/B39*100)</f>
        <v/>
      </c>
      <c r="D39" s="19" t="n">
        <v>305</v>
      </c>
      <c r="E39" s="18" t="n">
        <v>56.91158383</v>
      </c>
      <c r="F39" s="20" t="n">
        <v>3.16770112</v>
      </c>
      <c r="G39" s="18" t="n">
        <v>42.51701351</v>
      </c>
      <c r="H39" s="20" t="n">
        <v>3.15492682</v>
      </c>
      <c r="I39" s="18" t="n">
        <v>0</v>
      </c>
      <c r="J39" s="20" t="n">
        <v>0</v>
      </c>
      <c r="K39" s="18" t="n">
        <v>0</v>
      </c>
      <c r="L39" s="20" t="n">
        <v>0</v>
      </c>
      <c r="M39" s="18" t="n">
        <v>0</v>
      </c>
      <c r="N39" s="20" t="n">
        <v>0</v>
      </c>
      <c r="O39" s="18" t="n">
        <v>0</v>
      </c>
      <c r="P39" s="20" t="n">
        <v>0</v>
      </c>
      <c r="Q39" s="18" t="n">
        <v>0.57140266</v>
      </c>
      <c r="R39" s="20" t="n">
        <v>0.57049734</v>
      </c>
    </row>
    <row r="40" spans="1:18">
      <c r="A40" s="15" t="s">
        <v>598</v>
      </c>
      <c r="B40" s="17" t="n">
        <v>6922</v>
      </c>
      <c r="C40" s="18">
        <f>(6151.0/B40*100)</f>
        <v/>
      </c>
      <c r="D40" s="19" t="n">
        <v>771</v>
      </c>
      <c r="E40" s="18" t="n">
        <v>44.26340884</v>
      </c>
      <c r="F40" s="20" t="n">
        <v>3.09270175</v>
      </c>
      <c r="G40" s="18" t="n">
        <v>53.94130862</v>
      </c>
      <c r="H40" s="20" t="n">
        <v>3.11051632</v>
      </c>
      <c r="I40" s="18" t="n">
        <v>0</v>
      </c>
      <c r="J40" s="20" t="n">
        <v>0</v>
      </c>
      <c r="K40" s="18" t="n">
        <v>0.46272687</v>
      </c>
      <c r="L40" s="20" t="n">
        <v>0.40546434</v>
      </c>
      <c r="M40" s="18" t="n">
        <v>0</v>
      </c>
      <c r="N40" s="20" t="n">
        <v>0</v>
      </c>
      <c r="O40" s="18" t="n">
        <v>0</v>
      </c>
      <c r="P40" s="20" t="n">
        <v>0</v>
      </c>
      <c r="Q40" s="18" t="n">
        <v>1.33255568</v>
      </c>
      <c r="R40" s="20" t="n">
        <v>0.63683324</v>
      </c>
    </row>
    <row r="41" spans="1:18">
      <c r="A41" s="15" t="s">
        <v>599</v>
      </c>
      <c r="B41" s="17" t="n">
        <v>2854</v>
      </c>
      <c r="C41" s="18">
        <f>(2539.0/B41*100)</f>
        <v/>
      </c>
      <c r="D41" s="19" t="n">
        <v>315</v>
      </c>
      <c r="E41" s="18" t="n">
        <v>45.44427438</v>
      </c>
      <c r="F41" s="20" t="n">
        <v>3.34695429</v>
      </c>
      <c r="G41" s="18" t="n">
        <v>54.02111371</v>
      </c>
      <c r="H41" s="20" t="n">
        <v>3.33640017</v>
      </c>
      <c r="I41" s="18" t="n">
        <v>0</v>
      </c>
      <c r="J41" s="20" t="n">
        <v>0</v>
      </c>
      <c r="K41" s="18" t="n">
        <v>0</v>
      </c>
      <c r="L41" s="20" t="n">
        <v>0</v>
      </c>
      <c r="M41" s="18" t="n">
        <v>0</v>
      </c>
      <c r="N41" s="20" t="n">
        <v>0</v>
      </c>
      <c r="O41" s="18" t="n">
        <v>0</v>
      </c>
      <c r="P41" s="20" t="n">
        <v>0</v>
      </c>
      <c r="Q41" s="18" t="n">
        <v>0.53461191</v>
      </c>
      <c r="R41" s="20" t="n">
        <v>0.34835225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(10892.0/B46*100)</f>
        <v/>
      </c>
      <c r="D46" s="19" t="n">
        <v>1181</v>
      </c>
      <c r="E46" s="18" t="n">
        <v>70.30752698000001</v>
      </c>
      <c r="F46" s="20" t="n">
        <v>1.77257534</v>
      </c>
      <c r="G46" s="18" t="n">
        <v>27.15774772</v>
      </c>
      <c r="H46" s="20" t="n">
        <v>1.78843881</v>
      </c>
      <c r="I46" s="18" t="n">
        <v>0</v>
      </c>
      <c r="J46" s="20" t="n">
        <v>0</v>
      </c>
      <c r="K46" s="18" t="n">
        <v>0.61424464</v>
      </c>
      <c r="L46" s="20" t="n">
        <v>0.32044215</v>
      </c>
      <c r="M46" s="18" t="n">
        <v>0</v>
      </c>
      <c r="N46" s="20" t="n">
        <v>0</v>
      </c>
      <c r="O46" s="18" t="n">
        <v>0</v>
      </c>
      <c r="P46" s="20" t="n">
        <v>0</v>
      </c>
      <c r="Q46" s="18" t="n">
        <v>1.92048066</v>
      </c>
      <c r="R46" s="20" t="n">
        <v>0.50924996</v>
      </c>
    </row>
    <row r="47" spans="1:18">
      <c r="A47" s="15" t="s">
        <v>606</v>
      </c>
      <c r="B47" s="17" t="n">
        <v>2823</v>
      </c>
      <c r="C47" s="18">
        <f>(2526.0/B47*100)</f>
        <v/>
      </c>
      <c r="D47" s="19" t="n">
        <v>297</v>
      </c>
      <c r="E47" s="18" t="n">
        <v>61.47488945</v>
      </c>
      <c r="F47" s="20" t="n">
        <v>3.13980698</v>
      </c>
      <c r="G47" s="18" t="n">
        <v>37.50615021</v>
      </c>
      <c r="H47" s="20" t="n">
        <v>3.19333492</v>
      </c>
      <c r="I47" s="18" t="n">
        <v>0</v>
      </c>
      <c r="J47" s="20" t="n">
        <v>0</v>
      </c>
      <c r="K47" s="18" t="n">
        <v>0.69406941</v>
      </c>
      <c r="L47" s="20" t="n">
        <v>0.48836141</v>
      </c>
      <c r="M47" s="18" t="n">
        <v>0</v>
      </c>
      <c r="N47" s="20" t="n">
        <v>0</v>
      </c>
      <c r="O47" s="18" t="n">
        <v>0</v>
      </c>
      <c r="P47" s="20" t="n">
        <v>0</v>
      </c>
      <c r="Q47" s="18" t="n">
        <v>0.32489093</v>
      </c>
      <c r="R47" s="20" t="n">
        <v>0.45615539</v>
      </c>
    </row>
    <row r="48" spans="1:18">
      <c r="A48" s="15" t="s">
        <v>607</v>
      </c>
      <c r="B48" s="17" t="n">
        <v>4682</v>
      </c>
      <c r="C48" s="18">
        <f>(4156.0/B48*100)</f>
        <v/>
      </c>
      <c r="D48" s="19" t="n">
        <v>526</v>
      </c>
      <c r="E48" s="18" t="n">
        <v>50.43223696</v>
      </c>
      <c r="F48" s="20" t="n">
        <v>4.05445679</v>
      </c>
      <c r="G48" s="18" t="n">
        <v>47.81045802</v>
      </c>
      <c r="H48" s="20" t="n">
        <v>4.14856285</v>
      </c>
      <c r="I48" s="18" t="n">
        <v>0</v>
      </c>
      <c r="J48" s="20" t="n">
        <v>0</v>
      </c>
      <c r="K48" s="18" t="n">
        <v>1.19686371</v>
      </c>
      <c r="L48" s="20" t="n">
        <v>0.36896973</v>
      </c>
      <c r="M48" s="18" t="n">
        <v>0</v>
      </c>
      <c r="N48" s="20" t="n">
        <v>0</v>
      </c>
      <c r="O48" s="18" t="n">
        <v>0</v>
      </c>
      <c r="P48" s="20" t="n">
        <v>0</v>
      </c>
      <c r="Q48" s="18" t="n">
        <v>0.56044131</v>
      </c>
      <c r="R48" s="20" t="n">
        <v>0.39993666</v>
      </c>
    </row>
    <row r="49" spans="1:18">
      <c r="A49" s="15" t="s">
        <v>608</v>
      </c>
      <c r="B49" s="17" t="n">
        <v>6158</v>
      </c>
      <c r="C49" s="18">
        <f>(5466.0/B49*100)</f>
        <v/>
      </c>
      <c r="D49" s="19" t="n">
        <v>692</v>
      </c>
      <c r="E49" s="18" t="n">
        <v>54.56832161</v>
      </c>
      <c r="F49" s="20" t="n">
        <v>2.53308992</v>
      </c>
      <c r="G49" s="18" t="n">
        <v>44.0763821</v>
      </c>
      <c r="H49" s="20" t="n">
        <v>2.41055553</v>
      </c>
      <c r="I49" s="18" t="n">
        <v>0</v>
      </c>
      <c r="J49" s="20" t="n">
        <v>0</v>
      </c>
      <c r="K49" s="18" t="n">
        <v>0.52443058</v>
      </c>
      <c r="L49" s="20" t="n">
        <v>0.27201008</v>
      </c>
      <c r="M49" s="18" t="n">
        <v>0</v>
      </c>
      <c r="N49" s="20" t="n">
        <v>0</v>
      </c>
      <c r="O49" s="18" t="n">
        <v>0</v>
      </c>
      <c r="P49" s="20" t="n">
        <v>0</v>
      </c>
      <c r="Q49" s="18" t="n">
        <v>0.83086571</v>
      </c>
      <c r="R49" s="20" t="n">
        <v>0.41626628</v>
      </c>
    </row>
    <row r="50" spans="1:18">
      <c r="A50" s="15" t="s">
        <v>609</v>
      </c>
      <c r="B50" s="17" t="n">
        <v>3494</v>
      </c>
      <c r="C50" s="18">
        <f>(3137.0/B50*100)</f>
        <v/>
      </c>
      <c r="D50" s="19" t="n">
        <v>357</v>
      </c>
      <c r="E50" s="18" t="n">
        <v>65.13305903</v>
      </c>
      <c r="F50" s="20" t="n">
        <v>2.32232258</v>
      </c>
      <c r="G50" s="18" t="n">
        <v>33.3305225</v>
      </c>
      <c r="H50" s="20" t="n">
        <v>2.24918607</v>
      </c>
      <c r="I50" s="18" t="n">
        <v>0</v>
      </c>
      <c r="J50" s="20" t="n">
        <v>0</v>
      </c>
      <c r="K50" s="18" t="n">
        <v>0</v>
      </c>
      <c r="L50" s="20" t="n">
        <v>0</v>
      </c>
      <c r="M50" s="18" t="n">
        <v>0</v>
      </c>
      <c r="N50" s="20" t="n">
        <v>0</v>
      </c>
      <c r="O50" s="18" t="n">
        <v>0</v>
      </c>
      <c r="P50" s="20" t="n">
        <v>0</v>
      </c>
      <c r="Q50" s="18" t="n">
        <v>1.53641847</v>
      </c>
      <c r="R50" s="20" t="n">
        <v>0.6882611199999999</v>
      </c>
    </row>
    <row r="51" spans="1:18">
      <c r="A51" s="15" t="s">
        <v>610</v>
      </c>
      <c r="B51" s="17" t="n">
        <v>3013</v>
      </c>
      <c r="C51" s="18">
        <f>(2675.0/B51*100)</f>
        <v/>
      </c>
      <c r="D51" s="19" t="n">
        <v>338</v>
      </c>
      <c r="E51" s="18" t="n">
        <v>44.34351063</v>
      </c>
      <c r="F51" s="20" t="n">
        <v>2.758337</v>
      </c>
      <c r="G51" s="18" t="n">
        <v>55.65648937</v>
      </c>
      <c r="H51" s="20" t="n">
        <v>2.758337</v>
      </c>
      <c r="I51" s="18" t="n">
        <v>0</v>
      </c>
      <c r="J51" s="20" t="n">
        <v>0</v>
      </c>
      <c r="K51" s="18" t="n">
        <v>0</v>
      </c>
      <c r="L51" s="20" t="n">
        <v>0</v>
      </c>
      <c r="M51" s="18" t="n">
        <v>0</v>
      </c>
      <c r="N51" s="20" t="n">
        <v>0</v>
      </c>
      <c r="O51" s="18" t="n">
        <v>0</v>
      </c>
      <c r="P51" s="20" t="n">
        <v>0</v>
      </c>
      <c r="Q51" s="18" t="n">
        <v>0</v>
      </c>
      <c r="R51" s="20" t="n">
        <v>0</v>
      </c>
    </row>
    <row r="52" spans="1:18">
      <c r="A52" s="15" t="s">
        <v>611</v>
      </c>
      <c r="B52" s="17" t="n">
        <v>2760</v>
      </c>
      <c r="C52" s="18">
        <f>(2458.0/B52*100)</f>
        <v/>
      </c>
      <c r="D52" s="19" t="n">
        <v>302</v>
      </c>
      <c r="E52" s="18" t="n">
        <v>68.94900346999999</v>
      </c>
      <c r="F52" s="20" t="n">
        <v>2.89244116</v>
      </c>
      <c r="G52" s="18" t="n">
        <v>30.72900501</v>
      </c>
      <c r="H52" s="20" t="n">
        <v>2.85622331</v>
      </c>
      <c r="I52" s="18" t="n">
        <v>0</v>
      </c>
      <c r="J52" s="20" t="n">
        <v>0</v>
      </c>
      <c r="K52" s="18" t="n">
        <v>0</v>
      </c>
      <c r="L52" s="20" t="n">
        <v>0</v>
      </c>
      <c r="M52" s="18" t="n">
        <v>0</v>
      </c>
      <c r="N52" s="20" t="n">
        <v>0</v>
      </c>
      <c r="O52" s="18" t="n">
        <v>0</v>
      </c>
      <c r="P52" s="20" t="n">
        <v>0</v>
      </c>
      <c r="Q52" s="18" t="n">
        <v>0.32199151</v>
      </c>
      <c r="R52" s="20" t="n">
        <v>0.31974994</v>
      </c>
    </row>
    <row r="53" spans="1:18">
      <c r="A53" s="15" t="s">
        <v>612</v>
      </c>
      <c r="B53" s="17" t="n">
        <v>2474</v>
      </c>
      <c r="C53" s="18">
        <f>(2208.0/B53*100)</f>
        <v/>
      </c>
      <c r="D53" s="19" t="n">
        <v>266</v>
      </c>
      <c r="E53" s="18" t="n">
        <v>59.72534962</v>
      </c>
      <c r="F53" s="20" t="n">
        <v>3.3877319</v>
      </c>
      <c r="G53" s="18" t="n">
        <v>27.34967408</v>
      </c>
      <c r="H53" s="20" t="n">
        <v>3.05691765</v>
      </c>
      <c r="I53" s="18" t="n">
        <v>0</v>
      </c>
      <c r="J53" s="20" t="n">
        <v>0</v>
      </c>
      <c r="K53" s="18" t="n">
        <v>7.03603096</v>
      </c>
      <c r="L53" s="20" t="n">
        <v>1.84153109</v>
      </c>
      <c r="M53" s="18" t="n">
        <v>0</v>
      </c>
      <c r="N53" s="20" t="n">
        <v>0</v>
      </c>
      <c r="O53" s="18" t="n">
        <v>0</v>
      </c>
      <c r="P53" s="20" t="n">
        <v>0</v>
      </c>
      <c r="Q53" s="18" t="n">
        <v>5.88894534</v>
      </c>
      <c r="R53" s="20" t="n">
        <v>1.79432316</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(2380.0/B55*100)</f>
        <v/>
      </c>
      <c r="D55" s="19" t="n">
        <v>295</v>
      </c>
      <c r="E55" s="18" t="n">
        <v>45.97172055</v>
      </c>
      <c r="F55" s="20" t="n">
        <v>3.27957395</v>
      </c>
      <c r="G55" s="18" t="n">
        <v>53.71701136</v>
      </c>
      <c r="H55" s="20" t="n">
        <v>3.31266626</v>
      </c>
      <c r="I55" s="18" t="n">
        <v>0</v>
      </c>
      <c r="J55" s="20" t="n">
        <v>0</v>
      </c>
      <c r="K55" s="18" t="n">
        <v>0.31126809</v>
      </c>
      <c r="L55" s="20" t="n">
        <v>0.34872341</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(2852.0/B61*100)</f>
        <v/>
      </c>
      <c r="D61" s="19" t="n">
        <v>349</v>
      </c>
      <c r="E61" s="18" t="n">
        <v>49.72978681</v>
      </c>
      <c r="F61" s="20" t="n">
        <v>2.68797956</v>
      </c>
      <c r="G61" s="18" t="n">
        <v>49.92138698</v>
      </c>
      <c r="H61" s="20" t="n">
        <v>2.65674789</v>
      </c>
      <c r="I61" s="18" t="n">
        <v>0</v>
      </c>
      <c r="J61" s="20" t="n">
        <v>0</v>
      </c>
      <c r="K61" s="18" t="n">
        <v>0.34882621</v>
      </c>
      <c r="L61" s="20" t="n">
        <v>0.35172332</v>
      </c>
      <c r="M61" s="18" t="n">
        <v>0</v>
      </c>
      <c r="N61" s="20" t="n">
        <v>0</v>
      </c>
      <c r="O61" s="18" t="n">
        <v>0</v>
      </c>
      <c r="P61" s="20" t="n">
        <v>0</v>
      </c>
      <c r="Q61" s="18" t="n">
        <v>0</v>
      </c>
      <c r="R61" s="20" t="n">
        <v>0</v>
      </c>
    </row>
    <row r="62" spans="1:18">
      <c r="A62" s="15" t="s">
        <v>622</v>
      </c>
      <c r="B62" s="17" t="n">
        <v>2230</v>
      </c>
      <c r="C62" s="18">
        <f>(1978.0/B62*100)</f>
        <v/>
      </c>
      <c r="D62" s="19" t="n">
        <v>252</v>
      </c>
      <c r="E62" s="18" t="n">
        <v>48.52974806</v>
      </c>
      <c r="F62" s="20" t="n">
        <v>3.49801948</v>
      </c>
      <c r="G62" s="18" t="n">
        <v>51.47025194</v>
      </c>
      <c r="H62" s="20" t="n">
        <v>3.49801948</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(2465.0/B67*100)</f>
        <v/>
      </c>
      <c r="D67" s="19" t="n">
        <v>306</v>
      </c>
      <c r="E67" s="18" t="n">
        <v>61.26917434</v>
      </c>
      <c r="F67" s="20" t="n">
        <v>3.21915028</v>
      </c>
      <c r="G67" s="18" t="n">
        <v>36.30778838</v>
      </c>
      <c r="H67" s="20" t="n">
        <v>3.06230118</v>
      </c>
      <c r="I67" s="18" t="n">
        <v>0</v>
      </c>
      <c r="J67" s="20" t="n">
        <v>0</v>
      </c>
      <c r="K67" s="18" t="n">
        <v>0.5614916599999999</v>
      </c>
      <c r="L67" s="20" t="n">
        <v>0.39420182</v>
      </c>
      <c r="M67" s="18" t="n">
        <v>0</v>
      </c>
      <c r="N67" s="20" t="n">
        <v>0</v>
      </c>
      <c r="O67" s="18" t="n">
        <v>0</v>
      </c>
      <c r="P67" s="20" t="n">
        <v>0</v>
      </c>
      <c r="Q67" s="18" t="n">
        <v>1.86154562</v>
      </c>
      <c r="R67" s="20" t="n">
        <v>0.91434278</v>
      </c>
    </row>
    <row r="68" spans="1:18">
      <c r="A68" s="15" t="s">
        <v>628</v>
      </c>
      <c r="B68" s="17" t="n">
        <v>3460</v>
      </c>
      <c r="C68" s="18">
        <f>(3092.0/B68*100)</f>
        <v/>
      </c>
      <c r="D68" s="19" t="n">
        <v>368</v>
      </c>
      <c r="E68" s="18" t="n">
        <v>65.11121186</v>
      </c>
      <c r="F68" s="20" t="n">
        <v>2.28145775</v>
      </c>
      <c r="G68" s="18" t="n">
        <v>33.51294559</v>
      </c>
      <c r="H68" s="20" t="n">
        <v>2.18935612</v>
      </c>
      <c r="I68" s="18" t="n">
        <v>0</v>
      </c>
      <c r="J68" s="20" t="n">
        <v>0</v>
      </c>
      <c r="K68" s="18" t="n">
        <v>0</v>
      </c>
      <c r="L68" s="20" t="n">
        <v>0</v>
      </c>
      <c r="M68" s="18" t="n">
        <v>0</v>
      </c>
      <c r="N68" s="20" t="n">
        <v>0</v>
      </c>
      <c r="O68" s="18" t="n">
        <v>0</v>
      </c>
      <c r="P68" s="20" t="n">
        <v>0</v>
      </c>
      <c r="Q68" s="18" t="n">
        <v>1.37584255</v>
      </c>
      <c r="R68" s="20" t="n">
        <v>0.62410722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(5362.0/B70*100)</f>
        <v/>
      </c>
      <c r="D70" s="19" t="n">
        <v>672</v>
      </c>
      <c r="E70" s="18" t="n">
        <v>58.64776107</v>
      </c>
      <c r="F70" s="20" t="n">
        <v>1.84647294</v>
      </c>
      <c r="G70" s="18" t="n">
        <v>39.86799061</v>
      </c>
      <c r="H70" s="20" t="n">
        <v>1.86304411</v>
      </c>
      <c r="I70" s="18" t="n">
        <v>0</v>
      </c>
      <c r="J70" s="20" t="n">
        <v>0</v>
      </c>
      <c r="K70" s="18" t="n">
        <v>0.32650415</v>
      </c>
      <c r="L70" s="20" t="n">
        <v>0.23329416</v>
      </c>
      <c r="M70" s="18" t="n">
        <v>0</v>
      </c>
      <c r="N70" s="20" t="n">
        <v>0</v>
      </c>
      <c r="O70" s="18" t="n">
        <v>0</v>
      </c>
      <c r="P70" s="20" t="n">
        <v>0</v>
      </c>
      <c r="Q70" s="18" t="n">
        <v>1.15774416</v>
      </c>
      <c r="R70" s="20" t="n">
        <v>0.34936025</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(2788.0/B72*100)</f>
        <v/>
      </c>
      <c r="D72" s="19" t="n">
        <v>319</v>
      </c>
      <c r="E72" s="18" t="n">
        <v>65.97381758</v>
      </c>
      <c r="F72" s="20" t="n">
        <v>2.85639329</v>
      </c>
      <c r="G72" s="18" t="n">
        <v>32.80838936</v>
      </c>
      <c r="H72" s="20" t="n">
        <v>2.50505863</v>
      </c>
      <c r="I72" s="18" t="n">
        <v>0</v>
      </c>
      <c r="J72" s="20" t="n">
        <v>0</v>
      </c>
      <c r="K72" s="18" t="n">
        <v>0.61734727</v>
      </c>
      <c r="L72" s="20" t="n">
        <v>0.53309578</v>
      </c>
      <c r="M72" s="18" t="n">
        <v>0</v>
      </c>
      <c r="N72" s="20" t="n">
        <v>0</v>
      </c>
      <c r="O72" s="18" t="n">
        <v>0</v>
      </c>
      <c r="P72" s="20" t="n">
        <v>0</v>
      </c>
      <c r="Q72" s="18" t="n">
        <v>0.60044579</v>
      </c>
      <c r="R72" s="20" t="n">
        <v>0.31189518</v>
      </c>
    </row>
    <row r="73" spans="1:18">
      <c r="A73" s="15" t="s">
        <v>633</v>
      </c>
      <c r="B73" s="17" t="n">
        <v>2973</v>
      </c>
      <c r="C73" s="18">
        <f>(2637.0/B73*100)</f>
        <v/>
      </c>
      <c r="D73" s="19" t="n">
        <v>336</v>
      </c>
      <c r="E73" s="18" t="n">
        <v>49.98063851</v>
      </c>
      <c r="F73" s="20" t="n">
        <v>2.66579806</v>
      </c>
      <c r="G73" s="18" t="n">
        <v>49.44738407</v>
      </c>
      <c r="H73" s="20" t="n">
        <v>2.72858045</v>
      </c>
      <c r="I73" s="18" t="n">
        <v>0</v>
      </c>
      <c r="J73" s="20" t="n">
        <v>0</v>
      </c>
      <c r="K73" s="18" t="n">
        <v>0</v>
      </c>
      <c r="L73" s="20" t="n">
        <v>0</v>
      </c>
      <c r="M73" s="18" t="n">
        <v>0</v>
      </c>
      <c r="N73" s="20" t="n">
        <v>0</v>
      </c>
      <c r="O73" s="18" t="n">
        <v>0</v>
      </c>
      <c r="P73" s="20" t="n">
        <v>0</v>
      </c>
      <c r="Q73" s="18" t="n">
        <v>0.57197742</v>
      </c>
      <c r="R73" s="20" t="n">
        <v>0.41083097</v>
      </c>
    </row>
    <row r="74" spans="1:18">
      <c r="A74" s="15" t="s">
        <v>634</v>
      </c>
      <c r="B74" s="17" t="n">
        <v>3819</v>
      </c>
      <c r="C74" s="18">
        <f>(3407.0/B74*100)</f>
        <v/>
      </c>
      <c r="D74" s="19" t="n">
        <v>412</v>
      </c>
      <c r="E74" s="18" t="n">
        <v>61.84137935</v>
      </c>
      <c r="F74" s="20" t="n">
        <v>2.13068974</v>
      </c>
      <c r="G74" s="18" t="n">
        <v>37.66283447</v>
      </c>
      <c r="H74" s="20" t="n">
        <v>2.06520949</v>
      </c>
      <c r="I74" s="18" t="n">
        <v>0</v>
      </c>
      <c r="J74" s="20" t="n">
        <v>0</v>
      </c>
      <c r="K74" s="18" t="n">
        <v>0.12551448</v>
      </c>
      <c r="L74" s="20" t="n">
        <v>0.12616843</v>
      </c>
      <c r="M74" s="18" t="n">
        <v>0</v>
      </c>
      <c r="N74" s="20" t="n">
        <v>0</v>
      </c>
      <c r="O74" s="18" t="n">
        <v>0</v>
      </c>
      <c r="P74" s="20" t="n">
        <v>0</v>
      </c>
      <c r="Q74" s="18" t="n">
        <v>0.3702717</v>
      </c>
      <c r="R74" s="20" t="n">
        <v>0.37331959</v>
      </c>
    </row>
    <row r="75" spans="1:18">
      <c r="A75" s="15" t="s">
        <v>635</v>
      </c>
      <c r="B75" s="17" t="n">
        <v>4652</v>
      </c>
      <c r="C75" s="18">
        <f>(4146.0/B75*100)</f>
        <v/>
      </c>
      <c r="D75" s="19" t="n">
        <v>506</v>
      </c>
      <c r="E75" s="18" t="n">
        <v>67.6330978</v>
      </c>
      <c r="F75" s="20" t="n">
        <v>3.05199037</v>
      </c>
      <c r="G75" s="18" t="n">
        <v>32.19888777</v>
      </c>
      <c r="H75" s="20" t="n">
        <v>3.0431782</v>
      </c>
      <c r="I75" s="18" t="n">
        <v>0</v>
      </c>
      <c r="J75" s="20" t="n">
        <v>0</v>
      </c>
      <c r="K75" s="18" t="n">
        <v>0</v>
      </c>
      <c r="L75" s="20" t="n">
        <v>0</v>
      </c>
      <c r="M75" s="18" t="n">
        <v>0</v>
      </c>
      <c r="N75" s="20" t="n">
        <v>0</v>
      </c>
      <c r="O75" s="18" t="n">
        <v>0</v>
      </c>
      <c r="P75" s="20" t="n">
        <v>0</v>
      </c>
      <c r="Q75" s="18" t="n">
        <v>0.16801443</v>
      </c>
      <c r="R75" s="20" t="n">
        <v>0.17955711</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(2664.0/B77*100)</f>
        <v/>
      </c>
      <c r="D77" s="19" t="n">
        <v>305</v>
      </c>
      <c r="E77" s="18" t="n">
        <v>73.47925410000001</v>
      </c>
      <c r="F77" s="20" t="n">
        <v>2.73993608</v>
      </c>
      <c r="G77" s="18" t="n">
        <v>23.35672202</v>
      </c>
      <c r="H77" s="20" t="n">
        <v>2.58160164</v>
      </c>
      <c r="I77" s="18" t="n">
        <v>0</v>
      </c>
      <c r="J77" s="20" t="n">
        <v>0</v>
      </c>
      <c r="K77" s="18" t="n">
        <v>1.14444354</v>
      </c>
      <c r="L77" s="20" t="n">
        <v>0.64010459</v>
      </c>
      <c r="M77" s="18" t="n">
        <v>0</v>
      </c>
      <c r="N77" s="20" t="n">
        <v>0</v>
      </c>
      <c r="O77" s="18" t="n">
        <v>0</v>
      </c>
      <c r="P77" s="20" t="n">
        <v>0</v>
      </c>
      <c r="Q77" s="18" t="n">
        <v>2.01958034</v>
      </c>
      <c r="R77" s="20" t="n">
        <v>0.8770129800000001</v>
      </c>
    </row>
    <row r="78" spans="1:18">
      <c r="A78" s="15" t="s">
        <v>638</v>
      </c>
      <c r="B78" s="17" t="n">
        <v>7115</v>
      </c>
      <c r="C78" s="18">
        <f>(6331.0/B78*100)</f>
        <v/>
      </c>
      <c r="D78" s="19" t="n">
        <v>784</v>
      </c>
      <c r="E78" s="18" t="n">
        <v>56.49744965</v>
      </c>
      <c r="F78" s="20" t="n">
        <v>2.02635005</v>
      </c>
      <c r="G78" s="18" t="n">
        <v>41.98606121</v>
      </c>
      <c r="H78" s="20" t="n">
        <v>2.06676049</v>
      </c>
      <c r="I78" s="18" t="n">
        <v>0</v>
      </c>
      <c r="J78" s="20" t="n">
        <v>0</v>
      </c>
      <c r="K78" s="18" t="n">
        <v>0.67104215</v>
      </c>
      <c r="L78" s="20" t="n">
        <v>0.33504821</v>
      </c>
      <c r="M78" s="18" t="n">
        <v>0</v>
      </c>
      <c r="N78" s="20" t="n">
        <v>0</v>
      </c>
      <c r="O78" s="18" t="n">
        <v>0</v>
      </c>
      <c r="P78" s="20" t="n">
        <v>0</v>
      </c>
      <c r="Q78" s="18" t="n">
        <v>0.84544699</v>
      </c>
      <c r="R78" s="20" t="n">
        <v>0.2659594</v>
      </c>
    </row>
    <row r="79" spans="1:18">
      <c r="A79" s="15" t="s">
        <v>639</v>
      </c>
      <c r="B79" s="17" t="n">
        <v>3154</v>
      </c>
      <c r="C79" s="18">
        <f>(2814.0/B79*100)</f>
        <v/>
      </c>
      <c r="D79" s="19" t="n">
        <v>340</v>
      </c>
      <c r="E79" s="18" t="n">
        <v>54.83477551</v>
      </c>
      <c r="F79" s="20" t="n">
        <v>2.45809836</v>
      </c>
      <c r="G79" s="18" t="n">
        <v>42.7647289</v>
      </c>
      <c r="H79" s="20" t="n">
        <v>2.47027997</v>
      </c>
      <c r="I79" s="18" t="n">
        <v>0</v>
      </c>
      <c r="J79" s="20" t="n">
        <v>0</v>
      </c>
      <c r="K79" s="18" t="n">
        <v>0.31120762</v>
      </c>
      <c r="L79" s="20" t="n">
        <v>0.31585736</v>
      </c>
      <c r="M79" s="18" t="n">
        <v>0</v>
      </c>
      <c r="N79" s="20" t="n">
        <v>0</v>
      </c>
      <c r="O79" s="18" t="n">
        <v>0</v>
      </c>
      <c r="P79" s="20" t="n">
        <v>0</v>
      </c>
      <c r="Q79" s="18" t="n">
        <v>2.08928796</v>
      </c>
      <c r="R79" s="20" t="n">
        <v>0.94822689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(14193.0/B82*100)</f>
        <v/>
      </c>
      <c r="D82" s="19" t="n">
        <v>1768</v>
      </c>
      <c r="E82" s="18" t="n">
        <v>43.14227936</v>
      </c>
      <c r="F82" s="20" t="n">
        <v>1.75739228</v>
      </c>
      <c r="G82" s="18" t="n">
        <v>56.59445319</v>
      </c>
      <c r="H82" s="20" t="n">
        <v>1.75724229</v>
      </c>
      <c r="I82" s="18" t="n">
        <v>0</v>
      </c>
      <c r="J82" s="20" t="n">
        <v>0</v>
      </c>
      <c r="K82" s="18" t="n">
        <v>0.13054042</v>
      </c>
      <c r="L82" s="20" t="n">
        <v>0.07681789</v>
      </c>
      <c r="M82" s="18" t="n">
        <v>0</v>
      </c>
      <c r="N82" s="20" t="n">
        <v>0</v>
      </c>
      <c r="O82" s="18" t="n">
        <v>0</v>
      </c>
      <c r="P82" s="20" t="n">
        <v>0</v>
      </c>
      <c r="Q82" s="18" t="n">
        <v>0.13272702</v>
      </c>
      <c r="R82" s="20" t="n">
        <v>0.06829262999999999</v>
      </c>
    </row>
    <row r="83" spans="1:18">
      <c r="A83" s="15" t="s">
        <v>643</v>
      </c>
      <c r="B83" s="17" t="n">
        <v>808</v>
      </c>
      <c r="C83" s="18">
        <f>(716.0/B83*100)</f>
        <v/>
      </c>
      <c r="D83" s="19" t="n">
        <v>92</v>
      </c>
      <c r="E83" s="18" t="n">
        <v>35.44505378</v>
      </c>
      <c r="F83" s="20" t="n">
        <v>5.57985786</v>
      </c>
      <c r="G83" s="18" t="n">
        <v>64.55494622000001</v>
      </c>
      <c r="H83" s="20" t="n">
        <v>5.57985786</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(833.0/B84*100)</f>
        <v/>
      </c>
      <c r="D84" s="19" t="n">
        <v>105</v>
      </c>
      <c r="E84" s="18" t="n">
        <v>39.89642882</v>
      </c>
      <c r="F84" s="20" t="n">
        <v>5.69747979</v>
      </c>
      <c r="G84" s="18" t="n">
        <v>60.10357118</v>
      </c>
      <c r="H84" s="20" t="n">
        <v>5.69747979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(6385.0/B7*100)</f>
        <v/>
      </c>
      <c r="D7" s="19" t="n">
        <v>778</v>
      </c>
      <c r="E7" s="18" t="n">
        <v>59.23655431</v>
      </c>
      <c r="F7" s="20" t="n">
        <v>2.01774785</v>
      </c>
      <c r="G7" s="18" t="n">
        <v>40.03770327</v>
      </c>
      <c r="H7" s="20" t="n">
        <v>2.05691098</v>
      </c>
      <c r="I7" s="18" t="n">
        <v>0</v>
      </c>
      <c r="J7" s="20" t="n">
        <v>0</v>
      </c>
      <c r="K7" s="18" t="n">
        <v>0.20057311</v>
      </c>
      <c r="L7" s="20" t="n">
        <v>0.1729465</v>
      </c>
      <c r="M7" s="18" t="n">
        <v>0</v>
      </c>
      <c r="N7" s="20" t="n">
        <v>0</v>
      </c>
      <c r="O7" s="18" t="n">
        <v>0</v>
      </c>
      <c r="P7" s="20" t="n">
        <v>0</v>
      </c>
      <c r="Q7" s="18" t="n">
        <v>0.52516931</v>
      </c>
      <c r="R7" s="20" t="n">
        <v>0.29054966</v>
      </c>
    </row>
    <row r="8" spans="1:18">
      <c r="A8" s="15" t="s">
        <v>566</v>
      </c>
      <c r="B8" s="17" t="n">
        <v>3443</v>
      </c>
      <c r="C8" s="18">
        <f>(3026.0/B8*100)</f>
        <v/>
      </c>
      <c r="D8" s="19" t="n">
        <v>417</v>
      </c>
      <c r="E8" s="18" t="n">
        <v>70.66412443</v>
      </c>
      <c r="F8" s="20" t="n">
        <v>2.61836209</v>
      </c>
      <c r="G8" s="18" t="n">
        <v>28.91942441</v>
      </c>
      <c r="H8" s="20" t="n">
        <v>2.60977634</v>
      </c>
      <c r="I8" s="18" t="n">
        <v>0</v>
      </c>
      <c r="J8" s="20" t="n">
        <v>0</v>
      </c>
      <c r="K8" s="18" t="n">
        <v>0</v>
      </c>
      <c r="L8" s="20" t="n">
        <v>0</v>
      </c>
      <c r="M8" s="18" t="n">
        <v>0</v>
      </c>
      <c r="N8" s="20" t="n">
        <v>0</v>
      </c>
      <c r="O8" s="18" t="n">
        <v>0</v>
      </c>
      <c r="P8" s="20" t="n">
        <v>0</v>
      </c>
      <c r="Q8" s="18" t="n">
        <v>0.41645116</v>
      </c>
      <c r="R8" s="20" t="n">
        <v>0.32003037</v>
      </c>
    </row>
    <row r="9" spans="1:18">
      <c r="A9" s="15" t="s">
        <v>567</v>
      </c>
      <c r="B9" s="17" t="n">
        <v>4752</v>
      </c>
      <c r="C9" s="18">
        <f>(4123.0/B9*100)</f>
        <v/>
      </c>
      <c r="D9" s="19" t="n">
        <v>629</v>
      </c>
      <c r="E9" s="18" t="n">
        <v>54.88787892</v>
      </c>
      <c r="F9" s="20" t="n">
        <v>2.40522364</v>
      </c>
      <c r="G9" s="18" t="n">
        <v>43.47345626</v>
      </c>
      <c r="H9" s="20" t="n">
        <v>2.42485973</v>
      </c>
      <c r="I9" s="18" t="n">
        <v>0</v>
      </c>
      <c r="J9" s="20" t="n">
        <v>0</v>
      </c>
      <c r="K9" s="18" t="n">
        <v>0.39793325</v>
      </c>
      <c r="L9" s="20" t="n">
        <v>0.24043571</v>
      </c>
      <c r="M9" s="18" t="n">
        <v>0</v>
      </c>
      <c r="N9" s="20" t="n">
        <v>0</v>
      </c>
      <c r="O9" s="18" t="n">
        <v>0</v>
      </c>
      <c r="P9" s="20" t="n">
        <v>0</v>
      </c>
      <c r="Q9" s="18" t="n">
        <v>1.24073158</v>
      </c>
      <c r="R9" s="20" t="n">
        <v>0.39631972</v>
      </c>
    </row>
    <row r="10" spans="1:18">
      <c r="A10" s="15" t="s">
        <v>568</v>
      </c>
      <c r="B10" s="17" t="n">
        <v>10022</v>
      </c>
      <c r="C10" s="18">
        <f>(8899.0/B10*100)</f>
        <v/>
      </c>
      <c r="D10" s="19" t="n">
        <v>1123</v>
      </c>
      <c r="E10" s="18" t="n">
        <v>48.42390549</v>
      </c>
      <c r="F10" s="20" t="n">
        <v>2.00183527</v>
      </c>
      <c r="G10" s="18" t="n">
        <v>51.1114332</v>
      </c>
      <c r="H10" s="20" t="n">
        <v>2.0270563</v>
      </c>
      <c r="I10" s="18" t="n">
        <v>0</v>
      </c>
      <c r="J10" s="20" t="n">
        <v>0</v>
      </c>
      <c r="K10" s="18" t="n">
        <v>0.02816776</v>
      </c>
      <c r="L10" s="20" t="n">
        <v>0.02821065</v>
      </c>
      <c r="M10" s="18" t="n">
        <v>0</v>
      </c>
      <c r="N10" s="20" t="n">
        <v>0</v>
      </c>
      <c r="O10" s="18" t="n">
        <v>0</v>
      </c>
      <c r="P10" s="20" t="n">
        <v>0</v>
      </c>
      <c r="Q10" s="18" t="n">
        <v>0.43649355</v>
      </c>
      <c r="R10" s="20" t="n">
        <v>0.29116467</v>
      </c>
    </row>
    <row r="11" spans="1:18">
      <c r="A11" s="15" t="s">
        <v>569</v>
      </c>
      <c r="B11" s="17" t="n">
        <v>3500</v>
      </c>
      <c r="C11" s="18">
        <f>(3125.0/B11*100)</f>
        <v/>
      </c>
      <c r="D11" s="19" t="n">
        <v>375</v>
      </c>
      <c r="E11" s="18" t="n">
        <v>60.11088649</v>
      </c>
      <c r="F11" s="20" t="n">
        <v>3.25740379</v>
      </c>
      <c r="G11" s="18" t="n">
        <v>37.28838562</v>
      </c>
      <c r="H11" s="20" t="n">
        <v>3.37524321</v>
      </c>
      <c r="I11" s="18" t="n">
        <v>0</v>
      </c>
      <c r="J11" s="20" t="n">
        <v>0</v>
      </c>
      <c r="K11" s="18" t="n">
        <v>0.36832851</v>
      </c>
      <c r="L11" s="20" t="n">
        <v>0.37998581</v>
      </c>
      <c r="M11" s="18" t="n">
        <v>0</v>
      </c>
      <c r="N11" s="20" t="n">
        <v>0</v>
      </c>
      <c r="O11" s="18" t="n">
        <v>0</v>
      </c>
      <c r="P11" s="20" t="n">
        <v>0</v>
      </c>
      <c r="Q11" s="18" t="n">
        <v>2.23239938</v>
      </c>
      <c r="R11" s="20" t="n">
        <v>0.90961073</v>
      </c>
    </row>
    <row r="12" spans="1:18">
      <c r="A12" s="15" t="s">
        <v>570</v>
      </c>
      <c r="B12" s="17" t="n">
        <v>3422</v>
      </c>
      <c r="C12" s="18">
        <f>(2999.0/B12*100)</f>
        <v/>
      </c>
      <c r="D12" s="19" t="n">
        <v>423</v>
      </c>
      <c r="E12" s="18" t="n">
        <v>53.62073373</v>
      </c>
      <c r="F12" s="20" t="n">
        <v>3.03612358</v>
      </c>
      <c r="G12" s="18" t="n">
        <v>45.03737124</v>
      </c>
      <c r="H12" s="20" t="n">
        <v>3.04449305</v>
      </c>
      <c r="I12" s="18" t="n">
        <v>0</v>
      </c>
      <c r="J12" s="20" t="n">
        <v>0</v>
      </c>
      <c r="K12" s="18" t="n">
        <v>0.45275354</v>
      </c>
      <c r="L12" s="20" t="n">
        <v>0.46418804</v>
      </c>
      <c r="M12" s="18" t="n">
        <v>0</v>
      </c>
      <c r="N12" s="20" t="n">
        <v>0</v>
      </c>
      <c r="O12" s="18" t="n">
        <v>0</v>
      </c>
      <c r="P12" s="20" t="n">
        <v>0</v>
      </c>
      <c r="Q12" s="18" t="n">
        <v>0.88914149</v>
      </c>
      <c r="R12" s="20" t="n">
        <v>0.60232128</v>
      </c>
    </row>
    <row r="13" spans="1:18">
      <c r="A13" s="15" t="s">
        <v>571</v>
      </c>
      <c r="B13" s="17" t="n">
        <v>3602</v>
      </c>
      <c r="C13" s="18">
        <f>(3087.0/B13*100)</f>
        <v/>
      </c>
      <c r="D13" s="19" t="n">
        <v>515</v>
      </c>
      <c r="E13" s="18" t="n">
        <v>69.74622386</v>
      </c>
      <c r="F13" s="20" t="n">
        <v>2.58603284</v>
      </c>
      <c r="G13" s="18" t="n">
        <v>28.33329515</v>
      </c>
      <c r="H13" s="20" t="n">
        <v>2.47243038</v>
      </c>
      <c r="I13" s="18" t="n">
        <v>0</v>
      </c>
      <c r="J13" s="20" t="n">
        <v>0</v>
      </c>
      <c r="K13" s="18" t="n">
        <v>1.13527275</v>
      </c>
      <c r="L13" s="20" t="n">
        <v>0.49120769</v>
      </c>
      <c r="M13" s="18" t="n">
        <v>0</v>
      </c>
      <c r="N13" s="20" t="n">
        <v>0</v>
      </c>
      <c r="O13" s="18" t="n">
        <v>0</v>
      </c>
      <c r="P13" s="20" t="n">
        <v>0</v>
      </c>
      <c r="Q13" s="18" t="n">
        <v>0.78520824</v>
      </c>
      <c r="R13" s="20" t="n">
        <v>0.42863491</v>
      </c>
    </row>
    <row r="14" spans="1:18">
      <c r="A14" s="15" t="s">
        <v>572</v>
      </c>
      <c r="B14" s="17" t="n">
        <v>2788</v>
      </c>
      <c r="C14" s="18">
        <f>(2482.0/B14*100)</f>
        <v/>
      </c>
      <c r="D14" s="19" t="n">
        <v>306</v>
      </c>
      <c r="E14" s="18" t="n">
        <v>48.55168089</v>
      </c>
      <c r="F14" s="20" t="n">
        <v>3.18914844</v>
      </c>
      <c r="G14" s="18" t="n">
        <v>51.44831911</v>
      </c>
      <c r="H14" s="20" t="n">
        <v>3.18914844</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(2543.0/B15*100)</f>
        <v/>
      </c>
      <c r="D15" s="19" t="n">
        <v>320</v>
      </c>
      <c r="E15" s="18" t="n">
        <v>47.17694228</v>
      </c>
      <c r="F15" s="20" t="n">
        <v>3.05788257</v>
      </c>
      <c r="G15" s="18" t="n">
        <v>51.86753149</v>
      </c>
      <c r="H15" s="20" t="n">
        <v>3.26357251</v>
      </c>
      <c r="I15" s="18" t="n">
        <v>0</v>
      </c>
      <c r="J15" s="20" t="n">
        <v>0</v>
      </c>
      <c r="K15" s="18" t="n">
        <v>0.66245097</v>
      </c>
      <c r="L15" s="20" t="n">
        <v>0.6933926500000001</v>
      </c>
      <c r="M15" s="18" t="n">
        <v>0</v>
      </c>
      <c r="N15" s="20" t="n">
        <v>0</v>
      </c>
      <c r="O15" s="18" t="n">
        <v>0</v>
      </c>
      <c r="P15" s="20" t="n">
        <v>0</v>
      </c>
      <c r="Q15" s="18" t="n">
        <v>0.29307526</v>
      </c>
      <c r="R15" s="20" t="n">
        <v>0.29553977</v>
      </c>
    </row>
    <row r="16" spans="1:18">
      <c r="A16" s="15" t="s">
        <v>574</v>
      </c>
      <c r="B16" s="17" t="n">
        <v>3111</v>
      </c>
      <c r="C16" s="18">
        <f>(2767.0/B16*100)</f>
        <v/>
      </c>
      <c r="D16" s="19" t="n">
        <v>344</v>
      </c>
      <c r="E16" s="18" t="n">
        <v>48.16541973</v>
      </c>
      <c r="F16" s="20" t="n">
        <v>2.94093942</v>
      </c>
      <c r="G16" s="18" t="n">
        <v>49.52688936</v>
      </c>
      <c r="H16" s="20" t="n">
        <v>2.9123107</v>
      </c>
      <c r="I16" s="18" t="n">
        <v>0</v>
      </c>
      <c r="J16" s="20" t="n">
        <v>0</v>
      </c>
      <c r="K16" s="18" t="n">
        <v>0.38918296</v>
      </c>
      <c r="L16" s="20" t="n">
        <v>0.72557176</v>
      </c>
      <c r="M16" s="18" t="n">
        <v>0</v>
      </c>
      <c r="N16" s="20" t="n">
        <v>0</v>
      </c>
      <c r="O16" s="18" t="n">
        <v>0</v>
      </c>
      <c r="P16" s="20" t="n">
        <v>0</v>
      </c>
      <c r="Q16" s="18" t="n">
        <v>1.91850796</v>
      </c>
      <c r="R16" s="20" t="n">
        <v>0.81629863</v>
      </c>
    </row>
    <row r="17" spans="1:18">
      <c r="A17" s="15" t="s">
        <v>575</v>
      </c>
      <c r="B17" s="17" t="n">
        <v>3197</v>
      </c>
      <c r="C17" s="18">
        <f>(2789.0/B17*100)</f>
        <v/>
      </c>
      <c r="D17" s="19" t="n">
        <v>408</v>
      </c>
      <c r="E17" s="18" t="n">
        <v>59.82661412</v>
      </c>
      <c r="F17" s="20" t="n">
        <v>2.63771794</v>
      </c>
      <c r="G17" s="18" t="n">
        <v>34.88480578</v>
      </c>
      <c r="H17" s="20" t="n">
        <v>2.14057739</v>
      </c>
      <c r="I17" s="18" t="n">
        <v>0</v>
      </c>
      <c r="J17" s="20" t="n">
        <v>0</v>
      </c>
      <c r="K17" s="18" t="n">
        <v>1.36454969</v>
      </c>
      <c r="L17" s="20" t="n">
        <v>0.7030142</v>
      </c>
      <c r="M17" s="18" t="n">
        <v>0</v>
      </c>
      <c r="N17" s="20" t="n">
        <v>0</v>
      </c>
      <c r="O17" s="18" t="n">
        <v>0</v>
      </c>
      <c r="P17" s="20" t="n">
        <v>0</v>
      </c>
      <c r="Q17" s="18" t="n">
        <v>3.92403041</v>
      </c>
      <c r="R17" s="20" t="n">
        <v>1.16243926</v>
      </c>
    </row>
    <row r="18" spans="1:18">
      <c r="A18" s="15" t="s">
        <v>576</v>
      </c>
      <c r="B18" s="17" t="n">
        <v>2706</v>
      </c>
      <c r="C18" s="18">
        <f>(2408.0/B18*100)</f>
        <v/>
      </c>
      <c r="D18" s="19" t="n">
        <v>298</v>
      </c>
      <c r="E18" s="18" t="n">
        <v>64.27449899</v>
      </c>
      <c r="F18" s="20" t="n">
        <v>3.04304706</v>
      </c>
      <c r="G18" s="18" t="n">
        <v>34.02382889</v>
      </c>
      <c r="H18" s="20" t="n">
        <v>3.03784252</v>
      </c>
      <c r="I18" s="18" t="n">
        <v>0</v>
      </c>
      <c r="J18" s="20" t="n">
        <v>0</v>
      </c>
      <c r="K18" s="18" t="n">
        <v>0.36742774</v>
      </c>
      <c r="L18" s="20" t="n">
        <v>0.29373431</v>
      </c>
      <c r="M18" s="18" t="n">
        <v>0</v>
      </c>
      <c r="N18" s="20" t="n">
        <v>0</v>
      </c>
      <c r="O18" s="18" t="n">
        <v>0</v>
      </c>
      <c r="P18" s="20" t="n">
        <v>0</v>
      </c>
      <c r="Q18" s="18" t="n">
        <v>1.33424437</v>
      </c>
      <c r="R18" s="20" t="n">
        <v>0.86980485</v>
      </c>
    </row>
    <row r="19" spans="1:18">
      <c r="A19" s="15" t="s">
        <v>577</v>
      </c>
      <c r="B19" s="17" t="n">
        <v>2850</v>
      </c>
      <c r="C19" s="18">
        <f>(2503.0/B19*100)</f>
        <v/>
      </c>
      <c r="D19" s="19" t="n">
        <v>347</v>
      </c>
      <c r="E19" s="18" t="n">
        <v>59.26464675</v>
      </c>
      <c r="F19" s="20" t="n">
        <v>2.82100277</v>
      </c>
      <c r="G19" s="18" t="n">
        <v>39.45534664</v>
      </c>
      <c r="H19" s="20" t="n">
        <v>2.8409174</v>
      </c>
      <c r="I19" s="18" t="n">
        <v>0</v>
      </c>
      <c r="J19" s="20" t="n">
        <v>0</v>
      </c>
      <c r="K19" s="18" t="n">
        <v>0</v>
      </c>
      <c r="L19" s="20" t="n">
        <v>0</v>
      </c>
      <c r="M19" s="18" t="n">
        <v>0</v>
      </c>
      <c r="N19" s="20" t="n">
        <v>0</v>
      </c>
      <c r="O19" s="18" t="n">
        <v>0</v>
      </c>
      <c r="P19" s="20" t="n">
        <v>0</v>
      </c>
      <c r="Q19" s="18" t="n">
        <v>1.28000662</v>
      </c>
      <c r="R19" s="20" t="n">
        <v>0.76999399</v>
      </c>
    </row>
    <row r="20" spans="1:18">
      <c r="A20" s="15" t="s">
        <v>578</v>
      </c>
      <c r="B20" s="17" t="n">
        <v>1741</v>
      </c>
      <c r="C20" s="18">
        <f>(1541.0/B20*100)</f>
        <v/>
      </c>
      <c r="D20" s="19" t="n">
        <v>200</v>
      </c>
      <c r="E20" s="18" t="n">
        <v>69.22939507</v>
      </c>
      <c r="F20" s="20" t="n">
        <v>3.28004154</v>
      </c>
      <c r="G20" s="18" t="n">
        <v>29.86512783</v>
      </c>
      <c r="H20" s="20" t="n">
        <v>3.30988002</v>
      </c>
      <c r="I20" s="18" t="n">
        <v>0</v>
      </c>
      <c r="J20" s="20" t="n">
        <v>0</v>
      </c>
      <c r="K20" s="18" t="n">
        <v>0.42891043</v>
      </c>
      <c r="L20" s="20" t="n">
        <v>0.42656658</v>
      </c>
      <c r="M20" s="18" t="n">
        <v>0</v>
      </c>
      <c r="N20" s="20" t="n">
        <v>0</v>
      </c>
      <c r="O20" s="18" t="n">
        <v>0</v>
      </c>
      <c r="P20" s="20" t="n">
        <v>0</v>
      </c>
      <c r="Q20" s="18" t="n">
        <v>0.47656667</v>
      </c>
      <c r="R20" s="20" t="n">
        <v>0.47421115</v>
      </c>
    </row>
    <row r="21" spans="1:18">
      <c r="A21" s="15" t="s">
        <v>579</v>
      </c>
      <c r="B21" s="17" t="n">
        <v>2833</v>
      </c>
      <c r="C21" s="18">
        <f>(2499.0/B21*100)</f>
        <v/>
      </c>
      <c r="D21" s="19" t="n">
        <v>334</v>
      </c>
      <c r="E21" s="18" t="n">
        <v>67.92309272999999</v>
      </c>
      <c r="F21" s="20" t="n">
        <v>2.93236672</v>
      </c>
      <c r="G21" s="18" t="n">
        <v>31.5578357</v>
      </c>
      <c r="H21" s="20" t="n">
        <v>2.91884909</v>
      </c>
      <c r="I21" s="18" t="n">
        <v>0</v>
      </c>
      <c r="J21" s="20" t="n">
        <v>0</v>
      </c>
      <c r="K21" s="18" t="n">
        <v>0</v>
      </c>
      <c r="L21" s="20" t="n">
        <v>0</v>
      </c>
      <c r="M21" s="18" t="n">
        <v>0</v>
      </c>
      <c r="N21" s="20" t="n">
        <v>0</v>
      </c>
      <c r="O21" s="18" t="n">
        <v>0</v>
      </c>
      <c r="P21" s="20" t="n">
        <v>0</v>
      </c>
      <c r="Q21" s="18" t="n">
        <v>0.51907158</v>
      </c>
      <c r="R21" s="20" t="n">
        <v>0.36768231</v>
      </c>
    </row>
    <row r="22" spans="1:18">
      <c r="A22" s="15" t="s">
        <v>580</v>
      </c>
      <c r="B22" s="17" t="n">
        <v>3667</v>
      </c>
      <c r="C22" s="18">
        <f>(3285.0/B22*100)</f>
        <v/>
      </c>
      <c r="D22" s="19" t="n">
        <v>382</v>
      </c>
      <c r="E22" s="18" t="n">
        <v>58.96109846</v>
      </c>
      <c r="F22" s="20" t="n">
        <v>2.49123074</v>
      </c>
      <c r="G22" s="18" t="n">
        <v>39.74104967</v>
      </c>
      <c r="H22" s="20" t="n">
        <v>2.73738526</v>
      </c>
      <c r="I22" s="18" t="n">
        <v>0</v>
      </c>
      <c r="J22" s="20" t="n">
        <v>0</v>
      </c>
      <c r="K22" s="18" t="n">
        <v>0</v>
      </c>
      <c r="L22" s="20" t="n">
        <v>0</v>
      </c>
      <c r="M22" s="18" t="n">
        <v>0</v>
      </c>
      <c r="N22" s="20" t="n">
        <v>0</v>
      </c>
      <c r="O22" s="18" t="n">
        <v>0</v>
      </c>
      <c r="P22" s="20" t="n">
        <v>0</v>
      </c>
      <c r="Q22" s="18" t="n">
        <v>1.29785187</v>
      </c>
      <c r="R22" s="20" t="n">
        <v>0.85130056</v>
      </c>
    </row>
    <row r="23" spans="1:18">
      <c r="A23" s="15" t="s">
        <v>581</v>
      </c>
      <c r="B23" s="17" t="n">
        <v>5792</v>
      </c>
      <c r="C23" s="18">
        <f>(5169.0/B23*100)</f>
        <v/>
      </c>
      <c r="D23" s="19" t="n">
        <v>623</v>
      </c>
      <c r="E23" s="18" t="n">
        <v>46.78263643</v>
      </c>
      <c r="F23" s="20" t="n">
        <v>2.838244</v>
      </c>
      <c r="G23" s="18" t="n">
        <v>51.5184487</v>
      </c>
      <c r="H23" s="20" t="n">
        <v>3.01541088</v>
      </c>
      <c r="I23" s="18" t="n">
        <v>0</v>
      </c>
      <c r="J23" s="20" t="n">
        <v>0</v>
      </c>
      <c r="K23" s="18" t="n">
        <v>0.48904144</v>
      </c>
      <c r="L23" s="20" t="n">
        <v>0.50280422</v>
      </c>
      <c r="M23" s="18" t="n">
        <v>0</v>
      </c>
      <c r="N23" s="20" t="n">
        <v>0</v>
      </c>
      <c r="O23" s="18" t="n">
        <v>0</v>
      </c>
      <c r="P23" s="20" t="n">
        <v>0</v>
      </c>
      <c r="Q23" s="18" t="n">
        <v>1.20987343</v>
      </c>
      <c r="R23" s="20" t="n">
        <v>0.68352141</v>
      </c>
    </row>
    <row r="24" spans="1:18">
      <c r="A24" s="15" t="s">
        <v>582</v>
      </c>
      <c r="B24" s="17" t="n">
        <v>3309</v>
      </c>
      <c r="C24" s="18">
        <f>(2925.0/B24*100)</f>
        <v/>
      </c>
      <c r="D24" s="19" t="n">
        <v>384</v>
      </c>
      <c r="E24" s="18" t="n">
        <v>55.18502971</v>
      </c>
      <c r="F24" s="20" t="n">
        <v>2.71118912</v>
      </c>
      <c r="G24" s="18" t="n">
        <v>44.61945374</v>
      </c>
      <c r="H24" s="20" t="n">
        <v>2.72723553</v>
      </c>
      <c r="I24" s="18" t="n">
        <v>0</v>
      </c>
      <c r="J24" s="20" t="n">
        <v>0</v>
      </c>
      <c r="K24" s="18" t="n">
        <v>0</v>
      </c>
      <c r="L24" s="20" t="n">
        <v>0</v>
      </c>
      <c r="M24" s="18" t="n">
        <v>0</v>
      </c>
      <c r="N24" s="20" t="n">
        <v>0</v>
      </c>
      <c r="O24" s="18" t="n">
        <v>0</v>
      </c>
      <c r="P24" s="20" t="n">
        <v>0</v>
      </c>
      <c r="Q24" s="18" t="n">
        <v>0.19551655</v>
      </c>
      <c r="R24" s="20" t="n">
        <v>0.19780827</v>
      </c>
    </row>
    <row r="25" spans="1:18">
      <c r="A25" s="15" t="s">
        <v>583</v>
      </c>
      <c r="B25" s="17" t="n">
        <v>2669</v>
      </c>
      <c r="C25" s="18">
        <f>(2365.0/B25*100)</f>
        <v/>
      </c>
      <c r="D25" s="19" t="n">
        <v>304</v>
      </c>
      <c r="E25" s="18" t="n">
        <v>59.85649095</v>
      </c>
      <c r="F25" s="20" t="n">
        <v>2.6776099</v>
      </c>
      <c r="G25" s="18" t="n">
        <v>38.78541891</v>
      </c>
      <c r="H25" s="20" t="n">
        <v>2.59634568</v>
      </c>
      <c r="I25" s="18" t="n">
        <v>0</v>
      </c>
      <c r="J25" s="20" t="n">
        <v>0</v>
      </c>
      <c r="K25" s="18" t="n">
        <v>0</v>
      </c>
      <c r="L25" s="20" t="n">
        <v>0</v>
      </c>
      <c r="M25" s="18" t="n">
        <v>0</v>
      </c>
      <c r="N25" s="20" t="n">
        <v>0</v>
      </c>
      <c r="O25" s="18" t="n">
        <v>0</v>
      </c>
      <c r="P25" s="20" t="n">
        <v>0</v>
      </c>
      <c r="Q25" s="18" t="n">
        <v>1.35809015</v>
      </c>
      <c r="R25" s="20" t="n">
        <v>0.68220001</v>
      </c>
    </row>
    <row r="26" spans="1:18">
      <c r="A26" s="15" t="s">
        <v>584</v>
      </c>
      <c r="B26" s="17" t="n">
        <v>2419</v>
      </c>
      <c r="C26" s="18">
        <f>(2149.0/B26*100)</f>
        <v/>
      </c>
      <c r="D26" s="19" t="n">
        <v>270</v>
      </c>
      <c r="E26" s="18" t="n">
        <v>63.29321357</v>
      </c>
      <c r="F26" s="20" t="n">
        <v>3.19584116</v>
      </c>
      <c r="G26" s="18" t="n">
        <v>36.02347657</v>
      </c>
      <c r="H26" s="20" t="n">
        <v>3.1245193</v>
      </c>
      <c r="I26" s="18" t="n">
        <v>0</v>
      </c>
      <c r="J26" s="20" t="n">
        <v>0</v>
      </c>
      <c r="K26" s="18" t="n">
        <v>0</v>
      </c>
      <c r="L26" s="20" t="n">
        <v>0</v>
      </c>
      <c r="M26" s="18" t="n">
        <v>0</v>
      </c>
      <c r="N26" s="20" t="n">
        <v>0</v>
      </c>
      <c r="O26" s="18" t="n">
        <v>0</v>
      </c>
      <c r="P26" s="20" t="n">
        <v>0</v>
      </c>
      <c r="Q26" s="18" t="n">
        <v>0.68330986</v>
      </c>
      <c r="R26" s="20" t="n">
        <v>0.49134531</v>
      </c>
    </row>
    <row r="27" spans="1:18">
      <c r="A27" s="15" t="s">
        <v>585</v>
      </c>
      <c r="B27" s="17" t="n">
        <v>2683</v>
      </c>
      <c r="C27" s="18">
        <f>(2407.0/B27*100)</f>
        <v/>
      </c>
      <c r="D27" s="19" t="n">
        <v>276</v>
      </c>
      <c r="E27" s="18" t="n">
        <v>70.85911955</v>
      </c>
      <c r="F27" s="20" t="n">
        <v>2.34232002</v>
      </c>
      <c r="G27" s="18" t="n">
        <v>29.14088045</v>
      </c>
      <c r="H27" s="20" t="n">
        <v>2.34232002</v>
      </c>
      <c r="I27" s="18" t="n">
        <v>0</v>
      </c>
      <c r="J27" s="20" t="n">
        <v>0</v>
      </c>
      <c r="K27" s="18" t="n">
        <v>0</v>
      </c>
      <c r="L27" s="20" t="n">
        <v>0</v>
      </c>
      <c r="M27" s="18" t="n">
        <v>0</v>
      </c>
      <c r="N27" s="20" t="n">
        <v>0</v>
      </c>
      <c r="O27" s="18" t="n">
        <v>0</v>
      </c>
      <c r="P27" s="20" t="n">
        <v>0</v>
      </c>
      <c r="Q27" s="18" t="n">
        <v>0</v>
      </c>
      <c r="R27" s="20" t="n">
        <v>0</v>
      </c>
    </row>
    <row r="28" spans="1:18">
      <c r="A28" s="15" t="s">
        <v>586</v>
      </c>
      <c r="B28" s="17" t="n">
        <v>3803</v>
      </c>
      <c r="C28" s="18">
        <f>(3408.0/B28*100)</f>
        <v/>
      </c>
      <c r="D28" s="19" t="n">
        <v>395</v>
      </c>
      <c r="E28" s="18" t="n">
        <v>77.77353696</v>
      </c>
      <c r="F28" s="20" t="n">
        <v>1.951069</v>
      </c>
      <c r="G28" s="18" t="n">
        <v>20.49548881</v>
      </c>
      <c r="H28" s="20" t="n">
        <v>2.05405049</v>
      </c>
      <c r="I28" s="18" t="n">
        <v>0</v>
      </c>
      <c r="J28" s="20" t="n">
        <v>0</v>
      </c>
      <c r="K28" s="18" t="n">
        <v>1.29352787</v>
      </c>
      <c r="L28" s="20" t="n">
        <v>0.76017172</v>
      </c>
      <c r="M28" s="18" t="n">
        <v>0</v>
      </c>
      <c r="N28" s="20" t="n">
        <v>0</v>
      </c>
      <c r="O28" s="18" t="n">
        <v>0</v>
      </c>
      <c r="P28" s="20" t="n">
        <v>0</v>
      </c>
      <c r="Q28" s="18" t="n">
        <v>0.43744635</v>
      </c>
      <c r="R28" s="20" t="n">
        <v>0.30757175</v>
      </c>
    </row>
    <row r="29" spans="1:18">
      <c r="A29" s="15" t="s">
        <v>587</v>
      </c>
      <c r="B29" s="17" t="n">
        <v>2700</v>
      </c>
      <c r="C29" s="18">
        <f>(2348.0/B29*100)</f>
        <v/>
      </c>
      <c r="D29" s="19" t="n">
        <v>352</v>
      </c>
      <c r="E29" s="18" t="n">
        <v>70.0627866</v>
      </c>
      <c r="F29" s="20" t="n">
        <v>2.32409359</v>
      </c>
      <c r="G29" s="18" t="n">
        <v>28.40374957</v>
      </c>
      <c r="H29" s="20" t="n">
        <v>2.28698171</v>
      </c>
      <c r="I29" s="18" t="n">
        <v>0</v>
      </c>
      <c r="J29" s="20" t="n">
        <v>0</v>
      </c>
      <c r="K29" s="18" t="n">
        <v>0.82245114</v>
      </c>
      <c r="L29" s="20" t="n">
        <v>0.35755229</v>
      </c>
      <c r="M29" s="18" t="n">
        <v>0</v>
      </c>
      <c r="N29" s="20" t="n">
        <v>0</v>
      </c>
      <c r="O29" s="18" t="n">
        <v>0</v>
      </c>
      <c r="P29" s="20" t="n">
        <v>0</v>
      </c>
      <c r="Q29" s="18" t="n">
        <v>0.7110127000000001</v>
      </c>
      <c r="R29" s="20" t="n">
        <v>0.50558685</v>
      </c>
    </row>
    <row r="30" spans="1:18">
      <c r="A30" s="15" t="s">
        <v>588</v>
      </c>
      <c r="B30" s="17" t="n">
        <v>2257</v>
      </c>
      <c r="C30" s="18">
        <f>(1996.0/B30*100)</f>
        <v/>
      </c>
      <c r="D30" s="19" t="n">
        <v>261</v>
      </c>
      <c r="E30" s="18" t="n">
        <v>55.10652132</v>
      </c>
      <c r="F30" s="20" t="n">
        <v>3.39797972</v>
      </c>
      <c r="G30" s="18" t="n">
        <v>44.89347868</v>
      </c>
      <c r="H30" s="20" t="n">
        <v>3.39797972</v>
      </c>
      <c r="I30" s="18" t="n">
        <v>0</v>
      </c>
      <c r="J30" s="20" t="n">
        <v>0</v>
      </c>
      <c r="K30" s="18" t="n">
        <v>0</v>
      </c>
      <c r="L30" s="20" t="n">
        <v>0</v>
      </c>
      <c r="M30" s="18" t="n">
        <v>0</v>
      </c>
      <c r="N30" s="20" t="n">
        <v>0</v>
      </c>
      <c r="O30" s="18" t="n">
        <v>0</v>
      </c>
      <c r="P30" s="20" t="n">
        <v>0</v>
      </c>
      <c r="Q30" s="18" t="n">
        <v>0</v>
      </c>
      <c r="R30" s="20" t="n">
        <v>0</v>
      </c>
    </row>
    <row r="31" spans="1:18">
      <c r="A31" s="15" t="s">
        <v>589</v>
      </c>
      <c r="B31" s="17" t="n">
        <v>2706</v>
      </c>
      <c r="C31" s="18">
        <f>(2424.0/B31*100)</f>
        <v/>
      </c>
      <c r="D31" s="19" t="n">
        <v>282</v>
      </c>
      <c r="E31" s="18" t="n">
        <v>56.08306272</v>
      </c>
      <c r="F31" s="20" t="n">
        <v>2.97787989</v>
      </c>
      <c r="G31" s="18" t="n">
        <v>43.20868152</v>
      </c>
      <c r="H31" s="20" t="n">
        <v>3.06485566</v>
      </c>
      <c r="I31" s="18" t="n">
        <v>0</v>
      </c>
      <c r="J31" s="20" t="n">
        <v>0</v>
      </c>
      <c r="K31" s="18" t="n">
        <v>0</v>
      </c>
      <c r="L31" s="20" t="n">
        <v>0</v>
      </c>
      <c r="M31" s="18" t="n">
        <v>0</v>
      </c>
      <c r="N31" s="20" t="n">
        <v>0</v>
      </c>
      <c r="O31" s="18" t="n">
        <v>0</v>
      </c>
      <c r="P31" s="20" t="n">
        <v>0</v>
      </c>
      <c r="Q31" s="18" t="n">
        <v>0.70825576</v>
      </c>
      <c r="R31" s="20" t="n">
        <v>0.48292555</v>
      </c>
    </row>
    <row r="32" spans="1:18">
      <c r="A32" s="15" t="s">
        <v>590</v>
      </c>
      <c r="B32" s="17" t="n">
        <v>2209</v>
      </c>
      <c r="C32" s="18">
        <f>(1952.0/B32*100)</f>
        <v/>
      </c>
      <c r="D32" s="19" t="n">
        <v>257</v>
      </c>
      <c r="E32" s="18" t="n">
        <v>63.31839878</v>
      </c>
      <c r="F32" s="20" t="n">
        <v>2.93966581</v>
      </c>
      <c r="G32" s="18" t="n">
        <v>36.32358246</v>
      </c>
      <c r="H32" s="20" t="n">
        <v>2.97873325</v>
      </c>
      <c r="I32" s="18" t="n">
        <v>0</v>
      </c>
      <c r="J32" s="20" t="n">
        <v>0</v>
      </c>
      <c r="K32" s="18" t="n">
        <v>0</v>
      </c>
      <c r="L32" s="20" t="n">
        <v>0</v>
      </c>
      <c r="M32" s="18" t="n">
        <v>0</v>
      </c>
      <c r="N32" s="20" t="n">
        <v>0</v>
      </c>
      <c r="O32" s="18" t="n">
        <v>0</v>
      </c>
      <c r="P32" s="20" t="n">
        <v>0</v>
      </c>
      <c r="Q32" s="18" t="n">
        <v>0.35801876</v>
      </c>
      <c r="R32" s="20" t="n">
        <v>0.35784709</v>
      </c>
    </row>
    <row r="33" spans="1:18">
      <c r="A33" s="15" t="s">
        <v>591</v>
      </c>
      <c r="B33" s="17" t="n">
        <v>3651</v>
      </c>
      <c r="C33" s="18">
        <f>(3242.0/B33*100)</f>
        <v/>
      </c>
      <c r="D33" s="19" t="n">
        <v>409</v>
      </c>
      <c r="E33" s="18" t="n">
        <v>44.53581477</v>
      </c>
      <c r="F33" s="20" t="n">
        <v>2.82443966</v>
      </c>
      <c r="G33" s="18" t="n">
        <v>55.049665</v>
      </c>
      <c r="H33" s="20" t="n">
        <v>2.7999393</v>
      </c>
      <c r="I33" s="18" t="n">
        <v>0</v>
      </c>
      <c r="J33" s="20" t="n">
        <v>0</v>
      </c>
      <c r="K33" s="18" t="n">
        <v>0</v>
      </c>
      <c r="L33" s="20" t="n">
        <v>0</v>
      </c>
      <c r="M33" s="18" t="n">
        <v>0</v>
      </c>
      <c r="N33" s="20" t="n">
        <v>0</v>
      </c>
      <c r="O33" s="18" t="n">
        <v>0</v>
      </c>
      <c r="P33" s="20" t="n">
        <v>0</v>
      </c>
      <c r="Q33" s="18" t="n">
        <v>0.41452022</v>
      </c>
      <c r="R33" s="20" t="n">
        <v>0.2178145</v>
      </c>
    </row>
    <row r="34" spans="1:18">
      <c r="A34" s="15" t="s">
        <v>592</v>
      </c>
      <c r="B34" s="17" t="n">
        <v>3035</v>
      </c>
      <c r="C34" s="18">
        <f>(2640.0/B34*100)</f>
        <v/>
      </c>
      <c r="D34" s="19" t="n">
        <v>395</v>
      </c>
      <c r="E34" s="18" t="n">
        <v>57.71818045</v>
      </c>
      <c r="F34" s="20" t="n">
        <v>3.03775573</v>
      </c>
      <c r="G34" s="18" t="n">
        <v>39.66487367</v>
      </c>
      <c r="H34" s="20" t="n">
        <v>3.07449054</v>
      </c>
      <c r="I34" s="18" t="n">
        <v>0</v>
      </c>
      <c r="J34" s="20" t="n">
        <v>0</v>
      </c>
      <c r="K34" s="18" t="n">
        <v>0.30332538</v>
      </c>
      <c r="L34" s="20" t="n">
        <v>0.29950774</v>
      </c>
      <c r="M34" s="18" t="n">
        <v>0</v>
      </c>
      <c r="N34" s="20" t="n">
        <v>0</v>
      </c>
      <c r="O34" s="18" t="n">
        <v>0</v>
      </c>
      <c r="P34" s="20" t="n">
        <v>0</v>
      </c>
      <c r="Q34" s="18" t="n">
        <v>2.3136205</v>
      </c>
      <c r="R34" s="20" t="n">
        <v>1.01185292</v>
      </c>
    </row>
    <row r="35" spans="1:18">
      <c r="A35" s="15" t="s">
        <v>593</v>
      </c>
      <c r="B35" s="17" t="n">
        <v>2901</v>
      </c>
      <c r="C35" s="18">
        <f>(2533.0/B35*100)</f>
        <v/>
      </c>
      <c r="D35" s="19" t="n">
        <v>368</v>
      </c>
      <c r="E35" s="18" t="n">
        <v>26.85603315</v>
      </c>
      <c r="F35" s="20" t="n">
        <v>2.46494893</v>
      </c>
      <c r="G35" s="18" t="n">
        <v>72.56913385</v>
      </c>
      <c r="H35" s="20" t="n">
        <v>2.48622113</v>
      </c>
      <c r="I35" s="18" t="n">
        <v>0</v>
      </c>
      <c r="J35" s="20" t="n">
        <v>0</v>
      </c>
      <c r="K35" s="18" t="n">
        <v>0.15799677</v>
      </c>
      <c r="L35" s="20" t="n">
        <v>0.15820519</v>
      </c>
      <c r="M35" s="18" t="n">
        <v>0</v>
      </c>
      <c r="N35" s="20" t="n">
        <v>0</v>
      </c>
      <c r="O35" s="18" t="n">
        <v>0</v>
      </c>
      <c r="P35" s="20" t="n">
        <v>0</v>
      </c>
      <c r="Q35" s="18" t="n">
        <v>0.41683623</v>
      </c>
      <c r="R35" s="20" t="n">
        <v>0.25102504</v>
      </c>
    </row>
    <row r="36" spans="1:18">
      <c r="A36" s="15" t="s">
        <v>594</v>
      </c>
      <c r="B36" s="17" t="n">
        <v>3404</v>
      </c>
      <c r="C36" s="18">
        <f>(3061.0/B36*100)</f>
        <v/>
      </c>
      <c r="D36" s="19" t="n">
        <v>343</v>
      </c>
      <c r="E36" s="18" t="n">
        <v>54.64025633</v>
      </c>
      <c r="F36" s="20" t="n">
        <v>3.16405152</v>
      </c>
      <c r="G36" s="18" t="n">
        <v>45.35974367</v>
      </c>
      <c r="H36" s="20" t="n">
        <v>3.16405152</v>
      </c>
      <c r="I36" s="18" t="n">
        <v>0</v>
      </c>
      <c r="J36" s="20" t="n">
        <v>0</v>
      </c>
      <c r="K36" s="18" t="n">
        <v>0</v>
      </c>
      <c r="L36" s="20" t="n">
        <v>0</v>
      </c>
      <c r="M36" s="18" t="n">
        <v>0</v>
      </c>
      <c r="N36" s="20" t="n">
        <v>0</v>
      </c>
      <c r="O36" s="18" t="n">
        <v>0</v>
      </c>
      <c r="P36" s="20" t="n">
        <v>0</v>
      </c>
      <c r="Q36" s="18" t="n">
        <v>0</v>
      </c>
      <c r="R36" s="20" t="n">
        <v>0</v>
      </c>
    </row>
    <row r="37" spans="1:18">
      <c r="A37" s="15" t="s">
        <v>595</v>
      </c>
      <c r="B37" s="17" t="n">
        <v>2731</v>
      </c>
      <c r="C37" s="18">
        <f>(2410.0/B37*100)</f>
        <v/>
      </c>
      <c r="D37" s="19" t="n">
        <v>321</v>
      </c>
      <c r="E37" s="18" t="n">
        <v>44.55039339</v>
      </c>
      <c r="F37" s="20" t="n">
        <v>3.50429234</v>
      </c>
      <c r="G37" s="18" t="n">
        <v>54.89957411</v>
      </c>
      <c r="H37" s="20" t="n">
        <v>3.5157934</v>
      </c>
      <c r="I37" s="18" t="n">
        <v>0</v>
      </c>
      <c r="J37" s="20" t="n">
        <v>0</v>
      </c>
      <c r="K37" s="18" t="n">
        <v>0</v>
      </c>
      <c r="L37" s="20" t="n">
        <v>0</v>
      </c>
      <c r="M37" s="18" t="n">
        <v>0</v>
      </c>
      <c r="N37" s="20" t="n">
        <v>0</v>
      </c>
      <c r="O37" s="18" t="n">
        <v>0</v>
      </c>
      <c r="P37" s="20" t="n">
        <v>0</v>
      </c>
      <c r="Q37" s="18" t="n">
        <v>0.5500325</v>
      </c>
      <c r="R37" s="20" t="n">
        <v>0.39754285</v>
      </c>
    </row>
    <row r="38" spans="1:18">
      <c r="A38" s="15" t="s">
        <v>596</v>
      </c>
      <c r="B38" s="17" t="n">
        <v>2807</v>
      </c>
      <c r="C38" s="18">
        <f>(2515.0/B38*100)</f>
        <v/>
      </c>
      <c r="D38" s="19" t="n">
        <v>292</v>
      </c>
      <c r="E38" s="18" t="n">
        <v>57.81843419</v>
      </c>
      <c r="F38" s="20" t="n">
        <v>3.51495167</v>
      </c>
      <c r="G38" s="18" t="n">
        <v>41.33219292</v>
      </c>
      <c r="H38" s="20" t="n">
        <v>3.49464283</v>
      </c>
      <c r="I38" s="18" t="n">
        <v>0</v>
      </c>
      <c r="J38" s="20" t="n">
        <v>0</v>
      </c>
      <c r="K38" s="18" t="n">
        <v>0</v>
      </c>
      <c r="L38" s="20" t="n">
        <v>0</v>
      </c>
      <c r="M38" s="18" t="n">
        <v>0</v>
      </c>
      <c r="N38" s="20" t="n">
        <v>0</v>
      </c>
      <c r="O38" s="18" t="n">
        <v>0</v>
      </c>
      <c r="P38" s="20" t="n">
        <v>0</v>
      </c>
      <c r="Q38" s="18" t="n">
        <v>0.84937289</v>
      </c>
      <c r="R38" s="20" t="n">
        <v>0.5711055900000001</v>
      </c>
    </row>
    <row r="39" spans="1:18">
      <c r="A39" s="15" t="s">
        <v>597</v>
      </c>
      <c r="B39" s="17" t="n">
        <v>2938</v>
      </c>
      <c r="C39" s="18">
        <f>(2634.0/B39*100)</f>
        <v/>
      </c>
      <c r="D39" s="19" t="n">
        <v>304</v>
      </c>
      <c r="E39" s="18" t="n">
        <v>66.59433333</v>
      </c>
      <c r="F39" s="20" t="n">
        <v>3.41079094</v>
      </c>
      <c r="G39" s="18" t="n">
        <v>32.40511132</v>
      </c>
      <c r="H39" s="20" t="n">
        <v>3.38369562</v>
      </c>
      <c r="I39" s="18" t="n">
        <v>0</v>
      </c>
      <c r="J39" s="20" t="n">
        <v>0</v>
      </c>
      <c r="K39" s="18" t="n">
        <v>0</v>
      </c>
      <c r="L39" s="20" t="n">
        <v>0</v>
      </c>
      <c r="M39" s="18" t="n">
        <v>0</v>
      </c>
      <c r="N39" s="20" t="n">
        <v>0</v>
      </c>
      <c r="O39" s="18" t="n">
        <v>0</v>
      </c>
      <c r="P39" s="20" t="n">
        <v>0</v>
      </c>
      <c r="Q39" s="18" t="n">
        <v>1.00055534</v>
      </c>
      <c r="R39" s="20" t="n">
        <v>0.75156921</v>
      </c>
    </row>
    <row r="40" spans="1:18">
      <c r="A40" s="15" t="s">
        <v>598</v>
      </c>
      <c r="B40" s="17" t="n">
        <v>6922</v>
      </c>
      <c r="C40" s="18">
        <f>(6151.0/B40*100)</f>
        <v/>
      </c>
      <c r="D40" s="19" t="n">
        <v>771</v>
      </c>
      <c r="E40" s="18" t="n">
        <v>55.8146457</v>
      </c>
      <c r="F40" s="20" t="n">
        <v>2.66586597</v>
      </c>
      <c r="G40" s="18" t="n">
        <v>41.6562481</v>
      </c>
      <c r="H40" s="20" t="n">
        <v>2.77172349</v>
      </c>
      <c r="I40" s="18" t="n">
        <v>0</v>
      </c>
      <c r="J40" s="20" t="n">
        <v>0</v>
      </c>
      <c r="K40" s="18" t="n">
        <v>0.46272687</v>
      </c>
      <c r="L40" s="20" t="n">
        <v>0.40546434</v>
      </c>
      <c r="M40" s="18" t="n">
        <v>0</v>
      </c>
      <c r="N40" s="20" t="n">
        <v>0</v>
      </c>
      <c r="O40" s="18" t="n">
        <v>0</v>
      </c>
      <c r="P40" s="20" t="n">
        <v>0</v>
      </c>
      <c r="Q40" s="18" t="n">
        <v>2.06637933</v>
      </c>
      <c r="R40" s="20" t="n">
        <v>0.81273262</v>
      </c>
    </row>
    <row r="41" spans="1:18">
      <c r="A41" s="15" t="s">
        <v>599</v>
      </c>
      <c r="B41" s="17" t="n">
        <v>2854</v>
      </c>
      <c r="C41" s="18">
        <f>(2528.0/B41*100)</f>
        <v/>
      </c>
      <c r="D41" s="19" t="n">
        <v>326</v>
      </c>
      <c r="E41" s="18" t="n">
        <v>63.76156679</v>
      </c>
      <c r="F41" s="20" t="n">
        <v>2.68633041</v>
      </c>
      <c r="G41" s="18" t="n">
        <v>36.07055403</v>
      </c>
      <c r="H41" s="20" t="n">
        <v>2.66028269</v>
      </c>
      <c r="I41" s="18" t="n">
        <v>0</v>
      </c>
      <c r="J41" s="20" t="n">
        <v>0</v>
      </c>
      <c r="K41" s="18" t="n">
        <v>0</v>
      </c>
      <c r="L41" s="20" t="n">
        <v>0</v>
      </c>
      <c r="M41" s="18" t="n">
        <v>0</v>
      </c>
      <c r="N41" s="20" t="n">
        <v>0</v>
      </c>
      <c r="O41" s="18" t="n">
        <v>0</v>
      </c>
      <c r="P41" s="20" t="n">
        <v>0</v>
      </c>
      <c r="Q41" s="18" t="n">
        <v>0.16787918</v>
      </c>
      <c r="R41" s="20" t="n">
        <v>0.16818106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(10911.0/B46*100)</f>
        <v/>
      </c>
      <c r="D46" s="19" t="n">
        <v>1162</v>
      </c>
      <c r="E46" s="18" t="n">
        <v>73.38688313999999</v>
      </c>
      <c r="F46" s="20" t="n">
        <v>1.9426874</v>
      </c>
      <c r="G46" s="18" t="n">
        <v>22.83512479</v>
      </c>
      <c r="H46" s="20" t="n">
        <v>1.90825974</v>
      </c>
      <c r="I46" s="18" t="n">
        <v>0</v>
      </c>
      <c r="J46" s="20" t="n">
        <v>0</v>
      </c>
      <c r="K46" s="18" t="n">
        <v>0.82715801</v>
      </c>
      <c r="L46" s="20" t="n">
        <v>0.34156214</v>
      </c>
      <c r="M46" s="18" t="n">
        <v>0</v>
      </c>
      <c r="N46" s="20" t="n">
        <v>0</v>
      </c>
      <c r="O46" s="18" t="n">
        <v>0</v>
      </c>
      <c r="P46" s="20" t="n">
        <v>0</v>
      </c>
      <c r="Q46" s="18" t="n">
        <v>2.95083406</v>
      </c>
      <c r="R46" s="20" t="n">
        <v>0.66346448</v>
      </c>
    </row>
    <row r="47" spans="1:18">
      <c r="A47" s="15" t="s">
        <v>606</v>
      </c>
      <c r="B47" s="17" t="n">
        <v>2823</v>
      </c>
      <c r="C47" s="18">
        <f>(2527.0/B47*100)</f>
        <v/>
      </c>
      <c r="D47" s="19" t="n">
        <v>296</v>
      </c>
      <c r="E47" s="18" t="n">
        <v>53.22959183</v>
      </c>
      <c r="F47" s="20" t="n">
        <v>3.19135055</v>
      </c>
      <c r="G47" s="18" t="n">
        <v>44.70891139</v>
      </c>
      <c r="H47" s="20" t="n">
        <v>3.16237197</v>
      </c>
      <c r="I47" s="18" t="n">
        <v>0</v>
      </c>
      <c r="J47" s="20" t="n">
        <v>0</v>
      </c>
      <c r="K47" s="18" t="n">
        <v>0.69637951</v>
      </c>
      <c r="L47" s="20" t="n">
        <v>0.4900454</v>
      </c>
      <c r="M47" s="18" t="n">
        <v>0</v>
      </c>
      <c r="N47" s="20" t="n">
        <v>0</v>
      </c>
      <c r="O47" s="18" t="n">
        <v>0</v>
      </c>
      <c r="P47" s="20" t="n">
        <v>0</v>
      </c>
      <c r="Q47" s="18" t="n">
        <v>1.36511727</v>
      </c>
      <c r="R47" s="20" t="n">
        <v>0.65401394</v>
      </c>
    </row>
    <row r="48" spans="1:18">
      <c r="A48" s="15" t="s">
        <v>607</v>
      </c>
      <c r="B48" s="17" t="n">
        <v>4682</v>
      </c>
      <c r="C48" s="18">
        <f>(4157.0/B48*100)</f>
        <v/>
      </c>
      <c r="D48" s="19" t="n">
        <v>525</v>
      </c>
      <c r="E48" s="18" t="n">
        <v>45.0305711</v>
      </c>
      <c r="F48" s="20" t="n">
        <v>3.0615712</v>
      </c>
      <c r="G48" s="18" t="n">
        <v>52.8747133</v>
      </c>
      <c r="H48" s="20" t="n">
        <v>3.03404472</v>
      </c>
      <c r="I48" s="18" t="n">
        <v>0</v>
      </c>
      <c r="J48" s="20" t="n">
        <v>0</v>
      </c>
      <c r="K48" s="18" t="n">
        <v>1.2004235</v>
      </c>
      <c r="L48" s="20" t="n">
        <v>0.37005631</v>
      </c>
      <c r="M48" s="18" t="n">
        <v>0</v>
      </c>
      <c r="N48" s="20" t="n">
        <v>0</v>
      </c>
      <c r="O48" s="18" t="n">
        <v>0</v>
      </c>
      <c r="P48" s="20" t="n">
        <v>0</v>
      </c>
      <c r="Q48" s="18" t="n">
        <v>0.8942921</v>
      </c>
      <c r="R48" s="20" t="n">
        <v>0.42788168</v>
      </c>
    </row>
    <row r="49" spans="1:18">
      <c r="A49" s="15" t="s">
        <v>608</v>
      </c>
      <c r="B49" s="17" t="n">
        <v>6158</v>
      </c>
      <c r="C49" s="18">
        <f>(5467.0/B49*100)</f>
        <v/>
      </c>
      <c r="D49" s="19" t="n">
        <v>691</v>
      </c>
      <c r="E49" s="18" t="n">
        <v>79.48982746999999</v>
      </c>
      <c r="F49" s="20" t="n">
        <v>2.03098722</v>
      </c>
      <c r="G49" s="18" t="n">
        <v>19.06470562</v>
      </c>
      <c r="H49" s="20" t="n">
        <v>2.0076188</v>
      </c>
      <c r="I49" s="18" t="n">
        <v>0</v>
      </c>
      <c r="J49" s="20" t="n">
        <v>0</v>
      </c>
      <c r="K49" s="18" t="n">
        <v>0.52467377</v>
      </c>
      <c r="L49" s="20" t="n">
        <v>0.27213112</v>
      </c>
      <c r="M49" s="18" t="n">
        <v>0</v>
      </c>
      <c r="N49" s="20" t="n">
        <v>0</v>
      </c>
      <c r="O49" s="18" t="n">
        <v>0</v>
      </c>
      <c r="P49" s="20" t="n">
        <v>0</v>
      </c>
      <c r="Q49" s="18" t="n">
        <v>0.92079314</v>
      </c>
      <c r="R49" s="20" t="n">
        <v>0.46742946</v>
      </c>
    </row>
    <row r="50" spans="1:18">
      <c r="A50" s="15" t="s">
        <v>609</v>
      </c>
      <c r="B50" s="17" t="n">
        <v>3494</v>
      </c>
      <c r="C50" s="18">
        <f>(2812.0/B50*100)</f>
        <v/>
      </c>
      <c r="D50" s="19" t="n">
        <v>682</v>
      </c>
      <c r="E50" s="18" t="n">
        <v>77.40075372</v>
      </c>
      <c r="F50" s="20" t="n">
        <v>1.89565819</v>
      </c>
      <c r="G50" s="18" t="n">
        <v>20.33650248</v>
      </c>
      <c r="H50" s="20" t="n">
        <v>1.83855119</v>
      </c>
      <c r="I50" s="18" t="n">
        <v>0</v>
      </c>
      <c r="J50" s="20" t="n">
        <v>0</v>
      </c>
      <c r="K50" s="18" t="n">
        <v>0</v>
      </c>
      <c r="L50" s="20" t="n">
        <v>0</v>
      </c>
      <c r="M50" s="18" t="n">
        <v>0</v>
      </c>
      <c r="N50" s="20" t="n">
        <v>0</v>
      </c>
      <c r="O50" s="18" t="n">
        <v>0</v>
      </c>
      <c r="P50" s="20" t="n">
        <v>0</v>
      </c>
      <c r="Q50" s="18" t="n">
        <v>2.2627438</v>
      </c>
      <c r="R50" s="20" t="n">
        <v>0.59700374</v>
      </c>
    </row>
    <row r="51" spans="1:18">
      <c r="A51" s="15" t="s">
        <v>610</v>
      </c>
      <c r="B51" s="17" t="n">
        <v>3013</v>
      </c>
      <c r="C51" s="18">
        <f>(2675.0/B51*100)</f>
        <v/>
      </c>
      <c r="D51" s="19" t="n">
        <v>338</v>
      </c>
      <c r="E51" s="18" t="n">
        <v>45.55898376</v>
      </c>
      <c r="F51" s="20" t="n">
        <v>3.09624248</v>
      </c>
      <c r="G51" s="18" t="n">
        <v>54.14887319</v>
      </c>
      <c r="H51" s="20" t="n">
        <v>3.12785146</v>
      </c>
      <c r="I51" s="18" t="n">
        <v>0</v>
      </c>
      <c r="J51" s="20" t="n">
        <v>0</v>
      </c>
      <c r="K51" s="18" t="n">
        <v>0</v>
      </c>
      <c r="L51" s="20" t="n">
        <v>0</v>
      </c>
      <c r="M51" s="18" t="n">
        <v>0</v>
      </c>
      <c r="N51" s="20" t="n">
        <v>0</v>
      </c>
      <c r="O51" s="18" t="n">
        <v>0</v>
      </c>
      <c r="P51" s="20" t="n">
        <v>0</v>
      </c>
      <c r="Q51" s="18" t="n">
        <v>0.29214305</v>
      </c>
      <c r="R51" s="20" t="n">
        <v>0.29025633</v>
      </c>
    </row>
    <row r="52" spans="1:18">
      <c r="A52" s="15" t="s">
        <v>611</v>
      </c>
      <c r="B52" s="17" t="n">
        <v>2760</v>
      </c>
      <c r="C52" s="18">
        <f>(2458.0/B52*100)</f>
        <v/>
      </c>
      <c r="D52" s="19" t="n">
        <v>302</v>
      </c>
      <c r="E52" s="18" t="n">
        <v>65.35865715</v>
      </c>
      <c r="F52" s="20" t="n">
        <v>2.74840978</v>
      </c>
      <c r="G52" s="18" t="n">
        <v>33.45114149</v>
      </c>
      <c r="H52" s="20" t="n">
        <v>2.77485054</v>
      </c>
      <c r="I52" s="18" t="n">
        <v>0</v>
      </c>
      <c r="J52" s="20" t="n">
        <v>0</v>
      </c>
      <c r="K52" s="18" t="n">
        <v>0</v>
      </c>
      <c r="L52" s="20" t="n">
        <v>0</v>
      </c>
      <c r="M52" s="18" t="n">
        <v>0</v>
      </c>
      <c r="N52" s="20" t="n">
        <v>0</v>
      </c>
      <c r="O52" s="18" t="n">
        <v>0</v>
      </c>
      <c r="P52" s="20" t="n">
        <v>0</v>
      </c>
      <c r="Q52" s="18" t="n">
        <v>1.19020136</v>
      </c>
      <c r="R52" s="20" t="n">
        <v>0.6104874300000001</v>
      </c>
    </row>
    <row r="53" spans="1:18">
      <c r="A53" s="15" t="s">
        <v>612</v>
      </c>
      <c r="B53" s="17" t="n">
        <v>2474</v>
      </c>
      <c r="C53" s="18">
        <f>(2208.0/B53*100)</f>
        <v/>
      </c>
      <c r="D53" s="19" t="n">
        <v>266</v>
      </c>
      <c r="E53" s="18" t="n">
        <v>74.15866822</v>
      </c>
      <c r="F53" s="20" t="n">
        <v>2.82002136</v>
      </c>
      <c r="G53" s="18" t="n">
        <v>16.29891783</v>
      </c>
      <c r="H53" s="20" t="n">
        <v>2.34018613</v>
      </c>
      <c r="I53" s="18" t="n">
        <v>0</v>
      </c>
      <c r="J53" s="20" t="n">
        <v>0</v>
      </c>
      <c r="K53" s="18" t="n">
        <v>7.37980775</v>
      </c>
      <c r="L53" s="20" t="n">
        <v>1.86212929</v>
      </c>
      <c r="M53" s="18" t="n">
        <v>0</v>
      </c>
      <c r="N53" s="20" t="n">
        <v>0</v>
      </c>
      <c r="O53" s="18" t="n">
        <v>0</v>
      </c>
      <c r="P53" s="20" t="n">
        <v>0</v>
      </c>
      <c r="Q53" s="18" t="n">
        <v>2.1626062</v>
      </c>
      <c r="R53" s="20" t="n">
        <v>1.15180301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(2381.0/B55*100)</f>
        <v/>
      </c>
      <c r="D55" s="19" t="n">
        <v>294</v>
      </c>
      <c r="E55" s="18" t="n">
        <v>73.06255256999999</v>
      </c>
      <c r="F55" s="20" t="n">
        <v>2.65223347</v>
      </c>
      <c r="G55" s="18" t="n">
        <v>26.30357204</v>
      </c>
      <c r="H55" s="20" t="n">
        <v>2.6568401</v>
      </c>
      <c r="I55" s="18" t="n">
        <v>0</v>
      </c>
      <c r="J55" s="20" t="n">
        <v>0</v>
      </c>
      <c r="K55" s="18" t="n">
        <v>0.31216736</v>
      </c>
      <c r="L55" s="20" t="n">
        <v>0.34973344</v>
      </c>
      <c r="M55" s="18" t="n">
        <v>0</v>
      </c>
      <c r="N55" s="20" t="n">
        <v>0</v>
      </c>
      <c r="O55" s="18" t="n">
        <v>0</v>
      </c>
      <c r="P55" s="20" t="n">
        <v>0</v>
      </c>
      <c r="Q55" s="18" t="n">
        <v>0.32170803</v>
      </c>
      <c r="R55" s="20" t="n">
        <v>0.30854301</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(2852.0/B61*100)</f>
        <v/>
      </c>
      <c r="D61" s="19" t="n">
        <v>349</v>
      </c>
      <c r="E61" s="18" t="n">
        <v>57.33862392</v>
      </c>
      <c r="F61" s="20" t="n">
        <v>3.03772432</v>
      </c>
      <c r="G61" s="18" t="n">
        <v>41.33400587</v>
      </c>
      <c r="H61" s="20" t="n">
        <v>2.93559513</v>
      </c>
      <c r="I61" s="18" t="n">
        <v>0</v>
      </c>
      <c r="J61" s="20" t="n">
        <v>0</v>
      </c>
      <c r="K61" s="18" t="n">
        <v>0.34882621</v>
      </c>
      <c r="L61" s="20" t="n">
        <v>0.35172332</v>
      </c>
      <c r="M61" s="18" t="n">
        <v>0</v>
      </c>
      <c r="N61" s="20" t="n">
        <v>0</v>
      </c>
      <c r="O61" s="18" t="n">
        <v>0</v>
      </c>
      <c r="P61" s="20" t="n">
        <v>0</v>
      </c>
      <c r="Q61" s="18" t="n">
        <v>0.978544</v>
      </c>
      <c r="R61" s="20" t="n">
        <v>0.52746361</v>
      </c>
    </row>
    <row r="62" spans="1:18">
      <c r="A62" s="15" t="s">
        <v>622</v>
      </c>
      <c r="B62" s="17" t="n">
        <v>2230</v>
      </c>
      <c r="C62" s="18">
        <f>(1978.0/B62*100)</f>
        <v/>
      </c>
      <c r="D62" s="19" t="n">
        <v>252</v>
      </c>
      <c r="E62" s="18" t="n">
        <v>53.18657549</v>
      </c>
      <c r="F62" s="20" t="n">
        <v>3.22683025</v>
      </c>
      <c r="G62" s="18" t="n">
        <v>46.81342451</v>
      </c>
      <c r="H62" s="20" t="n">
        <v>3.22683025</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(2466.0/B67*100)</f>
        <v/>
      </c>
      <c r="D67" s="19" t="n">
        <v>305</v>
      </c>
      <c r="E67" s="18" t="n">
        <v>61.2725148</v>
      </c>
      <c r="F67" s="20" t="n">
        <v>3.19714577</v>
      </c>
      <c r="G67" s="18" t="n">
        <v>35.1103221</v>
      </c>
      <c r="H67" s="20" t="n">
        <v>2.83387562</v>
      </c>
      <c r="I67" s="18" t="n">
        <v>0</v>
      </c>
      <c r="J67" s="20" t="n">
        <v>0</v>
      </c>
      <c r="K67" s="18" t="n">
        <v>0.56352108</v>
      </c>
      <c r="L67" s="20" t="n">
        <v>0.3956223</v>
      </c>
      <c r="M67" s="18" t="n">
        <v>0</v>
      </c>
      <c r="N67" s="20" t="n">
        <v>0</v>
      </c>
      <c r="O67" s="18" t="n">
        <v>0</v>
      </c>
      <c r="P67" s="20" t="n">
        <v>0</v>
      </c>
      <c r="Q67" s="18" t="n">
        <v>3.05364202</v>
      </c>
      <c r="R67" s="20" t="n">
        <v>1.05447868</v>
      </c>
    </row>
    <row r="68" spans="1:18">
      <c r="A68" s="15" t="s">
        <v>628</v>
      </c>
      <c r="B68" s="17" t="n">
        <v>3460</v>
      </c>
      <c r="C68" s="18">
        <f>(3097.0/B68*100)</f>
        <v/>
      </c>
      <c r="D68" s="19" t="n">
        <v>363</v>
      </c>
      <c r="E68" s="18" t="n">
        <v>74.63060059999999</v>
      </c>
      <c r="F68" s="20" t="n">
        <v>2.36661665</v>
      </c>
      <c r="G68" s="18" t="n">
        <v>22.88362484</v>
      </c>
      <c r="H68" s="20" t="n">
        <v>2.37551785</v>
      </c>
      <c r="I68" s="18" t="n">
        <v>0</v>
      </c>
      <c r="J68" s="20" t="n">
        <v>0</v>
      </c>
      <c r="K68" s="18" t="n">
        <v>0</v>
      </c>
      <c r="L68" s="20" t="n">
        <v>0</v>
      </c>
      <c r="M68" s="18" t="n">
        <v>0</v>
      </c>
      <c r="N68" s="20" t="n">
        <v>0</v>
      </c>
      <c r="O68" s="18" t="n">
        <v>0</v>
      </c>
      <c r="P68" s="20" t="n">
        <v>0</v>
      </c>
      <c r="Q68" s="18" t="n">
        <v>2.48577456</v>
      </c>
      <c r="R68" s="20" t="n">
        <v>0.89697036</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(5362.0/B70*100)</f>
        <v/>
      </c>
      <c r="D70" s="19" t="n">
        <v>672</v>
      </c>
      <c r="E70" s="18" t="n">
        <v>59.25709891</v>
      </c>
      <c r="F70" s="20" t="n">
        <v>2.14645486</v>
      </c>
      <c r="G70" s="18" t="n">
        <v>39.6933669</v>
      </c>
      <c r="H70" s="20" t="n">
        <v>2.14697943</v>
      </c>
      <c r="I70" s="18" t="n">
        <v>0</v>
      </c>
      <c r="J70" s="20" t="n">
        <v>0</v>
      </c>
      <c r="K70" s="18" t="n">
        <v>0.46838352</v>
      </c>
      <c r="L70" s="20" t="n">
        <v>0.27412455</v>
      </c>
      <c r="M70" s="18" t="n">
        <v>0</v>
      </c>
      <c r="N70" s="20" t="n">
        <v>0</v>
      </c>
      <c r="O70" s="18" t="n">
        <v>0</v>
      </c>
      <c r="P70" s="20" t="n">
        <v>0</v>
      </c>
      <c r="Q70" s="18" t="n">
        <v>0.58115066</v>
      </c>
      <c r="R70" s="20" t="n">
        <v>0.28590067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(2787.0/B72*100)</f>
        <v/>
      </c>
      <c r="D72" s="19" t="n">
        <v>320</v>
      </c>
      <c r="E72" s="18" t="n">
        <v>48.88908805</v>
      </c>
      <c r="F72" s="20" t="n">
        <v>2.96680489</v>
      </c>
      <c r="G72" s="18" t="n">
        <v>50.49463344</v>
      </c>
      <c r="H72" s="20" t="n">
        <v>2.95913689</v>
      </c>
      <c r="I72" s="18" t="n">
        <v>0</v>
      </c>
      <c r="J72" s="20" t="n">
        <v>0</v>
      </c>
      <c r="K72" s="18" t="n">
        <v>0.6162785</v>
      </c>
      <c r="L72" s="20" t="n">
        <v>0.53223579</v>
      </c>
      <c r="M72" s="18" t="n">
        <v>0</v>
      </c>
      <c r="N72" s="20" t="n">
        <v>0</v>
      </c>
      <c r="O72" s="18" t="n">
        <v>0</v>
      </c>
      <c r="P72" s="20" t="n">
        <v>0</v>
      </c>
      <c r="Q72" s="18" t="n">
        <v>0</v>
      </c>
      <c r="R72" s="20" t="n">
        <v>0</v>
      </c>
    </row>
    <row r="73" spans="1:18">
      <c r="A73" s="15" t="s">
        <v>633</v>
      </c>
      <c r="B73" s="17" t="n">
        <v>2973</v>
      </c>
      <c r="C73" s="18">
        <f>(2637.0/B73*100)</f>
        <v/>
      </c>
      <c r="D73" s="19" t="n">
        <v>336</v>
      </c>
      <c r="E73" s="18" t="n">
        <v>37.34318688</v>
      </c>
      <c r="F73" s="20" t="n">
        <v>2.95299381</v>
      </c>
      <c r="G73" s="18" t="n">
        <v>61.79906736</v>
      </c>
      <c r="H73" s="20" t="n">
        <v>3.09831024</v>
      </c>
      <c r="I73" s="18" t="n">
        <v>0</v>
      </c>
      <c r="J73" s="20" t="n">
        <v>0</v>
      </c>
      <c r="K73" s="18" t="n">
        <v>0</v>
      </c>
      <c r="L73" s="20" t="n">
        <v>0</v>
      </c>
      <c r="M73" s="18" t="n">
        <v>0</v>
      </c>
      <c r="N73" s="20" t="n">
        <v>0</v>
      </c>
      <c r="O73" s="18" t="n">
        <v>0</v>
      </c>
      <c r="P73" s="20" t="n">
        <v>0</v>
      </c>
      <c r="Q73" s="18" t="n">
        <v>0.85774577</v>
      </c>
      <c r="R73" s="20" t="n">
        <v>0.51986758</v>
      </c>
    </row>
    <row r="74" spans="1:18">
      <c r="A74" s="15" t="s">
        <v>634</v>
      </c>
      <c r="B74" s="17" t="n">
        <v>3819</v>
      </c>
      <c r="C74" s="18">
        <f>(3407.0/B74*100)</f>
        <v/>
      </c>
      <c r="D74" s="19" t="n">
        <v>412</v>
      </c>
      <c r="E74" s="18" t="n">
        <v>56.64466673</v>
      </c>
      <c r="F74" s="20" t="n">
        <v>2.44375571</v>
      </c>
      <c r="G74" s="18" t="n">
        <v>42.73125704</v>
      </c>
      <c r="H74" s="20" t="n">
        <v>2.43206621</v>
      </c>
      <c r="I74" s="18" t="n">
        <v>0</v>
      </c>
      <c r="J74" s="20" t="n">
        <v>0</v>
      </c>
      <c r="K74" s="18" t="n">
        <v>0.33988425</v>
      </c>
      <c r="L74" s="20" t="n">
        <v>0.24921179</v>
      </c>
      <c r="M74" s="18" t="n">
        <v>0</v>
      </c>
      <c r="N74" s="20" t="n">
        <v>0</v>
      </c>
      <c r="O74" s="18" t="n">
        <v>0</v>
      </c>
      <c r="P74" s="20" t="n">
        <v>0</v>
      </c>
      <c r="Q74" s="18" t="n">
        <v>0.28419197</v>
      </c>
      <c r="R74" s="20" t="n">
        <v>0.28736667</v>
      </c>
    </row>
    <row r="75" spans="1:18">
      <c r="A75" s="15" t="s">
        <v>635</v>
      </c>
      <c r="B75" s="17" t="n">
        <v>4652</v>
      </c>
      <c r="C75" s="18">
        <f>(4146.0/B75*100)</f>
        <v/>
      </c>
      <c r="D75" s="19" t="n">
        <v>506</v>
      </c>
      <c r="E75" s="18" t="n">
        <v>73.19506552999999</v>
      </c>
      <c r="F75" s="20" t="n">
        <v>2.28784938</v>
      </c>
      <c r="G75" s="18" t="n">
        <v>26.42053784</v>
      </c>
      <c r="H75" s="20" t="n">
        <v>2.29487247</v>
      </c>
      <c r="I75" s="18" t="n">
        <v>0</v>
      </c>
      <c r="J75" s="20" t="n">
        <v>0</v>
      </c>
      <c r="K75" s="18" t="n">
        <v>0</v>
      </c>
      <c r="L75" s="20" t="n">
        <v>0</v>
      </c>
      <c r="M75" s="18" t="n">
        <v>0</v>
      </c>
      <c r="N75" s="20" t="n">
        <v>0</v>
      </c>
      <c r="O75" s="18" t="n">
        <v>0</v>
      </c>
      <c r="P75" s="20" t="n">
        <v>0</v>
      </c>
      <c r="Q75" s="18" t="n">
        <v>0.38439663</v>
      </c>
      <c r="R75" s="20" t="n">
        <v>0.23420157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(2670.0/B77*100)</f>
        <v/>
      </c>
      <c r="D77" s="19" t="n">
        <v>299</v>
      </c>
      <c r="E77" s="18" t="n">
        <v>70.51098371</v>
      </c>
      <c r="F77" s="20" t="n">
        <v>2.83398064</v>
      </c>
      <c r="G77" s="18" t="n">
        <v>26.43497715</v>
      </c>
      <c r="H77" s="20" t="n">
        <v>2.64013565</v>
      </c>
      <c r="I77" s="18" t="n">
        <v>0</v>
      </c>
      <c r="J77" s="20" t="n">
        <v>0</v>
      </c>
      <c r="K77" s="18" t="n">
        <v>1.54893092</v>
      </c>
      <c r="L77" s="20" t="n">
        <v>1.0098035</v>
      </c>
      <c r="M77" s="18" t="n">
        <v>0</v>
      </c>
      <c r="N77" s="20" t="n">
        <v>0</v>
      </c>
      <c r="O77" s="18" t="n">
        <v>0</v>
      </c>
      <c r="P77" s="20" t="n">
        <v>0</v>
      </c>
      <c r="Q77" s="18" t="n">
        <v>1.50510823</v>
      </c>
      <c r="R77" s="20" t="n">
        <v>0.71673891</v>
      </c>
    </row>
    <row r="78" spans="1:18">
      <c r="A78" s="15" t="s">
        <v>638</v>
      </c>
      <c r="B78" s="17" t="n">
        <v>7115</v>
      </c>
      <c r="C78" s="18">
        <f>(6331.0/B78*100)</f>
        <v/>
      </c>
      <c r="D78" s="19" t="n">
        <v>784</v>
      </c>
      <c r="E78" s="18" t="n">
        <v>58.47850252</v>
      </c>
      <c r="F78" s="20" t="n">
        <v>1.91013511</v>
      </c>
      <c r="G78" s="18" t="n">
        <v>40.57661127</v>
      </c>
      <c r="H78" s="20" t="n">
        <v>1.92650481</v>
      </c>
      <c r="I78" s="18" t="n">
        <v>0</v>
      </c>
      <c r="J78" s="20" t="n">
        <v>0</v>
      </c>
      <c r="K78" s="18" t="n">
        <v>0.67104215</v>
      </c>
      <c r="L78" s="20" t="n">
        <v>0.33504821</v>
      </c>
      <c r="M78" s="18" t="n">
        <v>0</v>
      </c>
      <c r="N78" s="20" t="n">
        <v>0</v>
      </c>
      <c r="O78" s="18" t="n">
        <v>0</v>
      </c>
      <c r="P78" s="20" t="n">
        <v>0</v>
      </c>
      <c r="Q78" s="18" t="n">
        <v>0.27384406</v>
      </c>
      <c r="R78" s="20" t="n">
        <v>0.12537826</v>
      </c>
    </row>
    <row r="79" spans="1:18">
      <c r="A79" s="15" t="s">
        <v>639</v>
      </c>
      <c r="B79" s="17" t="n">
        <v>3154</v>
      </c>
      <c r="C79" s="18">
        <f>(2815.0/B79*100)</f>
        <v/>
      </c>
      <c r="D79" s="19" t="n">
        <v>339</v>
      </c>
      <c r="E79" s="18" t="n">
        <v>71.52806425999999</v>
      </c>
      <c r="F79" s="20" t="n">
        <v>2.6635295</v>
      </c>
      <c r="G79" s="18" t="n">
        <v>27.01699033</v>
      </c>
      <c r="H79" s="20" t="n">
        <v>2.62674065</v>
      </c>
      <c r="I79" s="18" t="n">
        <v>0</v>
      </c>
      <c r="J79" s="20" t="n">
        <v>0</v>
      </c>
      <c r="K79" s="18" t="n">
        <v>0.5324418400000001</v>
      </c>
      <c r="L79" s="20" t="n">
        <v>0.39160334</v>
      </c>
      <c r="M79" s="18" t="n">
        <v>0</v>
      </c>
      <c r="N79" s="20" t="n">
        <v>0</v>
      </c>
      <c r="O79" s="18" t="n">
        <v>0</v>
      </c>
      <c r="P79" s="20" t="n">
        <v>0</v>
      </c>
      <c r="Q79" s="18" t="n">
        <v>0.9225035700000001</v>
      </c>
      <c r="R79" s="20" t="n">
        <v>0.64037395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(14195.0/B82*100)</f>
        <v/>
      </c>
      <c r="D82" s="19" t="n">
        <v>1766</v>
      </c>
      <c r="E82" s="18" t="n">
        <v>55.57396565</v>
      </c>
      <c r="F82" s="20" t="n">
        <v>1.61606633</v>
      </c>
      <c r="G82" s="18" t="n">
        <v>43.62536004</v>
      </c>
      <c r="H82" s="20" t="n">
        <v>1.61374496</v>
      </c>
      <c r="I82" s="18" t="n">
        <v>0</v>
      </c>
      <c r="J82" s="20" t="n">
        <v>0</v>
      </c>
      <c r="K82" s="18" t="n">
        <v>0.13063272</v>
      </c>
      <c r="L82" s="20" t="n">
        <v>0.07691401</v>
      </c>
      <c r="M82" s="18" t="n">
        <v>0</v>
      </c>
      <c r="N82" s="20" t="n">
        <v>0</v>
      </c>
      <c r="O82" s="18" t="n">
        <v>0</v>
      </c>
      <c r="P82" s="20" t="n">
        <v>0</v>
      </c>
      <c r="Q82" s="18" t="n">
        <v>0.67004159</v>
      </c>
      <c r="R82" s="20" t="n">
        <v>0.28852915</v>
      </c>
    </row>
    <row r="83" spans="1:18">
      <c r="A83" s="15" t="s">
        <v>643</v>
      </c>
      <c r="B83" s="17" t="n">
        <v>808</v>
      </c>
      <c r="C83" s="18">
        <f>(704.0/B83*100)</f>
        <v/>
      </c>
      <c r="D83" s="19" t="n">
        <v>104</v>
      </c>
      <c r="E83" s="18" t="n">
        <v>47.69397582</v>
      </c>
      <c r="F83" s="20" t="n">
        <v>5.15011975</v>
      </c>
      <c r="G83" s="18" t="n">
        <v>52.30602418</v>
      </c>
      <c r="H83" s="20" t="n">
        <v>5.15011975</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(815.0/B84*100)</f>
        <v/>
      </c>
      <c r="D84" s="19" t="n">
        <v>123</v>
      </c>
      <c r="E84" s="18" t="n">
        <v>66.55705934</v>
      </c>
      <c r="F84" s="20" t="n">
        <v>4.53185738</v>
      </c>
      <c r="G84" s="18" t="n">
        <v>33.44294066</v>
      </c>
      <c r="H84" s="20" t="n">
        <v>4.53185738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(6385.0/B7*100)</f>
        <v/>
      </c>
      <c r="D7" s="19" t="n">
        <v>778</v>
      </c>
      <c r="E7" s="18" t="n">
        <v>77.49889632</v>
      </c>
      <c r="F7" s="20" t="n">
        <v>1.61206467</v>
      </c>
      <c r="G7" s="18" t="n">
        <v>21.87410126</v>
      </c>
      <c r="H7" s="20" t="n">
        <v>1.58774081</v>
      </c>
      <c r="I7" s="18" t="n">
        <v>0</v>
      </c>
      <c r="J7" s="20" t="n">
        <v>0</v>
      </c>
      <c r="K7" s="18" t="n">
        <v>0.33940599</v>
      </c>
      <c r="L7" s="20" t="n">
        <v>0.22353283</v>
      </c>
      <c r="M7" s="18" t="n">
        <v>0</v>
      </c>
      <c r="N7" s="20" t="n">
        <v>0</v>
      </c>
      <c r="O7" s="18" t="n">
        <v>0</v>
      </c>
      <c r="P7" s="20" t="n">
        <v>0</v>
      </c>
      <c r="Q7" s="18" t="n">
        <v>0.28759644</v>
      </c>
      <c r="R7" s="20" t="n">
        <v>0.20681409</v>
      </c>
    </row>
    <row r="8" spans="1:18">
      <c r="A8" s="15" t="s">
        <v>566</v>
      </c>
      <c r="B8" s="17" t="n">
        <v>3443</v>
      </c>
      <c r="C8" s="18">
        <f>(3026.0/B8*100)</f>
        <v/>
      </c>
      <c r="D8" s="19" t="n">
        <v>417</v>
      </c>
      <c r="E8" s="18" t="n">
        <v>77.95550583000001</v>
      </c>
      <c r="F8" s="20" t="n">
        <v>2.44734919</v>
      </c>
      <c r="G8" s="18" t="n">
        <v>20.99040196</v>
      </c>
      <c r="H8" s="20" t="n">
        <v>2.39551599</v>
      </c>
      <c r="I8" s="18" t="n">
        <v>0</v>
      </c>
      <c r="J8" s="20" t="n">
        <v>0</v>
      </c>
      <c r="K8" s="18" t="n">
        <v>0</v>
      </c>
      <c r="L8" s="20" t="n">
        <v>0</v>
      </c>
      <c r="M8" s="18" t="n">
        <v>0</v>
      </c>
      <c r="N8" s="20" t="n">
        <v>0</v>
      </c>
      <c r="O8" s="18" t="n">
        <v>0</v>
      </c>
      <c r="P8" s="20" t="n">
        <v>0</v>
      </c>
      <c r="Q8" s="18" t="n">
        <v>1.05409221</v>
      </c>
      <c r="R8" s="20" t="n">
        <v>0.59565375</v>
      </c>
    </row>
    <row r="9" spans="1:18">
      <c r="A9" s="15" t="s">
        <v>567</v>
      </c>
      <c r="B9" s="17" t="n">
        <v>4752</v>
      </c>
      <c r="C9" s="18">
        <f>(4123.0/B9*100)</f>
        <v/>
      </c>
      <c r="D9" s="19" t="n">
        <v>629</v>
      </c>
      <c r="E9" s="18" t="n">
        <v>77.37322293</v>
      </c>
      <c r="F9" s="20" t="n">
        <v>2.01342292</v>
      </c>
      <c r="G9" s="18" t="n">
        <v>20.24245509</v>
      </c>
      <c r="H9" s="20" t="n">
        <v>1.88284061</v>
      </c>
      <c r="I9" s="18" t="n">
        <v>0</v>
      </c>
      <c r="J9" s="20" t="n">
        <v>0</v>
      </c>
      <c r="K9" s="18" t="n">
        <v>0.52737794</v>
      </c>
      <c r="L9" s="20" t="n">
        <v>0.25766028</v>
      </c>
      <c r="M9" s="18" t="n">
        <v>0</v>
      </c>
      <c r="N9" s="20" t="n">
        <v>0</v>
      </c>
      <c r="O9" s="18" t="n">
        <v>0</v>
      </c>
      <c r="P9" s="20" t="n">
        <v>0</v>
      </c>
      <c r="Q9" s="18" t="n">
        <v>1.85694404</v>
      </c>
      <c r="R9" s="20" t="n">
        <v>0.54351943</v>
      </c>
    </row>
    <row r="10" spans="1:18">
      <c r="A10" s="15" t="s">
        <v>568</v>
      </c>
      <c r="B10" s="17" t="n">
        <v>10022</v>
      </c>
      <c r="C10" s="18">
        <f>(8899.0/B10*100)</f>
        <v/>
      </c>
      <c r="D10" s="19" t="n">
        <v>1123</v>
      </c>
      <c r="E10" s="18" t="n">
        <v>65.32924577999999</v>
      </c>
      <c r="F10" s="20" t="n">
        <v>2.23456112</v>
      </c>
      <c r="G10" s="18" t="n">
        <v>34.26609359</v>
      </c>
      <c r="H10" s="20" t="n">
        <v>2.2100584</v>
      </c>
      <c r="I10" s="18" t="n">
        <v>0</v>
      </c>
      <c r="J10" s="20" t="n">
        <v>0</v>
      </c>
      <c r="K10" s="18" t="n">
        <v>0.02816776</v>
      </c>
      <c r="L10" s="20" t="n">
        <v>0.02821065</v>
      </c>
      <c r="M10" s="18" t="n">
        <v>0</v>
      </c>
      <c r="N10" s="20" t="n">
        <v>0</v>
      </c>
      <c r="O10" s="18" t="n">
        <v>0</v>
      </c>
      <c r="P10" s="20" t="n">
        <v>0</v>
      </c>
      <c r="Q10" s="18" t="n">
        <v>0.37649287</v>
      </c>
      <c r="R10" s="20" t="n">
        <v>0.23887226</v>
      </c>
    </row>
    <row r="11" spans="1:18">
      <c r="A11" s="15" t="s">
        <v>569</v>
      </c>
      <c r="B11" s="17" t="n">
        <v>3500</v>
      </c>
      <c r="C11" s="18">
        <f>(3124.0/B11*100)</f>
        <v/>
      </c>
      <c r="D11" s="19" t="n">
        <v>376</v>
      </c>
      <c r="E11" s="18" t="n">
        <v>70.95914055999999</v>
      </c>
      <c r="F11" s="20" t="n">
        <v>2.5936891</v>
      </c>
      <c r="G11" s="18" t="n">
        <v>24.64717554</v>
      </c>
      <c r="H11" s="20" t="n">
        <v>2.52971207</v>
      </c>
      <c r="I11" s="18" t="n">
        <v>0</v>
      </c>
      <c r="J11" s="20" t="n">
        <v>0</v>
      </c>
      <c r="K11" s="18" t="n">
        <v>0.62768762</v>
      </c>
      <c r="L11" s="20" t="n">
        <v>0.44227339</v>
      </c>
      <c r="M11" s="18" t="n">
        <v>0</v>
      </c>
      <c r="N11" s="20" t="n">
        <v>0</v>
      </c>
      <c r="O11" s="18" t="n">
        <v>0</v>
      </c>
      <c r="P11" s="20" t="n">
        <v>0</v>
      </c>
      <c r="Q11" s="18" t="n">
        <v>3.76599629</v>
      </c>
      <c r="R11" s="20" t="n">
        <v>1.09404534</v>
      </c>
    </row>
    <row r="12" spans="1:18">
      <c r="A12" s="15" t="s">
        <v>570</v>
      </c>
      <c r="B12" s="17" t="n">
        <v>3422</v>
      </c>
      <c r="C12" s="18">
        <f>(2999.0/B12*100)</f>
        <v/>
      </c>
      <c r="D12" s="19" t="n">
        <v>423</v>
      </c>
      <c r="E12" s="18" t="n">
        <v>77.7498851</v>
      </c>
      <c r="F12" s="20" t="n">
        <v>2.24769939</v>
      </c>
      <c r="G12" s="18" t="n">
        <v>20.36755308</v>
      </c>
      <c r="H12" s="20" t="n">
        <v>2.11278987</v>
      </c>
      <c r="I12" s="18" t="n">
        <v>0</v>
      </c>
      <c r="J12" s="20" t="n">
        <v>0</v>
      </c>
      <c r="K12" s="18" t="n">
        <v>0.45275354</v>
      </c>
      <c r="L12" s="20" t="n">
        <v>0.46418804</v>
      </c>
      <c r="M12" s="18" t="n">
        <v>0</v>
      </c>
      <c r="N12" s="20" t="n">
        <v>0</v>
      </c>
      <c r="O12" s="18" t="n">
        <v>0</v>
      </c>
      <c r="P12" s="20" t="n">
        <v>0</v>
      </c>
      <c r="Q12" s="18" t="n">
        <v>1.42980828</v>
      </c>
      <c r="R12" s="20" t="n">
        <v>0.93454111</v>
      </c>
    </row>
    <row r="13" spans="1:18">
      <c r="A13" s="15" t="s">
        <v>571</v>
      </c>
      <c r="B13" s="17" t="n">
        <v>3602</v>
      </c>
      <c r="C13" s="18">
        <f>(3087.0/B13*100)</f>
        <v/>
      </c>
      <c r="D13" s="19" t="n">
        <v>515</v>
      </c>
      <c r="E13" s="18" t="n">
        <v>73.03402936000001</v>
      </c>
      <c r="F13" s="20" t="n">
        <v>2.4577518</v>
      </c>
      <c r="G13" s="18" t="n">
        <v>24.63304564</v>
      </c>
      <c r="H13" s="20" t="n">
        <v>2.41546408</v>
      </c>
      <c r="I13" s="18" t="n">
        <v>0</v>
      </c>
      <c r="J13" s="20" t="n">
        <v>0</v>
      </c>
      <c r="K13" s="18" t="n">
        <v>1.13527275</v>
      </c>
      <c r="L13" s="20" t="n">
        <v>0.49120769</v>
      </c>
      <c r="M13" s="18" t="n">
        <v>0</v>
      </c>
      <c r="N13" s="20" t="n">
        <v>0</v>
      </c>
      <c r="O13" s="18" t="n">
        <v>0</v>
      </c>
      <c r="P13" s="20" t="n">
        <v>0</v>
      </c>
      <c r="Q13" s="18" t="n">
        <v>1.19765226</v>
      </c>
      <c r="R13" s="20" t="n">
        <v>0.61341081</v>
      </c>
    </row>
    <row r="14" spans="1:18">
      <c r="A14" s="15" t="s">
        <v>572</v>
      </c>
      <c r="B14" s="17" t="n">
        <v>2788</v>
      </c>
      <c r="C14" s="18">
        <f>(2482.0/B14*100)</f>
        <v/>
      </c>
      <c r="D14" s="19" t="n">
        <v>306</v>
      </c>
      <c r="E14" s="18" t="n">
        <v>72.81547551</v>
      </c>
      <c r="F14" s="20" t="n">
        <v>2.60821802</v>
      </c>
      <c r="G14" s="18" t="n">
        <v>27.18452449</v>
      </c>
      <c r="H14" s="20" t="n">
        <v>2.60821802</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(2543.0/B15*100)</f>
        <v/>
      </c>
      <c r="D15" s="19" t="n">
        <v>320</v>
      </c>
      <c r="E15" s="18" t="n">
        <v>71.81275922</v>
      </c>
      <c r="F15" s="20" t="n">
        <v>2.77056427</v>
      </c>
      <c r="G15" s="18" t="n">
        <v>26.74040325</v>
      </c>
      <c r="H15" s="20" t="n">
        <v>2.65843018</v>
      </c>
      <c r="I15" s="18" t="n">
        <v>0</v>
      </c>
      <c r="J15" s="20" t="n">
        <v>0</v>
      </c>
      <c r="K15" s="18" t="n">
        <v>0.66245097</v>
      </c>
      <c r="L15" s="20" t="n">
        <v>0.6933926500000001</v>
      </c>
      <c r="M15" s="18" t="n">
        <v>0</v>
      </c>
      <c r="N15" s="20" t="n">
        <v>0</v>
      </c>
      <c r="O15" s="18" t="n">
        <v>0</v>
      </c>
      <c r="P15" s="20" t="n">
        <v>0</v>
      </c>
      <c r="Q15" s="18" t="n">
        <v>0.78438656</v>
      </c>
      <c r="R15" s="20" t="n">
        <v>0.5820057</v>
      </c>
    </row>
    <row r="16" spans="1:18">
      <c r="A16" s="15" t="s">
        <v>574</v>
      </c>
      <c r="B16" s="17" t="n">
        <v>3111</v>
      </c>
      <c r="C16" s="18">
        <f>(2767.0/B16*100)</f>
        <v/>
      </c>
      <c r="D16" s="19" t="n">
        <v>344</v>
      </c>
      <c r="E16" s="18" t="n">
        <v>62.15491365</v>
      </c>
      <c r="F16" s="20" t="n">
        <v>2.60515028</v>
      </c>
      <c r="G16" s="18" t="n">
        <v>35.19549389</v>
      </c>
      <c r="H16" s="20" t="n">
        <v>2.46992651</v>
      </c>
      <c r="I16" s="18" t="n">
        <v>0</v>
      </c>
      <c r="J16" s="20" t="n">
        <v>0</v>
      </c>
      <c r="K16" s="18" t="n">
        <v>0.7310845</v>
      </c>
      <c r="L16" s="20" t="n">
        <v>0.86632462</v>
      </c>
      <c r="M16" s="18" t="n">
        <v>0</v>
      </c>
      <c r="N16" s="20" t="n">
        <v>0</v>
      </c>
      <c r="O16" s="18" t="n">
        <v>0</v>
      </c>
      <c r="P16" s="20" t="n">
        <v>0</v>
      </c>
      <c r="Q16" s="18" t="n">
        <v>1.91850796</v>
      </c>
      <c r="R16" s="20" t="n">
        <v>0.81629863</v>
      </c>
    </row>
    <row r="17" spans="1:18">
      <c r="A17" s="15" t="s">
        <v>575</v>
      </c>
      <c r="B17" s="17" t="n">
        <v>3197</v>
      </c>
      <c r="C17" s="18">
        <f>(2789.0/B17*100)</f>
        <v/>
      </c>
      <c r="D17" s="19" t="n">
        <v>408</v>
      </c>
      <c r="E17" s="18" t="n">
        <v>72.22519558</v>
      </c>
      <c r="F17" s="20" t="n">
        <v>2.07274198</v>
      </c>
      <c r="G17" s="18" t="n">
        <v>21.85644602</v>
      </c>
      <c r="H17" s="20" t="n">
        <v>1.82767503</v>
      </c>
      <c r="I17" s="18" t="n">
        <v>0</v>
      </c>
      <c r="J17" s="20" t="n">
        <v>0</v>
      </c>
      <c r="K17" s="18" t="n">
        <v>1.59048525</v>
      </c>
      <c r="L17" s="20" t="n">
        <v>0.8794769</v>
      </c>
      <c r="M17" s="18" t="n">
        <v>0</v>
      </c>
      <c r="N17" s="20" t="n">
        <v>0</v>
      </c>
      <c r="O17" s="18" t="n">
        <v>0</v>
      </c>
      <c r="P17" s="20" t="n">
        <v>0</v>
      </c>
      <c r="Q17" s="18" t="n">
        <v>4.32787316</v>
      </c>
      <c r="R17" s="20" t="n">
        <v>1.33397508</v>
      </c>
    </row>
    <row r="18" spans="1:18">
      <c r="A18" s="15" t="s">
        <v>576</v>
      </c>
      <c r="B18" s="17" t="n">
        <v>2706</v>
      </c>
      <c r="C18" s="18">
        <f>(2408.0/B18*100)</f>
        <v/>
      </c>
      <c r="D18" s="19" t="n">
        <v>298</v>
      </c>
      <c r="E18" s="18" t="n">
        <v>80.84932643</v>
      </c>
      <c r="F18" s="20" t="n">
        <v>2.29915744</v>
      </c>
      <c r="G18" s="18" t="n">
        <v>16.80961531</v>
      </c>
      <c r="H18" s="20" t="n">
        <v>2.13439961</v>
      </c>
      <c r="I18" s="18" t="n">
        <v>0</v>
      </c>
      <c r="J18" s="20" t="n">
        <v>0</v>
      </c>
      <c r="K18" s="18" t="n">
        <v>0.36742774</v>
      </c>
      <c r="L18" s="20" t="n">
        <v>0.29373431</v>
      </c>
      <c r="M18" s="18" t="n">
        <v>0</v>
      </c>
      <c r="N18" s="20" t="n">
        <v>0</v>
      </c>
      <c r="O18" s="18" t="n">
        <v>0</v>
      </c>
      <c r="P18" s="20" t="n">
        <v>0</v>
      </c>
      <c r="Q18" s="18" t="n">
        <v>1.97363052</v>
      </c>
      <c r="R18" s="20" t="n">
        <v>0.9787176</v>
      </c>
    </row>
    <row r="19" spans="1:18">
      <c r="A19" s="15" t="s">
        <v>577</v>
      </c>
      <c r="B19" s="17" t="n">
        <v>2850</v>
      </c>
      <c r="C19" s="18">
        <f>(2503.0/B19*100)</f>
        <v/>
      </c>
      <c r="D19" s="19" t="n">
        <v>347</v>
      </c>
      <c r="E19" s="18" t="n">
        <v>0</v>
      </c>
      <c r="F19" s="20" t="n">
        <v>0</v>
      </c>
      <c r="G19" s="18" t="n">
        <v>0</v>
      </c>
      <c r="H19" s="20" t="n">
        <v>0</v>
      </c>
      <c r="I19" s="18" t="n">
        <v>0</v>
      </c>
      <c r="J19" s="20" t="n">
        <v>0</v>
      </c>
      <c r="K19" s="18" t="n">
        <v>0</v>
      </c>
      <c r="L19" s="20" t="n">
        <v>0</v>
      </c>
      <c r="M19" s="18" t="n">
        <v>100</v>
      </c>
      <c r="N19" s="20" t="n">
        <v>0</v>
      </c>
      <c r="O19" s="18" t="n">
        <v>0</v>
      </c>
      <c r="P19" s="20" t="n">
        <v>0</v>
      </c>
      <c r="Q19" s="18" t="n">
        <v>0</v>
      </c>
      <c r="R19" s="20" t="n">
        <v>0</v>
      </c>
    </row>
    <row r="20" spans="1:18">
      <c r="A20" s="15" t="s">
        <v>578</v>
      </c>
      <c r="B20" s="17" t="n">
        <v>1741</v>
      </c>
      <c r="C20" s="18">
        <f>(1541.0/B20*100)</f>
        <v/>
      </c>
      <c r="D20" s="19" t="n">
        <v>200</v>
      </c>
      <c r="E20" s="18" t="n">
        <v>79.62305721</v>
      </c>
      <c r="F20" s="20" t="n">
        <v>2.86462855</v>
      </c>
      <c r="G20" s="18" t="n">
        <v>18.92145668</v>
      </c>
      <c r="H20" s="20" t="n">
        <v>2.8292195</v>
      </c>
      <c r="I20" s="18" t="n">
        <v>0</v>
      </c>
      <c r="J20" s="20" t="n">
        <v>0</v>
      </c>
      <c r="K20" s="18" t="n">
        <v>0.42891043</v>
      </c>
      <c r="L20" s="20" t="n">
        <v>0.42656658</v>
      </c>
      <c r="M20" s="18" t="n">
        <v>0</v>
      </c>
      <c r="N20" s="20" t="n">
        <v>0</v>
      </c>
      <c r="O20" s="18" t="n">
        <v>0</v>
      </c>
      <c r="P20" s="20" t="n">
        <v>0</v>
      </c>
      <c r="Q20" s="18" t="n">
        <v>1.02657568</v>
      </c>
      <c r="R20" s="20" t="n">
        <v>0.72297285</v>
      </c>
    </row>
    <row r="21" spans="1:18">
      <c r="A21" s="15" t="s">
        <v>579</v>
      </c>
      <c r="B21" s="17" t="n">
        <v>2833</v>
      </c>
      <c r="C21" s="18">
        <f>(2499.0/B21*100)</f>
        <v/>
      </c>
      <c r="D21" s="19" t="n">
        <v>334</v>
      </c>
      <c r="E21" s="18" t="n">
        <v>73.16531258000001</v>
      </c>
      <c r="F21" s="20" t="n">
        <v>2.35101617</v>
      </c>
      <c r="G21" s="18" t="n">
        <v>26.83468742</v>
      </c>
      <c r="H21" s="20" t="n">
        <v>2.35101617</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(3285.0/B22*100)</f>
        <v/>
      </c>
      <c r="D22" s="19" t="n">
        <v>382</v>
      </c>
      <c r="E22" s="18" t="n">
        <v>76.66256049</v>
      </c>
      <c r="F22" s="20" t="n">
        <v>2.86076789</v>
      </c>
      <c r="G22" s="18" t="n">
        <v>21.2875663</v>
      </c>
      <c r="H22" s="20" t="n">
        <v>2.47020529</v>
      </c>
      <c r="I22" s="18" t="n">
        <v>0</v>
      </c>
      <c r="J22" s="20" t="n">
        <v>0</v>
      </c>
      <c r="K22" s="18" t="n">
        <v>0</v>
      </c>
      <c r="L22" s="20" t="n">
        <v>0</v>
      </c>
      <c r="M22" s="18" t="n">
        <v>0</v>
      </c>
      <c r="N22" s="20" t="n">
        <v>0</v>
      </c>
      <c r="O22" s="18" t="n">
        <v>0</v>
      </c>
      <c r="P22" s="20" t="n">
        <v>0</v>
      </c>
      <c r="Q22" s="18" t="n">
        <v>2.04987321</v>
      </c>
      <c r="R22" s="20" t="n">
        <v>1.01540408</v>
      </c>
    </row>
    <row r="23" spans="1:18">
      <c r="A23" s="15" t="s">
        <v>581</v>
      </c>
      <c r="B23" s="17" t="n">
        <v>5792</v>
      </c>
      <c r="C23" s="18">
        <f>(5168.0/B23*100)</f>
        <v/>
      </c>
      <c r="D23" s="19" t="n">
        <v>624</v>
      </c>
      <c r="E23" s="18" t="n">
        <v>67.64100390999999</v>
      </c>
      <c r="F23" s="20" t="n">
        <v>2.68523921</v>
      </c>
      <c r="G23" s="18" t="n">
        <v>30.50522205</v>
      </c>
      <c r="H23" s="20" t="n">
        <v>2.70823268</v>
      </c>
      <c r="I23" s="18" t="n">
        <v>0</v>
      </c>
      <c r="J23" s="20" t="n">
        <v>0</v>
      </c>
      <c r="K23" s="18" t="n">
        <v>0.64848045</v>
      </c>
      <c r="L23" s="20" t="n">
        <v>0.52666605</v>
      </c>
      <c r="M23" s="18" t="n">
        <v>0</v>
      </c>
      <c r="N23" s="20" t="n">
        <v>0</v>
      </c>
      <c r="O23" s="18" t="n">
        <v>0</v>
      </c>
      <c r="P23" s="20" t="n">
        <v>0</v>
      </c>
      <c r="Q23" s="18" t="n">
        <v>1.20529359</v>
      </c>
      <c r="R23" s="20" t="n">
        <v>0.68675587</v>
      </c>
    </row>
    <row r="24" spans="1:18">
      <c r="A24" s="15" t="s">
        <v>582</v>
      </c>
      <c r="B24" s="17" t="n">
        <v>3309</v>
      </c>
      <c r="C24" s="18">
        <f>(2925.0/B24*100)</f>
        <v/>
      </c>
      <c r="D24" s="19" t="n">
        <v>384</v>
      </c>
      <c r="E24" s="18" t="n">
        <v>45.53524869</v>
      </c>
      <c r="F24" s="20" t="n">
        <v>2.69182302</v>
      </c>
      <c r="G24" s="18" t="n">
        <v>54.46475131</v>
      </c>
      <c r="H24" s="20" t="n">
        <v>2.69182302</v>
      </c>
      <c r="I24" s="18" t="n">
        <v>0</v>
      </c>
      <c r="J24" s="20" t="n">
        <v>0</v>
      </c>
      <c r="K24" s="18" t="n">
        <v>0</v>
      </c>
      <c r="L24" s="20" t="n">
        <v>0</v>
      </c>
      <c r="M24" s="18" t="n">
        <v>0</v>
      </c>
      <c r="N24" s="20" t="n">
        <v>0</v>
      </c>
      <c r="O24" s="18" t="n">
        <v>0</v>
      </c>
      <c r="P24" s="20" t="n">
        <v>0</v>
      </c>
      <c r="Q24" s="18" t="n">
        <v>0</v>
      </c>
      <c r="R24" s="20" t="n">
        <v>0</v>
      </c>
    </row>
    <row r="25" spans="1:18">
      <c r="A25" s="15" t="s">
        <v>583</v>
      </c>
      <c r="B25" s="17" t="n">
        <v>2669</v>
      </c>
      <c r="C25" s="18">
        <f>(2365.0/B25*100)</f>
        <v/>
      </c>
      <c r="D25" s="19" t="n">
        <v>304</v>
      </c>
      <c r="E25" s="18" t="n">
        <v>75.42443532999999</v>
      </c>
      <c r="F25" s="20" t="n">
        <v>2.89764464</v>
      </c>
      <c r="G25" s="18" t="n">
        <v>23.63927517</v>
      </c>
      <c r="H25" s="20" t="n">
        <v>2.75801691</v>
      </c>
      <c r="I25" s="18" t="n">
        <v>0</v>
      </c>
      <c r="J25" s="20" t="n">
        <v>0</v>
      </c>
      <c r="K25" s="18" t="n">
        <v>0</v>
      </c>
      <c r="L25" s="20" t="n">
        <v>0</v>
      </c>
      <c r="M25" s="18" t="n">
        <v>0</v>
      </c>
      <c r="N25" s="20" t="n">
        <v>0</v>
      </c>
      <c r="O25" s="18" t="n">
        <v>0</v>
      </c>
      <c r="P25" s="20" t="n">
        <v>0</v>
      </c>
      <c r="Q25" s="18" t="n">
        <v>0.9362894899999999</v>
      </c>
      <c r="R25" s="20" t="n">
        <v>0.6206861299999999</v>
      </c>
    </row>
    <row r="26" spans="1:18">
      <c r="A26" s="15" t="s">
        <v>584</v>
      </c>
      <c r="B26" s="17" t="n">
        <v>2419</v>
      </c>
      <c r="C26" s="18">
        <f>(2149.0/B26*100)</f>
        <v/>
      </c>
      <c r="D26" s="19" t="n">
        <v>270</v>
      </c>
      <c r="E26" s="18" t="n">
        <v>78.65965696000001</v>
      </c>
      <c r="F26" s="20" t="n">
        <v>2.99685886</v>
      </c>
      <c r="G26" s="18" t="n">
        <v>20.58039837</v>
      </c>
      <c r="H26" s="20" t="n">
        <v>2.95510434</v>
      </c>
      <c r="I26" s="18" t="n">
        <v>0</v>
      </c>
      <c r="J26" s="20" t="n">
        <v>0</v>
      </c>
      <c r="K26" s="18" t="n">
        <v>0</v>
      </c>
      <c r="L26" s="20" t="n">
        <v>0</v>
      </c>
      <c r="M26" s="18" t="n">
        <v>0</v>
      </c>
      <c r="N26" s="20" t="n">
        <v>0</v>
      </c>
      <c r="O26" s="18" t="n">
        <v>0</v>
      </c>
      <c r="P26" s="20" t="n">
        <v>0</v>
      </c>
      <c r="Q26" s="18" t="n">
        <v>0.75994467</v>
      </c>
      <c r="R26" s="20" t="n">
        <v>0.52441022</v>
      </c>
    </row>
    <row r="27" spans="1:18">
      <c r="A27" s="15" t="s">
        <v>585</v>
      </c>
      <c r="B27" s="17" t="n">
        <v>2683</v>
      </c>
      <c r="C27" s="18">
        <f>(2407.0/B27*100)</f>
        <v/>
      </c>
      <c r="D27" s="19" t="n">
        <v>276</v>
      </c>
      <c r="E27" s="18" t="n">
        <v>77.42690773</v>
      </c>
      <c r="F27" s="20" t="n">
        <v>2.66612415</v>
      </c>
      <c r="G27" s="18" t="n">
        <v>21.11612806</v>
      </c>
      <c r="H27" s="20" t="n">
        <v>2.55405078</v>
      </c>
      <c r="I27" s="18" t="n">
        <v>0</v>
      </c>
      <c r="J27" s="20" t="n">
        <v>0</v>
      </c>
      <c r="K27" s="18" t="n">
        <v>0</v>
      </c>
      <c r="L27" s="20" t="n">
        <v>0</v>
      </c>
      <c r="M27" s="18" t="n">
        <v>0</v>
      </c>
      <c r="N27" s="20" t="n">
        <v>0</v>
      </c>
      <c r="O27" s="18" t="n">
        <v>0</v>
      </c>
      <c r="P27" s="20" t="n">
        <v>0</v>
      </c>
      <c r="Q27" s="18" t="n">
        <v>1.45696421</v>
      </c>
      <c r="R27" s="20" t="n">
        <v>0.73327212</v>
      </c>
    </row>
    <row r="28" spans="1:18">
      <c r="A28" s="15" t="s">
        <v>586</v>
      </c>
      <c r="B28" s="17" t="n">
        <v>3803</v>
      </c>
      <c r="C28" s="18">
        <f>(3408.0/B28*100)</f>
        <v/>
      </c>
      <c r="D28" s="19" t="n">
        <v>395</v>
      </c>
      <c r="E28" s="18" t="n">
        <v>80.02287479</v>
      </c>
      <c r="F28" s="20" t="n">
        <v>2.49450137</v>
      </c>
      <c r="G28" s="18" t="n">
        <v>17.98334164</v>
      </c>
      <c r="H28" s="20" t="n">
        <v>2.49381272</v>
      </c>
      <c r="I28" s="18" t="n">
        <v>0</v>
      </c>
      <c r="J28" s="20" t="n">
        <v>0</v>
      </c>
      <c r="K28" s="18" t="n">
        <v>1.29352787</v>
      </c>
      <c r="L28" s="20" t="n">
        <v>0.76017172</v>
      </c>
      <c r="M28" s="18" t="n">
        <v>0</v>
      </c>
      <c r="N28" s="20" t="n">
        <v>0</v>
      </c>
      <c r="O28" s="18" t="n">
        <v>0</v>
      </c>
      <c r="P28" s="20" t="n">
        <v>0</v>
      </c>
      <c r="Q28" s="18" t="n">
        <v>0.7002557</v>
      </c>
      <c r="R28" s="20" t="n">
        <v>0.39825907</v>
      </c>
    </row>
    <row r="29" spans="1:18">
      <c r="A29" s="15" t="s">
        <v>587</v>
      </c>
      <c r="B29" s="17" t="n">
        <v>2700</v>
      </c>
      <c r="C29" s="18">
        <f>(2348.0/B29*100)</f>
        <v/>
      </c>
      <c r="D29" s="19" t="n">
        <v>352</v>
      </c>
      <c r="E29" s="18" t="n">
        <v>61.60816865</v>
      </c>
      <c r="F29" s="20" t="n">
        <v>2.90395825</v>
      </c>
      <c r="G29" s="18" t="n">
        <v>37.01862646</v>
      </c>
      <c r="H29" s="20" t="n">
        <v>3.02270594</v>
      </c>
      <c r="I29" s="18" t="n">
        <v>0</v>
      </c>
      <c r="J29" s="20" t="n">
        <v>0</v>
      </c>
      <c r="K29" s="18" t="n">
        <v>0.82245114</v>
      </c>
      <c r="L29" s="20" t="n">
        <v>0.35755229</v>
      </c>
      <c r="M29" s="18" t="n">
        <v>0</v>
      </c>
      <c r="N29" s="20" t="n">
        <v>0</v>
      </c>
      <c r="O29" s="18" t="n">
        <v>0</v>
      </c>
      <c r="P29" s="20" t="n">
        <v>0</v>
      </c>
      <c r="Q29" s="18" t="n">
        <v>0.55075375</v>
      </c>
      <c r="R29" s="20" t="n">
        <v>0.41197839</v>
      </c>
    </row>
    <row r="30" spans="1:18">
      <c r="A30" s="15" t="s">
        <v>588</v>
      </c>
      <c r="B30" s="17" t="n">
        <v>2257</v>
      </c>
      <c r="C30" s="18">
        <f>(1996.0/B30*100)</f>
        <v/>
      </c>
      <c r="D30" s="19" t="n">
        <v>261</v>
      </c>
      <c r="E30" s="18" t="n">
        <v>71.51925679</v>
      </c>
      <c r="F30" s="20" t="n">
        <v>3.51559366</v>
      </c>
      <c r="G30" s="18" t="n">
        <v>28.48074321</v>
      </c>
      <c r="H30" s="20" t="n">
        <v>3.51559366</v>
      </c>
      <c r="I30" s="18" t="n">
        <v>0</v>
      </c>
      <c r="J30" s="20" t="n">
        <v>0</v>
      </c>
      <c r="K30" s="18" t="n">
        <v>0</v>
      </c>
      <c r="L30" s="20" t="n">
        <v>0</v>
      </c>
      <c r="M30" s="18" t="n">
        <v>0</v>
      </c>
      <c r="N30" s="20" t="n">
        <v>0</v>
      </c>
      <c r="O30" s="18" t="n">
        <v>0</v>
      </c>
      <c r="P30" s="20" t="n">
        <v>0</v>
      </c>
      <c r="Q30" s="18" t="n">
        <v>0</v>
      </c>
      <c r="R30" s="20" t="n">
        <v>0</v>
      </c>
    </row>
    <row r="31" spans="1:18">
      <c r="A31" s="15" t="s">
        <v>589</v>
      </c>
      <c r="B31" s="17" t="n">
        <v>2706</v>
      </c>
      <c r="C31" s="18">
        <f>(2424.0/B31*100)</f>
        <v/>
      </c>
      <c r="D31" s="19" t="n">
        <v>282</v>
      </c>
      <c r="E31" s="18" t="n">
        <v>77.64949867</v>
      </c>
      <c r="F31" s="20" t="n">
        <v>2.37810134</v>
      </c>
      <c r="G31" s="18" t="n">
        <v>21.66261331</v>
      </c>
      <c r="H31" s="20" t="n">
        <v>2.34164967</v>
      </c>
      <c r="I31" s="18" t="n">
        <v>0</v>
      </c>
      <c r="J31" s="20" t="n">
        <v>0</v>
      </c>
      <c r="K31" s="18" t="n">
        <v>0</v>
      </c>
      <c r="L31" s="20" t="n">
        <v>0</v>
      </c>
      <c r="M31" s="18" t="n">
        <v>0</v>
      </c>
      <c r="N31" s="20" t="n">
        <v>0</v>
      </c>
      <c r="O31" s="18" t="n">
        <v>0</v>
      </c>
      <c r="P31" s="20" t="n">
        <v>0</v>
      </c>
      <c r="Q31" s="18" t="n">
        <v>0.68788802</v>
      </c>
      <c r="R31" s="20" t="n">
        <v>0.50065951</v>
      </c>
    </row>
    <row r="32" spans="1:18">
      <c r="A32" s="15" t="s">
        <v>590</v>
      </c>
      <c r="B32" s="17" t="n">
        <v>2209</v>
      </c>
      <c r="C32" s="18">
        <f>(1952.0/B32*100)</f>
        <v/>
      </c>
      <c r="D32" s="19" t="n">
        <v>257</v>
      </c>
      <c r="E32" s="18" t="n">
        <v>74.05569894</v>
      </c>
      <c r="F32" s="20" t="n">
        <v>2.91102195</v>
      </c>
      <c r="G32" s="18" t="n">
        <v>25.26549341</v>
      </c>
      <c r="H32" s="20" t="n">
        <v>2.91968719</v>
      </c>
      <c r="I32" s="18" t="n">
        <v>0</v>
      </c>
      <c r="J32" s="20" t="n">
        <v>0</v>
      </c>
      <c r="K32" s="18" t="n">
        <v>0</v>
      </c>
      <c r="L32" s="20" t="n">
        <v>0</v>
      </c>
      <c r="M32" s="18" t="n">
        <v>0</v>
      </c>
      <c r="N32" s="20" t="n">
        <v>0</v>
      </c>
      <c r="O32" s="18" t="n">
        <v>0</v>
      </c>
      <c r="P32" s="20" t="n">
        <v>0</v>
      </c>
      <c r="Q32" s="18" t="n">
        <v>0.67880765</v>
      </c>
      <c r="R32" s="20" t="n">
        <v>0.48138871</v>
      </c>
    </row>
    <row r="33" spans="1:18">
      <c r="A33" s="15" t="s">
        <v>591</v>
      </c>
      <c r="B33" s="17" t="n">
        <v>3651</v>
      </c>
      <c r="C33" s="18">
        <f>(3243.0/B33*100)</f>
        <v/>
      </c>
      <c r="D33" s="19" t="n">
        <v>408</v>
      </c>
      <c r="E33" s="18" t="n">
        <v>82.24231854999999</v>
      </c>
      <c r="F33" s="20" t="n">
        <v>2.27554829</v>
      </c>
      <c r="G33" s="18" t="n">
        <v>16.99411222</v>
      </c>
      <c r="H33" s="20" t="n">
        <v>2.38185084</v>
      </c>
      <c r="I33" s="18" t="n">
        <v>0</v>
      </c>
      <c r="J33" s="20" t="n">
        <v>0</v>
      </c>
      <c r="K33" s="18" t="n">
        <v>0</v>
      </c>
      <c r="L33" s="20" t="n">
        <v>0</v>
      </c>
      <c r="M33" s="18" t="n">
        <v>0</v>
      </c>
      <c r="N33" s="20" t="n">
        <v>0</v>
      </c>
      <c r="O33" s="18" t="n">
        <v>0</v>
      </c>
      <c r="P33" s="20" t="n">
        <v>0</v>
      </c>
      <c r="Q33" s="18" t="n">
        <v>0.76356922</v>
      </c>
      <c r="R33" s="20" t="n">
        <v>0.35883125</v>
      </c>
    </row>
    <row r="34" spans="1:18">
      <c r="A34" s="15" t="s">
        <v>592</v>
      </c>
      <c r="B34" s="17" t="n">
        <v>3035</v>
      </c>
      <c r="C34" s="18">
        <f>(2640.0/B34*100)</f>
        <v/>
      </c>
      <c r="D34" s="19" t="n">
        <v>395</v>
      </c>
      <c r="E34" s="18" t="n">
        <v>75.15711523</v>
      </c>
      <c r="F34" s="20" t="n">
        <v>2.60848971</v>
      </c>
      <c r="G34" s="18" t="n">
        <v>23.90758117</v>
      </c>
      <c r="H34" s="20" t="n">
        <v>2.5110216</v>
      </c>
      <c r="I34" s="18" t="n">
        <v>0</v>
      </c>
      <c r="J34" s="20" t="n">
        <v>0</v>
      </c>
      <c r="K34" s="18" t="n">
        <v>0.30332538</v>
      </c>
      <c r="L34" s="20" t="n">
        <v>0.29950774</v>
      </c>
      <c r="M34" s="18" t="n">
        <v>0</v>
      </c>
      <c r="N34" s="20" t="n">
        <v>0</v>
      </c>
      <c r="O34" s="18" t="n">
        <v>0</v>
      </c>
      <c r="P34" s="20" t="n">
        <v>0</v>
      </c>
      <c r="Q34" s="18" t="n">
        <v>0.63197823</v>
      </c>
      <c r="R34" s="20" t="n">
        <v>0.46479253</v>
      </c>
    </row>
    <row r="35" spans="1:18">
      <c r="A35" s="15" t="s">
        <v>593</v>
      </c>
      <c r="B35" s="17" t="n">
        <v>2901</v>
      </c>
      <c r="C35" s="18">
        <f>(2533.0/B35*100)</f>
        <v/>
      </c>
      <c r="D35" s="19" t="n">
        <v>368</v>
      </c>
      <c r="E35" s="18" t="n">
        <v>57.20941348</v>
      </c>
      <c r="F35" s="20" t="n">
        <v>3.22918967</v>
      </c>
      <c r="G35" s="18" t="n">
        <v>42.10859026</v>
      </c>
      <c r="H35" s="20" t="n">
        <v>3.17570711</v>
      </c>
      <c r="I35" s="18" t="n">
        <v>0</v>
      </c>
      <c r="J35" s="20" t="n">
        <v>0</v>
      </c>
      <c r="K35" s="18" t="n">
        <v>0.15799677</v>
      </c>
      <c r="L35" s="20" t="n">
        <v>0.15820519</v>
      </c>
      <c r="M35" s="18" t="n">
        <v>0</v>
      </c>
      <c r="N35" s="20" t="n">
        <v>0</v>
      </c>
      <c r="O35" s="18" t="n">
        <v>0</v>
      </c>
      <c r="P35" s="20" t="n">
        <v>0</v>
      </c>
      <c r="Q35" s="18" t="n">
        <v>0.52399949</v>
      </c>
      <c r="R35" s="20" t="n">
        <v>0.2651894</v>
      </c>
    </row>
    <row r="36" spans="1:18">
      <c r="A36" s="15" t="s">
        <v>594</v>
      </c>
      <c r="B36" s="17" t="n">
        <v>3404</v>
      </c>
      <c r="C36" s="18">
        <f>(3061.0/B36*100)</f>
        <v/>
      </c>
      <c r="D36" s="19" t="n">
        <v>343</v>
      </c>
      <c r="E36" s="18" t="n">
        <v>70.08163709</v>
      </c>
      <c r="F36" s="20" t="n">
        <v>2.43378569</v>
      </c>
      <c r="G36" s="18" t="n">
        <v>29.91836291</v>
      </c>
      <c r="H36" s="20" t="n">
        <v>2.43378569</v>
      </c>
      <c r="I36" s="18" t="n">
        <v>0</v>
      </c>
      <c r="J36" s="20" t="n">
        <v>0</v>
      </c>
      <c r="K36" s="18" t="n">
        <v>0</v>
      </c>
      <c r="L36" s="20" t="n">
        <v>0</v>
      </c>
      <c r="M36" s="18" t="n">
        <v>0</v>
      </c>
      <c r="N36" s="20" t="n">
        <v>0</v>
      </c>
      <c r="O36" s="18" t="n">
        <v>0</v>
      </c>
      <c r="P36" s="20" t="n">
        <v>0</v>
      </c>
      <c r="Q36" s="18" t="n">
        <v>0</v>
      </c>
      <c r="R36" s="20" t="n">
        <v>0</v>
      </c>
    </row>
    <row r="37" spans="1:18">
      <c r="A37" s="15" t="s">
        <v>595</v>
      </c>
      <c r="B37" s="17" t="n">
        <v>2731</v>
      </c>
      <c r="C37" s="18">
        <f>(2410.0/B37*100)</f>
        <v/>
      </c>
      <c r="D37" s="19" t="n">
        <v>321</v>
      </c>
      <c r="E37" s="18" t="n">
        <v>75.97725010000001</v>
      </c>
      <c r="F37" s="20" t="n">
        <v>2.45930643</v>
      </c>
      <c r="G37" s="18" t="n">
        <v>22.91028834</v>
      </c>
      <c r="H37" s="20" t="n">
        <v>2.44441917</v>
      </c>
      <c r="I37" s="18" t="n">
        <v>0</v>
      </c>
      <c r="J37" s="20" t="n">
        <v>0</v>
      </c>
      <c r="K37" s="18" t="n">
        <v>0</v>
      </c>
      <c r="L37" s="20" t="n">
        <v>0</v>
      </c>
      <c r="M37" s="18" t="n">
        <v>0</v>
      </c>
      <c r="N37" s="20" t="n">
        <v>0</v>
      </c>
      <c r="O37" s="18" t="n">
        <v>0</v>
      </c>
      <c r="P37" s="20" t="n">
        <v>0</v>
      </c>
      <c r="Q37" s="18" t="n">
        <v>1.11246155</v>
      </c>
      <c r="R37" s="20" t="n">
        <v>0.55668898</v>
      </c>
    </row>
    <row r="38" spans="1:18">
      <c r="A38" s="15" t="s">
        <v>596</v>
      </c>
      <c r="B38" s="17" t="n">
        <v>2807</v>
      </c>
      <c r="C38" s="18">
        <f>(2515.0/B38*100)</f>
        <v/>
      </c>
      <c r="D38" s="19" t="n">
        <v>292</v>
      </c>
      <c r="E38" s="18" t="n">
        <v>79.14439802</v>
      </c>
      <c r="F38" s="20" t="n">
        <v>2.76510807</v>
      </c>
      <c r="G38" s="18" t="n">
        <v>19.76935512</v>
      </c>
      <c r="H38" s="20" t="n">
        <v>2.79122121</v>
      </c>
      <c r="I38" s="18" t="n">
        <v>0</v>
      </c>
      <c r="J38" s="20" t="n">
        <v>0</v>
      </c>
      <c r="K38" s="18" t="n">
        <v>0</v>
      </c>
      <c r="L38" s="20" t="n">
        <v>0</v>
      </c>
      <c r="M38" s="18" t="n">
        <v>0</v>
      </c>
      <c r="N38" s="20" t="n">
        <v>0</v>
      </c>
      <c r="O38" s="18" t="n">
        <v>0</v>
      </c>
      <c r="P38" s="20" t="n">
        <v>0</v>
      </c>
      <c r="Q38" s="18" t="n">
        <v>1.08624687</v>
      </c>
      <c r="R38" s="20" t="n">
        <v>0.6526753199999999</v>
      </c>
    </row>
    <row r="39" spans="1:18">
      <c r="A39" s="15" t="s">
        <v>597</v>
      </c>
      <c r="B39" s="17" t="n">
        <v>2938</v>
      </c>
      <c r="C39" s="18">
        <f>(2634.0/B39*100)</f>
        <v/>
      </c>
      <c r="D39" s="19" t="n">
        <v>304</v>
      </c>
      <c r="E39" s="18" t="n">
        <v>69.74823034000001</v>
      </c>
      <c r="F39" s="20" t="n">
        <v>3.08306243</v>
      </c>
      <c r="G39" s="18" t="n">
        <v>28.07265221</v>
      </c>
      <c r="H39" s="20" t="n">
        <v>2.75093009</v>
      </c>
      <c r="I39" s="18" t="n">
        <v>0</v>
      </c>
      <c r="J39" s="20" t="n">
        <v>0</v>
      </c>
      <c r="K39" s="18" t="n">
        <v>1.33665559</v>
      </c>
      <c r="L39" s="20" t="n">
        <v>1.26076665</v>
      </c>
      <c r="M39" s="18" t="n">
        <v>0</v>
      </c>
      <c r="N39" s="20" t="n">
        <v>0</v>
      </c>
      <c r="O39" s="18" t="n">
        <v>0</v>
      </c>
      <c r="P39" s="20" t="n">
        <v>0</v>
      </c>
      <c r="Q39" s="18" t="n">
        <v>0.84246186</v>
      </c>
      <c r="R39" s="20" t="n">
        <v>0.5622338099999999</v>
      </c>
    </row>
    <row r="40" spans="1:18">
      <c r="A40" s="15" t="s">
        <v>598</v>
      </c>
      <c r="B40" s="17" t="n">
        <v>6922</v>
      </c>
      <c r="C40" s="18">
        <f>(6151.0/B40*100)</f>
        <v/>
      </c>
      <c r="D40" s="19" t="n">
        <v>771</v>
      </c>
      <c r="E40" s="18" t="n">
        <v>67.10217101000001</v>
      </c>
      <c r="F40" s="20" t="n">
        <v>2.4784753</v>
      </c>
      <c r="G40" s="18" t="n">
        <v>30.40134858</v>
      </c>
      <c r="H40" s="20" t="n">
        <v>2.58009956</v>
      </c>
      <c r="I40" s="18" t="n">
        <v>0</v>
      </c>
      <c r="J40" s="20" t="n">
        <v>0</v>
      </c>
      <c r="K40" s="18" t="n">
        <v>0.46272687</v>
      </c>
      <c r="L40" s="20" t="n">
        <v>0.40546434</v>
      </c>
      <c r="M40" s="18" t="n">
        <v>0</v>
      </c>
      <c r="N40" s="20" t="n">
        <v>0</v>
      </c>
      <c r="O40" s="18" t="n">
        <v>0</v>
      </c>
      <c r="P40" s="20" t="n">
        <v>0</v>
      </c>
      <c r="Q40" s="18" t="n">
        <v>2.03375354</v>
      </c>
      <c r="R40" s="20" t="n">
        <v>0.80991255</v>
      </c>
    </row>
    <row r="41" spans="1:18">
      <c r="A41" s="15" t="s">
        <v>599</v>
      </c>
      <c r="B41" s="17" t="n">
        <v>2854</v>
      </c>
      <c r="C41" s="18">
        <f>(2528.0/B41*100)</f>
        <v/>
      </c>
      <c r="D41" s="19" t="n">
        <v>326</v>
      </c>
      <c r="E41" s="18" t="n">
        <v>76.21200431</v>
      </c>
      <c r="F41" s="20" t="n">
        <v>2.45538205</v>
      </c>
      <c r="G41" s="18" t="n">
        <v>23.78799569</v>
      </c>
      <c r="H41" s="20" t="n">
        <v>2.45538205</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(10920.0/B46*100)</f>
        <v/>
      </c>
      <c r="D46" s="19" t="n">
        <v>1153</v>
      </c>
      <c r="E46" s="18" t="n">
        <v>76.08328276</v>
      </c>
      <c r="F46" s="20" t="n">
        <v>2.02886869</v>
      </c>
      <c r="G46" s="18" t="n">
        <v>20.27676266</v>
      </c>
      <c r="H46" s="20" t="n">
        <v>1.99654774</v>
      </c>
      <c r="I46" s="18" t="n">
        <v>0</v>
      </c>
      <c r="J46" s="20" t="n">
        <v>0</v>
      </c>
      <c r="K46" s="18" t="n">
        <v>1.18253428</v>
      </c>
      <c r="L46" s="20" t="n">
        <v>0.40985821</v>
      </c>
      <c r="M46" s="18" t="n">
        <v>0</v>
      </c>
      <c r="N46" s="20" t="n">
        <v>0</v>
      </c>
      <c r="O46" s="18" t="n">
        <v>0</v>
      </c>
      <c r="P46" s="20" t="n">
        <v>0</v>
      </c>
      <c r="Q46" s="18" t="n">
        <v>2.4574203</v>
      </c>
      <c r="R46" s="20" t="n">
        <v>0.60097403</v>
      </c>
    </row>
    <row r="47" spans="1:18">
      <c r="A47" s="15" t="s">
        <v>606</v>
      </c>
      <c r="B47" s="17" t="n">
        <v>2823</v>
      </c>
      <c r="C47" s="18">
        <f>(2527.0/B47*100)</f>
        <v/>
      </c>
      <c r="D47" s="19" t="n">
        <v>296</v>
      </c>
      <c r="E47" s="18" t="n">
        <v>75.35032731</v>
      </c>
      <c r="F47" s="20" t="n">
        <v>2.61018166</v>
      </c>
      <c r="G47" s="18" t="n">
        <v>22.59613557</v>
      </c>
      <c r="H47" s="20" t="n">
        <v>2.53221987</v>
      </c>
      <c r="I47" s="18" t="n">
        <v>0</v>
      </c>
      <c r="J47" s="20" t="n">
        <v>0</v>
      </c>
      <c r="K47" s="18" t="n">
        <v>0.69637951</v>
      </c>
      <c r="L47" s="20" t="n">
        <v>0.4900454</v>
      </c>
      <c r="M47" s="18" t="n">
        <v>0</v>
      </c>
      <c r="N47" s="20" t="n">
        <v>0</v>
      </c>
      <c r="O47" s="18" t="n">
        <v>0</v>
      </c>
      <c r="P47" s="20" t="n">
        <v>0</v>
      </c>
      <c r="Q47" s="18" t="n">
        <v>1.35715761</v>
      </c>
      <c r="R47" s="20" t="n">
        <v>0.7175309600000001</v>
      </c>
    </row>
    <row r="48" spans="1:18">
      <c r="A48" s="15" t="s">
        <v>607</v>
      </c>
      <c r="B48" s="17" t="n">
        <v>4682</v>
      </c>
      <c r="C48" s="18">
        <f>(4157.0/B48*100)</f>
        <v/>
      </c>
      <c r="D48" s="19" t="n">
        <v>525</v>
      </c>
      <c r="E48" s="18" t="n">
        <v>57.90909905</v>
      </c>
      <c r="F48" s="20" t="n">
        <v>3.19360587</v>
      </c>
      <c r="G48" s="18" t="n">
        <v>40.56086701</v>
      </c>
      <c r="H48" s="20" t="n">
        <v>3.1911457</v>
      </c>
      <c r="I48" s="18" t="n">
        <v>0</v>
      </c>
      <c r="J48" s="20" t="n">
        <v>0</v>
      </c>
      <c r="K48" s="18" t="n">
        <v>1.2004235</v>
      </c>
      <c r="L48" s="20" t="n">
        <v>0.37005631</v>
      </c>
      <c r="M48" s="18" t="n">
        <v>0</v>
      </c>
      <c r="N48" s="20" t="n">
        <v>0</v>
      </c>
      <c r="O48" s="18" t="n">
        <v>0</v>
      </c>
      <c r="P48" s="20" t="n">
        <v>0</v>
      </c>
      <c r="Q48" s="18" t="n">
        <v>0.32961044</v>
      </c>
      <c r="R48" s="20" t="n">
        <v>0.32849009</v>
      </c>
    </row>
    <row r="49" spans="1:18">
      <c r="A49" s="15" t="s">
        <v>608</v>
      </c>
      <c r="B49" s="17" t="n">
        <v>6158</v>
      </c>
      <c r="C49" s="18">
        <f>(5467.0/B49*100)</f>
        <v/>
      </c>
      <c r="D49" s="19" t="n">
        <v>691</v>
      </c>
      <c r="E49" s="18" t="n">
        <v>64.83371588999999</v>
      </c>
      <c r="F49" s="20" t="n">
        <v>2.10423406</v>
      </c>
      <c r="G49" s="18" t="n">
        <v>32.99991763</v>
      </c>
      <c r="H49" s="20" t="n">
        <v>2.03525493</v>
      </c>
      <c r="I49" s="18" t="n">
        <v>0</v>
      </c>
      <c r="J49" s="20" t="n">
        <v>0</v>
      </c>
      <c r="K49" s="18" t="n">
        <v>0.52467377</v>
      </c>
      <c r="L49" s="20" t="n">
        <v>0.27213112</v>
      </c>
      <c r="M49" s="18" t="n">
        <v>0</v>
      </c>
      <c r="N49" s="20" t="n">
        <v>0</v>
      </c>
      <c r="O49" s="18" t="n">
        <v>0</v>
      </c>
      <c r="P49" s="20" t="n">
        <v>0</v>
      </c>
      <c r="Q49" s="18" t="n">
        <v>1.64169271</v>
      </c>
      <c r="R49" s="20" t="n">
        <v>0.66610979</v>
      </c>
    </row>
    <row r="50" spans="1:18">
      <c r="A50" s="15" t="s">
        <v>609</v>
      </c>
      <c r="B50" s="17" t="n">
        <v>3494</v>
      </c>
      <c r="C50" s="18">
        <f>(2812.0/B50*100)</f>
        <v/>
      </c>
      <c r="D50" s="19" t="n">
        <v>682</v>
      </c>
      <c r="E50" s="18" t="n">
        <v>64.13163845</v>
      </c>
      <c r="F50" s="20" t="n">
        <v>1.89232271</v>
      </c>
      <c r="G50" s="18" t="n">
        <v>34.63921964</v>
      </c>
      <c r="H50" s="20" t="n">
        <v>1.9045192</v>
      </c>
      <c r="I50" s="18" t="n">
        <v>0</v>
      </c>
      <c r="J50" s="20" t="n">
        <v>0</v>
      </c>
      <c r="K50" s="18" t="n">
        <v>0</v>
      </c>
      <c r="L50" s="20" t="n">
        <v>0</v>
      </c>
      <c r="M50" s="18" t="n">
        <v>0</v>
      </c>
      <c r="N50" s="20" t="n">
        <v>0</v>
      </c>
      <c r="O50" s="18" t="n">
        <v>0</v>
      </c>
      <c r="P50" s="20" t="n">
        <v>0</v>
      </c>
      <c r="Q50" s="18" t="n">
        <v>1.22914191</v>
      </c>
      <c r="R50" s="20" t="n">
        <v>0.41227563</v>
      </c>
    </row>
    <row r="51" spans="1:18">
      <c r="A51" s="15" t="s">
        <v>610</v>
      </c>
      <c r="B51" s="17" t="n">
        <v>3013</v>
      </c>
      <c r="C51" s="18">
        <f>(2675.0/B51*100)</f>
        <v/>
      </c>
      <c r="D51" s="19" t="n">
        <v>338</v>
      </c>
      <c r="E51" s="18" t="n">
        <v>65.95279682</v>
      </c>
      <c r="F51" s="20" t="n">
        <v>2.69675908</v>
      </c>
      <c r="G51" s="18" t="n">
        <v>34.04720318</v>
      </c>
      <c r="H51" s="20" t="n">
        <v>2.69675908</v>
      </c>
      <c r="I51" s="18" t="n">
        <v>0</v>
      </c>
      <c r="J51" s="20" t="n">
        <v>0</v>
      </c>
      <c r="K51" s="18" t="n">
        <v>0</v>
      </c>
      <c r="L51" s="20" t="n">
        <v>0</v>
      </c>
      <c r="M51" s="18" t="n">
        <v>0</v>
      </c>
      <c r="N51" s="20" t="n">
        <v>0</v>
      </c>
      <c r="O51" s="18" t="n">
        <v>0</v>
      </c>
      <c r="P51" s="20" t="n">
        <v>0</v>
      </c>
      <c r="Q51" s="18" t="n">
        <v>0</v>
      </c>
      <c r="R51" s="20" t="n">
        <v>0</v>
      </c>
    </row>
    <row r="52" spans="1:18">
      <c r="A52" s="15" t="s">
        <v>611</v>
      </c>
      <c r="B52" s="17" t="n">
        <v>2760</v>
      </c>
      <c r="C52" s="18">
        <f>(2459.0/B52*100)</f>
        <v/>
      </c>
      <c r="D52" s="19" t="n">
        <v>301</v>
      </c>
      <c r="E52" s="18" t="n">
        <v>73.49444403</v>
      </c>
      <c r="F52" s="20" t="n">
        <v>2.51829434</v>
      </c>
      <c r="G52" s="18" t="n">
        <v>24.73074249</v>
      </c>
      <c r="H52" s="20" t="n">
        <v>2.57579937</v>
      </c>
      <c r="I52" s="18" t="n">
        <v>0</v>
      </c>
      <c r="J52" s="20" t="n">
        <v>0</v>
      </c>
      <c r="K52" s="18" t="n">
        <v>0</v>
      </c>
      <c r="L52" s="20" t="n">
        <v>0</v>
      </c>
      <c r="M52" s="18" t="n">
        <v>0</v>
      </c>
      <c r="N52" s="20" t="n">
        <v>0</v>
      </c>
      <c r="O52" s="18" t="n">
        <v>0</v>
      </c>
      <c r="P52" s="20" t="n">
        <v>0</v>
      </c>
      <c r="Q52" s="18" t="n">
        <v>1.77481349</v>
      </c>
      <c r="R52" s="20" t="n">
        <v>0.73373899</v>
      </c>
    </row>
    <row r="53" spans="1:18">
      <c r="A53" s="15" t="s">
        <v>612</v>
      </c>
      <c r="B53" s="17" t="n">
        <v>2474</v>
      </c>
      <c r="C53" s="18">
        <f>(2208.0/B53*100)</f>
        <v/>
      </c>
      <c r="D53" s="19" t="n">
        <v>266</v>
      </c>
      <c r="E53" s="18" t="n">
        <v>67.98087565</v>
      </c>
      <c r="F53" s="20" t="n">
        <v>3.42008896</v>
      </c>
      <c r="G53" s="18" t="n">
        <v>19.80830843</v>
      </c>
      <c r="H53" s="20" t="n">
        <v>2.60741186</v>
      </c>
      <c r="I53" s="18" t="n">
        <v>0</v>
      </c>
      <c r="J53" s="20" t="n">
        <v>0</v>
      </c>
      <c r="K53" s="18" t="n">
        <v>8.458435590000001</v>
      </c>
      <c r="L53" s="20" t="n">
        <v>2.01889398</v>
      </c>
      <c r="M53" s="18" t="n">
        <v>0</v>
      </c>
      <c r="N53" s="20" t="n">
        <v>0</v>
      </c>
      <c r="O53" s="18" t="n">
        <v>0</v>
      </c>
      <c r="P53" s="20" t="n">
        <v>0</v>
      </c>
      <c r="Q53" s="18" t="n">
        <v>3.75238032</v>
      </c>
      <c r="R53" s="20" t="n">
        <v>1.45622681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(2380.0/B55*100)</f>
        <v/>
      </c>
      <c r="D55" s="19" t="n">
        <v>295</v>
      </c>
      <c r="E55" s="18" t="n">
        <v>75.03460944</v>
      </c>
      <c r="F55" s="20" t="n">
        <v>2.67672363</v>
      </c>
      <c r="G55" s="18" t="n">
        <v>24.65412247</v>
      </c>
      <c r="H55" s="20" t="n">
        <v>2.62706586</v>
      </c>
      <c r="I55" s="18" t="n">
        <v>0</v>
      </c>
      <c r="J55" s="20" t="n">
        <v>0</v>
      </c>
      <c r="K55" s="18" t="n">
        <v>0.31126809</v>
      </c>
      <c r="L55" s="20" t="n">
        <v>0.34872341</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(2852.0/B61*100)</f>
        <v/>
      </c>
      <c r="D61" s="19" t="n">
        <v>349</v>
      </c>
      <c r="E61" s="18" t="n">
        <v>69.73326509</v>
      </c>
      <c r="F61" s="20" t="n">
        <v>2.68403106</v>
      </c>
      <c r="G61" s="18" t="n">
        <v>29.56069379</v>
      </c>
      <c r="H61" s="20" t="n">
        <v>2.72650414</v>
      </c>
      <c r="I61" s="18" t="n">
        <v>0</v>
      </c>
      <c r="J61" s="20" t="n">
        <v>0</v>
      </c>
      <c r="K61" s="18" t="n">
        <v>0.34882621</v>
      </c>
      <c r="L61" s="20" t="n">
        <v>0.35172332</v>
      </c>
      <c r="M61" s="18" t="n">
        <v>0</v>
      </c>
      <c r="N61" s="20" t="n">
        <v>0</v>
      </c>
      <c r="O61" s="18" t="n">
        <v>0</v>
      </c>
      <c r="P61" s="20" t="n">
        <v>0</v>
      </c>
      <c r="Q61" s="18" t="n">
        <v>0.35721491</v>
      </c>
      <c r="R61" s="20" t="n">
        <v>0.28648245</v>
      </c>
    </row>
    <row r="62" spans="1:18">
      <c r="A62" s="15" t="s">
        <v>622</v>
      </c>
      <c r="B62" s="17" t="n">
        <v>2230</v>
      </c>
      <c r="C62" s="18">
        <f>(1978.0/B62*100)</f>
        <v/>
      </c>
      <c r="D62" s="19" t="n">
        <v>252</v>
      </c>
      <c r="E62" s="18" t="n">
        <v>67.90038878</v>
      </c>
      <c r="F62" s="20" t="n">
        <v>3.13215937</v>
      </c>
      <c r="G62" s="18" t="n">
        <v>32.09961122</v>
      </c>
      <c r="H62" s="20" t="n">
        <v>3.13215937</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(2466.0/B67*100)</f>
        <v/>
      </c>
      <c r="D67" s="19" t="n">
        <v>305</v>
      </c>
      <c r="E67" s="18" t="n">
        <v>69.53934756</v>
      </c>
      <c r="F67" s="20" t="n">
        <v>2.79993507</v>
      </c>
      <c r="G67" s="18" t="n">
        <v>25.77712574</v>
      </c>
      <c r="H67" s="20" t="n">
        <v>2.5775548</v>
      </c>
      <c r="I67" s="18" t="n">
        <v>0</v>
      </c>
      <c r="J67" s="20" t="n">
        <v>0</v>
      </c>
      <c r="K67" s="18" t="n">
        <v>0.56352108</v>
      </c>
      <c r="L67" s="20" t="n">
        <v>0.3956223</v>
      </c>
      <c r="M67" s="18" t="n">
        <v>0</v>
      </c>
      <c r="N67" s="20" t="n">
        <v>0</v>
      </c>
      <c r="O67" s="18" t="n">
        <v>0</v>
      </c>
      <c r="P67" s="20" t="n">
        <v>0</v>
      </c>
      <c r="Q67" s="18" t="n">
        <v>4.12000562</v>
      </c>
      <c r="R67" s="20" t="n">
        <v>1.18735474</v>
      </c>
    </row>
    <row r="68" spans="1:18">
      <c r="A68" s="15" t="s">
        <v>628</v>
      </c>
      <c r="B68" s="17" t="n">
        <v>3460</v>
      </c>
      <c r="C68" s="18">
        <f>(3098.0/B68*100)</f>
        <v/>
      </c>
      <c r="D68" s="19" t="n">
        <v>362</v>
      </c>
      <c r="E68" s="18" t="n">
        <v>75.14862802</v>
      </c>
      <c r="F68" s="20" t="n">
        <v>1.89867729</v>
      </c>
      <c r="G68" s="18" t="n">
        <v>23.03789592</v>
      </c>
      <c r="H68" s="20" t="n">
        <v>1.77658716</v>
      </c>
      <c r="I68" s="18" t="n">
        <v>0</v>
      </c>
      <c r="J68" s="20" t="n">
        <v>0</v>
      </c>
      <c r="K68" s="18" t="n">
        <v>0</v>
      </c>
      <c r="L68" s="20" t="n">
        <v>0</v>
      </c>
      <c r="M68" s="18" t="n">
        <v>0</v>
      </c>
      <c r="N68" s="20" t="n">
        <v>0</v>
      </c>
      <c r="O68" s="18" t="n">
        <v>0</v>
      </c>
      <c r="P68" s="20" t="n">
        <v>0</v>
      </c>
      <c r="Q68" s="18" t="n">
        <v>1.81347606</v>
      </c>
      <c r="R68" s="20" t="n">
        <v>0.75953529</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(5362.0/B70*100)</f>
        <v/>
      </c>
      <c r="D70" s="19" t="n">
        <v>672</v>
      </c>
      <c r="E70" s="18" t="n">
        <v>65.31841256</v>
      </c>
      <c r="F70" s="20" t="n">
        <v>1.87202425</v>
      </c>
      <c r="G70" s="18" t="n">
        <v>33.62761526</v>
      </c>
      <c r="H70" s="20" t="n">
        <v>1.82220099</v>
      </c>
      <c r="I70" s="18" t="n">
        <v>0</v>
      </c>
      <c r="J70" s="20" t="n">
        <v>0</v>
      </c>
      <c r="K70" s="18" t="n">
        <v>0.46838352</v>
      </c>
      <c r="L70" s="20" t="n">
        <v>0.27412455</v>
      </c>
      <c r="M70" s="18" t="n">
        <v>0</v>
      </c>
      <c r="N70" s="20" t="n">
        <v>0</v>
      </c>
      <c r="O70" s="18" t="n">
        <v>0</v>
      </c>
      <c r="P70" s="20" t="n">
        <v>0</v>
      </c>
      <c r="Q70" s="18" t="n">
        <v>0.58558865</v>
      </c>
      <c r="R70" s="20" t="n">
        <v>0.29069276</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(2787.0/B72*100)</f>
        <v/>
      </c>
      <c r="D72" s="19" t="n">
        <v>320</v>
      </c>
      <c r="E72" s="18" t="n">
        <v>65.58011854999999</v>
      </c>
      <c r="F72" s="20" t="n">
        <v>3.07249589</v>
      </c>
      <c r="G72" s="18" t="n">
        <v>33.57219004</v>
      </c>
      <c r="H72" s="20" t="n">
        <v>3.02085998</v>
      </c>
      <c r="I72" s="18" t="n">
        <v>0</v>
      </c>
      <c r="J72" s="20" t="n">
        <v>0</v>
      </c>
      <c r="K72" s="18" t="n">
        <v>0.6162785</v>
      </c>
      <c r="L72" s="20" t="n">
        <v>0.53223579</v>
      </c>
      <c r="M72" s="18" t="n">
        <v>0</v>
      </c>
      <c r="N72" s="20" t="n">
        <v>0</v>
      </c>
      <c r="O72" s="18" t="n">
        <v>0</v>
      </c>
      <c r="P72" s="20" t="n">
        <v>0</v>
      </c>
      <c r="Q72" s="18" t="n">
        <v>0.23141291</v>
      </c>
      <c r="R72" s="20" t="n">
        <v>0.16399977</v>
      </c>
    </row>
    <row r="73" spans="1:18">
      <c r="A73" s="15" t="s">
        <v>633</v>
      </c>
      <c r="B73" s="17" t="n">
        <v>2973</v>
      </c>
      <c r="C73" s="18">
        <f>(2637.0/B73*100)</f>
        <v/>
      </c>
      <c r="D73" s="19" t="n">
        <v>336</v>
      </c>
      <c r="E73" s="18" t="n">
        <v>60.68420173</v>
      </c>
      <c r="F73" s="20" t="n">
        <v>2.73348947</v>
      </c>
      <c r="G73" s="18" t="n">
        <v>38.31333277</v>
      </c>
      <c r="H73" s="20" t="n">
        <v>2.78193725</v>
      </c>
      <c r="I73" s="18" t="n">
        <v>0</v>
      </c>
      <c r="J73" s="20" t="n">
        <v>0</v>
      </c>
      <c r="K73" s="18" t="n">
        <v>0</v>
      </c>
      <c r="L73" s="20" t="n">
        <v>0</v>
      </c>
      <c r="M73" s="18" t="n">
        <v>0</v>
      </c>
      <c r="N73" s="20" t="n">
        <v>0</v>
      </c>
      <c r="O73" s="18" t="n">
        <v>0</v>
      </c>
      <c r="P73" s="20" t="n">
        <v>0</v>
      </c>
      <c r="Q73" s="18" t="n">
        <v>1.0024655</v>
      </c>
      <c r="R73" s="20" t="n">
        <v>0.53858685</v>
      </c>
    </row>
    <row r="74" spans="1:18">
      <c r="A74" s="15" t="s">
        <v>634</v>
      </c>
      <c r="B74" s="17" t="n">
        <v>3819</v>
      </c>
      <c r="C74" s="18">
        <f>(3407.0/B74*100)</f>
        <v/>
      </c>
      <c r="D74" s="19" t="n">
        <v>412</v>
      </c>
      <c r="E74" s="18" t="n">
        <v>57.72758426</v>
      </c>
      <c r="F74" s="20" t="n">
        <v>2.72756023</v>
      </c>
      <c r="G74" s="18" t="n">
        <v>41.64833951</v>
      </c>
      <c r="H74" s="20" t="n">
        <v>2.6863685</v>
      </c>
      <c r="I74" s="18" t="n">
        <v>0</v>
      </c>
      <c r="J74" s="20" t="n">
        <v>0</v>
      </c>
      <c r="K74" s="18" t="n">
        <v>0.33988425</v>
      </c>
      <c r="L74" s="20" t="n">
        <v>0.24921179</v>
      </c>
      <c r="M74" s="18" t="n">
        <v>0</v>
      </c>
      <c r="N74" s="20" t="n">
        <v>0</v>
      </c>
      <c r="O74" s="18" t="n">
        <v>0</v>
      </c>
      <c r="P74" s="20" t="n">
        <v>0</v>
      </c>
      <c r="Q74" s="18" t="n">
        <v>0.28419197</v>
      </c>
      <c r="R74" s="20" t="n">
        <v>0.28736667</v>
      </c>
    </row>
    <row r="75" spans="1:18">
      <c r="A75" s="15" t="s">
        <v>635</v>
      </c>
      <c r="B75" s="17" t="n">
        <v>4652</v>
      </c>
      <c r="C75" s="18">
        <f>(4149.0/B75*100)</f>
        <v/>
      </c>
      <c r="D75" s="19" t="n">
        <v>503</v>
      </c>
      <c r="E75" s="18" t="n">
        <v>79.94217525000001</v>
      </c>
      <c r="F75" s="20" t="n">
        <v>2.45593688</v>
      </c>
      <c r="G75" s="18" t="n">
        <v>19.77714255</v>
      </c>
      <c r="H75" s="20" t="n">
        <v>2.440322</v>
      </c>
      <c r="I75" s="18" t="n">
        <v>0</v>
      </c>
      <c r="J75" s="20" t="n">
        <v>0</v>
      </c>
      <c r="K75" s="18" t="n">
        <v>0</v>
      </c>
      <c r="L75" s="20" t="n">
        <v>0</v>
      </c>
      <c r="M75" s="18" t="n">
        <v>0</v>
      </c>
      <c r="N75" s="20" t="n">
        <v>0</v>
      </c>
      <c r="O75" s="18" t="n">
        <v>0</v>
      </c>
      <c r="P75" s="20" t="n">
        <v>0</v>
      </c>
      <c r="Q75" s="18" t="n">
        <v>0.28068221</v>
      </c>
      <c r="R75" s="20" t="n">
        <v>0.20781687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(2670.0/B77*100)</f>
        <v/>
      </c>
      <c r="D77" s="19" t="n">
        <v>299</v>
      </c>
      <c r="E77" s="18" t="n">
        <v>82.32848541</v>
      </c>
      <c r="F77" s="20" t="n">
        <v>2.72154271</v>
      </c>
      <c r="G77" s="18" t="n">
        <v>14.05103864</v>
      </c>
      <c r="H77" s="20" t="n">
        <v>2.34061092</v>
      </c>
      <c r="I77" s="18" t="n">
        <v>0</v>
      </c>
      <c r="J77" s="20" t="n">
        <v>0</v>
      </c>
      <c r="K77" s="18" t="n">
        <v>1.54893092</v>
      </c>
      <c r="L77" s="20" t="n">
        <v>1.0098035</v>
      </c>
      <c r="M77" s="18" t="n">
        <v>0</v>
      </c>
      <c r="N77" s="20" t="n">
        <v>0</v>
      </c>
      <c r="O77" s="18" t="n">
        <v>0</v>
      </c>
      <c r="P77" s="20" t="n">
        <v>0</v>
      </c>
      <c r="Q77" s="18" t="n">
        <v>2.07154503</v>
      </c>
      <c r="R77" s="20" t="n">
        <v>0.74871241</v>
      </c>
    </row>
    <row r="78" spans="1:18">
      <c r="A78" s="15" t="s">
        <v>638</v>
      </c>
      <c r="B78" s="17" t="n">
        <v>7115</v>
      </c>
      <c r="C78" s="18">
        <f>(6331.0/B78*100)</f>
        <v/>
      </c>
      <c r="D78" s="19" t="n">
        <v>784</v>
      </c>
      <c r="E78" s="18" t="n">
        <v>61.2352423</v>
      </c>
      <c r="F78" s="20" t="n">
        <v>2.31825931</v>
      </c>
      <c r="G78" s="18" t="n">
        <v>37.49908049</v>
      </c>
      <c r="H78" s="20" t="n">
        <v>2.39520881</v>
      </c>
      <c r="I78" s="18" t="n">
        <v>0</v>
      </c>
      <c r="J78" s="20" t="n">
        <v>0</v>
      </c>
      <c r="K78" s="18" t="n">
        <v>0.67104215</v>
      </c>
      <c r="L78" s="20" t="n">
        <v>0.33504821</v>
      </c>
      <c r="M78" s="18" t="n">
        <v>0</v>
      </c>
      <c r="N78" s="20" t="n">
        <v>0</v>
      </c>
      <c r="O78" s="18" t="n">
        <v>0</v>
      </c>
      <c r="P78" s="20" t="n">
        <v>0</v>
      </c>
      <c r="Q78" s="18" t="n">
        <v>0.59463507</v>
      </c>
      <c r="R78" s="20" t="n">
        <v>0.26197836</v>
      </c>
    </row>
    <row r="79" spans="1:18">
      <c r="A79" s="15" t="s">
        <v>639</v>
      </c>
      <c r="B79" s="17" t="n">
        <v>3154</v>
      </c>
      <c r="C79" s="18">
        <f>(2815.0/B79*100)</f>
        <v/>
      </c>
      <c r="D79" s="19" t="n">
        <v>339</v>
      </c>
      <c r="E79" s="18" t="n">
        <v>77.73586349</v>
      </c>
      <c r="F79" s="20" t="n">
        <v>1.86383284</v>
      </c>
      <c r="G79" s="18" t="n">
        <v>20.48369252</v>
      </c>
      <c r="H79" s="20" t="n">
        <v>1.89346126</v>
      </c>
      <c r="I79" s="18" t="n">
        <v>0</v>
      </c>
      <c r="J79" s="20" t="n">
        <v>0</v>
      </c>
      <c r="K79" s="18" t="n">
        <v>0.5324418400000001</v>
      </c>
      <c r="L79" s="20" t="n">
        <v>0.39160334</v>
      </c>
      <c r="M79" s="18" t="n">
        <v>0</v>
      </c>
      <c r="N79" s="20" t="n">
        <v>0</v>
      </c>
      <c r="O79" s="18" t="n">
        <v>0</v>
      </c>
      <c r="P79" s="20" t="n">
        <v>0</v>
      </c>
      <c r="Q79" s="18" t="n">
        <v>1.24800214</v>
      </c>
      <c r="R79" s="20" t="n">
        <v>0.69712776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(14195.0/B82*100)</f>
        <v/>
      </c>
      <c r="D82" s="19" t="n">
        <v>1766</v>
      </c>
      <c r="E82" s="18" t="n">
        <v>70.12330853</v>
      </c>
      <c r="F82" s="20" t="n">
        <v>1.56880333</v>
      </c>
      <c r="G82" s="18" t="n">
        <v>29.18494326</v>
      </c>
      <c r="H82" s="20" t="n">
        <v>1.57228688</v>
      </c>
      <c r="I82" s="18" t="n">
        <v>0</v>
      </c>
      <c r="J82" s="20" t="n">
        <v>0</v>
      </c>
      <c r="K82" s="18" t="n">
        <v>0.13063272</v>
      </c>
      <c r="L82" s="20" t="n">
        <v>0.07691401</v>
      </c>
      <c r="M82" s="18" t="n">
        <v>0</v>
      </c>
      <c r="N82" s="20" t="n">
        <v>0</v>
      </c>
      <c r="O82" s="18" t="n">
        <v>0</v>
      </c>
      <c r="P82" s="20" t="n">
        <v>0</v>
      </c>
      <c r="Q82" s="18" t="n">
        <v>0.5611154900000001</v>
      </c>
      <c r="R82" s="20" t="n">
        <v>0.27988955</v>
      </c>
    </row>
    <row r="83" spans="1:18">
      <c r="A83" s="15" t="s">
        <v>643</v>
      </c>
      <c r="B83" s="17" t="n">
        <v>808</v>
      </c>
      <c r="C83" s="18">
        <f>(704.0/B83*100)</f>
        <v/>
      </c>
      <c r="D83" s="19" t="n">
        <v>104</v>
      </c>
      <c r="E83" s="18" t="n">
        <v>76.98144102000001</v>
      </c>
      <c r="F83" s="20" t="n">
        <v>4.46976366</v>
      </c>
      <c r="G83" s="18" t="n">
        <v>23.01855898</v>
      </c>
      <c r="H83" s="20" t="n">
        <v>4.46976366</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(815.0/B84*100)</f>
        <v/>
      </c>
      <c r="D84" s="19" t="n">
        <v>123</v>
      </c>
      <c r="E84" s="18" t="n">
        <v>77.76994272</v>
      </c>
      <c r="F84" s="20" t="n">
        <v>4.32766958</v>
      </c>
      <c r="G84" s="18" t="n">
        <v>22.23005728</v>
      </c>
      <c r="H84" s="20" t="n">
        <v>4.32766958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(6385.0/B7*100)</f>
        <v/>
      </c>
      <c r="D7" s="19" t="n">
        <v>778</v>
      </c>
      <c r="E7" s="18" t="n">
        <v>44.16258048</v>
      </c>
      <c r="F7" s="20" t="n">
        <v>2.14171114</v>
      </c>
      <c r="G7" s="18" t="n">
        <v>55.22881691</v>
      </c>
      <c r="H7" s="20" t="n">
        <v>2.10181216</v>
      </c>
      <c r="I7" s="18" t="n">
        <v>0</v>
      </c>
      <c r="J7" s="20" t="n">
        <v>0</v>
      </c>
      <c r="K7" s="18" t="n">
        <v>0.33940599</v>
      </c>
      <c r="L7" s="20" t="n">
        <v>0.22353283</v>
      </c>
      <c r="M7" s="18" t="n">
        <v>0</v>
      </c>
      <c r="N7" s="20" t="n">
        <v>0</v>
      </c>
      <c r="O7" s="18" t="n">
        <v>0</v>
      </c>
      <c r="P7" s="20" t="n">
        <v>0</v>
      </c>
      <c r="Q7" s="18" t="n">
        <v>0.26919663</v>
      </c>
      <c r="R7" s="20" t="n">
        <v>0.20518535</v>
      </c>
    </row>
    <row r="8" spans="1:18">
      <c r="A8" s="15" t="s">
        <v>566</v>
      </c>
      <c r="B8" s="17" t="n">
        <v>3443</v>
      </c>
      <c r="C8" s="18">
        <f>(3026.0/B8*100)</f>
        <v/>
      </c>
      <c r="D8" s="19" t="n">
        <v>417</v>
      </c>
      <c r="E8" s="18" t="n">
        <v>50.3117235</v>
      </c>
      <c r="F8" s="20" t="n">
        <v>2.97964431</v>
      </c>
      <c r="G8" s="18" t="n">
        <v>49.27182534</v>
      </c>
      <c r="H8" s="20" t="n">
        <v>2.9754775</v>
      </c>
      <c r="I8" s="18" t="n">
        <v>0</v>
      </c>
      <c r="J8" s="20" t="n">
        <v>0</v>
      </c>
      <c r="K8" s="18" t="n">
        <v>0</v>
      </c>
      <c r="L8" s="20" t="n">
        <v>0</v>
      </c>
      <c r="M8" s="18" t="n">
        <v>0</v>
      </c>
      <c r="N8" s="20" t="n">
        <v>0</v>
      </c>
      <c r="O8" s="18" t="n">
        <v>0</v>
      </c>
      <c r="P8" s="20" t="n">
        <v>0</v>
      </c>
      <c r="Q8" s="18" t="n">
        <v>0.41645116</v>
      </c>
      <c r="R8" s="20" t="n">
        <v>0.32003037</v>
      </c>
    </row>
    <row r="9" spans="1:18">
      <c r="A9" s="15" t="s">
        <v>567</v>
      </c>
      <c r="B9" s="17" t="n">
        <v>4752</v>
      </c>
      <c r="C9" s="18">
        <f>(4123.0/B9*100)</f>
        <v/>
      </c>
      <c r="D9" s="19" t="n">
        <v>629</v>
      </c>
      <c r="E9" s="18" t="n">
        <v>58.63664269</v>
      </c>
      <c r="F9" s="20" t="n">
        <v>2.01221927</v>
      </c>
      <c r="G9" s="18" t="n">
        <v>39.76019389</v>
      </c>
      <c r="H9" s="20" t="n">
        <v>2.05919925</v>
      </c>
      <c r="I9" s="18" t="n">
        <v>0</v>
      </c>
      <c r="J9" s="20" t="n">
        <v>0</v>
      </c>
      <c r="K9" s="18" t="n">
        <v>0.72004705</v>
      </c>
      <c r="L9" s="20" t="n">
        <v>0.29220453</v>
      </c>
      <c r="M9" s="18" t="n">
        <v>0</v>
      </c>
      <c r="N9" s="20" t="n">
        <v>0</v>
      </c>
      <c r="O9" s="18" t="n">
        <v>0</v>
      </c>
      <c r="P9" s="20" t="n">
        <v>0</v>
      </c>
      <c r="Q9" s="18" t="n">
        <v>0.88311637</v>
      </c>
      <c r="R9" s="20" t="n">
        <v>0.41387149</v>
      </c>
    </row>
    <row r="10" spans="1:18">
      <c r="A10" s="15" t="s">
        <v>568</v>
      </c>
      <c r="B10" s="17" t="n">
        <v>10022</v>
      </c>
      <c r="C10" s="18">
        <f>(8899.0/B10*100)</f>
        <v/>
      </c>
      <c r="D10" s="19" t="n">
        <v>1123</v>
      </c>
      <c r="E10" s="18" t="n">
        <v>33.39570111</v>
      </c>
      <c r="F10" s="20" t="n">
        <v>1.86608206</v>
      </c>
      <c r="G10" s="18" t="n">
        <v>66.02188833</v>
      </c>
      <c r="H10" s="20" t="n">
        <v>1.89266371</v>
      </c>
      <c r="I10" s="18" t="n">
        <v>0</v>
      </c>
      <c r="J10" s="20" t="n">
        <v>0</v>
      </c>
      <c r="K10" s="18" t="n">
        <v>0.02816776</v>
      </c>
      <c r="L10" s="20" t="n">
        <v>0.02821065</v>
      </c>
      <c r="M10" s="18" t="n">
        <v>0</v>
      </c>
      <c r="N10" s="20" t="n">
        <v>0</v>
      </c>
      <c r="O10" s="18" t="n">
        <v>0</v>
      </c>
      <c r="P10" s="20" t="n">
        <v>0</v>
      </c>
      <c r="Q10" s="18" t="n">
        <v>0.5542428</v>
      </c>
      <c r="R10" s="20" t="n">
        <v>0.29336167</v>
      </c>
    </row>
    <row r="11" spans="1:18">
      <c r="A11" s="15" t="s">
        <v>569</v>
      </c>
      <c r="B11" s="17" t="n">
        <v>3500</v>
      </c>
      <c r="C11" s="18">
        <f>(3124.0/B11*100)</f>
        <v/>
      </c>
      <c r="D11" s="19" t="n">
        <v>376</v>
      </c>
      <c r="E11" s="18" t="n">
        <v>54.0006496</v>
      </c>
      <c r="F11" s="20" t="n">
        <v>2.87412369</v>
      </c>
      <c r="G11" s="18" t="n">
        <v>42.72231199</v>
      </c>
      <c r="H11" s="20" t="n">
        <v>2.87127692</v>
      </c>
      <c r="I11" s="18" t="n">
        <v>0</v>
      </c>
      <c r="J11" s="20" t="n">
        <v>0</v>
      </c>
      <c r="K11" s="18" t="n">
        <v>0.62768762</v>
      </c>
      <c r="L11" s="20" t="n">
        <v>0.44227339</v>
      </c>
      <c r="M11" s="18" t="n">
        <v>0</v>
      </c>
      <c r="N11" s="20" t="n">
        <v>0</v>
      </c>
      <c r="O11" s="18" t="n">
        <v>0</v>
      </c>
      <c r="P11" s="20" t="n">
        <v>0</v>
      </c>
      <c r="Q11" s="18" t="n">
        <v>2.6493508</v>
      </c>
      <c r="R11" s="20" t="n">
        <v>0.89725541</v>
      </c>
    </row>
    <row r="12" spans="1:18">
      <c r="A12" s="15" t="s">
        <v>570</v>
      </c>
      <c r="B12" s="17" t="n">
        <v>3422</v>
      </c>
      <c r="C12" s="18">
        <f>(2999.0/B12*100)</f>
        <v/>
      </c>
      <c r="D12" s="19" t="n">
        <v>423</v>
      </c>
      <c r="E12" s="18" t="n">
        <v>42.73277089</v>
      </c>
      <c r="F12" s="20" t="n">
        <v>2.90717327</v>
      </c>
      <c r="G12" s="18" t="n">
        <v>56.36172204</v>
      </c>
      <c r="H12" s="20" t="n">
        <v>3.05138776</v>
      </c>
      <c r="I12" s="18" t="n">
        <v>0</v>
      </c>
      <c r="J12" s="20" t="n">
        <v>0</v>
      </c>
      <c r="K12" s="18" t="n">
        <v>0.90550707</v>
      </c>
      <c r="L12" s="20" t="n">
        <v>0.64209609</v>
      </c>
      <c r="M12" s="18" t="n">
        <v>0</v>
      </c>
      <c r="N12" s="20" t="n">
        <v>0</v>
      </c>
      <c r="O12" s="18" t="n">
        <v>0</v>
      </c>
      <c r="P12" s="20" t="n">
        <v>0</v>
      </c>
      <c r="Q12" s="18" t="n">
        <v>0</v>
      </c>
      <c r="R12" s="20" t="n">
        <v>0</v>
      </c>
    </row>
    <row r="13" spans="1:18">
      <c r="A13" s="15" t="s">
        <v>571</v>
      </c>
      <c r="B13" s="17" t="n">
        <v>3602</v>
      </c>
      <c r="C13" s="18">
        <f>(3087.0/B13*100)</f>
        <v/>
      </c>
      <c r="D13" s="19" t="n">
        <v>515</v>
      </c>
      <c r="E13" s="18" t="n">
        <v>51.31612813</v>
      </c>
      <c r="F13" s="20" t="n">
        <v>2.41589014</v>
      </c>
      <c r="G13" s="18" t="n">
        <v>47.46914829</v>
      </c>
      <c r="H13" s="20" t="n">
        <v>2.36812603</v>
      </c>
      <c r="I13" s="18" t="n">
        <v>0</v>
      </c>
      <c r="J13" s="20" t="n">
        <v>0</v>
      </c>
      <c r="K13" s="18" t="n">
        <v>1.13527275</v>
      </c>
      <c r="L13" s="20" t="n">
        <v>0.49120769</v>
      </c>
      <c r="M13" s="18" t="n">
        <v>0</v>
      </c>
      <c r="N13" s="20" t="n">
        <v>0</v>
      </c>
      <c r="O13" s="18" t="n">
        <v>0</v>
      </c>
      <c r="P13" s="20" t="n">
        <v>0</v>
      </c>
      <c r="Q13" s="18" t="n">
        <v>0.07945083999999999</v>
      </c>
      <c r="R13" s="20" t="n">
        <v>0.05870385</v>
      </c>
    </row>
    <row r="14" spans="1:18">
      <c r="A14" s="15" t="s">
        <v>572</v>
      </c>
      <c r="B14" s="17" t="n">
        <v>2788</v>
      </c>
      <c r="C14" s="18">
        <f>(2482.0/B14*100)</f>
        <v/>
      </c>
      <c r="D14" s="19" t="n">
        <v>306</v>
      </c>
      <c r="E14" s="18" t="n">
        <v>30.00260568</v>
      </c>
      <c r="F14" s="20" t="n">
        <v>2.78122122</v>
      </c>
      <c r="G14" s="18" t="n">
        <v>69.99739432</v>
      </c>
      <c r="H14" s="20" t="n">
        <v>2.78122122</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(2543.0/B15*100)</f>
        <v/>
      </c>
      <c r="D15" s="19" t="n">
        <v>320</v>
      </c>
      <c r="E15" s="18" t="n">
        <v>36.70499952</v>
      </c>
      <c r="F15" s="20" t="n">
        <v>3.08476817</v>
      </c>
      <c r="G15" s="18" t="n">
        <v>62.63254951</v>
      </c>
      <c r="H15" s="20" t="n">
        <v>3.27685302</v>
      </c>
      <c r="I15" s="18" t="n">
        <v>0</v>
      </c>
      <c r="J15" s="20" t="n">
        <v>0</v>
      </c>
      <c r="K15" s="18" t="n">
        <v>0.66245097</v>
      </c>
      <c r="L15" s="20" t="n">
        <v>0.6933926500000001</v>
      </c>
      <c r="M15" s="18" t="n">
        <v>0</v>
      </c>
      <c r="N15" s="20" t="n">
        <v>0</v>
      </c>
      <c r="O15" s="18" t="n">
        <v>0</v>
      </c>
      <c r="P15" s="20" t="n">
        <v>0</v>
      </c>
      <c r="Q15" s="18" t="n">
        <v>0</v>
      </c>
      <c r="R15" s="20" t="n">
        <v>0</v>
      </c>
    </row>
    <row r="16" spans="1:18">
      <c r="A16" s="15" t="s">
        <v>574</v>
      </c>
      <c r="B16" s="17" t="n">
        <v>3111</v>
      </c>
      <c r="C16" s="18">
        <f>(2767.0/B16*100)</f>
        <v/>
      </c>
      <c r="D16" s="19" t="n">
        <v>344</v>
      </c>
      <c r="E16" s="18" t="n">
        <v>40.85623484</v>
      </c>
      <c r="F16" s="20" t="n">
        <v>2.78069093</v>
      </c>
      <c r="G16" s="18" t="n">
        <v>56.80960415</v>
      </c>
      <c r="H16" s="20" t="n">
        <v>2.73089014</v>
      </c>
      <c r="I16" s="18" t="n">
        <v>0</v>
      </c>
      <c r="J16" s="20" t="n">
        <v>0</v>
      </c>
      <c r="K16" s="18" t="n">
        <v>0.7310845</v>
      </c>
      <c r="L16" s="20" t="n">
        <v>0.86632462</v>
      </c>
      <c r="M16" s="18" t="n">
        <v>0</v>
      </c>
      <c r="N16" s="20" t="n">
        <v>0</v>
      </c>
      <c r="O16" s="18" t="n">
        <v>0</v>
      </c>
      <c r="P16" s="20" t="n">
        <v>0</v>
      </c>
      <c r="Q16" s="18" t="n">
        <v>1.6030765</v>
      </c>
      <c r="R16" s="20" t="n">
        <v>0.7486533</v>
      </c>
    </row>
    <row r="17" spans="1:18">
      <c r="A17" s="15" t="s">
        <v>575</v>
      </c>
      <c r="B17" s="17" t="n">
        <v>3197</v>
      </c>
      <c r="C17" s="18">
        <f>(2789.0/B17*100)</f>
        <v/>
      </c>
      <c r="D17" s="19" t="n">
        <v>408</v>
      </c>
      <c r="E17" s="18" t="n">
        <v>48.49268648</v>
      </c>
      <c r="F17" s="20" t="n">
        <v>2.13009447</v>
      </c>
      <c r="G17" s="18" t="n">
        <v>48.81109747</v>
      </c>
      <c r="H17" s="20" t="n">
        <v>2.10147546</v>
      </c>
      <c r="I17" s="18" t="n">
        <v>0</v>
      </c>
      <c r="J17" s="20" t="n">
        <v>0</v>
      </c>
      <c r="K17" s="18" t="n">
        <v>1.59048525</v>
      </c>
      <c r="L17" s="20" t="n">
        <v>0.8794769</v>
      </c>
      <c r="M17" s="18" t="n">
        <v>0</v>
      </c>
      <c r="N17" s="20" t="n">
        <v>0</v>
      </c>
      <c r="O17" s="18" t="n">
        <v>0</v>
      </c>
      <c r="P17" s="20" t="n">
        <v>0</v>
      </c>
      <c r="Q17" s="18" t="n">
        <v>1.10573081</v>
      </c>
      <c r="R17" s="20" t="n">
        <v>0.5801746</v>
      </c>
    </row>
    <row r="18" spans="1:18">
      <c r="A18" s="15" t="s">
        <v>576</v>
      </c>
      <c r="B18" s="17" t="n">
        <v>2706</v>
      </c>
      <c r="C18" s="18">
        <f>(2408.0/B18*100)</f>
        <v/>
      </c>
      <c r="D18" s="19" t="n">
        <v>298</v>
      </c>
      <c r="E18" s="18" t="n">
        <v>59.31801339</v>
      </c>
      <c r="F18" s="20" t="n">
        <v>2.86341765</v>
      </c>
      <c r="G18" s="18" t="n">
        <v>38.58719677</v>
      </c>
      <c r="H18" s="20" t="n">
        <v>2.87632057</v>
      </c>
      <c r="I18" s="18" t="n">
        <v>0</v>
      </c>
      <c r="J18" s="20" t="n">
        <v>0</v>
      </c>
      <c r="K18" s="18" t="n">
        <v>0.36742774</v>
      </c>
      <c r="L18" s="20" t="n">
        <v>0.29373431</v>
      </c>
      <c r="M18" s="18" t="n">
        <v>0</v>
      </c>
      <c r="N18" s="20" t="n">
        <v>0</v>
      </c>
      <c r="O18" s="18" t="n">
        <v>0</v>
      </c>
      <c r="P18" s="20" t="n">
        <v>0</v>
      </c>
      <c r="Q18" s="18" t="n">
        <v>1.7273621</v>
      </c>
      <c r="R18" s="20" t="n">
        <v>0.94945788</v>
      </c>
    </row>
    <row r="19" spans="1:18">
      <c r="A19" s="15" t="s">
        <v>577</v>
      </c>
      <c r="B19" s="17" t="n">
        <v>2850</v>
      </c>
      <c r="C19" s="18">
        <f>(2503.0/B19*100)</f>
        <v/>
      </c>
      <c r="D19" s="19" t="n">
        <v>347</v>
      </c>
      <c r="E19" s="18" t="n">
        <v>52.29284747</v>
      </c>
      <c r="F19" s="20" t="n">
        <v>2.7101171</v>
      </c>
      <c r="G19" s="18" t="n">
        <v>46.77479442</v>
      </c>
      <c r="H19" s="20" t="n">
        <v>2.73943227</v>
      </c>
      <c r="I19" s="18" t="n">
        <v>0</v>
      </c>
      <c r="J19" s="20" t="n">
        <v>0</v>
      </c>
      <c r="K19" s="18" t="n">
        <v>0</v>
      </c>
      <c r="L19" s="20" t="n">
        <v>0</v>
      </c>
      <c r="M19" s="18" t="n">
        <v>0</v>
      </c>
      <c r="N19" s="20" t="n">
        <v>0</v>
      </c>
      <c r="O19" s="18" t="n">
        <v>0</v>
      </c>
      <c r="P19" s="20" t="n">
        <v>0</v>
      </c>
      <c r="Q19" s="18" t="n">
        <v>0.9323581</v>
      </c>
      <c r="R19" s="20" t="n">
        <v>0.70432079</v>
      </c>
    </row>
    <row r="20" spans="1:18">
      <c r="A20" s="15" t="s">
        <v>578</v>
      </c>
      <c r="B20" s="17" t="n">
        <v>1741</v>
      </c>
      <c r="C20" s="18">
        <f>(1541.0/B20*100)</f>
        <v/>
      </c>
      <c r="D20" s="19" t="n">
        <v>200</v>
      </c>
      <c r="E20" s="18" t="n">
        <v>41.70766657</v>
      </c>
      <c r="F20" s="20" t="n">
        <v>3.55661922</v>
      </c>
      <c r="G20" s="18" t="n">
        <v>57.31341399</v>
      </c>
      <c r="H20" s="20" t="n">
        <v>3.51637837</v>
      </c>
      <c r="I20" s="18" t="n">
        <v>0</v>
      </c>
      <c r="J20" s="20" t="n">
        <v>0</v>
      </c>
      <c r="K20" s="18" t="n">
        <v>0.42891043</v>
      </c>
      <c r="L20" s="20" t="n">
        <v>0.42656658</v>
      </c>
      <c r="M20" s="18" t="n">
        <v>0</v>
      </c>
      <c r="N20" s="20" t="n">
        <v>0</v>
      </c>
      <c r="O20" s="18" t="n">
        <v>0</v>
      </c>
      <c r="P20" s="20" t="n">
        <v>0</v>
      </c>
      <c r="Q20" s="18" t="n">
        <v>0.550009</v>
      </c>
      <c r="R20" s="20" t="n">
        <v>0.55252979</v>
      </c>
    </row>
    <row r="21" spans="1:18">
      <c r="A21" s="15" t="s">
        <v>579</v>
      </c>
      <c r="B21" s="17" t="n">
        <v>2833</v>
      </c>
      <c r="C21" s="18">
        <f>(2499.0/B21*100)</f>
        <v/>
      </c>
      <c r="D21" s="19" t="n">
        <v>334</v>
      </c>
      <c r="E21" s="18" t="n">
        <v>61.16084361</v>
      </c>
      <c r="F21" s="20" t="n">
        <v>2.72644656</v>
      </c>
      <c r="G21" s="18" t="n">
        <v>38.83915639</v>
      </c>
      <c r="H21" s="20" t="n">
        <v>2.72644656</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(3285.0/B22*100)</f>
        <v/>
      </c>
      <c r="D22" s="19" t="n">
        <v>382</v>
      </c>
      <c r="E22" s="18" t="n">
        <v>58.86250873</v>
      </c>
      <c r="F22" s="20" t="n">
        <v>2.53823644</v>
      </c>
      <c r="G22" s="18" t="n">
        <v>39.83963941</v>
      </c>
      <c r="H22" s="20" t="n">
        <v>2.54006391</v>
      </c>
      <c r="I22" s="18" t="n">
        <v>0</v>
      </c>
      <c r="J22" s="20" t="n">
        <v>0</v>
      </c>
      <c r="K22" s="18" t="n">
        <v>0</v>
      </c>
      <c r="L22" s="20" t="n">
        <v>0</v>
      </c>
      <c r="M22" s="18" t="n">
        <v>0</v>
      </c>
      <c r="N22" s="20" t="n">
        <v>0</v>
      </c>
      <c r="O22" s="18" t="n">
        <v>0</v>
      </c>
      <c r="P22" s="20" t="n">
        <v>0</v>
      </c>
      <c r="Q22" s="18" t="n">
        <v>1.29785187</v>
      </c>
      <c r="R22" s="20" t="n">
        <v>0.85130056</v>
      </c>
    </row>
    <row r="23" spans="1:18">
      <c r="A23" s="15" t="s">
        <v>581</v>
      </c>
      <c r="B23" s="17" t="n">
        <v>5792</v>
      </c>
      <c r="C23" s="18">
        <f>(5168.0/B23*100)</f>
        <v/>
      </c>
      <c r="D23" s="19" t="n">
        <v>624</v>
      </c>
      <c r="E23" s="18" t="n">
        <v>38.48741009</v>
      </c>
      <c r="F23" s="20" t="n">
        <v>2.83221737</v>
      </c>
      <c r="G23" s="18" t="n">
        <v>60.1733061</v>
      </c>
      <c r="H23" s="20" t="n">
        <v>2.95633018</v>
      </c>
      <c r="I23" s="18" t="n">
        <v>0</v>
      </c>
      <c r="J23" s="20" t="n">
        <v>0</v>
      </c>
      <c r="K23" s="18" t="n">
        <v>0.64848045</v>
      </c>
      <c r="L23" s="20" t="n">
        <v>0.52666605</v>
      </c>
      <c r="M23" s="18" t="n">
        <v>0</v>
      </c>
      <c r="N23" s="20" t="n">
        <v>0</v>
      </c>
      <c r="O23" s="18" t="n">
        <v>0</v>
      </c>
      <c r="P23" s="20" t="n">
        <v>0</v>
      </c>
      <c r="Q23" s="18" t="n">
        <v>0.69080336</v>
      </c>
      <c r="R23" s="20" t="n">
        <v>0.54766153</v>
      </c>
    </row>
    <row r="24" spans="1:18">
      <c r="A24" s="15" t="s">
        <v>582</v>
      </c>
      <c r="B24" s="17" t="n">
        <v>3309</v>
      </c>
      <c r="C24" s="18">
        <f>(2925.0/B24*100)</f>
        <v/>
      </c>
      <c r="D24" s="19" t="n">
        <v>384</v>
      </c>
      <c r="E24" s="18" t="n">
        <v>39.84699917</v>
      </c>
      <c r="F24" s="20" t="n">
        <v>2.52328811</v>
      </c>
      <c r="G24" s="18" t="n">
        <v>60.15300083</v>
      </c>
      <c r="H24" s="20" t="n">
        <v>2.52328811</v>
      </c>
      <c r="I24" s="18" t="n">
        <v>0</v>
      </c>
      <c r="J24" s="20" t="n">
        <v>0</v>
      </c>
      <c r="K24" s="18" t="n">
        <v>0</v>
      </c>
      <c r="L24" s="20" t="n">
        <v>0</v>
      </c>
      <c r="M24" s="18" t="n">
        <v>0</v>
      </c>
      <c r="N24" s="20" t="n">
        <v>0</v>
      </c>
      <c r="O24" s="18" t="n">
        <v>0</v>
      </c>
      <c r="P24" s="20" t="n">
        <v>0</v>
      </c>
      <c r="Q24" s="18" t="n">
        <v>0</v>
      </c>
      <c r="R24" s="20" t="n">
        <v>0</v>
      </c>
    </row>
    <row r="25" spans="1:18">
      <c r="A25" s="15" t="s">
        <v>583</v>
      </c>
      <c r="B25" s="17" t="n">
        <v>2669</v>
      </c>
      <c r="C25" s="18">
        <f>(2365.0/B25*100)</f>
        <v/>
      </c>
      <c r="D25" s="19" t="n">
        <v>304</v>
      </c>
      <c r="E25" s="18" t="n">
        <v>40.08865331</v>
      </c>
      <c r="F25" s="20" t="n">
        <v>3.11232483</v>
      </c>
      <c r="G25" s="18" t="n">
        <v>59.59298487</v>
      </c>
      <c r="H25" s="20" t="n">
        <v>3.066253</v>
      </c>
      <c r="I25" s="18" t="n">
        <v>0</v>
      </c>
      <c r="J25" s="20" t="n">
        <v>0</v>
      </c>
      <c r="K25" s="18" t="n">
        <v>0</v>
      </c>
      <c r="L25" s="20" t="n">
        <v>0</v>
      </c>
      <c r="M25" s="18" t="n">
        <v>0</v>
      </c>
      <c r="N25" s="20" t="n">
        <v>0</v>
      </c>
      <c r="O25" s="18" t="n">
        <v>0</v>
      </c>
      <c r="P25" s="20" t="n">
        <v>0</v>
      </c>
      <c r="Q25" s="18" t="n">
        <v>0.31836182</v>
      </c>
      <c r="R25" s="20" t="n">
        <v>0.31909833</v>
      </c>
    </row>
    <row r="26" spans="1:18">
      <c r="A26" s="15" t="s">
        <v>584</v>
      </c>
      <c r="B26" s="17" t="n">
        <v>2419</v>
      </c>
      <c r="C26" s="18">
        <f>(2149.0/B26*100)</f>
        <v/>
      </c>
      <c r="D26" s="19" t="n">
        <v>270</v>
      </c>
      <c r="E26" s="18" t="n">
        <v>32.79521651</v>
      </c>
      <c r="F26" s="20" t="n">
        <v>3.15329075</v>
      </c>
      <c r="G26" s="18" t="n">
        <v>67.20478349</v>
      </c>
      <c r="H26" s="20" t="n">
        <v>3.15329075</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(2407.0/B27*100)</f>
        <v/>
      </c>
      <c r="D27" s="19" t="n">
        <v>276</v>
      </c>
      <c r="E27" s="18" t="n">
        <v>44.02454202</v>
      </c>
      <c r="F27" s="20" t="n">
        <v>2.85959929</v>
      </c>
      <c r="G27" s="18" t="n">
        <v>55.19075782</v>
      </c>
      <c r="H27" s="20" t="n">
        <v>2.83410309</v>
      </c>
      <c r="I27" s="18" t="n">
        <v>0</v>
      </c>
      <c r="J27" s="20" t="n">
        <v>0</v>
      </c>
      <c r="K27" s="18" t="n">
        <v>0</v>
      </c>
      <c r="L27" s="20" t="n">
        <v>0</v>
      </c>
      <c r="M27" s="18" t="n">
        <v>0</v>
      </c>
      <c r="N27" s="20" t="n">
        <v>0</v>
      </c>
      <c r="O27" s="18" t="n">
        <v>0</v>
      </c>
      <c r="P27" s="20" t="n">
        <v>0</v>
      </c>
      <c r="Q27" s="18" t="n">
        <v>0.78470016</v>
      </c>
      <c r="R27" s="20" t="n">
        <v>0.55786752</v>
      </c>
    </row>
    <row r="28" spans="1:18">
      <c r="A28" s="15" t="s">
        <v>586</v>
      </c>
      <c r="B28" s="17" t="n">
        <v>3803</v>
      </c>
      <c r="C28" s="18">
        <f>(3408.0/B28*100)</f>
        <v/>
      </c>
      <c r="D28" s="19" t="n">
        <v>395</v>
      </c>
      <c r="E28" s="18" t="n">
        <v>59.43259675</v>
      </c>
      <c r="F28" s="20" t="n">
        <v>2.7388084</v>
      </c>
      <c r="G28" s="18" t="n">
        <v>39.02301098</v>
      </c>
      <c r="H28" s="20" t="n">
        <v>2.86318742</v>
      </c>
      <c r="I28" s="18" t="n">
        <v>0</v>
      </c>
      <c r="J28" s="20" t="n">
        <v>0</v>
      </c>
      <c r="K28" s="18" t="n">
        <v>1.29352787</v>
      </c>
      <c r="L28" s="20" t="n">
        <v>0.76017172</v>
      </c>
      <c r="M28" s="18" t="n">
        <v>0</v>
      </c>
      <c r="N28" s="20" t="n">
        <v>0</v>
      </c>
      <c r="O28" s="18" t="n">
        <v>0</v>
      </c>
      <c r="P28" s="20" t="n">
        <v>0</v>
      </c>
      <c r="Q28" s="18" t="n">
        <v>0.2508644</v>
      </c>
      <c r="R28" s="20" t="n">
        <v>0.25020329</v>
      </c>
    </row>
    <row r="29" spans="1:18">
      <c r="A29" s="15" t="s">
        <v>587</v>
      </c>
      <c r="B29" s="17" t="n">
        <v>2700</v>
      </c>
      <c r="C29" s="18">
        <f>(2348.0/B29*100)</f>
        <v/>
      </c>
      <c r="D29" s="19" t="n">
        <v>352</v>
      </c>
      <c r="E29" s="18" t="n">
        <v>64.80412667</v>
      </c>
      <c r="F29" s="20" t="n">
        <v>2.51833904</v>
      </c>
      <c r="G29" s="18" t="n">
        <v>34.37342219</v>
      </c>
      <c r="H29" s="20" t="n">
        <v>2.47295769</v>
      </c>
      <c r="I29" s="18" t="n">
        <v>0</v>
      </c>
      <c r="J29" s="20" t="n">
        <v>0</v>
      </c>
      <c r="K29" s="18" t="n">
        <v>0.82245114</v>
      </c>
      <c r="L29" s="20" t="n">
        <v>0.35755229</v>
      </c>
      <c r="M29" s="18" t="n">
        <v>0</v>
      </c>
      <c r="N29" s="20" t="n">
        <v>0</v>
      </c>
      <c r="O29" s="18" t="n">
        <v>0</v>
      </c>
      <c r="P29" s="20" t="n">
        <v>0</v>
      </c>
      <c r="Q29" s="18" t="n">
        <v>0</v>
      </c>
      <c r="R29" s="20" t="n">
        <v>0</v>
      </c>
    </row>
    <row r="30" spans="1:18">
      <c r="A30" s="15" t="s">
        <v>588</v>
      </c>
      <c r="B30" s="17" t="n">
        <v>2257</v>
      </c>
      <c r="C30" s="18">
        <f>(1996.0/B30*100)</f>
        <v/>
      </c>
      <c r="D30" s="19" t="n">
        <v>261</v>
      </c>
      <c r="E30" s="18" t="n">
        <v>40.72591554</v>
      </c>
      <c r="F30" s="20" t="n">
        <v>3.28544765</v>
      </c>
      <c r="G30" s="18" t="n">
        <v>59.27408446</v>
      </c>
      <c r="H30" s="20" t="n">
        <v>3.28544765</v>
      </c>
      <c r="I30" s="18" t="n">
        <v>0</v>
      </c>
      <c r="J30" s="20" t="n">
        <v>0</v>
      </c>
      <c r="K30" s="18" t="n">
        <v>0</v>
      </c>
      <c r="L30" s="20" t="n">
        <v>0</v>
      </c>
      <c r="M30" s="18" t="n">
        <v>0</v>
      </c>
      <c r="N30" s="20" t="n">
        <v>0</v>
      </c>
      <c r="O30" s="18" t="n">
        <v>0</v>
      </c>
      <c r="P30" s="20" t="n">
        <v>0</v>
      </c>
      <c r="Q30" s="18" t="n">
        <v>0</v>
      </c>
      <c r="R30" s="20" t="n">
        <v>0</v>
      </c>
    </row>
    <row r="31" spans="1:18">
      <c r="A31" s="15" t="s">
        <v>589</v>
      </c>
      <c r="B31" s="17" t="n">
        <v>2706</v>
      </c>
      <c r="C31" s="18">
        <f>(2424.0/B31*100)</f>
        <v/>
      </c>
      <c r="D31" s="19" t="n">
        <v>282</v>
      </c>
      <c r="E31" s="18" t="n">
        <v>44.89833976</v>
      </c>
      <c r="F31" s="20" t="n">
        <v>3.61832241</v>
      </c>
      <c r="G31" s="18" t="n">
        <v>53.6825721</v>
      </c>
      <c r="H31" s="20" t="n">
        <v>3.66786427</v>
      </c>
      <c r="I31" s="18" t="n">
        <v>0</v>
      </c>
      <c r="J31" s="20" t="n">
        <v>0</v>
      </c>
      <c r="K31" s="18" t="n">
        <v>0.35028432</v>
      </c>
      <c r="L31" s="20" t="n">
        <v>0.33167264</v>
      </c>
      <c r="M31" s="18" t="n">
        <v>0</v>
      </c>
      <c r="N31" s="20" t="n">
        <v>0</v>
      </c>
      <c r="O31" s="18" t="n">
        <v>0</v>
      </c>
      <c r="P31" s="20" t="n">
        <v>0</v>
      </c>
      <c r="Q31" s="18" t="n">
        <v>1.06880382</v>
      </c>
      <c r="R31" s="20" t="n">
        <v>0.6121709400000001</v>
      </c>
    </row>
    <row r="32" spans="1:18">
      <c r="A32" s="15" t="s">
        <v>590</v>
      </c>
      <c r="B32" s="17" t="n">
        <v>2209</v>
      </c>
      <c r="C32" s="18">
        <f>(1952.0/B32*100)</f>
        <v/>
      </c>
      <c r="D32" s="19" t="n">
        <v>257</v>
      </c>
      <c r="E32" s="18" t="n">
        <v>49.65216818</v>
      </c>
      <c r="F32" s="20" t="n">
        <v>3.22310647</v>
      </c>
      <c r="G32" s="18" t="n">
        <v>49.98981305</v>
      </c>
      <c r="H32" s="20" t="n">
        <v>3.22490808</v>
      </c>
      <c r="I32" s="18" t="n">
        <v>0</v>
      </c>
      <c r="J32" s="20" t="n">
        <v>0</v>
      </c>
      <c r="K32" s="18" t="n">
        <v>0</v>
      </c>
      <c r="L32" s="20" t="n">
        <v>0</v>
      </c>
      <c r="M32" s="18" t="n">
        <v>0</v>
      </c>
      <c r="N32" s="20" t="n">
        <v>0</v>
      </c>
      <c r="O32" s="18" t="n">
        <v>0</v>
      </c>
      <c r="P32" s="20" t="n">
        <v>0</v>
      </c>
      <c r="Q32" s="18" t="n">
        <v>0.35801876</v>
      </c>
      <c r="R32" s="20" t="n">
        <v>0.35784709</v>
      </c>
    </row>
    <row r="33" spans="1:18">
      <c r="A33" s="15" t="s">
        <v>591</v>
      </c>
      <c r="B33" s="17" t="n">
        <v>3651</v>
      </c>
      <c r="C33" s="18">
        <f>(3243.0/B33*100)</f>
        <v/>
      </c>
      <c r="D33" s="19" t="n">
        <v>408</v>
      </c>
      <c r="E33" s="18" t="n">
        <v>36.3677016</v>
      </c>
      <c r="F33" s="20" t="n">
        <v>2.50663238</v>
      </c>
      <c r="G33" s="18" t="n">
        <v>63.51722371</v>
      </c>
      <c r="H33" s="20" t="n">
        <v>2.5140581</v>
      </c>
      <c r="I33" s="18" t="n">
        <v>0</v>
      </c>
      <c r="J33" s="20" t="n">
        <v>0</v>
      </c>
      <c r="K33" s="18" t="n">
        <v>0</v>
      </c>
      <c r="L33" s="20" t="n">
        <v>0</v>
      </c>
      <c r="M33" s="18" t="n">
        <v>0</v>
      </c>
      <c r="N33" s="20" t="n">
        <v>0</v>
      </c>
      <c r="O33" s="18" t="n">
        <v>0</v>
      </c>
      <c r="P33" s="20" t="n">
        <v>0</v>
      </c>
      <c r="Q33" s="18" t="n">
        <v>0.1150747</v>
      </c>
      <c r="R33" s="20" t="n">
        <v>0.11269716</v>
      </c>
    </row>
    <row r="34" spans="1:18">
      <c r="A34" s="15" t="s">
        <v>592</v>
      </c>
      <c r="B34" s="17" t="n">
        <v>3035</v>
      </c>
      <c r="C34" s="18">
        <f>(2640.0/B34*100)</f>
        <v/>
      </c>
      <c r="D34" s="19" t="n">
        <v>395</v>
      </c>
      <c r="E34" s="18" t="n">
        <v>52.29988286</v>
      </c>
      <c r="F34" s="20" t="n">
        <v>2.93614702</v>
      </c>
      <c r="G34" s="18" t="n">
        <v>47.14222953</v>
      </c>
      <c r="H34" s="20" t="n">
        <v>2.83750654</v>
      </c>
      <c r="I34" s="18" t="n">
        <v>0</v>
      </c>
      <c r="J34" s="20" t="n">
        <v>0</v>
      </c>
      <c r="K34" s="18" t="n">
        <v>0.30332538</v>
      </c>
      <c r="L34" s="20" t="n">
        <v>0.29950774</v>
      </c>
      <c r="M34" s="18" t="n">
        <v>0</v>
      </c>
      <c r="N34" s="20" t="n">
        <v>0</v>
      </c>
      <c r="O34" s="18" t="n">
        <v>0</v>
      </c>
      <c r="P34" s="20" t="n">
        <v>0</v>
      </c>
      <c r="Q34" s="18" t="n">
        <v>0.25456223</v>
      </c>
      <c r="R34" s="20" t="n">
        <v>0.29736146</v>
      </c>
    </row>
    <row r="35" spans="1:18">
      <c r="A35" s="15" t="s">
        <v>593</v>
      </c>
      <c r="B35" s="17" t="n">
        <v>2901</v>
      </c>
      <c r="C35" s="18">
        <f>(2533.0/B35*100)</f>
        <v/>
      </c>
      <c r="D35" s="19" t="n">
        <v>368</v>
      </c>
      <c r="E35" s="18" t="n">
        <v>43.37808849</v>
      </c>
      <c r="F35" s="20" t="n">
        <v>3.0943802</v>
      </c>
      <c r="G35" s="18" t="n">
        <v>56.28313753</v>
      </c>
      <c r="H35" s="20" t="n">
        <v>3.06086702</v>
      </c>
      <c r="I35" s="18" t="n">
        <v>0</v>
      </c>
      <c r="J35" s="20" t="n">
        <v>0</v>
      </c>
      <c r="K35" s="18" t="n">
        <v>0.15799677</v>
      </c>
      <c r="L35" s="20" t="n">
        <v>0.15820519</v>
      </c>
      <c r="M35" s="18" t="n">
        <v>0</v>
      </c>
      <c r="N35" s="20" t="n">
        <v>0</v>
      </c>
      <c r="O35" s="18" t="n">
        <v>0</v>
      </c>
      <c r="P35" s="20" t="n">
        <v>0</v>
      </c>
      <c r="Q35" s="18" t="n">
        <v>0.18077721</v>
      </c>
      <c r="R35" s="20" t="n">
        <v>0.18162742</v>
      </c>
    </row>
    <row r="36" spans="1:18">
      <c r="A36" s="15" t="s">
        <v>594</v>
      </c>
      <c r="B36" s="17" t="n">
        <v>3404</v>
      </c>
      <c r="C36" s="18">
        <f>(3061.0/B36*100)</f>
        <v/>
      </c>
      <c r="D36" s="19" t="n">
        <v>343</v>
      </c>
      <c r="E36" s="18" t="n">
        <v>29.49831091</v>
      </c>
      <c r="F36" s="20" t="n">
        <v>2.66414644</v>
      </c>
      <c r="G36" s="18" t="n">
        <v>70.20623795</v>
      </c>
      <c r="H36" s="20" t="n">
        <v>2.6611353</v>
      </c>
      <c r="I36" s="18" t="n">
        <v>0</v>
      </c>
      <c r="J36" s="20" t="n">
        <v>0</v>
      </c>
      <c r="K36" s="18" t="n">
        <v>0</v>
      </c>
      <c r="L36" s="20" t="n">
        <v>0</v>
      </c>
      <c r="M36" s="18" t="n">
        <v>0</v>
      </c>
      <c r="N36" s="20" t="n">
        <v>0</v>
      </c>
      <c r="O36" s="18" t="n">
        <v>0</v>
      </c>
      <c r="P36" s="20" t="n">
        <v>0</v>
      </c>
      <c r="Q36" s="18" t="n">
        <v>0.29545114</v>
      </c>
      <c r="R36" s="20" t="n">
        <v>0.3166201</v>
      </c>
    </row>
    <row r="37" spans="1:18">
      <c r="A37" s="15" t="s">
        <v>595</v>
      </c>
      <c r="B37" s="17" t="n">
        <v>2731</v>
      </c>
      <c r="C37" s="18">
        <f>(2410.0/B37*100)</f>
        <v/>
      </c>
      <c r="D37" s="19" t="n">
        <v>321</v>
      </c>
      <c r="E37" s="18" t="n">
        <v>35.4403532</v>
      </c>
      <c r="F37" s="20" t="n">
        <v>2.86518619</v>
      </c>
      <c r="G37" s="18" t="n">
        <v>64.28212513</v>
      </c>
      <c r="H37" s="20" t="n">
        <v>2.86169555</v>
      </c>
      <c r="I37" s="18" t="n">
        <v>0</v>
      </c>
      <c r="J37" s="20" t="n">
        <v>0</v>
      </c>
      <c r="K37" s="18" t="n">
        <v>0</v>
      </c>
      <c r="L37" s="20" t="n">
        <v>0</v>
      </c>
      <c r="M37" s="18" t="n">
        <v>0</v>
      </c>
      <c r="N37" s="20" t="n">
        <v>0</v>
      </c>
      <c r="O37" s="18" t="n">
        <v>0</v>
      </c>
      <c r="P37" s="20" t="n">
        <v>0</v>
      </c>
      <c r="Q37" s="18" t="n">
        <v>0.27752168</v>
      </c>
      <c r="R37" s="20" t="n">
        <v>0.27731235</v>
      </c>
    </row>
    <row r="38" spans="1:18">
      <c r="A38" s="15" t="s">
        <v>596</v>
      </c>
      <c r="B38" s="17" t="n">
        <v>2807</v>
      </c>
      <c r="C38" s="18">
        <f>(2516.0/B38*100)</f>
        <v/>
      </c>
      <c r="D38" s="19" t="n">
        <v>291</v>
      </c>
      <c r="E38" s="18" t="n">
        <v>45.33629339</v>
      </c>
      <c r="F38" s="20" t="n">
        <v>3.53428095</v>
      </c>
      <c r="G38" s="18" t="n">
        <v>53.86565024</v>
      </c>
      <c r="H38" s="20" t="n">
        <v>3.54871368</v>
      </c>
      <c r="I38" s="18" t="n">
        <v>0</v>
      </c>
      <c r="J38" s="20" t="n">
        <v>0</v>
      </c>
      <c r="K38" s="18" t="n">
        <v>0</v>
      </c>
      <c r="L38" s="20" t="n">
        <v>0</v>
      </c>
      <c r="M38" s="18" t="n">
        <v>0</v>
      </c>
      <c r="N38" s="20" t="n">
        <v>0</v>
      </c>
      <c r="O38" s="18" t="n">
        <v>0</v>
      </c>
      <c r="P38" s="20" t="n">
        <v>0</v>
      </c>
      <c r="Q38" s="18" t="n">
        <v>0.79805638</v>
      </c>
      <c r="R38" s="20" t="n">
        <v>0.56975026</v>
      </c>
    </row>
    <row r="39" spans="1:18">
      <c r="A39" s="15" t="s">
        <v>597</v>
      </c>
      <c r="B39" s="17" t="n">
        <v>2938</v>
      </c>
      <c r="C39" s="18">
        <f>(2634.0/B39*100)</f>
        <v/>
      </c>
      <c r="D39" s="19" t="n">
        <v>304</v>
      </c>
      <c r="E39" s="18" t="n">
        <v>48.02417738</v>
      </c>
      <c r="F39" s="20" t="n">
        <v>2.94514236</v>
      </c>
      <c r="G39" s="18" t="n">
        <v>50.33700714</v>
      </c>
      <c r="H39" s="20" t="n">
        <v>3.01393272</v>
      </c>
      <c r="I39" s="18" t="n">
        <v>0</v>
      </c>
      <c r="J39" s="20" t="n">
        <v>0</v>
      </c>
      <c r="K39" s="18" t="n">
        <v>1.33665559</v>
      </c>
      <c r="L39" s="20" t="n">
        <v>1.26076665</v>
      </c>
      <c r="M39" s="18" t="n">
        <v>0</v>
      </c>
      <c r="N39" s="20" t="n">
        <v>0</v>
      </c>
      <c r="O39" s="18" t="n">
        <v>0</v>
      </c>
      <c r="P39" s="20" t="n">
        <v>0</v>
      </c>
      <c r="Q39" s="18" t="n">
        <v>0.30215989</v>
      </c>
      <c r="R39" s="20" t="n">
        <v>0.23043558</v>
      </c>
    </row>
    <row r="40" spans="1:18">
      <c r="A40" s="15" t="s">
        <v>598</v>
      </c>
      <c r="B40" s="17" t="n">
        <v>6922</v>
      </c>
      <c r="C40" s="18">
        <f>(6151.0/B40*100)</f>
        <v/>
      </c>
      <c r="D40" s="19" t="n">
        <v>771</v>
      </c>
      <c r="E40" s="18" t="n">
        <v>42.48704991</v>
      </c>
      <c r="F40" s="20" t="n">
        <v>3.00422325</v>
      </c>
      <c r="G40" s="18" t="n">
        <v>55.85759009</v>
      </c>
      <c r="H40" s="20" t="n">
        <v>3.22441055</v>
      </c>
      <c r="I40" s="18" t="n">
        <v>0</v>
      </c>
      <c r="J40" s="20" t="n">
        <v>0</v>
      </c>
      <c r="K40" s="18" t="n">
        <v>0.46272687</v>
      </c>
      <c r="L40" s="20" t="n">
        <v>0.40546434</v>
      </c>
      <c r="M40" s="18" t="n">
        <v>0</v>
      </c>
      <c r="N40" s="20" t="n">
        <v>0</v>
      </c>
      <c r="O40" s="18" t="n">
        <v>0</v>
      </c>
      <c r="P40" s="20" t="n">
        <v>0</v>
      </c>
      <c r="Q40" s="18" t="n">
        <v>1.19263314</v>
      </c>
      <c r="R40" s="20" t="n">
        <v>0.61248872</v>
      </c>
    </row>
    <row r="41" spans="1:18">
      <c r="A41" s="15" t="s">
        <v>599</v>
      </c>
      <c r="B41" s="17" t="n">
        <v>2854</v>
      </c>
      <c r="C41" s="18">
        <f>(2528.0/B41*100)</f>
        <v/>
      </c>
      <c r="D41" s="19" t="n">
        <v>326</v>
      </c>
      <c r="E41" s="18" t="n">
        <v>39.81126547</v>
      </c>
      <c r="F41" s="20" t="n">
        <v>2.6723519</v>
      </c>
      <c r="G41" s="18" t="n">
        <v>60.18873453</v>
      </c>
      <c r="H41" s="20" t="n">
        <v>2.6723519</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(10930.0/B46*100)</f>
        <v/>
      </c>
      <c r="D46" s="19" t="n">
        <v>1143</v>
      </c>
      <c r="E46" s="18" t="n">
        <v>69.00284884</v>
      </c>
      <c r="F46" s="20" t="n">
        <v>2.11260445</v>
      </c>
      <c r="G46" s="18" t="n">
        <v>28.08884622</v>
      </c>
      <c r="H46" s="20" t="n">
        <v>1.98305888</v>
      </c>
      <c r="I46" s="18" t="n">
        <v>0</v>
      </c>
      <c r="J46" s="20" t="n">
        <v>0</v>
      </c>
      <c r="K46" s="18" t="n">
        <v>1.19243437</v>
      </c>
      <c r="L46" s="20" t="n">
        <v>0.41331205</v>
      </c>
      <c r="M46" s="18" t="n">
        <v>0</v>
      </c>
      <c r="N46" s="20" t="n">
        <v>0</v>
      </c>
      <c r="O46" s="18" t="n">
        <v>0</v>
      </c>
      <c r="P46" s="20" t="n">
        <v>0</v>
      </c>
      <c r="Q46" s="18" t="n">
        <v>1.71587058</v>
      </c>
      <c r="R46" s="20" t="n">
        <v>0.59278136</v>
      </c>
    </row>
    <row r="47" spans="1:18">
      <c r="A47" s="15" t="s">
        <v>606</v>
      </c>
      <c r="B47" s="17" t="n">
        <v>2823</v>
      </c>
      <c r="C47" s="18">
        <f>(2527.0/B47*100)</f>
        <v/>
      </c>
      <c r="D47" s="19" t="n">
        <v>296</v>
      </c>
      <c r="E47" s="18" t="n">
        <v>37.61474182</v>
      </c>
      <c r="F47" s="20" t="n">
        <v>2.87013122</v>
      </c>
      <c r="G47" s="18" t="n">
        <v>61.68887867</v>
      </c>
      <c r="H47" s="20" t="n">
        <v>2.93387587</v>
      </c>
      <c r="I47" s="18" t="n">
        <v>0</v>
      </c>
      <c r="J47" s="20" t="n">
        <v>0</v>
      </c>
      <c r="K47" s="18" t="n">
        <v>0.69637951</v>
      </c>
      <c r="L47" s="20" t="n">
        <v>0.4900454</v>
      </c>
      <c r="M47" s="18" t="n">
        <v>0</v>
      </c>
      <c r="N47" s="20" t="n">
        <v>0</v>
      </c>
      <c r="O47" s="18" t="n">
        <v>0</v>
      </c>
      <c r="P47" s="20" t="n">
        <v>0</v>
      </c>
      <c r="Q47" s="18" t="n">
        <v>0</v>
      </c>
      <c r="R47" s="20" t="n">
        <v>0</v>
      </c>
    </row>
    <row r="48" spans="1:18">
      <c r="A48" s="15" t="s">
        <v>607</v>
      </c>
      <c r="B48" s="17" t="n">
        <v>4682</v>
      </c>
      <c r="C48" s="18">
        <f>(4157.0/B48*100)</f>
        <v/>
      </c>
      <c r="D48" s="19" t="n">
        <v>525</v>
      </c>
      <c r="E48" s="18" t="n">
        <v>46.2905686</v>
      </c>
      <c r="F48" s="20" t="n">
        <v>3.40687238</v>
      </c>
      <c r="G48" s="18" t="n">
        <v>52.17939747</v>
      </c>
      <c r="H48" s="20" t="n">
        <v>3.4561707</v>
      </c>
      <c r="I48" s="18" t="n">
        <v>0</v>
      </c>
      <c r="J48" s="20" t="n">
        <v>0</v>
      </c>
      <c r="K48" s="18" t="n">
        <v>1.2004235</v>
      </c>
      <c r="L48" s="20" t="n">
        <v>0.37005631</v>
      </c>
      <c r="M48" s="18" t="n">
        <v>0</v>
      </c>
      <c r="N48" s="20" t="n">
        <v>0</v>
      </c>
      <c r="O48" s="18" t="n">
        <v>0</v>
      </c>
      <c r="P48" s="20" t="n">
        <v>0</v>
      </c>
      <c r="Q48" s="18" t="n">
        <v>0.32961044</v>
      </c>
      <c r="R48" s="20" t="n">
        <v>0.32849009</v>
      </c>
    </row>
    <row r="49" spans="1:18">
      <c r="A49" s="15" t="s">
        <v>608</v>
      </c>
      <c r="B49" s="17" t="n">
        <v>6158</v>
      </c>
      <c r="C49" s="18">
        <f>(5467.0/B49*100)</f>
        <v/>
      </c>
      <c r="D49" s="19" t="n">
        <v>691</v>
      </c>
      <c r="E49" s="18" t="n">
        <v>70.18464285</v>
      </c>
      <c r="F49" s="20" t="n">
        <v>2.30487785</v>
      </c>
      <c r="G49" s="18" t="n">
        <v>28.58989275</v>
      </c>
      <c r="H49" s="20" t="n">
        <v>2.28566115</v>
      </c>
      <c r="I49" s="18" t="n">
        <v>0</v>
      </c>
      <c r="J49" s="20" t="n">
        <v>0</v>
      </c>
      <c r="K49" s="18" t="n">
        <v>0.52467377</v>
      </c>
      <c r="L49" s="20" t="n">
        <v>0.27213112</v>
      </c>
      <c r="M49" s="18" t="n">
        <v>0</v>
      </c>
      <c r="N49" s="20" t="n">
        <v>0</v>
      </c>
      <c r="O49" s="18" t="n">
        <v>0</v>
      </c>
      <c r="P49" s="20" t="n">
        <v>0</v>
      </c>
      <c r="Q49" s="18" t="n">
        <v>0.70079063</v>
      </c>
      <c r="R49" s="20" t="n">
        <v>0.40968853</v>
      </c>
    </row>
    <row r="50" spans="1:18">
      <c r="A50" s="15" t="s">
        <v>609</v>
      </c>
      <c r="B50" s="17" t="n">
        <v>3494</v>
      </c>
      <c r="C50" s="18">
        <f>(2813.0/B50*100)</f>
        <v/>
      </c>
      <c r="D50" s="19" t="n">
        <v>681</v>
      </c>
      <c r="E50" s="18" t="n">
        <v>72.52651448</v>
      </c>
      <c r="F50" s="20" t="n">
        <v>1.75406055</v>
      </c>
      <c r="G50" s="18" t="n">
        <v>26.86951363</v>
      </c>
      <c r="H50" s="20" t="n">
        <v>1.70314141</v>
      </c>
      <c r="I50" s="18" t="n">
        <v>0</v>
      </c>
      <c r="J50" s="20" t="n">
        <v>0</v>
      </c>
      <c r="K50" s="18" t="n">
        <v>0</v>
      </c>
      <c r="L50" s="20" t="n">
        <v>0</v>
      </c>
      <c r="M50" s="18" t="n">
        <v>0</v>
      </c>
      <c r="N50" s="20" t="n">
        <v>0</v>
      </c>
      <c r="O50" s="18" t="n">
        <v>0</v>
      </c>
      <c r="P50" s="20" t="n">
        <v>0</v>
      </c>
      <c r="Q50" s="18" t="n">
        <v>0.6039719</v>
      </c>
      <c r="R50" s="20" t="n">
        <v>0.29724027</v>
      </c>
    </row>
    <row r="51" spans="1:18">
      <c r="A51" s="15" t="s">
        <v>610</v>
      </c>
      <c r="B51" s="17" t="n">
        <v>3013</v>
      </c>
      <c r="C51" s="18">
        <f>(2675.0/B51*100)</f>
        <v/>
      </c>
      <c r="D51" s="19" t="n">
        <v>338</v>
      </c>
      <c r="E51" s="18" t="n">
        <v>50.82719407</v>
      </c>
      <c r="F51" s="20" t="n">
        <v>3.11545524</v>
      </c>
      <c r="G51" s="18" t="n">
        <v>49.17280593</v>
      </c>
      <c r="H51" s="20" t="n">
        <v>3.11545524</v>
      </c>
      <c r="I51" s="18" t="n">
        <v>0</v>
      </c>
      <c r="J51" s="20" t="n">
        <v>0</v>
      </c>
      <c r="K51" s="18" t="n">
        <v>0</v>
      </c>
      <c r="L51" s="20" t="n">
        <v>0</v>
      </c>
      <c r="M51" s="18" t="n">
        <v>0</v>
      </c>
      <c r="N51" s="20" t="n">
        <v>0</v>
      </c>
      <c r="O51" s="18" t="n">
        <v>0</v>
      </c>
      <c r="P51" s="20" t="n">
        <v>0</v>
      </c>
      <c r="Q51" s="18" t="n">
        <v>0</v>
      </c>
      <c r="R51" s="20" t="n">
        <v>0</v>
      </c>
    </row>
    <row r="52" spans="1:18">
      <c r="A52" s="15" t="s">
        <v>611</v>
      </c>
      <c r="B52" s="17" t="n">
        <v>2760</v>
      </c>
      <c r="C52" s="18">
        <f>(2459.0/B52*100)</f>
        <v/>
      </c>
      <c r="D52" s="19" t="n">
        <v>301</v>
      </c>
      <c r="E52" s="18" t="n">
        <v>68.52093247000001</v>
      </c>
      <c r="F52" s="20" t="n">
        <v>2.72773699</v>
      </c>
      <c r="G52" s="18" t="n">
        <v>29.97995667</v>
      </c>
      <c r="H52" s="20" t="n">
        <v>2.71716479</v>
      </c>
      <c r="I52" s="18" t="n">
        <v>0</v>
      </c>
      <c r="J52" s="20" t="n">
        <v>0</v>
      </c>
      <c r="K52" s="18" t="n">
        <v>0</v>
      </c>
      <c r="L52" s="20" t="n">
        <v>0</v>
      </c>
      <c r="M52" s="18" t="n">
        <v>0</v>
      </c>
      <c r="N52" s="20" t="n">
        <v>0</v>
      </c>
      <c r="O52" s="18" t="n">
        <v>0</v>
      </c>
      <c r="P52" s="20" t="n">
        <v>0</v>
      </c>
      <c r="Q52" s="18" t="n">
        <v>1.49911086</v>
      </c>
      <c r="R52" s="20" t="n">
        <v>0.6876314</v>
      </c>
    </row>
    <row r="53" spans="1:18">
      <c r="A53" s="15" t="s">
        <v>612</v>
      </c>
      <c r="B53" s="17" t="n">
        <v>2474</v>
      </c>
      <c r="C53" s="18">
        <f>(2209.0/B53*100)</f>
        <v/>
      </c>
      <c r="D53" s="19" t="n">
        <v>265</v>
      </c>
      <c r="E53" s="18" t="n">
        <v>78.42031123</v>
      </c>
      <c r="F53" s="20" t="n">
        <v>2.70801129</v>
      </c>
      <c r="G53" s="18" t="n">
        <v>10.04594506</v>
      </c>
      <c r="H53" s="20" t="n">
        <v>2.01492406</v>
      </c>
      <c r="I53" s="18" t="n">
        <v>0</v>
      </c>
      <c r="J53" s="20" t="n">
        <v>0</v>
      </c>
      <c r="K53" s="18" t="n">
        <v>9.81171266</v>
      </c>
      <c r="L53" s="20" t="n">
        <v>2.03952562</v>
      </c>
      <c r="M53" s="18" t="n">
        <v>0</v>
      </c>
      <c r="N53" s="20" t="n">
        <v>0</v>
      </c>
      <c r="O53" s="18" t="n">
        <v>0</v>
      </c>
      <c r="P53" s="20" t="n">
        <v>0</v>
      </c>
      <c r="Q53" s="18" t="n">
        <v>1.72203105</v>
      </c>
      <c r="R53" s="20" t="n">
        <v>0.9173990400000001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(2380.0/B55*100)</f>
        <v/>
      </c>
      <c r="D55" s="19" t="n">
        <v>295</v>
      </c>
      <c r="E55" s="18" t="n">
        <v>37.08718607</v>
      </c>
      <c r="F55" s="20" t="n">
        <v>3.23064414</v>
      </c>
      <c r="G55" s="18" t="n">
        <v>62.60154583</v>
      </c>
      <c r="H55" s="20" t="n">
        <v>3.17197628</v>
      </c>
      <c r="I55" s="18" t="n">
        <v>0</v>
      </c>
      <c r="J55" s="20" t="n">
        <v>0</v>
      </c>
      <c r="K55" s="18" t="n">
        <v>0.31126809</v>
      </c>
      <c r="L55" s="20" t="n">
        <v>0.34872341</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(2852.0/B61*100)</f>
        <v/>
      </c>
      <c r="D61" s="19" t="n">
        <v>349</v>
      </c>
      <c r="E61" s="18" t="n">
        <v>49.23639753</v>
      </c>
      <c r="F61" s="20" t="n">
        <v>2.89306543</v>
      </c>
      <c r="G61" s="18" t="n">
        <v>50.12628753</v>
      </c>
      <c r="H61" s="20" t="n">
        <v>2.88357916</v>
      </c>
      <c r="I61" s="18" t="n">
        <v>0</v>
      </c>
      <c r="J61" s="20" t="n">
        <v>0</v>
      </c>
      <c r="K61" s="18" t="n">
        <v>0.34882621</v>
      </c>
      <c r="L61" s="20" t="n">
        <v>0.35172332</v>
      </c>
      <c r="M61" s="18" t="n">
        <v>0</v>
      </c>
      <c r="N61" s="20" t="n">
        <v>0</v>
      </c>
      <c r="O61" s="18" t="n">
        <v>0</v>
      </c>
      <c r="P61" s="20" t="n">
        <v>0</v>
      </c>
      <c r="Q61" s="18" t="n">
        <v>0.28848873</v>
      </c>
      <c r="R61" s="20" t="n">
        <v>0.27814507</v>
      </c>
    </row>
    <row r="62" spans="1:18">
      <c r="A62" s="15" t="s">
        <v>622</v>
      </c>
      <c r="B62" s="17" t="n">
        <v>2230</v>
      </c>
      <c r="C62" s="18">
        <f>(1978.0/B62*100)</f>
        <v/>
      </c>
      <c r="D62" s="19" t="n">
        <v>252</v>
      </c>
      <c r="E62" s="18" t="n">
        <v>42.13531553</v>
      </c>
      <c r="F62" s="20" t="n">
        <v>2.82821997</v>
      </c>
      <c r="G62" s="18" t="n">
        <v>57.86468447</v>
      </c>
      <c r="H62" s="20" t="n">
        <v>2.82821997</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(2466.0/B67*100)</f>
        <v/>
      </c>
      <c r="D67" s="19" t="n">
        <v>305</v>
      </c>
      <c r="E67" s="18" t="n">
        <v>60.53931735</v>
      </c>
      <c r="F67" s="20" t="n">
        <v>2.55878729</v>
      </c>
      <c r="G67" s="18" t="n">
        <v>36.90592706</v>
      </c>
      <c r="H67" s="20" t="n">
        <v>2.53053737</v>
      </c>
      <c r="I67" s="18" t="n">
        <v>0</v>
      </c>
      <c r="J67" s="20" t="n">
        <v>0</v>
      </c>
      <c r="K67" s="18" t="n">
        <v>0.56352108</v>
      </c>
      <c r="L67" s="20" t="n">
        <v>0.3956223</v>
      </c>
      <c r="M67" s="18" t="n">
        <v>0</v>
      </c>
      <c r="N67" s="20" t="n">
        <v>0</v>
      </c>
      <c r="O67" s="18" t="n">
        <v>0</v>
      </c>
      <c r="P67" s="20" t="n">
        <v>0</v>
      </c>
      <c r="Q67" s="18" t="n">
        <v>1.99123451</v>
      </c>
      <c r="R67" s="20" t="n">
        <v>0.80787254</v>
      </c>
    </row>
    <row r="68" spans="1:18">
      <c r="A68" s="15" t="s">
        <v>628</v>
      </c>
      <c r="B68" s="17" t="n">
        <v>3460</v>
      </c>
      <c r="C68" s="18">
        <f>(3100.0/B68*100)</f>
        <v/>
      </c>
      <c r="D68" s="19" t="n">
        <v>360</v>
      </c>
      <c r="E68" s="18" t="n">
        <v>68.03159917000001</v>
      </c>
      <c r="F68" s="20" t="n">
        <v>2.30402373</v>
      </c>
      <c r="G68" s="18" t="n">
        <v>30.95457723</v>
      </c>
      <c r="H68" s="20" t="n">
        <v>2.24073908</v>
      </c>
      <c r="I68" s="18" t="n">
        <v>0</v>
      </c>
      <c r="J68" s="20" t="n">
        <v>0</v>
      </c>
      <c r="K68" s="18" t="n">
        <v>0</v>
      </c>
      <c r="L68" s="20" t="n">
        <v>0</v>
      </c>
      <c r="M68" s="18" t="n">
        <v>0</v>
      </c>
      <c r="N68" s="20" t="n">
        <v>0</v>
      </c>
      <c r="O68" s="18" t="n">
        <v>0</v>
      </c>
      <c r="P68" s="20" t="n">
        <v>0</v>
      </c>
      <c r="Q68" s="18" t="n">
        <v>1.0138236</v>
      </c>
      <c r="R68" s="20" t="n">
        <v>0.59718184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(5362.0/B70*100)</f>
        <v/>
      </c>
      <c r="D70" s="19" t="n">
        <v>672</v>
      </c>
      <c r="E70" s="18" t="n">
        <v>47.89667453</v>
      </c>
      <c r="F70" s="20" t="n">
        <v>1.99574002</v>
      </c>
      <c r="G70" s="18" t="n">
        <v>50.62115142</v>
      </c>
      <c r="H70" s="20" t="n">
        <v>1.93384556</v>
      </c>
      <c r="I70" s="18" t="n">
        <v>0</v>
      </c>
      <c r="J70" s="20" t="n">
        <v>0</v>
      </c>
      <c r="K70" s="18" t="n">
        <v>0.61026289</v>
      </c>
      <c r="L70" s="20" t="n">
        <v>0.31049726</v>
      </c>
      <c r="M70" s="18" t="n">
        <v>0</v>
      </c>
      <c r="N70" s="20" t="n">
        <v>0</v>
      </c>
      <c r="O70" s="18" t="n">
        <v>0</v>
      </c>
      <c r="P70" s="20" t="n">
        <v>0</v>
      </c>
      <c r="Q70" s="18" t="n">
        <v>0.87191115</v>
      </c>
      <c r="R70" s="20" t="n">
        <v>0.35181454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(2788.0/B72*100)</f>
        <v/>
      </c>
      <c r="D72" s="19" t="n">
        <v>319</v>
      </c>
      <c r="E72" s="18" t="n">
        <v>31.06089126</v>
      </c>
      <c r="F72" s="20" t="n">
        <v>1.99804935</v>
      </c>
      <c r="G72" s="18" t="n">
        <v>68.08957362</v>
      </c>
      <c r="H72" s="20" t="n">
        <v>2.09246436</v>
      </c>
      <c r="I72" s="18" t="n">
        <v>0</v>
      </c>
      <c r="J72" s="20" t="n">
        <v>0</v>
      </c>
      <c r="K72" s="18" t="n">
        <v>0.61761889</v>
      </c>
      <c r="L72" s="20" t="n">
        <v>0.53342515</v>
      </c>
      <c r="M72" s="18" t="n">
        <v>0</v>
      </c>
      <c r="N72" s="20" t="n">
        <v>0</v>
      </c>
      <c r="O72" s="18" t="n">
        <v>0</v>
      </c>
      <c r="P72" s="20" t="n">
        <v>0</v>
      </c>
      <c r="Q72" s="18" t="n">
        <v>0.23191623</v>
      </c>
      <c r="R72" s="20" t="n">
        <v>0.16435494</v>
      </c>
    </row>
    <row r="73" spans="1:18">
      <c r="A73" s="15" t="s">
        <v>633</v>
      </c>
      <c r="B73" s="17" t="n">
        <v>2973</v>
      </c>
      <c r="C73" s="18">
        <f>(2637.0/B73*100)</f>
        <v/>
      </c>
      <c r="D73" s="19" t="n">
        <v>336</v>
      </c>
      <c r="E73" s="18" t="n">
        <v>57.51429806</v>
      </c>
      <c r="F73" s="20" t="n">
        <v>3.04298077</v>
      </c>
      <c r="G73" s="18" t="n">
        <v>41.97641639</v>
      </c>
      <c r="H73" s="20" t="n">
        <v>3.08797877</v>
      </c>
      <c r="I73" s="18" t="n">
        <v>0</v>
      </c>
      <c r="J73" s="20" t="n">
        <v>0</v>
      </c>
      <c r="K73" s="18" t="n">
        <v>0</v>
      </c>
      <c r="L73" s="20" t="n">
        <v>0</v>
      </c>
      <c r="M73" s="18" t="n">
        <v>0</v>
      </c>
      <c r="N73" s="20" t="n">
        <v>0</v>
      </c>
      <c r="O73" s="18" t="n">
        <v>0</v>
      </c>
      <c r="P73" s="20" t="n">
        <v>0</v>
      </c>
      <c r="Q73" s="18" t="n">
        <v>0.50928555</v>
      </c>
      <c r="R73" s="20" t="n">
        <v>0.38442017</v>
      </c>
    </row>
    <row r="74" spans="1:18">
      <c r="A74" s="15" t="s">
        <v>634</v>
      </c>
      <c r="B74" s="17" t="n">
        <v>3819</v>
      </c>
      <c r="C74" s="18">
        <f>(3407.0/B74*100)</f>
        <v/>
      </c>
      <c r="D74" s="19" t="n">
        <v>412</v>
      </c>
      <c r="E74" s="18" t="n">
        <v>49.32208164</v>
      </c>
      <c r="F74" s="20" t="n">
        <v>2.34194349</v>
      </c>
      <c r="G74" s="18" t="n">
        <v>50.33803411</v>
      </c>
      <c r="H74" s="20" t="n">
        <v>2.33295217</v>
      </c>
      <c r="I74" s="18" t="n">
        <v>0</v>
      </c>
      <c r="J74" s="20" t="n">
        <v>0</v>
      </c>
      <c r="K74" s="18" t="n">
        <v>0.33988425</v>
      </c>
      <c r="L74" s="20" t="n">
        <v>0.24921179</v>
      </c>
      <c r="M74" s="18" t="n">
        <v>0</v>
      </c>
      <c r="N74" s="20" t="n">
        <v>0</v>
      </c>
      <c r="O74" s="18" t="n">
        <v>0</v>
      </c>
      <c r="P74" s="20" t="n">
        <v>0</v>
      </c>
      <c r="Q74" s="18" t="n">
        <v>0</v>
      </c>
      <c r="R74" s="20" t="n">
        <v>0</v>
      </c>
    </row>
    <row r="75" spans="1:18">
      <c r="A75" s="15" t="s">
        <v>635</v>
      </c>
      <c r="B75" s="17" t="n">
        <v>4652</v>
      </c>
      <c r="C75" s="18">
        <f>(4149.0/B75*100)</f>
        <v/>
      </c>
      <c r="D75" s="19" t="n">
        <v>503</v>
      </c>
      <c r="E75" s="18" t="n">
        <v>56.05361591</v>
      </c>
      <c r="F75" s="20" t="n">
        <v>2.92116029</v>
      </c>
      <c r="G75" s="18" t="n">
        <v>43.76879511</v>
      </c>
      <c r="H75" s="20" t="n">
        <v>2.91866947</v>
      </c>
      <c r="I75" s="18" t="n">
        <v>0</v>
      </c>
      <c r="J75" s="20" t="n">
        <v>0</v>
      </c>
      <c r="K75" s="18" t="n">
        <v>0</v>
      </c>
      <c r="L75" s="20" t="n">
        <v>0</v>
      </c>
      <c r="M75" s="18" t="n">
        <v>0</v>
      </c>
      <c r="N75" s="20" t="n">
        <v>0</v>
      </c>
      <c r="O75" s="18" t="n">
        <v>0</v>
      </c>
      <c r="P75" s="20" t="n">
        <v>0</v>
      </c>
      <c r="Q75" s="18" t="n">
        <v>0.17758898</v>
      </c>
      <c r="R75" s="20" t="n">
        <v>0.18083877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(2671.0/B77*100)</f>
        <v/>
      </c>
      <c r="D77" s="19" t="n">
        <v>298</v>
      </c>
      <c r="E77" s="18" t="n">
        <v>79.11509864999999</v>
      </c>
      <c r="F77" s="20" t="n">
        <v>2.28575107</v>
      </c>
      <c r="G77" s="18" t="n">
        <v>18.86033442</v>
      </c>
      <c r="H77" s="20" t="n">
        <v>2.20194163</v>
      </c>
      <c r="I77" s="18" t="n">
        <v>0</v>
      </c>
      <c r="J77" s="20" t="n">
        <v>0</v>
      </c>
      <c r="K77" s="18" t="n">
        <v>1.55404186</v>
      </c>
      <c r="L77" s="20" t="n">
        <v>1.0133185</v>
      </c>
      <c r="M77" s="18" t="n">
        <v>0</v>
      </c>
      <c r="N77" s="20" t="n">
        <v>0</v>
      </c>
      <c r="O77" s="18" t="n">
        <v>0</v>
      </c>
      <c r="P77" s="20" t="n">
        <v>0</v>
      </c>
      <c r="Q77" s="18" t="n">
        <v>0.47052507</v>
      </c>
      <c r="R77" s="20" t="n">
        <v>0.34339678</v>
      </c>
    </row>
    <row r="78" spans="1:18">
      <c r="A78" s="15" t="s">
        <v>638</v>
      </c>
      <c r="B78" s="17" t="n">
        <v>7115</v>
      </c>
      <c r="C78" s="18">
        <f>(6331.0/B78*100)</f>
        <v/>
      </c>
      <c r="D78" s="19" t="n">
        <v>784</v>
      </c>
      <c r="E78" s="18" t="n">
        <v>44.87849921</v>
      </c>
      <c r="F78" s="20" t="n">
        <v>1.77513311</v>
      </c>
      <c r="G78" s="18" t="n">
        <v>54.12324352</v>
      </c>
      <c r="H78" s="20" t="n">
        <v>1.83491209</v>
      </c>
      <c r="I78" s="18" t="n">
        <v>0</v>
      </c>
      <c r="J78" s="20" t="n">
        <v>0</v>
      </c>
      <c r="K78" s="18" t="n">
        <v>0.67104215</v>
      </c>
      <c r="L78" s="20" t="n">
        <v>0.33504821</v>
      </c>
      <c r="M78" s="18" t="n">
        <v>0</v>
      </c>
      <c r="N78" s="20" t="n">
        <v>0</v>
      </c>
      <c r="O78" s="18" t="n">
        <v>0</v>
      </c>
      <c r="P78" s="20" t="n">
        <v>0</v>
      </c>
      <c r="Q78" s="18" t="n">
        <v>0.32721512</v>
      </c>
      <c r="R78" s="20" t="n">
        <v>0.13755501</v>
      </c>
    </row>
    <row r="79" spans="1:18">
      <c r="A79" s="15" t="s">
        <v>639</v>
      </c>
      <c r="B79" s="17" t="n">
        <v>3154</v>
      </c>
      <c r="C79" s="18">
        <f>(2816.0/B79*100)</f>
        <v/>
      </c>
      <c r="D79" s="19" t="n">
        <v>338</v>
      </c>
      <c r="E79" s="18" t="n">
        <v>59.55382794</v>
      </c>
      <c r="F79" s="20" t="n">
        <v>2.96816349</v>
      </c>
      <c r="G79" s="18" t="n">
        <v>38.29461916</v>
      </c>
      <c r="H79" s="20" t="n">
        <v>2.84824301</v>
      </c>
      <c r="I79" s="18" t="n">
        <v>0</v>
      </c>
      <c r="J79" s="20" t="n">
        <v>0</v>
      </c>
      <c r="K79" s="18" t="n">
        <v>0.53414044</v>
      </c>
      <c r="L79" s="20" t="n">
        <v>0.39285269</v>
      </c>
      <c r="M79" s="18" t="n">
        <v>0</v>
      </c>
      <c r="N79" s="20" t="n">
        <v>0</v>
      </c>
      <c r="O79" s="18" t="n">
        <v>0</v>
      </c>
      <c r="P79" s="20" t="n">
        <v>0</v>
      </c>
      <c r="Q79" s="18" t="n">
        <v>1.61741245</v>
      </c>
      <c r="R79" s="20" t="n">
        <v>0.6993228500000001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(14195.0/B82*100)</f>
        <v/>
      </c>
      <c r="D82" s="19" t="n">
        <v>1766</v>
      </c>
      <c r="E82" s="18" t="n">
        <v>30.687922</v>
      </c>
      <c r="F82" s="20" t="n">
        <v>1.83494085</v>
      </c>
      <c r="G82" s="18" t="n">
        <v>68.4831241</v>
      </c>
      <c r="H82" s="20" t="n">
        <v>1.80849884</v>
      </c>
      <c r="I82" s="18" t="n">
        <v>0</v>
      </c>
      <c r="J82" s="20" t="n">
        <v>0</v>
      </c>
      <c r="K82" s="18" t="n">
        <v>0.13063272</v>
      </c>
      <c r="L82" s="20" t="n">
        <v>0.07691401</v>
      </c>
      <c r="M82" s="18" t="n">
        <v>0</v>
      </c>
      <c r="N82" s="20" t="n">
        <v>0</v>
      </c>
      <c r="O82" s="18" t="n">
        <v>0</v>
      </c>
      <c r="P82" s="20" t="n">
        <v>0</v>
      </c>
      <c r="Q82" s="18" t="n">
        <v>0.69832118</v>
      </c>
      <c r="R82" s="20" t="n">
        <v>0.33403975</v>
      </c>
    </row>
    <row r="83" spans="1:18">
      <c r="A83" s="15" t="s">
        <v>643</v>
      </c>
      <c r="B83" s="17" t="n">
        <v>808</v>
      </c>
      <c r="C83" s="18">
        <f>(704.0/B83*100)</f>
        <v/>
      </c>
      <c r="D83" s="19" t="n">
        <v>104</v>
      </c>
      <c r="E83" s="18" t="n">
        <v>38.50985065</v>
      </c>
      <c r="F83" s="20" t="n">
        <v>5.52691416</v>
      </c>
      <c r="G83" s="18" t="n">
        <v>61.49014935</v>
      </c>
      <c r="H83" s="20" t="n">
        <v>5.52691416</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(815.0/B84*100)</f>
        <v/>
      </c>
      <c r="D84" s="19" t="n">
        <v>123</v>
      </c>
      <c r="E84" s="18" t="n">
        <v>46.57315625</v>
      </c>
      <c r="F84" s="20" t="n">
        <v>4.9478944</v>
      </c>
      <c r="G84" s="18" t="n">
        <v>53.42684375</v>
      </c>
      <c r="H84" s="20" t="n">
        <v>4.9478944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(6386.0/B7*100)</f>
        <v/>
      </c>
      <c r="D7" s="19" t="n">
        <v>777</v>
      </c>
      <c r="E7" s="18" t="n">
        <v>54.49258508</v>
      </c>
      <c r="F7" s="20" t="n">
        <v>2.3735466</v>
      </c>
      <c r="G7" s="18" t="n">
        <v>44.58261272</v>
      </c>
      <c r="H7" s="20" t="n">
        <v>2.34918982</v>
      </c>
      <c r="I7" s="18" t="n">
        <v>0</v>
      </c>
      <c r="J7" s="20" t="n">
        <v>0</v>
      </c>
      <c r="K7" s="18" t="n">
        <v>0.35853241</v>
      </c>
      <c r="L7" s="20" t="n">
        <v>0.22473656</v>
      </c>
      <c r="M7" s="18" t="n">
        <v>0</v>
      </c>
      <c r="N7" s="20" t="n">
        <v>0</v>
      </c>
      <c r="O7" s="18" t="n">
        <v>0</v>
      </c>
      <c r="P7" s="20" t="n">
        <v>0</v>
      </c>
      <c r="Q7" s="18" t="n">
        <v>0.5662698</v>
      </c>
      <c r="R7" s="20" t="n">
        <v>0.30750075</v>
      </c>
    </row>
    <row r="8" spans="1:18">
      <c r="A8" s="15" t="s">
        <v>566</v>
      </c>
      <c r="B8" s="17" t="n">
        <v>3443</v>
      </c>
      <c r="C8" s="18">
        <f>(3033.0/B8*100)</f>
        <v/>
      </c>
      <c r="D8" s="19" t="n">
        <v>410</v>
      </c>
      <c r="E8" s="18" t="n">
        <v>37.28217569</v>
      </c>
      <c r="F8" s="20" t="n">
        <v>2.73175735</v>
      </c>
      <c r="G8" s="18" t="n">
        <v>61.39714788</v>
      </c>
      <c r="H8" s="20" t="n">
        <v>2.73963292</v>
      </c>
      <c r="I8" s="18" t="n">
        <v>0</v>
      </c>
      <c r="J8" s="20" t="n">
        <v>0</v>
      </c>
      <c r="K8" s="18" t="n">
        <v>0</v>
      </c>
      <c r="L8" s="20" t="n">
        <v>0</v>
      </c>
      <c r="M8" s="18" t="n">
        <v>0</v>
      </c>
      <c r="N8" s="20" t="n">
        <v>0</v>
      </c>
      <c r="O8" s="18" t="n">
        <v>0</v>
      </c>
      <c r="P8" s="20" t="n">
        <v>0</v>
      </c>
      <c r="Q8" s="18" t="n">
        <v>1.32067643</v>
      </c>
      <c r="R8" s="20" t="n">
        <v>0.76549696</v>
      </c>
    </row>
    <row r="9" spans="1:18">
      <c r="A9" s="15" t="s">
        <v>567</v>
      </c>
      <c r="B9" s="17" t="n">
        <v>4752</v>
      </c>
      <c r="C9" s="18">
        <f>(4206.0/B9*100)</f>
        <v/>
      </c>
      <c r="D9" s="19" t="n">
        <v>546</v>
      </c>
      <c r="E9" s="18" t="n">
        <v>41.63059095</v>
      </c>
      <c r="F9" s="20" t="n">
        <v>2.55036205</v>
      </c>
      <c r="G9" s="18" t="n">
        <v>57.32116257</v>
      </c>
      <c r="H9" s="20" t="n">
        <v>2.51863561</v>
      </c>
      <c r="I9" s="18" t="n">
        <v>0</v>
      </c>
      <c r="J9" s="20" t="n">
        <v>0</v>
      </c>
      <c r="K9" s="18" t="n">
        <v>0</v>
      </c>
      <c r="L9" s="20" t="n">
        <v>0</v>
      </c>
      <c r="M9" s="18" t="n">
        <v>0</v>
      </c>
      <c r="N9" s="20" t="n">
        <v>0</v>
      </c>
      <c r="O9" s="18" t="n">
        <v>0</v>
      </c>
      <c r="P9" s="20" t="n">
        <v>0</v>
      </c>
      <c r="Q9" s="18" t="n">
        <v>1.04824648</v>
      </c>
      <c r="R9" s="20" t="n">
        <v>0.42204041</v>
      </c>
    </row>
    <row r="10" spans="1:18">
      <c r="A10" s="15" t="s">
        <v>568</v>
      </c>
      <c r="B10" s="17" t="n">
        <v>10022</v>
      </c>
      <c r="C10" s="18">
        <f>(8901.0/B10*100)</f>
        <v/>
      </c>
      <c r="D10" s="19" t="n">
        <v>1121</v>
      </c>
      <c r="E10" s="18" t="n">
        <v>55.25529942</v>
      </c>
      <c r="F10" s="20" t="n">
        <v>2.05783555</v>
      </c>
      <c r="G10" s="18" t="n">
        <v>44.6184198</v>
      </c>
      <c r="H10" s="20" t="n">
        <v>2.05624496</v>
      </c>
      <c r="I10" s="18" t="n">
        <v>0</v>
      </c>
      <c r="J10" s="20" t="n">
        <v>0</v>
      </c>
      <c r="K10" s="18" t="n">
        <v>0.02830906</v>
      </c>
      <c r="L10" s="20" t="n">
        <v>0.02835405</v>
      </c>
      <c r="M10" s="18" t="n">
        <v>0</v>
      </c>
      <c r="N10" s="20" t="n">
        <v>0</v>
      </c>
      <c r="O10" s="18" t="n">
        <v>0</v>
      </c>
      <c r="P10" s="20" t="n">
        <v>0</v>
      </c>
      <c r="Q10" s="18" t="n">
        <v>0.09797172</v>
      </c>
      <c r="R10" s="20" t="n">
        <v>0.06377318999999999</v>
      </c>
    </row>
    <row r="11" spans="1:18">
      <c r="A11" s="15" t="s">
        <v>569</v>
      </c>
      <c r="B11" s="17" t="n">
        <v>3500</v>
      </c>
      <c r="C11" s="18">
        <f>(3125.0/B11*100)</f>
        <v/>
      </c>
      <c r="D11" s="19" t="n">
        <v>375</v>
      </c>
      <c r="E11" s="18" t="n">
        <v>61.49062183</v>
      </c>
      <c r="F11" s="20" t="n">
        <v>2.71386407</v>
      </c>
      <c r="G11" s="18" t="n">
        <v>35.08715938</v>
      </c>
      <c r="H11" s="20" t="n">
        <v>2.35964551</v>
      </c>
      <c r="I11" s="18" t="n">
        <v>0</v>
      </c>
      <c r="J11" s="20" t="n">
        <v>0</v>
      </c>
      <c r="K11" s="18" t="n">
        <v>0.62952035</v>
      </c>
      <c r="L11" s="20" t="n">
        <v>0.44350658</v>
      </c>
      <c r="M11" s="18" t="n">
        <v>0</v>
      </c>
      <c r="N11" s="20" t="n">
        <v>0</v>
      </c>
      <c r="O11" s="18" t="n">
        <v>0</v>
      </c>
      <c r="P11" s="20" t="n">
        <v>0</v>
      </c>
      <c r="Q11" s="18" t="n">
        <v>2.79269844</v>
      </c>
      <c r="R11" s="20" t="n">
        <v>0.94221876</v>
      </c>
    </row>
    <row r="12" spans="1:18">
      <c r="A12" s="15" t="s">
        <v>570</v>
      </c>
      <c r="B12" s="17" t="n">
        <v>3422</v>
      </c>
      <c r="C12" s="18">
        <f>(3036.0/B12*100)</f>
        <v/>
      </c>
      <c r="D12" s="19" t="n">
        <v>386</v>
      </c>
      <c r="E12" s="18" t="n">
        <v>35.35268662</v>
      </c>
      <c r="F12" s="20" t="n">
        <v>2.60314487</v>
      </c>
      <c r="G12" s="18" t="n">
        <v>62.63950769</v>
      </c>
      <c r="H12" s="20" t="n">
        <v>2.8238457</v>
      </c>
      <c r="I12" s="18" t="n">
        <v>0</v>
      </c>
      <c r="J12" s="20" t="n">
        <v>0</v>
      </c>
      <c r="K12" s="18" t="n">
        <v>0.30807638</v>
      </c>
      <c r="L12" s="20" t="n">
        <v>0.32832202</v>
      </c>
      <c r="M12" s="18" t="n">
        <v>0</v>
      </c>
      <c r="N12" s="20" t="n">
        <v>0</v>
      </c>
      <c r="O12" s="18" t="n">
        <v>0</v>
      </c>
      <c r="P12" s="20" t="n">
        <v>0</v>
      </c>
      <c r="Q12" s="18" t="n">
        <v>1.69972931</v>
      </c>
      <c r="R12" s="20" t="n">
        <v>0.81824579</v>
      </c>
    </row>
    <row r="13" spans="1:18">
      <c r="A13" s="15" t="s">
        <v>571</v>
      </c>
      <c r="B13" s="17" t="n">
        <v>3602</v>
      </c>
      <c r="C13" s="18">
        <f>(3231.0/B13*100)</f>
        <v/>
      </c>
      <c r="D13" s="19" t="n">
        <v>371</v>
      </c>
      <c r="E13" s="18" t="n">
        <v>36.60150816</v>
      </c>
      <c r="F13" s="20" t="n">
        <v>3.31895553</v>
      </c>
      <c r="G13" s="18" t="n">
        <v>62.84617557</v>
      </c>
      <c r="H13" s="20" t="n">
        <v>3.31197821</v>
      </c>
      <c r="I13" s="18" t="n">
        <v>0</v>
      </c>
      <c r="J13" s="20" t="n">
        <v>0</v>
      </c>
      <c r="K13" s="18" t="n">
        <v>0</v>
      </c>
      <c r="L13" s="20" t="n">
        <v>0</v>
      </c>
      <c r="M13" s="18" t="n">
        <v>0</v>
      </c>
      <c r="N13" s="20" t="n">
        <v>0</v>
      </c>
      <c r="O13" s="18" t="n">
        <v>0</v>
      </c>
      <c r="P13" s="20" t="n">
        <v>0</v>
      </c>
      <c r="Q13" s="18" t="n">
        <v>0.5523162700000001</v>
      </c>
      <c r="R13" s="20" t="n">
        <v>0.40864961</v>
      </c>
    </row>
    <row r="14" spans="1:18">
      <c r="A14" s="15" t="s">
        <v>572</v>
      </c>
      <c r="B14" s="17" t="n">
        <v>2788</v>
      </c>
      <c r="C14" s="18">
        <f>(2482.0/B14*100)</f>
        <v/>
      </c>
      <c r="D14" s="19" t="n">
        <v>306</v>
      </c>
      <c r="E14" s="18" t="n">
        <v>39.40497768</v>
      </c>
      <c r="F14" s="20" t="n">
        <v>2.76166669</v>
      </c>
      <c r="G14" s="18" t="n">
        <v>60.59502232</v>
      </c>
      <c r="H14" s="20" t="n">
        <v>2.76166669</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(2554.0/B15*100)</f>
        <v/>
      </c>
      <c r="D15" s="19" t="n">
        <v>309</v>
      </c>
      <c r="E15" s="18" t="n">
        <v>28.22827562</v>
      </c>
      <c r="F15" s="20" t="n">
        <v>2.18047738</v>
      </c>
      <c r="G15" s="18" t="n">
        <v>71.77172437999999</v>
      </c>
      <c r="H15" s="20" t="n">
        <v>2.18047738</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(2768.0/B16*100)</f>
        <v/>
      </c>
      <c r="D16" s="19" t="n">
        <v>343</v>
      </c>
      <c r="E16" s="18" t="n">
        <v>41.91457389</v>
      </c>
      <c r="F16" s="20" t="n">
        <v>2.71550845</v>
      </c>
      <c r="G16" s="18" t="n">
        <v>55.23635806</v>
      </c>
      <c r="H16" s="20" t="n">
        <v>2.77338668</v>
      </c>
      <c r="I16" s="18" t="n">
        <v>0</v>
      </c>
      <c r="J16" s="20" t="n">
        <v>0</v>
      </c>
      <c r="K16" s="18" t="n">
        <v>0.73275271</v>
      </c>
      <c r="L16" s="20" t="n">
        <v>0.86826548</v>
      </c>
      <c r="M16" s="18" t="n">
        <v>0</v>
      </c>
      <c r="N16" s="20" t="n">
        <v>0</v>
      </c>
      <c r="O16" s="18" t="n">
        <v>0</v>
      </c>
      <c r="P16" s="20" t="n">
        <v>0</v>
      </c>
      <c r="Q16" s="18" t="n">
        <v>2.11631535</v>
      </c>
      <c r="R16" s="20" t="n">
        <v>1.03600849</v>
      </c>
    </row>
    <row r="17" spans="1:18">
      <c r="A17" s="15" t="s">
        <v>575</v>
      </c>
      <c r="B17" s="17" t="n">
        <v>3197</v>
      </c>
      <c r="C17" s="18">
        <f>(2841.0/B17*100)</f>
        <v/>
      </c>
      <c r="D17" s="19" t="n">
        <v>356</v>
      </c>
      <c r="E17" s="18" t="n">
        <v>41.80767768</v>
      </c>
      <c r="F17" s="20" t="n">
        <v>2.37494898</v>
      </c>
      <c r="G17" s="18" t="n">
        <v>56.80208776</v>
      </c>
      <c r="H17" s="20" t="n">
        <v>2.40114906</v>
      </c>
      <c r="I17" s="18" t="n">
        <v>0</v>
      </c>
      <c r="J17" s="20" t="n">
        <v>0</v>
      </c>
      <c r="K17" s="18" t="n">
        <v>0.29274899</v>
      </c>
      <c r="L17" s="20" t="n">
        <v>0.28353711</v>
      </c>
      <c r="M17" s="18" t="n">
        <v>0</v>
      </c>
      <c r="N17" s="20" t="n">
        <v>0</v>
      </c>
      <c r="O17" s="18" t="n">
        <v>0</v>
      </c>
      <c r="P17" s="20" t="n">
        <v>0</v>
      </c>
      <c r="Q17" s="18" t="n">
        <v>1.09748557</v>
      </c>
      <c r="R17" s="20" t="n">
        <v>0.55177407</v>
      </c>
    </row>
    <row r="18" spans="1:18">
      <c r="A18" s="15" t="s">
        <v>576</v>
      </c>
      <c r="B18" s="17" t="n">
        <v>2706</v>
      </c>
      <c r="C18" s="18">
        <f>(2408.0/B18*100)</f>
        <v/>
      </c>
      <c r="D18" s="19" t="n">
        <v>298</v>
      </c>
      <c r="E18" s="18" t="n">
        <v>55.21336347</v>
      </c>
      <c r="F18" s="20" t="n">
        <v>3.12662872</v>
      </c>
      <c r="G18" s="18" t="n">
        <v>42.91853011</v>
      </c>
      <c r="H18" s="20" t="n">
        <v>3.14056187</v>
      </c>
      <c r="I18" s="18" t="n">
        <v>0</v>
      </c>
      <c r="J18" s="20" t="n">
        <v>0</v>
      </c>
      <c r="K18" s="18" t="n">
        <v>0.36742774</v>
      </c>
      <c r="L18" s="20" t="n">
        <v>0.29373431</v>
      </c>
      <c r="M18" s="18" t="n">
        <v>0</v>
      </c>
      <c r="N18" s="20" t="n">
        <v>0</v>
      </c>
      <c r="O18" s="18" t="n">
        <v>0</v>
      </c>
      <c r="P18" s="20" t="n">
        <v>0</v>
      </c>
      <c r="Q18" s="18" t="n">
        <v>1.50067867</v>
      </c>
      <c r="R18" s="20" t="n">
        <v>0.61605173</v>
      </c>
    </row>
    <row r="19" spans="1:18">
      <c r="A19" s="15" t="s">
        <v>577</v>
      </c>
      <c r="B19" s="17" t="n">
        <v>2850</v>
      </c>
      <c r="C19" s="18">
        <f>(2504.0/B19*100)</f>
        <v/>
      </c>
      <c r="D19" s="19" t="n">
        <v>346</v>
      </c>
      <c r="E19" s="18" t="n">
        <v>45.3390897</v>
      </c>
      <c r="F19" s="20" t="n">
        <v>2.68619269</v>
      </c>
      <c r="G19" s="18" t="n">
        <v>54.15130744</v>
      </c>
      <c r="H19" s="20" t="n">
        <v>2.69209089</v>
      </c>
      <c r="I19" s="18" t="n">
        <v>0</v>
      </c>
      <c r="J19" s="20" t="n">
        <v>0</v>
      </c>
      <c r="K19" s="18" t="n">
        <v>0</v>
      </c>
      <c r="L19" s="20" t="n">
        <v>0</v>
      </c>
      <c r="M19" s="18" t="n">
        <v>0</v>
      </c>
      <c r="N19" s="20" t="n">
        <v>0</v>
      </c>
      <c r="O19" s="18" t="n">
        <v>0</v>
      </c>
      <c r="P19" s="20" t="n">
        <v>0</v>
      </c>
      <c r="Q19" s="18" t="n">
        <v>0.50960286</v>
      </c>
      <c r="R19" s="20" t="n">
        <v>0.48701711</v>
      </c>
    </row>
    <row r="20" spans="1:18">
      <c r="A20" s="15" t="s">
        <v>578</v>
      </c>
      <c r="B20" s="17" t="n">
        <v>1741</v>
      </c>
      <c r="C20" s="18">
        <f>(1543.0/B20*100)</f>
        <v/>
      </c>
      <c r="D20" s="19" t="n">
        <v>198</v>
      </c>
      <c r="E20" s="18" t="n">
        <v>37.01190722</v>
      </c>
      <c r="F20" s="20" t="n">
        <v>3.27130371</v>
      </c>
      <c r="G20" s="18" t="n">
        <v>61.99914752</v>
      </c>
      <c r="H20" s="20" t="n">
        <v>3.14481015</v>
      </c>
      <c r="I20" s="18" t="n">
        <v>0</v>
      </c>
      <c r="J20" s="20" t="n">
        <v>0</v>
      </c>
      <c r="K20" s="18" t="n">
        <v>0.43330322</v>
      </c>
      <c r="L20" s="20" t="n">
        <v>0.43097123</v>
      </c>
      <c r="M20" s="18" t="n">
        <v>0</v>
      </c>
      <c r="N20" s="20" t="n">
        <v>0</v>
      </c>
      <c r="O20" s="18" t="n">
        <v>0</v>
      </c>
      <c r="P20" s="20" t="n">
        <v>0</v>
      </c>
      <c r="Q20" s="18" t="n">
        <v>0.55564205</v>
      </c>
      <c r="R20" s="20" t="n">
        <v>0.55813057</v>
      </c>
    </row>
    <row r="21" spans="1:18">
      <c r="A21" s="15" t="s">
        <v>579</v>
      </c>
      <c r="B21" s="17" t="n">
        <v>2833</v>
      </c>
      <c r="C21" s="18">
        <f>(2500.0/B21*100)</f>
        <v/>
      </c>
      <c r="D21" s="19" t="n">
        <v>333</v>
      </c>
      <c r="E21" s="18" t="n">
        <v>55.55001524</v>
      </c>
      <c r="F21" s="20" t="n">
        <v>2.31958173</v>
      </c>
      <c r="G21" s="18" t="n">
        <v>43.84266949</v>
      </c>
      <c r="H21" s="20" t="n">
        <v>2.27713351</v>
      </c>
      <c r="I21" s="18" t="n">
        <v>0</v>
      </c>
      <c r="J21" s="20" t="n">
        <v>0</v>
      </c>
      <c r="K21" s="18" t="n">
        <v>0</v>
      </c>
      <c r="L21" s="20" t="n">
        <v>0</v>
      </c>
      <c r="M21" s="18" t="n">
        <v>0</v>
      </c>
      <c r="N21" s="20" t="n">
        <v>0</v>
      </c>
      <c r="O21" s="18" t="n">
        <v>0</v>
      </c>
      <c r="P21" s="20" t="n">
        <v>0</v>
      </c>
      <c r="Q21" s="18" t="n">
        <v>0.60731526</v>
      </c>
      <c r="R21" s="20" t="n">
        <v>0.42978691</v>
      </c>
    </row>
    <row r="22" spans="1:18">
      <c r="A22" s="15" t="s">
        <v>580</v>
      </c>
      <c r="B22" s="17" t="n">
        <v>3667</v>
      </c>
      <c r="C22" s="18">
        <f>(3286.0/B22*100)</f>
        <v/>
      </c>
      <c r="D22" s="19" t="n">
        <v>381</v>
      </c>
      <c r="E22" s="18" t="n">
        <v>54.19410655</v>
      </c>
      <c r="F22" s="20" t="n">
        <v>3.33514833</v>
      </c>
      <c r="G22" s="18" t="n">
        <v>44.00572844</v>
      </c>
      <c r="H22" s="20" t="n">
        <v>3.27894551</v>
      </c>
      <c r="I22" s="18" t="n">
        <v>0</v>
      </c>
      <c r="J22" s="20" t="n">
        <v>0</v>
      </c>
      <c r="K22" s="18" t="n">
        <v>0</v>
      </c>
      <c r="L22" s="20" t="n">
        <v>0</v>
      </c>
      <c r="M22" s="18" t="n">
        <v>0</v>
      </c>
      <c r="N22" s="20" t="n">
        <v>0</v>
      </c>
      <c r="O22" s="18" t="n">
        <v>0</v>
      </c>
      <c r="P22" s="20" t="n">
        <v>0</v>
      </c>
      <c r="Q22" s="18" t="n">
        <v>1.80016501</v>
      </c>
      <c r="R22" s="20" t="n">
        <v>0.71910281</v>
      </c>
    </row>
    <row r="23" spans="1:18">
      <c r="A23" s="15" t="s">
        <v>581</v>
      </c>
      <c r="B23" s="17" t="n">
        <v>5792</v>
      </c>
      <c r="C23" s="18">
        <f>(5169.0/B23*100)</f>
        <v/>
      </c>
      <c r="D23" s="19" t="n">
        <v>623</v>
      </c>
      <c r="E23" s="18" t="n">
        <v>48.10210247</v>
      </c>
      <c r="F23" s="20" t="n">
        <v>2.58239063</v>
      </c>
      <c r="G23" s="18" t="n">
        <v>50.44605247</v>
      </c>
      <c r="H23" s="20" t="n">
        <v>2.53597075</v>
      </c>
      <c r="I23" s="18" t="n">
        <v>0</v>
      </c>
      <c r="J23" s="20" t="n">
        <v>0</v>
      </c>
      <c r="K23" s="18" t="n">
        <v>0.86803814</v>
      </c>
      <c r="L23" s="20" t="n">
        <v>0.56448215</v>
      </c>
      <c r="M23" s="18" t="n">
        <v>0</v>
      </c>
      <c r="N23" s="20" t="n">
        <v>0</v>
      </c>
      <c r="O23" s="18" t="n">
        <v>0</v>
      </c>
      <c r="P23" s="20" t="n">
        <v>0</v>
      </c>
      <c r="Q23" s="18" t="n">
        <v>0.58380692</v>
      </c>
      <c r="R23" s="20" t="n">
        <v>0.41011266</v>
      </c>
    </row>
    <row r="24" spans="1:18">
      <c r="A24" s="15" t="s">
        <v>582</v>
      </c>
      <c r="B24" s="17" t="n">
        <v>3309</v>
      </c>
      <c r="C24" s="18">
        <f>(2925.0/B24*100)</f>
        <v/>
      </c>
      <c r="D24" s="19" t="n">
        <v>384</v>
      </c>
      <c r="E24" s="18" t="n">
        <v>45.83237823</v>
      </c>
      <c r="F24" s="20" t="n">
        <v>2.6176211</v>
      </c>
      <c r="G24" s="18" t="n">
        <v>54.16762177</v>
      </c>
      <c r="H24" s="20" t="n">
        <v>2.6176211</v>
      </c>
      <c r="I24" s="18" t="n">
        <v>0</v>
      </c>
      <c r="J24" s="20" t="n">
        <v>0</v>
      </c>
      <c r="K24" s="18" t="n">
        <v>0</v>
      </c>
      <c r="L24" s="20" t="n">
        <v>0</v>
      </c>
      <c r="M24" s="18" t="n">
        <v>0</v>
      </c>
      <c r="N24" s="20" t="n">
        <v>0</v>
      </c>
      <c r="O24" s="18" t="n">
        <v>0</v>
      </c>
      <c r="P24" s="20" t="n">
        <v>0</v>
      </c>
      <c r="Q24" s="18" t="n">
        <v>0</v>
      </c>
      <c r="R24" s="20" t="n">
        <v>0</v>
      </c>
    </row>
    <row r="25" spans="1:18">
      <c r="A25" s="15" t="s">
        <v>583</v>
      </c>
      <c r="B25" s="17" t="n">
        <v>2669</v>
      </c>
      <c r="C25" s="18">
        <f>(2365.0/B25*100)</f>
        <v/>
      </c>
      <c r="D25" s="19" t="n">
        <v>304</v>
      </c>
      <c r="E25" s="18" t="n">
        <v>50.42136776</v>
      </c>
      <c r="F25" s="20" t="n">
        <v>3.16930974</v>
      </c>
      <c r="G25" s="18" t="n">
        <v>49.57863224</v>
      </c>
      <c r="H25" s="20" t="n">
        <v>3.16930974</v>
      </c>
      <c r="I25" s="18" t="n">
        <v>0</v>
      </c>
      <c r="J25" s="20" t="n">
        <v>0</v>
      </c>
      <c r="K25" s="18" t="n">
        <v>0</v>
      </c>
      <c r="L25" s="20" t="n">
        <v>0</v>
      </c>
      <c r="M25" s="18" t="n">
        <v>0</v>
      </c>
      <c r="N25" s="20" t="n">
        <v>0</v>
      </c>
      <c r="O25" s="18" t="n">
        <v>0</v>
      </c>
      <c r="P25" s="20" t="n">
        <v>0</v>
      </c>
      <c r="Q25" s="18" t="n">
        <v>0</v>
      </c>
      <c r="R25" s="20" t="n">
        <v>0</v>
      </c>
    </row>
    <row r="26" spans="1:18">
      <c r="A26" s="15" t="s">
        <v>584</v>
      </c>
      <c r="B26" s="17" t="n">
        <v>2419</v>
      </c>
      <c r="C26" s="18">
        <f>(2150.0/B26*100)</f>
        <v/>
      </c>
      <c r="D26" s="19" t="n">
        <v>269</v>
      </c>
      <c r="E26" s="18" t="n">
        <v>43.25798535</v>
      </c>
      <c r="F26" s="20" t="n">
        <v>3.61661905</v>
      </c>
      <c r="G26" s="18" t="n">
        <v>56.10853977</v>
      </c>
      <c r="H26" s="20" t="n">
        <v>3.59607456</v>
      </c>
      <c r="I26" s="18" t="n">
        <v>0</v>
      </c>
      <c r="J26" s="20" t="n">
        <v>0</v>
      </c>
      <c r="K26" s="18" t="n">
        <v>0.25467745</v>
      </c>
      <c r="L26" s="20" t="n">
        <v>0.25504928</v>
      </c>
      <c r="M26" s="18" t="n">
        <v>0</v>
      </c>
      <c r="N26" s="20" t="n">
        <v>0</v>
      </c>
      <c r="O26" s="18" t="n">
        <v>0</v>
      </c>
      <c r="P26" s="20" t="n">
        <v>0</v>
      </c>
      <c r="Q26" s="18" t="n">
        <v>0.37879743</v>
      </c>
      <c r="R26" s="20" t="n">
        <v>0.35740921</v>
      </c>
    </row>
    <row r="27" spans="1:18">
      <c r="A27" s="15" t="s">
        <v>585</v>
      </c>
      <c r="B27" s="17" t="n">
        <v>2683</v>
      </c>
      <c r="C27" s="18">
        <f>(2407.0/B27*100)</f>
        <v/>
      </c>
      <c r="D27" s="19" t="n">
        <v>276</v>
      </c>
      <c r="E27" s="18" t="n">
        <v>51.48396665</v>
      </c>
      <c r="F27" s="20" t="n">
        <v>3.073169</v>
      </c>
      <c r="G27" s="18" t="n">
        <v>47.76182966</v>
      </c>
      <c r="H27" s="20" t="n">
        <v>3.046028</v>
      </c>
      <c r="I27" s="18" t="n">
        <v>0</v>
      </c>
      <c r="J27" s="20" t="n">
        <v>0</v>
      </c>
      <c r="K27" s="18" t="n">
        <v>0</v>
      </c>
      <c r="L27" s="20" t="n">
        <v>0</v>
      </c>
      <c r="M27" s="18" t="n">
        <v>0</v>
      </c>
      <c r="N27" s="20" t="n">
        <v>0</v>
      </c>
      <c r="O27" s="18" t="n">
        <v>0</v>
      </c>
      <c r="P27" s="20" t="n">
        <v>0</v>
      </c>
      <c r="Q27" s="18" t="n">
        <v>0.75420369</v>
      </c>
      <c r="R27" s="20" t="n">
        <v>0.52964779</v>
      </c>
    </row>
    <row r="28" spans="1:18">
      <c r="A28" s="15" t="s">
        <v>586</v>
      </c>
      <c r="B28" s="17" t="n">
        <v>3803</v>
      </c>
      <c r="C28" s="18">
        <f>(3414.0/B28*100)</f>
        <v/>
      </c>
      <c r="D28" s="19" t="n">
        <v>389</v>
      </c>
      <c r="E28" s="18" t="n">
        <v>71.64763895999999</v>
      </c>
      <c r="F28" s="20" t="n">
        <v>3.23211152</v>
      </c>
      <c r="G28" s="18" t="n">
        <v>26.09165295</v>
      </c>
      <c r="H28" s="20" t="n">
        <v>2.9962989</v>
      </c>
      <c r="I28" s="18" t="n">
        <v>0</v>
      </c>
      <c r="J28" s="20" t="n">
        <v>0</v>
      </c>
      <c r="K28" s="18" t="n">
        <v>1.64835381</v>
      </c>
      <c r="L28" s="20" t="n">
        <v>0.83453188</v>
      </c>
      <c r="M28" s="18" t="n">
        <v>0</v>
      </c>
      <c r="N28" s="20" t="n">
        <v>0</v>
      </c>
      <c r="O28" s="18" t="n">
        <v>0</v>
      </c>
      <c r="P28" s="20" t="n">
        <v>0</v>
      </c>
      <c r="Q28" s="18" t="n">
        <v>0.61235428</v>
      </c>
      <c r="R28" s="20" t="n">
        <v>0.34253775</v>
      </c>
    </row>
    <row r="29" spans="1:18">
      <c r="A29" s="15" t="s">
        <v>587</v>
      </c>
      <c r="B29" s="17" t="n">
        <v>2700</v>
      </c>
      <c r="C29" s="18">
        <f>(2403.0/B29*100)</f>
        <v/>
      </c>
      <c r="D29" s="19" t="n">
        <v>297</v>
      </c>
      <c r="E29" s="18" t="n">
        <v>42.39055158</v>
      </c>
      <c r="F29" s="20" t="n">
        <v>2.67882939</v>
      </c>
      <c r="G29" s="18" t="n">
        <v>57.60944842</v>
      </c>
      <c r="H29" s="20" t="n">
        <v>2.67882939</v>
      </c>
      <c r="I29" s="18" t="n">
        <v>0</v>
      </c>
      <c r="J29" s="20" t="n">
        <v>0</v>
      </c>
      <c r="K29" s="18" t="n">
        <v>0</v>
      </c>
      <c r="L29" s="20" t="n">
        <v>0</v>
      </c>
      <c r="M29" s="18" t="n">
        <v>0</v>
      </c>
      <c r="N29" s="20" t="n">
        <v>0</v>
      </c>
      <c r="O29" s="18" t="n">
        <v>0</v>
      </c>
      <c r="P29" s="20" t="n">
        <v>0</v>
      </c>
      <c r="Q29" s="18" t="n">
        <v>0</v>
      </c>
      <c r="R29" s="20" t="n">
        <v>0</v>
      </c>
    </row>
    <row r="30" spans="1:18">
      <c r="A30" s="15" t="s">
        <v>588</v>
      </c>
      <c r="B30" s="17" t="n">
        <v>2257</v>
      </c>
      <c r="C30" s="18">
        <f>(2000.0/B30*100)</f>
        <v/>
      </c>
      <c r="D30" s="19" t="n">
        <v>257</v>
      </c>
      <c r="E30" s="18" t="n">
        <v>59.47226309</v>
      </c>
      <c r="F30" s="20" t="n">
        <v>3.3620097</v>
      </c>
      <c r="G30" s="18" t="n">
        <v>38.97013043</v>
      </c>
      <c r="H30" s="20" t="n">
        <v>3.2593985</v>
      </c>
      <c r="I30" s="18" t="n">
        <v>0</v>
      </c>
      <c r="J30" s="20" t="n">
        <v>0</v>
      </c>
      <c r="K30" s="18" t="n">
        <v>0</v>
      </c>
      <c r="L30" s="20" t="n">
        <v>0</v>
      </c>
      <c r="M30" s="18" t="n">
        <v>0</v>
      </c>
      <c r="N30" s="20" t="n">
        <v>0</v>
      </c>
      <c r="O30" s="18" t="n">
        <v>0</v>
      </c>
      <c r="P30" s="20" t="n">
        <v>0</v>
      </c>
      <c r="Q30" s="18" t="n">
        <v>1.55760648</v>
      </c>
      <c r="R30" s="20" t="n">
        <v>0.8596941299999999</v>
      </c>
    </row>
    <row r="31" spans="1:18">
      <c r="A31" s="15" t="s">
        <v>589</v>
      </c>
      <c r="B31" s="17" t="n">
        <v>2706</v>
      </c>
      <c r="C31" s="18">
        <f>(2425.0/B31*100)</f>
        <v/>
      </c>
      <c r="D31" s="19" t="n">
        <v>281</v>
      </c>
      <c r="E31" s="18" t="n">
        <v>42.17184129</v>
      </c>
      <c r="F31" s="20" t="n">
        <v>2.8637833</v>
      </c>
      <c r="G31" s="18" t="n">
        <v>57.1001832</v>
      </c>
      <c r="H31" s="20" t="n">
        <v>2.90604544</v>
      </c>
      <c r="I31" s="18" t="n">
        <v>0</v>
      </c>
      <c r="J31" s="20" t="n">
        <v>0</v>
      </c>
      <c r="K31" s="18" t="n">
        <v>0.35280656</v>
      </c>
      <c r="L31" s="20" t="n">
        <v>0.33409163</v>
      </c>
      <c r="M31" s="18" t="n">
        <v>0</v>
      </c>
      <c r="N31" s="20" t="n">
        <v>0</v>
      </c>
      <c r="O31" s="18" t="n">
        <v>0</v>
      </c>
      <c r="P31" s="20" t="n">
        <v>0</v>
      </c>
      <c r="Q31" s="18" t="n">
        <v>0.37516894</v>
      </c>
      <c r="R31" s="20" t="n">
        <v>0.41842588</v>
      </c>
    </row>
    <row r="32" spans="1:18">
      <c r="A32" s="15" t="s">
        <v>590</v>
      </c>
      <c r="B32" s="17" t="n">
        <v>2209</v>
      </c>
      <c r="C32" s="18">
        <f>(1952.0/B32*100)</f>
        <v/>
      </c>
      <c r="D32" s="19" t="n">
        <v>257</v>
      </c>
      <c r="E32" s="18" t="n">
        <v>53.43674718</v>
      </c>
      <c r="F32" s="20" t="n">
        <v>3.2628189</v>
      </c>
      <c r="G32" s="18" t="n">
        <v>46.56325282</v>
      </c>
      <c r="H32" s="20" t="n">
        <v>3.2628189</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(3245.0/B33*100)</f>
        <v/>
      </c>
      <c r="D33" s="19" t="n">
        <v>406</v>
      </c>
      <c r="E33" s="18" t="n">
        <v>49.8850622</v>
      </c>
      <c r="F33" s="20" t="n">
        <v>3.35535266</v>
      </c>
      <c r="G33" s="18" t="n">
        <v>50.08760116</v>
      </c>
      <c r="H33" s="20" t="n">
        <v>3.35784411</v>
      </c>
      <c r="I33" s="18" t="n">
        <v>0</v>
      </c>
      <c r="J33" s="20" t="n">
        <v>0</v>
      </c>
      <c r="K33" s="18" t="n">
        <v>0</v>
      </c>
      <c r="L33" s="20" t="n">
        <v>0</v>
      </c>
      <c r="M33" s="18" t="n">
        <v>0</v>
      </c>
      <c r="N33" s="20" t="n">
        <v>0</v>
      </c>
      <c r="O33" s="18" t="n">
        <v>0</v>
      </c>
      <c r="P33" s="20" t="n">
        <v>0</v>
      </c>
      <c r="Q33" s="18" t="n">
        <v>0.02733665</v>
      </c>
      <c r="R33" s="20" t="n">
        <v>0.02729481</v>
      </c>
    </row>
    <row r="34" spans="1:18">
      <c r="A34" s="15" t="s">
        <v>592</v>
      </c>
      <c r="B34" s="17" t="n">
        <v>3035</v>
      </c>
      <c r="C34" s="18">
        <f>(2704.0/B34*100)</f>
        <v/>
      </c>
      <c r="D34" s="19" t="n">
        <v>331</v>
      </c>
      <c r="E34" s="18" t="n">
        <v>48.16383792</v>
      </c>
      <c r="F34" s="20" t="n">
        <v>2.71115868</v>
      </c>
      <c r="G34" s="18" t="n">
        <v>51.14927899</v>
      </c>
      <c r="H34" s="20" t="n">
        <v>2.64374722</v>
      </c>
      <c r="I34" s="18" t="n">
        <v>0</v>
      </c>
      <c r="J34" s="20" t="n">
        <v>0</v>
      </c>
      <c r="K34" s="18" t="n">
        <v>0.37034434</v>
      </c>
      <c r="L34" s="20" t="n">
        <v>0.36407774</v>
      </c>
      <c r="M34" s="18" t="n">
        <v>0</v>
      </c>
      <c r="N34" s="20" t="n">
        <v>0</v>
      </c>
      <c r="O34" s="18" t="n">
        <v>0</v>
      </c>
      <c r="P34" s="20" t="n">
        <v>0</v>
      </c>
      <c r="Q34" s="18" t="n">
        <v>0.31653876</v>
      </c>
      <c r="R34" s="20" t="n">
        <v>0.44292234</v>
      </c>
    </row>
    <row r="35" spans="1:18">
      <c r="A35" s="15" t="s">
        <v>593</v>
      </c>
      <c r="B35" s="17" t="n">
        <v>2901</v>
      </c>
      <c r="C35" s="18">
        <f>(2569.0/B35*100)</f>
        <v/>
      </c>
      <c r="D35" s="19" t="n">
        <v>332</v>
      </c>
      <c r="E35" s="18" t="n">
        <v>40.22180036</v>
      </c>
      <c r="F35" s="20" t="n">
        <v>3.17087611</v>
      </c>
      <c r="G35" s="18" t="n">
        <v>59.61190208</v>
      </c>
      <c r="H35" s="20" t="n">
        <v>3.15403169</v>
      </c>
      <c r="I35" s="18" t="n">
        <v>0</v>
      </c>
      <c r="J35" s="20" t="n">
        <v>0</v>
      </c>
      <c r="K35" s="18" t="n">
        <v>0.16629756</v>
      </c>
      <c r="L35" s="20" t="n">
        <v>0.16635148</v>
      </c>
      <c r="M35" s="18" t="n">
        <v>0</v>
      </c>
      <c r="N35" s="20" t="n">
        <v>0</v>
      </c>
      <c r="O35" s="18" t="n">
        <v>0</v>
      </c>
      <c r="P35" s="20" t="n">
        <v>0</v>
      </c>
      <c r="Q35" s="18" t="n">
        <v>0</v>
      </c>
      <c r="R35" s="20" t="n">
        <v>0</v>
      </c>
    </row>
    <row r="36" spans="1:18">
      <c r="A36" s="15" t="s">
        <v>594</v>
      </c>
      <c r="B36" s="17" t="n">
        <v>3404</v>
      </c>
      <c r="C36" s="18">
        <f>(3062.0/B36*100)</f>
        <v/>
      </c>
      <c r="D36" s="19" t="n">
        <v>342</v>
      </c>
      <c r="E36" s="18" t="n">
        <v>55.27192461</v>
      </c>
      <c r="F36" s="20" t="n">
        <v>2.80409321</v>
      </c>
      <c r="G36" s="18" t="n">
        <v>44.14575667</v>
      </c>
      <c r="H36" s="20" t="n">
        <v>2.83545124</v>
      </c>
      <c r="I36" s="18" t="n">
        <v>0</v>
      </c>
      <c r="J36" s="20" t="n">
        <v>0</v>
      </c>
      <c r="K36" s="18" t="n">
        <v>0</v>
      </c>
      <c r="L36" s="20" t="n">
        <v>0</v>
      </c>
      <c r="M36" s="18" t="n">
        <v>0</v>
      </c>
      <c r="N36" s="20" t="n">
        <v>0</v>
      </c>
      <c r="O36" s="18" t="n">
        <v>0</v>
      </c>
      <c r="P36" s="20" t="n">
        <v>0</v>
      </c>
      <c r="Q36" s="18" t="n">
        <v>0.58231873</v>
      </c>
      <c r="R36" s="20" t="n">
        <v>0.41001295</v>
      </c>
    </row>
    <row r="37" spans="1:18">
      <c r="A37" s="15" t="s">
        <v>595</v>
      </c>
      <c r="B37" s="17" t="n">
        <v>2731</v>
      </c>
      <c r="C37" s="18">
        <f>(2412.0/B37*100)</f>
        <v/>
      </c>
      <c r="D37" s="19" t="n">
        <v>319</v>
      </c>
      <c r="E37" s="18" t="n">
        <v>40.89252286</v>
      </c>
      <c r="F37" s="20" t="n">
        <v>2.84732129</v>
      </c>
      <c r="G37" s="18" t="n">
        <v>57.01449104</v>
      </c>
      <c r="H37" s="20" t="n">
        <v>2.77046536</v>
      </c>
      <c r="I37" s="18" t="n">
        <v>0</v>
      </c>
      <c r="J37" s="20" t="n">
        <v>0</v>
      </c>
      <c r="K37" s="18" t="n">
        <v>0.31601517</v>
      </c>
      <c r="L37" s="20" t="n">
        <v>0.31823139</v>
      </c>
      <c r="M37" s="18" t="n">
        <v>0</v>
      </c>
      <c r="N37" s="20" t="n">
        <v>0</v>
      </c>
      <c r="O37" s="18" t="n">
        <v>0</v>
      </c>
      <c r="P37" s="20" t="n">
        <v>0</v>
      </c>
      <c r="Q37" s="18" t="n">
        <v>1.77697093</v>
      </c>
      <c r="R37" s="20" t="n">
        <v>0.72140481</v>
      </c>
    </row>
    <row r="38" spans="1:18">
      <c r="A38" s="15" t="s">
        <v>596</v>
      </c>
      <c r="B38" s="17" t="n">
        <v>2807</v>
      </c>
      <c r="C38" s="18">
        <f>(2516.0/B38*100)</f>
        <v/>
      </c>
      <c r="D38" s="19" t="n">
        <v>291</v>
      </c>
      <c r="E38" s="18" t="n">
        <v>40.64652592</v>
      </c>
      <c r="F38" s="20" t="n">
        <v>3.82400277</v>
      </c>
      <c r="G38" s="18" t="n">
        <v>59.24263862</v>
      </c>
      <c r="H38" s="20" t="n">
        <v>3.83865054</v>
      </c>
      <c r="I38" s="18" t="n">
        <v>0</v>
      </c>
      <c r="J38" s="20" t="n">
        <v>0</v>
      </c>
      <c r="K38" s="18" t="n">
        <v>0</v>
      </c>
      <c r="L38" s="20" t="n">
        <v>0</v>
      </c>
      <c r="M38" s="18" t="n">
        <v>0</v>
      </c>
      <c r="N38" s="20" t="n">
        <v>0</v>
      </c>
      <c r="O38" s="18" t="n">
        <v>0</v>
      </c>
      <c r="P38" s="20" t="n">
        <v>0</v>
      </c>
      <c r="Q38" s="18" t="n">
        <v>0.11083546</v>
      </c>
      <c r="R38" s="20" t="n">
        <v>0.114231</v>
      </c>
    </row>
    <row r="39" spans="1:18">
      <c r="A39" s="15" t="s">
        <v>597</v>
      </c>
      <c r="B39" s="17" t="n">
        <v>2938</v>
      </c>
      <c r="C39" s="18">
        <f>(2634.0/B39*100)</f>
        <v/>
      </c>
      <c r="D39" s="19" t="n">
        <v>304</v>
      </c>
      <c r="E39" s="18" t="n">
        <v>63.19213979</v>
      </c>
      <c r="F39" s="20" t="n">
        <v>3.43223096</v>
      </c>
      <c r="G39" s="18" t="n">
        <v>32.14013479</v>
      </c>
      <c r="H39" s="20" t="n">
        <v>3.3782973</v>
      </c>
      <c r="I39" s="18" t="n">
        <v>0</v>
      </c>
      <c r="J39" s="20" t="n">
        <v>0</v>
      </c>
      <c r="K39" s="18" t="n">
        <v>1.33665559</v>
      </c>
      <c r="L39" s="20" t="n">
        <v>1.26076665</v>
      </c>
      <c r="M39" s="18" t="n">
        <v>0</v>
      </c>
      <c r="N39" s="20" t="n">
        <v>0</v>
      </c>
      <c r="O39" s="18" t="n">
        <v>0</v>
      </c>
      <c r="P39" s="20" t="n">
        <v>0</v>
      </c>
      <c r="Q39" s="18" t="n">
        <v>3.33106982</v>
      </c>
      <c r="R39" s="20" t="n">
        <v>1.08058531</v>
      </c>
    </row>
    <row r="40" spans="1:18">
      <c r="A40" s="15" t="s">
        <v>598</v>
      </c>
      <c r="B40" s="17" t="n">
        <v>6922</v>
      </c>
      <c r="C40" s="18">
        <f>(6151.0/B40*100)</f>
        <v/>
      </c>
      <c r="D40" s="19" t="n">
        <v>771</v>
      </c>
      <c r="E40" s="18" t="n">
        <v>45.78565095</v>
      </c>
      <c r="F40" s="20" t="n">
        <v>2.62281823</v>
      </c>
      <c r="G40" s="18" t="n">
        <v>52.68809597</v>
      </c>
      <c r="H40" s="20" t="n">
        <v>2.75466655</v>
      </c>
      <c r="I40" s="18" t="n">
        <v>0</v>
      </c>
      <c r="J40" s="20" t="n">
        <v>0</v>
      </c>
      <c r="K40" s="18" t="n">
        <v>0.97861</v>
      </c>
      <c r="L40" s="20" t="n">
        <v>0.56515015</v>
      </c>
      <c r="M40" s="18" t="n">
        <v>0</v>
      </c>
      <c r="N40" s="20" t="n">
        <v>0</v>
      </c>
      <c r="O40" s="18" t="n">
        <v>0</v>
      </c>
      <c r="P40" s="20" t="n">
        <v>0</v>
      </c>
      <c r="Q40" s="18" t="n">
        <v>0.5476430799999999</v>
      </c>
      <c r="R40" s="20" t="n">
        <v>0.29320878</v>
      </c>
    </row>
    <row r="41" spans="1:18">
      <c r="A41" s="15" t="s">
        <v>599</v>
      </c>
      <c r="B41" s="17" t="n">
        <v>2854</v>
      </c>
      <c r="C41" s="18">
        <f>(2541.0/B41*100)</f>
        <v/>
      </c>
      <c r="D41" s="19" t="n">
        <v>313</v>
      </c>
      <c r="E41" s="18" t="n">
        <v>59.70813971</v>
      </c>
      <c r="F41" s="20" t="n">
        <v>3.45268706</v>
      </c>
      <c r="G41" s="18" t="n">
        <v>38.84461639</v>
      </c>
      <c r="H41" s="20" t="n">
        <v>3.54963033</v>
      </c>
      <c r="I41" s="18" t="n">
        <v>0</v>
      </c>
      <c r="J41" s="20" t="n">
        <v>0</v>
      </c>
      <c r="K41" s="18" t="n">
        <v>0.25131465</v>
      </c>
      <c r="L41" s="20" t="n">
        <v>0.25120905</v>
      </c>
      <c r="M41" s="18" t="n">
        <v>0</v>
      </c>
      <c r="N41" s="20" t="n">
        <v>0</v>
      </c>
      <c r="O41" s="18" t="n">
        <v>0</v>
      </c>
      <c r="P41" s="20" t="n">
        <v>0</v>
      </c>
      <c r="Q41" s="18" t="n">
        <v>1.19592925</v>
      </c>
      <c r="R41" s="20" t="n">
        <v>0.81888991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(10955.0/B46*100)</f>
        <v/>
      </c>
      <c r="D46" s="19" t="n">
        <v>1118</v>
      </c>
      <c r="E46" s="18" t="n">
        <v>53.34441153</v>
      </c>
      <c r="F46" s="20" t="n">
        <v>2.1789251</v>
      </c>
      <c r="G46" s="18" t="n">
        <v>43.88234214</v>
      </c>
      <c r="H46" s="20" t="n">
        <v>2.25007631</v>
      </c>
      <c r="I46" s="18" t="n">
        <v>0</v>
      </c>
      <c r="J46" s="20" t="n">
        <v>0</v>
      </c>
      <c r="K46" s="18" t="n">
        <v>1.21557971</v>
      </c>
      <c r="L46" s="20" t="n">
        <v>0.42142541</v>
      </c>
      <c r="M46" s="18" t="n">
        <v>0</v>
      </c>
      <c r="N46" s="20" t="n">
        <v>0</v>
      </c>
      <c r="O46" s="18" t="n">
        <v>0</v>
      </c>
      <c r="P46" s="20" t="n">
        <v>0</v>
      </c>
      <c r="Q46" s="18" t="n">
        <v>1.55766663</v>
      </c>
      <c r="R46" s="20" t="n">
        <v>0.4189919</v>
      </c>
    </row>
    <row r="47" spans="1:18">
      <c r="A47" s="15" t="s">
        <v>606</v>
      </c>
      <c r="B47" s="17" t="n">
        <v>2823</v>
      </c>
      <c r="C47" s="18">
        <f>(2528.0/B47*100)</f>
        <v/>
      </c>
      <c r="D47" s="19" t="n">
        <v>295</v>
      </c>
      <c r="E47" s="18" t="n">
        <v>48.33548845</v>
      </c>
      <c r="F47" s="20" t="n">
        <v>2.86891314</v>
      </c>
      <c r="G47" s="18" t="n">
        <v>50.59342336</v>
      </c>
      <c r="H47" s="20" t="n">
        <v>2.91783159</v>
      </c>
      <c r="I47" s="18" t="n">
        <v>0</v>
      </c>
      <c r="J47" s="20" t="n">
        <v>0</v>
      </c>
      <c r="K47" s="18" t="n">
        <v>0.69866681</v>
      </c>
      <c r="L47" s="20" t="n">
        <v>0.49162505</v>
      </c>
      <c r="M47" s="18" t="n">
        <v>0</v>
      </c>
      <c r="N47" s="20" t="n">
        <v>0</v>
      </c>
      <c r="O47" s="18" t="n">
        <v>0</v>
      </c>
      <c r="P47" s="20" t="n">
        <v>0</v>
      </c>
      <c r="Q47" s="18" t="n">
        <v>0.37242139</v>
      </c>
      <c r="R47" s="20" t="n">
        <v>0.40315627</v>
      </c>
    </row>
    <row r="48" spans="1:18">
      <c r="A48" s="15" t="s">
        <v>607</v>
      </c>
      <c r="B48" s="17" t="n">
        <v>4682</v>
      </c>
      <c r="C48" s="18">
        <f>(4158.0/B48*100)</f>
        <v/>
      </c>
      <c r="D48" s="19" t="n">
        <v>524</v>
      </c>
      <c r="E48" s="18" t="n">
        <v>41.13858194</v>
      </c>
      <c r="F48" s="20" t="n">
        <v>3.20826942</v>
      </c>
      <c r="G48" s="18" t="n">
        <v>57.65258393</v>
      </c>
      <c r="H48" s="20" t="n">
        <v>3.23264938</v>
      </c>
      <c r="I48" s="18" t="n">
        <v>0</v>
      </c>
      <c r="J48" s="20" t="n">
        <v>0</v>
      </c>
      <c r="K48" s="18" t="n">
        <v>1.20055225</v>
      </c>
      <c r="L48" s="20" t="n">
        <v>0.3700949</v>
      </c>
      <c r="M48" s="18" t="n">
        <v>0</v>
      </c>
      <c r="N48" s="20" t="n">
        <v>0</v>
      </c>
      <c r="O48" s="18" t="n">
        <v>0</v>
      </c>
      <c r="P48" s="20" t="n">
        <v>0</v>
      </c>
      <c r="Q48" s="18" t="n">
        <v>0.00828188</v>
      </c>
      <c r="R48" s="20" t="n">
        <v>0.00521759</v>
      </c>
    </row>
    <row r="49" spans="1:18">
      <c r="A49" s="15" t="s">
        <v>608</v>
      </c>
      <c r="B49" s="17" t="n">
        <v>6158</v>
      </c>
      <c r="C49" s="18">
        <f>(5468.0/B49*100)</f>
        <v/>
      </c>
      <c r="D49" s="19" t="n">
        <v>690</v>
      </c>
      <c r="E49" s="18" t="n">
        <v>72.3333361</v>
      </c>
      <c r="F49" s="20" t="n">
        <v>2.1486621</v>
      </c>
      <c r="G49" s="18" t="n">
        <v>25.99155428</v>
      </c>
      <c r="H49" s="20" t="n">
        <v>2.15159836</v>
      </c>
      <c r="I49" s="18" t="n">
        <v>0</v>
      </c>
      <c r="J49" s="20" t="n">
        <v>0</v>
      </c>
      <c r="K49" s="18" t="n">
        <v>0.74888717</v>
      </c>
      <c r="L49" s="20" t="n">
        <v>0.34755551</v>
      </c>
      <c r="M49" s="18" t="n">
        <v>0</v>
      </c>
      <c r="N49" s="20" t="n">
        <v>0</v>
      </c>
      <c r="O49" s="18" t="n">
        <v>0</v>
      </c>
      <c r="P49" s="20" t="n">
        <v>0</v>
      </c>
      <c r="Q49" s="18" t="n">
        <v>0.92622244</v>
      </c>
      <c r="R49" s="20" t="n">
        <v>0.44670638</v>
      </c>
    </row>
    <row r="50" spans="1:18">
      <c r="A50" s="15" t="s">
        <v>609</v>
      </c>
      <c r="B50" s="17" t="n">
        <v>3494</v>
      </c>
      <c r="C50" s="18">
        <f>(3138.0/B50*100)</f>
        <v/>
      </c>
      <c r="D50" s="19" t="n">
        <v>356</v>
      </c>
      <c r="E50" s="18" t="n">
        <v>66.28687078999999</v>
      </c>
      <c r="F50" s="20" t="n">
        <v>2.82391896</v>
      </c>
      <c r="G50" s="18" t="n">
        <v>32.71395089</v>
      </c>
      <c r="H50" s="20" t="n">
        <v>2.70113276</v>
      </c>
      <c r="I50" s="18" t="n">
        <v>0</v>
      </c>
      <c r="J50" s="20" t="n">
        <v>0</v>
      </c>
      <c r="K50" s="18" t="n">
        <v>0</v>
      </c>
      <c r="L50" s="20" t="n">
        <v>0</v>
      </c>
      <c r="M50" s="18" t="n">
        <v>0</v>
      </c>
      <c r="N50" s="20" t="n">
        <v>0</v>
      </c>
      <c r="O50" s="18" t="n">
        <v>0</v>
      </c>
      <c r="P50" s="20" t="n">
        <v>0</v>
      </c>
      <c r="Q50" s="18" t="n">
        <v>0.99917832</v>
      </c>
      <c r="R50" s="20" t="n">
        <v>0.47902406</v>
      </c>
    </row>
    <row r="51" spans="1:18">
      <c r="A51" s="15" t="s">
        <v>610</v>
      </c>
      <c r="B51" s="17" t="n">
        <v>3013</v>
      </c>
      <c r="C51" s="18">
        <f>(2675.0/B51*100)</f>
        <v/>
      </c>
      <c r="D51" s="19" t="n">
        <v>338</v>
      </c>
      <c r="E51" s="18" t="n">
        <v>48.86347426</v>
      </c>
      <c r="F51" s="20" t="n">
        <v>3.50638737</v>
      </c>
      <c r="G51" s="18" t="n">
        <v>50.61023039</v>
      </c>
      <c r="H51" s="20" t="n">
        <v>3.50781657</v>
      </c>
      <c r="I51" s="18" t="n">
        <v>0</v>
      </c>
      <c r="J51" s="20" t="n">
        <v>0</v>
      </c>
      <c r="K51" s="18" t="n">
        <v>0</v>
      </c>
      <c r="L51" s="20" t="n">
        <v>0</v>
      </c>
      <c r="M51" s="18" t="n">
        <v>0</v>
      </c>
      <c r="N51" s="20" t="n">
        <v>0</v>
      </c>
      <c r="O51" s="18" t="n">
        <v>0</v>
      </c>
      <c r="P51" s="20" t="n">
        <v>0</v>
      </c>
      <c r="Q51" s="18" t="n">
        <v>0.52629534</v>
      </c>
      <c r="R51" s="20" t="n">
        <v>0.35301459</v>
      </c>
    </row>
    <row r="52" spans="1:18">
      <c r="A52" s="15" t="s">
        <v>611</v>
      </c>
      <c r="B52" s="17" t="n">
        <v>2760</v>
      </c>
      <c r="C52" s="18">
        <f>(2460.0/B52*100)</f>
        <v/>
      </c>
      <c r="D52" s="19" t="n">
        <v>300</v>
      </c>
      <c r="E52" s="18" t="n">
        <v>64.54244636</v>
      </c>
      <c r="F52" s="20" t="n">
        <v>3.08893184</v>
      </c>
      <c r="G52" s="18" t="n">
        <v>34.11850418</v>
      </c>
      <c r="H52" s="20" t="n">
        <v>3.07698643</v>
      </c>
      <c r="I52" s="18" t="n">
        <v>0</v>
      </c>
      <c r="J52" s="20" t="n">
        <v>0</v>
      </c>
      <c r="K52" s="18" t="n">
        <v>0</v>
      </c>
      <c r="L52" s="20" t="n">
        <v>0</v>
      </c>
      <c r="M52" s="18" t="n">
        <v>0</v>
      </c>
      <c r="N52" s="20" t="n">
        <v>0</v>
      </c>
      <c r="O52" s="18" t="n">
        <v>0</v>
      </c>
      <c r="P52" s="20" t="n">
        <v>0</v>
      </c>
      <c r="Q52" s="18" t="n">
        <v>1.33904945</v>
      </c>
      <c r="R52" s="20" t="n">
        <v>0.67731266</v>
      </c>
    </row>
    <row r="53" spans="1:18">
      <c r="A53" s="15" t="s">
        <v>612</v>
      </c>
      <c r="B53" s="17" t="n">
        <v>2474</v>
      </c>
      <c r="C53" s="18">
        <f>(2209.0/B53*100)</f>
        <v/>
      </c>
      <c r="D53" s="19" t="n">
        <v>265</v>
      </c>
      <c r="E53" s="18" t="n">
        <v>65.89988107000001</v>
      </c>
      <c r="F53" s="20" t="n">
        <v>3.51161285</v>
      </c>
      <c r="G53" s="18" t="n">
        <v>20.70799339</v>
      </c>
      <c r="H53" s="20" t="n">
        <v>2.95652029</v>
      </c>
      <c r="I53" s="18" t="n">
        <v>0</v>
      </c>
      <c r="J53" s="20" t="n">
        <v>0</v>
      </c>
      <c r="K53" s="18" t="n">
        <v>10.47281125</v>
      </c>
      <c r="L53" s="20" t="n">
        <v>1.94167143</v>
      </c>
      <c r="M53" s="18" t="n">
        <v>0</v>
      </c>
      <c r="N53" s="20" t="n">
        <v>0</v>
      </c>
      <c r="O53" s="18" t="n">
        <v>0</v>
      </c>
      <c r="P53" s="20" t="n">
        <v>0</v>
      </c>
      <c r="Q53" s="18" t="n">
        <v>2.91931429</v>
      </c>
      <c r="R53" s="20" t="n">
        <v>1.11494755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(2380.0/B55*100)</f>
        <v/>
      </c>
      <c r="D55" s="19" t="n">
        <v>295</v>
      </c>
      <c r="E55" s="18" t="n">
        <v>39.84371877</v>
      </c>
      <c r="F55" s="20" t="n">
        <v>3.23388452</v>
      </c>
      <c r="G55" s="18" t="n">
        <v>59.49982373</v>
      </c>
      <c r="H55" s="20" t="n">
        <v>3.16737341</v>
      </c>
      <c r="I55" s="18" t="n">
        <v>0</v>
      </c>
      <c r="J55" s="20" t="n">
        <v>0</v>
      </c>
      <c r="K55" s="18" t="n">
        <v>0.31126809</v>
      </c>
      <c r="L55" s="20" t="n">
        <v>0.34872341</v>
      </c>
      <c r="M55" s="18" t="n">
        <v>0</v>
      </c>
      <c r="N55" s="20" t="n">
        <v>0</v>
      </c>
      <c r="O55" s="18" t="n">
        <v>0</v>
      </c>
      <c r="P55" s="20" t="n">
        <v>0</v>
      </c>
      <c r="Q55" s="18" t="n">
        <v>0.34518941</v>
      </c>
      <c r="R55" s="20" t="n">
        <v>0.34834566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(2852.0/B61*100)</f>
        <v/>
      </c>
      <c r="D61" s="19" t="n">
        <v>349</v>
      </c>
      <c r="E61" s="18" t="n">
        <v>49.22797092</v>
      </c>
      <c r="F61" s="20" t="n">
        <v>2.61949834</v>
      </c>
      <c r="G61" s="18" t="n">
        <v>50.3600302</v>
      </c>
      <c r="H61" s="20" t="n">
        <v>2.69902648</v>
      </c>
      <c r="I61" s="18" t="n">
        <v>0</v>
      </c>
      <c r="J61" s="20" t="n">
        <v>0</v>
      </c>
      <c r="K61" s="18" t="n">
        <v>0.34882621</v>
      </c>
      <c r="L61" s="20" t="n">
        <v>0.35172332</v>
      </c>
      <c r="M61" s="18" t="n">
        <v>0</v>
      </c>
      <c r="N61" s="20" t="n">
        <v>0</v>
      </c>
      <c r="O61" s="18" t="n">
        <v>0</v>
      </c>
      <c r="P61" s="20" t="n">
        <v>0</v>
      </c>
      <c r="Q61" s="18" t="n">
        <v>0.06317267</v>
      </c>
      <c r="R61" s="20" t="n">
        <v>0.06349824</v>
      </c>
    </row>
    <row r="62" spans="1:18">
      <c r="A62" s="15" t="s">
        <v>622</v>
      </c>
      <c r="B62" s="17" t="n">
        <v>2230</v>
      </c>
      <c r="C62" s="18">
        <f>(1978.0/B62*100)</f>
        <v/>
      </c>
      <c r="D62" s="19" t="n">
        <v>252</v>
      </c>
      <c r="E62" s="18" t="n">
        <v>42.11388797</v>
      </c>
      <c r="F62" s="20" t="n">
        <v>2.84229644</v>
      </c>
      <c r="G62" s="18" t="n">
        <v>57.88611203</v>
      </c>
      <c r="H62" s="20" t="n">
        <v>2.84229644</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(2468.0/B67*100)</f>
        <v/>
      </c>
      <c r="D67" s="19" t="n">
        <v>303</v>
      </c>
      <c r="E67" s="18" t="n">
        <v>54.34295629</v>
      </c>
      <c r="F67" s="20" t="n">
        <v>3.16822082</v>
      </c>
      <c r="G67" s="18" t="n">
        <v>40.58565278</v>
      </c>
      <c r="H67" s="20" t="n">
        <v>2.82418401</v>
      </c>
      <c r="I67" s="18" t="n">
        <v>0</v>
      </c>
      <c r="J67" s="20" t="n">
        <v>0</v>
      </c>
      <c r="K67" s="18" t="n">
        <v>0.56783268</v>
      </c>
      <c r="L67" s="20" t="n">
        <v>0.39857388</v>
      </c>
      <c r="M67" s="18" t="n">
        <v>0</v>
      </c>
      <c r="N67" s="20" t="n">
        <v>0</v>
      </c>
      <c r="O67" s="18" t="n">
        <v>0</v>
      </c>
      <c r="P67" s="20" t="n">
        <v>0</v>
      </c>
      <c r="Q67" s="18" t="n">
        <v>4.50355825</v>
      </c>
      <c r="R67" s="20" t="n">
        <v>1.29519743</v>
      </c>
    </row>
    <row r="68" spans="1:18">
      <c r="A68" s="15" t="s">
        <v>628</v>
      </c>
      <c r="B68" s="17" t="n">
        <v>3460</v>
      </c>
      <c r="C68" s="18">
        <f>(3104.0/B68*100)</f>
        <v/>
      </c>
      <c r="D68" s="19" t="n">
        <v>356</v>
      </c>
      <c r="E68" s="18" t="n">
        <v>71.07611722</v>
      </c>
      <c r="F68" s="20" t="n">
        <v>2.20471159</v>
      </c>
      <c r="G68" s="18" t="n">
        <v>26.20527775</v>
      </c>
      <c r="H68" s="20" t="n">
        <v>2.15733151</v>
      </c>
      <c r="I68" s="18" t="n">
        <v>0</v>
      </c>
      <c r="J68" s="20" t="n">
        <v>0</v>
      </c>
      <c r="K68" s="18" t="n">
        <v>0.27220477</v>
      </c>
      <c r="L68" s="20" t="n">
        <v>0.27130948</v>
      </c>
      <c r="M68" s="18" t="n">
        <v>0</v>
      </c>
      <c r="N68" s="20" t="n">
        <v>0</v>
      </c>
      <c r="O68" s="18" t="n">
        <v>0</v>
      </c>
      <c r="P68" s="20" t="n">
        <v>0</v>
      </c>
      <c r="Q68" s="18" t="n">
        <v>2.44640025</v>
      </c>
      <c r="R68" s="20" t="n">
        <v>0.71806596</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(5362.0/B70*100)</f>
        <v/>
      </c>
      <c r="D70" s="19" t="n">
        <v>672</v>
      </c>
      <c r="E70" s="18" t="n">
        <v>72.19527436</v>
      </c>
      <c r="F70" s="20" t="n">
        <v>1.42553373</v>
      </c>
      <c r="G70" s="18" t="n">
        <v>26.315652</v>
      </c>
      <c r="H70" s="20" t="n">
        <v>1.48703189</v>
      </c>
      <c r="I70" s="18" t="n">
        <v>0</v>
      </c>
      <c r="J70" s="20" t="n">
        <v>0</v>
      </c>
      <c r="K70" s="18" t="n">
        <v>0.76121545</v>
      </c>
      <c r="L70" s="20" t="n">
        <v>0.3434556</v>
      </c>
      <c r="M70" s="18" t="n">
        <v>0</v>
      </c>
      <c r="N70" s="20" t="n">
        <v>0</v>
      </c>
      <c r="O70" s="18" t="n">
        <v>0</v>
      </c>
      <c r="P70" s="20" t="n">
        <v>0</v>
      </c>
      <c r="Q70" s="18" t="n">
        <v>0.72785819</v>
      </c>
      <c r="R70" s="20" t="n">
        <v>0.32084434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(2791.0/B72*100)</f>
        <v/>
      </c>
      <c r="D72" s="19" t="n">
        <v>316</v>
      </c>
      <c r="E72" s="18" t="n">
        <v>46.55545388</v>
      </c>
      <c r="F72" s="20" t="n">
        <v>3.81964918</v>
      </c>
      <c r="G72" s="18" t="n">
        <v>51.49916991</v>
      </c>
      <c r="H72" s="20" t="n">
        <v>3.55804625</v>
      </c>
      <c r="I72" s="18" t="n">
        <v>0</v>
      </c>
      <c r="J72" s="20" t="n">
        <v>0</v>
      </c>
      <c r="K72" s="18" t="n">
        <v>0.62281826</v>
      </c>
      <c r="L72" s="20" t="n">
        <v>0.53805161</v>
      </c>
      <c r="M72" s="18" t="n">
        <v>0</v>
      </c>
      <c r="N72" s="20" t="n">
        <v>0</v>
      </c>
      <c r="O72" s="18" t="n">
        <v>0</v>
      </c>
      <c r="P72" s="20" t="n">
        <v>0</v>
      </c>
      <c r="Q72" s="18" t="n">
        <v>1.32255796</v>
      </c>
      <c r="R72" s="20" t="n">
        <v>0.70610195</v>
      </c>
    </row>
    <row r="73" spans="1:18">
      <c r="A73" s="15" t="s">
        <v>633</v>
      </c>
      <c r="B73" s="17" t="n">
        <v>2973</v>
      </c>
      <c r="C73" s="18">
        <f>(2637.0/B73*100)</f>
        <v/>
      </c>
      <c r="D73" s="19" t="n">
        <v>336</v>
      </c>
      <c r="E73" s="18" t="n">
        <v>48.89889246</v>
      </c>
      <c r="F73" s="20" t="n">
        <v>2.87499261</v>
      </c>
      <c r="G73" s="18" t="n">
        <v>50.61414345</v>
      </c>
      <c r="H73" s="20" t="n">
        <v>2.90902815</v>
      </c>
      <c r="I73" s="18" t="n">
        <v>0</v>
      </c>
      <c r="J73" s="20" t="n">
        <v>0</v>
      </c>
      <c r="K73" s="18" t="n">
        <v>0</v>
      </c>
      <c r="L73" s="20" t="n">
        <v>0</v>
      </c>
      <c r="M73" s="18" t="n">
        <v>0</v>
      </c>
      <c r="N73" s="20" t="n">
        <v>0</v>
      </c>
      <c r="O73" s="18" t="n">
        <v>0</v>
      </c>
      <c r="P73" s="20" t="n">
        <v>0</v>
      </c>
      <c r="Q73" s="18" t="n">
        <v>0.48696409</v>
      </c>
      <c r="R73" s="20" t="n">
        <v>0.36081167</v>
      </c>
    </row>
    <row r="74" spans="1:18">
      <c r="A74" s="15" t="s">
        <v>634</v>
      </c>
      <c r="B74" s="17" t="n">
        <v>3819</v>
      </c>
      <c r="C74" s="18">
        <f>(3407.0/B74*100)</f>
        <v/>
      </c>
      <c r="D74" s="19" t="n">
        <v>412</v>
      </c>
      <c r="E74" s="18" t="n">
        <v>42.09987099</v>
      </c>
      <c r="F74" s="20" t="n">
        <v>2.60477478</v>
      </c>
      <c r="G74" s="18" t="n">
        <v>57.09825378</v>
      </c>
      <c r="H74" s="20" t="n">
        <v>2.63700919</v>
      </c>
      <c r="I74" s="18" t="n">
        <v>0</v>
      </c>
      <c r="J74" s="20" t="n">
        <v>0</v>
      </c>
      <c r="K74" s="18" t="n">
        <v>0.33988425</v>
      </c>
      <c r="L74" s="20" t="n">
        <v>0.24921179</v>
      </c>
      <c r="M74" s="18" t="n">
        <v>0</v>
      </c>
      <c r="N74" s="20" t="n">
        <v>0</v>
      </c>
      <c r="O74" s="18" t="n">
        <v>0</v>
      </c>
      <c r="P74" s="20" t="n">
        <v>0</v>
      </c>
      <c r="Q74" s="18" t="n">
        <v>0.46199097</v>
      </c>
      <c r="R74" s="20" t="n">
        <v>0.33823727</v>
      </c>
    </row>
    <row r="75" spans="1:18">
      <c r="A75" s="15" t="s">
        <v>635</v>
      </c>
      <c r="B75" s="17" t="n">
        <v>4652</v>
      </c>
      <c r="C75" s="18">
        <f>(4149.0/B75*100)</f>
        <v/>
      </c>
      <c r="D75" s="19" t="n">
        <v>503</v>
      </c>
      <c r="E75" s="18" t="n">
        <v>57.22637523</v>
      </c>
      <c r="F75" s="20" t="n">
        <v>2.63414381</v>
      </c>
      <c r="G75" s="18" t="n">
        <v>41.90951763</v>
      </c>
      <c r="H75" s="20" t="n">
        <v>2.66042572</v>
      </c>
      <c r="I75" s="18" t="n">
        <v>0</v>
      </c>
      <c r="J75" s="20" t="n">
        <v>0</v>
      </c>
      <c r="K75" s="18" t="n">
        <v>0</v>
      </c>
      <c r="L75" s="20" t="n">
        <v>0</v>
      </c>
      <c r="M75" s="18" t="n">
        <v>0</v>
      </c>
      <c r="N75" s="20" t="n">
        <v>0</v>
      </c>
      <c r="O75" s="18" t="n">
        <v>0</v>
      </c>
      <c r="P75" s="20" t="n">
        <v>0</v>
      </c>
      <c r="Q75" s="18" t="n">
        <v>0.86410714</v>
      </c>
      <c r="R75" s="20" t="n">
        <v>0.49537288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(2674.0/B77*100)</f>
        <v/>
      </c>
      <c r="D77" s="19" t="n">
        <v>295</v>
      </c>
      <c r="E77" s="18" t="n">
        <v>65.25610257</v>
      </c>
      <c r="F77" s="20" t="n">
        <v>3.2254852</v>
      </c>
      <c r="G77" s="18" t="n">
        <v>31.84725122</v>
      </c>
      <c r="H77" s="20" t="n">
        <v>3.13551499</v>
      </c>
      <c r="I77" s="18" t="n">
        <v>0</v>
      </c>
      <c r="J77" s="20" t="n">
        <v>0</v>
      </c>
      <c r="K77" s="18" t="n">
        <v>2.55128443</v>
      </c>
      <c r="L77" s="20" t="n">
        <v>1.14402237</v>
      </c>
      <c r="M77" s="18" t="n">
        <v>0</v>
      </c>
      <c r="N77" s="20" t="n">
        <v>0</v>
      </c>
      <c r="O77" s="18" t="n">
        <v>0</v>
      </c>
      <c r="P77" s="20" t="n">
        <v>0</v>
      </c>
      <c r="Q77" s="18" t="n">
        <v>0.34536178</v>
      </c>
      <c r="R77" s="20" t="n">
        <v>0.30920787</v>
      </c>
    </row>
    <row r="78" spans="1:18">
      <c r="A78" s="15" t="s">
        <v>638</v>
      </c>
      <c r="B78" s="17" t="n">
        <v>7115</v>
      </c>
      <c r="C78" s="18">
        <f>(6331.0/B78*100)</f>
        <v/>
      </c>
      <c r="D78" s="19" t="n">
        <v>784</v>
      </c>
      <c r="E78" s="18" t="n">
        <v>69.57491493000001</v>
      </c>
      <c r="F78" s="20" t="n">
        <v>2.00607928</v>
      </c>
      <c r="G78" s="18" t="n">
        <v>28.73023132</v>
      </c>
      <c r="H78" s="20" t="n">
        <v>1.8945147</v>
      </c>
      <c r="I78" s="18" t="n">
        <v>0</v>
      </c>
      <c r="J78" s="20" t="n">
        <v>0</v>
      </c>
      <c r="K78" s="18" t="n">
        <v>0.77032022</v>
      </c>
      <c r="L78" s="20" t="n">
        <v>0.35075632</v>
      </c>
      <c r="M78" s="18" t="n">
        <v>0</v>
      </c>
      <c r="N78" s="20" t="n">
        <v>0</v>
      </c>
      <c r="O78" s="18" t="n">
        <v>0</v>
      </c>
      <c r="P78" s="20" t="n">
        <v>0</v>
      </c>
      <c r="Q78" s="18" t="n">
        <v>0.92453354</v>
      </c>
      <c r="R78" s="20" t="n">
        <v>0.44281382</v>
      </c>
    </row>
    <row r="79" spans="1:18">
      <c r="A79" s="15" t="s">
        <v>639</v>
      </c>
      <c r="B79" s="17" t="n">
        <v>3154</v>
      </c>
      <c r="C79" s="18">
        <f>(2816.0/B79*100)</f>
        <v/>
      </c>
      <c r="D79" s="19" t="n">
        <v>338</v>
      </c>
      <c r="E79" s="18" t="n">
        <v>54.77718175</v>
      </c>
      <c r="F79" s="20" t="n">
        <v>2.5773724</v>
      </c>
      <c r="G79" s="18" t="n">
        <v>41.50976606</v>
      </c>
      <c r="H79" s="20" t="n">
        <v>2.60657577</v>
      </c>
      <c r="I79" s="18" t="n">
        <v>0</v>
      </c>
      <c r="J79" s="20" t="n">
        <v>0</v>
      </c>
      <c r="K79" s="18" t="n">
        <v>1.37730268</v>
      </c>
      <c r="L79" s="20" t="n">
        <v>0.63238677</v>
      </c>
      <c r="M79" s="18" t="n">
        <v>0</v>
      </c>
      <c r="N79" s="20" t="n">
        <v>0</v>
      </c>
      <c r="O79" s="18" t="n">
        <v>0</v>
      </c>
      <c r="P79" s="20" t="n">
        <v>0</v>
      </c>
      <c r="Q79" s="18" t="n">
        <v>2.3357495</v>
      </c>
      <c r="R79" s="20" t="n">
        <v>1.01919051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(14197.0/B82*100)</f>
        <v/>
      </c>
      <c r="D82" s="19" t="n">
        <v>1764</v>
      </c>
      <c r="E82" s="18" t="n">
        <v>51.64404194</v>
      </c>
      <c r="F82" s="20" t="n">
        <v>1.60924906</v>
      </c>
      <c r="G82" s="18" t="n">
        <v>47.53663379</v>
      </c>
      <c r="H82" s="20" t="n">
        <v>1.59561201</v>
      </c>
      <c r="I82" s="18" t="n">
        <v>0</v>
      </c>
      <c r="J82" s="20" t="n">
        <v>0</v>
      </c>
      <c r="K82" s="18" t="n">
        <v>0.13079688</v>
      </c>
      <c r="L82" s="20" t="n">
        <v>0.07701028</v>
      </c>
      <c r="M82" s="18" t="n">
        <v>0</v>
      </c>
      <c r="N82" s="20" t="n">
        <v>0</v>
      </c>
      <c r="O82" s="18" t="n">
        <v>0</v>
      </c>
      <c r="P82" s="20" t="n">
        <v>0</v>
      </c>
      <c r="Q82" s="18" t="n">
        <v>0.68852739</v>
      </c>
      <c r="R82" s="20" t="n">
        <v>0.2657877</v>
      </c>
    </row>
    <row r="83" spans="1:18">
      <c r="A83" s="15" t="s">
        <v>643</v>
      </c>
      <c r="B83" s="17" t="n">
        <v>808</v>
      </c>
      <c r="C83" s="18">
        <f>(717.0/B83*100)</f>
        <v/>
      </c>
      <c r="D83" s="19" t="n">
        <v>91</v>
      </c>
      <c r="E83" s="18" t="n">
        <v>56.98478516</v>
      </c>
      <c r="F83" s="20" t="n">
        <v>6.61632767</v>
      </c>
      <c r="G83" s="18" t="n">
        <v>43.01521484</v>
      </c>
      <c r="H83" s="20" t="n">
        <v>6.61632767</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(834.0/B84*100)</f>
        <v/>
      </c>
      <c r="D84" s="19" t="n">
        <v>104</v>
      </c>
      <c r="E84" s="18" t="n">
        <v>58.90592397</v>
      </c>
      <c r="F84" s="20" t="n">
        <v>6.05645991</v>
      </c>
      <c r="G84" s="18" t="n">
        <v>41.09407603</v>
      </c>
      <c r="H84" s="20" t="n">
        <v>6.05645991</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(6388.0/B7*100)</f>
        <v/>
      </c>
      <c r="D7" s="19" t="n">
        <v>775</v>
      </c>
      <c r="E7" s="18" t="n">
        <v>29.51194419</v>
      </c>
      <c r="F7" s="20" t="n">
        <v>1.74972666</v>
      </c>
      <c r="G7" s="18" t="n">
        <v>69.11083696</v>
      </c>
      <c r="H7" s="20" t="n">
        <v>1.71792737</v>
      </c>
      <c r="I7" s="18" t="n">
        <v>0</v>
      </c>
      <c r="J7" s="20" t="n">
        <v>0</v>
      </c>
      <c r="K7" s="18" t="n">
        <v>0.55863414</v>
      </c>
      <c r="L7" s="20" t="n">
        <v>0.30125537</v>
      </c>
      <c r="M7" s="18" t="n">
        <v>0</v>
      </c>
      <c r="N7" s="20" t="n">
        <v>0</v>
      </c>
      <c r="O7" s="18" t="n">
        <v>0</v>
      </c>
      <c r="P7" s="20" t="n">
        <v>0</v>
      </c>
      <c r="Q7" s="18" t="n">
        <v>0.81858471</v>
      </c>
      <c r="R7" s="20" t="n">
        <v>0.39719385</v>
      </c>
    </row>
    <row r="8" spans="1:18">
      <c r="A8" s="15" t="s">
        <v>566</v>
      </c>
      <c r="B8" s="17" t="n">
        <v>3443</v>
      </c>
      <c r="C8" s="18">
        <f>(3033.0/B8*100)</f>
        <v/>
      </c>
      <c r="D8" s="19" t="n">
        <v>410</v>
      </c>
      <c r="E8" s="18" t="n">
        <v>34.0789276</v>
      </c>
      <c r="F8" s="20" t="n">
        <v>2.87612981</v>
      </c>
      <c r="G8" s="18" t="n">
        <v>63.97724947</v>
      </c>
      <c r="H8" s="20" t="n">
        <v>2.80421717</v>
      </c>
      <c r="I8" s="18" t="n">
        <v>0</v>
      </c>
      <c r="J8" s="20" t="n">
        <v>0</v>
      </c>
      <c r="K8" s="18" t="n">
        <v>0.31518073</v>
      </c>
      <c r="L8" s="20" t="n">
        <v>0.22935479</v>
      </c>
      <c r="M8" s="18" t="n">
        <v>0</v>
      </c>
      <c r="N8" s="20" t="n">
        <v>0</v>
      </c>
      <c r="O8" s="18" t="n">
        <v>0</v>
      </c>
      <c r="P8" s="20" t="n">
        <v>0</v>
      </c>
      <c r="Q8" s="18" t="n">
        <v>1.62864219</v>
      </c>
      <c r="R8" s="20" t="n">
        <v>0.78651639</v>
      </c>
    </row>
    <row r="9" spans="1:18">
      <c r="A9" s="15" t="s">
        <v>567</v>
      </c>
      <c r="B9" s="17" t="n">
        <v>4752</v>
      </c>
      <c r="C9" s="18">
        <f>(4206.0/B9*100)</f>
        <v/>
      </c>
      <c r="D9" s="19" t="n">
        <v>546</v>
      </c>
      <c r="E9" s="18" t="n">
        <v>25.43332549</v>
      </c>
      <c r="F9" s="20" t="n">
        <v>2.27169683</v>
      </c>
      <c r="G9" s="18" t="n">
        <v>74.08920723999999</v>
      </c>
      <c r="H9" s="20" t="n">
        <v>2.31305141</v>
      </c>
      <c r="I9" s="18" t="n">
        <v>0</v>
      </c>
      <c r="J9" s="20" t="n">
        <v>0</v>
      </c>
      <c r="K9" s="18" t="n">
        <v>0</v>
      </c>
      <c r="L9" s="20" t="n">
        <v>0</v>
      </c>
      <c r="M9" s="18" t="n">
        <v>0</v>
      </c>
      <c r="N9" s="20" t="n">
        <v>0</v>
      </c>
      <c r="O9" s="18" t="n">
        <v>0</v>
      </c>
      <c r="P9" s="20" t="n">
        <v>0</v>
      </c>
      <c r="Q9" s="18" t="n">
        <v>0.47746726</v>
      </c>
      <c r="R9" s="20" t="n">
        <v>0.35736602</v>
      </c>
    </row>
    <row r="10" spans="1:18">
      <c r="A10" s="15" t="s">
        <v>568</v>
      </c>
      <c r="B10" s="17" t="n">
        <v>10022</v>
      </c>
      <c r="C10" s="18">
        <f>(8901.0/B10*100)</f>
        <v/>
      </c>
      <c r="D10" s="19" t="n">
        <v>1121</v>
      </c>
      <c r="E10" s="18" t="n">
        <v>24.66398637</v>
      </c>
      <c r="F10" s="20" t="n">
        <v>1.75158014</v>
      </c>
      <c r="G10" s="18" t="n">
        <v>74.70625947000001</v>
      </c>
      <c r="H10" s="20" t="n">
        <v>1.81598302</v>
      </c>
      <c r="I10" s="18" t="n">
        <v>0</v>
      </c>
      <c r="J10" s="20" t="n">
        <v>0</v>
      </c>
      <c r="K10" s="18" t="n">
        <v>0.02830906</v>
      </c>
      <c r="L10" s="20" t="n">
        <v>0.02835405</v>
      </c>
      <c r="M10" s="18" t="n">
        <v>0</v>
      </c>
      <c r="N10" s="20" t="n">
        <v>0</v>
      </c>
      <c r="O10" s="18" t="n">
        <v>0</v>
      </c>
      <c r="P10" s="20" t="n">
        <v>0</v>
      </c>
      <c r="Q10" s="18" t="n">
        <v>0.6014451</v>
      </c>
      <c r="R10" s="20" t="n">
        <v>0.330959</v>
      </c>
    </row>
    <row r="11" spans="1:18">
      <c r="A11" s="15" t="s">
        <v>569</v>
      </c>
      <c r="B11" s="17" t="n">
        <v>3500</v>
      </c>
      <c r="C11" s="18">
        <f>(3126.0/B11*100)</f>
        <v/>
      </c>
      <c r="D11" s="19" t="n">
        <v>374</v>
      </c>
      <c r="E11" s="18" t="n">
        <v>30.09038733</v>
      </c>
      <c r="F11" s="20" t="n">
        <v>3.17532892</v>
      </c>
      <c r="G11" s="18" t="n">
        <v>67.69921094</v>
      </c>
      <c r="H11" s="20" t="n">
        <v>3.1818972</v>
      </c>
      <c r="I11" s="18" t="n">
        <v>0</v>
      </c>
      <c r="J11" s="20" t="n">
        <v>0</v>
      </c>
      <c r="K11" s="18" t="n">
        <v>0.89745962</v>
      </c>
      <c r="L11" s="20" t="n">
        <v>0.52327141</v>
      </c>
      <c r="M11" s="18" t="n">
        <v>0</v>
      </c>
      <c r="N11" s="20" t="n">
        <v>0</v>
      </c>
      <c r="O11" s="18" t="n">
        <v>0</v>
      </c>
      <c r="P11" s="20" t="n">
        <v>0</v>
      </c>
      <c r="Q11" s="18" t="n">
        <v>1.31294211</v>
      </c>
      <c r="R11" s="20" t="n">
        <v>0.5735381000000001</v>
      </c>
    </row>
    <row r="12" spans="1:18">
      <c r="A12" s="15" t="s">
        <v>570</v>
      </c>
      <c r="B12" s="17" t="n">
        <v>3422</v>
      </c>
      <c r="C12" s="18">
        <f>(3038.0/B12*100)</f>
        <v/>
      </c>
      <c r="D12" s="19" t="n">
        <v>384</v>
      </c>
      <c r="E12" s="18" t="n">
        <v>34.30516026</v>
      </c>
      <c r="F12" s="20" t="n">
        <v>2.61616162</v>
      </c>
      <c r="G12" s="18" t="n">
        <v>64.78301021999999</v>
      </c>
      <c r="H12" s="20" t="n">
        <v>2.70479932</v>
      </c>
      <c r="I12" s="18" t="n">
        <v>0</v>
      </c>
      <c r="J12" s="20" t="n">
        <v>0</v>
      </c>
      <c r="K12" s="18" t="n">
        <v>0.30951698</v>
      </c>
      <c r="L12" s="20" t="n">
        <v>0.32988903</v>
      </c>
      <c r="M12" s="18" t="n">
        <v>0</v>
      </c>
      <c r="N12" s="20" t="n">
        <v>0</v>
      </c>
      <c r="O12" s="18" t="n">
        <v>0</v>
      </c>
      <c r="P12" s="20" t="n">
        <v>0</v>
      </c>
      <c r="Q12" s="18" t="n">
        <v>0.60231254</v>
      </c>
      <c r="R12" s="20" t="n">
        <v>0.32937065</v>
      </c>
    </row>
    <row r="13" spans="1:18">
      <c r="A13" s="15" t="s">
        <v>571</v>
      </c>
      <c r="B13" s="17" t="n">
        <v>3602</v>
      </c>
      <c r="C13" s="18">
        <f>(3231.0/B13*100)</f>
        <v/>
      </c>
      <c r="D13" s="19" t="n">
        <v>371</v>
      </c>
      <c r="E13" s="18" t="n">
        <v>20.25711633</v>
      </c>
      <c r="F13" s="20" t="n">
        <v>2.52402345</v>
      </c>
      <c r="G13" s="18" t="n">
        <v>79.27409823000001</v>
      </c>
      <c r="H13" s="20" t="n">
        <v>2.56536273</v>
      </c>
      <c r="I13" s="18" t="n">
        <v>0</v>
      </c>
      <c r="J13" s="20" t="n">
        <v>0</v>
      </c>
      <c r="K13" s="18" t="n">
        <v>0.4189176</v>
      </c>
      <c r="L13" s="20" t="n">
        <v>0.40945654</v>
      </c>
      <c r="M13" s="18" t="n">
        <v>0</v>
      </c>
      <c r="N13" s="20" t="n">
        <v>0</v>
      </c>
      <c r="O13" s="18" t="n">
        <v>0</v>
      </c>
      <c r="P13" s="20" t="n">
        <v>0</v>
      </c>
      <c r="Q13" s="18" t="n">
        <v>0.04986784</v>
      </c>
      <c r="R13" s="20" t="n">
        <v>0.0488993</v>
      </c>
    </row>
    <row r="14" spans="1:18">
      <c r="A14" s="15" t="s">
        <v>572</v>
      </c>
      <c r="B14" s="17" t="n">
        <v>2788</v>
      </c>
      <c r="C14" s="18">
        <f>(2482.0/B14*100)</f>
        <v/>
      </c>
      <c r="D14" s="19" t="n">
        <v>306</v>
      </c>
      <c r="E14" s="18" t="n">
        <v>20.30492663</v>
      </c>
      <c r="F14" s="20" t="n">
        <v>2.25704801</v>
      </c>
      <c r="G14" s="18" t="n">
        <v>78.8993849</v>
      </c>
      <c r="H14" s="20" t="n">
        <v>2.29859091</v>
      </c>
      <c r="I14" s="18" t="n">
        <v>0</v>
      </c>
      <c r="J14" s="20" t="n">
        <v>0</v>
      </c>
      <c r="K14" s="18" t="n">
        <v>0</v>
      </c>
      <c r="L14" s="20" t="n">
        <v>0</v>
      </c>
      <c r="M14" s="18" t="n">
        <v>0</v>
      </c>
      <c r="N14" s="20" t="n">
        <v>0</v>
      </c>
      <c r="O14" s="18" t="n">
        <v>0</v>
      </c>
      <c r="P14" s="20" t="n">
        <v>0</v>
      </c>
      <c r="Q14" s="18" t="n">
        <v>0.79568847</v>
      </c>
      <c r="R14" s="20" t="n">
        <v>0.46014777</v>
      </c>
    </row>
    <row r="15" spans="1:18">
      <c r="A15" s="15" t="s">
        <v>573</v>
      </c>
      <c r="B15" s="17" t="n">
        <v>2863</v>
      </c>
      <c r="C15" s="18">
        <f>(2554.0/B15*100)</f>
        <v/>
      </c>
      <c r="D15" s="19" t="n">
        <v>309</v>
      </c>
      <c r="E15" s="18" t="n">
        <v>27.94723112</v>
      </c>
      <c r="F15" s="20" t="n">
        <v>2.42167247</v>
      </c>
      <c r="G15" s="18" t="n">
        <v>72.05276888</v>
      </c>
      <c r="H15" s="20" t="n">
        <v>2.42167247</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(2767.0/B16*100)</f>
        <v/>
      </c>
      <c r="D16" s="19" t="n">
        <v>344</v>
      </c>
      <c r="E16" s="18" t="n">
        <v>26.95888161</v>
      </c>
      <c r="F16" s="20" t="n">
        <v>2.47182493</v>
      </c>
      <c r="G16" s="18" t="n">
        <v>71.27210986</v>
      </c>
      <c r="H16" s="20" t="n">
        <v>2.75689956</v>
      </c>
      <c r="I16" s="18" t="n">
        <v>0</v>
      </c>
      <c r="J16" s="20" t="n">
        <v>0</v>
      </c>
      <c r="K16" s="18" t="n">
        <v>0.95874786</v>
      </c>
      <c r="L16" s="20" t="n">
        <v>0.89214222</v>
      </c>
      <c r="M16" s="18" t="n">
        <v>0</v>
      </c>
      <c r="N16" s="20" t="n">
        <v>0</v>
      </c>
      <c r="O16" s="18" t="n">
        <v>0</v>
      </c>
      <c r="P16" s="20" t="n">
        <v>0</v>
      </c>
      <c r="Q16" s="18" t="n">
        <v>0.81026068</v>
      </c>
      <c r="R16" s="20" t="n">
        <v>0.46086886</v>
      </c>
    </row>
    <row r="17" spans="1:18">
      <c r="A17" s="15" t="s">
        <v>575</v>
      </c>
      <c r="B17" s="17" t="n">
        <v>3197</v>
      </c>
      <c r="C17" s="18">
        <f>(2841.0/B17*100)</f>
        <v/>
      </c>
      <c r="D17" s="19" t="n">
        <v>356</v>
      </c>
      <c r="E17" s="18" t="n">
        <v>26.01774512</v>
      </c>
      <c r="F17" s="20" t="n">
        <v>2.19506604</v>
      </c>
      <c r="G17" s="18" t="n">
        <v>72.54372787</v>
      </c>
      <c r="H17" s="20" t="n">
        <v>2.34472786</v>
      </c>
      <c r="I17" s="18" t="n">
        <v>0</v>
      </c>
      <c r="J17" s="20" t="n">
        <v>0</v>
      </c>
      <c r="K17" s="18" t="n">
        <v>0.60634107</v>
      </c>
      <c r="L17" s="20" t="n">
        <v>0.42310578</v>
      </c>
      <c r="M17" s="18" t="n">
        <v>0</v>
      </c>
      <c r="N17" s="20" t="n">
        <v>0</v>
      </c>
      <c r="O17" s="18" t="n">
        <v>0</v>
      </c>
      <c r="P17" s="20" t="n">
        <v>0</v>
      </c>
      <c r="Q17" s="18" t="n">
        <v>0.83218593</v>
      </c>
      <c r="R17" s="20" t="n">
        <v>0.48013707</v>
      </c>
    </row>
    <row r="18" spans="1:18">
      <c r="A18" s="15" t="s">
        <v>576</v>
      </c>
      <c r="B18" s="17" t="n">
        <v>2706</v>
      </c>
      <c r="C18" s="18">
        <f>(2408.0/B18*100)</f>
        <v/>
      </c>
      <c r="D18" s="19" t="n">
        <v>298</v>
      </c>
      <c r="E18" s="18" t="n">
        <v>44.17154625</v>
      </c>
      <c r="F18" s="20" t="n">
        <v>2.91906207</v>
      </c>
      <c r="G18" s="18" t="n">
        <v>53.64896953</v>
      </c>
      <c r="H18" s="20" t="n">
        <v>2.96147343</v>
      </c>
      <c r="I18" s="18" t="n">
        <v>0</v>
      </c>
      <c r="J18" s="20" t="n">
        <v>0</v>
      </c>
      <c r="K18" s="18" t="n">
        <v>0.36742774</v>
      </c>
      <c r="L18" s="20" t="n">
        <v>0.29373431</v>
      </c>
      <c r="M18" s="18" t="n">
        <v>0</v>
      </c>
      <c r="N18" s="20" t="n">
        <v>0</v>
      </c>
      <c r="O18" s="18" t="n">
        <v>0</v>
      </c>
      <c r="P18" s="20" t="n">
        <v>0</v>
      </c>
      <c r="Q18" s="18" t="n">
        <v>1.81205647</v>
      </c>
      <c r="R18" s="20" t="n">
        <v>0.79590489</v>
      </c>
    </row>
    <row r="19" spans="1:18">
      <c r="A19" s="15" t="s">
        <v>577</v>
      </c>
      <c r="B19" s="17" t="n">
        <v>2850</v>
      </c>
      <c r="C19" s="18">
        <f>(2504.0/B19*100)</f>
        <v/>
      </c>
      <c r="D19" s="19" t="n">
        <v>346</v>
      </c>
      <c r="E19" s="18" t="n">
        <v>28.82653095</v>
      </c>
      <c r="F19" s="20" t="n">
        <v>2.63943296</v>
      </c>
      <c r="G19" s="18" t="n">
        <v>71.17346904999999</v>
      </c>
      <c r="H19" s="20" t="n">
        <v>2.63943296</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(1543.0/B20*100)</f>
        <v/>
      </c>
      <c r="D20" s="19" t="n">
        <v>198</v>
      </c>
      <c r="E20" s="18" t="n">
        <v>28.99929445</v>
      </c>
      <c r="F20" s="20" t="n">
        <v>3.52083392</v>
      </c>
      <c r="G20" s="18" t="n">
        <v>69.49438324</v>
      </c>
      <c r="H20" s="20" t="n">
        <v>3.56270951</v>
      </c>
      <c r="I20" s="18" t="n">
        <v>0</v>
      </c>
      <c r="J20" s="20" t="n">
        <v>0</v>
      </c>
      <c r="K20" s="18" t="n">
        <v>0.43330322</v>
      </c>
      <c r="L20" s="20" t="n">
        <v>0.43097123</v>
      </c>
      <c r="M20" s="18" t="n">
        <v>0</v>
      </c>
      <c r="N20" s="20" t="n">
        <v>0</v>
      </c>
      <c r="O20" s="18" t="n">
        <v>0</v>
      </c>
      <c r="P20" s="20" t="n">
        <v>0</v>
      </c>
      <c r="Q20" s="18" t="n">
        <v>1.07301909</v>
      </c>
      <c r="R20" s="20" t="n">
        <v>0.75562685</v>
      </c>
    </row>
    <row r="21" spans="1:18">
      <c r="A21" s="15" t="s">
        <v>579</v>
      </c>
      <c r="B21" s="17" t="n">
        <v>2833</v>
      </c>
      <c r="C21" s="18">
        <f>(2500.0/B21*100)</f>
        <v/>
      </c>
      <c r="D21" s="19" t="n">
        <v>333</v>
      </c>
      <c r="E21" s="18" t="n">
        <v>26.02700593</v>
      </c>
      <c r="F21" s="20" t="n">
        <v>2.45225987</v>
      </c>
      <c r="G21" s="18" t="n">
        <v>73.68364819999999</v>
      </c>
      <c r="H21" s="20" t="n">
        <v>2.4113773</v>
      </c>
      <c r="I21" s="18" t="n">
        <v>0</v>
      </c>
      <c r="J21" s="20" t="n">
        <v>0</v>
      </c>
      <c r="K21" s="18" t="n">
        <v>0</v>
      </c>
      <c r="L21" s="20" t="n">
        <v>0</v>
      </c>
      <c r="M21" s="18" t="n">
        <v>0</v>
      </c>
      <c r="N21" s="20" t="n">
        <v>0</v>
      </c>
      <c r="O21" s="18" t="n">
        <v>0</v>
      </c>
      <c r="P21" s="20" t="n">
        <v>0</v>
      </c>
      <c r="Q21" s="18" t="n">
        <v>0.28934587</v>
      </c>
      <c r="R21" s="20" t="n">
        <v>0.28933463</v>
      </c>
    </row>
    <row r="22" spans="1:18">
      <c r="A22" s="15" t="s">
        <v>580</v>
      </c>
      <c r="B22" s="17" t="n">
        <v>3667</v>
      </c>
      <c r="C22" s="18">
        <f>(3286.0/B22*100)</f>
        <v/>
      </c>
      <c r="D22" s="19" t="n">
        <v>381</v>
      </c>
      <c r="E22" s="18" t="n">
        <v>39.77495921</v>
      </c>
      <c r="F22" s="20" t="n">
        <v>2.61429403</v>
      </c>
      <c r="G22" s="18" t="n">
        <v>58.88734561</v>
      </c>
      <c r="H22" s="20" t="n">
        <v>2.57470662</v>
      </c>
      <c r="I22" s="18" t="n">
        <v>0</v>
      </c>
      <c r="J22" s="20" t="n">
        <v>0</v>
      </c>
      <c r="K22" s="18" t="n">
        <v>0</v>
      </c>
      <c r="L22" s="20" t="n">
        <v>0</v>
      </c>
      <c r="M22" s="18" t="n">
        <v>0</v>
      </c>
      <c r="N22" s="20" t="n">
        <v>0</v>
      </c>
      <c r="O22" s="18" t="n">
        <v>0</v>
      </c>
      <c r="P22" s="20" t="n">
        <v>0</v>
      </c>
      <c r="Q22" s="18" t="n">
        <v>1.33769519</v>
      </c>
      <c r="R22" s="20" t="n">
        <v>0.55741973</v>
      </c>
    </row>
    <row r="23" spans="1:18">
      <c r="A23" s="15" t="s">
        <v>581</v>
      </c>
      <c r="B23" s="17" t="n">
        <v>5792</v>
      </c>
      <c r="C23" s="18">
        <f>(5170.0/B23*100)</f>
        <v/>
      </c>
      <c r="D23" s="19" t="n">
        <v>622</v>
      </c>
      <c r="E23" s="18" t="n">
        <v>44.85661686</v>
      </c>
      <c r="F23" s="20" t="n">
        <v>3.39882093</v>
      </c>
      <c r="G23" s="18" t="n">
        <v>53.70426675</v>
      </c>
      <c r="H23" s="20" t="n">
        <v>3.54878154</v>
      </c>
      <c r="I23" s="18" t="n">
        <v>0</v>
      </c>
      <c r="J23" s="20" t="n">
        <v>0</v>
      </c>
      <c r="K23" s="18" t="n">
        <v>0.86897535</v>
      </c>
      <c r="L23" s="20" t="n">
        <v>0.5650375</v>
      </c>
      <c r="M23" s="18" t="n">
        <v>0</v>
      </c>
      <c r="N23" s="20" t="n">
        <v>0</v>
      </c>
      <c r="O23" s="18" t="n">
        <v>0</v>
      </c>
      <c r="P23" s="20" t="n">
        <v>0</v>
      </c>
      <c r="Q23" s="18" t="n">
        <v>0.57014105</v>
      </c>
      <c r="R23" s="20" t="n">
        <v>0.30012437</v>
      </c>
    </row>
    <row r="24" spans="1:18">
      <c r="A24" s="15" t="s">
        <v>582</v>
      </c>
      <c r="B24" s="17" t="n">
        <v>3309</v>
      </c>
      <c r="C24" s="18">
        <f>(2925.0/B24*100)</f>
        <v/>
      </c>
      <c r="D24" s="19" t="n">
        <v>384</v>
      </c>
      <c r="E24" s="18" t="n">
        <v>38.11195192</v>
      </c>
      <c r="F24" s="20" t="n">
        <v>2.66012617</v>
      </c>
      <c r="G24" s="18" t="n">
        <v>61.65760335</v>
      </c>
      <c r="H24" s="20" t="n">
        <v>2.65619765</v>
      </c>
      <c r="I24" s="18" t="n">
        <v>0</v>
      </c>
      <c r="J24" s="20" t="n">
        <v>0</v>
      </c>
      <c r="K24" s="18" t="n">
        <v>0</v>
      </c>
      <c r="L24" s="20" t="n">
        <v>0</v>
      </c>
      <c r="M24" s="18" t="n">
        <v>0</v>
      </c>
      <c r="N24" s="20" t="n">
        <v>0</v>
      </c>
      <c r="O24" s="18" t="n">
        <v>0</v>
      </c>
      <c r="P24" s="20" t="n">
        <v>0</v>
      </c>
      <c r="Q24" s="18" t="n">
        <v>0.23044473</v>
      </c>
      <c r="R24" s="20" t="n">
        <v>0.23017818</v>
      </c>
    </row>
    <row r="25" spans="1:18">
      <c r="A25" s="15" t="s">
        <v>583</v>
      </c>
      <c r="B25" s="17" t="n">
        <v>2669</v>
      </c>
      <c r="C25" s="18">
        <f>(2365.0/B25*100)</f>
        <v/>
      </c>
      <c r="D25" s="19" t="n">
        <v>304</v>
      </c>
      <c r="E25" s="18" t="n">
        <v>38.12415142</v>
      </c>
      <c r="F25" s="20" t="n">
        <v>2.73835372</v>
      </c>
      <c r="G25" s="18" t="n">
        <v>61.60100808</v>
      </c>
      <c r="H25" s="20" t="n">
        <v>2.73704893</v>
      </c>
      <c r="I25" s="18" t="n">
        <v>0</v>
      </c>
      <c r="J25" s="20" t="n">
        <v>0</v>
      </c>
      <c r="K25" s="18" t="n">
        <v>0</v>
      </c>
      <c r="L25" s="20" t="n">
        <v>0</v>
      </c>
      <c r="M25" s="18" t="n">
        <v>0</v>
      </c>
      <c r="N25" s="20" t="n">
        <v>0</v>
      </c>
      <c r="O25" s="18" t="n">
        <v>0</v>
      </c>
      <c r="P25" s="20" t="n">
        <v>0</v>
      </c>
      <c r="Q25" s="18" t="n">
        <v>0.27484051</v>
      </c>
      <c r="R25" s="20" t="n">
        <v>0.27275366</v>
      </c>
    </row>
    <row r="26" spans="1:18">
      <c r="A26" s="15" t="s">
        <v>584</v>
      </c>
      <c r="B26" s="17" t="n">
        <v>2419</v>
      </c>
      <c r="C26" s="18">
        <f>(2150.0/B26*100)</f>
        <v/>
      </c>
      <c r="D26" s="19" t="n">
        <v>269</v>
      </c>
      <c r="E26" s="18" t="n">
        <v>30.86027615</v>
      </c>
      <c r="F26" s="20" t="n">
        <v>2.83813355</v>
      </c>
      <c r="G26" s="18" t="n">
        <v>68.14442064000001</v>
      </c>
      <c r="H26" s="20" t="n">
        <v>2.80911283</v>
      </c>
      <c r="I26" s="18" t="n">
        <v>0</v>
      </c>
      <c r="J26" s="20" t="n">
        <v>0</v>
      </c>
      <c r="K26" s="18" t="n">
        <v>0.25467745</v>
      </c>
      <c r="L26" s="20" t="n">
        <v>0.25504928</v>
      </c>
      <c r="M26" s="18" t="n">
        <v>0</v>
      </c>
      <c r="N26" s="20" t="n">
        <v>0</v>
      </c>
      <c r="O26" s="18" t="n">
        <v>0</v>
      </c>
      <c r="P26" s="20" t="n">
        <v>0</v>
      </c>
      <c r="Q26" s="18" t="n">
        <v>0.74062575</v>
      </c>
      <c r="R26" s="20" t="n">
        <v>0.70282196</v>
      </c>
    </row>
    <row r="27" spans="1:18">
      <c r="A27" s="15" t="s">
        <v>585</v>
      </c>
      <c r="B27" s="17" t="n">
        <v>2683</v>
      </c>
      <c r="C27" s="18">
        <f>(2408.0/B27*100)</f>
        <v/>
      </c>
      <c r="D27" s="19" t="n">
        <v>275</v>
      </c>
      <c r="E27" s="18" t="n">
        <v>24.29994151</v>
      </c>
      <c r="F27" s="20" t="n">
        <v>2.69253518</v>
      </c>
      <c r="G27" s="18" t="n">
        <v>75.70005849</v>
      </c>
      <c r="H27" s="20" t="n">
        <v>2.69253518</v>
      </c>
      <c r="I27" s="18" t="n">
        <v>0</v>
      </c>
      <c r="J27" s="20" t="n">
        <v>0</v>
      </c>
      <c r="K27" s="18" t="n">
        <v>0</v>
      </c>
      <c r="L27" s="20" t="n">
        <v>0</v>
      </c>
      <c r="M27" s="18" t="n">
        <v>0</v>
      </c>
      <c r="N27" s="20" t="n">
        <v>0</v>
      </c>
      <c r="O27" s="18" t="n">
        <v>0</v>
      </c>
      <c r="P27" s="20" t="n">
        <v>0</v>
      </c>
      <c r="Q27" s="18" t="n">
        <v>0</v>
      </c>
      <c r="R27" s="20" t="n">
        <v>0</v>
      </c>
    </row>
    <row r="28" spans="1:18">
      <c r="A28" s="15" t="s">
        <v>586</v>
      </c>
      <c r="B28" s="17" t="n">
        <v>3803</v>
      </c>
      <c r="C28" s="18">
        <f>(3416.0/B28*100)</f>
        <v/>
      </c>
      <c r="D28" s="19" t="n">
        <v>387</v>
      </c>
      <c r="E28" s="18" t="n">
        <v>42.56390942</v>
      </c>
      <c r="F28" s="20" t="n">
        <v>3.05340225</v>
      </c>
      <c r="G28" s="18" t="n">
        <v>53.66601932</v>
      </c>
      <c r="H28" s="20" t="n">
        <v>2.89863428</v>
      </c>
      <c r="I28" s="18" t="n">
        <v>0</v>
      </c>
      <c r="J28" s="20" t="n">
        <v>0</v>
      </c>
      <c r="K28" s="18" t="n">
        <v>2.18710163</v>
      </c>
      <c r="L28" s="20" t="n">
        <v>0.97407562</v>
      </c>
      <c r="M28" s="18" t="n">
        <v>0</v>
      </c>
      <c r="N28" s="20" t="n">
        <v>0</v>
      </c>
      <c r="O28" s="18" t="n">
        <v>0</v>
      </c>
      <c r="P28" s="20" t="n">
        <v>0</v>
      </c>
      <c r="Q28" s="18" t="n">
        <v>1.58296963</v>
      </c>
      <c r="R28" s="20" t="n">
        <v>0.71779653</v>
      </c>
    </row>
    <row r="29" spans="1:18">
      <c r="A29" s="15" t="s">
        <v>587</v>
      </c>
      <c r="B29" s="17" t="n">
        <v>2700</v>
      </c>
      <c r="C29" s="18">
        <f>(2403.0/B29*100)</f>
        <v/>
      </c>
      <c r="D29" s="19" t="n">
        <v>297</v>
      </c>
      <c r="E29" s="18" t="n">
        <v>26.27877499</v>
      </c>
      <c r="F29" s="20" t="n">
        <v>2.63160367</v>
      </c>
      <c r="G29" s="18" t="n">
        <v>73.72122501</v>
      </c>
      <c r="H29" s="20" t="n">
        <v>2.63160367</v>
      </c>
      <c r="I29" s="18" t="n">
        <v>0</v>
      </c>
      <c r="J29" s="20" t="n">
        <v>0</v>
      </c>
      <c r="K29" s="18" t="n">
        <v>0</v>
      </c>
      <c r="L29" s="20" t="n">
        <v>0</v>
      </c>
      <c r="M29" s="18" t="n">
        <v>0</v>
      </c>
      <c r="N29" s="20" t="n">
        <v>0</v>
      </c>
      <c r="O29" s="18" t="n">
        <v>0</v>
      </c>
      <c r="P29" s="20" t="n">
        <v>0</v>
      </c>
      <c r="Q29" s="18" t="n">
        <v>0</v>
      </c>
      <c r="R29" s="20" t="n">
        <v>0</v>
      </c>
    </row>
    <row r="30" spans="1:18">
      <c r="A30" s="15" t="s">
        <v>588</v>
      </c>
      <c r="B30" s="17" t="n">
        <v>2257</v>
      </c>
      <c r="C30" s="18">
        <f>(2000.0/B30*100)</f>
        <v/>
      </c>
      <c r="D30" s="19" t="n">
        <v>257</v>
      </c>
      <c r="E30" s="18" t="n">
        <v>24.70485467</v>
      </c>
      <c r="F30" s="20" t="n">
        <v>2.56235243</v>
      </c>
      <c r="G30" s="18" t="n">
        <v>73.86497937</v>
      </c>
      <c r="H30" s="20" t="n">
        <v>2.56583255</v>
      </c>
      <c r="I30" s="18" t="n">
        <v>0</v>
      </c>
      <c r="J30" s="20" t="n">
        <v>0</v>
      </c>
      <c r="K30" s="18" t="n">
        <v>0.56168875</v>
      </c>
      <c r="L30" s="20" t="n">
        <v>0.5630106499999999</v>
      </c>
      <c r="M30" s="18" t="n">
        <v>0</v>
      </c>
      <c r="N30" s="20" t="n">
        <v>0</v>
      </c>
      <c r="O30" s="18" t="n">
        <v>0</v>
      </c>
      <c r="P30" s="20" t="n">
        <v>0</v>
      </c>
      <c r="Q30" s="18" t="n">
        <v>0.86847721</v>
      </c>
      <c r="R30" s="20" t="n">
        <v>0.61139575</v>
      </c>
    </row>
    <row r="31" spans="1:18">
      <c r="A31" s="15" t="s">
        <v>589</v>
      </c>
      <c r="B31" s="17" t="n">
        <v>2706</v>
      </c>
      <c r="C31" s="18">
        <f>(2426.0/B31*100)</f>
        <v/>
      </c>
      <c r="D31" s="19" t="n">
        <v>280</v>
      </c>
      <c r="E31" s="18" t="n">
        <v>31.91269631</v>
      </c>
      <c r="F31" s="20" t="n">
        <v>2.67205978</v>
      </c>
      <c r="G31" s="18" t="n">
        <v>67.40230124</v>
      </c>
      <c r="H31" s="20" t="n">
        <v>2.70361989</v>
      </c>
      <c r="I31" s="18" t="n">
        <v>0</v>
      </c>
      <c r="J31" s="20" t="n">
        <v>0</v>
      </c>
      <c r="K31" s="18" t="n">
        <v>0.68500245</v>
      </c>
      <c r="L31" s="20" t="n">
        <v>0.46923422</v>
      </c>
      <c r="M31" s="18" t="n">
        <v>0</v>
      </c>
      <c r="N31" s="20" t="n">
        <v>0</v>
      </c>
      <c r="O31" s="18" t="n">
        <v>0</v>
      </c>
      <c r="P31" s="20" t="n">
        <v>0</v>
      </c>
      <c r="Q31" s="18" t="n">
        <v>0</v>
      </c>
      <c r="R31" s="20" t="n">
        <v>0</v>
      </c>
    </row>
    <row r="32" spans="1:18">
      <c r="A32" s="15" t="s">
        <v>590</v>
      </c>
      <c r="B32" s="17" t="n">
        <v>2209</v>
      </c>
      <c r="C32" s="18">
        <f>(1952.0/B32*100)</f>
        <v/>
      </c>
      <c r="D32" s="19" t="n">
        <v>257</v>
      </c>
      <c r="E32" s="18" t="n">
        <v>22.09699135</v>
      </c>
      <c r="F32" s="20" t="n">
        <v>2.62554019</v>
      </c>
      <c r="G32" s="18" t="n">
        <v>77.90300865</v>
      </c>
      <c r="H32" s="20" t="n">
        <v>2.62554019</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(3246.0/B33*100)</f>
        <v/>
      </c>
      <c r="D33" s="19" t="n">
        <v>405</v>
      </c>
      <c r="E33" s="18" t="n">
        <v>34.54585232</v>
      </c>
      <c r="F33" s="20" t="n">
        <v>2.75909877</v>
      </c>
      <c r="G33" s="18" t="n">
        <v>64.82286261</v>
      </c>
      <c r="H33" s="20" t="n">
        <v>2.72974022</v>
      </c>
      <c r="I33" s="18" t="n">
        <v>0</v>
      </c>
      <c r="J33" s="20" t="n">
        <v>0</v>
      </c>
      <c r="K33" s="18" t="n">
        <v>0</v>
      </c>
      <c r="L33" s="20" t="n">
        <v>0</v>
      </c>
      <c r="M33" s="18" t="n">
        <v>0</v>
      </c>
      <c r="N33" s="20" t="n">
        <v>0</v>
      </c>
      <c r="O33" s="18" t="n">
        <v>0</v>
      </c>
      <c r="P33" s="20" t="n">
        <v>0</v>
      </c>
      <c r="Q33" s="18" t="n">
        <v>0.63128507</v>
      </c>
      <c r="R33" s="20" t="n">
        <v>0.44289021</v>
      </c>
    </row>
    <row r="34" spans="1:18">
      <c r="A34" s="15" t="s">
        <v>592</v>
      </c>
      <c r="B34" s="17" t="n">
        <v>3035</v>
      </c>
      <c r="C34" s="18">
        <f>(2705.0/B34*100)</f>
        <v/>
      </c>
      <c r="D34" s="19" t="n">
        <v>330</v>
      </c>
      <c r="E34" s="18" t="n">
        <v>31.21729687</v>
      </c>
      <c r="F34" s="20" t="n">
        <v>2.57556449</v>
      </c>
      <c r="G34" s="18" t="n">
        <v>67.234685</v>
      </c>
      <c r="H34" s="20" t="n">
        <v>2.65442284</v>
      </c>
      <c r="I34" s="18" t="n">
        <v>0</v>
      </c>
      <c r="J34" s="20" t="n">
        <v>0</v>
      </c>
      <c r="K34" s="18" t="n">
        <v>0.37133095</v>
      </c>
      <c r="L34" s="20" t="n">
        <v>0.36504075</v>
      </c>
      <c r="M34" s="18" t="n">
        <v>0</v>
      </c>
      <c r="N34" s="20" t="n">
        <v>0</v>
      </c>
      <c r="O34" s="18" t="n">
        <v>0</v>
      </c>
      <c r="P34" s="20" t="n">
        <v>0</v>
      </c>
      <c r="Q34" s="18" t="n">
        <v>1.17668718</v>
      </c>
      <c r="R34" s="20" t="n">
        <v>0.44578892</v>
      </c>
    </row>
    <row r="35" spans="1:18">
      <c r="A35" s="15" t="s">
        <v>593</v>
      </c>
      <c r="B35" s="17" t="n">
        <v>2901</v>
      </c>
      <c r="C35" s="18">
        <f>(2568.0/B35*100)</f>
        <v/>
      </c>
      <c r="D35" s="19" t="n">
        <v>333</v>
      </c>
      <c r="E35" s="18" t="n">
        <v>20.72720858</v>
      </c>
      <c r="F35" s="20" t="n">
        <v>2.51957423</v>
      </c>
      <c r="G35" s="18" t="n">
        <v>79.10771132000001</v>
      </c>
      <c r="H35" s="20" t="n">
        <v>2.49392538</v>
      </c>
      <c r="I35" s="18" t="n">
        <v>0</v>
      </c>
      <c r="J35" s="20" t="n">
        <v>0</v>
      </c>
      <c r="K35" s="18" t="n">
        <v>0.1650801</v>
      </c>
      <c r="L35" s="20" t="n">
        <v>0.16511886</v>
      </c>
      <c r="M35" s="18" t="n">
        <v>0</v>
      </c>
      <c r="N35" s="20" t="n">
        <v>0</v>
      </c>
      <c r="O35" s="18" t="n">
        <v>0</v>
      </c>
      <c r="P35" s="20" t="n">
        <v>0</v>
      </c>
      <c r="Q35" s="18" t="n">
        <v>0</v>
      </c>
      <c r="R35" s="20" t="n">
        <v>0</v>
      </c>
    </row>
    <row r="36" spans="1:18">
      <c r="A36" s="15" t="s">
        <v>594</v>
      </c>
      <c r="B36" s="17" t="n">
        <v>3404</v>
      </c>
      <c r="C36" s="18">
        <f>(3063.0/B36*100)</f>
        <v/>
      </c>
      <c r="D36" s="19" t="n">
        <v>341</v>
      </c>
      <c r="E36" s="18" t="n">
        <v>39.56167798</v>
      </c>
      <c r="F36" s="20" t="n">
        <v>2.96851033</v>
      </c>
      <c r="G36" s="18" t="n">
        <v>59.93267925</v>
      </c>
      <c r="H36" s="20" t="n">
        <v>3.00397631</v>
      </c>
      <c r="I36" s="18" t="n">
        <v>0</v>
      </c>
      <c r="J36" s="20" t="n">
        <v>0</v>
      </c>
      <c r="K36" s="18" t="n">
        <v>0</v>
      </c>
      <c r="L36" s="20" t="n">
        <v>0</v>
      </c>
      <c r="M36" s="18" t="n">
        <v>0</v>
      </c>
      <c r="N36" s="20" t="n">
        <v>0</v>
      </c>
      <c r="O36" s="18" t="n">
        <v>0</v>
      </c>
      <c r="P36" s="20" t="n">
        <v>0</v>
      </c>
      <c r="Q36" s="18" t="n">
        <v>0.50564277</v>
      </c>
      <c r="R36" s="20" t="n">
        <v>0.35120753</v>
      </c>
    </row>
    <row r="37" spans="1:18">
      <c r="A37" s="15" t="s">
        <v>595</v>
      </c>
      <c r="B37" s="17" t="n">
        <v>2731</v>
      </c>
      <c r="C37" s="18">
        <f>(2413.0/B37*100)</f>
        <v/>
      </c>
      <c r="D37" s="19" t="n">
        <v>318</v>
      </c>
      <c r="E37" s="18" t="n">
        <v>28.60748769</v>
      </c>
      <c r="F37" s="20" t="n">
        <v>3.17999162</v>
      </c>
      <c r="G37" s="18" t="n">
        <v>69.55008165</v>
      </c>
      <c r="H37" s="20" t="n">
        <v>3.29232245</v>
      </c>
      <c r="I37" s="18" t="n">
        <v>0</v>
      </c>
      <c r="J37" s="20" t="n">
        <v>0</v>
      </c>
      <c r="K37" s="18" t="n">
        <v>0.61819897</v>
      </c>
      <c r="L37" s="20" t="n">
        <v>0.03753524</v>
      </c>
      <c r="M37" s="18" t="n">
        <v>0</v>
      </c>
      <c r="N37" s="20" t="n">
        <v>0</v>
      </c>
      <c r="O37" s="18" t="n">
        <v>0</v>
      </c>
      <c r="P37" s="20" t="n">
        <v>0</v>
      </c>
      <c r="Q37" s="18" t="n">
        <v>1.22423169</v>
      </c>
      <c r="R37" s="20" t="n">
        <v>0.62227899</v>
      </c>
    </row>
    <row r="38" spans="1:18">
      <c r="A38" s="15" t="s">
        <v>596</v>
      </c>
      <c r="B38" s="17" t="n">
        <v>2807</v>
      </c>
      <c r="C38" s="18">
        <f>(2517.0/B38*100)</f>
        <v/>
      </c>
      <c r="D38" s="19" t="n">
        <v>290</v>
      </c>
      <c r="E38" s="18" t="n">
        <v>24.48030461</v>
      </c>
      <c r="F38" s="20" t="n">
        <v>2.68768602</v>
      </c>
      <c r="G38" s="18" t="n">
        <v>75.51969539</v>
      </c>
      <c r="H38" s="20" t="n">
        <v>2.68768602</v>
      </c>
      <c r="I38" s="18" t="n">
        <v>0</v>
      </c>
      <c r="J38" s="20" t="n">
        <v>0</v>
      </c>
      <c r="K38" s="18" t="n">
        <v>0</v>
      </c>
      <c r="L38" s="20" t="n">
        <v>0</v>
      </c>
      <c r="M38" s="18" t="n">
        <v>0</v>
      </c>
      <c r="N38" s="20" t="n">
        <v>0</v>
      </c>
      <c r="O38" s="18" t="n">
        <v>0</v>
      </c>
      <c r="P38" s="20" t="n">
        <v>0</v>
      </c>
      <c r="Q38" s="18" t="n">
        <v>0</v>
      </c>
      <c r="R38" s="20" t="n">
        <v>0</v>
      </c>
    </row>
    <row r="39" spans="1:18">
      <c r="A39" s="15" t="s">
        <v>597</v>
      </c>
      <c r="B39" s="17" t="n">
        <v>2938</v>
      </c>
      <c r="C39" s="18">
        <f>(2634.0/B39*100)</f>
        <v/>
      </c>
      <c r="D39" s="19" t="n">
        <v>304</v>
      </c>
      <c r="E39" s="18" t="n">
        <v>37.03958795</v>
      </c>
      <c r="F39" s="20" t="n">
        <v>2.7529929</v>
      </c>
      <c r="G39" s="18" t="n">
        <v>60.44364373</v>
      </c>
      <c r="H39" s="20" t="n">
        <v>2.84510391</v>
      </c>
      <c r="I39" s="18" t="n">
        <v>0</v>
      </c>
      <c r="J39" s="20" t="n">
        <v>0</v>
      </c>
      <c r="K39" s="18" t="n">
        <v>1.33665559</v>
      </c>
      <c r="L39" s="20" t="n">
        <v>1.26076665</v>
      </c>
      <c r="M39" s="18" t="n">
        <v>0</v>
      </c>
      <c r="N39" s="20" t="n">
        <v>0</v>
      </c>
      <c r="O39" s="18" t="n">
        <v>0</v>
      </c>
      <c r="P39" s="20" t="n">
        <v>0</v>
      </c>
      <c r="Q39" s="18" t="n">
        <v>1.18011272</v>
      </c>
      <c r="R39" s="20" t="n">
        <v>0.55936759</v>
      </c>
    </row>
    <row r="40" spans="1:18">
      <c r="A40" s="15" t="s">
        <v>598</v>
      </c>
      <c r="B40" s="17" t="n">
        <v>6922</v>
      </c>
      <c r="C40" s="18">
        <f>(6151.0/B40*100)</f>
        <v/>
      </c>
      <c r="D40" s="19" t="n">
        <v>771</v>
      </c>
      <c r="E40" s="18" t="n">
        <v>35.49887631</v>
      </c>
      <c r="F40" s="20" t="n">
        <v>2.53647474</v>
      </c>
      <c r="G40" s="18" t="n">
        <v>62.47949919</v>
      </c>
      <c r="H40" s="20" t="n">
        <v>2.59817296</v>
      </c>
      <c r="I40" s="18" t="n">
        <v>0</v>
      </c>
      <c r="J40" s="20" t="n">
        <v>0</v>
      </c>
      <c r="K40" s="18" t="n">
        <v>1.00616457</v>
      </c>
      <c r="L40" s="20" t="n">
        <v>0.56567862</v>
      </c>
      <c r="M40" s="18" t="n">
        <v>0</v>
      </c>
      <c r="N40" s="20" t="n">
        <v>0</v>
      </c>
      <c r="O40" s="18" t="n">
        <v>0</v>
      </c>
      <c r="P40" s="20" t="n">
        <v>0</v>
      </c>
      <c r="Q40" s="18" t="n">
        <v>1.01545994</v>
      </c>
      <c r="R40" s="20" t="n">
        <v>0.5578457</v>
      </c>
    </row>
    <row r="41" spans="1:18">
      <c r="A41" s="15" t="s">
        <v>599</v>
      </c>
      <c r="B41" s="17" t="n">
        <v>2854</v>
      </c>
      <c r="C41" s="18">
        <f>(2541.0/B41*100)</f>
        <v/>
      </c>
      <c r="D41" s="19" t="n">
        <v>313</v>
      </c>
      <c r="E41" s="18" t="n">
        <v>32.07151769</v>
      </c>
      <c r="F41" s="20" t="n">
        <v>2.61811508</v>
      </c>
      <c r="G41" s="18" t="n">
        <v>67.10884119000001</v>
      </c>
      <c r="H41" s="20" t="n">
        <v>2.54922822</v>
      </c>
      <c r="I41" s="18" t="n">
        <v>0</v>
      </c>
      <c r="J41" s="20" t="n">
        <v>0</v>
      </c>
      <c r="K41" s="18" t="n">
        <v>0.25131465</v>
      </c>
      <c r="L41" s="20" t="n">
        <v>0.25120905</v>
      </c>
      <c r="M41" s="18" t="n">
        <v>0</v>
      </c>
      <c r="N41" s="20" t="n">
        <v>0</v>
      </c>
      <c r="O41" s="18" t="n">
        <v>0</v>
      </c>
      <c r="P41" s="20" t="n">
        <v>0</v>
      </c>
      <c r="Q41" s="18" t="n">
        <v>0.56832647</v>
      </c>
      <c r="R41" s="20" t="n">
        <v>0.42688164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(10968.0/B46*100)</f>
        <v/>
      </c>
      <c r="D46" s="19" t="n">
        <v>1105</v>
      </c>
      <c r="E46" s="18" t="n">
        <v>41.76138861</v>
      </c>
      <c r="F46" s="20" t="n">
        <v>1.77616501</v>
      </c>
      <c r="G46" s="18" t="n">
        <v>55.178218</v>
      </c>
      <c r="H46" s="20" t="n">
        <v>1.86997419</v>
      </c>
      <c r="I46" s="18" t="n">
        <v>0</v>
      </c>
      <c r="J46" s="20" t="n">
        <v>0</v>
      </c>
      <c r="K46" s="18" t="n">
        <v>1.22469403</v>
      </c>
      <c r="L46" s="20" t="n">
        <v>0.42437569</v>
      </c>
      <c r="M46" s="18" t="n">
        <v>0</v>
      </c>
      <c r="N46" s="20" t="n">
        <v>0</v>
      </c>
      <c r="O46" s="18" t="n">
        <v>0</v>
      </c>
      <c r="P46" s="20" t="n">
        <v>0</v>
      </c>
      <c r="Q46" s="18" t="n">
        <v>1.83569935</v>
      </c>
      <c r="R46" s="20" t="n">
        <v>0.47665385</v>
      </c>
    </row>
    <row r="47" spans="1:18">
      <c r="A47" s="15" t="s">
        <v>606</v>
      </c>
      <c r="B47" s="17" t="n">
        <v>2823</v>
      </c>
      <c r="C47" s="18">
        <f>(2528.0/B47*100)</f>
        <v/>
      </c>
      <c r="D47" s="19" t="n">
        <v>295</v>
      </c>
      <c r="E47" s="18" t="n">
        <v>33.68286167</v>
      </c>
      <c r="F47" s="20" t="n">
        <v>3.50613337</v>
      </c>
      <c r="G47" s="18" t="n">
        <v>64.94449057</v>
      </c>
      <c r="H47" s="20" t="n">
        <v>3.60285038</v>
      </c>
      <c r="I47" s="18" t="n">
        <v>0</v>
      </c>
      <c r="J47" s="20" t="n">
        <v>0</v>
      </c>
      <c r="K47" s="18" t="n">
        <v>0.69866681</v>
      </c>
      <c r="L47" s="20" t="n">
        <v>0.49162505</v>
      </c>
      <c r="M47" s="18" t="n">
        <v>0</v>
      </c>
      <c r="N47" s="20" t="n">
        <v>0</v>
      </c>
      <c r="O47" s="18" t="n">
        <v>0</v>
      </c>
      <c r="P47" s="20" t="n">
        <v>0</v>
      </c>
      <c r="Q47" s="18" t="n">
        <v>0.67398095</v>
      </c>
      <c r="R47" s="20" t="n">
        <v>0.6711475</v>
      </c>
    </row>
    <row r="48" spans="1:18">
      <c r="A48" s="15" t="s">
        <v>607</v>
      </c>
      <c r="B48" s="17" t="n">
        <v>4682</v>
      </c>
      <c r="C48" s="18">
        <f>(4158.0/B48*100)</f>
        <v/>
      </c>
      <c r="D48" s="19" t="n">
        <v>524</v>
      </c>
      <c r="E48" s="18" t="n">
        <v>32.4068972</v>
      </c>
      <c r="F48" s="20" t="n">
        <v>2.97813388</v>
      </c>
      <c r="G48" s="18" t="n">
        <v>65.75255523</v>
      </c>
      <c r="H48" s="20" t="n">
        <v>3.08414792</v>
      </c>
      <c r="I48" s="18" t="n">
        <v>0</v>
      </c>
      <c r="J48" s="20" t="n">
        <v>0</v>
      </c>
      <c r="K48" s="18" t="n">
        <v>1.20055225</v>
      </c>
      <c r="L48" s="20" t="n">
        <v>0.3700949</v>
      </c>
      <c r="M48" s="18" t="n">
        <v>0</v>
      </c>
      <c r="N48" s="20" t="n">
        <v>0</v>
      </c>
      <c r="O48" s="18" t="n">
        <v>0</v>
      </c>
      <c r="P48" s="20" t="n">
        <v>0</v>
      </c>
      <c r="Q48" s="18" t="n">
        <v>0.63999531</v>
      </c>
      <c r="R48" s="20" t="n">
        <v>0.4458606</v>
      </c>
    </row>
    <row r="49" spans="1:18">
      <c r="A49" s="15" t="s">
        <v>608</v>
      </c>
      <c r="B49" s="17" t="n">
        <v>6158</v>
      </c>
      <c r="C49" s="18">
        <f>(5468.0/B49*100)</f>
        <v/>
      </c>
      <c r="D49" s="19" t="n">
        <v>690</v>
      </c>
      <c r="E49" s="18" t="n">
        <v>43.7208421</v>
      </c>
      <c r="F49" s="20" t="n">
        <v>2.72621911</v>
      </c>
      <c r="G49" s="18" t="n">
        <v>54.56865198</v>
      </c>
      <c r="H49" s="20" t="n">
        <v>2.72322003</v>
      </c>
      <c r="I49" s="18" t="n">
        <v>0</v>
      </c>
      <c r="J49" s="20" t="n">
        <v>0</v>
      </c>
      <c r="K49" s="18" t="n">
        <v>0.74888717</v>
      </c>
      <c r="L49" s="20" t="n">
        <v>0.34755551</v>
      </c>
      <c r="M49" s="18" t="n">
        <v>0</v>
      </c>
      <c r="N49" s="20" t="n">
        <v>0</v>
      </c>
      <c r="O49" s="18" t="n">
        <v>0</v>
      </c>
      <c r="P49" s="20" t="n">
        <v>0</v>
      </c>
      <c r="Q49" s="18" t="n">
        <v>0.96161876</v>
      </c>
      <c r="R49" s="20" t="n">
        <v>0.59470605</v>
      </c>
    </row>
    <row r="50" spans="1:18">
      <c r="A50" s="15" t="s">
        <v>609</v>
      </c>
      <c r="B50" s="17" t="n">
        <v>3494</v>
      </c>
      <c r="C50" s="18">
        <f>(3138.0/B50*100)</f>
        <v/>
      </c>
      <c r="D50" s="19" t="n">
        <v>356</v>
      </c>
      <c r="E50" s="18" t="n">
        <v>37.65691106</v>
      </c>
      <c r="F50" s="20" t="n">
        <v>2.78035498</v>
      </c>
      <c r="G50" s="18" t="n">
        <v>61.35922686</v>
      </c>
      <c r="H50" s="20" t="n">
        <v>2.7699672</v>
      </c>
      <c r="I50" s="18" t="n">
        <v>0</v>
      </c>
      <c r="J50" s="20" t="n">
        <v>0</v>
      </c>
      <c r="K50" s="18" t="n">
        <v>0</v>
      </c>
      <c r="L50" s="20" t="n">
        <v>0</v>
      </c>
      <c r="M50" s="18" t="n">
        <v>0</v>
      </c>
      <c r="N50" s="20" t="n">
        <v>0</v>
      </c>
      <c r="O50" s="18" t="n">
        <v>0</v>
      </c>
      <c r="P50" s="20" t="n">
        <v>0</v>
      </c>
      <c r="Q50" s="18" t="n">
        <v>0.98386208</v>
      </c>
      <c r="R50" s="20" t="n">
        <v>0.5155214</v>
      </c>
    </row>
    <row r="51" spans="1:18">
      <c r="A51" s="15" t="s">
        <v>610</v>
      </c>
      <c r="B51" s="17" t="n">
        <v>3013</v>
      </c>
      <c r="C51" s="18">
        <f>(2675.0/B51*100)</f>
        <v/>
      </c>
      <c r="D51" s="19" t="n">
        <v>338</v>
      </c>
      <c r="E51" s="18" t="n">
        <v>33.38261795</v>
      </c>
      <c r="F51" s="20" t="n">
        <v>2.77501962</v>
      </c>
      <c r="G51" s="18" t="n">
        <v>66.01800298000001</v>
      </c>
      <c r="H51" s="20" t="n">
        <v>2.7903382</v>
      </c>
      <c r="I51" s="18" t="n">
        <v>0</v>
      </c>
      <c r="J51" s="20" t="n">
        <v>0</v>
      </c>
      <c r="K51" s="18" t="n">
        <v>0</v>
      </c>
      <c r="L51" s="20" t="n">
        <v>0</v>
      </c>
      <c r="M51" s="18" t="n">
        <v>0</v>
      </c>
      <c r="N51" s="20" t="n">
        <v>0</v>
      </c>
      <c r="O51" s="18" t="n">
        <v>0</v>
      </c>
      <c r="P51" s="20" t="n">
        <v>0</v>
      </c>
      <c r="Q51" s="18" t="n">
        <v>0.59937908</v>
      </c>
      <c r="R51" s="20" t="n">
        <v>0.42796007</v>
      </c>
    </row>
    <row r="52" spans="1:18">
      <c r="A52" s="15" t="s">
        <v>611</v>
      </c>
      <c r="B52" s="17" t="n">
        <v>2760</v>
      </c>
      <c r="C52" s="18">
        <f>(2460.0/B52*100)</f>
        <v/>
      </c>
      <c r="D52" s="19" t="n">
        <v>300</v>
      </c>
      <c r="E52" s="18" t="n">
        <v>41.10333188</v>
      </c>
      <c r="F52" s="20" t="n">
        <v>3.22099213</v>
      </c>
      <c r="G52" s="18" t="n">
        <v>58.0000234</v>
      </c>
      <c r="H52" s="20" t="n">
        <v>3.15113414</v>
      </c>
      <c r="I52" s="18" t="n">
        <v>0</v>
      </c>
      <c r="J52" s="20" t="n">
        <v>0</v>
      </c>
      <c r="K52" s="18" t="n">
        <v>0</v>
      </c>
      <c r="L52" s="20" t="n">
        <v>0</v>
      </c>
      <c r="M52" s="18" t="n">
        <v>0</v>
      </c>
      <c r="N52" s="20" t="n">
        <v>0</v>
      </c>
      <c r="O52" s="18" t="n">
        <v>0</v>
      </c>
      <c r="P52" s="20" t="n">
        <v>0</v>
      </c>
      <c r="Q52" s="18" t="n">
        <v>0.89664472</v>
      </c>
      <c r="R52" s="20" t="n">
        <v>0.52632157</v>
      </c>
    </row>
    <row r="53" spans="1:18">
      <c r="A53" s="15" t="s">
        <v>612</v>
      </c>
      <c r="B53" s="17" t="n">
        <v>2474</v>
      </c>
      <c r="C53" s="18">
        <f>(2209.0/B53*100)</f>
        <v/>
      </c>
      <c r="D53" s="19" t="n">
        <v>265</v>
      </c>
      <c r="E53" s="18" t="n">
        <v>50.50630306</v>
      </c>
      <c r="F53" s="20" t="n">
        <v>3.46571075</v>
      </c>
      <c r="G53" s="18" t="n">
        <v>36.32922562</v>
      </c>
      <c r="H53" s="20" t="n">
        <v>3.30367878</v>
      </c>
      <c r="I53" s="18" t="n">
        <v>0</v>
      </c>
      <c r="J53" s="20" t="n">
        <v>0</v>
      </c>
      <c r="K53" s="18" t="n">
        <v>10.94135858</v>
      </c>
      <c r="L53" s="20" t="n">
        <v>2.00433351</v>
      </c>
      <c r="M53" s="18" t="n">
        <v>0</v>
      </c>
      <c r="N53" s="20" t="n">
        <v>0</v>
      </c>
      <c r="O53" s="18" t="n">
        <v>0</v>
      </c>
      <c r="P53" s="20" t="n">
        <v>0</v>
      </c>
      <c r="Q53" s="18" t="n">
        <v>2.22311274</v>
      </c>
      <c r="R53" s="20" t="n">
        <v>1.03339198</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(2380.0/B55*100)</f>
        <v/>
      </c>
      <c r="D55" s="19" t="n">
        <v>295</v>
      </c>
      <c r="E55" s="18" t="n">
        <v>35.98538582</v>
      </c>
      <c r="F55" s="20" t="n">
        <v>2.99416003</v>
      </c>
      <c r="G55" s="18" t="n">
        <v>63.70334609</v>
      </c>
      <c r="H55" s="20" t="n">
        <v>3.01963299</v>
      </c>
      <c r="I55" s="18" t="n">
        <v>0</v>
      </c>
      <c r="J55" s="20" t="n">
        <v>0</v>
      </c>
      <c r="K55" s="18" t="n">
        <v>0.31126809</v>
      </c>
      <c r="L55" s="20" t="n">
        <v>0.34872341</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(2852.0/B61*100)</f>
        <v/>
      </c>
      <c r="D61" s="19" t="n">
        <v>349</v>
      </c>
      <c r="E61" s="18" t="n">
        <v>32.99178146</v>
      </c>
      <c r="F61" s="20" t="n">
        <v>2.76315642</v>
      </c>
      <c r="G61" s="18" t="n">
        <v>66.65939233</v>
      </c>
      <c r="H61" s="20" t="n">
        <v>2.71455322</v>
      </c>
      <c r="I61" s="18" t="n">
        <v>0</v>
      </c>
      <c r="J61" s="20" t="n">
        <v>0</v>
      </c>
      <c r="K61" s="18" t="n">
        <v>0.34882621</v>
      </c>
      <c r="L61" s="20" t="n">
        <v>0.35172332</v>
      </c>
      <c r="M61" s="18" t="n">
        <v>0</v>
      </c>
      <c r="N61" s="20" t="n">
        <v>0</v>
      </c>
      <c r="O61" s="18" t="n">
        <v>0</v>
      </c>
      <c r="P61" s="20" t="n">
        <v>0</v>
      </c>
      <c r="Q61" s="18" t="n">
        <v>0</v>
      </c>
      <c r="R61" s="20" t="n">
        <v>0</v>
      </c>
    </row>
    <row r="62" spans="1:18">
      <c r="A62" s="15" t="s">
        <v>622</v>
      </c>
      <c r="B62" s="17" t="n">
        <v>2230</v>
      </c>
      <c r="C62" s="18">
        <f>(1978.0/B62*100)</f>
        <v/>
      </c>
      <c r="D62" s="19" t="n">
        <v>252</v>
      </c>
      <c r="E62" s="18" t="n">
        <v>21.86116199</v>
      </c>
      <c r="F62" s="20" t="n">
        <v>2.74764366</v>
      </c>
      <c r="G62" s="18" t="n">
        <v>78.13883801</v>
      </c>
      <c r="H62" s="20" t="n">
        <v>2.74764366</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(2469.0/B67*100)</f>
        <v/>
      </c>
      <c r="D67" s="19" t="n">
        <v>302</v>
      </c>
      <c r="E67" s="18" t="n">
        <v>36.22988753</v>
      </c>
      <c r="F67" s="20" t="n">
        <v>2.4721448</v>
      </c>
      <c r="G67" s="18" t="n">
        <v>60.7242584</v>
      </c>
      <c r="H67" s="20" t="n">
        <v>2.43003591</v>
      </c>
      <c r="I67" s="18" t="n">
        <v>0</v>
      </c>
      <c r="J67" s="20" t="n">
        <v>0</v>
      </c>
      <c r="K67" s="18" t="n">
        <v>0.56948031</v>
      </c>
      <c r="L67" s="20" t="n">
        <v>0.39970621</v>
      </c>
      <c r="M67" s="18" t="n">
        <v>0</v>
      </c>
      <c r="N67" s="20" t="n">
        <v>0</v>
      </c>
      <c r="O67" s="18" t="n">
        <v>0</v>
      </c>
      <c r="P67" s="20" t="n">
        <v>0</v>
      </c>
      <c r="Q67" s="18" t="n">
        <v>2.47637375</v>
      </c>
      <c r="R67" s="20" t="n">
        <v>0.96474055</v>
      </c>
    </row>
    <row r="68" spans="1:18">
      <c r="A68" s="15" t="s">
        <v>628</v>
      </c>
      <c r="B68" s="17" t="n">
        <v>3460</v>
      </c>
      <c r="C68" s="18">
        <f>(3105.0/B68*100)</f>
        <v/>
      </c>
      <c r="D68" s="19" t="n">
        <v>355</v>
      </c>
      <c r="E68" s="18" t="n">
        <v>46.55817924</v>
      </c>
      <c r="F68" s="20" t="n">
        <v>2.75648103</v>
      </c>
      <c r="G68" s="18" t="n">
        <v>51.82310019</v>
      </c>
      <c r="H68" s="20" t="n">
        <v>2.66046144</v>
      </c>
      <c r="I68" s="18" t="n">
        <v>0</v>
      </c>
      <c r="J68" s="20" t="n">
        <v>0</v>
      </c>
      <c r="K68" s="18" t="n">
        <v>0.27279695</v>
      </c>
      <c r="L68" s="20" t="n">
        <v>0.27190972</v>
      </c>
      <c r="M68" s="18" t="n">
        <v>0</v>
      </c>
      <c r="N68" s="20" t="n">
        <v>0</v>
      </c>
      <c r="O68" s="18" t="n">
        <v>0</v>
      </c>
      <c r="P68" s="20" t="n">
        <v>0</v>
      </c>
      <c r="Q68" s="18" t="n">
        <v>1.34592362</v>
      </c>
      <c r="R68" s="20" t="n">
        <v>0.5631249</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(5362.0/B70*100)</f>
        <v/>
      </c>
      <c r="D70" s="19" t="n">
        <v>672</v>
      </c>
      <c r="E70" s="18" t="n">
        <v>32.5780527</v>
      </c>
      <c r="F70" s="20" t="n">
        <v>1.87951486</v>
      </c>
      <c r="G70" s="18" t="n">
        <v>66.03806587</v>
      </c>
      <c r="H70" s="20" t="n">
        <v>1.85769958</v>
      </c>
      <c r="I70" s="18" t="n">
        <v>0</v>
      </c>
      <c r="J70" s="20" t="n">
        <v>0</v>
      </c>
      <c r="K70" s="18" t="n">
        <v>0.76121545</v>
      </c>
      <c r="L70" s="20" t="n">
        <v>0.3434556</v>
      </c>
      <c r="M70" s="18" t="n">
        <v>0</v>
      </c>
      <c r="N70" s="20" t="n">
        <v>0</v>
      </c>
      <c r="O70" s="18" t="n">
        <v>0</v>
      </c>
      <c r="P70" s="20" t="n">
        <v>0</v>
      </c>
      <c r="Q70" s="18" t="n">
        <v>0.62266599</v>
      </c>
      <c r="R70" s="20" t="n">
        <v>0.3146967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(2792.0/B72*100)</f>
        <v/>
      </c>
      <c r="D72" s="19" t="n">
        <v>315</v>
      </c>
      <c r="E72" s="18" t="n">
        <v>35.69023089</v>
      </c>
      <c r="F72" s="20" t="n">
        <v>3.17671651</v>
      </c>
      <c r="G72" s="18" t="n">
        <v>63.15840854</v>
      </c>
      <c r="H72" s="20" t="n">
        <v>3.11444707</v>
      </c>
      <c r="I72" s="18" t="n">
        <v>0</v>
      </c>
      <c r="J72" s="20" t="n">
        <v>0</v>
      </c>
      <c r="K72" s="18" t="n">
        <v>0.62520392</v>
      </c>
      <c r="L72" s="20" t="n">
        <v>0.54025718</v>
      </c>
      <c r="M72" s="18" t="n">
        <v>0</v>
      </c>
      <c r="N72" s="20" t="n">
        <v>0</v>
      </c>
      <c r="O72" s="18" t="n">
        <v>0</v>
      </c>
      <c r="P72" s="20" t="n">
        <v>0</v>
      </c>
      <c r="Q72" s="18" t="n">
        <v>0.52615665</v>
      </c>
      <c r="R72" s="20" t="n">
        <v>0.26432131</v>
      </c>
    </row>
    <row r="73" spans="1:18">
      <c r="A73" s="15" t="s">
        <v>633</v>
      </c>
      <c r="B73" s="17" t="n">
        <v>2973</v>
      </c>
      <c r="C73" s="18">
        <f>(2638.0/B73*100)</f>
        <v/>
      </c>
      <c r="D73" s="19" t="n">
        <v>335</v>
      </c>
      <c r="E73" s="18" t="n">
        <v>36.42605579</v>
      </c>
      <c r="F73" s="20" t="n">
        <v>2.74066728</v>
      </c>
      <c r="G73" s="18" t="n">
        <v>63.13241436</v>
      </c>
      <c r="H73" s="20" t="n">
        <v>2.74781319</v>
      </c>
      <c r="I73" s="18" t="n">
        <v>0</v>
      </c>
      <c r="J73" s="20" t="n">
        <v>0</v>
      </c>
      <c r="K73" s="18" t="n">
        <v>0</v>
      </c>
      <c r="L73" s="20" t="n">
        <v>0</v>
      </c>
      <c r="M73" s="18" t="n">
        <v>0</v>
      </c>
      <c r="N73" s="20" t="n">
        <v>0</v>
      </c>
      <c r="O73" s="18" t="n">
        <v>0</v>
      </c>
      <c r="P73" s="20" t="n">
        <v>0</v>
      </c>
      <c r="Q73" s="18" t="n">
        <v>0.44152985</v>
      </c>
      <c r="R73" s="20" t="n">
        <v>0.31939829</v>
      </c>
    </row>
    <row r="74" spans="1:18">
      <c r="A74" s="15" t="s">
        <v>634</v>
      </c>
      <c r="B74" s="17" t="n">
        <v>3819</v>
      </c>
      <c r="C74" s="18">
        <f>(3407.0/B74*100)</f>
        <v/>
      </c>
      <c r="D74" s="19" t="n">
        <v>412</v>
      </c>
      <c r="E74" s="18" t="n">
        <v>26.6482784</v>
      </c>
      <c r="F74" s="20" t="n">
        <v>2.24340873</v>
      </c>
      <c r="G74" s="18" t="n">
        <v>72.72764537</v>
      </c>
      <c r="H74" s="20" t="n">
        <v>2.22005142</v>
      </c>
      <c r="I74" s="18" t="n">
        <v>0</v>
      </c>
      <c r="J74" s="20" t="n">
        <v>0</v>
      </c>
      <c r="K74" s="18" t="n">
        <v>0.33988425</v>
      </c>
      <c r="L74" s="20" t="n">
        <v>0.24921179</v>
      </c>
      <c r="M74" s="18" t="n">
        <v>0</v>
      </c>
      <c r="N74" s="20" t="n">
        <v>0</v>
      </c>
      <c r="O74" s="18" t="n">
        <v>0</v>
      </c>
      <c r="P74" s="20" t="n">
        <v>0</v>
      </c>
      <c r="Q74" s="18" t="n">
        <v>0.28419197</v>
      </c>
      <c r="R74" s="20" t="n">
        <v>0.28736667</v>
      </c>
    </row>
    <row r="75" spans="1:18">
      <c r="A75" s="15" t="s">
        <v>635</v>
      </c>
      <c r="B75" s="17" t="n">
        <v>4652</v>
      </c>
      <c r="C75" s="18">
        <f>(4152.0/B75*100)</f>
        <v/>
      </c>
      <c r="D75" s="19" t="n">
        <v>500</v>
      </c>
      <c r="E75" s="18" t="n">
        <v>28.32810597</v>
      </c>
      <c r="F75" s="20" t="n">
        <v>2.54881653</v>
      </c>
      <c r="G75" s="18" t="n">
        <v>71.0257599</v>
      </c>
      <c r="H75" s="20" t="n">
        <v>2.50530619</v>
      </c>
      <c r="I75" s="18" t="n">
        <v>0</v>
      </c>
      <c r="J75" s="20" t="n">
        <v>0</v>
      </c>
      <c r="K75" s="18" t="n">
        <v>0</v>
      </c>
      <c r="L75" s="20" t="n">
        <v>0</v>
      </c>
      <c r="M75" s="18" t="n">
        <v>0</v>
      </c>
      <c r="N75" s="20" t="n">
        <v>0</v>
      </c>
      <c r="O75" s="18" t="n">
        <v>0</v>
      </c>
      <c r="P75" s="20" t="n">
        <v>0</v>
      </c>
      <c r="Q75" s="18" t="n">
        <v>0.64613413</v>
      </c>
      <c r="R75" s="20" t="n">
        <v>0.38275647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(2675.0/B77*100)</f>
        <v/>
      </c>
      <c r="D77" s="19" t="n">
        <v>294</v>
      </c>
      <c r="E77" s="18" t="n">
        <v>43.78762216</v>
      </c>
      <c r="F77" s="20" t="n">
        <v>3.04623457</v>
      </c>
      <c r="G77" s="18" t="n">
        <v>52.50957414</v>
      </c>
      <c r="H77" s="20" t="n">
        <v>3.16141377</v>
      </c>
      <c r="I77" s="18" t="n">
        <v>0</v>
      </c>
      <c r="J77" s="20" t="n">
        <v>0</v>
      </c>
      <c r="K77" s="18" t="n">
        <v>2.99926245</v>
      </c>
      <c r="L77" s="20" t="n">
        <v>1.19466166</v>
      </c>
      <c r="M77" s="18" t="n">
        <v>0</v>
      </c>
      <c r="N77" s="20" t="n">
        <v>0</v>
      </c>
      <c r="O77" s="18" t="n">
        <v>0</v>
      </c>
      <c r="P77" s="20" t="n">
        <v>0</v>
      </c>
      <c r="Q77" s="18" t="n">
        <v>0.70354125</v>
      </c>
      <c r="R77" s="20" t="n">
        <v>0.48112402</v>
      </c>
    </row>
    <row r="78" spans="1:18">
      <c r="A78" s="15" t="s">
        <v>638</v>
      </c>
      <c r="B78" s="17" t="n">
        <v>7115</v>
      </c>
      <c r="C78" s="18">
        <f>(6331.0/B78*100)</f>
        <v/>
      </c>
      <c r="D78" s="19" t="n">
        <v>784</v>
      </c>
      <c r="E78" s="18" t="n">
        <v>29.26510072</v>
      </c>
      <c r="F78" s="20" t="n">
        <v>1.94256206</v>
      </c>
      <c r="G78" s="18" t="n">
        <v>69.409543</v>
      </c>
      <c r="H78" s="20" t="n">
        <v>2.00476016</v>
      </c>
      <c r="I78" s="18" t="n">
        <v>0</v>
      </c>
      <c r="J78" s="20" t="n">
        <v>0</v>
      </c>
      <c r="K78" s="18" t="n">
        <v>0.77032022</v>
      </c>
      <c r="L78" s="20" t="n">
        <v>0.35075632</v>
      </c>
      <c r="M78" s="18" t="n">
        <v>0</v>
      </c>
      <c r="N78" s="20" t="n">
        <v>0</v>
      </c>
      <c r="O78" s="18" t="n">
        <v>0</v>
      </c>
      <c r="P78" s="20" t="n">
        <v>0</v>
      </c>
      <c r="Q78" s="18" t="n">
        <v>0.55503607</v>
      </c>
      <c r="R78" s="20" t="n">
        <v>0.25779895</v>
      </c>
    </row>
    <row r="79" spans="1:18">
      <c r="A79" s="15" t="s">
        <v>639</v>
      </c>
      <c r="B79" s="17" t="n">
        <v>3154</v>
      </c>
      <c r="C79" s="18">
        <f>(2816.0/B79*100)</f>
        <v/>
      </c>
      <c r="D79" s="19" t="n">
        <v>338</v>
      </c>
      <c r="E79" s="18" t="n">
        <v>43.99930887</v>
      </c>
      <c r="F79" s="20" t="n">
        <v>2.51904433</v>
      </c>
      <c r="G79" s="18" t="n">
        <v>51.43892712</v>
      </c>
      <c r="H79" s="20" t="n">
        <v>2.67856489</v>
      </c>
      <c r="I79" s="18" t="n">
        <v>0</v>
      </c>
      <c r="J79" s="20" t="n">
        <v>0</v>
      </c>
      <c r="K79" s="18" t="n">
        <v>1.37730268</v>
      </c>
      <c r="L79" s="20" t="n">
        <v>0.63238677</v>
      </c>
      <c r="M79" s="18" t="n">
        <v>0</v>
      </c>
      <c r="N79" s="20" t="n">
        <v>0</v>
      </c>
      <c r="O79" s="18" t="n">
        <v>0</v>
      </c>
      <c r="P79" s="20" t="n">
        <v>0</v>
      </c>
      <c r="Q79" s="18" t="n">
        <v>3.18446133</v>
      </c>
      <c r="R79" s="20" t="n">
        <v>1.09642403</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(14198.0/B82*100)</f>
        <v/>
      </c>
      <c r="D82" s="19" t="n">
        <v>1763</v>
      </c>
      <c r="E82" s="18" t="n">
        <v>40.38349086</v>
      </c>
      <c r="F82" s="20" t="n">
        <v>1.96425718</v>
      </c>
      <c r="G82" s="18" t="n">
        <v>58.93675294</v>
      </c>
      <c r="H82" s="20" t="n">
        <v>1.92591236</v>
      </c>
      <c r="I82" s="18" t="n">
        <v>0</v>
      </c>
      <c r="J82" s="20" t="n">
        <v>0</v>
      </c>
      <c r="K82" s="18" t="n">
        <v>0.1310354</v>
      </c>
      <c r="L82" s="20" t="n">
        <v>0.07714269</v>
      </c>
      <c r="M82" s="18" t="n">
        <v>0</v>
      </c>
      <c r="N82" s="20" t="n">
        <v>0</v>
      </c>
      <c r="O82" s="18" t="n">
        <v>0</v>
      </c>
      <c r="P82" s="20" t="n">
        <v>0</v>
      </c>
      <c r="Q82" s="18" t="n">
        <v>0.5487208</v>
      </c>
      <c r="R82" s="20" t="n">
        <v>0.2392234</v>
      </c>
    </row>
    <row r="83" spans="1:18">
      <c r="A83" s="15" t="s">
        <v>643</v>
      </c>
      <c r="B83" s="17" t="n">
        <v>808</v>
      </c>
      <c r="C83" s="18">
        <f>(717.0/B83*100)</f>
        <v/>
      </c>
      <c r="D83" s="19" t="n">
        <v>91</v>
      </c>
      <c r="E83" s="18" t="n">
        <v>29.99167898</v>
      </c>
      <c r="F83" s="20" t="n">
        <v>4.72850941</v>
      </c>
      <c r="G83" s="18" t="n">
        <v>67.7199852</v>
      </c>
      <c r="H83" s="20" t="n">
        <v>4.93526274</v>
      </c>
      <c r="I83" s="18" t="n">
        <v>0</v>
      </c>
      <c r="J83" s="20" t="n">
        <v>0</v>
      </c>
      <c r="K83" s="18" t="n">
        <v>1.10906066</v>
      </c>
      <c r="L83" s="20" t="n">
        <v>1.13014791</v>
      </c>
      <c r="M83" s="18" t="n">
        <v>0</v>
      </c>
      <c r="N83" s="20" t="n">
        <v>0</v>
      </c>
      <c r="O83" s="18" t="n">
        <v>0</v>
      </c>
      <c r="P83" s="20" t="n">
        <v>0</v>
      </c>
      <c r="Q83" s="18" t="n">
        <v>1.17927515</v>
      </c>
      <c r="R83" s="20" t="n">
        <v>0.8391961999999999</v>
      </c>
    </row>
    <row r="84" spans="1:18">
      <c r="A84" s="23" t="s">
        <v>644</v>
      </c>
      <c r="B84" s="24" t="n">
        <v>938</v>
      </c>
      <c r="C84" s="25">
        <f>(834.0/B84*100)</f>
        <v/>
      </c>
      <c r="D84" s="19" t="n">
        <v>104</v>
      </c>
      <c r="E84" s="18" t="n">
        <v>35.91727666</v>
      </c>
      <c r="F84" s="20" t="n">
        <v>4.88795302</v>
      </c>
      <c r="G84" s="18" t="n">
        <v>64.08272334</v>
      </c>
      <c r="H84" s="20" t="n">
        <v>4.88795302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(6389.0/B7*100)</f>
        <v/>
      </c>
      <c r="D7" s="19" t="n">
        <v>774</v>
      </c>
      <c r="E7" s="18" t="n">
        <v>41.0791109</v>
      </c>
      <c r="F7" s="20" t="n">
        <v>1.86783045</v>
      </c>
      <c r="G7" s="18" t="n">
        <v>58.05567635</v>
      </c>
      <c r="H7" s="20" t="n">
        <v>1.85126943</v>
      </c>
      <c r="I7" s="18" t="n">
        <v>0</v>
      </c>
      <c r="J7" s="20" t="n">
        <v>0</v>
      </c>
      <c r="K7" s="18" t="n">
        <v>0.60953022</v>
      </c>
      <c r="L7" s="20" t="n">
        <v>0.30727286</v>
      </c>
      <c r="M7" s="18" t="n">
        <v>0</v>
      </c>
      <c r="N7" s="20" t="n">
        <v>0</v>
      </c>
      <c r="O7" s="18" t="n">
        <v>0</v>
      </c>
      <c r="P7" s="20" t="n">
        <v>0</v>
      </c>
      <c r="Q7" s="18" t="n">
        <v>0.25568253</v>
      </c>
      <c r="R7" s="20" t="n">
        <v>0.20068515</v>
      </c>
    </row>
    <row r="8" spans="1:18">
      <c r="A8" s="15" t="s">
        <v>566</v>
      </c>
      <c r="B8" s="17" t="n">
        <v>3443</v>
      </c>
      <c r="C8" s="18">
        <f>(3033.0/B8*100)</f>
        <v/>
      </c>
      <c r="D8" s="19" t="n">
        <v>410</v>
      </c>
      <c r="E8" s="18" t="n">
        <v>43.94783132</v>
      </c>
      <c r="F8" s="20" t="n">
        <v>2.66863444</v>
      </c>
      <c r="G8" s="18" t="n">
        <v>54.51173638</v>
      </c>
      <c r="H8" s="20" t="n">
        <v>2.77508965</v>
      </c>
      <c r="I8" s="18" t="n">
        <v>0</v>
      </c>
      <c r="J8" s="20" t="n">
        <v>0</v>
      </c>
      <c r="K8" s="18" t="n">
        <v>0.31518073</v>
      </c>
      <c r="L8" s="20" t="n">
        <v>0.22935479</v>
      </c>
      <c r="M8" s="18" t="n">
        <v>0</v>
      </c>
      <c r="N8" s="20" t="n">
        <v>0</v>
      </c>
      <c r="O8" s="18" t="n">
        <v>0</v>
      </c>
      <c r="P8" s="20" t="n">
        <v>0</v>
      </c>
      <c r="Q8" s="18" t="n">
        <v>1.22525156</v>
      </c>
      <c r="R8" s="20" t="n">
        <v>0.67697277</v>
      </c>
    </row>
    <row r="9" spans="1:18">
      <c r="A9" s="15" t="s">
        <v>567</v>
      </c>
      <c r="B9" s="17" t="n">
        <v>4752</v>
      </c>
      <c r="C9" s="18">
        <f>(4206.0/B9*100)</f>
        <v/>
      </c>
      <c r="D9" s="19" t="n">
        <v>546</v>
      </c>
      <c r="E9" s="18" t="n">
        <v>39.48063988</v>
      </c>
      <c r="F9" s="20" t="n">
        <v>2.28547924</v>
      </c>
      <c r="G9" s="18" t="n">
        <v>59.63638543</v>
      </c>
      <c r="H9" s="20" t="n">
        <v>2.36149123</v>
      </c>
      <c r="I9" s="18" t="n">
        <v>0</v>
      </c>
      <c r="J9" s="20" t="n">
        <v>0</v>
      </c>
      <c r="K9" s="18" t="n">
        <v>0</v>
      </c>
      <c r="L9" s="20" t="n">
        <v>0</v>
      </c>
      <c r="M9" s="18" t="n">
        <v>0</v>
      </c>
      <c r="N9" s="20" t="n">
        <v>0</v>
      </c>
      <c r="O9" s="18" t="n">
        <v>0</v>
      </c>
      <c r="P9" s="20" t="n">
        <v>0</v>
      </c>
      <c r="Q9" s="18" t="n">
        <v>0.88297469</v>
      </c>
      <c r="R9" s="20" t="n">
        <v>0.45350011</v>
      </c>
    </row>
    <row r="10" spans="1:18">
      <c r="A10" s="15" t="s">
        <v>568</v>
      </c>
      <c r="B10" s="17" t="n">
        <v>10022</v>
      </c>
      <c r="C10" s="18">
        <f>(8901.0/B10*100)</f>
        <v/>
      </c>
      <c r="D10" s="19" t="n">
        <v>1121</v>
      </c>
      <c r="E10" s="18" t="n">
        <v>41.27043164</v>
      </c>
      <c r="F10" s="20" t="n">
        <v>1.74742756</v>
      </c>
      <c r="G10" s="18" t="n">
        <v>58.47677422</v>
      </c>
      <c r="H10" s="20" t="n">
        <v>1.73983735</v>
      </c>
      <c r="I10" s="18" t="n">
        <v>0</v>
      </c>
      <c r="J10" s="20" t="n">
        <v>0</v>
      </c>
      <c r="K10" s="18" t="n">
        <v>0.02830906</v>
      </c>
      <c r="L10" s="20" t="n">
        <v>0.02835405</v>
      </c>
      <c r="M10" s="18" t="n">
        <v>0</v>
      </c>
      <c r="N10" s="20" t="n">
        <v>0</v>
      </c>
      <c r="O10" s="18" t="n">
        <v>0</v>
      </c>
      <c r="P10" s="20" t="n">
        <v>0</v>
      </c>
      <c r="Q10" s="18" t="n">
        <v>0.22448508</v>
      </c>
      <c r="R10" s="20" t="n">
        <v>0.24259546</v>
      </c>
    </row>
    <row r="11" spans="1:18">
      <c r="A11" s="15" t="s">
        <v>569</v>
      </c>
      <c r="B11" s="17" t="n">
        <v>3500</v>
      </c>
      <c r="C11" s="18">
        <f>(3126.0/B11*100)</f>
        <v/>
      </c>
      <c r="D11" s="19" t="n">
        <v>374</v>
      </c>
      <c r="E11" s="18" t="n">
        <v>62.31201906</v>
      </c>
      <c r="F11" s="20" t="n">
        <v>2.37419295</v>
      </c>
      <c r="G11" s="18" t="n">
        <v>35.62419194</v>
      </c>
      <c r="H11" s="20" t="n">
        <v>2.57853201</v>
      </c>
      <c r="I11" s="18" t="n">
        <v>0</v>
      </c>
      <c r="J11" s="20" t="n">
        <v>0</v>
      </c>
      <c r="K11" s="18" t="n">
        <v>1.11523791</v>
      </c>
      <c r="L11" s="20" t="n">
        <v>0.56467579</v>
      </c>
      <c r="M11" s="18" t="n">
        <v>0</v>
      </c>
      <c r="N11" s="20" t="n">
        <v>0</v>
      </c>
      <c r="O11" s="18" t="n">
        <v>0</v>
      </c>
      <c r="P11" s="20" t="n">
        <v>0</v>
      </c>
      <c r="Q11" s="18" t="n">
        <v>0.9485511</v>
      </c>
      <c r="R11" s="20" t="n">
        <v>0.51414754</v>
      </c>
    </row>
    <row r="12" spans="1:18">
      <c r="A12" s="15" t="s">
        <v>570</v>
      </c>
      <c r="B12" s="17" t="n">
        <v>3422</v>
      </c>
      <c r="C12" s="18">
        <f>(3039.0/B12*100)</f>
        <v/>
      </c>
      <c r="D12" s="19" t="n">
        <v>383</v>
      </c>
      <c r="E12" s="18" t="n">
        <v>39.6083131</v>
      </c>
      <c r="F12" s="20" t="n">
        <v>2.75531292</v>
      </c>
      <c r="G12" s="18" t="n">
        <v>58.99371042</v>
      </c>
      <c r="H12" s="20" t="n">
        <v>2.80681592</v>
      </c>
      <c r="I12" s="18" t="n">
        <v>0</v>
      </c>
      <c r="J12" s="20" t="n">
        <v>0</v>
      </c>
      <c r="K12" s="18" t="n">
        <v>0.98566066</v>
      </c>
      <c r="L12" s="20" t="n">
        <v>0.57682356</v>
      </c>
      <c r="M12" s="18" t="n">
        <v>0</v>
      </c>
      <c r="N12" s="20" t="n">
        <v>0</v>
      </c>
      <c r="O12" s="18" t="n">
        <v>0</v>
      </c>
      <c r="P12" s="20" t="n">
        <v>0</v>
      </c>
      <c r="Q12" s="18" t="n">
        <v>0.41231583</v>
      </c>
      <c r="R12" s="20" t="n">
        <v>0.42367085</v>
      </c>
    </row>
    <row r="13" spans="1:18">
      <c r="A13" s="15" t="s">
        <v>571</v>
      </c>
      <c r="B13" s="17" t="n">
        <v>3602</v>
      </c>
      <c r="C13" s="18">
        <f>(3231.0/B13*100)</f>
        <v/>
      </c>
      <c r="D13" s="19" t="n">
        <v>371</v>
      </c>
      <c r="E13" s="18" t="n">
        <v>44.82069662</v>
      </c>
      <c r="F13" s="20" t="n">
        <v>2.77543049</v>
      </c>
      <c r="G13" s="18" t="n">
        <v>54.71051795</v>
      </c>
      <c r="H13" s="20" t="n">
        <v>2.79938399</v>
      </c>
      <c r="I13" s="18" t="n">
        <v>0</v>
      </c>
      <c r="J13" s="20" t="n">
        <v>0</v>
      </c>
      <c r="K13" s="18" t="n">
        <v>0.4189176</v>
      </c>
      <c r="L13" s="20" t="n">
        <v>0.40945654</v>
      </c>
      <c r="M13" s="18" t="n">
        <v>0</v>
      </c>
      <c r="N13" s="20" t="n">
        <v>0</v>
      </c>
      <c r="O13" s="18" t="n">
        <v>0</v>
      </c>
      <c r="P13" s="20" t="n">
        <v>0</v>
      </c>
      <c r="Q13" s="18" t="n">
        <v>0.04986784</v>
      </c>
      <c r="R13" s="20" t="n">
        <v>0.0488993</v>
      </c>
    </row>
    <row r="14" spans="1:18">
      <c r="A14" s="15" t="s">
        <v>572</v>
      </c>
      <c r="B14" s="17" t="n">
        <v>2788</v>
      </c>
      <c r="C14" s="18">
        <f>(2482.0/B14*100)</f>
        <v/>
      </c>
      <c r="D14" s="19" t="n">
        <v>306</v>
      </c>
      <c r="E14" s="18" t="n">
        <v>37.41221131</v>
      </c>
      <c r="F14" s="20" t="n">
        <v>2.94204199</v>
      </c>
      <c r="G14" s="18" t="n">
        <v>62.58778869</v>
      </c>
      <c r="H14" s="20" t="n">
        <v>2.94204199</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(2554.0/B15*100)</f>
        <v/>
      </c>
      <c r="D15" s="19" t="n">
        <v>309</v>
      </c>
      <c r="E15" s="18" t="n">
        <v>43.6008494</v>
      </c>
      <c r="F15" s="20" t="n">
        <v>2.99912203</v>
      </c>
      <c r="G15" s="18" t="n">
        <v>56.08352326</v>
      </c>
      <c r="H15" s="20" t="n">
        <v>3.01632742</v>
      </c>
      <c r="I15" s="18" t="n">
        <v>0</v>
      </c>
      <c r="J15" s="20" t="n">
        <v>0</v>
      </c>
      <c r="K15" s="18" t="n">
        <v>0.31562734</v>
      </c>
      <c r="L15" s="20" t="n">
        <v>0.31607959</v>
      </c>
      <c r="M15" s="18" t="n">
        <v>0</v>
      </c>
      <c r="N15" s="20" t="n">
        <v>0</v>
      </c>
      <c r="O15" s="18" t="n">
        <v>0</v>
      </c>
      <c r="P15" s="20" t="n">
        <v>0</v>
      </c>
      <c r="Q15" s="18" t="n">
        <v>0</v>
      </c>
      <c r="R15" s="20" t="n">
        <v>0</v>
      </c>
    </row>
    <row r="16" spans="1:18">
      <c r="A16" s="15" t="s">
        <v>574</v>
      </c>
      <c r="B16" s="17" t="n">
        <v>3111</v>
      </c>
      <c r="C16" s="18">
        <f>(2768.0/B16*100)</f>
        <v/>
      </c>
      <c r="D16" s="19" t="n">
        <v>343</v>
      </c>
      <c r="E16" s="18" t="n">
        <v>41.05058549</v>
      </c>
      <c r="F16" s="20" t="n">
        <v>2.29546198</v>
      </c>
      <c r="G16" s="18" t="n">
        <v>57.15287428</v>
      </c>
      <c r="H16" s="20" t="n">
        <v>2.25209978</v>
      </c>
      <c r="I16" s="18" t="n">
        <v>0</v>
      </c>
      <c r="J16" s="20" t="n">
        <v>0</v>
      </c>
      <c r="K16" s="18" t="n">
        <v>1.30397757</v>
      </c>
      <c r="L16" s="20" t="n">
        <v>0.79377033</v>
      </c>
      <c r="M16" s="18" t="n">
        <v>0</v>
      </c>
      <c r="N16" s="20" t="n">
        <v>0</v>
      </c>
      <c r="O16" s="18" t="n">
        <v>0</v>
      </c>
      <c r="P16" s="20" t="n">
        <v>0</v>
      </c>
      <c r="Q16" s="18" t="n">
        <v>0.49256267</v>
      </c>
      <c r="R16" s="20" t="n">
        <v>0.35059634</v>
      </c>
    </row>
    <row r="17" spans="1:18">
      <c r="A17" s="15" t="s">
        <v>575</v>
      </c>
      <c r="B17" s="17" t="n">
        <v>3197</v>
      </c>
      <c r="C17" s="18">
        <f>(2841.0/B17*100)</f>
        <v/>
      </c>
      <c r="D17" s="19" t="n">
        <v>356</v>
      </c>
      <c r="E17" s="18" t="n">
        <v>37.63508414</v>
      </c>
      <c r="F17" s="20" t="n">
        <v>2.56839029</v>
      </c>
      <c r="G17" s="18" t="n">
        <v>60.70984099</v>
      </c>
      <c r="H17" s="20" t="n">
        <v>2.57260527</v>
      </c>
      <c r="I17" s="18" t="n">
        <v>0</v>
      </c>
      <c r="J17" s="20" t="n">
        <v>0</v>
      </c>
      <c r="K17" s="18" t="n">
        <v>0.9446687</v>
      </c>
      <c r="L17" s="20" t="n">
        <v>0.53671073</v>
      </c>
      <c r="M17" s="18" t="n">
        <v>0</v>
      </c>
      <c r="N17" s="20" t="n">
        <v>0</v>
      </c>
      <c r="O17" s="18" t="n">
        <v>0</v>
      </c>
      <c r="P17" s="20" t="n">
        <v>0</v>
      </c>
      <c r="Q17" s="18" t="n">
        <v>0.7104061699999999</v>
      </c>
      <c r="R17" s="20" t="n">
        <v>0.40778256</v>
      </c>
    </row>
    <row r="18" spans="1:18">
      <c r="A18" s="15" t="s">
        <v>576</v>
      </c>
      <c r="B18" s="17" t="n">
        <v>2706</v>
      </c>
      <c r="C18" s="18">
        <f>(2408.0/B18*100)</f>
        <v/>
      </c>
      <c r="D18" s="19" t="n">
        <v>298</v>
      </c>
      <c r="E18" s="18" t="n">
        <v>43.43000831</v>
      </c>
      <c r="F18" s="20" t="n">
        <v>3.09608667</v>
      </c>
      <c r="G18" s="18" t="n">
        <v>55.57547902</v>
      </c>
      <c r="H18" s="20" t="n">
        <v>3.15336761</v>
      </c>
      <c r="I18" s="18" t="n">
        <v>0</v>
      </c>
      <c r="J18" s="20" t="n">
        <v>0</v>
      </c>
      <c r="K18" s="18" t="n">
        <v>0.36742774</v>
      </c>
      <c r="L18" s="20" t="n">
        <v>0.29373431</v>
      </c>
      <c r="M18" s="18" t="n">
        <v>0</v>
      </c>
      <c r="N18" s="20" t="n">
        <v>0</v>
      </c>
      <c r="O18" s="18" t="n">
        <v>0</v>
      </c>
      <c r="P18" s="20" t="n">
        <v>0</v>
      </c>
      <c r="Q18" s="18" t="n">
        <v>0.62708492</v>
      </c>
      <c r="R18" s="20" t="n">
        <v>0.44464211</v>
      </c>
    </row>
    <row r="19" spans="1:18">
      <c r="A19" s="15" t="s">
        <v>577</v>
      </c>
      <c r="B19" s="17" t="n">
        <v>2850</v>
      </c>
      <c r="C19" s="18">
        <f>(2504.0/B19*100)</f>
        <v/>
      </c>
      <c r="D19" s="19" t="n">
        <v>346</v>
      </c>
      <c r="E19" s="18" t="n">
        <v>41.20292992</v>
      </c>
      <c r="F19" s="20" t="n">
        <v>2.44985288</v>
      </c>
      <c r="G19" s="18" t="n">
        <v>58.79707008</v>
      </c>
      <c r="H19" s="20" t="n">
        <v>2.44985288</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(1544.0/B20*100)</f>
        <v/>
      </c>
      <c r="D20" s="19" t="n">
        <v>197</v>
      </c>
      <c r="E20" s="18" t="n">
        <v>44.96311088</v>
      </c>
      <c r="F20" s="20" t="n">
        <v>3.88461997</v>
      </c>
      <c r="G20" s="18" t="n">
        <v>54.0431211</v>
      </c>
      <c r="H20" s="20" t="n">
        <v>4.00873303</v>
      </c>
      <c r="I20" s="18" t="n">
        <v>0</v>
      </c>
      <c r="J20" s="20" t="n">
        <v>0</v>
      </c>
      <c r="K20" s="18" t="n">
        <v>0.43541629</v>
      </c>
      <c r="L20" s="20" t="n">
        <v>0.43316858</v>
      </c>
      <c r="M20" s="18" t="n">
        <v>0</v>
      </c>
      <c r="N20" s="20" t="n">
        <v>0</v>
      </c>
      <c r="O20" s="18" t="n">
        <v>0</v>
      </c>
      <c r="P20" s="20" t="n">
        <v>0</v>
      </c>
      <c r="Q20" s="18" t="n">
        <v>0.55835173</v>
      </c>
      <c r="R20" s="20" t="n">
        <v>0.56068588</v>
      </c>
    </row>
    <row r="21" spans="1:18">
      <c r="A21" s="15" t="s">
        <v>579</v>
      </c>
      <c r="B21" s="17" t="n">
        <v>2833</v>
      </c>
      <c r="C21" s="18">
        <f>(2500.0/B21*100)</f>
        <v/>
      </c>
      <c r="D21" s="19" t="n">
        <v>333</v>
      </c>
      <c r="E21" s="18" t="n">
        <v>45.81413675</v>
      </c>
      <c r="F21" s="20" t="n">
        <v>2.9529471</v>
      </c>
      <c r="G21" s="18" t="n">
        <v>53.89651738</v>
      </c>
      <c r="H21" s="20" t="n">
        <v>2.92019742</v>
      </c>
      <c r="I21" s="18" t="n">
        <v>0</v>
      </c>
      <c r="J21" s="20" t="n">
        <v>0</v>
      </c>
      <c r="K21" s="18" t="n">
        <v>0</v>
      </c>
      <c r="L21" s="20" t="n">
        <v>0</v>
      </c>
      <c r="M21" s="18" t="n">
        <v>0</v>
      </c>
      <c r="N21" s="20" t="n">
        <v>0</v>
      </c>
      <c r="O21" s="18" t="n">
        <v>0</v>
      </c>
      <c r="P21" s="20" t="n">
        <v>0</v>
      </c>
      <c r="Q21" s="18" t="n">
        <v>0.28934587</v>
      </c>
      <c r="R21" s="20" t="n">
        <v>0.28933463</v>
      </c>
    </row>
    <row r="22" spans="1:18">
      <c r="A22" s="15" t="s">
        <v>580</v>
      </c>
      <c r="B22" s="17" t="n">
        <v>3667</v>
      </c>
      <c r="C22" s="18">
        <f>(3286.0/B22*100)</f>
        <v/>
      </c>
      <c r="D22" s="19" t="n">
        <v>381</v>
      </c>
      <c r="E22" s="18" t="n">
        <v>50.36578539</v>
      </c>
      <c r="F22" s="20" t="n">
        <v>2.99191821</v>
      </c>
      <c r="G22" s="18" t="n">
        <v>48.06960307</v>
      </c>
      <c r="H22" s="20" t="n">
        <v>3.1163902</v>
      </c>
      <c r="I22" s="18" t="n">
        <v>0</v>
      </c>
      <c r="J22" s="20" t="n">
        <v>0</v>
      </c>
      <c r="K22" s="18" t="n">
        <v>0.51860768</v>
      </c>
      <c r="L22" s="20" t="n">
        <v>0.33935672</v>
      </c>
      <c r="M22" s="18" t="n">
        <v>0</v>
      </c>
      <c r="N22" s="20" t="n">
        <v>0</v>
      </c>
      <c r="O22" s="18" t="n">
        <v>0</v>
      </c>
      <c r="P22" s="20" t="n">
        <v>0</v>
      </c>
      <c r="Q22" s="18" t="n">
        <v>1.04600386</v>
      </c>
      <c r="R22" s="20" t="n">
        <v>0.48892538</v>
      </c>
    </row>
    <row r="23" spans="1:18">
      <c r="A23" s="15" t="s">
        <v>581</v>
      </c>
      <c r="B23" s="17" t="n">
        <v>5792</v>
      </c>
      <c r="C23" s="18">
        <f>(5172.0/B23*100)</f>
        <v/>
      </c>
      <c r="D23" s="19" t="n">
        <v>620</v>
      </c>
      <c r="E23" s="18" t="n">
        <v>46.03144561</v>
      </c>
      <c r="F23" s="20" t="n">
        <v>2.53315269</v>
      </c>
      <c r="G23" s="18" t="n">
        <v>52.3681889</v>
      </c>
      <c r="H23" s="20" t="n">
        <v>2.82386179</v>
      </c>
      <c r="I23" s="18" t="n">
        <v>0</v>
      </c>
      <c r="J23" s="20" t="n">
        <v>0</v>
      </c>
      <c r="K23" s="18" t="n">
        <v>1.29113977</v>
      </c>
      <c r="L23" s="20" t="n">
        <v>0.70893174</v>
      </c>
      <c r="M23" s="18" t="n">
        <v>0</v>
      </c>
      <c r="N23" s="20" t="n">
        <v>0</v>
      </c>
      <c r="O23" s="18" t="n">
        <v>0</v>
      </c>
      <c r="P23" s="20" t="n">
        <v>0</v>
      </c>
      <c r="Q23" s="18" t="n">
        <v>0.30922572</v>
      </c>
      <c r="R23" s="20" t="n">
        <v>0.24663271</v>
      </c>
    </row>
    <row r="24" spans="1:18">
      <c r="A24" s="15" t="s">
        <v>582</v>
      </c>
      <c r="B24" s="17" t="n">
        <v>3309</v>
      </c>
      <c r="C24" s="18">
        <f>(2926.0/B24*100)</f>
        <v/>
      </c>
      <c r="D24" s="19" t="n">
        <v>383</v>
      </c>
      <c r="E24" s="18" t="n">
        <v>37.91623069</v>
      </c>
      <c r="F24" s="20" t="n">
        <v>2.64595323</v>
      </c>
      <c r="G24" s="18" t="n">
        <v>62.08376931</v>
      </c>
      <c r="H24" s="20" t="n">
        <v>2.64595323</v>
      </c>
      <c r="I24" s="18" t="n">
        <v>0</v>
      </c>
      <c r="J24" s="20" t="n">
        <v>0</v>
      </c>
      <c r="K24" s="18" t="n">
        <v>0</v>
      </c>
      <c r="L24" s="20" t="n">
        <v>0</v>
      </c>
      <c r="M24" s="18" t="n">
        <v>0</v>
      </c>
      <c r="N24" s="20" t="n">
        <v>0</v>
      </c>
      <c r="O24" s="18" t="n">
        <v>0</v>
      </c>
      <c r="P24" s="20" t="n">
        <v>0</v>
      </c>
      <c r="Q24" s="18" t="n">
        <v>0</v>
      </c>
      <c r="R24" s="20" t="n">
        <v>0</v>
      </c>
    </row>
    <row r="25" spans="1:18">
      <c r="A25" s="15" t="s">
        <v>583</v>
      </c>
      <c r="B25" s="17" t="n">
        <v>2669</v>
      </c>
      <c r="C25" s="18">
        <f>(2365.0/B25*100)</f>
        <v/>
      </c>
      <c r="D25" s="19" t="n">
        <v>304</v>
      </c>
      <c r="E25" s="18" t="n">
        <v>34.37276116</v>
      </c>
      <c r="F25" s="20" t="n">
        <v>2.95334761</v>
      </c>
      <c r="G25" s="18" t="n">
        <v>65.37257364</v>
      </c>
      <c r="H25" s="20" t="n">
        <v>2.96867792</v>
      </c>
      <c r="I25" s="18" t="n">
        <v>0</v>
      </c>
      <c r="J25" s="20" t="n">
        <v>0</v>
      </c>
      <c r="K25" s="18" t="n">
        <v>0.25466521</v>
      </c>
      <c r="L25" s="20" t="n">
        <v>0.25568405</v>
      </c>
      <c r="M25" s="18" t="n">
        <v>0</v>
      </c>
      <c r="N25" s="20" t="n">
        <v>0</v>
      </c>
      <c r="O25" s="18" t="n">
        <v>0</v>
      </c>
      <c r="P25" s="20" t="n">
        <v>0</v>
      </c>
      <c r="Q25" s="18" t="n">
        <v>0</v>
      </c>
      <c r="R25" s="20" t="n">
        <v>0</v>
      </c>
    </row>
    <row r="26" spans="1:18">
      <c r="A26" s="15" t="s">
        <v>584</v>
      </c>
      <c r="B26" s="17" t="n">
        <v>2419</v>
      </c>
      <c r="C26" s="18">
        <f>(2150.0/B26*100)</f>
        <v/>
      </c>
      <c r="D26" s="19" t="n">
        <v>269</v>
      </c>
      <c r="E26" s="18" t="n">
        <v>32.7191256</v>
      </c>
      <c r="F26" s="20" t="n">
        <v>3.15278353</v>
      </c>
      <c r="G26" s="18" t="n">
        <v>66.64739951999999</v>
      </c>
      <c r="H26" s="20" t="n">
        <v>3.1736757</v>
      </c>
      <c r="I26" s="18" t="n">
        <v>0</v>
      </c>
      <c r="J26" s="20" t="n">
        <v>0</v>
      </c>
      <c r="K26" s="18" t="n">
        <v>0.25467745</v>
      </c>
      <c r="L26" s="20" t="n">
        <v>0.25504928</v>
      </c>
      <c r="M26" s="18" t="n">
        <v>0</v>
      </c>
      <c r="N26" s="20" t="n">
        <v>0</v>
      </c>
      <c r="O26" s="18" t="n">
        <v>0</v>
      </c>
      <c r="P26" s="20" t="n">
        <v>0</v>
      </c>
      <c r="Q26" s="18" t="n">
        <v>0.37879743</v>
      </c>
      <c r="R26" s="20" t="n">
        <v>0.35740921</v>
      </c>
    </row>
    <row r="27" spans="1:18">
      <c r="A27" s="15" t="s">
        <v>585</v>
      </c>
      <c r="B27" s="17" t="n">
        <v>2683</v>
      </c>
      <c r="C27" s="18">
        <f>(2408.0/B27*100)</f>
        <v/>
      </c>
      <c r="D27" s="19" t="n">
        <v>275</v>
      </c>
      <c r="E27" s="18" t="n">
        <v>45.82584873</v>
      </c>
      <c r="F27" s="20" t="n">
        <v>2.79054921</v>
      </c>
      <c r="G27" s="18" t="n">
        <v>53.07476207</v>
      </c>
      <c r="H27" s="20" t="n">
        <v>2.7892887</v>
      </c>
      <c r="I27" s="18" t="n">
        <v>0</v>
      </c>
      <c r="J27" s="20" t="n">
        <v>0</v>
      </c>
      <c r="K27" s="18" t="n">
        <v>0.36039412</v>
      </c>
      <c r="L27" s="20" t="n">
        <v>0.35693223</v>
      </c>
      <c r="M27" s="18" t="n">
        <v>0</v>
      </c>
      <c r="N27" s="20" t="n">
        <v>0</v>
      </c>
      <c r="O27" s="18" t="n">
        <v>0</v>
      </c>
      <c r="P27" s="20" t="n">
        <v>0</v>
      </c>
      <c r="Q27" s="18" t="n">
        <v>0.73899508</v>
      </c>
      <c r="R27" s="20" t="n">
        <v>0.52691846</v>
      </c>
    </row>
    <row r="28" spans="1:18">
      <c r="A28" s="15" t="s">
        <v>586</v>
      </c>
      <c r="B28" s="17" t="n">
        <v>3803</v>
      </c>
      <c r="C28" s="18">
        <f>(3417.0/B28*100)</f>
        <v/>
      </c>
      <c r="D28" s="19" t="n">
        <v>386</v>
      </c>
      <c r="E28" s="18" t="n">
        <v>51.7760554</v>
      </c>
      <c r="F28" s="20" t="n">
        <v>3.26964927</v>
      </c>
      <c r="G28" s="18" t="n">
        <v>45.56594619</v>
      </c>
      <c r="H28" s="20" t="n">
        <v>3.34899594</v>
      </c>
      <c r="I28" s="18" t="n">
        <v>0</v>
      </c>
      <c r="J28" s="20" t="n">
        <v>0</v>
      </c>
      <c r="K28" s="18" t="n">
        <v>2.19068676</v>
      </c>
      <c r="L28" s="20" t="n">
        <v>0.9742321</v>
      </c>
      <c r="M28" s="18" t="n">
        <v>0</v>
      </c>
      <c r="N28" s="20" t="n">
        <v>0</v>
      </c>
      <c r="O28" s="18" t="n">
        <v>0</v>
      </c>
      <c r="P28" s="20" t="n">
        <v>0</v>
      </c>
      <c r="Q28" s="18" t="n">
        <v>0.46731165</v>
      </c>
      <c r="R28" s="20" t="n">
        <v>0.33413788</v>
      </c>
    </row>
    <row r="29" spans="1:18">
      <c r="A29" s="15" t="s">
        <v>587</v>
      </c>
      <c r="B29" s="17" t="n">
        <v>2700</v>
      </c>
      <c r="C29" s="18">
        <f>(2403.0/B29*100)</f>
        <v/>
      </c>
      <c r="D29" s="19" t="n">
        <v>297</v>
      </c>
      <c r="E29" s="18" t="n">
        <v>41.10944123</v>
      </c>
      <c r="F29" s="20" t="n">
        <v>2.7144835</v>
      </c>
      <c r="G29" s="18" t="n">
        <v>58.89055877</v>
      </c>
      <c r="H29" s="20" t="n">
        <v>2.7144835</v>
      </c>
      <c r="I29" s="18" t="n">
        <v>0</v>
      </c>
      <c r="J29" s="20" t="n">
        <v>0</v>
      </c>
      <c r="K29" s="18" t="n">
        <v>0</v>
      </c>
      <c r="L29" s="20" t="n">
        <v>0</v>
      </c>
      <c r="M29" s="18" t="n">
        <v>0</v>
      </c>
      <c r="N29" s="20" t="n">
        <v>0</v>
      </c>
      <c r="O29" s="18" t="n">
        <v>0</v>
      </c>
      <c r="P29" s="20" t="n">
        <v>0</v>
      </c>
      <c r="Q29" s="18" t="n">
        <v>0</v>
      </c>
      <c r="R29" s="20" t="n">
        <v>0</v>
      </c>
    </row>
    <row r="30" spans="1:18">
      <c r="A30" s="15" t="s">
        <v>588</v>
      </c>
      <c r="B30" s="17" t="n">
        <v>2257</v>
      </c>
      <c r="C30" s="18">
        <f>(2001.0/B30*100)</f>
        <v/>
      </c>
      <c r="D30" s="19" t="n">
        <v>256</v>
      </c>
      <c r="E30" s="18" t="n">
        <v>38.58365424</v>
      </c>
      <c r="F30" s="20" t="n">
        <v>3.27779875</v>
      </c>
      <c r="G30" s="18" t="n">
        <v>59.24986529</v>
      </c>
      <c r="H30" s="20" t="n">
        <v>3.33460486</v>
      </c>
      <c r="I30" s="18" t="n">
        <v>0</v>
      </c>
      <c r="J30" s="20" t="n">
        <v>0</v>
      </c>
      <c r="K30" s="18" t="n">
        <v>1.41272422</v>
      </c>
      <c r="L30" s="20" t="n">
        <v>0.85617677</v>
      </c>
      <c r="M30" s="18" t="n">
        <v>0</v>
      </c>
      <c r="N30" s="20" t="n">
        <v>0</v>
      </c>
      <c r="O30" s="18" t="n">
        <v>0</v>
      </c>
      <c r="P30" s="20" t="n">
        <v>0</v>
      </c>
      <c r="Q30" s="18" t="n">
        <v>0.75375626</v>
      </c>
      <c r="R30" s="20" t="n">
        <v>0.55187212</v>
      </c>
    </row>
    <row r="31" spans="1:18">
      <c r="A31" s="15" t="s">
        <v>589</v>
      </c>
      <c r="B31" s="17" t="n">
        <v>2706</v>
      </c>
      <c r="C31" s="18">
        <f>(2426.0/B31*100)</f>
        <v/>
      </c>
      <c r="D31" s="19" t="n">
        <v>280</v>
      </c>
      <c r="E31" s="18" t="n">
        <v>42.23251716</v>
      </c>
      <c r="F31" s="20" t="n">
        <v>2.96643145</v>
      </c>
      <c r="G31" s="18" t="n">
        <v>56.69741708</v>
      </c>
      <c r="H31" s="20" t="n">
        <v>2.96018119</v>
      </c>
      <c r="I31" s="18" t="n">
        <v>0</v>
      </c>
      <c r="J31" s="20" t="n">
        <v>0</v>
      </c>
      <c r="K31" s="18" t="n">
        <v>0.68500245</v>
      </c>
      <c r="L31" s="20" t="n">
        <v>0.46923422</v>
      </c>
      <c r="M31" s="18" t="n">
        <v>0</v>
      </c>
      <c r="N31" s="20" t="n">
        <v>0</v>
      </c>
      <c r="O31" s="18" t="n">
        <v>0</v>
      </c>
      <c r="P31" s="20" t="n">
        <v>0</v>
      </c>
      <c r="Q31" s="18" t="n">
        <v>0.38506331</v>
      </c>
      <c r="R31" s="20" t="n">
        <v>0.35290046</v>
      </c>
    </row>
    <row r="32" spans="1:18">
      <c r="A32" s="15" t="s">
        <v>590</v>
      </c>
      <c r="B32" s="17" t="n">
        <v>2209</v>
      </c>
      <c r="C32" s="18">
        <f>(1952.0/B32*100)</f>
        <v/>
      </c>
      <c r="D32" s="19" t="n">
        <v>257</v>
      </c>
      <c r="E32" s="18" t="n">
        <v>40.52841432</v>
      </c>
      <c r="F32" s="20" t="n">
        <v>2.92670667</v>
      </c>
      <c r="G32" s="18" t="n">
        <v>59.47158568</v>
      </c>
      <c r="H32" s="20" t="n">
        <v>2.92670667</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(3247.0/B33*100)</f>
        <v/>
      </c>
      <c r="D33" s="19" t="n">
        <v>404</v>
      </c>
      <c r="E33" s="18" t="n">
        <v>35.12183797</v>
      </c>
      <c r="F33" s="20" t="n">
        <v>2.80440308</v>
      </c>
      <c r="G33" s="18" t="n">
        <v>64.87816203</v>
      </c>
      <c r="H33" s="20" t="n">
        <v>2.80440308</v>
      </c>
      <c r="I33" s="18" t="n">
        <v>0</v>
      </c>
      <c r="J33" s="20" t="n">
        <v>0</v>
      </c>
      <c r="K33" s="18" t="n">
        <v>0</v>
      </c>
      <c r="L33" s="20" t="n">
        <v>0</v>
      </c>
      <c r="M33" s="18" t="n">
        <v>0</v>
      </c>
      <c r="N33" s="20" t="n">
        <v>0</v>
      </c>
      <c r="O33" s="18" t="n">
        <v>0</v>
      </c>
      <c r="P33" s="20" t="n">
        <v>0</v>
      </c>
      <c r="Q33" s="18" t="n">
        <v>0</v>
      </c>
      <c r="R33" s="20" t="n">
        <v>0</v>
      </c>
    </row>
    <row r="34" spans="1:18">
      <c r="A34" s="15" t="s">
        <v>592</v>
      </c>
      <c r="B34" s="17" t="n">
        <v>3035</v>
      </c>
      <c r="C34" s="18">
        <f>(2707.0/B34*100)</f>
        <v/>
      </c>
      <c r="D34" s="19" t="n">
        <v>328</v>
      </c>
      <c r="E34" s="18" t="n">
        <v>49.82881058</v>
      </c>
      <c r="F34" s="20" t="n">
        <v>2.9307073</v>
      </c>
      <c r="G34" s="18" t="n">
        <v>49.7979964</v>
      </c>
      <c r="H34" s="20" t="n">
        <v>2.91380505</v>
      </c>
      <c r="I34" s="18" t="n">
        <v>0</v>
      </c>
      <c r="J34" s="20" t="n">
        <v>0</v>
      </c>
      <c r="K34" s="18" t="n">
        <v>0.37319303</v>
      </c>
      <c r="L34" s="20" t="n">
        <v>0.36683439</v>
      </c>
      <c r="M34" s="18" t="n">
        <v>0</v>
      </c>
      <c r="N34" s="20" t="n">
        <v>0</v>
      </c>
      <c r="O34" s="18" t="n">
        <v>0</v>
      </c>
      <c r="P34" s="20" t="n">
        <v>0</v>
      </c>
      <c r="Q34" s="18" t="n">
        <v>0</v>
      </c>
      <c r="R34" s="20" t="n">
        <v>0</v>
      </c>
    </row>
    <row r="35" spans="1:18">
      <c r="A35" s="15" t="s">
        <v>593</v>
      </c>
      <c r="B35" s="17" t="n">
        <v>2901</v>
      </c>
      <c r="C35" s="18">
        <f>(2568.0/B35*100)</f>
        <v/>
      </c>
      <c r="D35" s="19" t="n">
        <v>333</v>
      </c>
      <c r="E35" s="18" t="n">
        <v>29.74359695</v>
      </c>
      <c r="F35" s="20" t="n">
        <v>2.90090172</v>
      </c>
      <c r="G35" s="18" t="n">
        <v>69.91590737</v>
      </c>
      <c r="H35" s="20" t="n">
        <v>2.90218398</v>
      </c>
      <c r="I35" s="18" t="n">
        <v>0</v>
      </c>
      <c r="J35" s="20" t="n">
        <v>0</v>
      </c>
      <c r="K35" s="18" t="n">
        <v>0.1650801</v>
      </c>
      <c r="L35" s="20" t="n">
        <v>0.16511886</v>
      </c>
      <c r="M35" s="18" t="n">
        <v>0</v>
      </c>
      <c r="N35" s="20" t="n">
        <v>0</v>
      </c>
      <c r="O35" s="18" t="n">
        <v>0</v>
      </c>
      <c r="P35" s="20" t="n">
        <v>0</v>
      </c>
      <c r="Q35" s="18" t="n">
        <v>0.17541558</v>
      </c>
      <c r="R35" s="20" t="n">
        <v>0.1765681</v>
      </c>
    </row>
    <row r="36" spans="1:18">
      <c r="A36" s="15" t="s">
        <v>594</v>
      </c>
      <c r="B36" s="17" t="n">
        <v>3404</v>
      </c>
      <c r="C36" s="18">
        <f>(3063.0/B36*100)</f>
        <v/>
      </c>
      <c r="D36" s="19" t="n">
        <v>341</v>
      </c>
      <c r="E36" s="18" t="n">
        <v>44.7154824</v>
      </c>
      <c r="F36" s="20" t="n">
        <v>3.21914609</v>
      </c>
      <c r="G36" s="18" t="n">
        <v>55.19559648</v>
      </c>
      <c r="H36" s="20" t="n">
        <v>3.22304407</v>
      </c>
      <c r="I36" s="18" t="n">
        <v>0</v>
      </c>
      <c r="J36" s="20" t="n">
        <v>0</v>
      </c>
      <c r="K36" s="18" t="n">
        <v>0</v>
      </c>
      <c r="L36" s="20" t="n">
        <v>0</v>
      </c>
      <c r="M36" s="18" t="n">
        <v>0</v>
      </c>
      <c r="N36" s="20" t="n">
        <v>0</v>
      </c>
      <c r="O36" s="18" t="n">
        <v>0</v>
      </c>
      <c r="P36" s="20" t="n">
        <v>0</v>
      </c>
      <c r="Q36" s="18" t="n">
        <v>0.08892112000000001</v>
      </c>
      <c r="R36" s="20" t="n">
        <v>0.07449620999999999</v>
      </c>
    </row>
    <row r="37" spans="1:18">
      <c r="A37" s="15" t="s">
        <v>595</v>
      </c>
      <c r="B37" s="17" t="n">
        <v>2731</v>
      </c>
      <c r="C37" s="18">
        <f>(2414.0/B37*100)</f>
        <v/>
      </c>
      <c r="D37" s="19" t="n">
        <v>317</v>
      </c>
      <c r="E37" s="18" t="n">
        <v>37.72475726</v>
      </c>
      <c r="F37" s="20" t="n">
        <v>2.67848511</v>
      </c>
      <c r="G37" s="18" t="n">
        <v>59.30110093</v>
      </c>
      <c r="H37" s="20" t="n">
        <v>2.71070229</v>
      </c>
      <c r="I37" s="18" t="n">
        <v>0</v>
      </c>
      <c r="J37" s="20" t="n">
        <v>0</v>
      </c>
      <c r="K37" s="18" t="n">
        <v>0.61996967</v>
      </c>
      <c r="L37" s="20" t="n">
        <v>0.03803171</v>
      </c>
      <c r="M37" s="18" t="n">
        <v>0</v>
      </c>
      <c r="N37" s="20" t="n">
        <v>0</v>
      </c>
      <c r="O37" s="18" t="n">
        <v>0</v>
      </c>
      <c r="P37" s="20" t="n">
        <v>0</v>
      </c>
      <c r="Q37" s="18" t="n">
        <v>2.35417213</v>
      </c>
      <c r="R37" s="20" t="n">
        <v>0.83495232</v>
      </c>
    </row>
    <row r="38" spans="1:18">
      <c r="A38" s="15" t="s">
        <v>596</v>
      </c>
      <c r="B38" s="17" t="n">
        <v>2807</v>
      </c>
      <c r="C38" s="18">
        <f>(2517.0/B38*100)</f>
        <v/>
      </c>
      <c r="D38" s="19" t="n">
        <v>290</v>
      </c>
      <c r="E38" s="18" t="n">
        <v>41.60604535</v>
      </c>
      <c r="F38" s="20" t="n">
        <v>3.49975006</v>
      </c>
      <c r="G38" s="18" t="n">
        <v>57.70572337</v>
      </c>
      <c r="H38" s="20" t="n">
        <v>3.47025196</v>
      </c>
      <c r="I38" s="18" t="n">
        <v>0</v>
      </c>
      <c r="J38" s="20" t="n">
        <v>0</v>
      </c>
      <c r="K38" s="18" t="n">
        <v>0.68823128</v>
      </c>
      <c r="L38" s="20" t="n">
        <v>0.49272366</v>
      </c>
      <c r="M38" s="18" t="n">
        <v>0</v>
      </c>
      <c r="N38" s="20" t="n">
        <v>0</v>
      </c>
      <c r="O38" s="18" t="n">
        <v>0</v>
      </c>
      <c r="P38" s="20" t="n">
        <v>0</v>
      </c>
      <c r="Q38" s="18" t="n">
        <v>0</v>
      </c>
      <c r="R38" s="20" t="n">
        <v>0</v>
      </c>
    </row>
    <row r="39" spans="1:18">
      <c r="A39" s="15" t="s">
        <v>597</v>
      </c>
      <c r="B39" s="17" t="n">
        <v>2938</v>
      </c>
      <c r="C39" s="18">
        <f>(2635.0/B39*100)</f>
        <v/>
      </c>
      <c r="D39" s="19" t="n">
        <v>303</v>
      </c>
      <c r="E39" s="18" t="n">
        <v>69.05903762</v>
      </c>
      <c r="F39" s="20" t="n">
        <v>2.81812669</v>
      </c>
      <c r="G39" s="18" t="n">
        <v>29.60024735</v>
      </c>
      <c r="H39" s="20" t="n">
        <v>2.7041246</v>
      </c>
      <c r="I39" s="18" t="n">
        <v>0</v>
      </c>
      <c r="J39" s="20" t="n">
        <v>0</v>
      </c>
      <c r="K39" s="18" t="n">
        <v>1.34071503</v>
      </c>
      <c r="L39" s="20" t="n">
        <v>1.26458076</v>
      </c>
      <c r="M39" s="18" t="n">
        <v>0</v>
      </c>
      <c r="N39" s="20" t="n">
        <v>0</v>
      </c>
      <c r="O39" s="18" t="n">
        <v>0</v>
      </c>
      <c r="P39" s="20" t="n">
        <v>0</v>
      </c>
      <c r="Q39" s="18" t="n">
        <v>0</v>
      </c>
      <c r="R39" s="20" t="n">
        <v>0</v>
      </c>
    </row>
    <row r="40" spans="1:18">
      <c r="A40" s="15" t="s">
        <v>598</v>
      </c>
      <c r="B40" s="17" t="n">
        <v>6922</v>
      </c>
      <c r="C40" s="18">
        <f>(6151.0/B40*100)</f>
        <v/>
      </c>
      <c r="D40" s="19" t="n">
        <v>771</v>
      </c>
      <c r="E40" s="18" t="n">
        <v>43.48767307</v>
      </c>
      <c r="F40" s="20" t="n">
        <v>2.30269296</v>
      </c>
      <c r="G40" s="18" t="n">
        <v>54.00562076</v>
      </c>
      <c r="H40" s="20" t="n">
        <v>2.45542165</v>
      </c>
      <c r="I40" s="18" t="n">
        <v>0</v>
      </c>
      <c r="J40" s="20" t="n">
        <v>0</v>
      </c>
      <c r="K40" s="18" t="n">
        <v>1.07735696</v>
      </c>
      <c r="L40" s="20" t="n">
        <v>0.56880187</v>
      </c>
      <c r="M40" s="18" t="n">
        <v>0</v>
      </c>
      <c r="N40" s="20" t="n">
        <v>0</v>
      </c>
      <c r="O40" s="18" t="n">
        <v>0</v>
      </c>
      <c r="P40" s="20" t="n">
        <v>0</v>
      </c>
      <c r="Q40" s="18" t="n">
        <v>1.42934922</v>
      </c>
      <c r="R40" s="20" t="n">
        <v>0.71757162</v>
      </c>
    </row>
    <row r="41" spans="1:18">
      <c r="A41" s="15" t="s">
        <v>599</v>
      </c>
      <c r="B41" s="17" t="n">
        <v>2854</v>
      </c>
      <c r="C41" s="18">
        <f>(2542.0/B41*100)</f>
        <v/>
      </c>
      <c r="D41" s="19" t="n">
        <v>312</v>
      </c>
      <c r="E41" s="18" t="n">
        <v>44.38021154</v>
      </c>
      <c r="F41" s="20" t="n">
        <v>2.92995412</v>
      </c>
      <c r="G41" s="18" t="n">
        <v>54.93471837</v>
      </c>
      <c r="H41" s="20" t="n">
        <v>2.89912637</v>
      </c>
      <c r="I41" s="18" t="n">
        <v>0</v>
      </c>
      <c r="J41" s="20" t="n">
        <v>0</v>
      </c>
      <c r="K41" s="18" t="n">
        <v>0.25232804</v>
      </c>
      <c r="L41" s="20" t="n">
        <v>0.25221583</v>
      </c>
      <c r="M41" s="18" t="n">
        <v>0</v>
      </c>
      <c r="N41" s="20" t="n">
        <v>0</v>
      </c>
      <c r="O41" s="18" t="n">
        <v>0</v>
      </c>
      <c r="P41" s="20" t="n">
        <v>0</v>
      </c>
      <c r="Q41" s="18" t="n">
        <v>0.43274205</v>
      </c>
      <c r="R41" s="20" t="n">
        <v>0.42425323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(10976.0/B46*100)</f>
        <v/>
      </c>
      <c r="D46" s="19" t="n">
        <v>1097</v>
      </c>
      <c r="E46" s="18" t="n">
        <v>51.52936479</v>
      </c>
      <c r="F46" s="20" t="n">
        <v>1.62559189</v>
      </c>
      <c r="G46" s="18" t="n">
        <v>45.48300383</v>
      </c>
      <c r="H46" s="20" t="n">
        <v>1.6349731</v>
      </c>
      <c r="I46" s="18" t="n">
        <v>0</v>
      </c>
      <c r="J46" s="20" t="n">
        <v>0</v>
      </c>
      <c r="K46" s="18" t="n">
        <v>1.68168991</v>
      </c>
      <c r="L46" s="20" t="n">
        <v>0.4864609</v>
      </c>
      <c r="M46" s="18" t="n">
        <v>0</v>
      </c>
      <c r="N46" s="20" t="n">
        <v>0</v>
      </c>
      <c r="O46" s="18" t="n">
        <v>0</v>
      </c>
      <c r="P46" s="20" t="n">
        <v>0</v>
      </c>
      <c r="Q46" s="18" t="n">
        <v>1.30594147</v>
      </c>
      <c r="R46" s="20" t="n">
        <v>0.36594047</v>
      </c>
    </row>
    <row r="47" spans="1:18">
      <c r="A47" s="15" t="s">
        <v>606</v>
      </c>
      <c r="B47" s="17" t="n">
        <v>2823</v>
      </c>
      <c r="C47" s="18">
        <f>(2528.0/B47*100)</f>
        <v/>
      </c>
      <c r="D47" s="19" t="n">
        <v>295</v>
      </c>
      <c r="E47" s="18" t="n">
        <v>51.03599052</v>
      </c>
      <c r="F47" s="20" t="n">
        <v>3.18470616</v>
      </c>
      <c r="G47" s="18" t="n">
        <v>48.26534267</v>
      </c>
      <c r="H47" s="20" t="n">
        <v>3.19702292</v>
      </c>
      <c r="I47" s="18" t="n">
        <v>0</v>
      </c>
      <c r="J47" s="20" t="n">
        <v>0</v>
      </c>
      <c r="K47" s="18" t="n">
        <v>0.69866681</v>
      </c>
      <c r="L47" s="20" t="n">
        <v>0.49162505</v>
      </c>
      <c r="M47" s="18" t="n">
        <v>0</v>
      </c>
      <c r="N47" s="20" t="n">
        <v>0</v>
      </c>
      <c r="O47" s="18" t="n">
        <v>0</v>
      </c>
      <c r="P47" s="20" t="n">
        <v>0</v>
      </c>
      <c r="Q47" s="18" t="n">
        <v>0</v>
      </c>
      <c r="R47" s="20" t="n">
        <v>0</v>
      </c>
    </row>
    <row r="48" spans="1:18">
      <c r="A48" s="15" t="s">
        <v>607</v>
      </c>
      <c r="B48" s="17" t="n">
        <v>4682</v>
      </c>
      <c r="C48" s="18">
        <f>(4158.0/B48*100)</f>
        <v/>
      </c>
      <c r="D48" s="19" t="n">
        <v>524</v>
      </c>
      <c r="E48" s="18" t="n">
        <v>47.40286371</v>
      </c>
      <c r="F48" s="20" t="n">
        <v>2.74759366</v>
      </c>
      <c r="G48" s="18" t="n">
        <v>51.06693825</v>
      </c>
      <c r="H48" s="20" t="n">
        <v>2.77209186</v>
      </c>
      <c r="I48" s="18" t="n">
        <v>0</v>
      </c>
      <c r="J48" s="20" t="n">
        <v>0</v>
      </c>
      <c r="K48" s="18" t="n">
        <v>1.53019805</v>
      </c>
      <c r="L48" s="20" t="n">
        <v>0.49744307</v>
      </c>
      <c r="M48" s="18" t="n">
        <v>0</v>
      </c>
      <c r="N48" s="20" t="n">
        <v>0</v>
      </c>
      <c r="O48" s="18" t="n">
        <v>0</v>
      </c>
      <c r="P48" s="20" t="n">
        <v>0</v>
      </c>
      <c r="Q48" s="18" t="n">
        <v>0</v>
      </c>
      <c r="R48" s="20" t="n">
        <v>0</v>
      </c>
    </row>
    <row r="49" spans="1:18">
      <c r="A49" s="15" t="s">
        <v>608</v>
      </c>
      <c r="B49" s="17" t="n">
        <v>6158</v>
      </c>
      <c r="C49" s="18">
        <f>(5472.0/B49*100)</f>
        <v/>
      </c>
      <c r="D49" s="19" t="n">
        <v>686</v>
      </c>
      <c r="E49" s="18" t="n">
        <v>52.73056172</v>
      </c>
      <c r="F49" s="20" t="n">
        <v>2.63878904</v>
      </c>
      <c r="G49" s="18" t="n">
        <v>46.47789186</v>
      </c>
      <c r="H49" s="20" t="n">
        <v>2.63436388</v>
      </c>
      <c r="I49" s="18" t="n">
        <v>0</v>
      </c>
      <c r="J49" s="20" t="n">
        <v>0</v>
      </c>
      <c r="K49" s="18" t="n">
        <v>0.75366061</v>
      </c>
      <c r="L49" s="20" t="n">
        <v>0.34973527</v>
      </c>
      <c r="M49" s="18" t="n">
        <v>0</v>
      </c>
      <c r="N49" s="20" t="n">
        <v>0</v>
      </c>
      <c r="O49" s="18" t="n">
        <v>0</v>
      </c>
      <c r="P49" s="20" t="n">
        <v>0</v>
      </c>
      <c r="Q49" s="18" t="n">
        <v>0.03788582</v>
      </c>
      <c r="R49" s="20" t="n">
        <v>0.03798807</v>
      </c>
    </row>
    <row r="50" spans="1:18">
      <c r="A50" s="15" t="s">
        <v>609</v>
      </c>
      <c r="B50" s="17" t="n">
        <v>3494</v>
      </c>
      <c r="C50" s="18">
        <f>(3142.0/B50*100)</f>
        <v/>
      </c>
      <c r="D50" s="19" t="n">
        <v>352</v>
      </c>
      <c r="E50" s="18" t="n">
        <v>51.43013065</v>
      </c>
      <c r="F50" s="20" t="n">
        <v>3.36999151</v>
      </c>
      <c r="G50" s="18" t="n">
        <v>47.61672783</v>
      </c>
      <c r="H50" s="20" t="n">
        <v>3.26242274</v>
      </c>
      <c r="I50" s="18" t="n">
        <v>0</v>
      </c>
      <c r="J50" s="20" t="n">
        <v>0</v>
      </c>
      <c r="K50" s="18" t="n">
        <v>0.28028333</v>
      </c>
      <c r="L50" s="20" t="n">
        <v>0.25868979</v>
      </c>
      <c r="M50" s="18" t="n">
        <v>0</v>
      </c>
      <c r="N50" s="20" t="n">
        <v>0</v>
      </c>
      <c r="O50" s="18" t="n">
        <v>0</v>
      </c>
      <c r="P50" s="20" t="n">
        <v>0</v>
      </c>
      <c r="Q50" s="18" t="n">
        <v>0.67285819</v>
      </c>
      <c r="R50" s="20" t="n">
        <v>0.49264251</v>
      </c>
    </row>
    <row r="51" spans="1:18">
      <c r="A51" s="15" t="s">
        <v>610</v>
      </c>
      <c r="B51" s="17" t="n">
        <v>3013</v>
      </c>
      <c r="C51" s="18">
        <f>(2675.0/B51*100)</f>
        <v/>
      </c>
      <c r="D51" s="19" t="n">
        <v>338</v>
      </c>
      <c r="E51" s="18" t="n">
        <v>46.31566944</v>
      </c>
      <c r="F51" s="20" t="n">
        <v>3.26498593</v>
      </c>
      <c r="G51" s="18" t="n">
        <v>53.36322014</v>
      </c>
      <c r="H51" s="20" t="n">
        <v>3.26773207</v>
      </c>
      <c r="I51" s="18" t="n">
        <v>0</v>
      </c>
      <c r="J51" s="20" t="n">
        <v>0</v>
      </c>
      <c r="K51" s="18" t="n">
        <v>0</v>
      </c>
      <c r="L51" s="20" t="n">
        <v>0</v>
      </c>
      <c r="M51" s="18" t="n">
        <v>0</v>
      </c>
      <c r="N51" s="20" t="n">
        <v>0</v>
      </c>
      <c r="O51" s="18" t="n">
        <v>0</v>
      </c>
      <c r="P51" s="20" t="n">
        <v>0</v>
      </c>
      <c r="Q51" s="18" t="n">
        <v>0.32111042</v>
      </c>
      <c r="R51" s="20" t="n">
        <v>0.32079081</v>
      </c>
    </row>
    <row r="52" spans="1:18">
      <c r="A52" s="15" t="s">
        <v>611</v>
      </c>
      <c r="B52" s="17" t="n">
        <v>2760</v>
      </c>
      <c r="C52" s="18">
        <f>(2460.0/B52*100)</f>
        <v/>
      </c>
      <c r="D52" s="19" t="n">
        <v>300</v>
      </c>
      <c r="E52" s="18" t="n">
        <v>48.78264896</v>
      </c>
      <c r="F52" s="20" t="n">
        <v>2.8030302</v>
      </c>
      <c r="G52" s="18" t="n">
        <v>49.71521678</v>
      </c>
      <c r="H52" s="20" t="n">
        <v>2.8149421</v>
      </c>
      <c r="I52" s="18" t="n">
        <v>0</v>
      </c>
      <c r="J52" s="20" t="n">
        <v>0</v>
      </c>
      <c r="K52" s="18" t="n">
        <v>0.23235304</v>
      </c>
      <c r="L52" s="20" t="n">
        <v>0.23116988</v>
      </c>
      <c r="M52" s="18" t="n">
        <v>0</v>
      </c>
      <c r="N52" s="20" t="n">
        <v>0</v>
      </c>
      <c r="O52" s="18" t="n">
        <v>0</v>
      </c>
      <c r="P52" s="20" t="n">
        <v>0</v>
      </c>
      <c r="Q52" s="18" t="n">
        <v>1.26978122</v>
      </c>
      <c r="R52" s="20" t="n">
        <v>0.62708113</v>
      </c>
    </row>
    <row r="53" spans="1:18">
      <c r="A53" s="15" t="s">
        <v>612</v>
      </c>
      <c r="B53" s="17" t="n">
        <v>2474</v>
      </c>
      <c r="C53" s="18">
        <f>(2209.0/B53*100)</f>
        <v/>
      </c>
      <c r="D53" s="19" t="n">
        <v>265</v>
      </c>
      <c r="E53" s="18" t="n">
        <v>52.71093373</v>
      </c>
      <c r="F53" s="20" t="n">
        <v>3.50498414</v>
      </c>
      <c r="G53" s="18" t="n">
        <v>33.60340922</v>
      </c>
      <c r="H53" s="20" t="n">
        <v>3.23946322</v>
      </c>
      <c r="I53" s="18" t="n">
        <v>0</v>
      </c>
      <c r="J53" s="20" t="n">
        <v>0</v>
      </c>
      <c r="K53" s="18" t="n">
        <v>11.70016446</v>
      </c>
      <c r="L53" s="20" t="n">
        <v>2.07565106</v>
      </c>
      <c r="M53" s="18" t="n">
        <v>0</v>
      </c>
      <c r="N53" s="20" t="n">
        <v>0</v>
      </c>
      <c r="O53" s="18" t="n">
        <v>0</v>
      </c>
      <c r="P53" s="20" t="n">
        <v>0</v>
      </c>
      <c r="Q53" s="18" t="n">
        <v>1.98549259</v>
      </c>
      <c r="R53" s="20" t="n">
        <v>1.00279796</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(2380.0/B55*100)</f>
        <v/>
      </c>
      <c r="D55" s="19" t="n">
        <v>295</v>
      </c>
      <c r="E55" s="18" t="n">
        <v>30.17842512</v>
      </c>
      <c r="F55" s="20" t="n">
        <v>2.44326571</v>
      </c>
      <c r="G55" s="18" t="n">
        <v>69.51030679</v>
      </c>
      <c r="H55" s="20" t="n">
        <v>2.43416413</v>
      </c>
      <c r="I55" s="18" t="n">
        <v>0</v>
      </c>
      <c r="J55" s="20" t="n">
        <v>0</v>
      </c>
      <c r="K55" s="18" t="n">
        <v>0.31126809</v>
      </c>
      <c r="L55" s="20" t="n">
        <v>0.34872341</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(2852.0/B61*100)</f>
        <v/>
      </c>
      <c r="D61" s="19" t="n">
        <v>349</v>
      </c>
      <c r="E61" s="18" t="n">
        <v>46.50439187</v>
      </c>
      <c r="F61" s="20" t="n">
        <v>3.32060494</v>
      </c>
      <c r="G61" s="18" t="n">
        <v>53.14678192</v>
      </c>
      <c r="H61" s="20" t="n">
        <v>3.37274025</v>
      </c>
      <c r="I61" s="18" t="n">
        <v>0</v>
      </c>
      <c r="J61" s="20" t="n">
        <v>0</v>
      </c>
      <c r="K61" s="18" t="n">
        <v>0.34882621</v>
      </c>
      <c r="L61" s="20" t="n">
        <v>0.35172332</v>
      </c>
      <c r="M61" s="18" t="n">
        <v>0</v>
      </c>
      <c r="N61" s="20" t="n">
        <v>0</v>
      </c>
      <c r="O61" s="18" t="n">
        <v>0</v>
      </c>
      <c r="P61" s="20" t="n">
        <v>0</v>
      </c>
      <c r="Q61" s="18" t="n">
        <v>0</v>
      </c>
      <c r="R61" s="20" t="n">
        <v>0</v>
      </c>
    </row>
    <row r="62" spans="1:18">
      <c r="A62" s="15" t="s">
        <v>622</v>
      </c>
      <c r="B62" s="17" t="n">
        <v>2230</v>
      </c>
      <c r="C62" s="18">
        <f>(1978.0/B62*100)</f>
        <v/>
      </c>
      <c r="D62" s="19" t="n">
        <v>252</v>
      </c>
      <c r="E62" s="18" t="n">
        <v>30.15615953</v>
      </c>
      <c r="F62" s="20" t="n">
        <v>2.77293353</v>
      </c>
      <c r="G62" s="18" t="n">
        <v>69.84384047</v>
      </c>
      <c r="H62" s="20" t="n">
        <v>2.77293353</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(2470.0/B67*100)</f>
        <v/>
      </c>
      <c r="D67" s="19" t="n">
        <v>301</v>
      </c>
      <c r="E67" s="18" t="n">
        <v>50.82482168</v>
      </c>
      <c r="F67" s="20" t="n">
        <v>3.31972798</v>
      </c>
      <c r="G67" s="18" t="n">
        <v>44.57049229</v>
      </c>
      <c r="H67" s="20" t="n">
        <v>3.27885687</v>
      </c>
      <c r="I67" s="18" t="n">
        <v>0</v>
      </c>
      <c r="J67" s="20" t="n">
        <v>0</v>
      </c>
      <c r="K67" s="18" t="n">
        <v>2.23086602</v>
      </c>
      <c r="L67" s="20" t="n">
        <v>0.82857489</v>
      </c>
      <c r="M67" s="18" t="n">
        <v>0</v>
      </c>
      <c r="N67" s="20" t="n">
        <v>0</v>
      </c>
      <c r="O67" s="18" t="n">
        <v>0</v>
      </c>
      <c r="P67" s="20" t="n">
        <v>0</v>
      </c>
      <c r="Q67" s="18" t="n">
        <v>2.37382001</v>
      </c>
      <c r="R67" s="20" t="n">
        <v>0.90721606</v>
      </c>
    </row>
    <row r="68" spans="1:18">
      <c r="A68" s="15" t="s">
        <v>628</v>
      </c>
      <c r="B68" s="17" t="n">
        <v>3460</v>
      </c>
      <c r="C68" s="18">
        <f>(3106.0/B68*100)</f>
        <v/>
      </c>
      <c r="D68" s="19" t="n">
        <v>354</v>
      </c>
      <c r="E68" s="18" t="n">
        <v>55.3290408</v>
      </c>
      <c r="F68" s="20" t="n">
        <v>2.78823434</v>
      </c>
      <c r="G68" s="18" t="n">
        <v>42.38455329</v>
      </c>
      <c r="H68" s="20" t="n">
        <v>2.73120497</v>
      </c>
      <c r="I68" s="18" t="n">
        <v>0</v>
      </c>
      <c r="J68" s="20" t="n">
        <v>0</v>
      </c>
      <c r="K68" s="18" t="n">
        <v>0.55439815</v>
      </c>
      <c r="L68" s="20" t="n">
        <v>0.39124346</v>
      </c>
      <c r="M68" s="18" t="n">
        <v>0</v>
      </c>
      <c r="N68" s="20" t="n">
        <v>0</v>
      </c>
      <c r="O68" s="18" t="n">
        <v>0</v>
      </c>
      <c r="P68" s="20" t="n">
        <v>0</v>
      </c>
      <c r="Q68" s="18" t="n">
        <v>1.73200776</v>
      </c>
      <c r="R68" s="20" t="n">
        <v>0.79414144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(5362.0/B70*100)</f>
        <v/>
      </c>
      <c r="D70" s="19" t="n">
        <v>672</v>
      </c>
      <c r="E70" s="18" t="n">
        <v>48.46025911</v>
      </c>
      <c r="F70" s="20" t="n">
        <v>2.01901859</v>
      </c>
      <c r="G70" s="18" t="n">
        <v>50.1803152</v>
      </c>
      <c r="H70" s="20" t="n">
        <v>2.0197454</v>
      </c>
      <c r="I70" s="18" t="n">
        <v>0</v>
      </c>
      <c r="J70" s="20" t="n">
        <v>0</v>
      </c>
      <c r="K70" s="18" t="n">
        <v>0.91700467</v>
      </c>
      <c r="L70" s="20" t="n">
        <v>0.31446019</v>
      </c>
      <c r="M70" s="18" t="n">
        <v>0</v>
      </c>
      <c r="N70" s="20" t="n">
        <v>0</v>
      </c>
      <c r="O70" s="18" t="n">
        <v>0</v>
      </c>
      <c r="P70" s="20" t="n">
        <v>0</v>
      </c>
      <c r="Q70" s="18" t="n">
        <v>0.44242102</v>
      </c>
      <c r="R70" s="20" t="n">
        <v>0.25283034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(2792.0/B72*100)</f>
        <v/>
      </c>
      <c r="D72" s="19" t="n">
        <v>315</v>
      </c>
      <c r="E72" s="18" t="n">
        <v>51.02071255</v>
      </c>
      <c r="F72" s="20" t="n">
        <v>2.59501889</v>
      </c>
      <c r="G72" s="18" t="n">
        <v>48.10475953</v>
      </c>
      <c r="H72" s="20" t="n">
        <v>2.75552543</v>
      </c>
      <c r="I72" s="18" t="n">
        <v>0</v>
      </c>
      <c r="J72" s="20" t="n">
        <v>0</v>
      </c>
      <c r="K72" s="18" t="n">
        <v>0.87452792</v>
      </c>
      <c r="L72" s="20" t="n">
        <v>0.57777574</v>
      </c>
      <c r="M72" s="18" t="n">
        <v>0</v>
      </c>
      <c r="N72" s="20" t="n">
        <v>0</v>
      </c>
      <c r="O72" s="18" t="n">
        <v>0</v>
      </c>
      <c r="P72" s="20" t="n">
        <v>0</v>
      </c>
      <c r="Q72" s="18" t="n">
        <v>0</v>
      </c>
      <c r="R72" s="20" t="n">
        <v>0</v>
      </c>
    </row>
    <row r="73" spans="1:18">
      <c r="A73" s="15" t="s">
        <v>633</v>
      </c>
      <c r="B73" s="17" t="n">
        <v>2973</v>
      </c>
      <c r="C73" s="18">
        <f>(2638.0/B73*100)</f>
        <v/>
      </c>
      <c r="D73" s="19" t="n">
        <v>335</v>
      </c>
      <c r="E73" s="18" t="n">
        <v>36.04641957</v>
      </c>
      <c r="F73" s="20" t="n">
        <v>2.86193059</v>
      </c>
      <c r="G73" s="18" t="n">
        <v>63.35049049</v>
      </c>
      <c r="H73" s="20" t="n">
        <v>2.89749887</v>
      </c>
      <c r="I73" s="18" t="n">
        <v>0</v>
      </c>
      <c r="J73" s="20" t="n">
        <v>0</v>
      </c>
      <c r="K73" s="18" t="n">
        <v>0.43613441</v>
      </c>
      <c r="L73" s="20" t="n">
        <v>0.43263064</v>
      </c>
      <c r="M73" s="18" t="n">
        <v>0</v>
      </c>
      <c r="N73" s="20" t="n">
        <v>0</v>
      </c>
      <c r="O73" s="18" t="n">
        <v>0</v>
      </c>
      <c r="P73" s="20" t="n">
        <v>0</v>
      </c>
      <c r="Q73" s="18" t="n">
        <v>0.16695553</v>
      </c>
      <c r="R73" s="20" t="n">
        <v>0.16782029</v>
      </c>
    </row>
    <row r="74" spans="1:18">
      <c r="A74" s="15" t="s">
        <v>634</v>
      </c>
      <c r="B74" s="17" t="n">
        <v>3819</v>
      </c>
      <c r="C74" s="18">
        <f>(3407.0/B74*100)</f>
        <v/>
      </c>
      <c r="D74" s="19" t="n">
        <v>412</v>
      </c>
      <c r="E74" s="18" t="n">
        <v>36.14548928</v>
      </c>
      <c r="F74" s="20" t="n">
        <v>2.3257811</v>
      </c>
      <c r="G74" s="18" t="n">
        <v>63.51462647</v>
      </c>
      <c r="H74" s="20" t="n">
        <v>2.30607082</v>
      </c>
      <c r="I74" s="18" t="n">
        <v>0</v>
      </c>
      <c r="J74" s="20" t="n">
        <v>0</v>
      </c>
      <c r="K74" s="18" t="n">
        <v>0.33988425</v>
      </c>
      <c r="L74" s="20" t="n">
        <v>0.24921179</v>
      </c>
      <c r="M74" s="18" t="n">
        <v>0</v>
      </c>
      <c r="N74" s="20" t="n">
        <v>0</v>
      </c>
      <c r="O74" s="18" t="n">
        <v>0</v>
      </c>
      <c r="P74" s="20" t="n">
        <v>0</v>
      </c>
      <c r="Q74" s="18" t="n">
        <v>0</v>
      </c>
      <c r="R74" s="20" t="n">
        <v>0</v>
      </c>
    </row>
    <row r="75" spans="1:18">
      <c r="A75" s="15" t="s">
        <v>635</v>
      </c>
      <c r="B75" s="17" t="n">
        <v>4652</v>
      </c>
      <c r="C75" s="18">
        <f>(4155.0/B75*100)</f>
        <v/>
      </c>
      <c r="D75" s="19" t="n">
        <v>497</v>
      </c>
      <c r="E75" s="18" t="n">
        <v>50.0364925</v>
      </c>
      <c r="F75" s="20" t="n">
        <v>2.80935808</v>
      </c>
      <c r="G75" s="18" t="n">
        <v>49.67218281</v>
      </c>
      <c r="H75" s="20" t="n">
        <v>2.74766009</v>
      </c>
      <c r="I75" s="18" t="n">
        <v>0</v>
      </c>
      <c r="J75" s="20" t="n">
        <v>0</v>
      </c>
      <c r="K75" s="18" t="n">
        <v>0</v>
      </c>
      <c r="L75" s="20" t="n">
        <v>0</v>
      </c>
      <c r="M75" s="18" t="n">
        <v>0</v>
      </c>
      <c r="N75" s="20" t="n">
        <v>0</v>
      </c>
      <c r="O75" s="18" t="n">
        <v>0</v>
      </c>
      <c r="P75" s="20" t="n">
        <v>0</v>
      </c>
      <c r="Q75" s="18" t="n">
        <v>0.29132469</v>
      </c>
      <c r="R75" s="20" t="n">
        <v>0.28906915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(2674.0/B77*100)</f>
        <v/>
      </c>
      <c r="D77" s="19" t="n">
        <v>295</v>
      </c>
      <c r="E77" s="18" t="n">
        <v>54.006531</v>
      </c>
      <c r="F77" s="20" t="n">
        <v>3.29509001</v>
      </c>
      <c r="G77" s="18" t="n">
        <v>41.54346789</v>
      </c>
      <c r="H77" s="20" t="n">
        <v>3.27488146</v>
      </c>
      <c r="I77" s="18" t="n">
        <v>0</v>
      </c>
      <c r="J77" s="20" t="n">
        <v>0</v>
      </c>
      <c r="K77" s="18" t="n">
        <v>3.31764288</v>
      </c>
      <c r="L77" s="20" t="n">
        <v>1.14451748</v>
      </c>
      <c r="M77" s="18" t="n">
        <v>0</v>
      </c>
      <c r="N77" s="20" t="n">
        <v>0</v>
      </c>
      <c r="O77" s="18" t="n">
        <v>0</v>
      </c>
      <c r="P77" s="20" t="n">
        <v>0</v>
      </c>
      <c r="Q77" s="18" t="n">
        <v>1.13235822</v>
      </c>
      <c r="R77" s="20" t="n">
        <v>0.59558042</v>
      </c>
    </row>
    <row r="78" spans="1:18">
      <c r="A78" s="15" t="s">
        <v>638</v>
      </c>
      <c r="B78" s="17" t="n">
        <v>7115</v>
      </c>
      <c r="C78" s="18">
        <f>(6331.0/B78*100)</f>
        <v/>
      </c>
      <c r="D78" s="19" t="n">
        <v>784</v>
      </c>
      <c r="E78" s="18" t="n">
        <v>48.08036339</v>
      </c>
      <c r="F78" s="20" t="n">
        <v>2.18169915</v>
      </c>
      <c r="G78" s="18" t="n">
        <v>50.91321551</v>
      </c>
      <c r="H78" s="20" t="n">
        <v>2.2607501</v>
      </c>
      <c r="I78" s="18" t="n">
        <v>0</v>
      </c>
      <c r="J78" s="20" t="n">
        <v>0</v>
      </c>
      <c r="K78" s="18" t="n">
        <v>0.77032022</v>
      </c>
      <c r="L78" s="20" t="n">
        <v>0.35075632</v>
      </c>
      <c r="M78" s="18" t="n">
        <v>0</v>
      </c>
      <c r="N78" s="20" t="n">
        <v>0</v>
      </c>
      <c r="O78" s="18" t="n">
        <v>0</v>
      </c>
      <c r="P78" s="20" t="n">
        <v>0</v>
      </c>
      <c r="Q78" s="18" t="n">
        <v>0.23610088</v>
      </c>
      <c r="R78" s="20" t="n">
        <v>0.17484297</v>
      </c>
    </row>
    <row r="79" spans="1:18">
      <c r="A79" s="15" t="s">
        <v>639</v>
      </c>
      <c r="B79" s="17" t="n">
        <v>3154</v>
      </c>
      <c r="C79" s="18">
        <f>(2819.0/B79*100)</f>
        <v/>
      </c>
      <c r="D79" s="19" t="n">
        <v>335</v>
      </c>
      <c r="E79" s="18" t="n">
        <v>47.52619429</v>
      </c>
      <c r="F79" s="20" t="n">
        <v>2.73691413</v>
      </c>
      <c r="G79" s="18" t="n">
        <v>48.79587395</v>
      </c>
      <c r="H79" s="20" t="n">
        <v>2.66376832</v>
      </c>
      <c r="I79" s="18" t="n">
        <v>0</v>
      </c>
      <c r="J79" s="20" t="n">
        <v>0</v>
      </c>
      <c r="K79" s="18" t="n">
        <v>2.06238289</v>
      </c>
      <c r="L79" s="20" t="n">
        <v>0.8073822899999999</v>
      </c>
      <c r="M79" s="18" t="n">
        <v>0</v>
      </c>
      <c r="N79" s="20" t="n">
        <v>0</v>
      </c>
      <c r="O79" s="18" t="n">
        <v>0</v>
      </c>
      <c r="P79" s="20" t="n">
        <v>0</v>
      </c>
      <c r="Q79" s="18" t="n">
        <v>1.61554887</v>
      </c>
      <c r="R79" s="20" t="n">
        <v>0.6800024099999999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(14200.0/B82*100)</f>
        <v/>
      </c>
      <c r="D82" s="19" t="n">
        <v>1761</v>
      </c>
      <c r="E82" s="18" t="n">
        <v>45.2227913</v>
      </c>
      <c r="F82" s="20" t="n">
        <v>1.73312824</v>
      </c>
      <c r="G82" s="18" t="n">
        <v>54.40536189</v>
      </c>
      <c r="H82" s="20" t="n">
        <v>1.74035141</v>
      </c>
      <c r="I82" s="18" t="n">
        <v>0</v>
      </c>
      <c r="J82" s="20" t="n">
        <v>0</v>
      </c>
      <c r="K82" s="18" t="n">
        <v>0.15419002</v>
      </c>
      <c r="L82" s="20" t="n">
        <v>0.08098383000000001</v>
      </c>
      <c r="M82" s="18" t="n">
        <v>0</v>
      </c>
      <c r="N82" s="20" t="n">
        <v>0</v>
      </c>
      <c r="O82" s="18" t="n">
        <v>0</v>
      </c>
      <c r="P82" s="20" t="n">
        <v>0</v>
      </c>
      <c r="Q82" s="18" t="n">
        <v>0.21765679</v>
      </c>
      <c r="R82" s="20" t="n">
        <v>0.1125526</v>
      </c>
    </row>
    <row r="83" spans="1:18">
      <c r="A83" s="15" t="s">
        <v>643</v>
      </c>
      <c r="B83" s="17" t="n">
        <v>808</v>
      </c>
      <c r="C83" s="18">
        <f>(717.0/B83*100)</f>
        <v/>
      </c>
      <c r="D83" s="19" t="n">
        <v>91</v>
      </c>
      <c r="E83" s="18" t="n">
        <v>37.39920197</v>
      </c>
      <c r="F83" s="20" t="n">
        <v>5.42286129</v>
      </c>
      <c r="G83" s="18" t="n">
        <v>61.49173737</v>
      </c>
      <c r="H83" s="20" t="n">
        <v>5.34899044</v>
      </c>
      <c r="I83" s="18" t="n">
        <v>0</v>
      </c>
      <c r="J83" s="20" t="n">
        <v>0</v>
      </c>
      <c r="K83" s="18" t="n">
        <v>1.10906066</v>
      </c>
      <c r="L83" s="20" t="n">
        <v>1.13014791</v>
      </c>
      <c r="M83" s="18" t="n">
        <v>0</v>
      </c>
      <c r="N83" s="20" t="n">
        <v>0</v>
      </c>
      <c r="O83" s="18" t="n">
        <v>0</v>
      </c>
      <c r="P83" s="20" t="n">
        <v>0</v>
      </c>
      <c r="Q83" s="18" t="n">
        <v>0</v>
      </c>
      <c r="R83" s="20" t="n">
        <v>0</v>
      </c>
    </row>
    <row r="84" spans="1:18">
      <c r="A84" s="23" t="s">
        <v>644</v>
      </c>
      <c r="B84" s="24" t="n">
        <v>938</v>
      </c>
      <c r="C84" s="25">
        <f>(834.0/B84*100)</f>
        <v/>
      </c>
      <c r="D84" s="19" t="n">
        <v>104</v>
      </c>
      <c r="E84" s="18" t="n">
        <v>43.81223849</v>
      </c>
      <c r="F84" s="20" t="n">
        <v>5.21243003</v>
      </c>
      <c r="G84" s="18" t="n">
        <v>56.18776151</v>
      </c>
      <c r="H84" s="20" t="n">
        <v>5.21243003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(6389.0/B7*100)</f>
        <v/>
      </c>
      <c r="D7" s="19" t="n">
        <v>774</v>
      </c>
      <c r="E7" s="18" t="n">
        <v>53.46364093</v>
      </c>
      <c r="F7" s="20" t="n">
        <v>1.88899963</v>
      </c>
      <c r="G7" s="18" t="n">
        <v>45.29324796</v>
      </c>
      <c r="H7" s="20" t="n">
        <v>1.89660381</v>
      </c>
      <c r="I7" s="18" t="n">
        <v>0</v>
      </c>
      <c r="J7" s="20" t="n">
        <v>0</v>
      </c>
      <c r="K7" s="18" t="n">
        <v>1.24311111</v>
      </c>
      <c r="L7" s="20" t="n">
        <v>0.43271105</v>
      </c>
      <c r="M7" s="18" t="n">
        <v>0</v>
      </c>
      <c r="N7" s="20" t="n">
        <v>0</v>
      </c>
      <c r="O7" s="18" t="n">
        <v>0</v>
      </c>
      <c r="P7" s="20" t="n">
        <v>0</v>
      </c>
      <c r="Q7" s="18" t="n">
        <v>0</v>
      </c>
      <c r="R7" s="20" t="n">
        <v>0</v>
      </c>
    </row>
    <row r="8" spans="1:18">
      <c r="A8" s="15" t="s">
        <v>566</v>
      </c>
      <c r="B8" s="17" t="n">
        <v>3443</v>
      </c>
      <c r="C8" s="18">
        <f>(3035.0/B8*100)</f>
        <v/>
      </c>
      <c r="D8" s="19" t="n">
        <v>408</v>
      </c>
      <c r="E8" s="18" t="n">
        <v>56.05078659</v>
      </c>
      <c r="F8" s="20" t="n">
        <v>2.57316989</v>
      </c>
      <c r="G8" s="18" t="n">
        <v>42.45108011</v>
      </c>
      <c r="H8" s="20" t="n">
        <v>2.48770693</v>
      </c>
      <c r="I8" s="18" t="n">
        <v>0</v>
      </c>
      <c r="J8" s="20" t="n">
        <v>0</v>
      </c>
      <c r="K8" s="18" t="n">
        <v>1.49813329</v>
      </c>
      <c r="L8" s="20" t="n">
        <v>0.65825509</v>
      </c>
      <c r="M8" s="18" t="n">
        <v>0</v>
      </c>
      <c r="N8" s="20" t="n">
        <v>0</v>
      </c>
      <c r="O8" s="18" t="n">
        <v>0</v>
      </c>
      <c r="P8" s="20" t="n">
        <v>0</v>
      </c>
      <c r="Q8" s="18" t="n">
        <v>0</v>
      </c>
      <c r="R8" s="20" t="n">
        <v>0</v>
      </c>
    </row>
    <row r="9" spans="1:18">
      <c r="A9" s="15" t="s">
        <v>567</v>
      </c>
      <c r="B9" s="17" t="n">
        <v>4752</v>
      </c>
      <c r="C9" s="18">
        <f>(4206.0/B9*100)</f>
        <v/>
      </c>
      <c r="D9" s="19" t="n">
        <v>546</v>
      </c>
      <c r="E9" s="18" t="n">
        <v>58.65519045</v>
      </c>
      <c r="F9" s="20" t="n">
        <v>1.88904329</v>
      </c>
      <c r="G9" s="18" t="n">
        <v>40.26085532</v>
      </c>
      <c r="H9" s="20" t="n">
        <v>1.97063765</v>
      </c>
      <c r="I9" s="18" t="n">
        <v>0</v>
      </c>
      <c r="J9" s="20" t="n">
        <v>0</v>
      </c>
      <c r="K9" s="18" t="n">
        <v>1.08395423</v>
      </c>
      <c r="L9" s="20" t="n">
        <v>0.49964009</v>
      </c>
      <c r="M9" s="18" t="n">
        <v>0</v>
      </c>
      <c r="N9" s="20" t="n">
        <v>0</v>
      </c>
      <c r="O9" s="18" t="n">
        <v>0</v>
      </c>
      <c r="P9" s="20" t="n">
        <v>0</v>
      </c>
      <c r="Q9" s="18" t="n">
        <v>0</v>
      </c>
      <c r="R9" s="20" t="n">
        <v>0</v>
      </c>
    </row>
    <row r="10" spans="1:18">
      <c r="A10" s="15" t="s">
        <v>568</v>
      </c>
      <c r="B10" s="17" t="n">
        <v>10022</v>
      </c>
      <c r="C10" s="18">
        <f>(8901.0/B10*100)</f>
        <v/>
      </c>
      <c r="D10" s="19" t="n">
        <v>1121</v>
      </c>
      <c r="E10" s="18" t="n">
        <v>48.31782336</v>
      </c>
      <c r="F10" s="20" t="n">
        <v>2.5074208</v>
      </c>
      <c r="G10" s="18" t="n">
        <v>51.36344628</v>
      </c>
      <c r="H10" s="20" t="n">
        <v>2.50445037</v>
      </c>
      <c r="I10" s="18" t="n">
        <v>0</v>
      </c>
      <c r="J10" s="20" t="n">
        <v>0</v>
      </c>
      <c r="K10" s="18" t="n">
        <v>0.31873037</v>
      </c>
      <c r="L10" s="20" t="n">
        <v>0.17809478</v>
      </c>
      <c r="M10" s="18" t="n">
        <v>0</v>
      </c>
      <c r="N10" s="20" t="n">
        <v>0</v>
      </c>
      <c r="O10" s="18" t="n">
        <v>0</v>
      </c>
      <c r="P10" s="20" t="n">
        <v>0</v>
      </c>
      <c r="Q10" s="18" t="n">
        <v>0</v>
      </c>
      <c r="R10" s="20" t="n">
        <v>0</v>
      </c>
    </row>
    <row r="11" spans="1:18">
      <c r="A11" s="15" t="s">
        <v>569</v>
      </c>
      <c r="B11" s="17" t="n">
        <v>3500</v>
      </c>
      <c r="C11" s="18">
        <f>(3126.0/B11*100)</f>
        <v/>
      </c>
      <c r="D11" s="19" t="n">
        <v>374</v>
      </c>
      <c r="E11" s="18" t="n">
        <v>47.30990894</v>
      </c>
      <c r="F11" s="20" t="n">
        <v>2.94693548</v>
      </c>
      <c r="G11" s="18" t="n">
        <v>50.80425371</v>
      </c>
      <c r="H11" s="20" t="n">
        <v>2.97527031</v>
      </c>
      <c r="I11" s="18" t="n">
        <v>0</v>
      </c>
      <c r="J11" s="20" t="n">
        <v>0</v>
      </c>
      <c r="K11" s="18" t="n">
        <v>1.88583735</v>
      </c>
      <c r="L11" s="20" t="n">
        <v>0.4822468</v>
      </c>
      <c r="M11" s="18" t="n">
        <v>0</v>
      </c>
      <c r="N11" s="20" t="n">
        <v>0</v>
      </c>
      <c r="O11" s="18" t="n">
        <v>0</v>
      </c>
      <c r="P11" s="20" t="n">
        <v>0</v>
      </c>
      <c r="Q11" s="18" t="n">
        <v>0</v>
      </c>
      <c r="R11" s="20" t="n">
        <v>0</v>
      </c>
    </row>
    <row r="12" spans="1:18">
      <c r="A12" s="15" t="s">
        <v>570</v>
      </c>
      <c r="B12" s="17" t="n">
        <v>3422</v>
      </c>
      <c r="C12" s="18">
        <f>(3040.0/B12*100)</f>
        <v/>
      </c>
      <c r="D12" s="19" t="n">
        <v>382</v>
      </c>
      <c r="E12" s="18" t="n">
        <v>47.54003272</v>
      </c>
      <c r="F12" s="20" t="n">
        <v>2.69738538</v>
      </c>
      <c r="G12" s="18" t="n">
        <v>51.00977403</v>
      </c>
      <c r="H12" s="20" t="n">
        <v>2.76649869</v>
      </c>
      <c r="I12" s="18" t="n">
        <v>0</v>
      </c>
      <c r="J12" s="20" t="n">
        <v>0</v>
      </c>
      <c r="K12" s="18" t="n">
        <v>1.45019325</v>
      </c>
      <c r="L12" s="20" t="n">
        <v>0.68407604</v>
      </c>
      <c r="M12" s="18" t="n">
        <v>0</v>
      </c>
      <c r="N12" s="20" t="n">
        <v>0</v>
      </c>
      <c r="O12" s="18" t="n">
        <v>0</v>
      </c>
      <c r="P12" s="20" t="n">
        <v>0</v>
      </c>
      <c r="Q12" s="18" t="n">
        <v>0</v>
      </c>
      <c r="R12" s="20" t="n">
        <v>0</v>
      </c>
    </row>
    <row r="13" spans="1:18">
      <c r="A13" s="15" t="s">
        <v>571</v>
      </c>
      <c r="B13" s="17" t="n">
        <v>3602</v>
      </c>
      <c r="C13" s="18">
        <f>(3232.0/B13*100)</f>
        <v/>
      </c>
      <c r="D13" s="19" t="n">
        <v>370</v>
      </c>
      <c r="E13" s="18" t="n">
        <v>51.47636591</v>
      </c>
      <c r="F13" s="20" t="n">
        <v>3.02056138</v>
      </c>
      <c r="G13" s="18" t="n">
        <v>48.10324519</v>
      </c>
      <c r="H13" s="20" t="n">
        <v>3.02486151</v>
      </c>
      <c r="I13" s="18" t="n">
        <v>0</v>
      </c>
      <c r="J13" s="20" t="n">
        <v>0</v>
      </c>
      <c r="K13" s="18" t="n">
        <v>0.4203889</v>
      </c>
      <c r="L13" s="20" t="n">
        <v>0.41093634</v>
      </c>
      <c r="M13" s="18" t="n">
        <v>0</v>
      </c>
      <c r="N13" s="20" t="n">
        <v>0</v>
      </c>
      <c r="O13" s="18" t="n">
        <v>0</v>
      </c>
      <c r="P13" s="20" t="n">
        <v>0</v>
      </c>
      <c r="Q13" s="18" t="n">
        <v>0</v>
      </c>
      <c r="R13" s="20" t="n">
        <v>0</v>
      </c>
    </row>
    <row r="14" spans="1:18">
      <c r="A14" s="15" t="s">
        <v>572</v>
      </c>
      <c r="B14" s="17" t="n">
        <v>2788</v>
      </c>
      <c r="C14" s="18">
        <f>(2483.0/B14*100)</f>
        <v/>
      </c>
      <c r="D14" s="19" t="n">
        <v>305</v>
      </c>
      <c r="E14" s="18" t="n">
        <v>50.74401503</v>
      </c>
      <c r="F14" s="20" t="n">
        <v>2.76107991</v>
      </c>
      <c r="G14" s="18" t="n">
        <v>49.25598497</v>
      </c>
      <c r="H14" s="20" t="n">
        <v>2.76107991</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(2554.0/B15*100)</f>
        <v/>
      </c>
      <c r="D15" s="19" t="n">
        <v>309</v>
      </c>
      <c r="E15" s="18" t="n">
        <v>29.20031488</v>
      </c>
      <c r="F15" s="20" t="n">
        <v>2.87827993</v>
      </c>
      <c r="G15" s="18" t="n">
        <v>69.94910507</v>
      </c>
      <c r="H15" s="20" t="n">
        <v>2.82830103</v>
      </c>
      <c r="I15" s="18" t="n">
        <v>0</v>
      </c>
      <c r="J15" s="20" t="n">
        <v>0</v>
      </c>
      <c r="K15" s="18" t="n">
        <v>0.85058005</v>
      </c>
      <c r="L15" s="20" t="n">
        <v>0.49778305</v>
      </c>
      <c r="M15" s="18" t="n">
        <v>0</v>
      </c>
      <c r="N15" s="20" t="n">
        <v>0</v>
      </c>
      <c r="O15" s="18" t="n">
        <v>0</v>
      </c>
      <c r="P15" s="20" t="n">
        <v>0</v>
      </c>
      <c r="Q15" s="18" t="n">
        <v>0</v>
      </c>
      <c r="R15" s="20" t="n">
        <v>0</v>
      </c>
    </row>
    <row r="16" spans="1:18">
      <c r="A16" s="15" t="s">
        <v>574</v>
      </c>
      <c r="B16" s="17" t="n">
        <v>3111</v>
      </c>
      <c r="C16" s="18">
        <f>(2768.0/B16*100)</f>
        <v/>
      </c>
      <c r="D16" s="19" t="n">
        <v>343</v>
      </c>
      <c r="E16" s="18" t="n">
        <v>44.43232471</v>
      </c>
      <c r="F16" s="20" t="n">
        <v>2.45218048</v>
      </c>
      <c r="G16" s="18" t="n">
        <v>53.39722528</v>
      </c>
      <c r="H16" s="20" t="n">
        <v>2.42776954</v>
      </c>
      <c r="I16" s="18" t="n">
        <v>0</v>
      </c>
      <c r="J16" s="20" t="n">
        <v>0</v>
      </c>
      <c r="K16" s="18" t="n">
        <v>2.17045002</v>
      </c>
      <c r="L16" s="20" t="n">
        <v>1.02744068</v>
      </c>
      <c r="M16" s="18" t="n">
        <v>0</v>
      </c>
      <c r="N16" s="20" t="n">
        <v>0</v>
      </c>
      <c r="O16" s="18" t="n">
        <v>0</v>
      </c>
      <c r="P16" s="20" t="n">
        <v>0</v>
      </c>
      <c r="Q16" s="18" t="n">
        <v>0</v>
      </c>
      <c r="R16" s="20" t="n">
        <v>0</v>
      </c>
    </row>
    <row r="17" spans="1:18">
      <c r="A17" s="15" t="s">
        <v>575</v>
      </c>
      <c r="B17" s="17" t="n">
        <v>3197</v>
      </c>
      <c r="C17" s="18">
        <f>(2842.0/B17*100)</f>
        <v/>
      </c>
      <c r="D17" s="19" t="n">
        <v>355</v>
      </c>
      <c r="E17" s="18" t="n">
        <v>53.35263307</v>
      </c>
      <c r="F17" s="20" t="n">
        <v>2.69041274</v>
      </c>
      <c r="G17" s="18" t="n">
        <v>45.26305882</v>
      </c>
      <c r="H17" s="20" t="n">
        <v>2.70366776</v>
      </c>
      <c r="I17" s="18" t="n">
        <v>0</v>
      </c>
      <c r="J17" s="20" t="n">
        <v>0</v>
      </c>
      <c r="K17" s="18" t="n">
        <v>1.38430811</v>
      </c>
      <c r="L17" s="20" t="n">
        <v>0.62398132</v>
      </c>
      <c r="M17" s="18" t="n">
        <v>0</v>
      </c>
      <c r="N17" s="20" t="n">
        <v>0</v>
      </c>
      <c r="O17" s="18" t="n">
        <v>0</v>
      </c>
      <c r="P17" s="20" t="n">
        <v>0</v>
      </c>
      <c r="Q17" s="18" t="n">
        <v>0</v>
      </c>
      <c r="R17" s="20" t="n">
        <v>0</v>
      </c>
    </row>
    <row r="18" spans="1:18">
      <c r="A18" s="15" t="s">
        <v>576</v>
      </c>
      <c r="B18" s="17" t="n">
        <v>2706</v>
      </c>
      <c r="C18" s="18">
        <f>(2408.0/B18*100)</f>
        <v/>
      </c>
      <c r="D18" s="19" t="n">
        <v>298</v>
      </c>
      <c r="E18" s="18" t="n">
        <v>63.11875194</v>
      </c>
      <c r="F18" s="20" t="n">
        <v>2.74589267</v>
      </c>
      <c r="G18" s="18" t="n">
        <v>35.71562892</v>
      </c>
      <c r="H18" s="20" t="n">
        <v>2.8219368</v>
      </c>
      <c r="I18" s="18" t="n">
        <v>0</v>
      </c>
      <c r="J18" s="20" t="n">
        <v>0</v>
      </c>
      <c r="K18" s="18" t="n">
        <v>1.16561915</v>
      </c>
      <c r="L18" s="20" t="n">
        <v>0.48646699</v>
      </c>
      <c r="M18" s="18" t="n">
        <v>0</v>
      </c>
      <c r="N18" s="20" t="n">
        <v>0</v>
      </c>
      <c r="O18" s="18" t="n">
        <v>0</v>
      </c>
      <c r="P18" s="20" t="n">
        <v>0</v>
      </c>
      <c r="Q18" s="18" t="n">
        <v>0</v>
      </c>
      <c r="R18" s="20" t="n">
        <v>0</v>
      </c>
    </row>
    <row r="19" spans="1:18">
      <c r="A19" s="15" t="s">
        <v>577</v>
      </c>
      <c r="B19" s="17" t="n">
        <v>2850</v>
      </c>
      <c r="C19" s="18">
        <f>(2504.0/B19*100)</f>
        <v/>
      </c>
      <c r="D19" s="19" t="n">
        <v>346</v>
      </c>
      <c r="E19" s="18" t="n">
        <v>49.59592682</v>
      </c>
      <c r="F19" s="20" t="n">
        <v>3.06461972</v>
      </c>
      <c r="G19" s="18" t="n">
        <v>50.1515693</v>
      </c>
      <c r="H19" s="20" t="n">
        <v>3.08689608</v>
      </c>
      <c r="I19" s="18" t="n">
        <v>0</v>
      </c>
      <c r="J19" s="20" t="n">
        <v>0</v>
      </c>
      <c r="K19" s="18" t="n">
        <v>0.25250388</v>
      </c>
      <c r="L19" s="20" t="n">
        <v>0.25226503</v>
      </c>
      <c r="M19" s="18" t="n">
        <v>0</v>
      </c>
      <c r="N19" s="20" t="n">
        <v>0</v>
      </c>
      <c r="O19" s="18" t="n">
        <v>0</v>
      </c>
      <c r="P19" s="20" t="n">
        <v>0</v>
      </c>
      <c r="Q19" s="18" t="n">
        <v>0</v>
      </c>
      <c r="R19" s="20" t="n">
        <v>0</v>
      </c>
    </row>
    <row r="20" spans="1:18">
      <c r="A20" s="15" t="s">
        <v>578</v>
      </c>
      <c r="B20" s="17" t="n">
        <v>1741</v>
      </c>
      <c r="C20" s="18">
        <f>(1546.0/B20*100)</f>
        <v/>
      </c>
      <c r="D20" s="19" t="n">
        <v>195</v>
      </c>
      <c r="E20" s="18" t="n">
        <v>62.56589859</v>
      </c>
      <c r="F20" s="20" t="n">
        <v>3.14713797</v>
      </c>
      <c r="G20" s="18" t="n">
        <v>36.0274942</v>
      </c>
      <c r="H20" s="20" t="n">
        <v>3.20721189</v>
      </c>
      <c r="I20" s="18" t="n">
        <v>0</v>
      </c>
      <c r="J20" s="20" t="n">
        <v>0</v>
      </c>
      <c r="K20" s="18" t="n">
        <v>1.4066072</v>
      </c>
      <c r="L20" s="20" t="n">
        <v>0.79308405</v>
      </c>
      <c r="M20" s="18" t="n">
        <v>0</v>
      </c>
      <c r="N20" s="20" t="n">
        <v>0</v>
      </c>
      <c r="O20" s="18" t="n">
        <v>0</v>
      </c>
      <c r="P20" s="20" t="n">
        <v>0</v>
      </c>
      <c r="Q20" s="18" t="n">
        <v>0</v>
      </c>
      <c r="R20" s="20" t="n">
        <v>0</v>
      </c>
    </row>
    <row r="21" spans="1:18">
      <c r="A21" s="15" t="s">
        <v>579</v>
      </c>
      <c r="B21" s="17" t="n">
        <v>2833</v>
      </c>
      <c r="C21" s="18">
        <f>(2500.0/B21*100)</f>
        <v/>
      </c>
      <c r="D21" s="19" t="n">
        <v>333</v>
      </c>
      <c r="E21" s="18" t="n">
        <v>49.06789287</v>
      </c>
      <c r="F21" s="20" t="n">
        <v>3.08987229</v>
      </c>
      <c r="G21" s="18" t="n">
        <v>50.7007178</v>
      </c>
      <c r="H21" s="20" t="n">
        <v>3.0758998</v>
      </c>
      <c r="I21" s="18" t="n">
        <v>0</v>
      </c>
      <c r="J21" s="20" t="n">
        <v>0</v>
      </c>
      <c r="K21" s="18" t="n">
        <v>0.23138933</v>
      </c>
      <c r="L21" s="20" t="n">
        <v>0.22965269</v>
      </c>
      <c r="M21" s="18" t="n">
        <v>0</v>
      </c>
      <c r="N21" s="20" t="n">
        <v>0</v>
      </c>
      <c r="O21" s="18" t="n">
        <v>0</v>
      </c>
      <c r="P21" s="20" t="n">
        <v>0</v>
      </c>
      <c r="Q21" s="18" t="n">
        <v>0</v>
      </c>
      <c r="R21" s="20" t="n">
        <v>0</v>
      </c>
    </row>
    <row r="22" spans="1:18">
      <c r="A22" s="15" t="s">
        <v>580</v>
      </c>
      <c r="B22" s="17" t="n">
        <v>3667</v>
      </c>
      <c r="C22" s="18">
        <f>(3286.0/B22*100)</f>
        <v/>
      </c>
      <c r="D22" s="19" t="n">
        <v>381</v>
      </c>
      <c r="E22" s="18" t="n">
        <v>70.69518535</v>
      </c>
      <c r="F22" s="20" t="n">
        <v>2.46050253</v>
      </c>
      <c r="G22" s="18" t="n">
        <v>28.52120913</v>
      </c>
      <c r="H22" s="20" t="n">
        <v>2.35427851</v>
      </c>
      <c r="I22" s="18" t="n">
        <v>0</v>
      </c>
      <c r="J22" s="20" t="n">
        <v>0</v>
      </c>
      <c r="K22" s="18" t="n">
        <v>0.7836055200000001</v>
      </c>
      <c r="L22" s="20" t="n">
        <v>0.42876894</v>
      </c>
      <c r="M22" s="18" t="n">
        <v>0</v>
      </c>
      <c r="N22" s="20" t="n">
        <v>0</v>
      </c>
      <c r="O22" s="18" t="n">
        <v>0</v>
      </c>
      <c r="P22" s="20" t="n">
        <v>0</v>
      </c>
      <c r="Q22" s="18" t="n">
        <v>0</v>
      </c>
      <c r="R22" s="20" t="n">
        <v>0</v>
      </c>
    </row>
    <row r="23" spans="1:18">
      <c r="A23" s="15" t="s">
        <v>581</v>
      </c>
      <c r="B23" s="17" t="n">
        <v>5792</v>
      </c>
      <c r="C23" s="18">
        <f>(5174.0/B23*100)</f>
        <v/>
      </c>
      <c r="D23" s="19" t="n">
        <v>618</v>
      </c>
      <c r="E23" s="18" t="n">
        <v>47.63088919</v>
      </c>
      <c r="F23" s="20" t="n">
        <v>3.25242452</v>
      </c>
      <c r="G23" s="18" t="n">
        <v>51.05370221</v>
      </c>
      <c r="H23" s="20" t="n">
        <v>3.22826254</v>
      </c>
      <c r="I23" s="18" t="n">
        <v>0</v>
      </c>
      <c r="J23" s="20" t="n">
        <v>0</v>
      </c>
      <c r="K23" s="18" t="n">
        <v>1.3154086</v>
      </c>
      <c r="L23" s="20" t="n">
        <v>0.71649356</v>
      </c>
      <c r="M23" s="18" t="n">
        <v>0</v>
      </c>
      <c r="N23" s="20" t="n">
        <v>0</v>
      </c>
      <c r="O23" s="18" t="n">
        <v>0</v>
      </c>
      <c r="P23" s="20" t="n">
        <v>0</v>
      </c>
      <c r="Q23" s="18" t="n">
        <v>0</v>
      </c>
      <c r="R23" s="20" t="n">
        <v>0</v>
      </c>
    </row>
    <row r="24" spans="1:18">
      <c r="A24" s="15" t="s">
        <v>582</v>
      </c>
      <c r="B24" s="17" t="n">
        <v>3309</v>
      </c>
      <c r="C24" s="18">
        <f>(2926.0/B24*100)</f>
        <v/>
      </c>
      <c r="D24" s="19" t="n">
        <v>383</v>
      </c>
      <c r="E24" s="18" t="n">
        <v>57.34536705</v>
      </c>
      <c r="F24" s="20" t="n">
        <v>2.66732502</v>
      </c>
      <c r="G24" s="18" t="n">
        <v>42.65463295</v>
      </c>
      <c r="H24" s="20" t="n">
        <v>2.66732502</v>
      </c>
      <c r="I24" s="18" t="n">
        <v>0</v>
      </c>
      <c r="J24" s="20" t="n">
        <v>0</v>
      </c>
      <c r="K24" s="18" t="n">
        <v>0</v>
      </c>
      <c r="L24" s="20" t="n">
        <v>0</v>
      </c>
      <c r="M24" s="18" t="n">
        <v>0</v>
      </c>
      <c r="N24" s="20" t="n">
        <v>0</v>
      </c>
      <c r="O24" s="18" t="n">
        <v>0</v>
      </c>
      <c r="P24" s="20" t="n">
        <v>0</v>
      </c>
      <c r="Q24" s="18" t="n">
        <v>0</v>
      </c>
      <c r="R24" s="20" t="n">
        <v>0</v>
      </c>
    </row>
    <row r="25" spans="1:18">
      <c r="A25" s="15" t="s">
        <v>583</v>
      </c>
      <c r="B25" s="17" t="n">
        <v>2669</v>
      </c>
      <c r="C25" s="18">
        <f>(2365.0/B25*100)</f>
        <v/>
      </c>
      <c r="D25" s="19" t="n">
        <v>304</v>
      </c>
      <c r="E25" s="18" t="n">
        <v>40.65052712</v>
      </c>
      <c r="F25" s="20" t="n">
        <v>3.26386209</v>
      </c>
      <c r="G25" s="18" t="n">
        <v>59.09480767</v>
      </c>
      <c r="H25" s="20" t="n">
        <v>3.27968216</v>
      </c>
      <c r="I25" s="18" t="n">
        <v>0</v>
      </c>
      <c r="J25" s="20" t="n">
        <v>0</v>
      </c>
      <c r="K25" s="18" t="n">
        <v>0.25466521</v>
      </c>
      <c r="L25" s="20" t="n">
        <v>0.25568405</v>
      </c>
      <c r="M25" s="18" t="n">
        <v>0</v>
      </c>
      <c r="N25" s="20" t="n">
        <v>0</v>
      </c>
      <c r="O25" s="18" t="n">
        <v>0</v>
      </c>
      <c r="P25" s="20" t="n">
        <v>0</v>
      </c>
      <c r="Q25" s="18" t="n">
        <v>0</v>
      </c>
      <c r="R25" s="20" t="n">
        <v>0</v>
      </c>
    </row>
    <row r="26" spans="1:18">
      <c r="A26" s="15" t="s">
        <v>584</v>
      </c>
      <c r="B26" s="17" t="n">
        <v>2419</v>
      </c>
      <c r="C26" s="18">
        <f>(2150.0/B26*100)</f>
        <v/>
      </c>
      <c r="D26" s="19" t="n">
        <v>269</v>
      </c>
      <c r="E26" s="18" t="n">
        <v>56.29986666</v>
      </c>
      <c r="F26" s="20" t="n">
        <v>3.17187986</v>
      </c>
      <c r="G26" s="18" t="n">
        <v>43.44545589</v>
      </c>
      <c r="H26" s="20" t="n">
        <v>3.14246995</v>
      </c>
      <c r="I26" s="18" t="n">
        <v>0</v>
      </c>
      <c r="J26" s="20" t="n">
        <v>0</v>
      </c>
      <c r="K26" s="18" t="n">
        <v>0.25467745</v>
      </c>
      <c r="L26" s="20" t="n">
        <v>0.25504928</v>
      </c>
      <c r="M26" s="18" t="n">
        <v>0</v>
      </c>
      <c r="N26" s="20" t="n">
        <v>0</v>
      </c>
      <c r="O26" s="18" t="n">
        <v>0</v>
      </c>
      <c r="P26" s="20" t="n">
        <v>0</v>
      </c>
      <c r="Q26" s="18" t="n">
        <v>0</v>
      </c>
      <c r="R26" s="20" t="n">
        <v>0</v>
      </c>
    </row>
    <row r="27" spans="1:18">
      <c r="A27" s="15" t="s">
        <v>585</v>
      </c>
      <c r="B27" s="17" t="n">
        <v>2683</v>
      </c>
      <c r="C27" s="18">
        <f>(2409.0/B27*100)</f>
        <v/>
      </c>
      <c r="D27" s="19" t="n">
        <v>274</v>
      </c>
      <c r="E27" s="18" t="n">
        <v>58.42577369</v>
      </c>
      <c r="F27" s="20" t="n">
        <v>3.2034373</v>
      </c>
      <c r="G27" s="18" t="n">
        <v>40.84000696</v>
      </c>
      <c r="H27" s="20" t="n">
        <v>3.15475966</v>
      </c>
      <c r="I27" s="18" t="n">
        <v>0</v>
      </c>
      <c r="J27" s="20" t="n">
        <v>0</v>
      </c>
      <c r="K27" s="18" t="n">
        <v>0.73421935</v>
      </c>
      <c r="L27" s="20" t="n">
        <v>0.5065311300000001</v>
      </c>
      <c r="M27" s="18" t="n">
        <v>0</v>
      </c>
      <c r="N27" s="20" t="n">
        <v>0</v>
      </c>
      <c r="O27" s="18" t="n">
        <v>0</v>
      </c>
      <c r="P27" s="20" t="n">
        <v>0</v>
      </c>
      <c r="Q27" s="18" t="n">
        <v>0</v>
      </c>
      <c r="R27" s="20" t="n">
        <v>0</v>
      </c>
    </row>
    <row r="28" spans="1:18">
      <c r="A28" s="15" t="s">
        <v>586</v>
      </c>
      <c r="B28" s="17" t="n">
        <v>3803</v>
      </c>
      <c r="C28" s="18">
        <f>(3422.0/B28*100)</f>
        <v/>
      </c>
      <c r="D28" s="19" t="n">
        <v>381</v>
      </c>
      <c r="E28" s="18" t="n">
        <v>77.19368713</v>
      </c>
      <c r="F28" s="20" t="n">
        <v>2.56320341</v>
      </c>
      <c r="G28" s="18" t="n">
        <v>19.12023045</v>
      </c>
      <c r="H28" s="20" t="n">
        <v>2.41626643</v>
      </c>
      <c r="I28" s="18" t="n">
        <v>0</v>
      </c>
      <c r="J28" s="20" t="n">
        <v>0</v>
      </c>
      <c r="K28" s="18" t="n">
        <v>3.68608242</v>
      </c>
      <c r="L28" s="20" t="n">
        <v>1.24658865</v>
      </c>
      <c r="M28" s="18" t="n">
        <v>0</v>
      </c>
      <c r="N28" s="20" t="n">
        <v>0</v>
      </c>
      <c r="O28" s="18" t="n">
        <v>0</v>
      </c>
      <c r="P28" s="20" t="n">
        <v>0</v>
      </c>
      <c r="Q28" s="18" t="n">
        <v>0</v>
      </c>
      <c r="R28" s="20" t="n">
        <v>0</v>
      </c>
    </row>
    <row r="29" spans="1:18">
      <c r="A29" s="15" t="s">
        <v>587</v>
      </c>
      <c r="B29" s="17" t="n">
        <v>2700</v>
      </c>
      <c r="C29" s="18">
        <f>(2403.0/B29*100)</f>
        <v/>
      </c>
      <c r="D29" s="19" t="n">
        <v>297</v>
      </c>
      <c r="E29" s="18" t="n">
        <v>52.69900448</v>
      </c>
      <c r="F29" s="20" t="n">
        <v>3.20065743</v>
      </c>
      <c r="G29" s="18" t="n">
        <v>47.30099552</v>
      </c>
      <c r="H29" s="20" t="n">
        <v>3.20065743</v>
      </c>
      <c r="I29" s="18" t="n">
        <v>0</v>
      </c>
      <c r="J29" s="20" t="n">
        <v>0</v>
      </c>
      <c r="K29" s="18" t="n">
        <v>0</v>
      </c>
      <c r="L29" s="20" t="n">
        <v>0</v>
      </c>
      <c r="M29" s="18" t="n">
        <v>0</v>
      </c>
      <c r="N29" s="20" t="n">
        <v>0</v>
      </c>
      <c r="O29" s="18" t="n">
        <v>0</v>
      </c>
      <c r="P29" s="20" t="n">
        <v>0</v>
      </c>
      <c r="Q29" s="18" t="n">
        <v>0</v>
      </c>
      <c r="R29" s="20" t="n">
        <v>0</v>
      </c>
    </row>
    <row r="30" spans="1:18">
      <c r="A30" s="15" t="s">
        <v>588</v>
      </c>
      <c r="B30" s="17" t="n">
        <v>2257</v>
      </c>
      <c r="C30" s="18">
        <f>(2002.0/B30*100)</f>
        <v/>
      </c>
      <c r="D30" s="19" t="n">
        <v>255</v>
      </c>
      <c r="E30" s="18" t="n">
        <v>55.9026653</v>
      </c>
      <c r="F30" s="20" t="n">
        <v>3.3412932</v>
      </c>
      <c r="G30" s="18" t="n">
        <v>42.10607847</v>
      </c>
      <c r="H30" s="20" t="n">
        <v>3.36799059</v>
      </c>
      <c r="I30" s="18" t="n">
        <v>0</v>
      </c>
      <c r="J30" s="20" t="n">
        <v>0</v>
      </c>
      <c r="K30" s="18" t="n">
        <v>1.99125624</v>
      </c>
      <c r="L30" s="20" t="n">
        <v>0.94720221</v>
      </c>
      <c r="M30" s="18" t="n">
        <v>0</v>
      </c>
      <c r="N30" s="20" t="n">
        <v>0</v>
      </c>
      <c r="O30" s="18" t="n">
        <v>0</v>
      </c>
      <c r="P30" s="20" t="n">
        <v>0</v>
      </c>
      <c r="Q30" s="18" t="n">
        <v>0</v>
      </c>
      <c r="R30" s="20" t="n">
        <v>0</v>
      </c>
    </row>
    <row r="31" spans="1:18">
      <c r="A31" s="15" t="s">
        <v>589</v>
      </c>
      <c r="B31" s="17" t="n">
        <v>2706</v>
      </c>
      <c r="C31" s="18">
        <f>(2426.0/B31*100)</f>
        <v/>
      </c>
      <c r="D31" s="19" t="n">
        <v>280</v>
      </c>
      <c r="E31" s="18" t="n">
        <v>48.53139393</v>
      </c>
      <c r="F31" s="20" t="n">
        <v>2.98379264</v>
      </c>
      <c r="G31" s="18" t="n">
        <v>50.08843917</v>
      </c>
      <c r="H31" s="20" t="n">
        <v>2.8769845</v>
      </c>
      <c r="I31" s="18" t="n">
        <v>0</v>
      </c>
      <c r="J31" s="20" t="n">
        <v>0</v>
      </c>
      <c r="K31" s="18" t="n">
        <v>1.3801669</v>
      </c>
      <c r="L31" s="20" t="n">
        <v>0.68296892</v>
      </c>
      <c r="M31" s="18" t="n">
        <v>0</v>
      </c>
      <c r="N31" s="20" t="n">
        <v>0</v>
      </c>
      <c r="O31" s="18" t="n">
        <v>0</v>
      </c>
      <c r="P31" s="20" t="n">
        <v>0</v>
      </c>
      <c r="Q31" s="18" t="n">
        <v>0</v>
      </c>
      <c r="R31" s="20" t="n">
        <v>0</v>
      </c>
    </row>
    <row r="32" spans="1:18">
      <c r="A32" s="15" t="s">
        <v>590</v>
      </c>
      <c r="B32" s="17" t="n">
        <v>2209</v>
      </c>
      <c r="C32" s="18">
        <f>(1952.0/B32*100)</f>
        <v/>
      </c>
      <c r="D32" s="19" t="n">
        <v>257</v>
      </c>
      <c r="E32" s="18" t="n">
        <v>41.34883822</v>
      </c>
      <c r="F32" s="20" t="n">
        <v>3.03867728</v>
      </c>
      <c r="G32" s="18" t="n">
        <v>58.65116178</v>
      </c>
      <c r="H32" s="20" t="n">
        <v>3.03867728</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(3249.0/B33*100)</f>
        <v/>
      </c>
      <c r="D33" s="19" t="n">
        <v>402</v>
      </c>
      <c r="E33" s="18" t="n">
        <v>52.26946735</v>
      </c>
      <c r="F33" s="20" t="n">
        <v>2.92044727</v>
      </c>
      <c r="G33" s="18" t="n">
        <v>47.18006349</v>
      </c>
      <c r="H33" s="20" t="n">
        <v>2.72290991</v>
      </c>
      <c r="I33" s="18" t="n">
        <v>0</v>
      </c>
      <c r="J33" s="20" t="n">
        <v>0</v>
      </c>
      <c r="K33" s="18" t="n">
        <v>0.55046916</v>
      </c>
      <c r="L33" s="20" t="n">
        <v>0.49338934</v>
      </c>
      <c r="M33" s="18" t="n">
        <v>0</v>
      </c>
      <c r="N33" s="20" t="n">
        <v>0</v>
      </c>
      <c r="O33" s="18" t="n">
        <v>0</v>
      </c>
      <c r="P33" s="20" t="n">
        <v>0</v>
      </c>
      <c r="Q33" s="18" t="n">
        <v>0</v>
      </c>
      <c r="R33" s="20" t="n">
        <v>0</v>
      </c>
    </row>
    <row r="34" spans="1:18">
      <c r="A34" s="15" t="s">
        <v>592</v>
      </c>
      <c r="B34" s="17" t="n">
        <v>3035</v>
      </c>
      <c r="C34" s="18">
        <f>(2707.0/B34*100)</f>
        <v/>
      </c>
      <c r="D34" s="19" t="n">
        <v>328</v>
      </c>
      <c r="E34" s="18" t="n">
        <v>48.68892336</v>
      </c>
      <c r="F34" s="20" t="n">
        <v>3.01531433</v>
      </c>
      <c r="G34" s="18" t="n">
        <v>50.61891003</v>
      </c>
      <c r="H34" s="20" t="n">
        <v>2.9551174</v>
      </c>
      <c r="I34" s="18" t="n">
        <v>0</v>
      </c>
      <c r="J34" s="20" t="n">
        <v>0</v>
      </c>
      <c r="K34" s="18" t="n">
        <v>0.6921666</v>
      </c>
      <c r="L34" s="20" t="n">
        <v>0.57021829</v>
      </c>
      <c r="M34" s="18" t="n">
        <v>0</v>
      </c>
      <c r="N34" s="20" t="n">
        <v>0</v>
      </c>
      <c r="O34" s="18" t="n">
        <v>0</v>
      </c>
      <c r="P34" s="20" t="n">
        <v>0</v>
      </c>
      <c r="Q34" s="18" t="n">
        <v>0</v>
      </c>
      <c r="R34" s="20" t="n">
        <v>0</v>
      </c>
    </row>
    <row r="35" spans="1:18">
      <c r="A35" s="15" t="s">
        <v>593</v>
      </c>
      <c r="B35" s="17" t="n">
        <v>2901</v>
      </c>
      <c r="C35" s="18">
        <f>(2568.0/B35*100)</f>
        <v/>
      </c>
      <c r="D35" s="19" t="n">
        <v>333</v>
      </c>
      <c r="E35" s="18" t="n">
        <v>35.81512178</v>
      </c>
      <c r="F35" s="20" t="n">
        <v>3.36294337</v>
      </c>
      <c r="G35" s="18" t="n">
        <v>63.89060471</v>
      </c>
      <c r="H35" s="20" t="n">
        <v>3.32918059</v>
      </c>
      <c r="I35" s="18" t="n">
        <v>0</v>
      </c>
      <c r="J35" s="20" t="n">
        <v>0</v>
      </c>
      <c r="K35" s="18" t="n">
        <v>0.29427351</v>
      </c>
      <c r="L35" s="20" t="n">
        <v>0.21118645</v>
      </c>
      <c r="M35" s="18" t="n">
        <v>0</v>
      </c>
      <c r="N35" s="20" t="n">
        <v>0</v>
      </c>
      <c r="O35" s="18" t="n">
        <v>0</v>
      </c>
      <c r="P35" s="20" t="n">
        <v>0</v>
      </c>
      <c r="Q35" s="18" t="n">
        <v>0</v>
      </c>
      <c r="R35" s="20" t="n">
        <v>0</v>
      </c>
    </row>
    <row r="36" spans="1:18">
      <c r="A36" s="15" t="s">
        <v>594</v>
      </c>
      <c r="B36" s="17" t="n">
        <v>3404</v>
      </c>
      <c r="C36" s="18">
        <f>(3065.0/B36*100)</f>
        <v/>
      </c>
      <c r="D36" s="19" t="n">
        <v>339</v>
      </c>
      <c r="E36" s="18" t="n">
        <v>47.52245601</v>
      </c>
      <c r="F36" s="20" t="n">
        <v>3.3710875</v>
      </c>
      <c r="G36" s="18" t="n">
        <v>52.47754399</v>
      </c>
      <c r="H36" s="20" t="n">
        <v>3.3710875</v>
      </c>
      <c r="I36" s="18" t="n">
        <v>0</v>
      </c>
      <c r="J36" s="20" t="n">
        <v>0</v>
      </c>
      <c r="K36" s="18" t="n">
        <v>0</v>
      </c>
      <c r="L36" s="20" t="n">
        <v>0</v>
      </c>
      <c r="M36" s="18" t="n">
        <v>0</v>
      </c>
      <c r="N36" s="20" t="n">
        <v>0</v>
      </c>
      <c r="O36" s="18" t="n">
        <v>0</v>
      </c>
      <c r="P36" s="20" t="n">
        <v>0</v>
      </c>
      <c r="Q36" s="18" t="n">
        <v>0</v>
      </c>
      <c r="R36" s="20" t="n">
        <v>0</v>
      </c>
    </row>
    <row r="37" spans="1:18">
      <c r="A37" s="15" t="s">
        <v>595</v>
      </c>
      <c r="B37" s="17" t="n">
        <v>2731</v>
      </c>
      <c r="C37" s="18">
        <f>(2415.0/B37*100)</f>
        <v/>
      </c>
      <c r="D37" s="19" t="n">
        <v>316</v>
      </c>
      <c r="E37" s="18" t="n">
        <v>53.36573349</v>
      </c>
      <c r="F37" s="20" t="n">
        <v>2.82150933</v>
      </c>
      <c r="G37" s="18" t="n">
        <v>45.72791863</v>
      </c>
      <c r="H37" s="20" t="n">
        <v>2.81352358</v>
      </c>
      <c r="I37" s="18" t="n">
        <v>0</v>
      </c>
      <c r="J37" s="20" t="n">
        <v>0</v>
      </c>
      <c r="K37" s="18" t="n">
        <v>0.90634788</v>
      </c>
      <c r="L37" s="20" t="n">
        <v>0.29017283</v>
      </c>
      <c r="M37" s="18" t="n">
        <v>0</v>
      </c>
      <c r="N37" s="20" t="n">
        <v>0</v>
      </c>
      <c r="O37" s="18" t="n">
        <v>0</v>
      </c>
      <c r="P37" s="20" t="n">
        <v>0</v>
      </c>
      <c r="Q37" s="18" t="n">
        <v>0</v>
      </c>
      <c r="R37" s="20" t="n">
        <v>0</v>
      </c>
    </row>
    <row r="38" spans="1:18">
      <c r="A38" s="15" t="s">
        <v>596</v>
      </c>
      <c r="B38" s="17" t="n">
        <v>2807</v>
      </c>
      <c r="C38" s="18">
        <f>(2517.0/B38*100)</f>
        <v/>
      </c>
      <c r="D38" s="19" t="n">
        <v>290</v>
      </c>
      <c r="E38" s="18" t="n">
        <v>56.11766142</v>
      </c>
      <c r="F38" s="20" t="n">
        <v>2.95528583</v>
      </c>
      <c r="G38" s="18" t="n">
        <v>43.1941073</v>
      </c>
      <c r="H38" s="20" t="n">
        <v>2.95058096</v>
      </c>
      <c r="I38" s="18" t="n">
        <v>0</v>
      </c>
      <c r="J38" s="20" t="n">
        <v>0</v>
      </c>
      <c r="K38" s="18" t="n">
        <v>0.68823128</v>
      </c>
      <c r="L38" s="20" t="n">
        <v>0.49272366</v>
      </c>
      <c r="M38" s="18" t="n">
        <v>0</v>
      </c>
      <c r="N38" s="20" t="n">
        <v>0</v>
      </c>
      <c r="O38" s="18" t="n">
        <v>0</v>
      </c>
      <c r="P38" s="20" t="n">
        <v>0</v>
      </c>
      <c r="Q38" s="18" t="n">
        <v>0</v>
      </c>
      <c r="R38" s="20" t="n">
        <v>0</v>
      </c>
    </row>
    <row r="39" spans="1:18">
      <c r="A39" s="15" t="s">
        <v>597</v>
      </c>
      <c r="B39" s="17" t="n">
        <v>2938</v>
      </c>
      <c r="C39" s="18">
        <f>(2635.0/B39*100)</f>
        <v/>
      </c>
      <c r="D39" s="19" t="n">
        <v>303</v>
      </c>
      <c r="E39" s="18" t="n">
        <v>45.36646014</v>
      </c>
      <c r="F39" s="20" t="n">
        <v>2.98524552</v>
      </c>
      <c r="G39" s="18" t="n">
        <v>53.14921172</v>
      </c>
      <c r="H39" s="20" t="n">
        <v>2.84098324</v>
      </c>
      <c r="I39" s="18" t="n">
        <v>0</v>
      </c>
      <c r="J39" s="20" t="n">
        <v>0</v>
      </c>
      <c r="K39" s="18" t="n">
        <v>1.48432814</v>
      </c>
      <c r="L39" s="20" t="n">
        <v>1.27167664</v>
      </c>
      <c r="M39" s="18" t="n">
        <v>0</v>
      </c>
      <c r="N39" s="20" t="n">
        <v>0</v>
      </c>
      <c r="O39" s="18" t="n">
        <v>0</v>
      </c>
      <c r="P39" s="20" t="n">
        <v>0</v>
      </c>
      <c r="Q39" s="18" t="n">
        <v>0</v>
      </c>
      <c r="R39" s="20" t="n">
        <v>0</v>
      </c>
    </row>
    <row r="40" spans="1:18">
      <c r="A40" s="15" t="s">
        <v>598</v>
      </c>
      <c r="B40" s="17" t="n">
        <v>6922</v>
      </c>
      <c r="C40" s="18">
        <f>(6152.0/B40*100)</f>
        <v/>
      </c>
      <c r="D40" s="19" t="n">
        <v>770</v>
      </c>
      <c r="E40" s="18" t="n">
        <v>52.97417967</v>
      </c>
      <c r="F40" s="20" t="n">
        <v>2.58940119</v>
      </c>
      <c r="G40" s="18" t="n">
        <v>45.40079608</v>
      </c>
      <c r="H40" s="20" t="n">
        <v>2.63289505</v>
      </c>
      <c r="I40" s="18" t="n">
        <v>0</v>
      </c>
      <c r="J40" s="20" t="n">
        <v>0</v>
      </c>
      <c r="K40" s="18" t="n">
        <v>1.62502425</v>
      </c>
      <c r="L40" s="20" t="n">
        <v>0.66022108</v>
      </c>
      <c r="M40" s="18" t="n">
        <v>0</v>
      </c>
      <c r="N40" s="20" t="n">
        <v>0</v>
      </c>
      <c r="O40" s="18" t="n">
        <v>0</v>
      </c>
      <c r="P40" s="20" t="n">
        <v>0</v>
      </c>
      <c r="Q40" s="18" t="n">
        <v>0</v>
      </c>
      <c r="R40" s="20" t="n">
        <v>0</v>
      </c>
    </row>
    <row r="41" spans="1:18">
      <c r="A41" s="15" t="s">
        <v>599</v>
      </c>
      <c r="B41" s="17" t="n">
        <v>2854</v>
      </c>
      <c r="C41" s="18">
        <f>(2543.0/B41*100)</f>
        <v/>
      </c>
      <c r="D41" s="19" t="n">
        <v>311</v>
      </c>
      <c r="E41" s="18" t="n">
        <v>64.56608473999999</v>
      </c>
      <c r="F41" s="20" t="n">
        <v>3.17288129</v>
      </c>
      <c r="G41" s="18" t="n">
        <v>34.54172021</v>
      </c>
      <c r="H41" s="20" t="n">
        <v>3.10357914</v>
      </c>
      <c r="I41" s="18" t="n">
        <v>0</v>
      </c>
      <c r="J41" s="20" t="n">
        <v>0</v>
      </c>
      <c r="K41" s="18" t="n">
        <v>0.89219505</v>
      </c>
      <c r="L41" s="20" t="n">
        <v>0.55569023</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(11016.0/B46*100)</f>
        <v/>
      </c>
      <c r="D46" s="19" t="n">
        <v>1057</v>
      </c>
      <c r="E46" s="18" t="n">
        <v>65.13417962</v>
      </c>
      <c r="F46" s="20" t="n">
        <v>1.99700313</v>
      </c>
      <c r="G46" s="18" t="n">
        <v>32.92763704</v>
      </c>
      <c r="H46" s="20" t="n">
        <v>1.87218348</v>
      </c>
      <c r="I46" s="18" t="n">
        <v>0</v>
      </c>
      <c r="J46" s="20" t="n">
        <v>0</v>
      </c>
      <c r="K46" s="18" t="n">
        <v>1.93818334</v>
      </c>
      <c r="L46" s="20" t="n">
        <v>0.51539861</v>
      </c>
      <c r="M46" s="18" t="n">
        <v>0</v>
      </c>
      <c r="N46" s="20" t="n">
        <v>0</v>
      </c>
      <c r="O46" s="18" t="n">
        <v>0</v>
      </c>
      <c r="P46" s="20" t="n">
        <v>0</v>
      </c>
      <c r="Q46" s="18" t="n">
        <v>0</v>
      </c>
      <c r="R46" s="20" t="n">
        <v>0</v>
      </c>
    </row>
    <row r="47" spans="1:18">
      <c r="A47" s="15" t="s">
        <v>606</v>
      </c>
      <c r="B47" s="17" t="n">
        <v>2823</v>
      </c>
      <c r="C47" s="18">
        <f>(2531.0/B47*100)</f>
        <v/>
      </c>
      <c r="D47" s="19" t="n">
        <v>292</v>
      </c>
      <c r="E47" s="18" t="n">
        <v>52.33958325</v>
      </c>
      <c r="F47" s="20" t="n">
        <v>2.77307971</v>
      </c>
      <c r="G47" s="18" t="n">
        <v>46.23919946</v>
      </c>
      <c r="H47" s="20" t="n">
        <v>2.74486938</v>
      </c>
      <c r="I47" s="18" t="n">
        <v>0</v>
      </c>
      <c r="J47" s="20" t="n">
        <v>0</v>
      </c>
      <c r="K47" s="18" t="n">
        <v>1.42121728</v>
      </c>
      <c r="L47" s="20" t="n">
        <v>0.73601944</v>
      </c>
      <c r="M47" s="18" t="n">
        <v>0</v>
      </c>
      <c r="N47" s="20" t="n">
        <v>0</v>
      </c>
      <c r="O47" s="18" t="n">
        <v>0</v>
      </c>
      <c r="P47" s="20" t="n">
        <v>0</v>
      </c>
      <c r="Q47" s="18" t="n">
        <v>0</v>
      </c>
      <c r="R47" s="20" t="n">
        <v>0</v>
      </c>
    </row>
    <row r="48" spans="1:18">
      <c r="A48" s="15" t="s">
        <v>607</v>
      </c>
      <c r="B48" s="17" t="n">
        <v>4682</v>
      </c>
      <c r="C48" s="18">
        <f>(4158.0/B48*100)</f>
        <v/>
      </c>
      <c r="D48" s="19" t="n">
        <v>524</v>
      </c>
      <c r="E48" s="18" t="n">
        <v>40.96329074</v>
      </c>
      <c r="F48" s="20" t="n">
        <v>2.92488516</v>
      </c>
      <c r="G48" s="18" t="n">
        <v>57.50651121</v>
      </c>
      <c r="H48" s="20" t="n">
        <v>2.99466498</v>
      </c>
      <c r="I48" s="18" t="n">
        <v>0</v>
      </c>
      <c r="J48" s="20" t="n">
        <v>0</v>
      </c>
      <c r="K48" s="18" t="n">
        <v>1.53019805</v>
      </c>
      <c r="L48" s="20" t="n">
        <v>0.49744307</v>
      </c>
      <c r="M48" s="18" t="n">
        <v>0</v>
      </c>
      <c r="N48" s="20" t="n">
        <v>0</v>
      </c>
      <c r="O48" s="18" t="n">
        <v>0</v>
      </c>
      <c r="P48" s="20" t="n">
        <v>0</v>
      </c>
      <c r="Q48" s="18" t="n">
        <v>0</v>
      </c>
      <c r="R48" s="20" t="n">
        <v>0</v>
      </c>
    </row>
    <row r="49" spans="1:18">
      <c r="A49" s="15" t="s">
        <v>608</v>
      </c>
      <c r="B49" s="17" t="n">
        <v>6158</v>
      </c>
      <c r="C49" s="18">
        <f>(5477.0/B49*100)</f>
        <v/>
      </c>
      <c r="D49" s="19" t="n">
        <v>681</v>
      </c>
      <c r="E49" s="18" t="n">
        <v>79.51372281</v>
      </c>
      <c r="F49" s="20" t="n">
        <v>2.05465334</v>
      </c>
      <c r="G49" s="18" t="n">
        <v>19.17243528</v>
      </c>
      <c r="H49" s="20" t="n">
        <v>1.99640671</v>
      </c>
      <c r="I49" s="18" t="n">
        <v>0</v>
      </c>
      <c r="J49" s="20" t="n">
        <v>0</v>
      </c>
      <c r="K49" s="18" t="n">
        <v>1.31384191</v>
      </c>
      <c r="L49" s="20" t="n">
        <v>0.5045492499999999</v>
      </c>
      <c r="M49" s="18" t="n">
        <v>0</v>
      </c>
      <c r="N49" s="20" t="n">
        <v>0</v>
      </c>
      <c r="O49" s="18" t="n">
        <v>0</v>
      </c>
      <c r="P49" s="20" t="n">
        <v>0</v>
      </c>
      <c r="Q49" s="18" t="n">
        <v>0</v>
      </c>
      <c r="R49" s="20" t="n">
        <v>0</v>
      </c>
    </row>
    <row r="50" spans="1:18">
      <c r="A50" s="15" t="s">
        <v>609</v>
      </c>
      <c r="B50" s="17" t="n">
        <v>3494</v>
      </c>
      <c r="C50" s="18">
        <f>(3144.0/B50*100)</f>
        <v/>
      </c>
      <c r="D50" s="19" t="n">
        <v>350</v>
      </c>
      <c r="E50" s="18" t="n">
        <v>79.06094326</v>
      </c>
      <c r="F50" s="20" t="n">
        <v>2.33024149</v>
      </c>
      <c r="G50" s="18" t="n">
        <v>20.31738831</v>
      </c>
      <c r="H50" s="20" t="n">
        <v>2.310904</v>
      </c>
      <c r="I50" s="18" t="n">
        <v>0</v>
      </c>
      <c r="J50" s="20" t="n">
        <v>0</v>
      </c>
      <c r="K50" s="18" t="n">
        <v>0.62166843</v>
      </c>
      <c r="L50" s="20" t="n">
        <v>0.41287816</v>
      </c>
      <c r="M50" s="18" t="n">
        <v>0</v>
      </c>
      <c r="N50" s="20" t="n">
        <v>0</v>
      </c>
      <c r="O50" s="18" t="n">
        <v>0</v>
      </c>
      <c r="P50" s="20" t="n">
        <v>0</v>
      </c>
      <c r="Q50" s="18" t="n">
        <v>0</v>
      </c>
      <c r="R50" s="20" t="n">
        <v>0</v>
      </c>
    </row>
    <row r="51" spans="1:18">
      <c r="A51" s="15" t="s">
        <v>610</v>
      </c>
      <c r="B51" s="17" t="n">
        <v>3013</v>
      </c>
      <c r="C51" s="18">
        <f>(2675.0/B51*100)</f>
        <v/>
      </c>
      <c r="D51" s="19" t="n">
        <v>338</v>
      </c>
      <c r="E51" s="18" t="n">
        <v>51.55288529</v>
      </c>
      <c r="F51" s="20" t="n">
        <v>2.83186197</v>
      </c>
      <c r="G51" s="18" t="n">
        <v>47.40520917</v>
      </c>
      <c r="H51" s="20" t="n">
        <v>2.75228802</v>
      </c>
      <c r="I51" s="18" t="n">
        <v>0</v>
      </c>
      <c r="J51" s="20" t="n">
        <v>0</v>
      </c>
      <c r="K51" s="18" t="n">
        <v>1.04190554</v>
      </c>
      <c r="L51" s="20" t="n">
        <v>0.60635364</v>
      </c>
      <c r="M51" s="18" t="n">
        <v>0</v>
      </c>
      <c r="N51" s="20" t="n">
        <v>0</v>
      </c>
      <c r="O51" s="18" t="n">
        <v>0</v>
      </c>
      <c r="P51" s="20" t="n">
        <v>0</v>
      </c>
      <c r="Q51" s="18" t="n">
        <v>0</v>
      </c>
      <c r="R51" s="20" t="n">
        <v>0</v>
      </c>
    </row>
    <row r="52" spans="1:18">
      <c r="A52" s="15" t="s">
        <v>611</v>
      </c>
      <c r="B52" s="17" t="n">
        <v>2760</v>
      </c>
      <c r="C52" s="18">
        <f>(2460.0/B52*100)</f>
        <v/>
      </c>
      <c r="D52" s="19" t="n">
        <v>300</v>
      </c>
      <c r="E52" s="18" t="n">
        <v>67.82898846000001</v>
      </c>
      <c r="F52" s="20" t="n">
        <v>2.63234548</v>
      </c>
      <c r="G52" s="18" t="n">
        <v>31.93851947</v>
      </c>
      <c r="H52" s="20" t="n">
        <v>2.64141871</v>
      </c>
      <c r="I52" s="18" t="n">
        <v>0</v>
      </c>
      <c r="J52" s="20" t="n">
        <v>0</v>
      </c>
      <c r="K52" s="18" t="n">
        <v>0.23249206</v>
      </c>
      <c r="L52" s="20" t="n">
        <v>0.2313361</v>
      </c>
      <c r="M52" s="18" t="n">
        <v>0</v>
      </c>
      <c r="N52" s="20" t="n">
        <v>0</v>
      </c>
      <c r="O52" s="18" t="n">
        <v>0</v>
      </c>
      <c r="P52" s="20" t="n">
        <v>0</v>
      </c>
      <c r="Q52" s="18" t="n">
        <v>0</v>
      </c>
      <c r="R52" s="20" t="n">
        <v>0</v>
      </c>
    </row>
    <row r="53" spans="1:18">
      <c r="A53" s="15" t="s">
        <v>612</v>
      </c>
      <c r="B53" s="17" t="n">
        <v>2474</v>
      </c>
      <c r="C53" s="18">
        <f>(2209.0/B53*100)</f>
        <v/>
      </c>
      <c r="D53" s="19" t="n">
        <v>265</v>
      </c>
      <c r="E53" s="18" t="n">
        <v>64.41345997000001</v>
      </c>
      <c r="F53" s="20" t="n">
        <v>3.87455693</v>
      </c>
      <c r="G53" s="18" t="n">
        <v>22.83435859</v>
      </c>
      <c r="H53" s="20" t="n">
        <v>3.25006664</v>
      </c>
      <c r="I53" s="18" t="n">
        <v>0</v>
      </c>
      <c r="J53" s="20" t="n">
        <v>0</v>
      </c>
      <c r="K53" s="18" t="n">
        <v>12.75218144</v>
      </c>
      <c r="L53" s="20" t="n">
        <v>2.10693627</v>
      </c>
      <c r="M53" s="18" t="n">
        <v>0</v>
      </c>
      <c r="N53" s="20" t="n">
        <v>0</v>
      </c>
      <c r="O53" s="18" t="n">
        <v>0</v>
      </c>
      <c r="P53" s="20" t="n">
        <v>0</v>
      </c>
      <c r="Q53" s="18" t="n">
        <v>0</v>
      </c>
      <c r="R53" s="20" t="n">
        <v>0</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(2380.0/B55*100)</f>
        <v/>
      </c>
      <c r="D55" s="19" t="n">
        <v>295</v>
      </c>
      <c r="E55" s="18" t="n">
        <v>31.31886157</v>
      </c>
      <c r="F55" s="20" t="n">
        <v>2.38619056</v>
      </c>
      <c r="G55" s="18" t="n">
        <v>68.36987034000001</v>
      </c>
      <c r="H55" s="20" t="n">
        <v>2.33943004</v>
      </c>
      <c r="I55" s="18" t="n">
        <v>0</v>
      </c>
      <c r="J55" s="20" t="n">
        <v>0</v>
      </c>
      <c r="K55" s="18" t="n">
        <v>0.31126809</v>
      </c>
      <c r="L55" s="20" t="n">
        <v>0.34872341</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(2852.0/B61*100)</f>
        <v/>
      </c>
      <c r="D61" s="19" t="n">
        <v>349</v>
      </c>
      <c r="E61" s="18" t="n">
        <v>54.59126036</v>
      </c>
      <c r="F61" s="20" t="n">
        <v>2.91267365</v>
      </c>
      <c r="G61" s="18" t="n">
        <v>44.85303368</v>
      </c>
      <c r="H61" s="20" t="n">
        <v>2.9816705</v>
      </c>
      <c r="I61" s="18" t="n">
        <v>0</v>
      </c>
      <c r="J61" s="20" t="n">
        <v>0</v>
      </c>
      <c r="K61" s="18" t="n">
        <v>0.5557059600000001</v>
      </c>
      <c r="L61" s="20" t="n">
        <v>0.40724424</v>
      </c>
      <c r="M61" s="18" t="n">
        <v>0</v>
      </c>
      <c r="N61" s="20" t="n">
        <v>0</v>
      </c>
      <c r="O61" s="18" t="n">
        <v>0</v>
      </c>
      <c r="P61" s="20" t="n">
        <v>0</v>
      </c>
      <c r="Q61" s="18" t="n">
        <v>0</v>
      </c>
      <c r="R61" s="20" t="n">
        <v>0</v>
      </c>
    </row>
    <row r="62" spans="1:18">
      <c r="A62" s="15" t="s">
        <v>622</v>
      </c>
      <c r="B62" s="17" t="n">
        <v>2230</v>
      </c>
      <c r="C62" s="18">
        <f>(1980.0/B62*100)</f>
        <v/>
      </c>
      <c r="D62" s="19" t="n">
        <v>250</v>
      </c>
      <c r="E62" s="18" t="n">
        <v>33.22408504</v>
      </c>
      <c r="F62" s="20" t="n">
        <v>3.30227442</v>
      </c>
      <c r="G62" s="18" t="n">
        <v>66.77591495999999</v>
      </c>
      <c r="H62" s="20" t="n">
        <v>3.30227442</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(2472.0/B67*100)</f>
        <v/>
      </c>
      <c r="D67" s="19" t="n">
        <v>299</v>
      </c>
      <c r="E67" s="18" t="n">
        <v>71.51508167</v>
      </c>
      <c r="F67" s="20" t="n">
        <v>2.79045883</v>
      </c>
      <c r="G67" s="18" t="n">
        <v>24.74340921</v>
      </c>
      <c r="H67" s="20" t="n">
        <v>2.3954767</v>
      </c>
      <c r="I67" s="18" t="n">
        <v>0</v>
      </c>
      <c r="J67" s="20" t="n">
        <v>0</v>
      </c>
      <c r="K67" s="18" t="n">
        <v>3.74150912</v>
      </c>
      <c r="L67" s="20" t="n">
        <v>1.1246243</v>
      </c>
      <c r="M67" s="18" t="n">
        <v>0</v>
      </c>
      <c r="N67" s="20" t="n">
        <v>0</v>
      </c>
      <c r="O67" s="18" t="n">
        <v>0</v>
      </c>
      <c r="P67" s="20" t="n">
        <v>0</v>
      </c>
      <c r="Q67" s="18" t="n">
        <v>0</v>
      </c>
      <c r="R67" s="20" t="n">
        <v>0</v>
      </c>
    </row>
    <row r="68" spans="1:18">
      <c r="A68" s="15" t="s">
        <v>628</v>
      </c>
      <c r="B68" s="17" t="n">
        <v>3460</v>
      </c>
      <c r="C68" s="18">
        <f>(3114.0/B68*100)</f>
        <v/>
      </c>
      <c r="D68" s="19" t="n">
        <v>346</v>
      </c>
      <c r="E68" s="18" t="n">
        <v>65.99455688</v>
      </c>
      <c r="F68" s="20" t="n">
        <v>2.68333782</v>
      </c>
      <c r="G68" s="18" t="n">
        <v>32.61072277</v>
      </c>
      <c r="H68" s="20" t="n">
        <v>2.67724872</v>
      </c>
      <c r="I68" s="18" t="n">
        <v>0</v>
      </c>
      <c r="J68" s="20" t="n">
        <v>0</v>
      </c>
      <c r="K68" s="18" t="n">
        <v>1.39472035</v>
      </c>
      <c r="L68" s="20" t="n">
        <v>0.62534851</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(5364.0/B70*100)</f>
        <v/>
      </c>
      <c r="D70" s="19" t="n">
        <v>670</v>
      </c>
      <c r="E70" s="18" t="n">
        <v>60.59929923</v>
      </c>
      <c r="F70" s="20" t="n">
        <v>1.95600864</v>
      </c>
      <c r="G70" s="18" t="n">
        <v>38.1949998</v>
      </c>
      <c r="H70" s="20" t="n">
        <v>1.94243381</v>
      </c>
      <c r="I70" s="18" t="n">
        <v>0</v>
      </c>
      <c r="J70" s="20" t="n">
        <v>0</v>
      </c>
      <c r="K70" s="18" t="n">
        <v>1.20570097</v>
      </c>
      <c r="L70" s="20" t="n">
        <v>0.37134109</v>
      </c>
      <c r="M70" s="18" t="n">
        <v>0</v>
      </c>
      <c r="N70" s="20" t="n">
        <v>0</v>
      </c>
      <c r="O70" s="18" t="n">
        <v>0</v>
      </c>
      <c r="P70" s="20" t="n">
        <v>0</v>
      </c>
      <c r="Q70" s="18" t="n">
        <v>0</v>
      </c>
      <c r="R70" s="20" t="n">
        <v>0</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(2794.0/B72*100)</f>
        <v/>
      </c>
      <c r="D72" s="19" t="n">
        <v>313</v>
      </c>
      <c r="E72" s="18" t="n">
        <v>52.04734254</v>
      </c>
      <c r="F72" s="20" t="n">
        <v>3.75456307</v>
      </c>
      <c r="G72" s="18" t="n">
        <v>46.83675013</v>
      </c>
      <c r="H72" s="20" t="n">
        <v>3.70007672</v>
      </c>
      <c r="I72" s="18" t="n">
        <v>0</v>
      </c>
      <c r="J72" s="20" t="n">
        <v>0</v>
      </c>
      <c r="K72" s="18" t="n">
        <v>1.11590733</v>
      </c>
      <c r="L72" s="20" t="n">
        <v>0.61054777</v>
      </c>
      <c r="M72" s="18" t="n">
        <v>0</v>
      </c>
      <c r="N72" s="20" t="n">
        <v>0</v>
      </c>
      <c r="O72" s="18" t="n">
        <v>0</v>
      </c>
      <c r="P72" s="20" t="n">
        <v>0</v>
      </c>
      <c r="Q72" s="18" t="n">
        <v>0</v>
      </c>
      <c r="R72" s="20" t="n">
        <v>0</v>
      </c>
    </row>
    <row r="73" spans="1:18">
      <c r="A73" s="15" t="s">
        <v>633</v>
      </c>
      <c r="B73" s="17" t="n">
        <v>2973</v>
      </c>
      <c r="C73" s="18">
        <f>(2638.0/B73*100)</f>
        <v/>
      </c>
      <c r="D73" s="19" t="n">
        <v>335</v>
      </c>
      <c r="E73" s="18" t="n">
        <v>46.50834601</v>
      </c>
      <c r="F73" s="20" t="n">
        <v>2.65912017</v>
      </c>
      <c r="G73" s="18" t="n">
        <v>52.73417394</v>
      </c>
      <c r="H73" s="20" t="n">
        <v>2.73996768</v>
      </c>
      <c r="I73" s="18" t="n">
        <v>0</v>
      </c>
      <c r="J73" s="20" t="n">
        <v>0</v>
      </c>
      <c r="K73" s="18" t="n">
        <v>0.75748005</v>
      </c>
      <c r="L73" s="20" t="n">
        <v>0.53912432</v>
      </c>
      <c r="M73" s="18" t="n">
        <v>0</v>
      </c>
      <c r="N73" s="20" t="n">
        <v>0</v>
      </c>
      <c r="O73" s="18" t="n">
        <v>0</v>
      </c>
      <c r="P73" s="20" t="n">
        <v>0</v>
      </c>
      <c r="Q73" s="18" t="n">
        <v>0</v>
      </c>
      <c r="R73" s="20" t="n">
        <v>0</v>
      </c>
    </row>
    <row r="74" spans="1:18">
      <c r="A74" s="15" t="s">
        <v>634</v>
      </c>
      <c r="B74" s="17" t="n">
        <v>3819</v>
      </c>
      <c r="C74" s="18">
        <f>(3407.0/B74*100)</f>
        <v/>
      </c>
      <c r="D74" s="19" t="n">
        <v>412</v>
      </c>
      <c r="E74" s="18" t="n">
        <v>20.41374172</v>
      </c>
      <c r="F74" s="20" t="n">
        <v>2.26932538</v>
      </c>
      <c r="G74" s="18" t="n">
        <v>78.96218205</v>
      </c>
      <c r="H74" s="20" t="n">
        <v>2.28779239</v>
      </c>
      <c r="I74" s="18" t="n">
        <v>0</v>
      </c>
      <c r="J74" s="20" t="n">
        <v>0</v>
      </c>
      <c r="K74" s="18" t="n">
        <v>0.62407623</v>
      </c>
      <c r="L74" s="20" t="n">
        <v>0.38132221</v>
      </c>
      <c r="M74" s="18" t="n">
        <v>0</v>
      </c>
      <c r="N74" s="20" t="n">
        <v>0</v>
      </c>
      <c r="O74" s="18" t="n">
        <v>0</v>
      </c>
      <c r="P74" s="20" t="n">
        <v>0</v>
      </c>
      <c r="Q74" s="18" t="n">
        <v>0</v>
      </c>
      <c r="R74" s="20" t="n">
        <v>0</v>
      </c>
    </row>
    <row r="75" spans="1:18">
      <c r="A75" s="15" t="s">
        <v>635</v>
      </c>
      <c r="B75" s="17" t="n">
        <v>4652</v>
      </c>
      <c r="C75" s="18">
        <f>(4156.0/B75*100)</f>
        <v/>
      </c>
      <c r="D75" s="19" t="n">
        <v>496</v>
      </c>
      <c r="E75" s="18" t="n">
        <v>58.36198642</v>
      </c>
      <c r="F75" s="20" t="n">
        <v>2.44309457</v>
      </c>
      <c r="G75" s="18" t="n">
        <v>41.63801358</v>
      </c>
      <c r="H75" s="20" t="n">
        <v>2.44309457</v>
      </c>
      <c r="I75" s="18" t="n">
        <v>0</v>
      </c>
      <c r="J75" s="20" t="n">
        <v>0</v>
      </c>
      <c r="K75" s="18" t="n">
        <v>0</v>
      </c>
      <c r="L75" s="20" t="n">
        <v>0</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(2675.0/B77*100)</f>
        <v/>
      </c>
      <c r="D77" s="19" t="n">
        <v>294</v>
      </c>
      <c r="E77" s="18" t="n">
        <v>65.6495834</v>
      </c>
      <c r="F77" s="20" t="n">
        <v>2.85789698</v>
      </c>
      <c r="G77" s="18" t="n">
        <v>30.63771126</v>
      </c>
      <c r="H77" s="20" t="n">
        <v>2.67617349</v>
      </c>
      <c r="I77" s="18" t="n">
        <v>0</v>
      </c>
      <c r="J77" s="20" t="n">
        <v>0</v>
      </c>
      <c r="K77" s="18" t="n">
        <v>3.71270533</v>
      </c>
      <c r="L77" s="20" t="n">
        <v>1.19975011</v>
      </c>
      <c r="M77" s="18" t="n">
        <v>0</v>
      </c>
      <c r="N77" s="20" t="n">
        <v>0</v>
      </c>
      <c r="O77" s="18" t="n">
        <v>0</v>
      </c>
      <c r="P77" s="20" t="n">
        <v>0</v>
      </c>
      <c r="Q77" s="18" t="n">
        <v>0</v>
      </c>
      <c r="R77" s="20" t="n">
        <v>0</v>
      </c>
    </row>
    <row r="78" spans="1:18">
      <c r="A78" s="15" t="s">
        <v>638</v>
      </c>
      <c r="B78" s="17" t="n">
        <v>7115</v>
      </c>
      <c r="C78" s="18">
        <f>(6333.0/B78*100)</f>
        <v/>
      </c>
      <c r="D78" s="19" t="n">
        <v>782</v>
      </c>
      <c r="E78" s="18" t="n">
        <v>54.73325526</v>
      </c>
      <c r="F78" s="20" t="n">
        <v>2.16627952</v>
      </c>
      <c r="G78" s="18" t="n">
        <v>44.49449582</v>
      </c>
      <c r="H78" s="20" t="n">
        <v>2.23120566</v>
      </c>
      <c r="I78" s="18" t="n">
        <v>0</v>
      </c>
      <c r="J78" s="20" t="n">
        <v>0</v>
      </c>
      <c r="K78" s="18" t="n">
        <v>0.77224891</v>
      </c>
      <c r="L78" s="20" t="n">
        <v>0.35151834</v>
      </c>
      <c r="M78" s="18" t="n">
        <v>0</v>
      </c>
      <c r="N78" s="20" t="n">
        <v>0</v>
      </c>
      <c r="O78" s="18" t="n">
        <v>0</v>
      </c>
      <c r="P78" s="20" t="n">
        <v>0</v>
      </c>
      <c r="Q78" s="18" t="n">
        <v>0</v>
      </c>
      <c r="R78" s="20" t="n">
        <v>0</v>
      </c>
    </row>
    <row r="79" spans="1:18">
      <c r="A79" s="15" t="s">
        <v>639</v>
      </c>
      <c r="B79" s="17" t="n">
        <v>3154</v>
      </c>
      <c r="C79" s="18">
        <f>(2820.0/B79*100)</f>
        <v/>
      </c>
      <c r="D79" s="19" t="n">
        <v>334</v>
      </c>
      <c r="E79" s="18" t="n">
        <v>70.48541258</v>
      </c>
      <c r="F79" s="20" t="n">
        <v>2.57829399</v>
      </c>
      <c r="G79" s="18" t="n">
        <v>26.22976823</v>
      </c>
      <c r="H79" s="20" t="n">
        <v>2.47046299</v>
      </c>
      <c r="I79" s="18" t="n">
        <v>0</v>
      </c>
      <c r="J79" s="20" t="n">
        <v>0</v>
      </c>
      <c r="K79" s="18" t="n">
        <v>3.28481919</v>
      </c>
      <c r="L79" s="20" t="n">
        <v>1.04304865</v>
      </c>
      <c r="M79" s="18" t="n">
        <v>0</v>
      </c>
      <c r="N79" s="20" t="n">
        <v>0</v>
      </c>
      <c r="O79" s="18" t="n">
        <v>0</v>
      </c>
      <c r="P79" s="20" t="n">
        <v>0</v>
      </c>
      <c r="Q79" s="18" t="n">
        <v>0</v>
      </c>
      <c r="R79" s="20" t="n">
        <v>0</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(14205.0/B82*100)</f>
        <v/>
      </c>
      <c r="D82" s="19" t="n">
        <v>1756</v>
      </c>
      <c r="E82" s="18" t="n">
        <v>51.55220467</v>
      </c>
      <c r="F82" s="20" t="n">
        <v>1.69591335</v>
      </c>
      <c r="G82" s="18" t="n">
        <v>48.28304313</v>
      </c>
      <c r="H82" s="20" t="n">
        <v>1.70213946</v>
      </c>
      <c r="I82" s="18" t="n">
        <v>0</v>
      </c>
      <c r="J82" s="20" t="n">
        <v>0</v>
      </c>
      <c r="K82" s="18" t="n">
        <v>0.1647522</v>
      </c>
      <c r="L82" s="20" t="n">
        <v>0.08192081</v>
      </c>
      <c r="M82" s="18" t="n">
        <v>0</v>
      </c>
      <c r="N82" s="20" t="n">
        <v>0</v>
      </c>
      <c r="O82" s="18" t="n">
        <v>0</v>
      </c>
      <c r="P82" s="20" t="n">
        <v>0</v>
      </c>
      <c r="Q82" s="18" t="n">
        <v>0</v>
      </c>
      <c r="R82" s="20" t="n">
        <v>0</v>
      </c>
    </row>
    <row r="83" spans="1:18">
      <c r="A83" s="15" t="s">
        <v>643</v>
      </c>
      <c r="B83" s="17" t="n">
        <v>808</v>
      </c>
      <c r="C83" s="18">
        <f>(717.0/B83*100)</f>
        <v/>
      </c>
      <c r="D83" s="19" t="n">
        <v>91</v>
      </c>
      <c r="E83" s="18" t="n">
        <v>51.44415663</v>
      </c>
      <c r="F83" s="20" t="n">
        <v>5.04178032</v>
      </c>
      <c r="G83" s="18" t="n">
        <v>46.52577528</v>
      </c>
      <c r="H83" s="20" t="n">
        <v>5.21599143</v>
      </c>
      <c r="I83" s="18" t="n">
        <v>0</v>
      </c>
      <c r="J83" s="20" t="n">
        <v>0</v>
      </c>
      <c r="K83" s="18" t="n">
        <v>2.03006809</v>
      </c>
      <c r="L83" s="20" t="n">
        <v>1.5000801</v>
      </c>
      <c r="M83" s="18" t="n">
        <v>0</v>
      </c>
      <c r="N83" s="20" t="n">
        <v>0</v>
      </c>
      <c r="O83" s="18" t="n">
        <v>0</v>
      </c>
      <c r="P83" s="20" t="n">
        <v>0</v>
      </c>
      <c r="Q83" s="18" t="n">
        <v>0</v>
      </c>
      <c r="R83" s="20" t="n">
        <v>0</v>
      </c>
    </row>
    <row r="84" spans="1:18">
      <c r="A84" s="23" t="s">
        <v>644</v>
      </c>
      <c r="B84" s="24" t="n">
        <v>938</v>
      </c>
      <c r="C84" s="25">
        <f>(834.0/B84*100)</f>
        <v/>
      </c>
      <c r="D84" s="19" t="n">
        <v>104</v>
      </c>
      <c r="E84" s="18" t="n">
        <v>61.81008675</v>
      </c>
      <c r="F84" s="20" t="n">
        <v>5.31651366</v>
      </c>
      <c r="G84" s="18" t="n">
        <v>38.18991325</v>
      </c>
      <c r="H84" s="20" t="n">
        <v>5.31651366</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(5588.0/B7*100)</f>
        <v/>
      </c>
      <c r="D7" s="19" t="n">
        <v>1575</v>
      </c>
      <c r="E7" s="18" t="n">
        <v>63.83036906</v>
      </c>
      <c r="F7" s="20" t="n">
        <v>1.27348412</v>
      </c>
      <c r="G7" s="18" t="n">
        <v>35.65596666</v>
      </c>
      <c r="H7" s="20" t="n">
        <v>1.27354534</v>
      </c>
      <c r="I7" s="18" t="n">
        <v>0</v>
      </c>
      <c r="J7" s="20" t="n">
        <v>0</v>
      </c>
      <c r="K7" s="18" t="n">
        <v>0.02255575</v>
      </c>
      <c r="L7" s="20" t="n">
        <v>0.02039787</v>
      </c>
      <c r="M7" s="18" t="n">
        <v>0</v>
      </c>
      <c r="N7" s="20" t="n">
        <v>0</v>
      </c>
      <c r="O7" s="18" t="n">
        <v>0</v>
      </c>
      <c r="P7" s="20" t="n">
        <v>0</v>
      </c>
      <c r="Q7" s="18" t="n">
        <v>0.49110852</v>
      </c>
      <c r="R7" s="20" t="n">
        <v>0.20164991</v>
      </c>
    </row>
    <row r="8" spans="1:18">
      <c r="A8" s="15" t="s">
        <v>566</v>
      </c>
      <c r="B8" s="17" t="n">
        <v>3443</v>
      </c>
      <c r="C8" s="18">
        <f>(2669.0/B8*100)</f>
        <v/>
      </c>
      <c r="D8" s="19" t="n">
        <v>774</v>
      </c>
      <c r="E8" s="18" t="n">
        <v>67.62097498999999</v>
      </c>
      <c r="F8" s="20" t="n">
        <v>1.86805135</v>
      </c>
      <c r="G8" s="18" t="n">
        <v>31.87863661</v>
      </c>
      <c r="H8" s="20" t="n">
        <v>1.87405136</v>
      </c>
      <c r="I8" s="18" t="n">
        <v>0</v>
      </c>
      <c r="J8" s="20" t="n">
        <v>0</v>
      </c>
      <c r="K8" s="18" t="n">
        <v>0</v>
      </c>
      <c r="L8" s="20" t="n">
        <v>0</v>
      </c>
      <c r="M8" s="18" t="n">
        <v>0</v>
      </c>
      <c r="N8" s="20" t="n">
        <v>0</v>
      </c>
      <c r="O8" s="18" t="n">
        <v>0</v>
      </c>
      <c r="P8" s="20" t="n">
        <v>0</v>
      </c>
      <c r="Q8" s="18" t="n">
        <v>0.50038839</v>
      </c>
      <c r="R8" s="20" t="n">
        <v>0.24220688</v>
      </c>
    </row>
    <row r="9" spans="1:18">
      <c r="A9" s="15" t="s">
        <v>567</v>
      </c>
      <c r="B9" s="17" t="n">
        <v>4752</v>
      </c>
      <c r="C9" s="18">
        <f>(3743.0/B9*100)</f>
        <v/>
      </c>
      <c r="D9" s="19" t="n">
        <v>1009</v>
      </c>
      <c r="E9" s="18" t="n">
        <v>67.58089299</v>
      </c>
      <c r="F9" s="20" t="n">
        <v>1.65508815</v>
      </c>
      <c r="G9" s="18" t="n">
        <v>31.63941246</v>
      </c>
      <c r="H9" s="20" t="n">
        <v>1.63580934</v>
      </c>
      <c r="I9" s="18" t="n">
        <v>0</v>
      </c>
      <c r="J9" s="20" t="n">
        <v>0</v>
      </c>
      <c r="K9" s="18" t="n">
        <v>0</v>
      </c>
      <c r="L9" s="20" t="n">
        <v>0</v>
      </c>
      <c r="M9" s="18" t="n">
        <v>0</v>
      </c>
      <c r="N9" s="20" t="n">
        <v>0</v>
      </c>
      <c r="O9" s="18" t="n">
        <v>0</v>
      </c>
      <c r="P9" s="20" t="n">
        <v>0</v>
      </c>
      <c r="Q9" s="18" t="n">
        <v>0.77969456</v>
      </c>
      <c r="R9" s="20" t="n">
        <v>0.34918143</v>
      </c>
    </row>
    <row r="10" spans="1:18">
      <c r="A10" s="15" t="s">
        <v>568</v>
      </c>
      <c r="B10" s="17" t="n">
        <v>10022</v>
      </c>
      <c r="C10" s="18">
        <f>(7805.0/B10*100)</f>
        <v/>
      </c>
      <c r="D10" s="19" t="n">
        <v>2217</v>
      </c>
      <c r="E10" s="18" t="n">
        <v>59.16665315</v>
      </c>
      <c r="F10" s="20" t="n">
        <v>1.47232767</v>
      </c>
      <c r="G10" s="18" t="n">
        <v>39.92507402</v>
      </c>
      <c r="H10" s="20" t="n">
        <v>1.48205892</v>
      </c>
      <c r="I10" s="18" t="n">
        <v>0</v>
      </c>
      <c r="J10" s="20" t="n">
        <v>0</v>
      </c>
      <c r="K10" s="18" t="n">
        <v>0.23517297</v>
      </c>
      <c r="L10" s="20" t="n">
        <v>0.17138152</v>
      </c>
      <c r="M10" s="18" t="n">
        <v>0</v>
      </c>
      <c r="N10" s="20" t="n">
        <v>0</v>
      </c>
      <c r="O10" s="18" t="n">
        <v>0</v>
      </c>
      <c r="P10" s="20" t="n">
        <v>0</v>
      </c>
      <c r="Q10" s="18" t="n">
        <v>0.67309986</v>
      </c>
      <c r="R10" s="20" t="n">
        <v>0.27632494</v>
      </c>
    </row>
    <row r="11" spans="1:18">
      <c r="A11" s="15" t="s">
        <v>569</v>
      </c>
      <c r="B11" s="17" t="n">
        <v>3500</v>
      </c>
      <c r="C11" s="18">
        <f>(2712.0/B11*100)</f>
        <v/>
      </c>
      <c r="D11" s="19" t="n">
        <v>788</v>
      </c>
      <c r="E11" s="18" t="n">
        <v>77.06410961</v>
      </c>
      <c r="F11" s="20" t="n">
        <v>1.64437984</v>
      </c>
      <c r="G11" s="18" t="n">
        <v>21.22049162</v>
      </c>
      <c r="H11" s="20" t="n">
        <v>1.65095024</v>
      </c>
      <c r="I11" s="18" t="n">
        <v>0</v>
      </c>
      <c r="J11" s="20" t="n">
        <v>0</v>
      </c>
      <c r="K11" s="18" t="n">
        <v>0.13218387</v>
      </c>
      <c r="L11" s="20" t="n">
        <v>0.13376067</v>
      </c>
      <c r="M11" s="18" t="n">
        <v>0</v>
      </c>
      <c r="N11" s="20" t="n">
        <v>0</v>
      </c>
      <c r="O11" s="18" t="n">
        <v>0</v>
      </c>
      <c r="P11" s="20" t="n">
        <v>0</v>
      </c>
      <c r="Q11" s="18" t="n">
        <v>1.5832149</v>
      </c>
      <c r="R11" s="20" t="n">
        <v>0.5276555000000001</v>
      </c>
    </row>
    <row r="12" spans="1:18">
      <c r="A12" s="15" t="s">
        <v>570</v>
      </c>
      <c r="B12" s="17" t="n">
        <v>3422</v>
      </c>
      <c r="C12" s="18">
        <f>(2689.0/B12*100)</f>
        <v/>
      </c>
      <c r="D12" s="19" t="n">
        <v>733</v>
      </c>
      <c r="E12" s="18" t="n">
        <v>65.47940817999999</v>
      </c>
      <c r="F12" s="20" t="n">
        <v>1.962287</v>
      </c>
      <c r="G12" s="18" t="n">
        <v>33.80695005</v>
      </c>
      <c r="H12" s="20" t="n">
        <v>1.97243014</v>
      </c>
      <c r="I12" s="18" t="n">
        <v>0</v>
      </c>
      <c r="J12" s="20" t="n">
        <v>0</v>
      </c>
      <c r="K12" s="18" t="n">
        <v>0</v>
      </c>
      <c r="L12" s="20" t="n">
        <v>0</v>
      </c>
      <c r="M12" s="18" t="n">
        <v>0</v>
      </c>
      <c r="N12" s="20" t="n">
        <v>0</v>
      </c>
      <c r="O12" s="18" t="n">
        <v>0</v>
      </c>
      <c r="P12" s="20" t="n">
        <v>0</v>
      </c>
      <c r="Q12" s="18" t="n">
        <v>0.71364177</v>
      </c>
      <c r="R12" s="20" t="n">
        <v>0.29030797</v>
      </c>
    </row>
    <row r="13" spans="1:18">
      <c r="A13" s="15" t="s">
        <v>571</v>
      </c>
      <c r="B13" s="17" t="n">
        <v>3602</v>
      </c>
      <c r="C13" s="18">
        <f>(2843.0/B13*100)</f>
        <v/>
      </c>
      <c r="D13" s="19" t="n">
        <v>759</v>
      </c>
      <c r="E13" s="18" t="n">
        <v>52.33041764</v>
      </c>
      <c r="F13" s="20" t="n">
        <v>2.34871067</v>
      </c>
      <c r="G13" s="18" t="n">
        <v>46.83835384</v>
      </c>
      <c r="H13" s="20" t="n">
        <v>2.26604719</v>
      </c>
      <c r="I13" s="18" t="n">
        <v>0</v>
      </c>
      <c r="J13" s="20" t="n">
        <v>0</v>
      </c>
      <c r="K13" s="18" t="n">
        <v>0.45968646</v>
      </c>
      <c r="L13" s="20" t="n">
        <v>0.30709364</v>
      </c>
      <c r="M13" s="18" t="n">
        <v>0</v>
      </c>
      <c r="N13" s="20" t="n">
        <v>0</v>
      </c>
      <c r="O13" s="18" t="n">
        <v>0</v>
      </c>
      <c r="P13" s="20" t="n">
        <v>0</v>
      </c>
      <c r="Q13" s="18" t="n">
        <v>0.37154205</v>
      </c>
      <c r="R13" s="20" t="n">
        <v>0.22371495</v>
      </c>
    </row>
    <row r="14" spans="1:18">
      <c r="A14" s="15" t="s">
        <v>572</v>
      </c>
      <c r="B14" s="17" t="n">
        <v>2788</v>
      </c>
      <c r="C14" s="18">
        <f>(2175.0/B14*100)</f>
        <v/>
      </c>
      <c r="D14" s="19" t="n">
        <v>613</v>
      </c>
      <c r="E14" s="18" t="n">
        <v>60.52903964</v>
      </c>
      <c r="F14" s="20" t="n">
        <v>2.45836135</v>
      </c>
      <c r="G14" s="18" t="n">
        <v>39.22349169</v>
      </c>
      <c r="H14" s="20" t="n">
        <v>2.44382631</v>
      </c>
      <c r="I14" s="18" t="n">
        <v>0</v>
      </c>
      <c r="J14" s="20" t="n">
        <v>0</v>
      </c>
      <c r="K14" s="18" t="n">
        <v>0</v>
      </c>
      <c r="L14" s="20" t="n">
        <v>0</v>
      </c>
      <c r="M14" s="18" t="n">
        <v>0</v>
      </c>
      <c r="N14" s="20" t="n">
        <v>0</v>
      </c>
      <c r="O14" s="18" t="n">
        <v>0</v>
      </c>
      <c r="P14" s="20" t="n">
        <v>0</v>
      </c>
      <c r="Q14" s="18" t="n">
        <v>0.24746867</v>
      </c>
      <c r="R14" s="20" t="n">
        <v>0.16931962</v>
      </c>
    </row>
    <row r="15" spans="1:18">
      <c r="A15" s="15" t="s">
        <v>573</v>
      </c>
      <c r="B15" s="17" t="n">
        <v>2863</v>
      </c>
      <c r="C15" s="18">
        <f>(2216.0/B15*100)</f>
        <v/>
      </c>
      <c r="D15" s="19" t="n">
        <v>647</v>
      </c>
      <c r="E15" s="18" t="n">
        <v>42.76720384</v>
      </c>
      <c r="F15" s="20" t="n">
        <v>1.99998602</v>
      </c>
      <c r="G15" s="18" t="n">
        <v>56.78089627</v>
      </c>
      <c r="H15" s="20" t="n">
        <v>1.99371817</v>
      </c>
      <c r="I15" s="18" t="n">
        <v>0</v>
      </c>
      <c r="J15" s="20" t="n">
        <v>0</v>
      </c>
      <c r="K15" s="18" t="n">
        <v>0</v>
      </c>
      <c r="L15" s="20" t="n">
        <v>0</v>
      </c>
      <c r="M15" s="18" t="n">
        <v>0</v>
      </c>
      <c r="N15" s="20" t="n">
        <v>0</v>
      </c>
      <c r="O15" s="18" t="n">
        <v>0</v>
      </c>
      <c r="P15" s="20" t="n">
        <v>0</v>
      </c>
      <c r="Q15" s="18" t="n">
        <v>0.45189989</v>
      </c>
      <c r="R15" s="20" t="n">
        <v>0.25684818</v>
      </c>
    </row>
    <row r="16" spans="1:18">
      <c r="A16" s="15" t="s">
        <v>574</v>
      </c>
      <c r="B16" s="17" t="n">
        <v>3111</v>
      </c>
      <c r="C16" s="18">
        <f>(2418.0/B16*100)</f>
        <v/>
      </c>
      <c r="D16" s="19" t="n">
        <v>693</v>
      </c>
      <c r="E16" s="18" t="n">
        <v>64.85784470999999</v>
      </c>
      <c r="F16" s="20" t="n">
        <v>1.89947235</v>
      </c>
      <c r="G16" s="18" t="n">
        <v>34.25740142</v>
      </c>
      <c r="H16" s="20" t="n">
        <v>1.89079473</v>
      </c>
      <c r="I16" s="18" t="n">
        <v>0</v>
      </c>
      <c r="J16" s="20" t="n">
        <v>0</v>
      </c>
      <c r="K16" s="18" t="n">
        <v>0.10182403</v>
      </c>
      <c r="L16" s="20" t="n">
        <v>0.10094537</v>
      </c>
      <c r="M16" s="18" t="n">
        <v>0</v>
      </c>
      <c r="N16" s="20" t="n">
        <v>0</v>
      </c>
      <c r="O16" s="18" t="n">
        <v>0</v>
      </c>
      <c r="P16" s="20" t="n">
        <v>0</v>
      </c>
      <c r="Q16" s="18" t="n">
        <v>0.78292985</v>
      </c>
      <c r="R16" s="20" t="n">
        <v>0.36022119</v>
      </c>
    </row>
    <row r="17" spans="1:18">
      <c r="A17" s="15" t="s">
        <v>575</v>
      </c>
      <c r="B17" s="17" t="n">
        <v>3197</v>
      </c>
      <c r="C17" s="18">
        <f>(2542.0/B17*100)</f>
        <v/>
      </c>
      <c r="D17" s="19" t="n">
        <v>655</v>
      </c>
      <c r="E17" s="18" t="n">
        <v>65.52396416000001</v>
      </c>
      <c r="F17" s="20" t="n">
        <v>1.86779693</v>
      </c>
      <c r="G17" s="18" t="n">
        <v>33.80599995</v>
      </c>
      <c r="H17" s="20" t="n">
        <v>1.85961965</v>
      </c>
      <c r="I17" s="18" t="n">
        <v>0</v>
      </c>
      <c r="J17" s="20" t="n">
        <v>0</v>
      </c>
      <c r="K17" s="18" t="n">
        <v>0</v>
      </c>
      <c r="L17" s="20" t="n">
        <v>0</v>
      </c>
      <c r="M17" s="18" t="n">
        <v>0</v>
      </c>
      <c r="N17" s="20" t="n">
        <v>0</v>
      </c>
      <c r="O17" s="18" t="n">
        <v>0</v>
      </c>
      <c r="P17" s="20" t="n">
        <v>0</v>
      </c>
      <c r="Q17" s="18" t="n">
        <v>0.67003589</v>
      </c>
      <c r="R17" s="20" t="n">
        <v>0.36810956</v>
      </c>
    </row>
    <row r="18" spans="1:18">
      <c r="A18" s="15" t="s">
        <v>576</v>
      </c>
      <c r="B18" s="17" t="n">
        <v>2706</v>
      </c>
      <c r="C18" s="18">
        <f>(2111.0/B18*100)</f>
        <v/>
      </c>
      <c r="D18" s="19" t="n">
        <v>595</v>
      </c>
      <c r="E18" s="18" t="n">
        <v>57.71388646</v>
      </c>
      <c r="F18" s="20" t="n">
        <v>2.42560528</v>
      </c>
      <c r="G18" s="18" t="n">
        <v>40.93330237</v>
      </c>
      <c r="H18" s="20" t="n">
        <v>2.55506543</v>
      </c>
      <c r="I18" s="18" t="n">
        <v>0</v>
      </c>
      <c r="J18" s="20" t="n">
        <v>0</v>
      </c>
      <c r="K18" s="18" t="n">
        <v>0.14352646</v>
      </c>
      <c r="L18" s="20" t="n">
        <v>0.14143041</v>
      </c>
      <c r="M18" s="18" t="n">
        <v>0</v>
      </c>
      <c r="N18" s="20" t="n">
        <v>0</v>
      </c>
      <c r="O18" s="18" t="n">
        <v>0</v>
      </c>
      <c r="P18" s="20" t="n">
        <v>0</v>
      </c>
      <c r="Q18" s="18" t="n">
        <v>1.20928471</v>
      </c>
      <c r="R18" s="20" t="n">
        <v>0.7361645</v>
      </c>
    </row>
    <row r="19" spans="1:18">
      <c r="A19" s="15" t="s">
        <v>577</v>
      </c>
      <c r="B19" s="17" t="n">
        <v>2850</v>
      </c>
      <c r="C19" s="18">
        <f>(2234.0/B19*100)</f>
        <v/>
      </c>
      <c r="D19" s="19" t="n">
        <v>616</v>
      </c>
      <c r="E19" s="18" t="n">
        <v>70.49253069</v>
      </c>
      <c r="F19" s="20" t="n">
        <v>2.005707</v>
      </c>
      <c r="G19" s="18" t="n">
        <v>28.7759288</v>
      </c>
      <c r="H19" s="20" t="n">
        <v>1.95800951</v>
      </c>
      <c r="I19" s="18" t="n">
        <v>0</v>
      </c>
      <c r="J19" s="20" t="n">
        <v>0</v>
      </c>
      <c r="K19" s="18" t="n">
        <v>0</v>
      </c>
      <c r="L19" s="20" t="n">
        <v>0</v>
      </c>
      <c r="M19" s="18" t="n">
        <v>0</v>
      </c>
      <c r="N19" s="20" t="n">
        <v>0</v>
      </c>
      <c r="O19" s="18" t="n">
        <v>0</v>
      </c>
      <c r="P19" s="20" t="n">
        <v>0</v>
      </c>
      <c r="Q19" s="18" t="n">
        <v>0.7315405</v>
      </c>
      <c r="R19" s="20" t="n">
        <v>0.34033275</v>
      </c>
    </row>
    <row r="20" spans="1:18">
      <c r="A20" s="15" t="s">
        <v>578</v>
      </c>
      <c r="B20" s="17" t="n">
        <v>1741</v>
      </c>
      <c r="C20" s="18">
        <f>(1370.0/B20*100)</f>
        <v/>
      </c>
      <c r="D20" s="19" t="n">
        <v>371</v>
      </c>
      <c r="E20" s="18" t="n">
        <v>65.37259604</v>
      </c>
      <c r="F20" s="20" t="n">
        <v>2.42772102</v>
      </c>
      <c r="G20" s="18" t="n">
        <v>33.82163514</v>
      </c>
      <c r="H20" s="20" t="n">
        <v>2.37293871</v>
      </c>
      <c r="I20" s="18" t="n">
        <v>0</v>
      </c>
      <c r="J20" s="20" t="n">
        <v>0</v>
      </c>
      <c r="K20" s="18" t="n">
        <v>0</v>
      </c>
      <c r="L20" s="20" t="n">
        <v>0</v>
      </c>
      <c r="M20" s="18" t="n">
        <v>0</v>
      </c>
      <c r="N20" s="20" t="n">
        <v>0</v>
      </c>
      <c r="O20" s="18" t="n">
        <v>0</v>
      </c>
      <c r="P20" s="20" t="n">
        <v>0</v>
      </c>
      <c r="Q20" s="18" t="n">
        <v>0.8057688200000001</v>
      </c>
      <c r="R20" s="20" t="n">
        <v>0.46872113</v>
      </c>
    </row>
    <row r="21" spans="1:18">
      <c r="A21" s="15" t="s">
        <v>579</v>
      </c>
      <c r="B21" s="17" t="n">
        <v>2833</v>
      </c>
      <c r="C21" s="18">
        <f>(2211.0/B21*100)</f>
        <v/>
      </c>
      <c r="D21" s="19" t="n">
        <v>622</v>
      </c>
      <c r="E21" s="18" t="n">
        <v>68.34441443999999</v>
      </c>
      <c r="F21" s="20" t="n">
        <v>1.98756137</v>
      </c>
      <c r="G21" s="18" t="n">
        <v>31.50997943</v>
      </c>
      <c r="H21" s="20" t="n">
        <v>2.01778412</v>
      </c>
      <c r="I21" s="18" t="n">
        <v>0</v>
      </c>
      <c r="J21" s="20" t="n">
        <v>0</v>
      </c>
      <c r="K21" s="18" t="n">
        <v>0</v>
      </c>
      <c r="L21" s="20" t="n">
        <v>0</v>
      </c>
      <c r="M21" s="18" t="n">
        <v>0</v>
      </c>
      <c r="N21" s="20" t="n">
        <v>0</v>
      </c>
      <c r="O21" s="18" t="n">
        <v>0</v>
      </c>
      <c r="P21" s="20" t="n">
        <v>0</v>
      </c>
      <c r="Q21" s="18" t="n">
        <v>0.14560613</v>
      </c>
      <c r="R21" s="20" t="n">
        <v>0.14530109</v>
      </c>
    </row>
    <row r="22" spans="1:18">
      <c r="A22" s="15" t="s">
        <v>580</v>
      </c>
      <c r="B22" s="17" t="n">
        <v>3667</v>
      </c>
      <c r="C22" s="18">
        <f>(2856.0/B22*100)</f>
        <v/>
      </c>
      <c r="D22" s="19" t="n">
        <v>811</v>
      </c>
      <c r="E22" s="18" t="n">
        <v>63.54926623</v>
      </c>
      <c r="F22" s="20" t="n">
        <v>2.03518077</v>
      </c>
      <c r="G22" s="18" t="n">
        <v>35.05520861</v>
      </c>
      <c r="H22" s="20" t="n">
        <v>2.05585766</v>
      </c>
      <c r="I22" s="18" t="n">
        <v>0</v>
      </c>
      <c r="J22" s="20" t="n">
        <v>0</v>
      </c>
      <c r="K22" s="18" t="n">
        <v>0.3679009</v>
      </c>
      <c r="L22" s="20" t="n">
        <v>0.21747466</v>
      </c>
      <c r="M22" s="18" t="n">
        <v>0</v>
      </c>
      <c r="N22" s="20" t="n">
        <v>0</v>
      </c>
      <c r="O22" s="18" t="n">
        <v>0</v>
      </c>
      <c r="P22" s="20" t="n">
        <v>0</v>
      </c>
      <c r="Q22" s="18" t="n">
        <v>1.02762426</v>
      </c>
      <c r="R22" s="20" t="n">
        <v>0.30833888</v>
      </c>
    </row>
    <row r="23" spans="1:18">
      <c r="A23" s="15" t="s">
        <v>581</v>
      </c>
      <c r="B23" s="17" t="n">
        <v>5792</v>
      </c>
      <c r="C23" s="18">
        <f>(4492.0/B23*100)</f>
        <v/>
      </c>
      <c r="D23" s="19" t="n">
        <v>1300</v>
      </c>
      <c r="E23" s="18" t="n">
        <v>60.09476258</v>
      </c>
      <c r="F23" s="20" t="n">
        <v>2.27455433</v>
      </c>
      <c r="G23" s="18" t="n">
        <v>38.36284451</v>
      </c>
      <c r="H23" s="20" t="n">
        <v>2.24641202</v>
      </c>
      <c r="I23" s="18" t="n">
        <v>0</v>
      </c>
      <c r="J23" s="20" t="n">
        <v>0</v>
      </c>
      <c r="K23" s="18" t="n">
        <v>0.17623753</v>
      </c>
      <c r="L23" s="20" t="n">
        <v>0.187315</v>
      </c>
      <c r="M23" s="18" t="n">
        <v>0</v>
      </c>
      <c r="N23" s="20" t="n">
        <v>0</v>
      </c>
      <c r="O23" s="18" t="n">
        <v>0</v>
      </c>
      <c r="P23" s="20" t="n">
        <v>0</v>
      </c>
      <c r="Q23" s="18" t="n">
        <v>1.36615538</v>
      </c>
      <c r="R23" s="20" t="n">
        <v>0.45278652</v>
      </c>
    </row>
    <row r="24" spans="1:18">
      <c r="A24" s="15" t="s">
        <v>582</v>
      </c>
      <c r="B24" s="17" t="n">
        <v>3309</v>
      </c>
      <c r="C24" s="18">
        <f>(2563.0/B24*100)</f>
        <v/>
      </c>
      <c r="D24" s="19" t="n">
        <v>746</v>
      </c>
      <c r="E24" s="18" t="n">
        <v>44.19880132</v>
      </c>
      <c r="F24" s="20" t="n">
        <v>1.78596668</v>
      </c>
      <c r="G24" s="18" t="n">
        <v>54.99300284</v>
      </c>
      <c r="H24" s="20" t="n">
        <v>1.77743899</v>
      </c>
      <c r="I24" s="18" t="n">
        <v>0</v>
      </c>
      <c r="J24" s="20" t="n">
        <v>0</v>
      </c>
      <c r="K24" s="18" t="n">
        <v>0</v>
      </c>
      <c r="L24" s="20" t="n">
        <v>0</v>
      </c>
      <c r="M24" s="18" t="n">
        <v>0</v>
      </c>
      <c r="N24" s="20" t="n">
        <v>0</v>
      </c>
      <c r="O24" s="18" t="n">
        <v>0</v>
      </c>
      <c r="P24" s="20" t="n">
        <v>0</v>
      </c>
      <c r="Q24" s="18" t="n">
        <v>0.80819584</v>
      </c>
      <c r="R24" s="20" t="n">
        <v>0.33282712</v>
      </c>
    </row>
    <row r="25" spans="1:18">
      <c r="A25" s="15" t="s">
        <v>583</v>
      </c>
      <c r="B25" s="17" t="n">
        <v>2669</v>
      </c>
      <c r="C25" s="18">
        <f>(2074.0/B25*100)</f>
        <v/>
      </c>
      <c r="D25" s="19" t="n">
        <v>595</v>
      </c>
      <c r="E25" s="18" t="n">
        <v>18.86286243</v>
      </c>
      <c r="F25" s="20" t="n">
        <v>1.65334284</v>
      </c>
      <c r="G25" s="18" t="n">
        <v>80.9693103</v>
      </c>
      <c r="H25" s="20" t="n">
        <v>1.63474518</v>
      </c>
      <c r="I25" s="18" t="n">
        <v>0</v>
      </c>
      <c r="J25" s="20" t="n">
        <v>0</v>
      </c>
      <c r="K25" s="18" t="n">
        <v>0</v>
      </c>
      <c r="L25" s="20" t="n">
        <v>0</v>
      </c>
      <c r="M25" s="18" t="n">
        <v>0</v>
      </c>
      <c r="N25" s="20" t="n">
        <v>0</v>
      </c>
      <c r="O25" s="18" t="n">
        <v>0</v>
      </c>
      <c r="P25" s="20" t="n">
        <v>0</v>
      </c>
      <c r="Q25" s="18" t="n">
        <v>0.16782728</v>
      </c>
      <c r="R25" s="20" t="n">
        <v>0.16720593</v>
      </c>
    </row>
    <row r="26" spans="1:18">
      <c r="A26" s="15" t="s">
        <v>584</v>
      </c>
      <c r="B26" s="17" t="n">
        <v>2419</v>
      </c>
      <c r="C26" s="18">
        <f>(1887.0/B26*100)</f>
        <v/>
      </c>
      <c r="D26" s="19" t="n">
        <v>532</v>
      </c>
      <c r="E26" s="18" t="n">
        <v>61.240312</v>
      </c>
      <c r="F26" s="20" t="n">
        <v>2.00793208</v>
      </c>
      <c r="G26" s="18" t="n">
        <v>38.61844945</v>
      </c>
      <c r="H26" s="20" t="n">
        <v>1.99466398</v>
      </c>
      <c r="I26" s="18" t="n">
        <v>0</v>
      </c>
      <c r="J26" s="20" t="n">
        <v>0</v>
      </c>
      <c r="K26" s="18" t="n">
        <v>0</v>
      </c>
      <c r="L26" s="20" t="n">
        <v>0</v>
      </c>
      <c r="M26" s="18" t="n">
        <v>0</v>
      </c>
      <c r="N26" s="20" t="n">
        <v>0</v>
      </c>
      <c r="O26" s="18" t="n">
        <v>0</v>
      </c>
      <c r="P26" s="20" t="n">
        <v>0</v>
      </c>
      <c r="Q26" s="18" t="n">
        <v>0.14123856</v>
      </c>
      <c r="R26" s="20" t="n">
        <v>0.14134232</v>
      </c>
    </row>
    <row r="27" spans="1:18">
      <c r="A27" s="15" t="s">
        <v>585</v>
      </c>
      <c r="B27" s="17" t="n">
        <v>2683</v>
      </c>
      <c r="C27" s="18">
        <f>(2114.0/B27*100)</f>
        <v/>
      </c>
      <c r="D27" s="19" t="n">
        <v>569</v>
      </c>
      <c r="E27" s="18" t="n">
        <v>67.59658045</v>
      </c>
      <c r="F27" s="20" t="n">
        <v>1.79863369</v>
      </c>
      <c r="G27" s="18" t="n">
        <v>31.49322224</v>
      </c>
      <c r="H27" s="20" t="n">
        <v>1.74648384</v>
      </c>
      <c r="I27" s="18" t="n">
        <v>0</v>
      </c>
      <c r="J27" s="20" t="n">
        <v>0</v>
      </c>
      <c r="K27" s="18" t="n">
        <v>0.19300368</v>
      </c>
      <c r="L27" s="20" t="n">
        <v>0.18627252</v>
      </c>
      <c r="M27" s="18" t="n">
        <v>0</v>
      </c>
      <c r="N27" s="20" t="n">
        <v>0</v>
      </c>
      <c r="O27" s="18" t="n">
        <v>0</v>
      </c>
      <c r="P27" s="20" t="n">
        <v>0</v>
      </c>
      <c r="Q27" s="18" t="n">
        <v>0.71719362</v>
      </c>
      <c r="R27" s="20" t="n">
        <v>0.35516599</v>
      </c>
    </row>
    <row r="28" spans="1:18">
      <c r="A28" s="15" t="s">
        <v>586</v>
      </c>
      <c r="B28" s="17" t="n">
        <v>3803</v>
      </c>
      <c r="C28" s="18">
        <f>(2984.0/B28*100)</f>
        <v/>
      </c>
      <c r="D28" s="19" t="n">
        <v>819</v>
      </c>
      <c r="E28" s="18" t="n">
        <v>78.13951589</v>
      </c>
      <c r="F28" s="20" t="n">
        <v>1.5620858</v>
      </c>
      <c r="G28" s="18" t="n">
        <v>21.05955879</v>
      </c>
      <c r="H28" s="20" t="n">
        <v>1.61205934</v>
      </c>
      <c r="I28" s="18" t="n">
        <v>0</v>
      </c>
      <c r="J28" s="20" t="n">
        <v>0</v>
      </c>
      <c r="K28" s="18" t="n">
        <v>0.13326374</v>
      </c>
      <c r="L28" s="20" t="n">
        <v>0.13355369</v>
      </c>
      <c r="M28" s="18" t="n">
        <v>0</v>
      </c>
      <c r="N28" s="20" t="n">
        <v>0</v>
      </c>
      <c r="O28" s="18" t="n">
        <v>0</v>
      </c>
      <c r="P28" s="20" t="n">
        <v>0</v>
      </c>
      <c r="Q28" s="18" t="n">
        <v>0.66766158</v>
      </c>
      <c r="R28" s="20" t="n">
        <v>0.30984545</v>
      </c>
    </row>
    <row r="29" spans="1:18">
      <c r="A29" s="15" t="s">
        <v>587</v>
      </c>
      <c r="B29" s="17" t="n">
        <v>2700</v>
      </c>
      <c r="C29" s="18">
        <f>(2127.0/B29*100)</f>
        <v/>
      </c>
      <c r="D29" s="19" t="n">
        <v>573</v>
      </c>
      <c r="E29" s="18" t="n">
        <v>63.86169459</v>
      </c>
      <c r="F29" s="20" t="n">
        <v>2.22932821</v>
      </c>
      <c r="G29" s="18" t="n">
        <v>36.05390253</v>
      </c>
      <c r="H29" s="20" t="n">
        <v>2.24826467</v>
      </c>
      <c r="I29" s="18" t="n">
        <v>0</v>
      </c>
      <c r="J29" s="20" t="n">
        <v>0</v>
      </c>
      <c r="K29" s="18" t="n">
        <v>0</v>
      </c>
      <c r="L29" s="20" t="n">
        <v>0</v>
      </c>
      <c r="M29" s="18" t="n">
        <v>0</v>
      </c>
      <c r="N29" s="20" t="n">
        <v>0</v>
      </c>
      <c r="O29" s="18" t="n">
        <v>0</v>
      </c>
      <c r="P29" s="20" t="n">
        <v>0</v>
      </c>
      <c r="Q29" s="18" t="n">
        <v>0.08440288</v>
      </c>
      <c r="R29" s="20" t="n">
        <v>0.08523958</v>
      </c>
    </row>
    <row r="30" spans="1:18">
      <c r="A30" s="15" t="s">
        <v>588</v>
      </c>
      <c r="B30" s="17" t="n">
        <v>2257</v>
      </c>
      <c r="C30" s="18">
        <f>(1767.0/B30*100)</f>
        <v/>
      </c>
      <c r="D30" s="19" t="n">
        <v>490</v>
      </c>
      <c r="E30" s="18" t="n">
        <v>58.43800165</v>
      </c>
      <c r="F30" s="20" t="n">
        <v>2.27725473</v>
      </c>
      <c r="G30" s="18" t="n">
        <v>41.34409964</v>
      </c>
      <c r="H30" s="20" t="n">
        <v>2.26432051</v>
      </c>
      <c r="I30" s="18" t="n">
        <v>0</v>
      </c>
      <c r="J30" s="20" t="n">
        <v>0</v>
      </c>
      <c r="K30" s="18" t="n">
        <v>0</v>
      </c>
      <c r="L30" s="20" t="n">
        <v>0</v>
      </c>
      <c r="M30" s="18" t="n">
        <v>0</v>
      </c>
      <c r="N30" s="20" t="n">
        <v>0</v>
      </c>
      <c r="O30" s="18" t="n">
        <v>0</v>
      </c>
      <c r="P30" s="20" t="n">
        <v>0</v>
      </c>
      <c r="Q30" s="18" t="n">
        <v>0.21789871</v>
      </c>
      <c r="R30" s="20" t="n">
        <v>0.21412009</v>
      </c>
    </row>
    <row r="31" spans="1:18">
      <c r="A31" s="15" t="s">
        <v>589</v>
      </c>
      <c r="B31" s="17" t="n">
        <v>2706</v>
      </c>
      <c r="C31" s="18">
        <f>(2126.0/B31*100)</f>
        <v/>
      </c>
      <c r="D31" s="19" t="n">
        <v>580</v>
      </c>
      <c r="E31" s="18" t="n">
        <v>58.3645116</v>
      </c>
      <c r="F31" s="20" t="n">
        <v>2.03040075</v>
      </c>
      <c r="G31" s="18" t="n">
        <v>41.2956931</v>
      </c>
      <c r="H31" s="20" t="n">
        <v>2.08212511</v>
      </c>
      <c r="I31" s="18" t="n">
        <v>0</v>
      </c>
      <c r="J31" s="20" t="n">
        <v>0</v>
      </c>
      <c r="K31" s="18" t="n">
        <v>0</v>
      </c>
      <c r="L31" s="20" t="n">
        <v>0</v>
      </c>
      <c r="M31" s="18" t="n">
        <v>0</v>
      </c>
      <c r="N31" s="20" t="n">
        <v>0</v>
      </c>
      <c r="O31" s="18" t="n">
        <v>0</v>
      </c>
      <c r="P31" s="20" t="n">
        <v>0</v>
      </c>
      <c r="Q31" s="18" t="n">
        <v>0.3397953</v>
      </c>
      <c r="R31" s="20" t="n">
        <v>0.253306</v>
      </c>
    </row>
    <row r="32" spans="1:18">
      <c r="A32" s="15" t="s">
        <v>590</v>
      </c>
      <c r="B32" s="17" t="n">
        <v>2209</v>
      </c>
      <c r="C32" s="18">
        <f>(1688.0/B32*100)</f>
        <v/>
      </c>
      <c r="D32" s="19" t="n">
        <v>521</v>
      </c>
      <c r="E32" s="18" t="n">
        <v>56.07780572</v>
      </c>
      <c r="F32" s="20" t="n">
        <v>2.14380051</v>
      </c>
      <c r="G32" s="18" t="n">
        <v>43.74006618</v>
      </c>
      <c r="H32" s="20" t="n">
        <v>2.14251897</v>
      </c>
      <c r="I32" s="18" t="n">
        <v>0</v>
      </c>
      <c r="J32" s="20" t="n">
        <v>0</v>
      </c>
      <c r="K32" s="18" t="n">
        <v>0</v>
      </c>
      <c r="L32" s="20" t="n">
        <v>0</v>
      </c>
      <c r="M32" s="18" t="n">
        <v>0</v>
      </c>
      <c r="N32" s="20" t="n">
        <v>0</v>
      </c>
      <c r="O32" s="18" t="n">
        <v>0</v>
      </c>
      <c r="P32" s="20" t="n">
        <v>0</v>
      </c>
      <c r="Q32" s="18" t="n">
        <v>0.1821281</v>
      </c>
      <c r="R32" s="20" t="n">
        <v>0.18154639</v>
      </c>
    </row>
    <row r="33" spans="1:18">
      <c r="A33" s="15" t="s">
        <v>591</v>
      </c>
      <c r="B33" s="17" t="n">
        <v>3651</v>
      </c>
      <c r="C33" s="18">
        <f>(2798.0/B33*100)</f>
        <v/>
      </c>
      <c r="D33" s="19" t="n">
        <v>853</v>
      </c>
      <c r="E33" s="18" t="n">
        <v>62.07598785</v>
      </c>
      <c r="F33" s="20" t="n">
        <v>2.09204138</v>
      </c>
      <c r="G33" s="18" t="n">
        <v>37.26893212</v>
      </c>
      <c r="H33" s="20" t="n">
        <v>2.0742474</v>
      </c>
      <c r="I33" s="18" t="n">
        <v>0</v>
      </c>
      <c r="J33" s="20" t="n">
        <v>0</v>
      </c>
      <c r="K33" s="18" t="n">
        <v>0.14781662</v>
      </c>
      <c r="L33" s="20" t="n">
        <v>0.16391806</v>
      </c>
      <c r="M33" s="18" t="n">
        <v>0</v>
      </c>
      <c r="N33" s="20" t="n">
        <v>0</v>
      </c>
      <c r="O33" s="18" t="n">
        <v>0</v>
      </c>
      <c r="P33" s="20" t="n">
        <v>0</v>
      </c>
      <c r="Q33" s="18" t="n">
        <v>0.50726341</v>
      </c>
      <c r="R33" s="20" t="n">
        <v>0.25096691</v>
      </c>
    </row>
    <row r="34" spans="1:18">
      <c r="A34" s="15" t="s">
        <v>592</v>
      </c>
      <c r="B34" s="17" t="n">
        <v>3035</v>
      </c>
      <c r="C34" s="18">
        <f>(2408.0/B34*100)</f>
        <v/>
      </c>
      <c r="D34" s="19" t="n">
        <v>627</v>
      </c>
      <c r="E34" s="18" t="n">
        <v>66.08419931</v>
      </c>
      <c r="F34" s="20" t="n">
        <v>2.11398981</v>
      </c>
      <c r="G34" s="18" t="n">
        <v>33.62873104</v>
      </c>
      <c r="H34" s="20" t="n">
        <v>2.0955953</v>
      </c>
      <c r="I34" s="18" t="n">
        <v>0</v>
      </c>
      <c r="J34" s="20" t="n">
        <v>0</v>
      </c>
      <c r="K34" s="18" t="n">
        <v>0</v>
      </c>
      <c r="L34" s="20" t="n">
        <v>0</v>
      </c>
      <c r="M34" s="18" t="n">
        <v>0</v>
      </c>
      <c r="N34" s="20" t="n">
        <v>0</v>
      </c>
      <c r="O34" s="18" t="n">
        <v>0</v>
      </c>
      <c r="P34" s="20" t="n">
        <v>0</v>
      </c>
      <c r="Q34" s="18" t="n">
        <v>0.28706965</v>
      </c>
      <c r="R34" s="20" t="n">
        <v>0.23600142</v>
      </c>
    </row>
    <row r="35" spans="1:18">
      <c r="A35" s="15" t="s">
        <v>593</v>
      </c>
      <c r="B35" s="17" t="n">
        <v>2901</v>
      </c>
      <c r="C35" s="18">
        <f>(2281.0/B35*100)</f>
        <v/>
      </c>
      <c r="D35" s="19" t="n">
        <v>620</v>
      </c>
      <c r="E35" s="18" t="n">
        <v>44.45926479</v>
      </c>
      <c r="F35" s="20" t="n">
        <v>2.32755663</v>
      </c>
      <c r="G35" s="18" t="n">
        <v>54.94233491</v>
      </c>
      <c r="H35" s="20" t="n">
        <v>2.3600977</v>
      </c>
      <c r="I35" s="18" t="n">
        <v>0</v>
      </c>
      <c r="J35" s="20" t="n">
        <v>0</v>
      </c>
      <c r="K35" s="18" t="n">
        <v>0</v>
      </c>
      <c r="L35" s="20" t="n">
        <v>0</v>
      </c>
      <c r="M35" s="18" t="n">
        <v>0</v>
      </c>
      <c r="N35" s="20" t="n">
        <v>0</v>
      </c>
      <c r="O35" s="18" t="n">
        <v>0</v>
      </c>
      <c r="P35" s="20" t="n">
        <v>0</v>
      </c>
      <c r="Q35" s="18" t="n">
        <v>0.5984003</v>
      </c>
      <c r="R35" s="20" t="n">
        <v>0.33892863</v>
      </c>
    </row>
    <row r="36" spans="1:18">
      <c r="A36" s="15" t="s">
        <v>594</v>
      </c>
      <c r="B36" s="17" t="n">
        <v>3404</v>
      </c>
      <c r="C36" s="18">
        <f>(2621.0/B36*100)</f>
        <v/>
      </c>
      <c r="D36" s="19" t="n">
        <v>783</v>
      </c>
      <c r="E36" s="18" t="n">
        <v>68.75047087</v>
      </c>
      <c r="F36" s="20" t="n">
        <v>1.59331391</v>
      </c>
      <c r="G36" s="18" t="n">
        <v>30.82186484</v>
      </c>
      <c r="H36" s="20" t="n">
        <v>1.58434213</v>
      </c>
      <c r="I36" s="18" t="n">
        <v>0</v>
      </c>
      <c r="J36" s="20" t="n">
        <v>0</v>
      </c>
      <c r="K36" s="18" t="n">
        <v>0</v>
      </c>
      <c r="L36" s="20" t="n">
        <v>0</v>
      </c>
      <c r="M36" s="18" t="n">
        <v>0</v>
      </c>
      <c r="N36" s="20" t="n">
        <v>0</v>
      </c>
      <c r="O36" s="18" t="n">
        <v>0</v>
      </c>
      <c r="P36" s="20" t="n">
        <v>0</v>
      </c>
      <c r="Q36" s="18" t="n">
        <v>0.4276643</v>
      </c>
      <c r="R36" s="20" t="n">
        <v>0.26321493</v>
      </c>
    </row>
    <row r="37" spans="1:18">
      <c r="A37" s="15" t="s">
        <v>595</v>
      </c>
      <c r="B37" s="17" t="n">
        <v>2731</v>
      </c>
      <c r="C37" s="18">
        <f>(2111.0/B37*100)</f>
        <v/>
      </c>
      <c r="D37" s="19" t="n">
        <v>620</v>
      </c>
      <c r="E37" s="18" t="n">
        <v>64.76443899</v>
      </c>
      <c r="F37" s="20" t="n">
        <v>1.73970462</v>
      </c>
      <c r="G37" s="18" t="n">
        <v>34.37851637</v>
      </c>
      <c r="H37" s="20" t="n">
        <v>1.68563132</v>
      </c>
      <c r="I37" s="18" t="n">
        <v>0</v>
      </c>
      <c r="J37" s="20" t="n">
        <v>0</v>
      </c>
      <c r="K37" s="18" t="n">
        <v>0</v>
      </c>
      <c r="L37" s="20" t="n">
        <v>0</v>
      </c>
      <c r="M37" s="18" t="n">
        <v>0</v>
      </c>
      <c r="N37" s="20" t="n">
        <v>0</v>
      </c>
      <c r="O37" s="18" t="n">
        <v>0</v>
      </c>
      <c r="P37" s="20" t="n">
        <v>0</v>
      </c>
      <c r="Q37" s="18" t="n">
        <v>0.85704464</v>
      </c>
      <c r="R37" s="20" t="n">
        <v>0.35236169</v>
      </c>
    </row>
    <row r="38" spans="1:18">
      <c r="A38" s="15" t="s">
        <v>596</v>
      </c>
      <c r="B38" s="17" t="n">
        <v>2807</v>
      </c>
      <c r="C38" s="18">
        <f>(2170.0/B38*100)</f>
        <v/>
      </c>
      <c r="D38" s="19" t="n">
        <v>637</v>
      </c>
      <c r="E38" s="18" t="n">
        <v>63.75872168</v>
      </c>
      <c r="F38" s="20" t="n">
        <v>2.20482981</v>
      </c>
      <c r="G38" s="18" t="n">
        <v>36.11111966</v>
      </c>
      <c r="H38" s="20" t="n">
        <v>2.19902665</v>
      </c>
      <c r="I38" s="18" t="n">
        <v>0</v>
      </c>
      <c r="J38" s="20" t="n">
        <v>0</v>
      </c>
      <c r="K38" s="18" t="n">
        <v>0</v>
      </c>
      <c r="L38" s="20" t="n">
        <v>0</v>
      </c>
      <c r="M38" s="18" t="n">
        <v>0</v>
      </c>
      <c r="N38" s="20" t="n">
        <v>0</v>
      </c>
      <c r="O38" s="18" t="n">
        <v>0</v>
      </c>
      <c r="P38" s="20" t="n">
        <v>0</v>
      </c>
      <c r="Q38" s="18" t="n">
        <v>0.13015867</v>
      </c>
      <c r="R38" s="20" t="n">
        <v>0.13046584</v>
      </c>
    </row>
    <row r="39" spans="1:18">
      <c r="A39" s="15" t="s">
        <v>597</v>
      </c>
      <c r="B39" s="17" t="n">
        <v>2938</v>
      </c>
      <c r="C39" s="18">
        <f>(2259.0/B39*100)</f>
        <v/>
      </c>
      <c r="D39" s="19" t="n">
        <v>679</v>
      </c>
      <c r="E39" s="18" t="n">
        <v>63.06291032</v>
      </c>
      <c r="F39" s="20" t="n">
        <v>1.84504272</v>
      </c>
      <c r="G39" s="18" t="n">
        <v>36.32569473</v>
      </c>
      <c r="H39" s="20" t="n">
        <v>1.8684343</v>
      </c>
      <c r="I39" s="18" t="n">
        <v>0</v>
      </c>
      <c r="J39" s="20" t="n">
        <v>0</v>
      </c>
      <c r="K39" s="18" t="n">
        <v>0</v>
      </c>
      <c r="L39" s="20" t="n">
        <v>0</v>
      </c>
      <c r="M39" s="18" t="n">
        <v>0</v>
      </c>
      <c r="N39" s="20" t="n">
        <v>0</v>
      </c>
      <c r="O39" s="18" t="n">
        <v>0</v>
      </c>
      <c r="P39" s="20" t="n">
        <v>0</v>
      </c>
      <c r="Q39" s="18" t="n">
        <v>0.61139496</v>
      </c>
      <c r="R39" s="20" t="n">
        <v>0.23762087</v>
      </c>
    </row>
    <row r="40" spans="1:18">
      <c r="A40" s="15" t="s">
        <v>598</v>
      </c>
      <c r="B40" s="17" t="n">
        <v>6922</v>
      </c>
      <c r="C40" s="18">
        <f>(5383.0/B40*100)</f>
        <v/>
      </c>
      <c r="D40" s="19" t="n">
        <v>1539</v>
      </c>
      <c r="E40" s="18" t="n">
        <v>62.22645089</v>
      </c>
      <c r="F40" s="20" t="n">
        <v>1.78266129</v>
      </c>
      <c r="G40" s="18" t="n">
        <v>36.32696425</v>
      </c>
      <c r="H40" s="20" t="n">
        <v>1.77707277</v>
      </c>
      <c r="I40" s="18" t="n">
        <v>0</v>
      </c>
      <c r="J40" s="20" t="n">
        <v>0</v>
      </c>
      <c r="K40" s="18" t="n">
        <v>0</v>
      </c>
      <c r="L40" s="20" t="n">
        <v>0</v>
      </c>
      <c r="M40" s="18" t="n">
        <v>0</v>
      </c>
      <c r="N40" s="20" t="n">
        <v>0</v>
      </c>
      <c r="O40" s="18" t="n">
        <v>0</v>
      </c>
      <c r="P40" s="20" t="n">
        <v>0</v>
      </c>
      <c r="Q40" s="18" t="n">
        <v>1.44658486</v>
      </c>
      <c r="R40" s="20" t="n">
        <v>0.44443585</v>
      </c>
    </row>
    <row r="41" spans="1:18">
      <c r="A41" s="15" t="s">
        <v>599</v>
      </c>
      <c r="B41" s="17" t="n">
        <v>2854</v>
      </c>
      <c r="C41" s="18">
        <f>(2227.0/B41*100)</f>
        <v/>
      </c>
      <c r="D41" s="19" t="n">
        <v>627</v>
      </c>
      <c r="E41" s="18" t="n">
        <v>63.459485</v>
      </c>
      <c r="F41" s="20" t="n">
        <v>1.93384836</v>
      </c>
      <c r="G41" s="18" t="n">
        <v>36.21768349</v>
      </c>
      <c r="H41" s="20" t="n">
        <v>1.87595863</v>
      </c>
      <c r="I41" s="18" t="n">
        <v>0</v>
      </c>
      <c r="J41" s="20" t="n">
        <v>0</v>
      </c>
      <c r="K41" s="18" t="n">
        <v>0</v>
      </c>
      <c r="L41" s="20" t="n">
        <v>0</v>
      </c>
      <c r="M41" s="18" t="n">
        <v>0</v>
      </c>
      <c r="N41" s="20" t="n">
        <v>0</v>
      </c>
      <c r="O41" s="18" t="n">
        <v>0</v>
      </c>
      <c r="P41" s="20" t="n">
        <v>0</v>
      </c>
      <c r="Q41" s="18" t="n">
        <v>0.32283152</v>
      </c>
      <c r="R41" s="20" t="n">
        <v>0.21678297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(9553.0/B46*100)</f>
        <v/>
      </c>
      <c r="D46" s="19" t="n">
        <v>2520</v>
      </c>
      <c r="E46" s="18" t="n">
        <v>76.88946736</v>
      </c>
      <c r="F46" s="20" t="n">
        <v>1.28547379</v>
      </c>
      <c r="G46" s="18" t="n">
        <v>20.77593237</v>
      </c>
      <c r="H46" s="20" t="n">
        <v>1.25694551</v>
      </c>
      <c r="I46" s="18" t="n">
        <v>0</v>
      </c>
      <c r="J46" s="20" t="n">
        <v>0</v>
      </c>
      <c r="K46" s="18" t="n">
        <v>0.31480922</v>
      </c>
      <c r="L46" s="20" t="n">
        <v>0.21957601</v>
      </c>
      <c r="M46" s="18" t="n">
        <v>0</v>
      </c>
      <c r="N46" s="20" t="n">
        <v>0</v>
      </c>
      <c r="O46" s="18" t="n">
        <v>0</v>
      </c>
      <c r="P46" s="20" t="n">
        <v>0</v>
      </c>
      <c r="Q46" s="18" t="n">
        <v>2.01979105</v>
      </c>
      <c r="R46" s="20" t="n">
        <v>0.35134511</v>
      </c>
    </row>
    <row r="47" spans="1:18">
      <c r="A47" s="15" t="s">
        <v>606</v>
      </c>
      <c r="B47" s="17" t="n">
        <v>2823</v>
      </c>
      <c r="C47" s="18">
        <f>(2207.0/B47*100)</f>
        <v/>
      </c>
      <c r="D47" s="19" t="n">
        <v>616</v>
      </c>
      <c r="E47" s="18" t="n">
        <v>64.54688002</v>
      </c>
      <c r="F47" s="20" t="n">
        <v>2.08234428</v>
      </c>
      <c r="G47" s="18" t="n">
        <v>34.25278641</v>
      </c>
      <c r="H47" s="20" t="n">
        <v>2.00834248</v>
      </c>
      <c r="I47" s="18" t="n">
        <v>0</v>
      </c>
      <c r="J47" s="20" t="n">
        <v>0</v>
      </c>
      <c r="K47" s="18" t="n">
        <v>0.15082215</v>
      </c>
      <c r="L47" s="20" t="n">
        <v>0.15224108</v>
      </c>
      <c r="M47" s="18" t="n">
        <v>0</v>
      </c>
      <c r="N47" s="20" t="n">
        <v>0</v>
      </c>
      <c r="O47" s="18" t="n">
        <v>0</v>
      </c>
      <c r="P47" s="20" t="n">
        <v>0</v>
      </c>
      <c r="Q47" s="18" t="n">
        <v>1.04951142</v>
      </c>
      <c r="R47" s="20" t="n">
        <v>0.44925505</v>
      </c>
    </row>
    <row r="48" spans="1:18">
      <c r="A48" s="15" t="s">
        <v>607</v>
      </c>
      <c r="B48" s="17" t="n">
        <v>4682</v>
      </c>
      <c r="C48" s="18">
        <f>(3640.0/B48*100)</f>
        <v/>
      </c>
      <c r="D48" s="19" t="n">
        <v>1042</v>
      </c>
      <c r="E48" s="18" t="n">
        <v>24.9425613</v>
      </c>
      <c r="F48" s="20" t="n">
        <v>1.84533502</v>
      </c>
      <c r="G48" s="18" t="n">
        <v>73.65968556</v>
      </c>
      <c r="H48" s="20" t="n">
        <v>1.9838536</v>
      </c>
      <c r="I48" s="18" t="n">
        <v>0</v>
      </c>
      <c r="J48" s="20" t="n">
        <v>0</v>
      </c>
      <c r="K48" s="18" t="n">
        <v>0.29815253</v>
      </c>
      <c r="L48" s="20" t="n">
        <v>0.21133908</v>
      </c>
      <c r="M48" s="18" t="n">
        <v>0</v>
      </c>
      <c r="N48" s="20" t="n">
        <v>0</v>
      </c>
      <c r="O48" s="18" t="n">
        <v>0</v>
      </c>
      <c r="P48" s="20" t="n">
        <v>0</v>
      </c>
      <c r="Q48" s="18" t="n">
        <v>1.09960061</v>
      </c>
      <c r="R48" s="20" t="n">
        <v>0.45222733</v>
      </c>
    </row>
    <row r="49" spans="1:18">
      <c r="A49" s="15" t="s">
        <v>608</v>
      </c>
      <c r="B49" s="17" t="n">
        <v>6158</v>
      </c>
      <c r="C49" s="18">
        <f>(4795.0/B49*100)</f>
        <v/>
      </c>
      <c r="D49" s="19" t="n">
        <v>1363</v>
      </c>
      <c r="E49" s="18" t="n">
        <v>84.64214072</v>
      </c>
      <c r="F49" s="20" t="n">
        <v>1.28577667</v>
      </c>
      <c r="G49" s="18" t="n">
        <v>14.34749372</v>
      </c>
      <c r="H49" s="20" t="n">
        <v>1.1942078</v>
      </c>
      <c r="I49" s="18" t="n">
        <v>0</v>
      </c>
      <c r="J49" s="20" t="n">
        <v>0</v>
      </c>
      <c r="K49" s="18" t="n">
        <v>0.15597592</v>
      </c>
      <c r="L49" s="20" t="n">
        <v>0.10589706</v>
      </c>
      <c r="M49" s="18" t="n">
        <v>0</v>
      </c>
      <c r="N49" s="20" t="n">
        <v>0</v>
      </c>
      <c r="O49" s="18" t="n">
        <v>0</v>
      </c>
      <c r="P49" s="20" t="n">
        <v>0</v>
      </c>
      <c r="Q49" s="18" t="n">
        <v>0.85438964</v>
      </c>
      <c r="R49" s="20" t="n">
        <v>0.36714364</v>
      </c>
    </row>
    <row r="50" spans="1:18">
      <c r="A50" s="15" t="s">
        <v>609</v>
      </c>
      <c r="B50" s="17" t="n">
        <v>3494</v>
      </c>
      <c r="C50" s="18">
        <f>(2787.0/B50*100)</f>
        <v/>
      </c>
      <c r="D50" s="19" t="n">
        <v>707</v>
      </c>
      <c r="E50" s="18" t="n">
        <v>84.89983952</v>
      </c>
      <c r="F50" s="20" t="n">
        <v>1.30874601</v>
      </c>
      <c r="G50" s="18" t="n">
        <v>13.70289846</v>
      </c>
      <c r="H50" s="20" t="n">
        <v>1.25876114</v>
      </c>
      <c r="I50" s="18" t="n">
        <v>0</v>
      </c>
      <c r="J50" s="20" t="n">
        <v>0</v>
      </c>
      <c r="K50" s="18" t="n">
        <v>0</v>
      </c>
      <c r="L50" s="20" t="n">
        <v>0</v>
      </c>
      <c r="M50" s="18" t="n">
        <v>0</v>
      </c>
      <c r="N50" s="20" t="n">
        <v>0</v>
      </c>
      <c r="O50" s="18" t="n">
        <v>0</v>
      </c>
      <c r="P50" s="20" t="n">
        <v>0</v>
      </c>
      <c r="Q50" s="18" t="n">
        <v>1.39726202</v>
      </c>
      <c r="R50" s="20" t="n">
        <v>0.48152357</v>
      </c>
    </row>
    <row r="51" spans="1:18">
      <c r="A51" s="15" t="s">
        <v>610</v>
      </c>
      <c r="B51" s="17" t="n">
        <v>3013</v>
      </c>
      <c r="C51" s="18">
        <f>(2333.0/B51*100)</f>
        <v/>
      </c>
      <c r="D51" s="19" t="n">
        <v>680</v>
      </c>
      <c r="E51" s="18" t="n">
        <v>69.72339501</v>
      </c>
      <c r="F51" s="20" t="n">
        <v>1.62787838</v>
      </c>
      <c r="G51" s="18" t="n">
        <v>29.56227141</v>
      </c>
      <c r="H51" s="20" t="n">
        <v>1.66688419</v>
      </c>
      <c r="I51" s="18" t="n">
        <v>0</v>
      </c>
      <c r="J51" s="20" t="n">
        <v>0</v>
      </c>
      <c r="K51" s="18" t="n">
        <v>0</v>
      </c>
      <c r="L51" s="20" t="n">
        <v>0</v>
      </c>
      <c r="M51" s="18" t="n">
        <v>0</v>
      </c>
      <c r="N51" s="20" t="n">
        <v>0</v>
      </c>
      <c r="O51" s="18" t="n">
        <v>0</v>
      </c>
      <c r="P51" s="20" t="n">
        <v>0</v>
      </c>
      <c r="Q51" s="18" t="n">
        <v>0.71433359</v>
      </c>
      <c r="R51" s="20" t="n">
        <v>0.31975895</v>
      </c>
    </row>
    <row r="52" spans="1:18">
      <c r="A52" s="15" t="s">
        <v>611</v>
      </c>
      <c r="B52" s="17" t="n">
        <v>2760</v>
      </c>
      <c r="C52" s="18">
        <f>(2124.0/B52*100)</f>
        <v/>
      </c>
      <c r="D52" s="19" t="n">
        <v>636</v>
      </c>
      <c r="E52" s="18" t="n">
        <v>65.53943762999999</v>
      </c>
      <c r="F52" s="20" t="n">
        <v>2.16551437</v>
      </c>
      <c r="G52" s="18" t="n">
        <v>33.71909008</v>
      </c>
      <c r="H52" s="20" t="n">
        <v>2.13012658</v>
      </c>
      <c r="I52" s="18" t="n">
        <v>0</v>
      </c>
      <c r="J52" s="20" t="n">
        <v>0</v>
      </c>
      <c r="K52" s="18" t="n">
        <v>0.11230982</v>
      </c>
      <c r="L52" s="20" t="n">
        <v>0.11304014</v>
      </c>
      <c r="M52" s="18" t="n">
        <v>0</v>
      </c>
      <c r="N52" s="20" t="n">
        <v>0</v>
      </c>
      <c r="O52" s="18" t="n">
        <v>0</v>
      </c>
      <c r="P52" s="20" t="n">
        <v>0</v>
      </c>
      <c r="Q52" s="18" t="n">
        <v>0.62916247</v>
      </c>
      <c r="R52" s="20" t="n">
        <v>0.29290314</v>
      </c>
    </row>
    <row r="53" spans="1:18">
      <c r="A53" s="15" t="s">
        <v>612</v>
      </c>
      <c r="B53" s="17" t="n">
        <v>2474</v>
      </c>
      <c r="C53" s="18">
        <f>(1949.0/B53*100)</f>
        <v/>
      </c>
      <c r="D53" s="19" t="n">
        <v>525</v>
      </c>
      <c r="E53" s="18" t="n">
        <v>82.75629044999999</v>
      </c>
      <c r="F53" s="20" t="n">
        <v>1.94473796</v>
      </c>
      <c r="G53" s="18" t="n">
        <v>8.77328835</v>
      </c>
      <c r="H53" s="20" t="n">
        <v>1.53475458</v>
      </c>
      <c r="I53" s="18" t="n">
        <v>0</v>
      </c>
      <c r="J53" s="20" t="n">
        <v>0</v>
      </c>
      <c r="K53" s="18" t="n">
        <v>2.95150054</v>
      </c>
      <c r="L53" s="20" t="n">
        <v>0.93508963</v>
      </c>
      <c r="M53" s="18" t="n">
        <v>0</v>
      </c>
      <c r="N53" s="20" t="n">
        <v>0</v>
      </c>
      <c r="O53" s="18" t="n">
        <v>0</v>
      </c>
      <c r="P53" s="20" t="n">
        <v>0</v>
      </c>
      <c r="Q53" s="18" t="n">
        <v>5.51892066</v>
      </c>
      <c r="R53" s="20" t="n">
        <v>1.12544642</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(2076.0/B55*100)</f>
        <v/>
      </c>
      <c r="D55" s="19" t="n">
        <v>599</v>
      </c>
      <c r="E55" s="18" t="n">
        <v>55.15054348</v>
      </c>
      <c r="F55" s="20" t="n">
        <v>2.10805623</v>
      </c>
      <c r="G55" s="18" t="n">
        <v>44.34681958</v>
      </c>
      <c r="H55" s="20" t="n">
        <v>1.99111368</v>
      </c>
      <c r="I55" s="18" t="n">
        <v>0</v>
      </c>
      <c r="J55" s="20" t="n">
        <v>0</v>
      </c>
      <c r="K55" s="18" t="n">
        <v>0.32758668</v>
      </c>
      <c r="L55" s="20" t="n">
        <v>0.31476039</v>
      </c>
      <c r="M55" s="18" t="n">
        <v>0</v>
      </c>
      <c r="N55" s="20" t="n">
        <v>0</v>
      </c>
      <c r="O55" s="18" t="n">
        <v>0</v>
      </c>
      <c r="P55" s="20" t="n">
        <v>0</v>
      </c>
      <c r="Q55" s="18" t="n">
        <v>0.17505025</v>
      </c>
      <c r="R55" s="20" t="n">
        <v>0.16741702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(2482.0/B61*100)</f>
        <v/>
      </c>
      <c r="D61" s="19" t="n">
        <v>719</v>
      </c>
      <c r="E61" s="18" t="n">
        <v>63.51728139</v>
      </c>
      <c r="F61" s="20" t="n">
        <v>1.89561482</v>
      </c>
      <c r="G61" s="18" t="n">
        <v>35.81582599</v>
      </c>
      <c r="H61" s="20" t="n">
        <v>1.95434471</v>
      </c>
      <c r="I61" s="18" t="n">
        <v>0</v>
      </c>
      <c r="J61" s="20" t="n">
        <v>0</v>
      </c>
      <c r="K61" s="18" t="n">
        <v>0.17999217</v>
      </c>
      <c r="L61" s="20" t="n">
        <v>0.1851405</v>
      </c>
      <c r="M61" s="18" t="n">
        <v>0</v>
      </c>
      <c r="N61" s="20" t="n">
        <v>0</v>
      </c>
      <c r="O61" s="18" t="n">
        <v>0</v>
      </c>
      <c r="P61" s="20" t="n">
        <v>0</v>
      </c>
      <c r="Q61" s="18" t="n">
        <v>0.48690044</v>
      </c>
      <c r="R61" s="20" t="n">
        <v>0.29884356</v>
      </c>
    </row>
    <row r="62" spans="1:18">
      <c r="A62" s="15" t="s">
        <v>622</v>
      </c>
      <c r="B62" s="17" t="n">
        <v>2230</v>
      </c>
      <c r="C62" s="18">
        <f>(1723.0/B62*100)</f>
        <v/>
      </c>
      <c r="D62" s="19" t="n">
        <v>507</v>
      </c>
      <c r="E62" s="18" t="n">
        <v>42.78446559</v>
      </c>
      <c r="F62" s="20" t="n">
        <v>2.39859725</v>
      </c>
      <c r="G62" s="18" t="n">
        <v>57.21553441</v>
      </c>
      <c r="H62" s="20" t="n">
        <v>2.39859725</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(2181.0/B67*100)</f>
        <v/>
      </c>
      <c r="D67" s="19" t="n">
        <v>590</v>
      </c>
      <c r="E67" s="18" t="n">
        <v>76.90969242</v>
      </c>
      <c r="F67" s="20" t="n">
        <v>1.75145415</v>
      </c>
      <c r="G67" s="18" t="n">
        <v>21.07323429</v>
      </c>
      <c r="H67" s="20" t="n">
        <v>1.74537329</v>
      </c>
      <c r="I67" s="18" t="n">
        <v>0</v>
      </c>
      <c r="J67" s="20" t="n">
        <v>0</v>
      </c>
      <c r="K67" s="18" t="n">
        <v>0.23496748</v>
      </c>
      <c r="L67" s="20" t="n">
        <v>0.23610488</v>
      </c>
      <c r="M67" s="18" t="n">
        <v>0</v>
      </c>
      <c r="N67" s="20" t="n">
        <v>0</v>
      </c>
      <c r="O67" s="18" t="n">
        <v>0</v>
      </c>
      <c r="P67" s="20" t="n">
        <v>0</v>
      </c>
      <c r="Q67" s="18" t="n">
        <v>1.78210581</v>
      </c>
      <c r="R67" s="20" t="n">
        <v>0.55585346</v>
      </c>
    </row>
    <row r="68" spans="1:18">
      <c r="A68" s="15" t="s">
        <v>628</v>
      </c>
      <c r="B68" s="17" t="n">
        <v>3460</v>
      </c>
      <c r="C68" s="18">
        <f>(2719.0/B68*100)</f>
        <v/>
      </c>
      <c r="D68" s="19" t="n">
        <v>741</v>
      </c>
      <c r="E68" s="18" t="n">
        <v>78.84923263</v>
      </c>
      <c r="F68" s="20" t="n">
        <v>1.66929976</v>
      </c>
      <c r="G68" s="18" t="n">
        <v>20.03860806</v>
      </c>
      <c r="H68" s="20" t="n">
        <v>1.61021647</v>
      </c>
      <c r="I68" s="18" t="n">
        <v>0</v>
      </c>
      <c r="J68" s="20" t="n">
        <v>0</v>
      </c>
      <c r="K68" s="18" t="n">
        <v>0</v>
      </c>
      <c r="L68" s="20" t="n">
        <v>0</v>
      </c>
      <c r="M68" s="18" t="n">
        <v>0</v>
      </c>
      <c r="N68" s="20" t="n">
        <v>0</v>
      </c>
      <c r="O68" s="18" t="n">
        <v>0</v>
      </c>
      <c r="P68" s="20" t="n">
        <v>0</v>
      </c>
      <c r="Q68" s="18" t="n">
        <v>1.11215931</v>
      </c>
      <c r="R68" s="20" t="n">
        <v>0.40025546</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72.67271795000001</v>
      </c>
      <c r="F70" s="20" t="n">
        <v>1.29743946</v>
      </c>
      <c r="G70" s="18" t="n">
        <v>26.39452258</v>
      </c>
      <c r="H70" s="20" t="n">
        <v>1.22679303</v>
      </c>
      <c r="I70" s="18" t="n">
        <v>0</v>
      </c>
      <c r="J70" s="20" t="n">
        <v>0</v>
      </c>
      <c r="K70" s="18" t="n">
        <v>0.24454067</v>
      </c>
      <c r="L70" s="20" t="n">
        <v>0.14124696</v>
      </c>
      <c r="M70" s="18" t="n">
        <v>0</v>
      </c>
      <c r="N70" s="20" t="n">
        <v>0</v>
      </c>
      <c r="O70" s="18" t="n">
        <v>0</v>
      </c>
      <c r="P70" s="20" t="n">
        <v>0</v>
      </c>
      <c r="Q70" s="18" t="n">
        <v>0.6882188</v>
      </c>
      <c r="R70" s="20" t="n">
        <v>0.16589655</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(2417.0/B72*100)</f>
        <v/>
      </c>
      <c r="D72" s="19" t="n">
        <v>690</v>
      </c>
      <c r="E72" s="18" t="n">
        <v>59.82278265</v>
      </c>
      <c r="F72" s="20" t="n">
        <v>2.07558452</v>
      </c>
      <c r="G72" s="18" t="n">
        <v>39.85832433</v>
      </c>
      <c r="H72" s="20" t="n">
        <v>2.08676478</v>
      </c>
      <c r="I72" s="18" t="n">
        <v>0</v>
      </c>
      <c r="J72" s="20" t="n">
        <v>0</v>
      </c>
      <c r="K72" s="18" t="n">
        <v>0</v>
      </c>
      <c r="L72" s="20" t="n">
        <v>0</v>
      </c>
      <c r="M72" s="18" t="n">
        <v>0</v>
      </c>
      <c r="N72" s="20" t="n">
        <v>0</v>
      </c>
      <c r="O72" s="18" t="n">
        <v>0</v>
      </c>
      <c r="P72" s="20" t="n">
        <v>0</v>
      </c>
      <c r="Q72" s="18" t="n">
        <v>0.31889302</v>
      </c>
      <c r="R72" s="20" t="n">
        <v>0.16909446</v>
      </c>
    </row>
    <row r="73" spans="1:18">
      <c r="A73" s="15" t="s">
        <v>633</v>
      </c>
      <c r="B73" s="17" t="n">
        <v>2973</v>
      </c>
      <c r="C73" s="18">
        <f>(2302.0/B73*100)</f>
        <v/>
      </c>
      <c r="D73" s="19" t="n">
        <v>671</v>
      </c>
      <c r="E73" s="18" t="n">
        <v>54.7366408</v>
      </c>
      <c r="F73" s="20" t="n">
        <v>2.03650248</v>
      </c>
      <c r="G73" s="18" t="n">
        <v>44.50210226</v>
      </c>
      <c r="H73" s="20" t="n">
        <v>2.03643263</v>
      </c>
      <c r="I73" s="18" t="n">
        <v>0</v>
      </c>
      <c r="J73" s="20" t="n">
        <v>0</v>
      </c>
      <c r="K73" s="18" t="n">
        <v>0</v>
      </c>
      <c r="L73" s="20" t="n">
        <v>0</v>
      </c>
      <c r="M73" s="18" t="n">
        <v>0</v>
      </c>
      <c r="N73" s="20" t="n">
        <v>0</v>
      </c>
      <c r="O73" s="18" t="n">
        <v>0</v>
      </c>
      <c r="P73" s="20" t="n">
        <v>0</v>
      </c>
      <c r="Q73" s="18" t="n">
        <v>0.76125694</v>
      </c>
      <c r="R73" s="20" t="n">
        <v>0.39150615</v>
      </c>
    </row>
    <row r="74" spans="1:18">
      <c r="A74" s="15" t="s">
        <v>634</v>
      </c>
      <c r="B74" s="17" t="n">
        <v>3819</v>
      </c>
      <c r="C74" s="18">
        <f>(2927.0/B74*100)</f>
        <v/>
      </c>
      <c r="D74" s="19" t="n">
        <v>892</v>
      </c>
      <c r="E74" s="18" t="n">
        <v>43.36903586</v>
      </c>
      <c r="F74" s="20" t="n">
        <v>1.828489</v>
      </c>
      <c r="G74" s="18" t="n">
        <v>56.03738834</v>
      </c>
      <c r="H74" s="20" t="n">
        <v>1.84883975</v>
      </c>
      <c r="I74" s="18" t="n">
        <v>0</v>
      </c>
      <c r="J74" s="20" t="n">
        <v>0</v>
      </c>
      <c r="K74" s="18" t="n">
        <v>0</v>
      </c>
      <c r="L74" s="20" t="n">
        <v>0</v>
      </c>
      <c r="M74" s="18" t="n">
        <v>0</v>
      </c>
      <c r="N74" s="20" t="n">
        <v>0</v>
      </c>
      <c r="O74" s="18" t="n">
        <v>0</v>
      </c>
      <c r="P74" s="20" t="n">
        <v>0</v>
      </c>
      <c r="Q74" s="18" t="n">
        <v>0.5935758</v>
      </c>
      <c r="R74" s="20" t="n">
        <v>0.33281499</v>
      </c>
    </row>
    <row r="75" spans="1:18">
      <c r="A75" s="15" t="s">
        <v>635</v>
      </c>
      <c r="B75" s="17" t="n">
        <v>4652</v>
      </c>
      <c r="C75" s="18">
        <f>(3589.0/B75*100)</f>
        <v/>
      </c>
      <c r="D75" s="19" t="n">
        <v>1063</v>
      </c>
      <c r="E75" s="18" t="n">
        <v>57.2573135</v>
      </c>
      <c r="F75" s="20" t="n">
        <v>1.65192681</v>
      </c>
      <c r="G75" s="18" t="n">
        <v>42.34067225</v>
      </c>
      <c r="H75" s="20" t="n">
        <v>1.64337144</v>
      </c>
      <c r="I75" s="18" t="n">
        <v>0</v>
      </c>
      <c r="J75" s="20" t="n">
        <v>0</v>
      </c>
      <c r="K75" s="18" t="n">
        <v>0</v>
      </c>
      <c r="L75" s="20" t="n">
        <v>0</v>
      </c>
      <c r="M75" s="18" t="n">
        <v>0</v>
      </c>
      <c r="N75" s="20" t="n">
        <v>0</v>
      </c>
      <c r="O75" s="18" t="n">
        <v>0</v>
      </c>
      <c r="P75" s="20" t="n">
        <v>0</v>
      </c>
      <c r="Q75" s="18" t="n">
        <v>0.40201424</v>
      </c>
      <c r="R75" s="20" t="n">
        <v>0.2121403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(2325.0/B77*100)</f>
        <v/>
      </c>
      <c r="D77" s="19" t="n">
        <v>644</v>
      </c>
      <c r="E77" s="18" t="n">
        <v>75.70891027</v>
      </c>
      <c r="F77" s="20" t="n">
        <v>1.63931976</v>
      </c>
      <c r="G77" s="18" t="n">
        <v>21.60771516</v>
      </c>
      <c r="H77" s="20" t="n">
        <v>1.57322026</v>
      </c>
      <c r="I77" s="18" t="n">
        <v>0</v>
      </c>
      <c r="J77" s="20" t="n">
        <v>0</v>
      </c>
      <c r="K77" s="18" t="n">
        <v>1.02439606</v>
      </c>
      <c r="L77" s="20" t="n">
        <v>0.45985397</v>
      </c>
      <c r="M77" s="18" t="n">
        <v>0</v>
      </c>
      <c r="N77" s="20" t="n">
        <v>0</v>
      </c>
      <c r="O77" s="18" t="n">
        <v>0</v>
      </c>
      <c r="P77" s="20" t="n">
        <v>0</v>
      </c>
      <c r="Q77" s="18" t="n">
        <v>1.65897851</v>
      </c>
      <c r="R77" s="20" t="n">
        <v>0.52833245</v>
      </c>
    </row>
    <row r="78" spans="1:18">
      <c r="A78" s="15" t="s">
        <v>638</v>
      </c>
      <c r="B78" s="17" t="n">
        <v>7115</v>
      </c>
      <c r="C78" s="18">
        <f>(5530.0/B78*100)</f>
        <v/>
      </c>
      <c r="D78" s="19" t="n">
        <v>1585</v>
      </c>
      <c r="E78" s="18" t="n">
        <v>72.54397962</v>
      </c>
      <c r="F78" s="20" t="n">
        <v>1.45047957</v>
      </c>
      <c r="G78" s="18" t="n">
        <v>26.80180979</v>
      </c>
      <c r="H78" s="20" t="n">
        <v>1.47709134</v>
      </c>
      <c r="I78" s="18" t="n">
        <v>0</v>
      </c>
      <c r="J78" s="20" t="n">
        <v>0</v>
      </c>
      <c r="K78" s="18" t="n">
        <v>0.28091637</v>
      </c>
      <c r="L78" s="20" t="n">
        <v>0.14536044</v>
      </c>
      <c r="M78" s="18" t="n">
        <v>0</v>
      </c>
      <c r="N78" s="20" t="n">
        <v>0</v>
      </c>
      <c r="O78" s="18" t="n">
        <v>0</v>
      </c>
      <c r="P78" s="20" t="n">
        <v>0</v>
      </c>
      <c r="Q78" s="18" t="n">
        <v>0.37329422</v>
      </c>
      <c r="R78" s="20" t="n">
        <v>0.16840511</v>
      </c>
    </row>
    <row r="79" spans="1:18">
      <c r="A79" s="15" t="s">
        <v>639</v>
      </c>
      <c r="B79" s="17" t="n">
        <v>3154</v>
      </c>
      <c r="C79" s="18">
        <f>(2477.0/B79*100)</f>
        <v/>
      </c>
      <c r="D79" s="19" t="n">
        <v>677</v>
      </c>
      <c r="E79" s="18" t="n">
        <v>84.39097297000001</v>
      </c>
      <c r="F79" s="20" t="n">
        <v>1.44059901</v>
      </c>
      <c r="G79" s="18" t="n">
        <v>15.08361039</v>
      </c>
      <c r="H79" s="20" t="n">
        <v>1.42088731</v>
      </c>
      <c r="I79" s="18" t="n">
        <v>0</v>
      </c>
      <c r="J79" s="20" t="n">
        <v>0</v>
      </c>
      <c r="K79" s="18" t="n">
        <v>0</v>
      </c>
      <c r="L79" s="20" t="n">
        <v>0</v>
      </c>
      <c r="M79" s="18" t="n">
        <v>0</v>
      </c>
      <c r="N79" s="20" t="n">
        <v>0</v>
      </c>
      <c r="O79" s="18" t="n">
        <v>0</v>
      </c>
      <c r="P79" s="20" t="n">
        <v>0</v>
      </c>
      <c r="Q79" s="18" t="n">
        <v>0.52541664</v>
      </c>
      <c r="R79" s="20" t="n">
        <v>0.34611511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(12382.0/B82*100)</f>
        <v/>
      </c>
      <c r="D82" s="19" t="n">
        <v>3579</v>
      </c>
      <c r="E82" s="18" t="n">
        <v>71.48808053</v>
      </c>
      <c r="F82" s="20" t="n">
        <v>1.05104256</v>
      </c>
      <c r="G82" s="18" t="n">
        <v>28.17552188</v>
      </c>
      <c r="H82" s="20" t="n">
        <v>1.06406226</v>
      </c>
      <c r="I82" s="18" t="n">
        <v>0</v>
      </c>
      <c r="J82" s="20" t="n">
        <v>0</v>
      </c>
      <c r="K82" s="18" t="n">
        <v>0.05026335</v>
      </c>
      <c r="L82" s="20" t="n">
        <v>0.03281152</v>
      </c>
      <c r="M82" s="18" t="n">
        <v>0</v>
      </c>
      <c r="N82" s="20" t="n">
        <v>0</v>
      </c>
      <c r="O82" s="18" t="n">
        <v>0</v>
      </c>
      <c r="P82" s="20" t="n">
        <v>0</v>
      </c>
      <c r="Q82" s="18" t="n">
        <v>0.28613424</v>
      </c>
      <c r="R82" s="20" t="n">
        <v>0.08505094000000001</v>
      </c>
    </row>
    <row r="83" spans="1:18">
      <c r="A83" s="15" t="s">
        <v>643</v>
      </c>
      <c r="B83" s="17" t="n">
        <v>808</v>
      </c>
      <c r="C83" s="18">
        <f>(647.0/B83*100)</f>
        <v/>
      </c>
      <c r="D83" s="19" t="n">
        <v>161</v>
      </c>
      <c r="E83" s="18" t="n">
        <v>55.95281085</v>
      </c>
      <c r="F83" s="20" t="n">
        <v>5.14276201</v>
      </c>
      <c r="G83" s="18" t="n">
        <v>44.04718915</v>
      </c>
      <c r="H83" s="20" t="n">
        <v>5.14276201</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(740.0/B84*100)</f>
        <v/>
      </c>
      <c r="D84" s="19" t="n">
        <v>198</v>
      </c>
      <c r="E84" s="18" t="n">
        <v>62.63130576</v>
      </c>
      <c r="F84" s="20" t="n">
        <v>4.26533995</v>
      </c>
      <c r="G84" s="18" t="n">
        <v>36.87340629</v>
      </c>
      <c r="H84" s="20" t="n">
        <v>4.09571857</v>
      </c>
      <c r="I84" s="18" t="n">
        <v>0</v>
      </c>
      <c r="J84" s="20" t="n">
        <v>0</v>
      </c>
      <c r="K84" s="18" t="n">
        <v>0</v>
      </c>
      <c r="L84" s="20" t="n">
        <v>0</v>
      </c>
      <c r="M84" s="18" t="n">
        <v>0</v>
      </c>
      <c r="N84" s="20" t="n">
        <v>0</v>
      </c>
      <c r="O84" s="18" t="n">
        <v>0</v>
      </c>
      <c r="P84" s="20" t="n">
        <v>0</v>
      </c>
      <c r="Q84" s="18" t="n">
        <v>0.49528795</v>
      </c>
      <c r="R84" s="20" t="n">
        <v>0.49215977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(5587.0/B7*100)</f>
        <v/>
      </c>
      <c r="D7" s="19" t="n">
        <v>1576</v>
      </c>
      <c r="E7" s="18" t="n">
        <v>15.30551383</v>
      </c>
      <c r="F7" s="20" t="n">
        <v>1.10168172</v>
      </c>
      <c r="G7" s="18" t="n">
        <v>83.11716427</v>
      </c>
      <c r="H7" s="20" t="n">
        <v>1.09634847</v>
      </c>
      <c r="I7" s="18" t="n">
        <v>0</v>
      </c>
      <c r="J7" s="20" t="n">
        <v>0</v>
      </c>
      <c r="K7" s="18" t="n">
        <v>0.02253673</v>
      </c>
      <c r="L7" s="20" t="n">
        <v>0.02038036</v>
      </c>
      <c r="M7" s="18" t="n">
        <v>0</v>
      </c>
      <c r="N7" s="20" t="n">
        <v>0</v>
      </c>
      <c r="O7" s="18" t="n">
        <v>0</v>
      </c>
      <c r="P7" s="20" t="n">
        <v>0</v>
      </c>
      <c r="Q7" s="18" t="n">
        <v>1.55478517</v>
      </c>
      <c r="R7" s="20" t="n">
        <v>0.35586108</v>
      </c>
    </row>
    <row r="8" spans="1:18">
      <c r="A8" s="15" t="s">
        <v>566</v>
      </c>
      <c r="B8" s="17" t="n">
        <v>3443</v>
      </c>
      <c r="C8" s="18">
        <f>(2670.0/B8*100)</f>
        <v/>
      </c>
      <c r="D8" s="19" t="n">
        <v>773</v>
      </c>
      <c r="E8" s="18" t="n">
        <v>18.84076097</v>
      </c>
      <c r="F8" s="20" t="n">
        <v>1.33665003</v>
      </c>
      <c r="G8" s="18" t="n">
        <v>79.0221956</v>
      </c>
      <c r="H8" s="20" t="n">
        <v>1.40727633</v>
      </c>
      <c r="I8" s="18" t="n">
        <v>0</v>
      </c>
      <c r="J8" s="20" t="n">
        <v>0</v>
      </c>
      <c r="K8" s="18" t="n">
        <v>0</v>
      </c>
      <c r="L8" s="20" t="n">
        <v>0</v>
      </c>
      <c r="M8" s="18" t="n">
        <v>0</v>
      </c>
      <c r="N8" s="20" t="n">
        <v>0</v>
      </c>
      <c r="O8" s="18" t="n">
        <v>0</v>
      </c>
      <c r="P8" s="20" t="n">
        <v>0</v>
      </c>
      <c r="Q8" s="18" t="n">
        <v>2.13704343</v>
      </c>
      <c r="R8" s="20" t="n">
        <v>0.59075709</v>
      </c>
    </row>
    <row r="9" spans="1:18">
      <c r="A9" s="15" t="s">
        <v>567</v>
      </c>
      <c r="B9" s="17" t="n">
        <v>4752</v>
      </c>
      <c r="C9" s="18">
        <f>(3744.0/B9*100)</f>
        <v/>
      </c>
      <c r="D9" s="19" t="n">
        <v>1008</v>
      </c>
      <c r="E9" s="18" t="n">
        <v>26.21607697</v>
      </c>
      <c r="F9" s="20" t="n">
        <v>1.32560344</v>
      </c>
      <c r="G9" s="18" t="n">
        <v>70.33397057000001</v>
      </c>
      <c r="H9" s="20" t="n">
        <v>1.36362665</v>
      </c>
      <c r="I9" s="18" t="n">
        <v>0</v>
      </c>
      <c r="J9" s="20" t="n">
        <v>0</v>
      </c>
      <c r="K9" s="18" t="n">
        <v>0</v>
      </c>
      <c r="L9" s="20" t="n">
        <v>0</v>
      </c>
      <c r="M9" s="18" t="n">
        <v>0</v>
      </c>
      <c r="N9" s="20" t="n">
        <v>0</v>
      </c>
      <c r="O9" s="18" t="n">
        <v>0</v>
      </c>
      <c r="P9" s="20" t="n">
        <v>0</v>
      </c>
      <c r="Q9" s="18" t="n">
        <v>3.44995246</v>
      </c>
      <c r="R9" s="20" t="n">
        <v>0.73428203</v>
      </c>
    </row>
    <row r="10" spans="1:18">
      <c r="A10" s="15" t="s">
        <v>568</v>
      </c>
      <c r="B10" s="17" t="n">
        <v>10022</v>
      </c>
      <c r="C10" s="18">
        <f>(7805.0/B10*100)</f>
        <v/>
      </c>
      <c r="D10" s="19" t="n">
        <v>2217</v>
      </c>
      <c r="E10" s="18" t="n">
        <v>17.43888006</v>
      </c>
      <c r="F10" s="20" t="n">
        <v>1.07115837</v>
      </c>
      <c r="G10" s="18" t="n">
        <v>80.41397182</v>
      </c>
      <c r="H10" s="20" t="n">
        <v>1.0094654</v>
      </c>
      <c r="I10" s="18" t="n">
        <v>0</v>
      </c>
      <c r="J10" s="20" t="n">
        <v>0</v>
      </c>
      <c r="K10" s="18" t="n">
        <v>0.23517297</v>
      </c>
      <c r="L10" s="20" t="n">
        <v>0.17138152</v>
      </c>
      <c r="M10" s="18" t="n">
        <v>0</v>
      </c>
      <c r="N10" s="20" t="n">
        <v>0</v>
      </c>
      <c r="O10" s="18" t="n">
        <v>0</v>
      </c>
      <c r="P10" s="20" t="n">
        <v>0</v>
      </c>
      <c r="Q10" s="18" t="n">
        <v>1.91197515</v>
      </c>
      <c r="R10" s="20" t="n">
        <v>0.38659523</v>
      </c>
    </row>
    <row r="11" spans="1:18">
      <c r="A11" s="15" t="s">
        <v>569</v>
      </c>
      <c r="B11" s="17" t="n">
        <v>3500</v>
      </c>
      <c r="C11" s="18">
        <f>(2713.0/B11*100)</f>
        <v/>
      </c>
      <c r="D11" s="19" t="n">
        <v>787</v>
      </c>
      <c r="E11" s="18" t="n">
        <v>22.67956649</v>
      </c>
      <c r="F11" s="20" t="n">
        <v>1.78343166</v>
      </c>
      <c r="G11" s="18" t="n">
        <v>72.72700531</v>
      </c>
      <c r="H11" s="20" t="n">
        <v>2.03951838</v>
      </c>
      <c r="I11" s="18" t="n">
        <v>0</v>
      </c>
      <c r="J11" s="20" t="n">
        <v>0</v>
      </c>
      <c r="K11" s="18" t="n">
        <v>0.13236316</v>
      </c>
      <c r="L11" s="20" t="n">
        <v>0.13394193</v>
      </c>
      <c r="M11" s="18" t="n">
        <v>0</v>
      </c>
      <c r="N11" s="20" t="n">
        <v>0</v>
      </c>
      <c r="O11" s="18" t="n">
        <v>0</v>
      </c>
      <c r="P11" s="20" t="n">
        <v>0</v>
      </c>
      <c r="Q11" s="18" t="n">
        <v>4.46106504</v>
      </c>
      <c r="R11" s="20" t="n">
        <v>0.82220455</v>
      </c>
    </row>
    <row r="12" spans="1:18">
      <c r="A12" s="15" t="s">
        <v>570</v>
      </c>
      <c r="B12" s="17" t="n">
        <v>3422</v>
      </c>
      <c r="C12" s="18">
        <f>(2689.0/B12*100)</f>
        <v/>
      </c>
      <c r="D12" s="19" t="n">
        <v>733</v>
      </c>
      <c r="E12" s="18" t="n">
        <v>24.34609114</v>
      </c>
      <c r="F12" s="20" t="n">
        <v>1.71809608</v>
      </c>
      <c r="G12" s="18" t="n">
        <v>73.47227483</v>
      </c>
      <c r="H12" s="20" t="n">
        <v>1.76325378</v>
      </c>
      <c r="I12" s="18" t="n">
        <v>0</v>
      </c>
      <c r="J12" s="20" t="n">
        <v>0</v>
      </c>
      <c r="K12" s="18" t="n">
        <v>0</v>
      </c>
      <c r="L12" s="20" t="n">
        <v>0</v>
      </c>
      <c r="M12" s="18" t="n">
        <v>0</v>
      </c>
      <c r="N12" s="20" t="n">
        <v>0</v>
      </c>
      <c r="O12" s="18" t="n">
        <v>0</v>
      </c>
      <c r="P12" s="20" t="n">
        <v>0</v>
      </c>
      <c r="Q12" s="18" t="n">
        <v>2.18163403</v>
      </c>
      <c r="R12" s="20" t="n">
        <v>0.5688459300000001</v>
      </c>
    </row>
    <row r="13" spans="1:18">
      <c r="A13" s="15" t="s">
        <v>571</v>
      </c>
      <c r="B13" s="17" t="n">
        <v>3602</v>
      </c>
      <c r="C13" s="18">
        <f>(2844.0/B13*100)</f>
        <v/>
      </c>
      <c r="D13" s="19" t="n">
        <v>758</v>
      </c>
      <c r="E13" s="18" t="n">
        <v>19.08621766</v>
      </c>
      <c r="F13" s="20" t="n">
        <v>1.69986094</v>
      </c>
      <c r="G13" s="18" t="n">
        <v>78.29711231</v>
      </c>
      <c r="H13" s="20" t="n">
        <v>1.85896564</v>
      </c>
      <c r="I13" s="18" t="n">
        <v>0</v>
      </c>
      <c r="J13" s="20" t="n">
        <v>0</v>
      </c>
      <c r="K13" s="18" t="n">
        <v>0.46083467</v>
      </c>
      <c r="L13" s="20" t="n">
        <v>0.30786405</v>
      </c>
      <c r="M13" s="18" t="n">
        <v>0</v>
      </c>
      <c r="N13" s="20" t="n">
        <v>0</v>
      </c>
      <c r="O13" s="18" t="n">
        <v>0</v>
      </c>
      <c r="P13" s="20" t="n">
        <v>0</v>
      </c>
      <c r="Q13" s="18" t="n">
        <v>2.15583536</v>
      </c>
      <c r="R13" s="20" t="n">
        <v>0.85658801</v>
      </c>
    </row>
    <row r="14" spans="1:18">
      <c r="A14" s="15" t="s">
        <v>572</v>
      </c>
      <c r="B14" s="17" t="n">
        <v>2788</v>
      </c>
      <c r="C14" s="18">
        <f>(2176.0/B14*100)</f>
        <v/>
      </c>
      <c r="D14" s="19" t="n">
        <v>612</v>
      </c>
      <c r="E14" s="18" t="n">
        <v>19.22970551</v>
      </c>
      <c r="F14" s="20" t="n">
        <v>1.83735153</v>
      </c>
      <c r="G14" s="18" t="n">
        <v>78.89422764</v>
      </c>
      <c r="H14" s="20" t="n">
        <v>1.88385789</v>
      </c>
      <c r="I14" s="18" t="n">
        <v>0</v>
      </c>
      <c r="J14" s="20" t="n">
        <v>0</v>
      </c>
      <c r="K14" s="18" t="n">
        <v>0</v>
      </c>
      <c r="L14" s="20" t="n">
        <v>0</v>
      </c>
      <c r="M14" s="18" t="n">
        <v>0</v>
      </c>
      <c r="N14" s="20" t="n">
        <v>0</v>
      </c>
      <c r="O14" s="18" t="n">
        <v>0</v>
      </c>
      <c r="P14" s="20" t="n">
        <v>0</v>
      </c>
      <c r="Q14" s="18" t="n">
        <v>1.87606686</v>
      </c>
      <c r="R14" s="20" t="n">
        <v>0.51901415</v>
      </c>
    </row>
    <row r="15" spans="1:18">
      <c r="A15" s="15" t="s">
        <v>573</v>
      </c>
      <c r="B15" s="17" t="n">
        <v>2863</v>
      </c>
      <c r="C15" s="18">
        <f>(2216.0/B15*100)</f>
        <v/>
      </c>
      <c r="D15" s="19" t="n">
        <v>647</v>
      </c>
      <c r="E15" s="18" t="n">
        <v>16.48409071</v>
      </c>
      <c r="F15" s="20" t="n">
        <v>1.67378363</v>
      </c>
      <c r="G15" s="18" t="n">
        <v>82.16133041000001</v>
      </c>
      <c r="H15" s="20" t="n">
        <v>1.76344077</v>
      </c>
      <c r="I15" s="18" t="n">
        <v>0</v>
      </c>
      <c r="J15" s="20" t="n">
        <v>0</v>
      </c>
      <c r="K15" s="18" t="n">
        <v>0</v>
      </c>
      <c r="L15" s="20" t="n">
        <v>0</v>
      </c>
      <c r="M15" s="18" t="n">
        <v>0</v>
      </c>
      <c r="N15" s="20" t="n">
        <v>0</v>
      </c>
      <c r="O15" s="18" t="n">
        <v>0</v>
      </c>
      <c r="P15" s="20" t="n">
        <v>0</v>
      </c>
      <c r="Q15" s="18" t="n">
        <v>1.35457888</v>
      </c>
      <c r="R15" s="20" t="n">
        <v>0.44290154</v>
      </c>
    </row>
    <row r="16" spans="1:18">
      <c r="A16" s="15" t="s">
        <v>574</v>
      </c>
      <c r="B16" s="17" t="n">
        <v>3111</v>
      </c>
      <c r="C16" s="18">
        <f>(2418.0/B16*100)</f>
        <v/>
      </c>
      <c r="D16" s="19" t="n">
        <v>693</v>
      </c>
      <c r="E16" s="18" t="n">
        <v>19.57644969</v>
      </c>
      <c r="F16" s="20" t="n">
        <v>1.414001</v>
      </c>
      <c r="G16" s="18" t="n">
        <v>75.69851747</v>
      </c>
      <c r="H16" s="20" t="n">
        <v>1.69015369</v>
      </c>
      <c r="I16" s="18" t="n">
        <v>0</v>
      </c>
      <c r="J16" s="20" t="n">
        <v>0</v>
      </c>
      <c r="K16" s="18" t="n">
        <v>0.10182403</v>
      </c>
      <c r="L16" s="20" t="n">
        <v>0.10094537</v>
      </c>
      <c r="M16" s="18" t="n">
        <v>0</v>
      </c>
      <c r="N16" s="20" t="n">
        <v>0</v>
      </c>
      <c r="O16" s="18" t="n">
        <v>0</v>
      </c>
      <c r="P16" s="20" t="n">
        <v>0</v>
      </c>
      <c r="Q16" s="18" t="n">
        <v>4.62320881</v>
      </c>
      <c r="R16" s="20" t="n">
        <v>0.96124427</v>
      </c>
    </row>
    <row r="17" spans="1:18">
      <c r="A17" s="15" t="s">
        <v>575</v>
      </c>
      <c r="B17" s="17" t="n">
        <v>3197</v>
      </c>
      <c r="C17" s="18">
        <f>(2542.0/B17*100)</f>
        <v/>
      </c>
      <c r="D17" s="19" t="n">
        <v>655</v>
      </c>
      <c r="E17" s="18" t="n">
        <v>20.67857815</v>
      </c>
      <c r="F17" s="20" t="n">
        <v>1.62790933</v>
      </c>
      <c r="G17" s="18" t="n">
        <v>76.50073810000001</v>
      </c>
      <c r="H17" s="20" t="n">
        <v>1.649072</v>
      </c>
      <c r="I17" s="18" t="n">
        <v>0</v>
      </c>
      <c r="J17" s="20" t="n">
        <v>0</v>
      </c>
      <c r="K17" s="18" t="n">
        <v>0</v>
      </c>
      <c r="L17" s="20" t="n">
        <v>0</v>
      </c>
      <c r="M17" s="18" t="n">
        <v>0</v>
      </c>
      <c r="N17" s="20" t="n">
        <v>0</v>
      </c>
      <c r="O17" s="18" t="n">
        <v>0</v>
      </c>
      <c r="P17" s="20" t="n">
        <v>0</v>
      </c>
      <c r="Q17" s="18" t="n">
        <v>2.82068374</v>
      </c>
      <c r="R17" s="20" t="n">
        <v>0.58063227</v>
      </c>
    </row>
    <row r="18" spans="1:18">
      <c r="A18" s="15" t="s">
        <v>576</v>
      </c>
      <c r="B18" s="17" t="n">
        <v>2706</v>
      </c>
      <c r="C18" s="18">
        <f>(2110.0/B18*100)</f>
        <v/>
      </c>
      <c r="D18" s="19" t="n">
        <v>596</v>
      </c>
      <c r="E18" s="18" t="n">
        <v>21.70611777</v>
      </c>
      <c r="F18" s="20" t="n">
        <v>2.03688967</v>
      </c>
      <c r="G18" s="18" t="n">
        <v>74.19519119</v>
      </c>
      <c r="H18" s="20" t="n">
        <v>2.11946922</v>
      </c>
      <c r="I18" s="18" t="n">
        <v>0</v>
      </c>
      <c r="J18" s="20" t="n">
        <v>0</v>
      </c>
      <c r="K18" s="18" t="n">
        <v>0.52937833</v>
      </c>
      <c r="L18" s="20" t="n">
        <v>0.35334866</v>
      </c>
      <c r="M18" s="18" t="n">
        <v>0</v>
      </c>
      <c r="N18" s="20" t="n">
        <v>0</v>
      </c>
      <c r="O18" s="18" t="n">
        <v>0</v>
      </c>
      <c r="P18" s="20" t="n">
        <v>0</v>
      </c>
      <c r="Q18" s="18" t="n">
        <v>3.56931271</v>
      </c>
      <c r="R18" s="20" t="n">
        <v>0.90276566</v>
      </c>
    </row>
    <row r="19" spans="1:18">
      <c r="A19" s="15" t="s">
        <v>577</v>
      </c>
      <c r="B19" s="17" t="n">
        <v>2850</v>
      </c>
      <c r="C19" s="18">
        <f>(2233.0/B19*100)</f>
        <v/>
      </c>
      <c r="D19" s="19" t="n">
        <v>617</v>
      </c>
      <c r="E19" s="18" t="n">
        <v>24.56295596</v>
      </c>
      <c r="F19" s="20" t="n">
        <v>1.72220927</v>
      </c>
      <c r="G19" s="18" t="n">
        <v>72.49134196999999</v>
      </c>
      <c r="H19" s="20" t="n">
        <v>1.75866194</v>
      </c>
      <c r="I19" s="18" t="n">
        <v>0</v>
      </c>
      <c r="J19" s="20" t="n">
        <v>0</v>
      </c>
      <c r="K19" s="18" t="n">
        <v>0</v>
      </c>
      <c r="L19" s="20" t="n">
        <v>0</v>
      </c>
      <c r="M19" s="18" t="n">
        <v>0</v>
      </c>
      <c r="N19" s="20" t="n">
        <v>0</v>
      </c>
      <c r="O19" s="18" t="n">
        <v>0</v>
      </c>
      <c r="P19" s="20" t="n">
        <v>0</v>
      </c>
      <c r="Q19" s="18" t="n">
        <v>2.94570207</v>
      </c>
      <c r="R19" s="20" t="n">
        <v>0.81515125</v>
      </c>
    </row>
    <row r="20" spans="1:18">
      <c r="A20" s="15" t="s">
        <v>578</v>
      </c>
      <c r="B20" s="17" t="n">
        <v>1741</v>
      </c>
      <c r="C20" s="18">
        <f>(1370.0/B20*100)</f>
        <v/>
      </c>
      <c r="D20" s="19" t="n">
        <v>371</v>
      </c>
      <c r="E20" s="18" t="n">
        <v>22.05647656</v>
      </c>
      <c r="F20" s="20" t="n">
        <v>2.09231329</v>
      </c>
      <c r="G20" s="18" t="n">
        <v>74.49386009</v>
      </c>
      <c r="H20" s="20" t="n">
        <v>2.14346348</v>
      </c>
      <c r="I20" s="18" t="n">
        <v>0</v>
      </c>
      <c r="J20" s="20" t="n">
        <v>0</v>
      </c>
      <c r="K20" s="18" t="n">
        <v>0</v>
      </c>
      <c r="L20" s="20" t="n">
        <v>0</v>
      </c>
      <c r="M20" s="18" t="n">
        <v>0</v>
      </c>
      <c r="N20" s="20" t="n">
        <v>0</v>
      </c>
      <c r="O20" s="18" t="n">
        <v>0</v>
      </c>
      <c r="P20" s="20" t="n">
        <v>0</v>
      </c>
      <c r="Q20" s="18" t="n">
        <v>3.44966335</v>
      </c>
      <c r="R20" s="20" t="n">
        <v>0.98506049</v>
      </c>
    </row>
    <row r="21" spans="1:18">
      <c r="A21" s="15" t="s">
        <v>579</v>
      </c>
      <c r="B21" s="17" t="n">
        <v>2833</v>
      </c>
      <c r="C21" s="18">
        <f>(2211.0/B21*100)</f>
        <v/>
      </c>
      <c r="D21" s="19" t="n">
        <v>622</v>
      </c>
      <c r="E21" s="18" t="n">
        <v>22.28661666</v>
      </c>
      <c r="F21" s="20" t="n">
        <v>1.93123905</v>
      </c>
      <c r="G21" s="18" t="n">
        <v>75.95335278</v>
      </c>
      <c r="H21" s="20" t="n">
        <v>1.86697302</v>
      </c>
      <c r="I21" s="18" t="n">
        <v>0</v>
      </c>
      <c r="J21" s="20" t="n">
        <v>0</v>
      </c>
      <c r="K21" s="18" t="n">
        <v>0</v>
      </c>
      <c r="L21" s="20" t="n">
        <v>0</v>
      </c>
      <c r="M21" s="18" t="n">
        <v>0</v>
      </c>
      <c r="N21" s="20" t="n">
        <v>0</v>
      </c>
      <c r="O21" s="18" t="n">
        <v>0</v>
      </c>
      <c r="P21" s="20" t="n">
        <v>0</v>
      </c>
      <c r="Q21" s="18" t="n">
        <v>1.76003056</v>
      </c>
      <c r="R21" s="20" t="n">
        <v>0.48765874</v>
      </c>
    </row>
    <row r="22" spans="1:18">
      <c r="A22" s="15" t="s">
        <v>580</v>
      </c>
      <c r="B22" s="17" t="n">
        <v>3667</v>
      </c>
      <c r="C22" s="18">
        <f>(2857.0/B22*100)</f>
        <v/>
      </c>
      <c r="D22" s="19" t="n">
        <v>810</v>
      </c>
      <c r="E22" s="18" t="n">
        <v>28.62223391</v>
      </c>
      <c r="F22" s="20" t="n">
        <v>2.05125775</v>
      </c>
      <c r="G22" s="18" t="n">
        <v>67.5959951</v>
      </c>
      <c r="H22" s="20" t="n">
        <v>2.31672149</v>
      </c>
      <c r="I22" s="18" t="n">
        <v>0</v>
      </c>
      <c r="J22" s="20" t="n">
        <v>0</v>
      </c>
      <c r="K22" s="18" t="n">
        <v>0.36791626</v>
      </c>
      <c r="L22" s="20" t="n">
        <v>0.21751991</v>
      </c>
      <c r="M22" s="18" t="n">
        <v>0</v>
      </c>
      <c r="N22" s="20" t="n">
        <v>0</v>
      </c>
      <c r="O22" s="18" t="n">
        <v>0</v>
      </c>
      <c r="P22" s="20" t="n">
        <v>0</v>
      </c>
      <c r="Q22" s="18" t="n">
        <v>3.41385472</v>
      </c>
      <c r="R22" s="20" t="n">
        <v>0.6990051</v>
      </c>
    </row>
    <row r="23" spans="1:18">
      <c r="A23" s="15" t="s">
        <v>581</v>
      </c>
      <c r="B23" s="17" t="n">
        <v>5792</v>
      </c>
      <c r="C23" s="18">
        <f>(4492.0/B23*100)</f>
        <v/>
      </c>
      <c r="D23" s="19" t="n">
        <v>1300</v>
      </c>
      <c r="E23" s="18" t="n">
        <v>25.19025882</v>
      </c>
      <c r="F23" s="20" t="n">
        <v>1.68275572</v>
      </c>
      <c r="G23" s="18" t="n">
        <v>69.37145026</v>
      </c>
      <c r="H23" s="20" t="n">
        <v>2.09026775</v>
      </c>
      <c r="I23" s="18" t="n">
        <v>0</v>
      </c>
      <c r="J23" s="20" t="n">
        <v>0</v>
      </c>
      <c r="K23" s="18" t="n">
        <v>0.17623753</v>
      </c>
      <c r="L23" s="20" t="n">
        <v>0.187315</v>
      </c>
      <c r="M23" s="18" t="n">
        <v>0</v>
      </c>
      <c r="N23" s="20" t="n">
        <v>0</v>
      </c>
      <c r="O23" s="18" t="n">
        <v>0</v>
      </c>
      <c r="P23" s="20" t="n">
        <v>0</v>
      </c>
      <c r="Q23" s="18" t="n">
        <v>5.26205339</v>
      </c>
      <c r="R23" s="20" t="n">
        <v>1.04459599</v>
      </c>
    </row>
    <row r="24" spans="1:18">
      <c r="A24" s="15" t="s">
        <v>582</v>
      </c>
      <c r="B24" s="17" t="n">
        <v>3309</v>
      </c>
      <c r="C24" s="18">
        <f>(2563.0/B24*100)</f>
        <v/>
      </c>
      <c r="D24" s="19" t="n">
        <v>746</v>
      </c>
      <c r="E24" s="18" t="n">
        <v>20.11968649</v>
      </c>
      <c r="F24" s="20" t="n">
        <v>1.48652272</v>
      </c>
      <c r="G24" s="18" t="n">
        <v>78.98749871</v>
      </c>
      <c r="H24" s="20" t="n">
        <v>1.56969191</v>
      </c>
      <c r="I24" s="18" t="n">
        <v>0</v>
      </c>
      <c r="J24" s="20" t="n">
        <v>0</v>
      </c>
      <c r="K24" s="18" t="n">
        <v>0</v>
      </c>
      <c r="L24" s="20" t="n">
        <v>0</v>
      </c>
      <c r="M24" s="18" t="n">
        <v>0</v>
      </c>
      <c r="N24" s="20" t="n">
        <v>0</v>
      </c>
      <c r="O24" s="18" t="n">
        <v>0</v>
      </c>
      <c r="P24" s="20" t="n">
        <v>0</v>
      </c>
      <c r="Q24" s="18" t="n">
        <v>0.8928148</v>
      </c>
      <c r="R24" s="20" t="n">
        <v>0.34582955</v>
      </c>
    </row>
    <row r="25" spans="1:18">
      <c r="A25" s="15" t="s">
        <v>583</v>
      </c>
      <c r="B25" s="17" t="n">
        <v>2669</v>
      </c>
      <c r="C25" s="18">
        <f>(2074.0/B25*100)</f>
        <v/>
      </c>
      <c r="D25" s="19" t="n">
        <v>595</v>
      </c>
      <c r="E25" s="18" t="n">
        <v>22.45440055</v>
      </c>
      <c r="F25" s="20" t="n">
        <v>1.82805291</v>
      </c>
      <c r="G25" s="18" t="n">
        <v>76.86643807</v>
      </c>
      <c r="H25" s="20" t="n">
        <v>1.88843482</v>
      </c>
      <c r="I25" s="18" t="n">
        <v>0</v>
      </c>
      <c r="J25" s="20" t="n">
        <v>0</v>
      </c>
      <c r="K25" s="18" t="n">
        <v>0</v>
      </c>
      <c r="L25" s="20" t="n">
        <v>0</v>
      </c>
      <c r="M25" s="18" t="n">
        <v>0</v>
      </c>
      <c r="N25" s="20" t="n">
        <v>0</v>
      </c>
      <c r="O25" s="18" t="n">
        <v>0</v>
      </c>
      <c r="P25" s="20" t="n">
        <v>0</v>
      </c>
      <c r="Q25" s="18" t="n">
        <v>0.67916138</v>
      </c>
      <c r="R25" s="20" t="n">
        <v>0.33363035</v>
      </c>
    </row>
    <row r="26" spans="1:18">
      <c r="A26" s="15" t="s">
        <v>584</v>
      </c>
      <c r="B26" s="17" t="n">
        <v>2419</v>
      </c>
      <c r="C26" s="18">
        <f>(1887.0/B26*100)</f>
        <v/>
      </c>
      <c r="D26" s="19" t="n">
        <v>532</v>
      </c>
      <c r="E26" s="18" t="n">
        <v>27.79491081</v>
      </c>
      <c r="F26" s="20" t="n">
        <v>2.10194036</v>
      </c>
      <c r="G26" s="18" t="n">
        <v>70.61596943000001</v>
      </c>
      <c r="H26" s="20" t="n">
        <v>2.15722981</v>
      </c>
      <c r="I26" s="18" t="n">
        <v>0</v>
      </c>
      <c r="J26" s="20" t="n">
        <v>0</v>
      </c>
      <c r="K26" s="18" t="n">
        <v>0</v>
      </c>
      <c r="L26" s="20" t="n">
        <v>0</v>
      </c>
      <c r="M26" s="18" t="n">
        <v>0</v>
      </c>
      <c r="N26" s="20" t="n">
        <v>0</v>
      </c>
      <c r="O26" s="18" t="n">
        <v>0</v>
      </c>
      <c r="P26" s="20" t="n">
        <v>0</v>
      </c>
      <c r="Q26" s="18" t="n">
        <v>1.58911976</v>
      </c>
      <c r="R26" s="20" t="n">
        <v>0.54077904</v>
      </c>
    </row>
    <row r="27" spans="1:18">
      <c r="A27" s="15" t="s">
        <v>585</v>
      </c>
      <c r="B27" s="17" t="n">
        <v>2683</v>
      </c>
      <c r="C27" s="18">
        <f>(2114.0/B27*100)</f>
        <v/>
      </c>
      <c r="D27" s="19" t="n">
        <v>569</v>
      </c>
      <c r="E27" s="18" t="n">
        <v>26.73731095</v>
      </c>
      <c r="F27" s="20" t="n">
        <v>2.08552863</v>
      </c>
      <c r="G27" s="18" t="n">
        <v>69.36625768</v>
      </c>
      <c r="H27" s="20" t="n">
        <v>2.19085158</v>
      </c>
      <c r="I27" s="18" t="n">
        <v>0</v>
      </c>
      <c r="J27" s="20" t="n">
        <v>0</v>
      </c>
      <c r="K27" s="18" t="n">
        <v>0.19300368</v>
      </c>
      <c r="L27" s="20" t="n">
        <v>0.18627252</v>
      </c>
      <c r="M27" s="18" t="n">
        <v>0</v>
      </c>
      <c r="N27" s="20" t="n">
        <v>0</v>
      </c>
      <c r="O27" s="18" t="n">
        <v>0</v>
      </c>
      <c r="P27" s="20" t="n">
        <v>0</v>
      </c>
      <c r="Q27" s="18" t="n">
        <v>3.70342768</v>
      </c>
      <c r="R27" s="20" t="n">
        <v>0.76957215</v>
      </c>
    </row>
    <row r="28" spans="1:18">
      <c r="A28" s="15" t="s">
        <v>586</v>
      </c>
      <c r="B28" s="17" t="n">
        <v>3803</v>
      </c>
      <c r="C28" s="18">
        <f>(2986.0/B28*100)</f>
        <v/>
      </c>
      <c r="D28" s="19" t="n">
        <v>817</v>
      </c>
      <c r="E28" s="18" t="n">
        <v>28.06623142</v>
      </c>
      <c r="F28" s="20" t="n">
        <v>2.03473386</v>
      </c>
      <c r="G28" s="18" t="n">
        <v>63.97477505</v>
      </c>
      <c r="H28" s="20" t="n">
        <v>2.10094489</v>
      </c>
      <c r="I28" s="18" t="n">
        <v>0</v>
      </c>
      <c r="J28" s="20" t="n">
        <v>0</v>
      </c>
      <c r="K28" s="18" t="n">
        <v>0.13343696</v>
      </c>
      <c r="L28" s="20" t="n">
        <v>0.13372631</v>
      </c>
      <c r="M28" s="18" t="n">
        <v>0</v>
      </c>
      <c r="N28" s="20" t="n">
        <v>0</v>
      </c>
      <c r="O28" s="18" t="n">
        <v>0</v>
      </c>
      <c r="P28" s="20" t="n">
        <v>0</v>
      </c>
      <c r="Q28" s="18" t="n">
        <v>7.82555656</v>
      </c>
      <c r="R28" s="20" t="n">
        <v>0.88728495</v>
      </c>
    </row>
    <row r="29" spans="1:18">
      <c r="A29" s="15" t="s">
        <v>587</v>
      </c>
      <c r="B29" s="17" t="n">
        <v>2700</v>
      </c>
      <c r="C29" s="18">
        <f>(2127.0/B29*100)</f>
        <v/>
      </c>
      <c r="D29" s="19" t="n">
        <v>573</v>
      </c>
      <c r="E29" s="18" t="n">
        <v>20.87447926</v>
      </c>
      <c r="F29" s="20" t="n">
        <v>1.91529539</v>
      </c>
      <c r="G29" s="18" t="n">
        <v>78.01670426</v>
      </c>
      <c r="H29" s="20" t="n">
        <v>1.97592241</v>
      </c>
      <c r="I29" s="18" t="n">
        <v>0</v>
      </c>
      <c r="J29" s="20" t="n">
        <v>0</v>
      </c>
      <c r="K29" s="18" t="n">
        <v>0</v>
      </c>
      <c r="L29" s="20" t="n">
        <v>0</v>
      </c>
      <c r="M29" s="18" t="n">
        <v>0</v>
      </c>
      <c r="N29" s="20" t="n">
        <v>0</v>
      </c>
      <c r="O29" s="18" t="n">
        <v>0</v>
      </c>
      <c r="P29" s="20" t="n">
        <v>0</v>
      </c>
      <c r="Q29" s="18" t="n">
        <v>1.10881648</v>
      </c>
      <c r="R29" s="20" t="n">
        <v>0.42039911</v>
      </c>
    </row>
    <row r="30" spans="1:18">
      <c r="A30" s="15" t="s">
        <v>588</v>
      </c>
      <c r="B30" s="17" t="n">
        <v>2257</v>
      </c>
      <c r="C30" s="18">
        <f>(1767.0/B30*100)</f>
        <v/>
      </c>
      <c r="D30" s="19" t="n">
        <v>490</v>
      </c>
      <c r="E30" s="18" t="n">
        <v>15.65677925</v>
      </c>
      <c r="F30" s="20" t="n">
        <v>1.78584837</v>
      </c>
      <c r="G30" s="18" t="n">
        <v>82.77999695</v>
      </c>
      <c r="H30" s="20" t="n">
        <v>1.88372449</v>
      </c>
      <c r="I30" s="18" t="n">
        <v>0</v>
      </c>
      <c r="J30" s="20" t="n">
        <v>0</v>
      </c>
      <c r="K30" s="18" t="n">
        <v>0</v>
      </c>
      <c r="L30" s="20" t="n">
        <v>0</v>
      </c>
      <c r="M30" s="18" t="n">
        <v>0</v>
      </c>
      <c r="N30" s="20" t="n">
        <v>0</v>
      </c>
      <c r="O30" s="18" t="n">
        <v>0</v>
      </c>
      <c r="P30" s="20" t="n">
        <v>0</v>
      </c>
      <c r="Q30" s="18" t="n">
        <v>1.5632238</v>
      </c>
      <c r="R30" s="20" t="n">
        <v>0.35682665</v>
      </c>
    </row>
    <row r="31" spans="1:18">
      <c r="A31" s="15" t="s">
        <v>589</v>
      </c>
      <c r="B31" s="17" t="n">
        <v>2706</v>
      </c>
      <c r="C31" s="18">
        <f>(2126.0/B31*100)</f>
        <v/>
      </c>
      <c r="D31" s="19" t="n">
        <v>580</v>
      </c>
      <c r="E31" s="18" t="n">
        <v>23.88340458</v>
      </c>
      <c r="F31" s="20" t="n">
        <v>1.71617352</v>
      </c>
      <c r="G31" s="18" t="n">
        <v>74.59104395</v>
      </c>
      <c r="H31" s="20" t="n">
        <v>1.6677158</v>
      </c>
      <c r="I31" s="18" t="n">
        <v>0</v>
      </c>
      <c r="J31" s="20" t="n">
        <v>0</v>
      </c>
      <c r="K31" s="18" t="n">
        <v>0</v>
      </c>
      <c r="L31" s="20" t="n">
        <v>0</v>
      </c>
      <c r="M31" s="18" t="n">
        <v>0</v>
      </c>
      <c r="N31" s="20" t="n">
        <v>0</v>
      </c>
      <c r="O31" s="18" t="n">
        <v>0</v>
      </c>
      <c r="P31" s="20" t="n">
        <v>0</v>
      </c>
      <c r="Q31" s="18" t="n">
        <v>1.52555147</v>
      </c>
      <c r="R31" s="20" t="n">
        <v>0.51059197</v>
      </c>
    </row>
    <row r="32" spans="1:18">
      <c r="A32" s="15" t="s">
        <v>590</v>
      </c>
      <c r="B32" s="17" t="n">
        <v>2209</v>
      </c>
      <c r="C32" s="18">
        <f>(1688.0/B32*100)</f>
        <v/>
      </c>
      <c r="D32" s="19" t="n">
        <v>521</v>
      </c>
      <c r="E32" s="18" t="n">
        <v>25.4100192</v>
      </c>
      <c r="F32" s="20" t="n">
        <v>1.90138525</v>
      </c>
      <c r="G32" s="18" t="n">
        <v>72.6617044</v>
      </c>
      <c r="H32" s="20" t="n">
        <v>1.96478688</v>
      </c>
      <c r="I32" s="18" t="n">
        <v>0</v>
      </c>
      <c r="J32" s="20" t="n">
        <v>0</v>
      </c>
      <c r="K32" s="18" t="n">
        <v>0</v>
      </c>
      <c r="L32" s="20" t="n">
        <v>0</v>
      </c>
      <c r="M32" s="18" t="n">
        <v>0</v>
      </c>
      <c r="N32" s="20" t="n">
        <v>0</v>
      </c>
      <c r="O32" s="18" t="n">
        <v>0</v>
      </c>
      <c r="P32" s="20" t="n">
        <v>0</v>
      </c>
      <c r="Q32" s="18" t="n">
        <v>1.9282764</v>
      </c>
      <c r="R32" s="20" t="n">
        <v>0.50610278</v>
      </c>
    </row>
    <row r="33" spans="1:18">
      <c r="A33" s="15" t="s">
        <v>591</v>
      </c>
      <c r="B33" s="17" t="n">
        <v>3651</v>
      </c>
      <c r="C33" s="18">
        <f>(2798.0/B33*100)</f>
        <v/>
      </c>
      <c r="D33" s="19" t="n">
        <v>853</v>
      </c>
      <c r="E33" s="18" t="n">
        <v>16.83403205</v>
      </c>
      <c r="F33" s="20" t="n">
        <v>1.45089432</v>
      </c>
      <c r="G33" s="18" t="n">
        <v>81.58121792999999</v>
      </c>
      <c r="H33" s="20" t="n">
        <v>1.52594166</v>
      </c>
      <c r="I33" s="18" t="n">
        <v>0</v>
      </c>
      <c r="J33" s="20" t="n">
        <v>0</v>
      </c>
      <c r="K33" s="18" t="n">
        <v>0.14781662</v>
      </c>
      <c r="L33" s="20" t="n">
        <v>0.16391806</v>
      </c>
      <c r="M33" s="18" t="n">
        <v>0</v>
      </c>
      <c r="N33" s="20" t="n">
        <v>0</v>
      </c>
      <c r="O33" s="18" t="n">
        <v>0</v>
      </c>
      <c r="P33" s="20" t="n">
        <v>0</v>
      </c>
      <c r="Q33" s="18" t="n">
        <v>1.4369334</v>
      </c>
      <c r="R33" s="20" t="n">
        <v>0.40676495</v>
      </c>
    </row>
    <row r="34" spans="1:18">
      <c r="A34" s="15" t="s">
        <v>592</v>
      </c>
      <c r="B34" s="17" t="n">
        <v>3035</v>
      </c>
      <c r="C34" s="18">
        <f>(2408.0/B34*100)</f>
        <v/>
      </c>
      <c r="D34" s="19" t="n">
        <v>627</v>
      </c>
      <c r="E34" s="18" t="n">
        <v>22.45184198</v>
      </c>
      <c r="F34" s="20" t="n">
        <v>1.98721043</v>
      </c>
      <c r="G34" s="18" t="n">
        <v>74.1610348</v>
      </c>
      <c r="H34" s="20" t="n">
        <v>2.06654239</v>
      </c>
      <c r="I34" s="18" t="n">
        <v>0</v>
      </c>
      <c r="J34" s="20" t="n">
        <v>0</v>
      </c>
      <c r="K34" s="18" t="n">
        <v>0</v>
      </c>
      <c r="L34" s="20" t="n">
        <v>0</v>
      </c>
      <c r="M34" s="18" t="n">
        <v>0</v>
      </c>
      <c r="N34" s="20" t="n">
        <v>0</v>
      </c>
      <c r="O34" s="18" t="n">
        <v>0</v>
      </c>
      <c r="P34" s="20" t="n">
        <v>0</v>
      </c>
      <c r="Q34" s="18" t="n">
        <v>3.38712323</v>
      </c>
      <c r="R34" s="20" t="n">
        <v>0.81252272</v>
      </c>
    </row>
    <row r="35" spans="1:18">
      <c r="A35" s="15" t="s">
        <v>593</v>
      </c>
      <c r="B35" s="17" t="n">
        <v>2901</v>
      </c>
      <c r="C35" s="18">
        <f>(2281.0/B35*100)</f>
        <v/>
      </c>
      <c r="D35" s="19" t="n">
        <v>620</v>
      </c>
      <c r="E35" s="18" t="n">
        <v>17.19970461</v>
      </c>
      <c r="F35" s="20" t="n">
        <v>1.95909179</v>
      </c>
      <c r="G35" s="18" t="n">
        <v>78.83583539999999</v>
      </c>
      <c r="H35" s="20" t="n">
        <v>2.01697659</v>
      </c>
      <c r="I35" s="18" t="n">
        <v>0</v>
      </c>
      <c r="J35" s="20" t="n">
        <v>0</v>
      </c>
      <c r="K35" s="18" t="n">
        <v>0</v>
      </c>
      <c r="L35" s="20" t="n">
        <v>0</v>
      </c>
      <c r="M35" s="18" t="n">
        <v>0</v>
      </c>
      <c r="N35" s="20" t="n">
        <v>0</v>
      </c>
      <c r="O35" s="18" t="n">
        <v>0</v>
      </c>
      <c r="P35" s="20" t="n">
        <v>0</v>
      </c>
      <c r="Q35" s="18" t="n">
        <v>3.96445998</v>
      </c>
      <c r="R35" s="20" t="n">
        <v>0.80412527</v>
      </c>
    </row>
    <row r="36" spans="1:18">
      <c r="A36" s="15" t="s">
        <v>594</v>
      </c>
      <c r="B36" s="17" t="n">
        <v>3404</v>
      </c>
      <c r="C36" s="18">
        <f>(2621.0/B36*100)</f>
        <v/>
      </c>
      <c r="D36" s="19" t="n">
        <v>783</v>
      </c>
      <c r="E36" s="18" t="n">
        <v>18.77921561</v>
      </c>
      <c r="F36" s="20" t="n">
        <v>1.43298508</v>
      </c>
      <c r="G36" s="18" t="n">
        <v>77.8491865</v>
      </c>
      <c r="H36" s="20" t="n">
        <v>1.40645242</v>
      </c>
      <c r="I36" s="18" t="n">
        <v>0</v>
      </c>
      <c r="J36" s="20" t="n">
        <v>0</v>
      </c>
      <c r="K36" s="18" t="n">
        <v>0</v>
      </c>
      <c r="L36" s="20" t="n">
        <v>0</v>
      </c>
      <c r="M36" s="18" t="n">
        <v>0</v>
      </c>
      <c r="N36" s="20" t="n">
        <v>0</v>
      </c>
      <c r="O36" s="18" t="n">
        <v>0</v>
      </c>
      <c r="P36" s="20" t="n">
        <v>0</v>
      </c>
      <c r="Q36" s="18" t="n">
        <v>3.37159789</v>
      </c>
      <c r="R36" s="20" t="n">
        <v>0.6326144500000001</v>
      </c>
    </row>
    <row r="37" spans="1:18">
      <c r="A37" s="15" t="s">
        <v>595</v>
      </c>
      <c r="B37" s="17" t="n">
        <v>2731</v>
      </c>
      <c r="C37" s="18">
        <f>(2111.0/B37*100)</f>
        <v/>
      </c>
      <c r="D37" s="19" t="n">
        <v>620</v>
      </c>
      <c r="E37" s="18" t="n">
        <v>24.59899244</v>
      </c>
      <c r="F37" s="20" t="n">
        <v>1.67430245</v>
      </c>
      <c r="G37" s="18" t="n">
        <v>72.19065839</v>
      </c>
      <c r="H37" s="20" t="n">
        <v>1.80072873</v>
      </c>
      <c r="I37" s="18" t="n">
        <v>0</v>
      </c>
      <c r="J37" s="20" t="n">
        <v>0</v>
      </c>
      <c r="K37" s="18" t="n">
        <v>0</v>
      </c>
      <c r="L37" s="20" t="n">
        <v>0</v>
      </c>
      <c r="M37" s="18" t="n">
        <v>0</v>
      </c>
      <c r="N37" s="20" t="n">
        <v>0</v>
      </c>
      <c r="O37" s="18" t="n">
        <v>0</v>
      </c>
      <c r="P37" s="20" t="n">
        <v>0</v>
      </c>
      <c r="Q37" s="18" t="n">
        <v>3.21034917</v>
      </c>
      <c r="R37" s="20" t="n">
        <v>0.73393153</v>
      </c>
    </row>
    <row r="38" spans="1:18">
      <c r="A38" s="15" t="s">
        <v>596</v>
      </c>
      <c r="B38" s="17" t="n">
        <v>2807</v>
      </c>
      <c r="C38" s="18">
        <f>(2170.0/B38*100)</f>
        <v/>
      </c>
      <c r="D38" s="19" t="n">
        <v>637</v>
      </c>
      <c r="E38" s="18" t="n">
        <v>19.60191215</v>
      </c>
      <c r="F38" s="20" t="n">
        <v>2.16986992</v>
      </c>
      <c r="G38" s="18" t="n">
        <v>77.75992906</v>
      </c>
      <c r="H38" s="20" t="n">
        <v>2.17264889</v>
      </c>
      <c r="I38" s="18" t="n">
        <v>0</v>
      </c>
      <c r="J38" s="20" t="n">
        <v>0</v>
      </c>
      <c r="K38" s="18" t="n">
        <v>0</v>
      </c>
      <c r="L38" s="20" t="n">
        <v>0</v>
      </c>
      <c r="M38" s="18" t="n">
        <v>0</v>
      </c>
      <c r="N38" s="20" t="n">
        <v>0</v>
      </c>
      <c r="O38" s="18" t="n">
        <v>0</v>
      </c>
      <c r="P38" s="20" t="n">
        <v>0</v>
      </c>
      <c r="Q38" s="18" t="n">
        <v>2.63815879</v>
      </c>
      <c r="R38" s="20" t="n">
        <v>0.72924056</v>
      </c>
    </row>
    <row r="39" spans="1:18">
      <c r="A39" s="15" t="s">
        <v>597</v>
      </c>
      <c r="B39" s="17" t="n">
        <v>2938</v>
      </c>
      <c r="C39" s="18">
        <f>(2259.0/B39*100)</f>
        <v/>
      </c>
      <c r="D39" s="19" t="n">
        <v>679</v>
      </c>
      <c r="E39" s="18" t="n">
        <v>31.78035097</v>
      </c>
      <c r="F39" s="20" t="n">
        <v>1.66478431</v>
      </c>
      <c r="G39" s="18" t="n">
        <v>63.97213568</v>
      </c>
      <c r="H39" s="20" t="n">
        <v>1.66321268</v>
      </c>
      <c r="I39" s="18" t="n">
        <v>0</v>
      </c>
      <c r="J39" s="20" t="n">
        <v>0</v>
      </c>
      <c r="K39" s="18" t="n">
        <v>0</v>
      </c>
      <c r="L39" s="20" t="n">
        <v>0</v>
      </c>
      <c r="M39" s="18" t="n">
        <v>0</v>
      </c>
      <c r="N39" s="20" t="n">
        <v>0</v>
      </c>
      <c r="O39" s="18" t="n">
        <v>0</v>
      </c>
      <c r="P39" s="20" t="n">
        <v>0</v>
      </c>
      <c r="Q39" s="18" t="n">
        <v>4.24751335</v>
      </c>
      <c r="R39" s="20" t="n">
        <v>0.7908275299999999</v>
      </c>
    </row>
    <row r="40" spans="1:18">
      <c r="A40" s="15" t="s">
        <v>598</v>
      </c>
      <c r="B40" s="17" t="n">
        <v>6922</v>
      </c>
      <c r="C40" s="18">
        <f>(5382.0/B40*100)</f>
        <v/>
      </c>
      <c r="D40" s="19" t="n">
        <v>1540</v>
      </c>
      <c r="E40" s="18" t="n">
        <v>17.71805209</v>
      </c>
      <c r="F40" s="20" t="n">
        <v>1.50851779</v>
      </c>
      <c r="G40" s="18" t="n">
        <v>80.23074488</v>
      </c>
      <c r="H40" s="20" t="n">
        <v>1.5809624</v>
      </c>
      <c r="I40" s="18" t="n">
        <v>0</v>
      </c>
      <c r="J40" s="20" t="n">
        <v>0</v>
      </c>
      <c r="K40" s="18" t="n">
        <v>0</v>
      </c>
      <c r="L40" s="20" t="n">
        <v>0</v>
      </c>
      <c r="M40" s="18" t="n">
        <v>0</v>
      </c>
      <c r="N40" s="20" t="n">
        <v>0</v>
      </c>
      <c r="O40" s="18" t="n">
        <v>0</v>
      </c>
      <c r="P40" s="20" t="n">
        <v>0</v>
      </c>
      <c r="Q40" s="18" t="n">
        <v>2.05120304</v>
      </c>
      <c r="R40" s="20" t="n">
        <v>0.55054453</v>
      </c>
    </row>
    <row r="41" spans="1:18">
      <c r="A41" s="15" t="s">
        <v>599</v>
      </c>
      <c r="B41" s="17" t="n">
        <v>2854</v>
      </c>
      <c r="C41" s="18">
        <f>(2227.0/B41*100)</f>
        <v/>
      </c>
      <c r="D41" s="19" t="n">
        <v>627</v>
      </c>
      <c r="E41" s="18" t="n">
        <v>19.81781333</v>
      </c>
      <c r="F41" s="20" t="n">
        <v>1.91097733</v>
      </c>
      <c r="G41" s="18" t="n">
        <v>77.74985255</v>
      </c>
      <c r="H41" s="20" t="n">
        <v>1.99797551</v>
      </c>
      <c r="I41" s="18" t="n">
        <v>0</v>
      </c>
      <c r="J41" s="20" t="n">
        <v>0</v>
      </c>
      <c r="K41" s="18" t="n">
        <v>0</v>
      </c>
      <c r="L41" s="20" t="n">
        <v>0</v>
      </c>
      <c r="M41" s="18" t="n">
        <v>0</v>
      </c>
      <c r="N41" s="20" t="n">
        <v>0</v>
      </c>
      <c r="O41" s="18" t="n">
        <v>0</v>
      </c>
      <c r="P41" s="20" t="n">
        <v>0</v>
      </c>
      <c r="Q41" s="18" t="n">
        <v>2.43233412</v>
      </c>
      <c r="R41" s="20" t="n">
        <v>0.6176854899999999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(9574.0/B46*100)</f>
        <v/>
      </c>
      <c r="D46" s="19" t="n">
        <v>2499</v>
      </c>
      <c r="E46" s="18" t="n">
        <v>33.80003157</v>
      </c>
      <c r="F46" s="20" t="n">
        <v>1.45608498</v>
      </c>
      <c r="G46" s="18" t="n">
        <v>54.48620545</v>
      </c>
      <c r="H46" s="20" t="n">
        <v>1.61146216</v>
      </c>
      <c r="I46" s="18" t="n">
        <v>0</v>
      </c>
      <c r="J46" s="20" t="n">
        <v>0</v>
      </c>
      <c r="K46" s="18" t="n">
        <v>0.41563514</v>
      </c>
      <c r="L46" s="20" t="n">
        <v>0.24451051</v>
      </c>
      <c r="M46" s="18" t="n">
        <v>0</v>
      </c>
      <c r="N46" s="20" t="n">
        <v>0</v>
      </c>
      <c r="O46" s="18" t="n">
        <v>0</v>
      </c>
      <c r="P46" s="20" t="n">
        <v>0</v>
      </c>
      <c r="Q46" s="18" t="n">
        <v>11.29812785</v>
      </c>
      <c r="R46" s="20" t="n">
        <v>1.01814371</v>
      </c>
    </row>
    <row r="47" spans="1:18">
      <c r="A47" s="15" t="s">
        <v>606</v>
      </c>
      <c r="B47" s="17" t="n">
        <v>2823</v>
      </c>
      <c r="C47" s="18">
        <f>(2206.0/B47*100)</f>
        <v/>
      </c>
      <c r="D47" s="19" t="n">
        <v>617</v>
      </c>
      <c r="E47" s="18" t="n">
        <v>29.92040045</v>
      </c>
      <c r="F47" s="20" t="n">
        <v>1.89074018</v>
      </c>
      <c r="G47" s="18" t="n">
        <v>62.8590216</v>
      </c>
      <c r="H47" s="20" t="n">
        <v>2.22910775</v>
      </c>
      <c r="I47" s="18" t="n">
        <v>0</v>
      </c>
      <c r="J47" s="20" t="n">
        <v>0</v>
      </c>
      <c r="K47" s="18" t="n">
        <v>0.15057705</v>
      </c>
      <c r="L47" s="20" t="n">
        <v>0.15199044</v>
      </c>
      <c r="M47" s="18" t="n">
        <v>0</v>
      </c>
      <c r="N47" s="20" t="n">
        <v>0</v>
      </c>
      <c r="O47" s="18" t="n">
        <v>0</v>
      </c>
      <c r="P47" s="20" t="n">
        <v>0</v>
      </c>
      <c r="Q47" s="18" t="n">
        <v>7.0700009</v>
      </c>
      <c r="R47" s="20" t="n">
        <v>1.10676816</v>
      </c>
    </row>
    <row r="48" spans="1:18">
      <c r="A48" s="15" t="s">
        <v>607</v>
      </c>
      <c r="B48" s="17" t="n">
        <v>4682</v>
      </c>
      <c r="C48" s="18">
        <f>(3640.0/B48*100)</f>
        <v/>
      </c>
      <c r="D48" s="19" t="n">
        <v>1042</v>
      </c>
      <c r="E48" s="18" t="n">
        <v>18.18378251</v>
      </c>
      <c r="F48" s="20" t="n">
        <v>1.4255802</v>
      </c>
      <c r="G48" s="18" t="n">
        <v>77.08338919000001</v>
      </c>
      <c r="H48" s="20" t="n">
        <v>1.86867356</v>
      </c>
      <c r="I48" s="18" t="n">
        <v>0</v>
      </c>
      <c r="J48" s="20" t="n">
        <v>0</v>
      </c>
      <c r="K48" s="18" t="n">
        <v>0.29815253</v>
      </c>
      <c r="L48" s="20" t="n">
        <v>0.21133908</v>
      </c>
      <c r="M48" s="18" t="n">
        <v>0</v>
      </c>
      <c r="N48" s="20" t="n">
        <v>0</v>
      </c>
      <c r="O48" s="18" t="n">
        <v>0</v>
      </c>
      <c r="P48" s="20" t="n">
        <v>0</v>
      </c>
      <c r="Q48" s="18" t="n">
        <v>4.43467576</v>
      </c>
      <c r="R48" s="20" t="n">
        <v>0.93033462</v>
      </c>
    </row>
    <row r="49" spans="1:18">
      <c r="A49" s="15" t="s">
        <v>608</v>
      </c>
      <c r="B49" s="17" t="n">
        <v>6158</v>
      </c>
      <c r="C49" s="18">
        <f>(4797.0/B49*100)</f>
        <v/>
      </c>
      <c r="D49" s="19" t="n">
        <v>1361</v>
      </c>
      <c r="E49" s="18" t="n">
        <v>31.71813013</v>
      </c>
      <c r="F49" s="20" t="n">
        <v>1.92907381</v>
      </c>
      <c r="G49" s="18" t="n">
        <v>59.65330179</v>
      </c>
      <c r="H49" s="20" t="n">
        <v>2.08844102</v>
      </c>
      <c r="I49" s="18" t="n">
        <v>0</v>
      </c>
      <c r="J49" s="20" t="n">
        <v>0</v>
      </c>
      <c r="K49" s="18" t="n">
        <v>0.15642575</v>
      </c>
      <c r="L49" s="20" t="n">
        <v>0.10620508</v>
      </c>
      <c r="M49" s="18" t="n">
        <v>0</v>
      </c>
      <c r="N49" s="20" t="n">
        <v>0</v>
      </c>
      <c r="O49" s="18" t="n">
        <v>0</v>
      </c>
      <c r="P49" s="20" t="n">
        <v>0</v>
      </c>
      <c r="Q49" s="18" t="n">
        <v>8.47214232</v>
      </c>
      <c r="R49" s="20" t="n">
        <v>1.21364537</v>
      </c>
    </row>
    <row r="50" spans="1:18">
      <c r="A50" s="15" t="s">
        <v>609</v>
      </c>
      <c r="B50" s="17" t="n">
        <v>3494</v>
      </c>
      <c r="C50" s="18">
        <f>(2790.0/B50*100)</f>
        <v/>
      </c>
      <c r="D50" s="19" t="n">
        <v>704</v>
      </c>
      <c r="E50" s="18" t="n">
        <v>30.71697414</v>
      </c>
      <c r="F50" s="20" t="n">
        <v>1.83171038</v>
      </c>
      <c r="G50" s="18" t="n">
        <v>62.13411657</v>
      </c>
      <c r="H50" s="20" t="n">
        <v>2.06423767</v>
      </c>
      <c r="I50" s="18" t="n">
        <v>0</v>
      </c>
      <c r="J50" s="20" t="n">
        <v>0</v>
      </c>
      <c r="K50" s="18" t="n">
        <v>0</v>
      </c>
      <c r="L50" s="20" t="n">
        <v>0</v>
      </c>
      <c r="M50" s="18" t="n">
        <v>0</v>
      </c>
      <c r="N50" s="20" t="n">
        <v>0</v>
      </c>
      <c r="O50" s="18" t="n">
        <v>0</v>
      </c>
      <c r="P50" s="20" t="n">
        <v>0</v>
      </c>
      <c r="Q50" s="18" t="n">
        <v>7.14890929</v>
      </c>
      <c r="R50" s="20" t="n">
        <v>1.16970807</v>
      </c>
    </row>
    <row r="51" spans="1:18">
      <c r="A51" s="15" t="s">
        <v>610</v>
      </c>
      <c r="B51" s="17" t="n">
        <v>3013</v>
      </c>
      <c r="C51" s="18">
        <f>(2333.0/B51*100)</f>
        <v/>
      </c>
      <c r="D51" s="19" t="n">
        <v>680</v>
      </c>
      <c r="E51" s="18" t="n">
        <v>24.21683258</v>
      </c>
      <c r="F51" s="20" t="n">
        <v>1.70414979</v>
      </c>
      <c r="G51" s="18" t="n">
        <v>72.17668135</v>
      </c>
      <c r="H51" s="20" t="n">
        <v>1.8848764</v>
      </c>
      <c r="I51" s="18" t="n">
        <v>0</v>
      </c>
      <c r="J51" s="20" t="n">
        <v>0</v>
      </c>
      <c r="K51" s="18" t="n">
        <v>0</v>
      </c>
      <c r="L51" s="20" t="n">
        <v>0</v>
      </c>
      <c r="M51" s="18" t="n">
        <v>0</v>
      </c>
      <c r="N51" s="20" t="n">
        <v>0</v>
      </c>
      <c r="O51" s="18" t="n">
        <v>0</v>
      </c>
      <c r="P51" s="20" t="n">
        <v>0</v>
      </c>
      <c r="Q51" s="18" t="n">
        <v>3.60648607</v>
      </c>
      <c r="R51" s="20" t="n">
        <v>0.82131318</v>
      </c>
    </row>
    <row r="52" spans="1:18">
      <c r="A52" s="15" t="s">
        <v>611</v>
      </c>
      <c r="B52" s="17" t="n">
        <v>2760</v>
      </c>
      <c r="C52" s="18">
        <f>(2124.0/B52*100)</f>
        <v/>
      </c>
      <c r="D52" s="19" t="n">
        <v>636</v>
      </c>
      <c r="E52" s="18" t="n">
        <v>22.28509362</v>
      </c>
      <c r="F52" s="20" t="n">
        <v>1.63796658</v>
      </c>
      <c r="G52" s="18" t="n">
        <v>73.95819508</v>
      </c>
      <c r="H52" s="20" t="n">
        <v>1.71011993</v>
      </c>
      <c r="I52" s="18" t="n">
        <v>0</v>
      </c>
      <c r="J52" s="20" t="n">
        <v>0</v>
      </c>
      <c r="K52" s="18" t="n">
        <v>0.11230982</v>
      </c>
      <c r="L52" s="20" t="n">
        <v>0.11304014</v>
      </c>
      <c r="M52" s="18" t="n">
        <v>0</v>
      </c>
      <c r="N52" s="20" t="n">
        <v>0</v>
      </c>
      <c r="O52" s="18" t="n">
        <v>0</v>
      </c>
      <c r="P52" s="20" t="n">
        <v>0</v>
      </c>
      <c r="Q52" s="18" t="n">
        <v>3.64440147</v>
      </c>
      <c r="R52" s="20" t="n">
        <v>0.6727581500000001</v>
      </c>
    </row>
    <row r="53" spans="1:18">
      <c r="A53" s="15" t="s">
        <v>612</v>
      </c>
      <c r="B53" s="17" t="n">
        <v>2474</v>
      </c>
      <c r="C53" s="18">
        <f>(1949.0/B53*100)</f>
        <v/>
      </c>
      <c r="D53" s="19" t="n">
        <v>525</v>
      </c>
      <c r="E53" s="18" t="n">
        <v>29.57505117</v>
      </c>
      <c r="F53" s="20" t="n">
        <v>2.2515559</v>
      </c>
      <c r="G53" s="18" t="n">
        <v>40.82302651</v>
      </c>
      <c r="H53" s="20" t="n">
        <v>2.47336477</v>
      </c>
      <c r="I53" s="18" t="n">
        <v>0</v>
      </c>
      <c r="J53" s="20" t="n">
        <v>0</v>
      </c>
      <c r="K53" s="18" t="n">
        <v>3.13133279</v>
      </c>
      <c r="L53" s="20" t="n">
        <v>0.95497722</v>
      </c>
      <c r="M53" s="18" t="n">
        <v>0</v>
      </c>
      <c r="N53" s="20" t="n">
        <v>0</v>
      </c>
      <c r="O53" s="18" t="n">
        <v>0</v>
      </c>
      <c r="P53" s="20" t="n">
        <v>0</v>
      </c>
      <c r="Q53" s="18" t="n">
        <v>26.47058953</v>
      </c>
      <c r="R53" s="20" t="n">
        <v>2.37709303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(2076.0/B55*100)</f>
        <v/>
      </c>
      <c r="D55" s="19" t="n">
        <v>599</v>
      </c>
      <c r="E55" s="18" t="n">
        <v>20.22224649</v>
      </c>
      <c r="F55" s="20" t="n">
        <v>1.62174207</v>
      </c>
      <c r="G55" s="18" t="n">
        <v>78.92695716</v>
      </c>
      <c r="H55" s="20" t="n">
        <v>1.59907218</v>
      </c>
      <c r="I55" s="18" t="n">
        <v>0</v>
      </c>
      <c r="J55" s="20" t="n">
        <v>0</v>
      </c>
      <c r="K55" s="18" t="n">
        <v>0.32758668</v>
      </c>
      <c r="L55" s="20" t="n">
        <v>0.31476039</v>
      </c>
      <c r="M55" s="18" t="n">
        <v>0</v>
      </c>
      <c r="N55" s="20" t="n">
        <v>0</v>
      </c>
      <c r="O55" s="18" t="n">
        <v>0</v>
      </c>
      <c r="P55" s="20" t="n">
        <v>0</v>
      </c>
      <c r="Q55" s="18" t="n">
        <v>0.52320967</v>
      </c>
      <c r="R55" s="20" t="n">
        <v>0.29508651</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(2482.0/B61*100)</f>
        <v/>
      </c>
      <c r="D61" s="19" t="n">
        <v>719</v>
      </c>
      <c r="E61" s="18" t="n">
        <v>24.23919458</v>
      </c>
      <c r="F61" s="20" t="n">
        <v>1.73446047</v>
      </c>
      <c r="G61" s="18" t="n">
        <v>72.27660016</v>
      </c>
      <c r="H61" s="20" t="n">
        <v>1.85440855</v>
      </c>
      <c r="I61" s="18" t="n">
        <v>0</v>
      </c>
      <c r="J61" s="20" t="n">
        <v>0</v>
      </c>
      <c r="K61" s="18" t="n">
        <v>0.17999217</v>
      </c>
      <c r="L61" s="20" t="n">
        <v>0.1851405</v>
      </c>
      <c r="M61" s="18" t="n">
        <v>0</v>
      </c>
      <c r="N61" s="20" t="n">
        <v>0</v>
      </c>
      <c r="O61" s="18" t="n">
        <v>0</v>
      </c>
      <c r="P61" s="20" t="n">
        <v>0</v>
      </c>
      <c r="Q61" s="18" t="n">
        <v>3.30421309</v>
      </c>
      <c r="R61" s="20" t="n">
        <v>0.75170336</v>
      </c>
    </row>
    <row r="62" spans="1:18">
      <c r="A62" s="15" t="s">
        <v>622</v>
      </c>
      <c r="B62" s="17" t="n">
        <v>2230</v>
      </c>
      <c r="C62" s="18">
        <f>(1723.0/B62*100)</f>
        <v/>
      </c>
      <c r="D62" s="19" t="n">
        <v>507</v>
      </c>
      <c r="E62" s="18" t="n">
        <v>18.75333191</v>
      </c>
      <c r="F62" s="20" t="n">
        <v>1.63481794</v>
      </c>
      <c r="G62" s="18" t="n">
        <v>81.05078833</v>
      </c>
      <c r="H62" s="20" t="n">
        <v>1.63241456</v>
      </c>
      <c r="I62" s="18" t="n">
        <v>0</v>
      </c>
      <c r="J62" s="20" t="n">
        <v>0</v>
      </c>
      <c r="K62" s="18" t="n">
        <v>0</v>
      </c>
      <c r="L62" s="20" t="n">
        <v>0</v>
      </c>
      <c r="M62" s="18" t="n">
        <v>0</v>
      </c>
      <c r="N62" s="20" t="n">
        <v>0</v>
      </c>
      <c r="O62" s="18" t="n">
        <v>0</v>
      </c>
      <c r="P62" s="20" t="n">
        <v>0</v>
      </c>
      <c r="Q62" s="18" t="n">
        <v>0.19587976</v>
      </c>
      <c r="R62" s="20" t="n">
        <v>0.19483383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(2181.0/B67*100)</f>
        <v/>
      </c>
      <c r="D67" s="19" t="n">
        <v>590</v>
      </c>
      <c r="E67" s="18" t="n">
        <v>38.48723448</v>
      </c>
      <c r="F67" s="20" t="n">
        <v>1.89423024</v>
      </c>
      <c r="G67" s="18" t="n">
        <v>52.55695938</v>
      </c>
      <c r="H67" s="20" t="n">
        <v>2.01975676</v>
      </c>
      <c r="I67" s="18" t="n">
        <v>0</v>
      </c>
      <c r="J67" s="20" t="n">
        <v>0</v>
      </c>
      <c r="K67" s="18" t="n">
        <v>0.23496748</v>
      </c>
      <c r="L67" s="20" t="n">
        <v>0.23610488</v>
      </c>
      <c r="M67" s="18" t="n">
        <v>0</v>
      </c>
      <c r="N67" s="20" t="n">
        <v>0</v>
      </c>
      <c r="O67" s="18" t="n">
        <v>0</v>
      </c>
      <c r="P67" s="20" t="n">
        <v>0</v>
      </c>
      <c r="Q67" s="18" t="n">
        <v>8.720838669999999</v>
      </c>
      <c r="R67" s="20" t="n">
        <v>0.93968153</v>
      </c>
    </row>
    <row r="68" spans="1:18">
      <c r="A68" s="15" t="s">
        <v>628</v>
      </c>
      <c r="B68" s="17" t="n">
        <v>3460</v>
      </c>
      <c r="C68" s="18">
        <f>(2725.0/B68*100)</f>
        <v/>
      </c>
      <c r="D68" s="19" t="n">
        <v>735</v>
      </c>
      <c r="E68" s="18" t="n">
        <v>34.96981775</v>
      </c>
      <c r="F68" s="20" t="n">
        <v>1.74992536</v>
      </c>
      <c r="G68" s="18" t="n">
        <v>52.94769636</v>
      </c>
      <c r="H68" s="20" t="n">
        <v>1.62851746</v>
      </c>
      <c r="I68" s="18" t="n">
        <v>0</v>
      </c>
      <c r="J68" s="20" t="n">
        <v>0</v>
      </c>
      <c r="K68" s="18" t="n">
        <v>0</v>
      </c>
      <c r="L68" s="20" t="n">
        <v>0</v>
      </c>
      <c r="M68" s="18" t="n">
        <v>0</v>
      </c>
      <c r="N68" s="20" t="n">
        <v>0</v>
      </c>
      <c r="O68" s="18" t="n">
        <v>0</v>
      </c>
      <c r="P68" s="20" t="n">
        <v>0</v>
      </c>
      <c r="Q68" s="18" t="n">
        <v>12.08248589</v>
      </c>
      <c r="R68" s="20" t="n">
        <v>1.35037043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(4721.0/B70*100)</f>
        <v/>
      </c>
      <c r="D70" s="19" t="n">
        <v>1313</v>
      </c>
      <c r="E70" s="18" t="n">
        <v>32.97891489</v>
      </c>
      <c r="F70" s="20" t="n">
        <v>1.24354139</v>
      </c>
      <c r="G70" s="18" t="n">
        <v>62.71731242</v>
      </c>
      <c r="H70" s="20" t="n">
        <v>1.29306726</v>
      </c>
      <c r="I70" s="18" t="n">
        <v>0</v>
      </c>
      <c r="J70" s="20" t="n">
        <v>0</v>
      </c>
      <c r="K70" s="18" t="n">
        <v>0.34121372</v>
      </c>
      <c r="L70" s="20" t="n">
        <v>0.17163565</v>
      </c>
      <c r="M70" s="18" t="n">
        <v>0</v>
      </c>
      <c r="N70" s="20" t="n">
        <v>0</v>
      </c>
      <c r="O70" s="18" t="n">
        <v>0</v>
      </c>
      <c r="P70" s="20" t="n">
        <v>0</v>
      </c>
      <c r="Q70" s="18" t="n">
        <v>3.96255896</v>
      </c>
      <c r="R70" s="20" t="n">
        <v>0.52931599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(2418.0/B72*100)</f>
        <v/>
      </c>
      <c r="D72" s="19" t="n">
        <v>689</v>
      </c>
      <c r="E72" s="18" t="n">
        <v>24.21762412</v>
      </c>
      <c r="F72" s="20" t="n">
        <v>1.89311578</v>
      </c>
      <c r="G72" s="18" t="n">
        <v>72.96083693</v>
      </c>
      <c r="H72" s="20" t="n">
        <v>1.9057873</v>
      </c>
      <c r="I72" s="18" t="n">
        <v>0</v>
      </c>
      <c r="J72" s="20" t="n">
        <v>0</v>
      </c>
      <c r="K72" s="18" t="n">
        <v>0</v>
      </c>
      <c r="L72" s="20" t="n">
        <v>0</v>
      </c>
      <c r="M72" s="18" t="n">
        <v>0</v>
      </c>
      <c r="N72" s="20" t="n">
        <v>0</v>
      </c>
      <c r="O72" s="18" t="n">
        <v>0</v>
      </c>
      <c r="P72" s="20" t="n">
        <v>0</v>
      </c>
      <c r="Q72" s="18" t="n">
        <v>2.82153895</v>
      </c>
      <c r="R72" s="20" t="n">
        <v>0.48852707</v>
      </c>
    </row>
    <row r="73" spans="1:18">
      <c r="A73" s="15" t="s">
        <v>633</v>
      </c>
      <c r="B73" s="17" t="n">
        <v>2973</v>
      </c>
      <c r="C73" s="18">
        <f>(2301.0/B73*100)</f>
        <v/>
      </c>
      <c r="D73" s="19" t="n">
        <v>672</v>
      </c>
      <c r="E73" s="18" t="n">
        <v>17.08747183</v>
      </c>
      <c r="F73" s="20" t="n">
        <v>1.83488878</v>
      </c>
      <c r="G73" s="18" t="n">
        <v>82.37093360999999</v>
      </c>
      <c r="H73" s="20" t="n">
        <v>1.86952491</v>
      </c>
      <c r="I73" s="18" t="n">
        <v>0</v>
      </c>
      <c r="J73" s="20" t="n">
        <v>0</v>
      </c>
      <c r="K73" s="18" t="n">
        <v>0</v>
      </c>
      <c r="L73" s="20" t="n">
        <v>0</v>
      </c>
      <c r="M73" s="18" t="n">
        <v>0</v>
      </c>
      <c r="N73" s="20" t="n">
        <v>0</v>
      </c>
      <c r="O73" s="18" t="n">
        <v>0</v>
      </c>
      <c r="P73" s="20" t="n">
        <v>0</v>
      </c>
      <c r="Q73" s="18" t="n">
        <v>0.5415945599999999</v>
      </c>
      <c r="R73" s="20" t="n">
        <v>0.286345</v>
      </c>
    </row>
    <row r="74" spans="1:18">
      <c r="A74" s="15" t="s">
        <v>634</v>
      </c>
      <c r="B74" s="17" t="n">
        <v>3819</v>
      </c>
      <c r="C74" s="18">
        <f>(2927.0/B74*100)</f>
        <v/>
      </c>
      <c r="D74" s="19" t="n">
        <v>892</v>
      </c>
      <c r="E74" s="18" t="n">
        <v>15.66724559</v>
      </c>
      <c r="F74" s="20" t="n">
        <v>1.43046102</v>
      </c>
      <c r="G74" s="18" t="n">
        <v>83.32443739</v>
      </c>
      <c r="H74" s="20" t="n">
        <v>1.40281652</v>
      </c>
      <c r="I74" s="18" t="n">
        <v>0</v>
      </c>
      <c r="J74" s="20" t="n">
        <v>0</v>
      </c>
      <c r="K74" s="18" t="n">
        <v>0</v>
      </c>
      <c r="L74" s="20" t="n">
        <v>0</v>
      </c>
      <c r="M74" s="18" t="n">
        <v>0</v>
      </c>
      <c r="N74" s="20" t="n">
        <v>0</v>
      </c>
      <c r="O74" s="18" t="n">
        <v>0</v>
      </c>
      <c r="P74" s="20" t="n">
        <v>0</v>
      </c>
      <c r="Q74" s="18" t="n">
        <v>1.00831702</v>
      </c>
      <c r="R74" s="20" t="n">
        <v>0.29112961</v>
      </c>
    </row>
    <row r="75" spans="1:18">
      <c r="A75" s="15" t="s">
        <v>635</v>
      </c>
      <c r="B75" s="17" t="n">
        <v>4652</v>
      </c>
      <c r="C75" s="18">
        <f>(3588.0/B75*100)</f>
        <v/>
      </c>
      <c r="D75" s="19" t="n">
        <v>1064</v>
      </c>
      <c r="E75" s="18" t="n">
        <v>31.8658573</v>
      </c>
      <c r="F75" s="20" t="n">
        <v>1.79536555</v>
      </c>
      <c r="G75" s="18" t="n">
        <v>62.23111106</v>
      </c>
      <c r="H75" s="20" t="n">
        <v>1.99862039</v>
      </c>
      <c r="I75" s="18" t="n">
        <v>0</v>
      </c>
      <c r="J75" s="20" t="n">
        <v>0</v>
      </c>
      <c r="K75" s="18" t="n">
        <v>0</v>
      </c>
      <c r="L75" s="20" t="n">
        <v>0</v>
      </c>
      <c r="M75" s="18" t="n">
        <v>0</v>
      </c>
      <c r="N75" s="20" t="n">
        <v>0</v>
      </c>
      <c r="O75" s="18" t="n">
        <v>0</v>
      </c>
      <c r="P75" s="20" t="n">
        <v>0</v>
      </c>
      <c r="Q75" s="18" t="n">
        <v>5.90303164</v>
      </c>
      <c r="R75" s="20" t="n">
        <v>0.9425497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(2325.0/B77*100)</f>
        <v/>
      </c>
      <c r="D77" s="19" t="n">
        <v>644</v>
      </c>
      <c r="E77" s="18" t="n">
        <v>34.26985053</v>
      </c>
      <c r="F77" s="20" t="n">
        <v>1.99170965</v>
      </c>
      <c r="G77" s="18" t="n">
        <v>59.21041251</v>
      </c>
      <c r="H77" s="20" t="n">
        <v>1.93964523</v>
      </c>
      <c r="I77" s="18" t="n">
        <v>0</v>
      </c>
      <c r="J77" s="20" t="n">
        <v>0</v>
      </c>
      <c r="K77" s="18" t="n">
        <v>1.20834682</v>
      </c>
      <c r="L77" s="20" t="n">
        <v>0.49582157</v>
      </c>
      <c r="M77" s="18" t="n">
        <v>0</v>
      </c>
      <c r="N77" s="20" t="n">
        <v>0</v>
      </c>
      <c r="O77" s="18" t="n">
        <v>0</v>
      </c>
      <c r="P77" s="20" t="n">
        <v>0</v>
      </c>
      <c r="Q77" s="18" t="n">
        <v>5.31139014</v>
      </c>
      <c r="R77" s="20" t="n">
        <v>1.12827183</v>
      </c>
    </row>
    <row r="78" spans="1:18">
      <c r="A78" s="15" t="s">
        <v>638</v>
      </c>
      <c r="B78" s="17" t="n">
        <v>7115</v>
      </c>
      <c r="C78" s="18">
        <f>(5530.0/B78*100)</f>
        <v/>
      </c>
      <c r="D78" s="19" t="n">
        <v>1585</v>
      </c>
      <c r="E78" s="18" t="n">
        <v>28.05954712</v>
      </c>
      <c r="F78" s="20" t="n">
        <v>1.41731753</v>
      </c>
      <c r="G78" s="18" t="n">
        <v>68.93653641</v>
      </c>
      <c r="H78" s="20" t="n">
        <v>1.58857093</v>
      </c>
      <c r="I78" s="18" t="n">
        <v>0</v>
      </c>
      <c r="J78" s="20" t="n">
        <v>0</v>
      </c>
      <c r="K78" s="18" t="n">
        <v>0.28091637</v>
      </c>
      <c r="L78" s="20" t="n">
        <v>0.14536044</v>
      </c>
      <c r="M78" s="18" t="n">
        <v>0</v>
      </c>
      <c r="N78" s="20" t="n">
        <v>0</v>
      </c>
      <c r="O78" s="18" t="n">
        <v>0</v>
      </c>
      <c r="P78" s="20" t="n">
        <v>0</v>
      </c>
      <c r="Q78" s="18" t="n">
        <v>2.7230001</v>
      </c>
      <c r="R78" s="20" t="n">
        <v>0.5396733500000001</v>
      </c>
    </row>
    <row r="79" spans="1:18">
      <c r="A79" s="15" t="s">
        <v>639</v>
      </c>
      <c r="B79" s="17" t="n">
        <v>3154</v>
      </c>
      <c r="C79" s="18">
        <f>(2477.0/B79*100)</f>
        <v/>
      </c>
      <c r="D79" s="19" t="n">
        <v>677</v>
      </c>
      <c r="E79" s="18" t="n">
        <v>29.45338875</v>
      </c>
      <c r="F79" s="20" t="n">
        <v>1.90795657</v>
      </c>
      <c r="G79" s="18" t="n">
        <v>62.84228462</v>
      </c>
      <c r="H79" s="20" t="n">
        <v>1.81382826</v>
      </c>
      <c r="I79" s="18" t="n">
        <v>0</v>
      </c>
      <c r="J79" s="20" t="n">
        <v>0</v>
      </c>
      <c r="K79" s="18" t="n">
        <v>0</v>
      </c>
      <c r="L79" s="20" t="n">
        <v>0</v>
      </c>
      <c r="M79" s="18" t="n">
        <v>0</v>
      </c>
      <c r="N79" s="20" t="n">
        <v>0</v>
      </c>
      <c r="O79" s="18" t="n">
        <v>0</v>
      </c>
      <c r="P79" s="20" t="n">
        <v>0</v>
      </c>
      <c r="Q79" s="18" t="n">
        <v>7.70432663</v>
      </c>
      <c r="R79" s="20" t="n">
        <v>1.08070259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(12383.0/B82*100)</f>
        <v/>
      </c>
      <c r="D82" s="19" t="n">
        <v>3578</v>
      </c>
      <c r="E82" s="18" t="n">
        <v>19.97284474</v>
      </c>
      <c r="F82" s="20" t="n">
        <v>1.03162084</v>
      </c>
      <c r="G82" s="18" t="n">
        <v>76.72359019</v>
      </c>
      <c r="H82" s="20" t="n">
        <v>1.06619306</v>
      </c>
      <c r="I82" s="18" t="n">
        <v>0</v>
      </c>
      <c r="J82" s="20" t="n">
        <v>0</v>
      </c>
      <c r="K82" s="18" t="n">
        <v>0.0502697</v>
      </c>
      <c r="L82" s="20" t="n">
        <v>0.03281499</v>
      </c>
      <c r="M82" s="18" t="n">
        <v>0</v>
      </c>
      <c r="N82" s="20" t="n">
        <v>0</v>
      </c>
      <c r="O82" s="18" t="n">
        <v>0</v>
      </c>
      <c r="P82" s="20" t="n">
        <v>0</v>
      </c>
      <c r="Q82" s="18" t="n">
        <v>3.25329537</v>
      </c>
      <c r="R82" s="20" t="n">
        <v>0.41940656</v>
      </c>
    </row>
    <row r="83" spans="1:18">
      <c r="A83" s="15" t="s">
        <v>643</v>
      </c>
      <c r="B83" s="17" t="n">
        <v>808</v>
      </c>
      <c r="C83" s="18">
        <f>(647.0/B83*100)</f>
        <v/>
      </c>
      <c r="D83" s="19" t="n">
        <v>161</v>
      </c>
      <c r="E83" s="18" t="n">
        <v>13.05306275</v>
      </c>
      <c r="F83" s="20" t="n">
        <v>2.74233162</v>
      </c>
      <c r="G83" s="18" t="n">
        <v>85.19559574</v>
      </c>
      <c r="H83" s="20" t="n">
        <v>2.85184458</v>
      </c>
      <c r="I83" s="18" t="n">
        <v>0</v>
      </c>
      <c r="J83" s="20" t="n">
        <v>0</v>
      </c>
      <c r="K83" s="18" t="n">
        <v>0</v>
      </c>
      <c r="L83" s="20" t="n">
        <v>0</v>
      </c>
      <c r="M83" s="18" t="n">
        <v>0</v>
      </c>
      <c r="N83" s="20" t="n">
        <v>0</v>
      </c>
      <c r="O83" s="18" t="n">
        <v>0</v>
      </c>
      <c r="P83" s="20" t="n">
        <v>0</v>
      </c>
      <c r="Q83" s="18" t="n">
        <v>1.75134151</v>
      </c>
      <c r="R83" s="20" t="n">
        <v>1.01723526</v>
      </c>
    </row>
    <row r="84" spans="1:18">
      <c r="A84" s="23" t="s">
        <v>644</v>
      </c>
      <c r="B84" s="24" t="n">
        <v>938</v>
      </c>
      <c r="C84" s="25">
        <f>(740.0/B84*100)</f>
        <v/>
      </c>
      <c r="D84" s="19" t="n">
        <v>198</v>
      </c>
      <c r="E84" s="18" t="n">
        <v>18.89053563</v>
      </c>
      <c r="F84" s="20" t="n">
        <v>2.48892392</v>
      </c>
      <c r="G84" s="18" t="n">
        <v>80.10988052</v>
      </c>
      <c r="H84" s="20" t="n">
        <v>2.4453553</v>
      </c>
      <c r="I84" s="18" t="n">
        <v>0</v>
      </c>
      <c r="J84" s="20" t="n">
        <v>0</v>
      </c>
      <c r="K84" s="18" t="n">
        <v>0</v>
      </c>
      <c r="L84" s="20" t="n">
        <v>0</v>
      </c>
      <c r="M84" s="18" t="n">
        <v>0</v>
      </c>
      <c r="N84" s="20" t="n">
        <v>0</v>
      </c>
      <c r="O84" s="18" t="n">
        <v>0</v>
      </c>
      <c r="P84" s="20" t="n">
        <v>0</v>
      </c>
      <c r="Q84" s="18" t="n">
        <v>0.9995838500000001</v>
      </c>
      <c r="R84" s="20" t="n">
        <v>0.73432465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(5590.0/B7*100)</f>
        <v/>
      </c>
      <c r="D7" s="19" t="n">
        <v>1573</v>
      </c>
      <c r="E7" s="18" t="n">
        <v>22.97172797</v>
      </c>
      <c r="F7" s="20" t="n">
        <v>1.29518868</v>
      </c>
      <c r="G7" s="18" t="n">
        <v>76.67124893</v>
      </c>
      <c r="H7" s="20" t="n">
        <v>1.29026966</v>
      </c>
      <c r="I7" s="18" t="n">
        <v>0</v>
      </c>
      <c r="J7" s="20" t="n">
        <v>0</v>
      </c>
      <c r="K7" s="18" t="n">
        <v>0.02259532</v>
      </c>
      <c r="L7" s="20" t="n">
        <v>0.02043402</v>
      </c>
      <c r="M7" s="18" t="n">
        <v>0</v>
      </c>
      <c r="N7" s="20" t="n">
        <v>0</v>
      </c>
      <c r="O7" s="18" t="n">
        <v>0</v>
      </c>
      <c r="P7" s="20" t="n">
        <v>0</v>
      </c>
      <c r="Q7" s="18" t="n">
        <v>0.33442778</v>
      </c>
      <c r="R7" s="20" t="n">
        <v>0.16803282</v>
      </c>
    </row>
    <row r="8" spans="1:18">
      <c r="A8" s="15" t="s">
        <v>566</v>
      </c>
      <c r="B8" s="17" t="n">
        <v>3443</v>
      </c>
      <c r="C8" s="18">
        <f>(2669.0/B8*100)</f>
        <v/>
      </c>
      <c r="D8" s="19" t="n">
        <v>774</v>
      </c>
      <c r="E8" s="18" t="n">
        <v>36.64346467</v>
      </c>
      <c r="F8" s="20" t="n">
        <v>1.71359219</v>
      </c>
      <c r="G8" s="18" t="n">
        <v>63.27757019</v>
      </c>
      <c r="H8" s="20" t="n">
        <v>1.70726021</v>
      </c>
      <c r="I8" s="18" t="n">
        <v>0</v>
      </c>
      <c r="J8" s="20" t="n">
        <v>0</v>
      </c>
      <c r="K8" s="18" t="n">
        <v>0</v>
      </c>
      <c r="L8" s="20" t="n">
        <v>0</v>
      </c>
      <c r="M8" s="18" t="n">
        <v>0</v>
      </c>
      <c r="N8" s="20" t="n">
        <v>0</v>
      </c>
      <c r="O8" s="18" t="n">
        <v>0</v>
      </c>
      <c r="P8" s="20" t="n">
        <v>0</v>
      </c>
      <c r="Q8" s="18" t="n">
        <v>0.07896514</v>
      </c>
      <c r="R8" s="20" t="n">
        <v>0.06752684</v>
      </c>
    </row>
    <row r="9" spans="1:18">
      <c r="A9" s="15" t="s">
        <v>567</v>
      </c>
      <c r="B9" s="17" t="n">
        <v>4752</v>
      </c>
      <c r="C9" s="18">
        <f>(3745.0/B9*100)</f>
        <v/>
      </c>
      <c r="D9" s="19" t="n">
        <v>1007</v>
      </c>
      <c r="E9" s="18" t="n">
        <v>39.28640625</v>
      </c>
      <c r="F9" s="20" t="n">
        <v>1.76722958</v>
      </c>
      <c r="G9" s="18" t="n">
        <v>60.10272988</v>
      </c>
      <c r="H9" s="20" t="n">
        <v>1.78847161</v>
      </c>
      <c r="I9" s="18" t="n">
        <v>0</v>
      </c>
      <c r="J9" s="20" t="n">
        <v>0</v>
      </c>
      <c r="K9" s="18" t="n">
        <v>0</v>
      </c>
      <c r="L9" s="20" t="n">
        <v>0</v>
      </c>
      <c r="M9" s="18" t="n">
        <v>0</v>
      </c>
      <c r="N9" s="20" t="n">
        <v>0</v>
      </c>
      <c r="O9" s="18" t="n">
        <v>0</v>
      </c>
      <c r="P9" s="20" t="n">
        <v>0</v>
      </c>
      <c r="Q9" s="18" t="n">
        <v>0.61086387</v>
      </c>
      <c r="R9" s="20" t="n">
        <v>0.25992469</v>
      </c>
    </row>
    <row r="10" spans="1:18">
      <c r="A10" s="15" t="s">
        <v>568</v>
      </c>
      <c r="B10" s="17" t="n">
        <v>10022</v>
      </c>
      <c r="C10" s="18">
        <f>(7805.0/B10*100)</f>
        <v/>
      </c>
      <c r="D10" s="19" t="n">
        <v>2217</v>
      </c>
      <c r="E10" s="18" t="n">
        <v>27.11882225</v>
      </c>
      <c r="F10" s="20" t="n">
        <v>1.22060861</v>
      </c>
      <c r="G10" s="18" t="n">
        <v>72.37638326</v>
      </c>
      <c r="H10" s="20" t="n">
        <v>1.21372225</v>
      </c>
      <c r="I10" s="18" t="n">
        <v>0</v>
      </c>
      <c r="J10" s="20" t="n">
        <v>0</v>
      </c>
      <c r="K10" s="18" t="n">
        <v>0.23517297</v>
      </c>
      <c r="L10" s="20" t="n">
        <v>0.17138152</v>
      </c>
      <c r="M10" s="18" t="n">
        <v>0</v>
      </c>
      <c r="N10" s="20" t="n">
        <v>0</v>
      </c>
      <c r="O10" s="18" t="n">
        <v>0</v>
      </c>
      <c r="P10" s="20" t="n">
        <v>0</v>
      </c>
      <c r="Q10" s="18" t="n">
        <v>0.26962152</v>
      </c>
      <c r="R10" s="20" t="n">
        <v>0.13538024</v>
      </c>
    </row>
    <row r="11" spans="1:18">
      <c r="A11" s="15" t="s">
        <v>569</v>
      </c>
      <c r="B11" s="17" t="n">
        <v>3500</v>
      </c>
      <c r="C11" s="18">
        <f>(2715.0/B11*100)</f>
        <v/>
      </c>
      <c r="D11" s="19" t="n">
        <v>785</v>
      </c>
      <c r="E11" s="18" t="n">
        <v>45.37298813</v>
      </c>
      <c r="F11" s="20" t="n">
        <v>1.98059677</v>
      </c>
      <c r="G11" s="18" t="n">
        <v>53.321289</v>
      </c>
      <c r="H11" s="20" t="n">
        <v>1.99197294</v>
      </c>
      <c r="I11" s="18" t="n">
        <v>0</v>
      </c>
      <c r="J11" s="20" t="n">
        <v>0</v>
      </c>
      <c r="K11" s="18" t="n">
        <v>0.13251508</v>
      </c>
      <c r="L11" s="20" t="n">
        <v>0.13409886</v>
      </c>
      <c r="M11" s="18" t="n">
        <v>0</v>
      </c>
      <c r="N11" s="20" t="n">
        <v>0</v>
      </c>
      <c r="O11" s="18" t="n">
        <v>0</v>
      </c>
      <c r="P11" s="20" t="n">
        <v>0</v>
      </c>
      <c r="Q11" s="18" t="n">
        <v>1.17320779</v>
      </c>
      <c r="R11" s="20" t="n">
        <v>0.48314824</v>
      </c>
    </row>
    <row r="12" spans="1:18">
      <c r="A12" s="15" t="s">
        <v>570</v>
      </c>
      <c r="B12" s="17" t="n">
        <v>3422</v>
      </c>
      <c r="C12" s="18">
        <f>(2689.0/B12*100)</f>
        <v/>
      </c>
      <c r="D12" s="19" t="n">
        <v>733</v>
      </c>
      <c r="E12" s="18" t="n">
        <v>39.51393096</v>
      </c>
      <c r="F12" s="20" t="n">
        <v>1.96914135</v>
      </c>
      <c r="G12" s="18" t="n">
        <v>60.12891221</v>
      </c>
      <c r="H12" s="20" t="n">
        <v>1.97286386</v>
      </c>
      <c r="I12" s="18" t="n">
        <v>0</v>
      </c>
      <c r="J12" s="20" t="n">
        <v>0</v>
      </c>
      <c r="K12" s="18" t="n">
        <v>0</v>
      </c>
      <c r="L12" s="20" t="n">
        <v>0</v>
      </c>
      <c r="M12" s="18" t="n">
        <v>0</v>
      </c>
      <c r="N12" s="20" t="n">
        <v>0</v>
      </c>
      <c r="O12" s="18" t="n">
        <v>0</v>
      </c>
      <c r="P12" s="20" t="n">
        <v>0</v>
      </c>
      <c r="Q12" s="18" t="n">
        <v>0.35715683</v>
      </c>
      <c r="R12" s="20" t="n">
        <v>0.2517691</v>
      </c>
    </row>
    <row r="13" spans="1:18">
      <c r="A13" s="15" t="s">
        <v>571</v>
      </c>
      <c r="B13" s="17" t="n">
        <v>3602</v>
      </c>
      <c r="C13" s="18">
        <f>(2844.0/B13*100)</f>
        <v/>
      </c>
      <c r="D13" s="19" t="n">
        <v>758</v>
      </c>
      <c r="E13" s="18" t="n">
        <v>23.96921641</v>
      </c>
      <c r="F13" s="20" t="n">
        <v>1.90551406</v>
      </c>
      <c r="G13" s="18" t="n">
        <v>74.71487449999999</v>
      </c>
      <c r="H13" s="20" t="n">
        <v>2.07220857</v>
      </c>
      <c r="I13" s="18" t="n">
        <v>0</v>
      </c>
      <c r="J13" s="20" t="n">
        <v>0</v>
      </c>
      <c r="K13" s="18" t="n">
        <v>0.6233719</v>
      </c>
      <c r="L13" s="20" t="n">
        <v>0.35247069</v>
      </c>
      <c r="M13" s="18" t="n">
        <v>0</v>
      </c>
      <c r="N13" s="20" t="n">
        <v>0</v>
      </c>
      <c r="O13" s="18" t="n">
        <v>0</v>
      </c>
      <c r="P13" s="20" t="n">
        <v>0</v>
      </c>
      <c r="Q13" s="18" t="n">
        <v>0.69253719</v>
      </c>
      <c r="R13" s="20" t="n">
        <v>0.6478088</v>
      </c>
    </row>
    <row r="14" spans="1:18">
      <c r="A14" s="15" t="s">
        <v>572</v>
      </c>
      <c r="B14" s="17" t="n">
        <v>2788</v>
      </c>
      <c r="C14" s="18">
        <f>(2175.0/B14*100)</f>
        <v/>
      </c>
      <c r="D14" s="19" t="n">
        <v>613</v>
      </c>
      <c r="E14" s="18" t="n">
        <v>30.55850162</v>
      </c>
      <c r="F14" s="20" t="n">
        <v>1.75347171</v>
      </c>
      <c r="G14" s="18" t="n">
        <v>69.05167516</v>
      </c>
      <c r="H14" s="20" t="n">
        <v>1.74051736</v>
      </c>
      <c r="I14" s="18" t="n">
        <v>0</v>
      </c>
      <c r="J14" s="20" t="n">
        <v>0</v>
      </c>
      <c r="K14" s="18" t="n">
        <v>0</v>
      </c>
      <c r="L14" s="20" t="n">
        <v>0</v>
      </c>
      <c r="M14" s="18" t="n">
        <v>0</v>
      </c>
      <c r="N14" s="20" t="n">
        <v>0</v>
      </c>
      <c r="O14" s="18" t="n">
        <v>0</v>
      </c>
      <c r="P14" s="20" t="n">
        <v>0</v>
      </c>
      <c r="Q14" s="18" t="n">
        <v>0.38982322</v>
      </c>
      <c r="R14" s="20" t="n">
        <v>0.22874931</v>
      </c>
    </row>
    <row r="15" spans="1:18">
      <c r="A15" s="15" t="s">
        <v>573</v>
      </c>
      <c r="B15" s="17" t="n">
        <v>2863</v>
      </c>
      <c r="C15" s="18">
        <f>(2216.0/B15*100)</f>
        <v/>
      </c>
      <c r="D15" s="19" t="n">
        <v>647</v>
      </c>
      <c r="E15" s="18" t="n">
        <v>28.49931282</v>
      </c>
      <c r="F15" s="20" t="n">
        <v>2.00079342</v>
      </c>
      <c r="G15" s="18" t="n">
        <v>71.25216598999999</v>
      </c>
      <c r="H15" s="20" t="n">
        <v>2.00586908</v>
      </c>
      <c r="I15" s="18" t="n">
        <v>0</v>
      </c>
      <c r="J15" s="20" t="n">
        <v>0</v>
      </c>
      <c r="K15" s="18" t="n">
        <v>0</v>
      </c>
      <c r="L15" s="20" t="n">
        <v>0</v>
      </c>
      <c r="M15" s="18" t="n">
        <v>0</v>
      </c>
      <c r="N15" s="20" t="n">
        <v>0</v>
      </c>
      <c r="O15" s="18" t="n">
        <v>0</v>
      </c>
      <c r="P15" s="20" t="n">
        <v>0</v>
      </c>
      <c r="Q15" s="18" t="n">
        <v>0.2485212</v>
      </c>
      <c r="R15" s="20" t="n">
        <v>0.17738676</v>
      </c>
    </row>
    <row r="16" spans="1:18">
      <c r="A16" s="15" t="s">
        <v>574</v>
      </c>
      <c r="B16" s="17" t="n">
        <v>3111</v>
      </c>
      <c r="C16" s="18">
        <f>(2419.0/B16*100)</f>
        <v/>
      </c>
      <c r="D16" s="19" t="n">
        <v>692</v>
      </c>
      <c r="E16" s="18" t="n">
        <v>44.15866257</v>
      </c>
      <c r="F16" s="20" t="n">
        <v>2.17129533</v>
      </c>
      <c r="G16" s="18" t="n">
        <v>54.61825282</v>
      </c>
      <c r="H16" s="20" t="n">
        <v>2.22704654</v>
      </c>
      <c r="I16" s="18" t="n">
        <v>0</v>
      </c>
      <c r="J16" s="20" t="n">
        <v>0</v>
      </c>
      <c r="K16" s="18" t="n">
        <v>0.10195953</v>
      </c>
      <c r="L16" s="20" t="n">
        <v>0.1010779</v>
      </c>
      <c r="M16" s="18" t="n">
        <v>0</v>
      </c>
      <c r="N16" s="20" t="n">
        <v>0</v>
      </c>
      <c r="O16" s="18" t="n">
        <v>0</v>
      </c>
      <c r="P16" s="20" t="n">
        <v>0</v>
      </c>
      <c r="Q16" s="18" t="n">
        <v>1.12112508</v>
      </c>
      <c r="R16" s="20" t="n">
        <v>0.45588842</v>
      </c>
    </row>
    <row r="17" spans="1:18">
      <c r="A17" s="15" t="s">
        <v>575</v>
      </c>
      <c r="B17" s="17" t="n">
        <v>3197</v>
      </c>
      <c r="C17" s="18">
        <f>(2542.0/B17*100)</f>
        <v/>
      </c>
      <c r="D17" s="19" t="n">
        <v>655</v>
      </c>
      <c r="E17" s="18" t="n">
        <v>34.90686244</v>
      </c>
      <c r="F17" s="20" t="n">
        <v>1.81318171</v>
      </c>
      <c r="G17" s="18" t="n">
        <v>64.96457454999999</v>
      </c>
      <c r="H17" s="20" t="n">
        <v>1.84167423</v>
      </c>
      <c r="I17" s="18" t="n">
        <v>0</v>
      </c>
      <c r="J17" s="20" t="n">
        <v>0</v>
      </c>
      <c r="K17" s="18" t="n">
        <v>0</v>
      </c>
      <c r="L17" s="20" t="n">
        <v>0</v>
      </c>
      <c r="M17" s="18" t="n">
        <v>0</v>
      </c>
      <c r="N17" s="20" t="n">
        <v>0</v>
      </c>
      <c r="O17" s="18" t="n">
        <v>0</v>
      </c>
      <c r="P17" s="20" t="n">
        <v>0</v>
      </c>
      <c r="Q17" s="18" t="n">
        <v>0.12856301</v>
      </c>
      <c r="R17" s="20" t="n">
        <v>0.12918596</v>
      </c>
    </row>
    <row r="18" spans="1:18">
      <c r="A18" s="15" t="s">
        <v>576</v>
      </c>
      <c r="B18" s="17" t="n">
        <v>2706</v>
      </c>
      <c r="C18" s="18">
        <f>(2110.0/B18*100)</f>
        <v/>
      </c>
      <c r="D18" s="19" t="n">
        <v>596</v>
      </c>
      <c r="E18" s="18" t="n">
        <v>43.69922784</v>
      </c>
      <c r="F18" s="20" t="n">
        <v>2.35000163</v>
      </c>
      <c r="G18" s="18" t="n">
        <v>55.38003642</v>
      </c>
      <c r="H18" s="20" t="n">
        <v>2.43676301</v>
      </c>
      <c r="I18" s="18" t="n">
        <v>0</v>
      </c>
      <c r="J18" s="20" t="n">
        <v>0</v>
      </c>
      <c r="K18" s="18" t="n">
        <v>0.52937833</v>
      </c>
      <c r="L18" s="20" t="n">
        <v>0.35334866</v>
      </c>
      <c r="M18" s="18" t="n">
        <v>0</v>
      </c>
      <c r="N18" s="20" t="n">
        <v>0</v>
      </c>
      <c r="O18" s="18" t="n">
        <v>0</v>
      </c>
      <c r="P18" s="20" t="n">
        <v>0</v>
      </c>
      <c r="Q18" s="18" t="n">
        <v>0.39135742</v>
      </c>
      <c r="R18" s="20" t="n">
        <v>0.28411867</v>
      </c>
    </row>
    <row r="19" spans="1:18">
      <c r="A19" s="15" t="s">
        <v>577</v>
      </c>
      <c r="B19" s="17" t="n">
        <v>2850</v>
      </c>
      <c r="C19" s="18">
        <f>(2234.0/B19*100)</f>
        <v/>
      </c>
      <c r="D19" s="19" t="n">
        <v>616</v>
      </c>
      <c r="E19" s="18" t="n">
        <v>43.81046709</v>
      </c>
      <c r="F19" s="20" t="n">
        <v>1.99802594</v>
      </c>
      <c r="G19" s="18" t="n">
        <v>56.03490892</v>
      </c>
      <c r="H19" s="20" t="n">
        <v>2.00007432</v>
      </c>
      <c r="I19" s="18" t="n">
        <v>0</v>
      </c>
      <c r="J19" s="20" t="n">
        <v>0</v>
      </c>
      <c r="K19" s="18" t="n">
        <v>0</v>
      </c>
      <c r="L19" s="20" t="n">
        <v>0</v>
      </c>
      <c r="M19" s="18" t="n">
        <v>0</v>
      </c>
      <c r="N19" s="20" t="n">
        <v>0</v>
      </c>
      <c r="O19" s="18" t="n">
        <v>0</v>
      </c>
      <c r="P19" s="20" t="n">
        <v>0</v>
      </c>
      <c r="Q19" s="18" t="n">
        <v>0.154624</v>
      </c>
      <c r="R19" s="20" t="n">
        <v>0.15611737</v>
      </c>
    </row>
    <row r="20" spans="1:18">
      <c r="A20" s="15" t="s">
        <v>578</v>
      </c>
      <c r="B20" s="17" t="n">
        <v>1741</v>
      </c>
      <c r="C20" s="18">
        <f>(1372.0/B20*100)</f>
        <v/>
      </c>
      <c r="D20" s="19" t="n">
        <v>369</v>
      </c>
      <c r="E20" s="18" t="n">
        <v>37.66430612</v>
      </c>
      <c r="F20" s="20" t="n">
        <v>2.36025774</v>
      </c>
      <c r="G20" s="18" t="n">
        <v>61.78492553</v>
      </c>
      <c r="H20" s="20" t="n">
        <v>2.38059751</v>
      </c>
      <c r="I20" s="18" t="n">
        <v>0</v>
      </c>
      <c r="J20" s="20" t="n">
        <v>0</v>
      </c>
      <c r="K20" s="18" t="n">
        <v>0</v>
      </c>
      <c r="L20" s="20" t="n">
        <v>0</v>
      </c>
      <c r="M20" s="18" t="n">
        <v>0</v>
      </c>
      <c r="N20" s="20" t="n">
        <v>0</v>
      </c>
      <c r="O20" s="18" t="n">
        <v>0</v>
      </c>
      <c r="P20" s="20" t="n">
        <v>0</v>
      </c>
      <c r="Q20" s="18" t="n">
        <v>0.55076835</v>
      </c>
      <c r="R20" s="20" t="n">
        <v>0.39424285</v>
      </c>
    </row>
    <row r="21" spans="1:18">
      <c r="A21" s="15" t="s">
        <v>579</v>
      </c>
      <c r="B21" s="17" t="n">
        <v>2833</v>
      </c>
      <c r="C21" s="18">
        <f>(2212.0/B21*100)</f>
        <v/>
      </c>
      <c r="D21" s="19" t="n">
        <v>621</v>
      </c>
      <c r="E21" s="18" t="n">
        <v>31.03712066</v>
      </c>
      <c r="F21" s="20" t="n">
        <v>1.6397436</v>
      </c>
      <c r="G21" s="18" t="n">
        <v>68.68569551</v>
      </c>
      <c r="H21" s="20" t="n">
        <v>1.66911281</v>
      </c>
      <c r="I21" s="18" t="n">
        <v>0</v>
      </c>
      <c r="J21" s="20" t="n">
        <v>0</v>
      </c>
      <c r="K21" s="18" t="n">
        <v>0</v>
      </c>
      <c r="L21" s="20" t="n">
        <v>0</v>
      </c>
      <c r="M21" s="18" t="n">
        <v>0</v>
      </c>
      <c r="N21" s="20" t="n">
        <v>0</v>
      </c>
      <c r="O21" s="18" t="n">
        <v>0</v>
      </c>
      <c r="P21" s="20" t="n">
        <v>0</v>
      </c>
      <c r="Q21" s="18" t="n">
        <v>0.27718383</v>
      </c>
      <c r="R21" s="20" t="n">
        <v>0.18298391</v>
      </c>
    </row>
    <row r="22" spans="1:18">
      <c r="A22" s="15" t="s">
        <v>580</v>
      </c>
      <c r="B22" s="17" t="n">
        <v>3667</v>
      </c>
      <c r="C22" s="18">
        <f>(2858.0/B22*100)</f>
        <v/>
      </c>
      <c r="D22" s="19" t="n">
        <v>809</v>
      </c>
      <c r="E22" s="18" t="n">
        <v>36.91591883</v>
      </c>
      <c r="F22" s="20" t="n">
        <v>2.15725149</v>
      </c>
      <c r="G22" s="18" t="n">
        <v>61.25873427</v>
      </c>
      <c r="H22" s="20" t="n">
        <v>2.12851546</v>
      </c>
      <c r="I22" s="18" t="n">
        <v>0</v>
      </c>
      <c r="J22" s="20" t="n">
        <v>0</v>
      </c>
      <c r="K22" s="18" t="n">
        <v>0.36834093</v>
      </c>
      <c r="L22" s="20" t="n">
        <v>0.21776882</v>
      </c>
      <c r="M22" s="18" t="n">
        <v>0</v>
      </c>
      <c r="N22" s="20" t="n">
        <v>0</v>
      </c>
      <c r="O22" s="18" t="n">
        <v>0</v>
      </c>
      <c r="P22" s="20" t="n">
        <v>0</v>
      </c>
      <c r="Q22" s="18" t="n">
        <v>1.45700598</v>
      </c>
      <c r="R22" s="20" t="n">
        <v>0.47725632</v>
      </c>
    </row>
    <row r="23" spans="1:18">
      <c r="A23" s="15" t="s">
        <v>581</v>
      </c>
      <c r="B23" s="17" t="n">
        <v>5792</v>
      </c>
      <c r="C23" s="18">
        <f>(4492.0/B23*100)</f>
        <v/>
      </c>
      <c r="D23" s="19" t="n">
        <v>1300</v>
      </c>
      <c r="E23" s="18" t="n">
        <v>37.67010958</v>
      </c>
      <c r="F23" s="20" t="n">
        <v>2.15001365</v>
      </c>
      <c r="G23" s="18" t="n">
        <v>61.71285412</v>
      </c>
      <c r="H23" s="20" t="n">
        <v>2.17922259</v>
      </c>
      <c r="I23" s="18" t="n">
        <v>0</v>
      </c>
      <c r="J23" s="20" t="n">
        <v>0</v>
      </c>
      <c r="K23" s="18" t="n">
        <v>0.17623753</v>
      </c>
      <c r="L23" s="20" t="n">
        <v>0.187315</v>
      </c>
      <c r="M23" s="18" t="n">
        <v>0</v>
      </c>
      <c r="N23" s="20" t="n">
        <v>0</v>
      </c>
      <c r="O23" s="18" t="n">
        <v>0</v>
      </c>
      <c r="P23" s="20" t="n">
        <v>0</v>
      </c>
      <c r="Q23" s="18" t="n">
        <v>0.44079877</v>
      </c>
      <c r="R23" s="20" t="n">
        <v>0.31329507</v>
      </c>
    </row>
    <row r="24" spans="1:18">
      <c r="A24" s="15" t="s">
        <v>582</v>
      </c>
      <c r="B24" s="17" t="n">
        <v>3309</v>
      </c>
      <c r="C24" s="18">
        <f>(2563.0/B24*100)</f>
        <v/>
      </c>
      <c r="D24" s="19" t="n">
        <v>746</v>
      </c>
      <c r="E24" s="18" t="n">
        <v>27.19744813</v>
      </c>
      <c r="F24" s="20" t="n">
        <v>1.82048091</v>
      </c>
      <c r="G24" s="18" t="n">
        <v>72.27450555999999</v>
      </c>
      <c r="H24" s="20" t="n">
        <v>1.76560943</v>
      </c>
      <c r="I24" s="18" t="n">
        <v>0</v>
      </c>
      <c r="J24" s="20" t="n">
        <v>0</v>
      </c>
      <c r="K24" s="18" t="n">
        <v>0</v>
      </c>
      <c r="L24" s="20" t="n">
        <v>0</v>
      </c>
      <c r="M24" s="18" t="n">
        <v>0</v>
      </c>
      <c r="N24" s="20" t="n">
        <v>0</v>
      </c>
      <c r="O24" s="18" t="n">
        <v>0</v>
      </c>
      <c r="P24" s="20" t="n">
        <v>0</v>
      </c>
      <c r="Q24" s="18" t="n">
        <v>0.52804632</v>
      </c>
      <c r="R24" s="20" t="n">
        <v>0.26613499</v>
      </c>
    </row>
    <row r="25" spans="1:18">
      <c r="A25" s="15" t="s">
        <v>583</v>
      </c>
      <c r="B25" s="17" t="n">
        <v>2669</v>
      </c>
      <c r="C25" s="18">
        <f>(2074.0/B25*100)</f>
        <v/>
      </c>
      <c r="D25" s="19" t="n">
        <v>595</v>
      </c>
      <c r="E25" s="18" t="n">
        <v>28.7217574</v>
      </c>
      <c r="F25" s="20" t="n">
        <v>1.73060565</v>
      </c>
      <c r="G25" s="18" t="n">
        <v>71.2782426</v>
      </c>
      <c r="H25" s="20" t="n">
        <v>1.73060565</v>
      </c>
      <c r="I25" s="18" t="n">
        <v>0</v>
      </c>
      <c r="J25" s="20" t="n">
        <v>0</v>
      </c>
      <c r="K25" s="18" t="n">
        <v>0</v>
      </c>
      <c r="L25" s="20" t="n">
        <v>0</v>
      </c>
      <c r="M25" s="18" t="n">
        <v>0</v>
      </c>
      <c r="N25" s="20" t="n">
        <v>0</v>
      </c>
      <c r="O25" s="18" t="n">
        <v>0</v>
      </c>
      <c r="P25" s="20" t="n">
        <v>0</v>
      </c>
      <c r="Q25" s="18" t="n">
        <v>0</v>
      </c>
      <c r="R25" s="20" t="n">
        <v>0</v>
      </c>
    </row>
    <row r="26" spans="1:18">
      <c r="A26" s="15" t="s">
        <v>584</v>
      </c>
      <c r="B26" s="17" t="n">
        <v>2419</v>
      </c>
      <c r="C26" s="18">
        <f>(1887.0/B26*100)</f>
        <v/>
      </c>
      <c r="D26" s="19" t="n">
        <v>532</v>
      </c>
      <c r="E26" s="18" t="n">
        <v>46.85803784</v>
      </c>
      <c r="F26" s="20" t="n">
        <v>2.59282315</v>
      </c>
      <c r="G26" s="18" t="n">
        <v>52.81318003</v>
      </c>
      <c r="H26" s="20" t="n">
        <v>2.61340326</v>
      </c>
      <c r="I26" s="18" t="n">
        <v>0</v>
      </c>
      <c r="J26" s="20" t="n">
        <v>0</v>
      </c>
      <c r="K26" s="18" t="n">
        <v>0</v>
      </c>
      <c r="L26" s="20" t="n">
        <v>0</v>
      </c>
      <c r="M26" s="18" t="n">
        <v>0</v>
      </c>
      <c r="N26" s="20" t="n">
        <v>0</v>
      </c>
      <c r="O26" s="18" t="n">
        <v>0</v>
      </c>
      <c r="P26" s="20" t="n">
        <v>0</v>
      </c>
      <c r="Q26" s="18" t="n">
        <v>0.32878213</v>
      </c>
      <c r="R26" s="20" t="n">
        <v>0.23407756</v>
      </c>
    </row>
    <row r="27" spans="1:18">
      <c r="A27" s="15" t="s">
        <v>585</v>
      </c>
      <c r="B27" s="17" t="n">
        <v>2683</v>
      </c>
      <c r="C27" s="18">
        <f>(2114.0/B27*100)</f>
        <v/>
      </c>
      <c r="D27" s="19" t="n">
        <v>569</v>
      </c>
      <c r="E27" s="18" t="n">
        <v>38.88991454</v>
      </c>
      <c r="F27" s="20" t="n">
        <v>2.0036441</v>
      </c>
      <c r="G27" s="18" t="n">
        <v>60.38933865</v>
      </c>
      <c r="H27" s="20" t="n">
        <v>1.99956187</v>
      </c>
      <c r="I27" s="18" t="n">
        <v>0</v>
      </c>
      <c r="J27" s="20" t="n">
        <v>0</v>
      </c>
      <c r="K27" s="18" t="n">
        <v>0.19300368</v>
      </c>
      <c r="L27" s="20" t="n">
        <v>0.18627252</v>
      </c>
      <c r="M27" s="18" t="n">
        <v>0</v>
      </c>
      <c r="N27" s="20" t="n">
        <v>0</v>
      </c>
      <c r="O27" s="18" t="n">
        <v>0</v>
      </c>
      <c r="P27" s="20" t="n">
        <v>0</v>
      </c>
      <c r="Q27" s="18" t="n">
        <v>0.5277431299999999</v>
      </c>
      <c r="R27" s="20" t="n">
        <v>0.30462632</v>
      </c>
    </row>
    <row r="28" spans="1:18">
      <c r="A28" s="15" t="s">
        <v>586</v>
      </c>
      <c r="B28" s="17" t="n">
        <v>3803</v>
      </c>
      <c r="C28" s="18">
        <f>(2987.0/B28*100)</f>
        <v/>
      </c>
      <c r="D28" s="19" t="n">
        <v>816</v>
      </c>
      <c r="E28" s="18" t="n">
        <v>56.30981264</v>
      </c>
      <c r="F28" s="20" t="n">
        <v>2.10706995</v>
      </c>
      <c r="G28" s="18" t="n">
        <v>43.21386236</v>
      </c>
      <c r="H28" s="20" t="n">
        <v>2.09533001</v>
      </c>
      <c r="I28" s="18" t="n">
        <v>0</v>
      </c>
      <c r="J28" s="20" t="n">
        <v>0</v>
      </c>
      <c r="K28" s="18" t="n">
        <v>0.13364052</v>
      </c>
      <c r="L28" s="20" t="n">
        <v>0.13393632</v>
      </c>
      <c r="M28" s="18" t="n">
        <v>0</v>
      </c>
      <c r="N28" s="20" t="n">
        <v>0</v>
      </c>
      <c r="O28" s="18" t="n">
        <v>0</v>
      </c>
      <c r="P28" s="20" t="n">
        <v>0</v>
      </c>
      <c r="Q28" s="18" t="n">
        <v>0.34268447</v>
      </c>
      <c r="R28" s="20" t="n">
        <v>0.19669797</v>
      </c>
    </row>
    <row r="29" spans="1:18">
      <c r="A29" s="15" t="s">
        <v>587</v>
      </c>
      <c r="B29" s="17" t="n">
        <v>2700</v>
      </c>
      <c r="C29" s="18">
        <f>(2127.0/B29*100)</f>
        <v/>
      </c>
      <c r="D29" s="19" t="n">
        <v>573</v>
      </c>
      <c r="E29" s="18" t="n">
        <v>31.24764535</v>
      </c>
      <c r="F29" s="20" t="n">
        <v>2.01718504</v>
      </c>
      <c r="G29" s="18" t="n">
        <v>68.24102981999999</v>
      </c>
      <c r="H29" s="20" t="n">
        <v>2.06367944</v>
      </c>
      <c r="I29" s="18" t="n">
        <v>0</v>
      </c>
      <c r="J29" s="20" t="n">
        <v>0</v>
      </c>
      <c r="K29" s="18" t="n">
        <v>0</v>
      </c>
      <c r="L29" s="20" t="n">
        <v>0</v>
      </c>
      <c r="M29" s="18" t="n">
        <v>0</v>
      </c>
      <c r="N29" s="20" t="n">
        <v>0</v>
      </c>
      <c r="O29" s="18" t="n">
        <v>0</v>
      </c>
      <c r="P29" s="20" t="n">
        <v>0</v>
      </c>
      <c r="Q29" s="18" t="n">
        <v>0.51132483</v>
      </c>
      <c r="R29" s="20" t="n">
        <v>0.30460833</v>
      </c>
    </row>
    <row r="30" spans="1:18">
      <c r="A30" s="15" t="s">
        <v>588</v>
      </c>
      <c r="B30" s="17" t="n">
        <v>2257</v>
      </c>
      <c r="C30" s="18">
        <f>(1768.0/B30*100)</f>
        <v/>
      </c>
      <c r="D30" s="19" t="n">
        <v>489</v>
      </c>
      <c r="E30" s="18" t="n">
        <v>27.08896187</v>
      </c>
      <c r="F30" s="20" t="n">
        <v>2.24555475</v>
      </c>
      <c r="G30" s="18" t="n">
        <v>72.72252936</v>
      </c>
      <c r="H30" s="20" t="n">
        <v>2.22406635</v>
      </c>
      <c r="I30" s="18" t="n">
        <v>0</v>
      </c>
      <c r="J30" s="20" t="n">
        <v>0</v>
      </c>
      <c r="K30" s="18" t="n">
        <v>0</v>
      </c>
      <c r="L30" s="20" t="n">
        <v>0</v>
      </c>
      <c r="M30" s="18" t="n">
        <v>0</v>
      </c>
      <c r="N30" s="20" t="n">
        <v>0</v>
      </c>
      <c r="O30" s="18" t="n">
        <v>0</v>
      </c>
      <c r="P30" s="20" t="n">
        <v>0</v>
      </c>
      <c r="Q30" s="18" t="n">
        <v>0.18850877</v>
      </c>
      <c r="R30" s="20" t="n">
        <v>0.20136063</v>
      </c>
    </row>
    <row r="31" spans="1:18">
      <c r="A31" s="15" t="s">
        <v>589</v>
      </c>
      <c r="B31" s="17" t="n">
        <v>2706</v>
      </c>
      <c r="C31" s="18">
        <f>(2126.0/B31*100)</f>
        <v/>
      </c>
      <c r="D31" s="19" t="n">
        <v>580</v>
      </c>
      <c r="E31" s="18" t="n">
        <v>31.27923884</v>
      </c>
      <c r="F31" s="20" t="n">
        <v>1.94441942</v>
      </c>
      <c r="G31" s="18" t="n">
        <v>68.1902439</v>
      </c>
      <c r="H31" s="20" t="n">
        <v>1.98343969</v>
      </c>
      <c r="I31" s="18" t="n">
        <v>0</v>
      </c>
      <c r="J31" s="20" t="n">
        <v>0</v>
      </c>
      <c r="K31" s="18" t="n">
        <v>0</v>
      </c>
      <c r="L31" s="20" t="n">
        <v>0</v>
      </c>
      <c r="M31" s="18" t="n">
        <v>0</v>
      </c>
      <c r="N31" s="20" t="n">
        <v>0</v>
      </c>
      <c r="O31" s="18" t="n">
        <v>0</v>
      </c>
      <c r="P31" s="20" t="n">
        <v>0</v>
      </c>
      <c r="Q31" s="18" t="n">
        <v>0.53051726</v>
      </c>
      <c r="R31" s="20" t="n">
        <v>0.2986347</v>
      </c>
    </row>
    <row r="32" spans="1:18">
      <c r="A32" s="15" t="s">
        <v>590</v>
      </c>
      <c r="B32" s="17" t="n">
        <v>2209</v>
      </c>
      <c r="C32" s="18">
        <f>(1688.0/B32*100)</f>
        <v/>
      </c>
      <c r="D32" s="19" t="n">
        <v>521</v>
      </c>
      <c r="E32" s="18" t="n">
        <v>29.36352185</v>
      </c>
      <c r="F32" s="20" t="n">
        <v>2.07261942</v>
      </c>
      <c r="G32" s="18" t="n">
        <v>70.45435006</v>
      </c>
      <c r="H32" s="20" t="n">
        <v>2.08388304</v>
      </c>
      <c r="I32" s="18" t="n">
        <v>0</v>
      </c>
      <c r="J32" s="20" t="n">
        <v>0</v>
      </c>
      <c r="K32" s="18" t="n">
        <v>0</v>
      </c>
      <c r="L32" s="20" t="n">
        <v>0</v>
      </c>
      <c r="M32" s="18" t="n">
        <v>0</v>
      </c>
      <c r="N32" s="20" t="n">
        <v>0</v>
      </c>
      <c r="O32" s="18" t="n">
        <v>0</v>
      </c>
      <c r="P32" s="20" t="n">
        <v>0</v>
      </c>
      <c r="Q32" s="18" t="n">
        <v>0.1821281</v>
      </c>
      <c r="R32" s="20" t="n">
        <v>0.18154639</v>
      </c>
    </row>
    <row r="33" spans="1:18">
      <c r="A33" s="15" t="s">
        <v>591</v>
      </c>
      <c r="B33" s="17" t="n">
        <v>3651</v>
      </c>
      <c r="C33" s="18">
        <f>(2798.0/B33*100)</f>
        <v/>
      </c>
      <c r="D33" s="19" t="n">
        <v>853</v>
      </c>
      <c r="E33" s="18" t="n">
        <v>28.66608855</v>
      </c>
      <c r="F33" s="20" t="n">
        <v>1.89131742</v>
      </c>
      <c r="G33" s="18" t="n">
        <v>70.97366384</v>
      </c>
      <c r="H33" s="20" t="n">
        <v>1.88837619</v>
      </c>
      <c r="I33" s="18" t="n">
        <v>0</v>
      </c>
      <c r="J33" s="20" t="n">
        <v>0</v>
      </c>
      <c r="K33" s="18" t="n">
        <v>0.14781662</v>
      </c>
      <c r="L33" s="20" t="n">
        <v>0.16391806</v>
      </c>
      <c r="M33" s="18" t="n">
        <v>0</v>
      </c>
      <c r="N33" s="20" t="n">
        <v>0</v>
      </c>
      <c r="O33" s="18" t="n">
        <v>0</v>
      </c>
      <c r="P33" s="20" t="n">
        <v>0</v>
      </c>
      <c r="Q33" s="18" t="n">
        <v>0.21243099</v>
      </c>
      <c r="R33" s="20" t="n">
        <v>0.10579197</v>
      </c>
    </row>
    <row r="34" spans="1:18">
      <c r="A34" s="15" t="s">
        <v>592</v>
      </c>
      <c r="B34" s="17" t="n">
        <v>3035</v>
      </c>
      <c r="C34" s="18">
        <f>(2408.0/B34*100)</f>
        <v/>
      </c>
      <c r="D34" s="19" t="n">
        <v>627</v>
      </c>
      <c r="E34" s="18" t="n">
        <v>52.62477444</v>
      </c>
      <c r="F34" s="20" t="n">
        <v>2.12620455</v>
      </c>
      <c r="G34" s="18" t="n">
        <v>47.14359223</v>
      </c>
      <c r="H34" s="20" t="n">
        <v>2.14919125</v>
      </c>
      <c r="I34" s="18" t="n">
        <v>0</v>
      </c>
      <c r="J34" s="20" t="n">
        <v>0</v>
      </c>
      <c r="K34" s="18" t="n">
        <v>0</v>
      </c>
      <c r="L34" s="20" t="n">
        <v>0</v>
      </c>
      <c r="M34" s="18" t="n">
        <v>0</v>
      </c>
      <c r="N34" s="20" t="n">
        <v>0</v>
      </c>
      <c r="O34" s="18" t="n">
        <v>0</v>
      </c>
      <c r="P34" s="20" t="n">
        <v>0</v>
      </c>
      <c r="Q34" s="18" t="n">
        <v>0.23163333</v>
      </c>
      <c r="R34" s="20" t="n">
        <v>0.22883699</v>
      </c>
    </row>
    <row r="35" spans="1:18">
      <c r="A35" s="15" t="s">
        <v>593</v>
      </c>
      <c r="B35" s="17" t="n">
        <v>2901</v>
      </c>
      <c r="C35" s="18">
        <f>(2281.0/B35*100)</f>
        <v/>
      </c>
      <c r="D35" s="19" t="n">
        <v>620</v>
      </c>
      <c r="E35" s="18" t="n">
        <v>33.62588332</v>
      </c>
      <c r="F35" s="20" t="n">
        <v>2.05908731</v>
      </c>
      <c r="G35" s="18" t="n">
        <v>65.71504022000001</v>
      </c>
      <c r="H35" s="20" t="n">
        <v>2.10583846</v>
      </c>
      <c r="I35" s="18" t="n">
        <v>0</v>
      </c>
      <c r="J35" s="20" t="n">
        <v>0</v>
      </c>
      <c r="K35" s="18" t="n">
        <v>0</v>
      </c>
      <c r="L35" s="20" t="n">
        <v>0</v>
      </c>
      <c r="M35" s="18" t="n">
        <v>0</v>
      </c>
      <c r="N35" s="20" t="n">
        <v>0</v>
      </c>
      <c r="O35" s="18" t="n">
        <v>0</v>
      </c>
      <c r="P35" s="20" t="n">
        <v>0</v>
      </c>
      <c r="Q35" s="18" t="n">
        <v>0.65907646</v>
      </c>
      <c r="R35" s="20" t="n">
        <v>0.34470269</v>
      </c>
    </row>
    <row r="36" spans="1:18">
      <c r="A36" s="15" t="s">
        <v>594</v>
      </c>
      <c r="B36" s="17" t="n">
        <v>3404</v>
      </c>
      <c r="C36" s="18">
        <f>(2621.0/B36*100)</f>
        <v/>
      </c>
      <c r="D36" s="19" t="n">
        <v>783</v>
      </c>
      <c r="E36" s="18" t="n">
        <v>36.80490716</v>
      </c>
      <c r="F36" s="20" t="n">
        <v>1.90283625</v>
      </c>
      <c r="G36" s="18" t="n">
        <v>63.19509284</v>
      </c>
      <c r="H36" s="20" t="n">
        <v>1.90283625</v>
      </c>
      <c r="I36" s="18" t="n">
        <v>0</v>
      </c>
      <c r="J36" s="20" t="n">
        <v>0</v>
      </c>
      <c r="K36" s="18" t="n">
        <v>0</v>
      </c>
      <c r="L36" s="20" t="n">
        <v>0</v>
      </c>
      <c r="M36" s="18" t="n">
        <v>0</v>
      </c>
      <c r="N36" s="20" t="n">
        <v>0</v>
      </c>
      <c r="O36" s="18" t="n">
        <v>0</v>
      </c>
      <c r="P36" s="20" t="n">
        <v>0</v>
      </c>
      <c r="Q36" s="18" t="n">
        <v>0</v>
      </c>
      <c r="R36" s="20" t="n">
        <v>0</v>
      </c>
    </row>
    <row r="37" spans="1:18">
      <c r="A37" s="15" t="s">
        <v>595</v>
      </c>
      <c r="B37" s="17" t="n">
        <v>2731</v>
      </c>
      <c r="C37" s="18">
        <f>(2111.0/B37*100)</f>
        <v/>
      </c>
      <c r="D37" s="19" t="n">
        <v>620</v>
      </c>
      <c r="E37" s="18" t="n">
        <v>38.24781894</v>
      </c>
      <c r="F37" s="20" t="n">
        <v>1.9897479</v>
      </c>
      <c r="G37" s="18" t="n">
        <v>60.67277597</v>
      </c>
      <c r="H37" s="20" t="n">
        <v>1.89735895</v>
      </c>
      <c r="I37" s="18" t="n">
        <v>0</v>
      </c>
      <c r="J37" s="20" t="n">
        <v>0</v>
      </c>
      <c r="K37" s="18" t="n">
        <v>0</v>
      </c>
      <c r="L37" s="20" t="n">
        <v>0</v>
      </c>
      <c r="M37" s="18" t="n">
        <v>0</v>
      </c>
      <c r="N37" s="20" t="n">
        <v>0</v>
      </c>
      <c r="O37" s="18" t="n">
        <v>0</v>
      </c>
      <c r="P37" s="20" t="n">
        <v>0</v>
      </c>
      <c r="Q37" s="18" t="n">
        <v>1.07940509</v>
      </c>
      <c r="R37" s="20" t="n">
        <v>0.4044847</v>
      </c>
    </row>
    <row r="38" spans="1:18">
      <c r="A38" s="15" t="s">
        <v>596</v>
      </c>
      <c r="B38" s="17" t="n">
        <v>2807</v>
      </c>
      <c r="C38" s="18">
        <f>(2170.0/B38*100)</f>
        <v/>
      </c>
      <c r="D38" s="19" t="n">
        <v>637</v>
      </c>
      <c r="E38" s="18" t="n">
        <v>37.55410226</v>
      </c>
      <c r="F38" s="20" t="n">
        <v>1.92739113</v>
      </c>
      <c r="G38" s="18" t="n">
        <v>61.93369988</v>
      </c>
      <c r="H38" s="20" t="n">
        <v>1.94551017</v>
      </c>
      <c r="I38" s="18" t="n">
        <v>0</v>
      </c>
      <c r="J38" s="20" t="n">
        <v>0</v>
      </c>
      <c r="K38" s="18" t="n">
        <v>0</v>
      </c>
      <c r="L38" s="20" t="n">
        <v>0</v>
      </c>
      <c r="M38" s="18" t="n">
        <v>0</v>
      </c>
      <c r="N38" s="20" t="n">
        <v>0</v>
      </c>
      <c r="O38" s="18" t="n">
        <v>0</v>
      </c>
      <c r="P38" s="20" t="n">
        <v>0</v>
      </c>
      <c r="Q38" s="18" t="n">
        <v>0.51219786</v>
      </c>
      <c r="R38" s="20" t="n">
        <v>0.2914386</v>
      </c>
    </row>
    <row r="39" spans="1:18">
      <c r="A39" s="15" t="s">
        <v>597</v>
      </c>
      <c r="B39" s="17" t="n">
        <v>2938</v>
      </c>
      <c r="C39" s="18">
        <f>(2259.0/B39*100)</f>
        <v/>
      </c>
      <c r="D39" s="19" t="n">
        <v>679</v>
      </c>
      <c r="E39" s="18" t="n">
        <v>43.83696278</v>
      </c>
      <c r="F39" s="20" t="n">
        <v>1.87810403</v>
      </c>
      <c r="G39" s="18" t="n">
        <v>55.62418554</v>
      </c>
      <c r="H39" s="20" t="n">
        <v>1.9393247</v>
      </c>
      <c r="I39" s="18" t="n">
        <v>0</v>
      </c>
      <c r="J39" s="20" t="n">
        <v>0</v>
      </c>
      <c r="K39" s="18" t="n">
        <v>0</v>
      </c>
      <c r="L39" s="20" t="n">
        <v>0</v>
      </c>
      <c r="M39" s="18" t="n">
        <v>0</v>
      </c>
      <c r="N39" s="20" t="n">
        <v>0</v>
      </c>
      <c r="O39" s="18" t="n">
        <v>0</v>
      </c>
      <c r="P39" s="20" t="n">
        <v>0</v>
      </c>
      <c r="Q39" s="18" t="n">
        <v>0.5388516800000001</v>
      </c>
      <c r="R39" s="20" t="n">
        <v>0.31053431</v>
      </c>
    </row>
    <row r="40" spans="1:18">
      <c r="A40" s="15" t="s">
        <v>598</v>
      </c>
      <c r="B40" s="17" t="n">
        <v>6922</v>
      </c>
      <c r="C40" s="18">
        <f>(5382.0/B40*100)</f>
        <v/>
      </c>
      <c r="D40" s="19" t="n">
        <v>1540</v>
      </c>
      <c r="E40" s="18" t="n">
        <v>28.11312949</v>
      </c>
      <c r="F40" s="20" t="n">
        <v>1.59434236</v>
      </c>
      <c r="G40" s="18" t="n">
        <v>70.65434768999999</v>
      </c>
      <c r="H40" s="20" t="n">
        <v>1.57205455</v>
      </c>
      <c r="I40" s="18" t="n">
        <v>0</v>
      </c>
      <c r="J40" s="20" t="n">
        <v>0</v>
      </c>
      <c r="K40" s="18" t="n">
        <v>0</v>
      </c>
      <c r="L40" s="20" t="n">
        <v>0</v>
      </c>
      <c r="M40" s="18" t="n">
        <v>0</v>
      </c>
      <c r="N40" s="20" t="n">
        <v>0</v>
      </c>
      <c r="O40" s="18" t="n">
        <v>0</v>
      </c>
      <c r="P40" s="20" t="n">
        <v>0</v>
      </c>
      <c r="Q40" s="18" t="n">
        <v>1.23252282</v>
      </c>
      <c r="R40" s="20" t="n">
        <v>0.4746172</v>
      </c>
    </row>
    <row r="41" spans="1:18">
      <c r="A41" s="15" t="s">
        <v>599</v>
      </c>
      <c r="B41" s="17" t="n">
        <v>2854</v>
      </c>
      <c r="C41" s="18">
        <f>(2227.0/B41*100)</f>
        <v/>
      </c>
      <c r="D41" s="19" t="n">
        <v>627</v>
      </c>
      <c r="E41" s="18" t="n">
        <v>29.59032335</v>
      </c>
      <c r="F41" s="20" t="n">
        <v>1.98047571</v>
      </c>
      <c r="G41" s="18" t="n">
        <v>69.80136699000001</v>
      </c>
      <c r="H41" s="20" t="n">
        <v>2.04607514</v>
      </c>
      <c r="I41" s="18" t="n">
        <v>0</v>
      </c>
      <c r="J41" s="20" t="n">
        <v>0</v>
      </c>
      <c r="K41" s="18" t="n">
        <v>0</v>
      </c>
      <c r="L41" s="20" t="n">
        <v>0</v>
      </c>
      <c r="M41" s="18" t="n">
        <v>0</v>
      </c>
      <c r="N41" s="20" t="n">
        <v>0</v>
      </c>
      <c r="O41" s="18" t="n">
        <v>0</v>
      </c>
      <c r="P41" s="20" t="n">
        <v>0</v>
      </c>
      <c r="Q41" s="18" t="n">
        <v>0.60830966</v>
      </c>
      <c r="R41" s="20" t="n">
        <v>0.43309161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(9595.0/B46*100)</f>
        <v/>
      </c>
      <c r="D46" s="19" t="n">
        <v>2478</v>
      </c>
      <c r="E46" s="18" t="n">
        <v>53.17820599</v>
      </c>
      <c r="F46" s="20" t="n">
        <v>1.39979997</v>
      </c>
      <c r="G46" s="18" t="n">
        <v>44.78467601</v>
      </c>
      <c r="H46" s="20" t="n">
        <v>1.41866176</v>
      </c>
      <c r="I46" s="18" t="n">
        <v>0</v>
      </c>
      <c r="J46" s="20" t="n">
        <v>0</v>
      </c>
      <c r="K46" s="18" t="n">
        <v>0.41821246</v>
      </c>
      <c r="L46" s="20" t="n">
        <v>0.24578497</v>
      </c>
      <c r="M46" s="18" t="n">
        <v>0</v>
      </c>
      <c r="N46" s="20" t="n">
        <v>0</v>
      </c>
      <c r="O46" s="18" t="n">
        <v>0</v>
      </c>
      <c r="P46" s="20" t="n">
        <v>0</v>
      </c>
      <c r="Q46" s="18" t="n">
        <v>1.61890554</v>
      </c>
      <c r="R46" s="20" t="n">
        <v>0.30879586</v>
      </c>
    </row>
    <row r="47" spans="1:18">
      <c r="A47" s="15" t="s">
        <v>606</v>
      </c>
      <c r="B47" s="17" t="n">
        <v>2823</v>
      </c>
      <c r="C47" s="18">
        <f>(2206.0/B47*100)</f>
        <v/>
      </c>
      <c r="D47" s="19" t="n">
        <v>617</v>
      </c>
      <c r="E47" s="18" t="n">
        <v>44.47670919</v>
      </c>
      <c r="F47" s="20" t="n">
        <v>2.07686071</v>
      </c>
      <c r="G47" s="18" t="n">
        <v>54.23008915</v>
      </c>
      <c r="H47" s="20" t="n">
        <v>2.1362824</v>
      </c>
      <c r="I47" s="18" t="n">
        <v>0</v>
      </c>
      <c r="J47" s="20" t="n">
        <v>0</v>
      </c>
      <c r="K47" s="18" t="n">
        <v>0.15057705</v>
      </c>
      <c r="L47" s="20" t="n">
        <v>0.15199044</v>
      </c>
      <c r="M47" s="18" t="n">
        <v>0</v>
      </c>
      <c r="N47" s="20" t="n">
        <v>0</v>
      </c>
      <c r="O47" s="18" t="n">
        <v>0</v>
      </c>
      <c r="P47" s="20" t="n">
        <v>0</v>
      </c>
      <c r="Q47" s="18" t="n">
        <v>1.14262461</v>
      </c>
      <c r="R47" s="20" t="n">
        <v>0.41858219</v>
      </c>
    </row>
    <row r="48" spans="1:18">
      <c r="A48" s="15" t="s">
        <v>607</v>
      </c>
      <c r="B48" s="17" t="n">
        <v>4682</v>
      </c>
      <c r="C48" s="18">
        <f>(3640.0/B48*100)</f>
        <v/>
      </c>
      <c r="D48" s="19" t="n">
        <v>1042</v>
      </c>
      <c r="E48" s="18" t="n">
        <v>53.26986896</v>
      </c>
      <c r="F48" s="20" t="n">
        <v>1.69753741</v>
      </c>
      <c r="G48" s="18" t="n">
        <v>45.55733964</v>
      </c>
      <c r="H48" s="20" t="n">
        <v>1.73118568</v>
      </c>
      <c r="I48" s="18" t="n">
        <v>0</v>
      </c>
      <c r="J48" s="20" t="n">
        <v>0</v>
      </c>
      <c r="K48" s="18" t="n">
        <v>0.29815253</v>
      </c>
      <c r="L48" s="20" t="n">
        <v>0.21133908</v>
      </c>
      <c r="M48" s="18" t="n">
        <v>0</v>
      </c>
      <c r="N48" s="20" t="n">
        <v>0</v>
      </c>
      <c r="O48" s="18" t="n">
        <v>0</v>
      </c>
      <c r="P48" s="20" t="n">
        <v>0</v>
      </c>
      <c r="Q48" s="18" t="n">
        <v>0.87463887</v>
      </c>
      <c r="R48" s="20" t="n">
        <v>0.36209779</v>
      </c>
    </row>
    <row r="49" spans="1:18">
      <c r="A49" s="15" t="s">
        <v>608</v>
      </c>
      <c r="B49" s="17" t="n">
        <v>6158</v>
      </c>
      <c r="C49" s="18">
        <f>(4802.0/B49*100)</f>
        <v/>
      </c>
      <c r="D49" s="19" t="n">
        <v>1356</v>
      </c>
      <c r="E49" s="18" t="n">
        <v>42.90405269</v>
      </c>
      <c r="F49" s="20" t="n">
        <v>2.13146594</v>
      </c>
      <c r="G49" s="18" t="n">
        <v>56.06361523</v>
      </c>
      <c r="H49" s="20" t="n">
        <v>2.12602867</v>
      </c>
      <c r="I49" s="18" t="n">
        <v>0</v>
      </c>
      <c r="J49" s="20" t="n">
        <v>0</v>
      </c>
      <c r="K49" s="18" t="n">
        <v>0.16052065</v>
      </c>
      <c r="L49" s="20" t="n">
        <v>0.10894096</v>
      </c>
      <c r="M49" s="18" t="n">
        <v>0</v>
      </c>
      <c r="N49" s="20" t="n">
        <v>0</v>
      </c>
      <c r="O49" s="18" t="n">
        <v>0</v>
      </c>
      <c r="P49" s="20" t="n">
        <v>0</v>
      </c>
      <c r="Q49" s="18" t="n">
        <v>0.87181144</v>
      </c>
      <c r="R49" s="20" t="n">
        <v>0.30791522</v>
      </c>
    </row>
    <row r="50" spans="1:18">
      <c r="A50" s="15" t="s">
        <v>609</v>
      </c>
      <c r="B50" s="17" t="n">
        <v>3494</v>
      </c>
      <c r="C50" s="18">
        <f>(2791.0/B50*100)</f>
        <v/>
      </c>
      <c r="D50" s="19" t="n">
        <v>703</v>
      </c>
      <c r="E50" s="18" t="n">
        <v>48.13587935</v>
      </c>
      <c r="F50" s="20" t="n">
        <v>2.19918084</v>
      </c>
      <c r="G50" s="18" t="n">
        <v>50.40901874</v>
      </c>
      <c r="H50" s="20" t="n">
        <v>2.2136129</v>
      </c>
      <c r="I50" s="18" t="n">
        <v>0</v>
      </c>
      <c r="J50" s="20" t="n">
        <v>0</v>
      </c>
      <c r="K50" s="18" t="n">
        <v>0</v>
      </c>
      <c r="L50" s="20" t="n">
        <v>0</v>
      </c>
      <c r="M50" s="18" t="n">
        <v>0</v>
      </c>
      <c r="N50" s="20" t="n">
        <v>0</v>
      </c>
      <c r="O50" s="18" t="n">
        <v>0</v>
      </c>
      <c r="P50" s="20" t="n">
        <v>0</v>
      </c>
      <c r="Q50" s="18" t="n">
        <v>1.45510191</v>
      </c>
      <c r="R50" s="20" t="n">
        <v>0.48603273</v>
      </c>
    </row>
    <row r="51" spans="1:18">
      <c r="A51" s="15" t="s">
        <v>610</v>
      </c>
      <c r="B51" s="17" t="n">
        <v>3013</v>
      </c>
      <c r="C51" s="18">
        <f>(2334.0/B51*100)</f>
        <v/>
      </c>
      <c r="D51" s="19" t="n">
        <v>679</v>
      </c>
      <c r="E51" s="18" t="n">
        <v>41.89794387</v>
      </c>
      <c r="F51" s="20" t="n">
        <v>2.13209674</v>
      </c>
      <c r="G51" s="18" t="n">
        <v>57.6556964</v>
      </c>
      <c r="H51" s="20" t="n">
        <v>2.15047167</v>
      </c>
      <c r="I51" s="18" t="n">
        <v>0</v>
      </c>
      <c r="J51" s="20" t="n">
        <v>0</v>
      </c>
      <c r="K51" s="18" t="n">
        <v>0</v>
      </c>
      <c r="L51" s="20" t="n">
        <v>0</v>
      </c>
      <c r="M51" s="18" t="n">
        <v>0</v>
      </c>
      <c r="N51" s="20" t="n">
        <v>0</v>
      </c>
      <c r="O51" s="18" t="n">
        <v>0</v>
      </c>
      <c r="P51" s="20" t="n">
        <v>0</v>
      </c>
      <c r="Q51" s="18" t="n">
        <v>0.44635973</v>
      </c>
      <c r="R51" s="20" t="n">
        <v>0.25698177</v>
      </c>
    </row>
    <row r="52" spans="1:18">
      <c r="A52" s="15" t="s">
        <v>611</v>
      </c>
      <c r="B52" s="17" t="n">
        <v>2760</v>
      </c>
      <c r="C52" s="18">
        <f>(2124.0/B52*100)</f>
        <v/>
      </c>
      <c r="D52" s="19" t="n">
        <v>636</v>
      </c>
      <c r="E52" s="18" t="n">
        <v>44.21647746</v>
      </c>
      <c r="F52" s="20" t="n">
        <v>2.25658062</v>
      </c>
      <c r="G52" s="18" t="n">
        <v>55.45251191</v>
      </c>
      <c r="H52" s="20" t="n">
        <v>2.25922469</v>
      </c>
      <c r="I52" s="18" t="n">
        <v>0</v>
      </c>
      <c r="J52" s="20" t="n">
        <v>0</v>
      </c>
      <c r="K52" s="18" t="n">
        <v>0.11230982</v>
      </c>
      <c r="L52" s="20" t="n">
        <v>0.11304014</v>
      </c>
      <c r="M52" s="18" t="n">
        <v>0</v>
      </c>
      <c r="N52" s="20" t="n">
        <v>0</v>
      </c>
      <c r="O52" s="18" t="n">
        <v>0</v>
      </c>
      <c r="P52" s="20" t="n">
        <v>0</v>
      </c>
      <c r="Q52" s="18" t="n">
        <v>0.21870081</v>
      </c>
      <c r="R52" s="20" t="n">
        <v>0.15715219</v>
      </c>
    </row>
    <row r="53" spans="1:18">
      <c r="A53" s="15" t="s">
        <v>612</v>
      </c>
      <c r="B53" s="17" t="n">
        <v>2474</v>
      </c>
      <c r="C53" s="18">
        <f>(1950.0/B53*100)</f>
        <v/>
      </c>
      <c r="D53" s="19" t="n">
        <v>524</v>
      </c>
      <c r="E53" s="18" t="n">
        <v>62.90322967</v>
      </c>
      <c r="F53" s="20" t="n">
        <v>2.26184397</v>
      </c>
      <c r="G53" s="18" t="n">
        <v>27.00464288</v>
      </c>
      <c r="H53" s="20" t="n">
        <v>1.98192742</v>
      </c>
      <c r="I53" s="18" t="n">
        <v>0</v>
      </c>
      <c r="J53" s="20" t="n">
        <v>0</v>
      </c>
      <c r="K53" s="18" t="n">
        <v>3.8969634</v>
      </c>
      <c r="L53" s="20" t="n">
        <v>1.03170465</v>
      </c>
      <c r="M53" s="18" t="n">
        <v>0</v>
      </c>
      <c r="N53" s="20" t="n">
        <v>0</v>
      </c>
      <c r="O53" s="18" t="n">
        <v>0</v>
      </c>
      <c r="P53" s="20" t="n">
        <v>0</v>
      </c>
      <c r="Q53" s="18" t="n">
        <v>6.19516404</v>
      </c>
      <c r="R53" s="20" t="n">
        <v>1.19514307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(2077.0/B55*100)</f>
        <v/>
      </c>
      <c r="D55" s="19" t="n">
        <v>598</v>
      </c>
      <c r="E55" s="18" t="n">
        <v>20.30167683</v>
      </c>
      <c r="F55" s="20" t="n">
        <v>1.70351709</v>
      </c>
      <c r="G55" s="18" t="n">
        <v>79.19462331</v>
      </c>
      <c r="H55" s="20" t="n">
        <v>1.67301581</v>
      </c>
      <c r="I55" s="18" t="n">
        <v>0</v>
      </c>
      <c r="J55" s="20" t="n">
        <v>0</v>
      </c>
      <c r="K55" s="18" t="n">
        <v>0.32827943</v>
      </c>
      <c r="L55" s="20" t="n">
        <v>0.31542229</v>
      </c>
      <c r="M55" s="18" t="n">
        <v>0</v>
      </c>
      <c r="N55" s="20" t="n">
        <v>0</v>
      </c>
      <c r="O55" s="18" t="n">
        <v>0</v>
      </c>
      <c r="P55" s="20" t="n">
        <v>0</v>
      </c>
      <c r="Q55" s="18" t="n">
        <v>0.17542043</v>
      </c>
      <c r="R55" s="20" t="n">
        <v>0.16775445</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(2482.0/B61*100)</f>
        <v/>
      </c>
      <c r="D61" s="19" t="n">
        <v>719</v>
      </c>
      <c r="E61" s="18" t="n">
        <v>38.03196243</v>
      </c>
      <c r="F61" s="20" t="n">
        <v>1.74298425</v>
      </c>
      <c r="G61" s="18" t="n">
        <v>61.33917776</v>
      </c>
      <c r="H61" s="20" t="n">
        <v>1.73278284</v>
      </c>
      <c r="I61" s="18" t="n">
        <v>0</v>
      </c>
      <c r="J61" s="20" t="n">
        <v>0</v>
      </c>
      <c r="K61" s="18" t="n">
        <v>0.17999217</v>
      </c>
      <c r="L61" s="20" t="n">
        <v>0.1851405</v>
      </c>
      <c r="M61" s="18" t="n">
        <v>0</v>
      </c>
      <c r="N61" s="20" t="n">
        <v>0</v>
      </c>
      <c r="O61" s="18" t="n">
        <v>0</v>
      </c>
      <c r="P61" s="20" t="n">
        <v>0</v>
      </c>
      <c r="Q61" s="18" t="n">
        <v>0.44886764</v>
      </c>
      <c r="R61" s="20" t="n">
        <v>0.28516478</v>
      </c>
    </row>
    <row r="62" spans="1:18">
      <c r="A62" s="15" t="s">
        <v>622</v>
      </c>
      <c r="B62" s="17" t="n">
        <v>2230</v>
      </c>
      <c r="C62" s="18">
        <f>(1723.0/B62*100)</f>
        <v/>
      </c>
      <c r="D62" s="19" t="n">
        <v>507</v>
      </c>
      <c r="E62" s="18" t="n">
        <v>22.73805894</v>
      </c>
      <c r="F62" s="20" t="n">
        <v>1.68130411</v>
      </c>
      <c r="G62" s="18" t="n">
        <v>77.26194106</v>
      </c>
      <c r="H62" s="20" t="n">
        <v>1.68130411</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(2182.0/B67*100)</f>
        <v/>
      </c>
      <c r="D67" s="19" t="n">
        <v>589</v>
      </c>
      <c r="E67" s="18" t="n">
        <v>53.44127139</v>
      </c>
      <c r="F67" s="20" t="n">
        <v>2.0157675</v>
      </c>
      <c r="G67" s="18" t="n">
        <v>44.5798102</v>
      </c>
      <c r="H67" s="20" t="n">
        <v>2.02706247</v>
      </c>
      <c r="I67" s="18" t="n">
        <v>0</v>
      </c>
      <c r="J67" s="20" t="n">
        <v>0</v>
      </c>
      <c r="K67" s="18" t="n">
        <v>0.38162028</v>
      </c>
      <c r="L67" s="20" t="n">
        <v>0.27908636</v>
      </c>
      <c r="M67" s="18" t="n">
        <v>0</v>
      </c>
      <c r="N67" s="20" t="n">
        <v>0</v>
      </c>
      <c r="O67" s="18" t="n">
        <v>0</v>
      </c>
      <c r="P67" s="20" t="n">
        <v>0</v>
      </c>
      <c r="Q67" s="18" t="n">
        <v>1.59729813</v>
      </c>
      <c r="R67" s="20" t="n">
        <v>0.45929914</v>
      </c>
    </row>
    <row r="68" spans="1:18">
      <c r="A68" s="15" t="s">
        <v>628</v>
      </c>
      <c r="B68" s="17" t="n">
        <v>3460</v>
      </c>
      <c r="C68" s="18">
        <f>(2727.0/B68*100)</f>
        <v/>
      </c>
      <c r="D68" s="19" t="n">
        <v>733</v>
      </c>
      <c r="E68" s="18" t="n">
        <v>55.99342051</v>
      </c>
      <c r="F68" s="20" t="n">
        <v>2.1716931</v>
      </c>
      <c r="G68" s="18" t="n">
        <v>43.1547747</v>
      </c>
      <c r="H68" s="20" t="n">
        <v>2.18210851</v>
      </c>
      <c r="I68" s="18" t="n">
        <v>0</v>
      </c>
      <c r="J68" s="20" t="n">
        <v>0</v>
      </c>
      <c r="K68" s="18" t="n">
        <v>0</v>
      </c>
      <c r="L68" s="20" t="n">
        <v>0</v>
      </c>
      <c r="M68" s="18" t="n">
        <v>0</v>
      </c>
      <c r="N68" s="20" t="n">
        <v>0</v>
      </c>
      <c r="O68" s="18" t="n">
        <v>0</v>
      </c>
      <c r="P68" s="20" t="n">
        <v>0</v>
      </c>
      <c r="Q68" s="18" t="n">
        <v>0.85180479</v>
      </c>
      <c r="R68" s="20" t="n">
        <v>0.36141005</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49.93526702</v>
      </c>
      <c r="F70" s="20" t="n">
        <v>1.2610369</v>
      </c>
      <c r="G70" s="18" t="n">
        <v>49.19739611</v>
      </c>
      <c r="H70" s="20" t="n">
        <v>1.2507148</v>
      </c>
      <c r="I70" s="18" t="n">
        <v>0</v>
      </c>
      <c r="J70" s="20" t="n">
        <v>0</v>
      </c>
      <c r="K70" s="18" t="n">
        <v>0.34096577</v>
      </c>
      <c r="L70" s="20" t="n">
        <v>0.17150783</v>
      </c>
      <c r="M70" s="18" t="n">
        <v>0</v>
      </c>
      <c r="N70" s="20" t="n">
        <v>0</v>
      </c>
      <c r="O70" s="18" t="n">
        <v>0</v>
      </c>
      <c r="P70" s="20" t="n">
        <v>0</v>
      </c>
      <c r="Q70" s="18" t="n">
        <v>0.5263711</v>
      </c>
      <c r="R70" s="20" t="n">
        <v>0.19879441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(2418.0/B72*100)</f>
        <v/>
      </c>
      <c r="D72" s="19" t="n">
        <v>689</v>
      </c>
      <c r="E72" s="18" t="n">
        <v>54.76064657</v>
      </c>
      <c r="F72" s="20" t="n">
        <v>2.35884735</v>
      </c>
      <c r="G72" s="18" t="n">
        <v>44.65145956</v>
      </c>
      <c r="H72" s="20" t="n">
        <v>2.39247228</v>
      </c>
      <c r="I72" s="18" t="n">
        <v>0</v>
      </c>
      <c r="J72" s="20" t="n">
        <v>0</v>
      </c>
      <c r="K72" s="18" t="n">
        <v>0</v>
      </c>
      <c r="L72" s="20" t="n">
        <v>0</v>
      </c>
      <c r="M72" s="18" t="n">
        <v>0</v>
      </c>
      <c r="N72" s="20" t="n">
        <v>0</v>
      </c>
      <c r="O72" s="18" t="n">
        <v>0</v>
      </c>
      <c r="P72" s="20" t="n">
        <v>0</v>
      </c>
      <c r="Q72" s="18" t="n">
        <v>0.58789388</v>
      </c>
      <c r="R72" s="20" t="n">
        <v>0.28109793</v>
      </c>
    </row>
    <row r="73" spans="1:18">
      <c r="A73" s="15" t="s">
        <v>633</v>
      </c>
      <c r="B73" s="17" t="n">
        <v>2973</v>
      </c>
      <c r="C73" s="18">
        <f>(2301.0/B73*100)</f>
        <v/>
      </c>
      <c r="D73" s="19" t="n">
        <v>672</v>
      </c>
      <c r="E73" s="18" t="n">
        <v>29.5197391</v>
      </c>
      <c r="F73" s="20" t="n">
        <v>1.70564712</v>
      </c>
      <c r="G73" s="18" t="n">
        <v>70.06988432</v>
      </c>
      <c r="H73" s="20" t="n">
        <v>1.71148762</v>
      </c>
      <c r="I73" s="18" t="n">
        <v>0</v>
      </c>
      <c r="J73" s="20" t="n">
        <v>0</v>
      </c>
      <c r="K73" s="18" t="n">
        <v>0</v>
      </c>
      <c r="L73" s="20" t="n">
        <v>0</v>
      </c>
      <c r="M73" s="18" t="n">
        <v>0</v>
      </c>
      <c r="N73" s="20" t="n">
        <v>0</v>
      </c>
      <c r="O73" s="18" t="n">
        <v>0</v>
      </c>
      <c r="P73" s="20" t="n">
        <v>0</v>
      </c>
      <c r="Q73" s="18" t="n">
        <v>0.41037659</v>
      </c>
      <c r="R73" s="20" t="n">
        <v>0.29429762</v>
      </c>
    </row>
    <row r="74" spans="1:18">
      <c r="A74" s="15" t="s">
        <v>634</v>
      </c>
      <c r="B74" s="17" t="n">
        <v>3819</v>
      </c>
      <c r="C74" s="18">
        <f>(2927.0/B74*100)</f>
        <v/>
      </c>
      <c r="D74" s="19" t="n">
        <v>892</v>
      </c>
      <c r="E74" s="18" t="n">
        <v>30.54922542</v>
      </c>
      <c r="F74" s="20" t="n">
        <v>1.91897809</v>
      </c>
      <c r="G74" s="18" t="n">
        <v>69.27749660000001</v>
      </c>
      <c r="H74" s="20" t="n">
        <v>1.83912275</v>
      </c>
      <c r="I74" s="18" t="n">
        <v>0</v>
      </c>
      <c r="J74" s="20" t="n">
        <v>0</v>
      </c>
      <c r="K74" s="18" t="n">
        <v>0</v>
      </c>
      <c r="L74" s="20" t="n">
        <v>0</v>
      </c>
      <c r="M74" s="18" t="n">
        <v>0</v>
      </c>
      <c r="N74" s="20" t="n">
        <v>0</v>
      </c>
      <c r="O74" s="18" t="n">
        <v>0</v>
      </c>
      <c r="P74" s="20" t="n">
        <v>0</v>
      </c>
      <c r="Q74" s="18" t="n">
        <v>0.17327798</v>
      </c>
      <c r="R74" s="20" t="n">
        <v>0.24709186</v>
      </c>
    </row>
    <row r="75" spans="1:18">
      <c r="A75" s="15" t="s">
        <v>635</v>
      </c>
      <c r="B75" s="17" t="n">
        <v>4652</v>
      </c>
      <c r="C75" s="18">
        <f>(3589.0/B75*100)</f>
        <v/>
      </c>
      <c r="D75" s="19" t="n">
        <v>1063</v>
      </c>
      <c r="E75" s="18" t="n">
        <v>38.25355956</v>
      </c>
      <c r="F75" s="20" t="n">
        <v>1.92063077</v>
      </c>
      <c r="G75" s="18" t="n">
        <v>61.47806878</v>
      </c>
      <c r="H75" s="20" t="n">
        <v>1.8873642</v>
      </c>
      <c r="I75" s="18" t="n">
        <v>0</v>
      </c>
      <c r="J75" s="20" t="n">
        <v>0</v>
      </c>
      <c r="K75" s="18" t="n">
        <v>0</v>
      </c>
      <c r="L75" s="20" t="n">
        <v>0</v>
      </c>
      <c r="M75" s="18" t="n">
        <v>0</v>
      </c>
      <c r="N75" s="20" t="n">
        <v>0</v>
      </c>
      <c r="O75" s="18" t="n">
        <v>0</v>
      </c>
      <c r="P75" s="20" t="n">
        <v>0</v>
      </c>
      <c r="Q75" s="18" t="n">
        <v>0.26837166</v>
      </c>
      <c r="R75" s="20" t="n">
        <v>0.18793622</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(2328.0/B77*100)</f>
        <v/>
      </c>
      <c r="D77" s="19" t="n">
        <v>641</v>
      </c>
      <c r="E77" s="18" t="n">
        <v>65.09661477</v>
      </c>
      <c r="F77" s="20" t="n">
        <v>2.07277222</v>
      </c>
      <c r="G77" s="18" t="n">
        <v>32.16537216</v>
      </c>
      <c r="H77" s="20" t="n">
        <v>2.04716765</v>
      </c>
      <c r="I77" s="18" t="n">
        <v>0</v>
      </c>
      <c r="J77" s="20" t="n">
        <v>0</v>
      </c>
      <c r="K77" s="18" t="n">
        <v>1.47996214</v>
      </c>
      <c r="L77" s="20" t="n">
        <v>0.52718356</v>
      </c>
      <c r="M77" s="18" t="n">
        <v>0</v>
      </c>
      <c r="N77" s="20" t="n">
        <v>0</v>
      </c>
      <c r="O77" s="18" t="n">
        <v>0</v>
      </c>
      <c r="P77" s="20" t="n">
        <v>0</v>
      </c>
      <c r="Q77" s="18" t="n">
        <v>1.25805093</v>
      </c>
      <c r="R77" s="20" t="n">
        <v>0.46300591</v>
      </c>
    </row>
    <row r="78" spans="1:18">
      <c r="A78" s="15" t="s">
        <v>638</v>
      </c>
      <c r="B78" s="17" t="n">
        <v>7115</v>
      </c>
      <c r="C78" s="18">
        <f>(5530.0/B78*100)</f>
        <v/>
      </c>
      <c r="D78" s="19" t="n">
        <v>1585</v>
      </c>
      <c r="E78" s="18" t="n">
        <v>43.67160651</v>
      </c>
      <c r="F78" s="20" t="n">
        <v>1.44686219</v>
      </c>
      <c r="G78" s="18" t="n">
        <v>55.87076342</v>
      </c>
      <c r="H78" s="20" t="n">
        <v>1.46105138</v>
      </c>
      <c r="I78" s="18" t="n">
        <v>0</v>
      </c>
      <c r="J78" s="20" t="n">
        <v>0</v>
      </c>
      <c r="K78" s="18" t="n">
        <v>0.28091637</v>
      </c>
      <c r="L78" s="20" t="n">
        <v>0.14536044</v>
      </c>
      <c r="M78" s="18" t="n">
        <v>0</v>
      </c>
      <c r="N78" s="20" t="n">
        <v>0</v>
      </c>
      <c r="O78" s="18" t="n">
        <v>0</v>
      </c>
      <c r="P78" s="20" t="n">
        <v>0</v>
      </c>
      <c r="Q78" s="18" t="n">
        <v>0.1767137</v>
      </c>
      <c r="R78" s="20" t="n">
        <v>0.12544598</v>
      </c>
    </row>
    <row r="79" spans="1:18">
      <c r="A79" s="15" t="s">
        <v>639</v>
      </c>
      <c r="B79" s="17" t="n">
        <v>3154</v>
      </c>
      <c r="C79" s="18">
        <f>(2478.0/B79*100)</f>
        <v/>
      </c>
      <c r="D79" s="19" t="n">
        <v>676</v>
      </c>
      <c r="E79" s="18" t="n">
        <v>44.65781069</v>
      </c>
      <c r="F79" s="20" t="n">
        <v>1.99245779</v>
      </c>
      <c r="G79" s="18" t="n">
        <v>53.62053882</v>
      </c>
      <c r="H79" s="20" t="n">
        <v>2.01282737</v>
      </c>
      <c r="I79" s="18" t="n">
        <v>0</v>
      </c>
      <c r="J79" s="20" t="n">
        <v>0</v>
      </c>
      <c r="K79" s="18" t="n">
        <v>0</v>
      </c>
      <c r="L79" s="20" t="n">
        <v>0</v>
      </c>
      <c r="M79" s="18" t="n">
        <v>0</v>
      </c>
      <c r="N79" s="20" t="n">
        <v>0</v>
      </c>
      <c r="O79" s="18" t="n">
        <v>0</v>
      </c>
      <c r="P79" s="20" t="n">
        <v>0</v>
      </c>
      <c r="Q79" s="18" t="n">
        <v>1.72165049</v>
      </c>
      <c r="R79" s="20" t="n">
        <v>0.54864366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(12386.0/B82*100)</f>
        <v/>
      </c>
      <c r="D82" s="19" t="n">
        <v>3575</v>
      </c>
      <c r="E82" s="18" t="n">
        <v>36.3729306</v>
      </c>
      <c r="F82" s="20" t="n">
        <v>1.31429344</v>
      </c>
      <c r="G82" s="18" t="n">
        <v>63.24076761</v>
      </c>
      <c r="H82" s="20" t="n">
        <v>1.30249613</v>
      </c>
      <c r="I82" s="18" t="n">
        <v>0</v>
      </c>
      <c r="J82" s="20" t="n">
        <v>0</v>
      </c>
      <c r="K82" s="18" t="n">
        <v>0.05029676</v>
      </c>
      <c r="L82" s="20" t="n">
        <v>0.03283167</v>
      </c>
      <c r="M82" s="18" t="n">
        <v>0</v>
      </c>
      <c r="N82" s="20" t="n">
        <v>0</v>
      </c>
      <c r="O82" s="18" t="n">
        <v>0</v>
      </c>
      <c r="P82" s="20" t="n">
        <v>0</v>
      </c>
      <c r="Q82" s="18" t="n">
        <v>0.33600503</v>
      </c>
      <c r="R82" s="20" t="n">
        <v>0.09566223</v>
      </c>
    </row>
    <row r="83" spans="1:18">
      <c r="A83" s="15" t="s">
        <v>643</v>
      </c>
      <c r="B83" s="17" t="n">
        <v>808</v>
      </c>
      <c r="C83" s="18">
        <f>(647.0/B83*100)</f>
        <v/>
      </c>
      <c r="D83" s="19" t="n">
        <v>161</v>
      </c>
      <c r="E83" s="18" t="n">
        <v>26.91053822</v>
      </c>
      <c r="F83" s="20" t="n">
        <v>3.31087131</v>
      </c>
      <c r="G83" s="18" t="n">
        <v>72.59132102</v>
      </c>
      <c r="H83" s="20" t="n">
        <v>3.35948747</v>
      </c>
      <c r="I83" s="18" t="n">
        <v>0</v>
      </c>
      <c r="J83" s="20" t="n">
        <v>0</v>
      </c>
      <c r="K83" s="18" t="n">
        <v>0</v>
      </c>
      <c r="L83" s="20" t="n">
        <v>0</v>
      </c>
      <c r="M83" s="18" t="n">
        <v>0</v>
      </c>
      <c r="N83" s="20" t="n">
        <v>0</v>
      </c>
      <c r="O83" s="18" t="n">
        <v>0</v>
      </c>
      <c r="P83" s="20" t="n">
        <v>0</v>
      </c>
      <c r="Q83" s="18" t="n">
        <v>0.49814076</v>
      </c>
      <c r="R83" s="20" t="n">
        <v>0.50463167</v>
      </c>
    </row>
    <row r="84" spans="1:18">
      <c r="A84" s="23" t="s">
        <v>644</v>
      </c>
      <c r="B84" s="24" t="n">
        <v>938</v>
      </c>
      <c r="C84" s="25">
        <f>(740.0/B84*100)</f>
        <v/>
      </c>
      <c r="D84" s="19" t="n">
        <v>198</v>
      </c>
      <c r="E84" s="18" t="n">
        <v>35.85151637</v>
      </c>
      <c r="F84" s="20" t="n">
        <v>3.12130325</v>
      </c>
      <c r="G84" s="18" t="n">
        <v>64.14848363</v>
      </c>
      <c r="H84" s="20" t="n">
        <v>3.12130325</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751</v>
      </c>
    </row>
    <row customHeight="1" ht="30" r="4" spans="1:20">
      <c r="A4" s="6" t="n"/>
      <c r="B4" s="7" t="s">
        <v>551</v>
      </c>
      <c r="C4" s="7" t="s">
        <v>552</v>
      </c>
      <c r="D4" s="8" t="s">
        <v>551</v>
      </c>
      <c r="E4" s="9" t="s">
        <v>660</v>
      </c>
      <c r="F4" s="10" t="n"/>
      <c r="G4" s="9" t="s">
        <v>752</v>
      </c>
      <c r="H4" s="10" t="n"/>
      <c r="I4" s="9" t="s">
        <v>661</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(5592.0/B7*100)</f>
        <v/>
      </c>
      <c r="D7" s="19" t="n">
        <v>1571</v>
      </c>
      <c r="E7" s="18" t="n">
        <v>31.42188048</v>
      </c>
      <c r="F7" s="20" t="n">
        <v>1.38277146</v>
      </c>
      <c r="G7" s="18" t="n">
        <v>37.59923014</v>
      </c>
      <c r="H7" s="20" t="n">
        <v>1.44793154</v>
      </c>
      <c r="I7" s="18" t="n">
        <v>29.88727769</v>
      </c>
      <c r="J7" s="20" t="n">
        <v>1.35801</v>
      </c>
      <c r="K7" s="18" t="n">
        <v>0</v>
      </c>
      <c r="L7" s="20" t="n">
        <v>0</v>
      </c>
      <c r="M7" s="18" t="n">
        <v>0.03735196</v>
      </c>
      <c r="N7" s="20" t="n">
        <v>0.02490351</v>
      </c>
      <c r="O7" s="18" t="n">
        <v>0</v>
      </c>
      <c r="P7" s="20" t="n">
        <v>0</v>
      </c>
      <c r="Q7" s="18" t="n">
        <v>0</v>
      </c>
      <c r="R7" s="20" t="n">
        <v>0</v>
      </c>
      <c r="S7" s="18" t="n">
        <v>1.05425972</v>
      </c>
      <c r="T7" s="20" t="n">
        <v>0.31265825</v>
      </c>
    </row>
    <row r="8" spans="1:20">
      <c r="A8" s="15" t="s">
        <v>566</v>
      </c>
      <c r="B8" s="17" t="n">
        <v>3443</v>
      </c>
      <c r="C8" s="18">
        <f>(2669.0/B8*100)</f>
        <v/>
      </c>
      <c r="D8" s="19" t="n">
        <v>774</v>
      </c>
      <c r="E8" s="18" t="n">
        <v>22.99435744</v>
      </c>
      <c r="F8" s="20" t="n">
        <v>1.49428125</v>
      </c>
      <c r="G8" s="18" t="n">
        <v>39.7933974</v>
      </c>
      <c r="H8" s="20" t="n">
        <v>1.88895389</v>
      </c>
      <c r="I8" s="18" t="n">
        <v>36.48340657</v>
      </c>
      <c r="J8" s="20" t="n">
        <v>2.12876339</v>
      </c>
      <c r="K8" s="18" t="n">
        <v>0</v>
      </c>
      <c r="L8" s="20" t="n">
        <v>0</v>
      </c>
      <c r="M8" s="18" t="n">
        <v>0.20038056</v>
      </c>
      <c r="N8" s="20" t="n">
        <v>0.20744056</v>
      </c>
      <c r="O8" s="18" t="n">
        <v>0</v>
      </c>
      <c r="P8" s="20" t="n">
        <v>0</v>
      </c>
      <c r="Q8" s="18" t="n">
        <v>0</v>
      </c>
      <c r="R8" s="20" t="n">
        <v>0</v>
      </c>
      <c r="S8" s="18" t="n">
        <v>0.52845802</v>
      </c>
      <c r="T8" s="20" t="n">
        <v>0.2570955</v>
      </c>
    </row>
    <row r="9" spans="1:20">
      <c r="A9" s="15" t="s">
        <v>567</v>
      </c>
      <c r="B9" s="17" t="n">
        <v>4752</v>
      </c>
      <c r="C9" s="18">
        <f>(3746.0/B9*100)</f>
        <v/>
      </c>
      <c r="D9" s="19" t="n">
        <v>1006</v>
      </c>
      <c r="E9" s="18" t="n">
        <v>35.11861789</v>
      </c>
      <c r="F9" s="20" t="n">
        <v>1.49590988</v>
      </c>
      <c r="G9" s="18" t="n">
        <v>24.42347471</v>
      </c>
      <c r="H9" s="20" t="n">
        <v>1.557069</v>
      </c>
      <c r="I9" s="18" t="n">
        <v>39.02911141</v>
      </c>
      <c r="J9" s="20" t="n">
        <v>1.46851892</v>
      </c>
      <c r="K9" s="18" t="n">
        <v>0</v>
      </c>
      <c r="L9" s="20" t="n">
        <v>0</v>
      </c>
      <c r="M9" s="18" t="n">
        <v>0</v>
      </c>
      <c r="N9" s="20" t="n">
        <v>0</v>
      </c>
      <c r="O9" s="18" t="n">
        <v>0</v>
      </c>
      <c r="P9" s="20" t="n">
        <v>0</v>
      </c>
      <c r="Q9" s="18" t="n">
        <v>0</v>
      </c>
      <c r="R9" s="20" t="n">
        <v>0</v>
      </c>
      <c r="S9" s="18" t="n">
        <v>1.42879599</v>
      </c>
      <c r="T9" s="20" t="n">
        <v>0.31759837</v>
      </c>
    </row>
    <row r="10" spans="1:20">
      <c r="A10" s="15" t="s">
        <v>568</v>
      </c>
      <c r="B10" s="17" t="n">
        <v>10022</v>
      </c>
      <c r="C10" s="18">
        <f>(7807.0/B10*100)</f>
        <v/>
      </c>
      <c r="D10" s="19" t="n">
        <v>2215</v>
      </c>
      <c r="E10" s="18" t="n">
        <v>23.88809258</v>
      </c>
      <c r="F10" s="20" t="n">
        <v>1.27849172</v>
      </c>
      <c r="G10" s="18" t="n">
        <v>33.45744147</v>
      </c>
      <c r="H10" s="20" t="n">
        <v>1.28722929</v>
      </c>
      <c r="I10" s="18" t="n">
        <v>41.99553242</v>
      </c>
      <c r="J10" s="20" t="n">
        <v>1.54315172</v>
      </c>
      <c r="K10" s="18" t="n">
        <v>0</v>
      </c>
      <c r="L10" s="20" t="n">
        <v>0</v>
      </c>
      <c r="M10" s="18" t="n">
        <v>0.23531857</v>
      </c>
      <c r="N10" s="20" t="n">
        <v>0.17148146</v>
      </c>
      <c r="O10" s="18" t="n">
        <v>0</v>
      </c>
      <c r="P10" s="20" t="n">
        <v>0</v>
      </c>
      <c r="Q10" s="18" t="n">
        <v>0</v>
      </c>
      <c r="R10" s="20" t="n">
        <v>0</v>
      </c>
      <c r="S10" s="18" t="n">
        <v>0.42361496</v>
      </c>
      <c r="T10" s="20" t="n">
        <v>0.16353544</v>
      </c>
    </row>
    <row r="11" spans="1:20">
      <c r="A11" s="15" t="s">
        <v>569</v>
      </c>
      <c r="B11" s="17" t="n">
        <v>3500</v>
      </c>
      <c r="C11" s="18">
        <f>(2716.0/B11*100)</f>
        <v/>
      </c>
      <c r="D11" s="19" t="n">
        <v>784</v>
      </c>
      <c r="E11" s="18" t="n">
        <v>35.37553776</v>
      </c>
      <c r="F11" s="20" t="n">
        <v>1.89403559</v>
      </c>
      <c r="G11" s="18" t="n">
        <v>28.10378118</v>
      </c>
      <c r="H11" s="20" t="n">
        <v>1.94988894</v>
      </c>
      <c r="I11" s="18" t="n">
        <v>34.27516588</v>
      </c>
      <c r="J11" s="20" t="n">
        <v>2.08892058</v>
      </c>
      <c r="K11" s="18" t="n">
        <v>0</v>
      </c>
      <c r="L11" s="20" t="n">
        <v>0</v>
      </c>
      <c r="M11" s="18" t="n">
        <v>0.13275098</v>
      </c>
      <c r="N11" s="20" t="n">
        <v>0.13434624</v>
      </c>
      <c r="O11" s="18" t="n">
        <v>0</v>
      </c>
      <c r="P11" s="20" t="n">
        <v>0</v>
      </c>
      <c r="Q11" s="18" t="n">
        <v>0</v>
      </c>
      <c r="R11" s="20" t="n">
        <v>0</v>
      </c>
      <c r="S11" s="18" t="n">
        <v>2.11276421</v>
      </c>
      <c r="T11" s="20" t="n">
        <v>0.51625016</v>
      </c>
    </row>
    <row r="12" spans="1:20">
      <c r="A12" s="15" t="s">
        <v>570</v>
      </c>
      <c r="B12" s="17" t="n">
        <v>3422</v>
      </c>
      <c r="C12" s="18">
        <f>(2691.0/B12*100)</f>
        <v/>
      </c>
      <c r="D12" s="19" t="n">
        <v>731</v>
      </c>
      <c r="E12" s="18" t="n">
        <v>39.54522433</v>
      </c>
      <c r="F12" s="20" t="n">
        <v>2.0288474</v>
      </c>
      <c r="G12" s="18" t="n">
        <v>35.23455805</v>
      </c>
      <c r="H12" s="20" t="n">
        <v>1.84010894</v>
      </c>
      <c r="I12" s="18" t="n">
        <v>24.70592823</v>
      </c>
      <c r="J12" s="20" t="n">
        <v>1.60360484</v>
      </c>
      <c r="K12" s="18" t="n">
        <v>0</v>
      </c>
      <c r="L12" s="20" t="n">
        <v>0</v>
      </c>
      <c r="M12" s="18" t="n">
        <v>0.12777565</v>
      </c>
      <c r="N12" s="20" t="n">
        <v>0.12497224</v>
      </c>
      <c r="O12" s="18" t="n">
        <v>0</v>
      </c>
      <c r="P12" s="20" t="n">
        <v>0</v>
      </c>
      <c r="Q12" s="18" t="n">
        <v>0</v>
      </c>
      <c r="R12" s="20" t="n">
        <v>0</v>
      </c>
      <c r="S12" s="18" t="n">
        <v>0.38651375</v>
      </c>
      <c r="T12" s="20" t="n">
        <v>0.18547004</v>
      </c>
    </row>
    <row r="13" spans="1:20">
      <c r="A13" s="15" t="s">
        <v>571</v>
      </c>
      <c r="B13" s="17" t="n">
        <v>3602</v>
      </c>
      <c r="C13" s="18">
        <f>(2845.0/B13*100)</f>
        <v/>
      </c>
      <c r="D13" s="19" t="n">
        <v>757</v>
      </c>
      <c r="E13" s="18" t="n">
        <v>23.37829025</v>
      </c>
      <c r="F13" s="20" t="n">
        <v>1.89820079</v>
      </c>
      <c r="G13" s="18" t="n">
        <v>53.2750464</v>
      </c>
      <c r="H13" s="20" t="n">
        <v>2.4181033</v>
      </c>
      <c r="I13" s="18" t="n">
        <v>21.7275257</v>
      </c>
      <c r="J13" s="20" t="n">
        <v>1.86830098</v>
      </c>
      <c r="K13" s="18" t="n">
        <v>0</v>
      </c>
      <c r="L13" s="20" t="n">
        <v>0</v>
      </c>
      <c r="M13" s="18" t="n">
        <v>0.62360274</v>
      </c>
      <c r="N13" s="20" t="n">
        <v>0.35261177</v>
      </c>
      <c r="O13" s="18" t="n">
        <v>0</v>
      </c>
      <c r="P13" s="20" t="n">
        <v>0</v>
      </c>
      <c r="Q13" s="18" t="n">
        <v>0</v>
      </c>
      <c r="R13" s="20" t="n">
        <v>0</v>
      </c>
      <c r="S13" s="18" t="n">
        <v>0.9955349100000001</v>
      </c>
      <c r="T13" s="20" t="n">
        <v>0.69297018</v>
      </c>
    </row>
    <row r="14" spans="1:20">
      <c r="A14" s="15" t="s">
        <v>572</v>
      </c>
      <c r="B14" s="17" t="n">
        <v>2788</v>
      </c>
      <c r="C14" s="18">
        <f>(2175.0/B14*100)</f>
        <v/>
      </c>
      <c r="D14" s="19" t="n">
        <v>613</v>
      </c>
      <c r="E14" s="18" t="n">
        <v>21.31215165</v>
      </c>
      <c r="F14" s="20" t="n">
        <v>2.10384604</v>
      </c>
      <c r="G14" s="18" t="n">
        <v>16.09924649</v>
      </c>
      <c r="H14" s="20" t="n">
        <v>1.5441647</v>
      </c>
      <c r="I14" s="18" t="n">
        <v>62.46028448</v>
      </c>
      <c r="J14" s="20" t="n">
        <v>2.35650907</v>
      </c>
      <c r="K14" s="18" t="n">
        <v>0</v>
      </c>
      <c r="L14" s="20" t="n">
        <v>0</v>
      </c>
      <c r="M14" s="18" t="n">
        <v>0</v>
      </c>
      <c r="N14" s="20" t="n">
        <v>0</v>
      </c>
      <c r="O14" s="18" t="n">
        <v>0</v>
      </c>
      <c r="P14" s="20" t="n">
        <v>0</v>
      </c>
      <c r="Q14" s="18" t="n">
        <v>0</v>
      </c>
      <c r="R14" s="20" t="n">
        <v>0</v>
      </c>
      <c r="S14" s="18" t="n">
        <v>0.12831738</v>
      </c>
      <c r="T14" s="20" t="n">
        <v>0.12036841</v>
      </c>
    </row>
    <row r="15" spans="1:20">
      <c r="A15" s="15" t="s">
        <v>573</v>
      </c>
      <c r="B15" s="17" t="n">
        <v>2863</v>
      </c>
      <c r="C15" s="18">
        <f>(2216.0/B15*100)</f>
        <v/>
      </c>
      <c r="D15" s="19" t="n">
        <v>647</v>
      </c>
      <c r="E15" s="18" t="n">
        <v>14.92858694</v>
      </c>
      <c r="F15" s="20" t="n">
        <v>1.58492265</v>
      </c>
      <c r="G15" s="18" t="n">
        <v>24.29935645</v>
      </c>
      <c r="H15" s="20" t="n">
        <v>1.71411866</v>
      </c>
      <c r="I15" s="18" t="n">
        <v>60.3298101</v>
      </c>
      <c r="J15" s="20" t="n">
        <v>1.88769516</v>
      </c>
      <c r="K15" s="18" t="n">
        <v>0</v>
      </c>
      <c r="L15" s="20" t="n">
        <v>0</v>
      </c>
      <c r="M15" s="18" t="n">
        <v>0</v>
      </c>
      <c r="N15" s="20" t="n">
        <v>0</v>
      </c>
      <c r="O15" s="18" t="n">
        <v>0</v>
      </c>
      <c r="P15" s="20" t="n">
        <v>0</v>
      </c>
      <c r="Q15" s="18" t="n">
        <v>0</v>
      </c>
      <c r="R15" s="20" t="n">
        <v>0</v>
      </c>
      <c r="S15" s="18" t="n">
        <v>0.44224651</v>
      </c>
      <c r="T15" s="20" t="n">
        <v>0.2510877</v>
      </c>
    </row>
    <row r="16" spans="1:20">
      <c r="A16" s="15" t="s">
        <v>574</v>
      </c>
      <c r="B16" s="17" t="n">
        <v>3111</v>
      </c>
      <c r="C16" s="18">
        <f>(2419.0/B16*100)</f>
        <v/>
      </c>
      <c r="D16" s="19" t="n">
        <v>692</v>
      </c>
      <c r="E16" s="18" t="n">
        <v>43.06979858</v>
      </c>
      <c r="F16" s="20" t="n">
        <v>1.86776396</v>
      </c>
      <c r="G16" s="18" t="n">
        <v>33.097163</v>
      </c>
      <c r="H16" s="20" t="n">
        <v>1.67755092</v>
      </c>
      <c r="I16" s="18" t="n">
        <v>22.50833831</v>
      </c>
      <c r="J16" s="20" t="n">
        <v>1.4948934</v>
      </c>
      <c r="K16" s="18" t="n">
        <v>0</v>
      </c>
      <c r="L16" s="20" t="n">
        <v>0</v>
      </c>
      <c r="M16" s="18" t="n">
        <v>0.10195953</v>
      </c>
      <c r="N16" s="20" t="n">
        <v>0.1010779</v>
      </c>
      <c r="O16" s="18" t="n">
        <v>0</v>
      </c>
      <c r="P16" s="20" t="n">
        <v>0</v>
      </c>
      <c r="Q16" s="18" t="n">
        <v>0</v>
      </c>
      <c r="R16" s="20" t="n">
        <v>0</v>
      </c>
      <c r="S16" s="18" t="n">
        <v>1.22274058</v>
      </c>
      <c r="T16" s="20" t="n">
        <v>0.52115419</v>
      </c>
    </row>
    <row r="17" spans="1:20">
      <c r="A17" s="15" t="s">
        <v>575</v>
      </c>
      <c r="B17" s="17" t="n">
        <v>3197</v>
      </c>
      <c r="C17" s="18">
        <f>(2543.0/B17*100)</f>
        <v/>
      </c>
      <c r="D17" s="19" t="n">
        <v>654</v>
      </c>
      <c r="E17" s="18" t="n">
        <v>23.91434239</v>
      </c>
      <c r="F17" s="20" t="n">
        <v>1.96525344</v>
      </c>
      <c r="G17" s="18" t="n">
        <v>37.17641354</v>
      </c>
      <c r="H17" s="20" t="n">
        <v>1.78001254</v>
      </c>
      <c r="I17" s="18" t="n">
        <v>38.25644873</v>
      </c>
      <c r="J17" s="20" t="n">
        <v>2.08456286</v>
      </c>
      <c r="K17" s="18" t="n">
        <v>0</v>
      </c>
      <c r="L17" s="20" t="n">
        <v>0</v>
      </c>
      <c r="M17" s="18" t="n">
        <v>0</v>
      </c>
      <c r="N17" s="20" t="n">
        <v>0</v>
      </c>
      <c r="O17" s="18" t="n">
        <v>0</v>
      </c>
      <c r="P17" s="20" t="n">
        <v>0</v>
      </c>
      <c r="Q17" s="18" t="n">
        <v>0</v>
      </c>
      <c r="R17" s="20" t="n">
        <v>0</v>
      </c>
      <c r="S17" s="18" t="n">
        <v>0.6527953399999999</v>
      </c>
      <c r="T17" s="20" t="n">
        <v>0.309918</v>
      </c>
    </row>
    <row r="18" spans="1:20">
      <c r="A18" s="15" t="s">
        <v>576</v>
      </c>
      <c r="B18" s="17" t="n">
        <v>2706</v>
      </c>
      <c r="C18" s="18">
        <f>(2112.0/B18*100)</f>
        <v/>
      </c>
      <c r="D18" s="19" t="n">
        <v>594</v>
      </c>
      <c r="E18" s="18" t="n">
        <v>33.82484717</v>
      </c>
      <c r="F18" s="20" t="n">
        <v>2.31196495</v>
      </c>
      <c r="G18" s="18" t="n">
        <v>21.80041873</v>
      </c>
      <c r="H18" s="20" t="n">
        <v>1.84093482</v>
      </c>
      <c r="I18" s="18" t="n">
        <v>43.02699423</v>
      </c>
      <c r="J18" s="20" t="n">
        <v>2.45196357</v>
      </c>
      <c r="K18" s="18" t="n">
        <v>0</v>
      </c>
      <c r="L18" s="20" t="n">
        <v>0</v>
      </c>
      <c r="M18" s="18" t="n">
        <v>0.53090436</v>
      </c>
      <c r="N18" s="20" t="n">
        <v>0.35434323</v>
      </c>
      <c r="O18" s="18" t="n">
        <v>0</v>
      </c>
      <c r="P18" s="20" t="n">
        <v>0</v>
      </c>
      <c r="Q18" s="18" t="n">
        <v>0</v>
      </c>
      <c r="R18" s="20" t="n">
        <v>0</v>
      </c>
      <c r="S18" s="18" t="n">
        <v>0.81683551</v>
      </c>
      <c r="T18" s="20" t="n">
        <v>0.42240182</v>
      </c>
    </row>
    <row r="19" spans="1:20">
      <c r="A19" s="15" t="s">
        <v>577</v>
      </c>
      <c r="B19" s="17" t="n">
        <v>2850</v>
      </c>
      <c r="C19" s="18">
        <f>(2235.0/B19*100)</f>
        <v/>
      </c>
      <c r="D19" s="19" t="n">
        <v>615</v>
      </c>
      <c r="E19" s="18" t="n">
        <v>25.93208401</v>
      </c>
      <c r="F19" s="20" t="n">
        <v>1.92752559</v>
      </c>
      <c r="G19" s="18" t="n">
        <v>48.12500876</v>
      </c>
      <c r="H19" s="20" t="n">
        <v>1.83321749</v>
      </c>
      <c r="I19" s="18" t="n">
        <v>24.94436057</v>
      </c>
      <c r="J19" s="20" t="n">
        <v>1.60919803</v>
      </c>
      <c r="K19" s="18" t="n">
        <v>0</v>
      </c>
      <c r="L19" s="20" t="n">
        <v>0</v>
      </c>
      <c r="M19" s="18" t="n">
        <v>0</v>
      </c>
      <c r="N19" s="20" t="n">
        <v>0</v>
      </c>
      <c r="O19" s="18" t="n">
        <v>0</v>
      </c>
      <c r="P19" s="20" t="n">
        <v>0</v>
      </c>
      <c r="Q19" s="18" t="n">
        <v>0</v>
      </c>
      <c r="R19" s="20" t="n">
        <v>0</v>
      </c>
      <c r="S19" s="18" t="n">
        <v>0.99854665</v>
      </c>
      <c r="T19" s="20" t="n">
        <v>0.47824038</v>
      </c>
    </row>
    <row r="20" spans="1:20">
      <c r="A20" s="15" t="s">
        <v>578</v>
      </c>
      <c r="B20" s="17" t="n">
        <v>1741</v>
      </c>
      <c r="C20" s="18">
        <f>(1372.0/B20*100)</f>
        <v/>
      </c>
      <c r="D20" s="19" t="n">
        <v>369</v>
      </c>
      <c r="E20" s="18" t="n">
        <v>29.74342651</v>
      </c>
      <c r="F20" s="20" t="n">
        <v>2.27248386</v>
      </c>
      <c r="G20" s="18" t="n">
        <v>22.83740236</v>
      </c>
      <c r="H20" s="20" t="n">
        <v>2.62671418</v>
      </c>
      <c r="I20" s="18" t="n">
        <v>47.09672147</v>
      </c>
      <c r="J20" s="20" t="n">
        <v>2.17911754</v>
      </c>
      <c r="K20" s="18" t="n">
        <v>0</v>
      </c>
      <c r="L20" s="20" t="n">
        <v>0</v>
      </c>
      <c r="M20" s="18" t="n">
        <v>0</v>
      </c>
      <c r="N20" s="20" t="n">
        <v>0</v>
      </c>
      <c r="O20" s="18" t="n">
        <v>0</v>
      </c>
      <c r="P20" s="20" t="n">
        <v>0</v>
      </c>
      <c r="Q20" s="18" t="n">
        <v>0</v>
      </c>
      <c r="R20" s="20" t="n">
        <v>0</v>
      </c>
      <c r="S20" s="18" t="n">
        <v>0.32244966</v>
      </c>
      <c r="T20" s="20" t="n">
        <v>0.31081943</v>
      </c>
    </row>
    <row r="21" spans="1:20">
      <c r="A21" s="15" t="s">
        <v>579</v>
      </c>
      <c r="B21" s="17" t="n">
        <v>2833</v>
      </c>
      <c r="C21" s="18">
        <f>(2211.0/B21*100)</f>
        <v/>
      </c>
      <c r="D21" s="19" t="n">
        <v>622</v>
      </c>
      <c r="E21" s="18" t="n">
        <v>34.48581051</v>
      </c>
      <c r="F21" s="20" t="n">
        <v>1.80926555</v>
      </c>
      <c r="G21" s="18" t="n">
        <v>33.94219056</v>
      </c>
      <c r="H21" s="20" t="n">
        <v>1.96038784</v>
      </c>
      <c r="I21" s="18" t="n">
        <v>31.0998083</v>
      </c>
      <c r="J21" s="20" t="n">
        <v>1.86159522</v>
      </c>
      <c r="K21" s="18" t="n">
        <v>0</v>
      </c>
      <c r="L21" s="20" t="n">
        <v>0</v>
      </c>
      <c r="M21" s="18" t="n">
        <v>0</v>
      </c>
      <c r="N21" s="20" t="n">
        <v>0</v>
      </c>
      <c r="O21" s="18" t="n">
        <v>0</v>
      </c>
      <c r="P21" s="20" t="n">
        <v>0</v>
      </c>
      <c r="Q21" s="18" t="n">
        <v>0</v>
      </c>
      <c r="R21" s="20" t="n">
        <v>0</v>
      </c>
      <c r="S21" s="18" t="n">
        <v>0.47219064</v>
      </c>
      <c r="T21" s="20" t="n">
        <v>0.2763111</v>
      </c>
    </row>
    <row r="22" spans="1:20">
      <c r="A22" s="15" t="s">
        <v>580</v>
      </c>
      <c r="B22" s="17" t="n">
        <v>3667</v>
      </c>
      <c r="C22" s="18">
        <f>(2861.0/B22*100)</f>
        <v/>
      </c>
      <c r="D22" s="19" t="n">
        <v>806</v>
      </c>
      <c r="E22" s="18" t="n">
        <v>33.5015224</v>
      </c>
      <c r="F22" s="20" t="n">
        <v>1.89114493</v>
      </c>
      <c r="G22" s="18" t="n">
        <v>30.53264764</v>
      </c>
      <c r="H22" s="20" t="n">
        <v>1.49996881</v>
      </c>
      <c r="I22" s="18" t="n">
        <v>34.25460604</v>
      </c>
      <c r="J22" s="20" t="n">
        <v>1.93502397</v>
      </c>
      <c r="K22" s="18" t="n">
        <v>0</v>
      </c>
      <c r="L22" s="20" t="n">
        <v>0</v>
      </c>
      <c r="M22" s="18" t="n">
        <v>0.37001644</v>
      </c>
      <c r="N22" s="20" t="n">
        <v>0.21873508</v>
      </c>
      <c r="O22" s="18" t="n">
        <v>0</v>
      </c>
      <c r="P22" s="20" t="n">
        <v>0</v>
      </c>
      <c r="Q22" s="18" t="n">
        <v>0</v>
      </c>
      <c r="R22" s="20" t="n">
        <v>0</v>
      </c>
      <c r="S22" s="18" t="n">
        <v>1.34120748</v>
      </c>
      <c r="T22" s="20" t="n">
        <v>0.47301556</v>
      </c>
    </row>
    <row r="23" spans="1:20">
      <c r="A23" s="15" t="s">
        <v>581</v>
      </c>
      <c r="B23" s="17" t="n">
        <v>5792</v>
      </c>
      <c r="C23" s="18">
        <f>(4493.0/B23*100)</f>
        <v/>
      </c>
      <c r="D23" s="19" t="n">
        <v>1299</v>
      </c>
      <c r="E23" s="18" t="n">
        <v>40.67179246</v>
      </c>
      <c r="F23" s="20" t="n">
        <v>1.9319664</v>
      </c>
      <c r="G23" s="18" t="n">
        <v>27.44629401</v>
      </c>
      <c r="H23" s="20" t="n">
        <v>1.9754027</v>
      </c>
      <c r="I23" s="18" t="n">
        <v>29.93937801</v>
      </c>
      <c r="J23" s="20" t="n">
        <v>1.85100879</v>
      </c>
      <c r="K23" s="18" t="n">
        <v>0</v>
      </c>
      <c r="L23" s="20" t="n">
        <v>0</v>
      </c>
      <c r="M23" s="18" t="n">
        <v>0.17624789</v>
      </c>
      <c r="N23" s="20" t="n">
        <v>0.1873262</v>
      </c>
      <c r="O23" s="18" t="n">
        <v>0</v>
      </c>
      <c r="P23" s="20" t="n">
        <v>0</v>
      </c>
      <c r="Q23" s="18" t="n">
        <v>0</v>
      </c>
      <c r="R23" s="20" t="n">
        <v>0</v>
      </c>
      <c r="S23" s="18" t="n">
        <v>1.76628763</v>
      </c>
      <c r="T23" s="20" t="n">
        <v>0.5949089400000001</v>
      </c>
    </row>
    <row r="24" spans="1:20">
      <c r="A24" s="15" t="s">
        <v>582</v>
      </c>
      <c r="B24" s="17" t="n">
        <v>3309</v>
      </c>
      <c r="C24" s="18">
        <f>(2563.0/B24*100)</f>
        <v/>
      </c>
      <c r="D24" s="19" t="n">
        <v>746</v>
      </c>
      <c r="E24" s="18" t="n">
        <v>28.30959124</v>
      </c>
      <c r="F24" s="20" t="n">
        <v>1.7628978</v>
      </c>
      <c r="G24" s="18" t="n">
        <v>9.74011834</v>
      </c>
      <c r="H24" s="20" t="n">
        <v>1.25545166</v>
      </c>
      <c r="I24" s="18" t="n">
        <v>61.32362655</v>
      </c>
      <c r="J24" s="20" t="n">
        <v>2.00934725</v>
      </c>
      <c r="K24" s="18" t="n">
        <v>0</v>
      </c>
      <c r="L24" s="20" t="n">
        <v>0</v>
      </c>
      <c r="M24" s="18" t="n">
        <v>0</v>
      </c>
      <c r="N24" s="20" t="n">
        <v>0</v>
      </c>
      <c r="O24" s="18" t="n">
        <v>0</v>
      </c>
      <c r="P24" s="20" t="n">
        <v>0</v>
      </c>
      <c r="Q24" s="18" t="n">
        <v>0</v>
      </c>
      <c r="R24" s="20" t="n">
        <v>0</v>
      </c>
      <c r="S24" s="18" t="n">
        <v>0.62666387</v>
      </c>
      <c r="T24" s="20" t="n">
        <v>0.32815445</v>
      </c>
    </row>
    <row r="25" spans="1:20">
      <c r="A25" s="15" t="s">
        <v>583</v>
      </c>
      <c r="B25" s="17" t="n">
        <v>2669</v>
      </c>
      <c r="C25" s="18">
        <f>(2074.0/B25*100)</f>
        <v/>
      </c>
      <c r="D25" s="19" t="n">
        <v>595</v>
      </c>
      <c r="E25" s="18" t="n">
        <v>0</v>
      </c>
      <c r="F25" s="20" t="n">
        <v>0</v>
      </c>
      <c r="G25" s="18" t="n">
        <v>0</v>
      </c>
      <c r="H25" s="20" t="n">
        <v>0</v>
      </c>
      <c r="I25" s="18" t="n">
        <v>0</v>
      </c>
      <c r="J25" s="20" t="n">
        <v>0</v>
      </c>
      <c r="K25" s="18" t="n">
        <v>0</v>
      </c>
      <c r="L25" s="20" t="n">
        <v>0</v>
      </c>
      <c r="M25" s="18" t="n">
        <v>0</v>
      </c>
      <c r="N25" s="20" t="n">
        <v>0</v>
      </c>
      <c r="O25" s="18" t="n">
        <v>100</v>
      </c>
      <c r="P25" s="20" t="n">
        <v>0</v>
      </c>
      <c r="Q25" s="18" t="n">
        <v>0</v>
      </c>
      <c r="R25" s="20" t="n">
        <v>0</v>
      </c>
      <c r="S25" s="18" t="n">
        <v>0</v>
      </c>
      <c r="T25" s="20" t="n">
        <v>0</v>
      </c>
    </row>
    <row r="26" spans="1:20">
      <c r="A26" s="15" t="s">
        <v>584</v>
      </c>
      <c r="B26" s="17" t="n">
        <v>2419</v>
      </c>
      <c r="C26" s="18">
        <f>(1888.0/B26*100)</f>
        <v/>
      </c>
      <c r="D26" s="19" t="n">
        <v>531</v>
      </c>
      <c r="E26" s="18" t="n">
        <v>23.97141906</v>
      </c>
      <c r="F26" s="20" t="n">
        <v>1.93804587</v>
      </c>
      <c r="G26" s="18" t="n">
        <v>17.66857215</v>
      </c>
      <c r="H26" s="20" t="n">
        <v>1.84652977</v>
      </c>
      <c r="I26" s="18" t="n">
        <v>30.34144287</v>
      </c>
      <c r="J26" s="20" t="n">
        <v>2.60431958</v>
      </c>
      <c r="K26" s="18" t="n">
        <v>0</v>
      </c>
      <c r="L26" s="20" t="n">
        <v>0</v>
      </c>
      <c r="M26" s="18" t="n">
        <v>0</v>
      </c>
      <c r="N26" s="20" t="n">
        <v>0</v>
      </c>
      <c r="O26" s="18" t="n">
        <v>27.83434463</v>
      </c>
      <c r="P26" s="20" t="n">
        <v>3.16687318</v>
      </c>
      <c r="Q26" s="18" t="n">
        <v>0</v>
      </c>
      <c r="R26" s="20" t="n">
        <v>0</v>
      </c>
      <c r="S26" s="18" t="n">
        <v>0.1842213</v>
      </c>
      <c r="T26" s="20" t="n">
        <v>0.18483348</v>
      </c>
    </row>
    <row r="27" spans="1:20">
      <c r="A27" s="15" t="s">
        <v>585</v>
      </c>
      <c r="B27" s="17" t="n">
        <v>2683</v>
      </c>
      <c r="C27" s="18">
        <f>(2114.0/B27*100)</f>
        <v/>
      </c>
      <c r="D27" s="19" t="n">
        <v>569</v>
      </c>
      <c r="E27" s="18" t="n">
        <v>32.47588163</v>
      </c>
      <c r="F27" s="20" t="n">
        <v>1.91756785</v>
      </c>
      <c r="G27" s="18" t="n">
        <v>39.40435854</v>
      </c>
      <c r="H27" s="20" t="n">
        <v>2.12905929</v>
      </c>
      <c r="I27" s="18" t="n">
        <v>26.88416709</v>
      </c>
      <c r="J27" s="20" t="n">
        <v>1.93390254</v>
      </c>
      <c r="K27" s="18" t="n">
        <v>0</v>
      </c>
      <c r="L27" s="20" t="n">
        <v>0</v>
      </c>
      <c r="M27" s="18" t="n">
        <v>0.19300368</v>
      </c>
      <c r="N27" s="20" t="n">
        <v>0.18627252</v>
      </c>
      <c r="O27" s="18" t="n">
        <v>0</v>
      </c>
      <c r="P27" s="20" t="n">
        <v>0</v>
      </c>
      <c r="Q27" s="18" t="n">
        <v>0</v>
      </c>
      <c r="R27" s="20" t="n">
        <v>0</v>
      </c>
      <c r="S27" s="18" t="n">
        <v>1.04258906</v>
      </c>
      <c r="T27" s="20" t="n">
        <v>0.42295076</v>
      </c>
    </row>
    <row r="28" spans="1:20">
      <c r="A28" s="15" t="s">
        <v>586</v>
      </c>
      <c r="B28" s="17" t="n">
        <v>3803</v>
      </c>
      <c r="C28" s="18">
        <f>(2992.0/B28*100)</f>
        <v/>
      </c>
      <c r="D28" s="19" t="n">
        <v>811</v>
      </c>
      <c r="E28" s="18" t="n">
        <v>49.85187377</v>
      </c>
      <c r="F28" s="20" t="n">
        <v>1.94696829</v>
      </c>
      <c r="G28" s="18" t="n">
        <v>25.88374345</v>
      </c>
      <c r="H28" s="20" t="n">
        <v>1.53167584</v>
      </c>
      <c r="I28" s="18" t="n">
        <v>21.23110287</v>
      </c>
      <c r="J28" s="20" t="n">
        <v>1.6394843</v>
      </c>
      <c r="K28" s="18" t="n">
        <v>0</v>
      </c>
      <c r="L28" s="20" t="n">
        <v>0</v>
      </c>
      <c r="M28" s="18" t="n">
        <v>0.13448251</v>
      </c>
      <c r="N28" s="20" t="n">
        <v>0.13478562</v>
      </c>
      <c r="O28" s="18" t="n">
        <v>0</v>
      </c>
      <c r="P28" s="20" t="n">
        <v>0</v>
      </c>
      <c r="Q28" s="18" t="n">
        <v>0</v>
      </c>
      <c r="R28" s="20" t="n">
        <v>0</v>
      </c>
      <c r="S28" s="18" t="n">
        <v>2.8987974</v>
      </c>
      <c r="T28" s="20" t="n">
        <v>0.61661722</v>
      </c>
    </row>
    <row r="29" spans="1:20">
      <c r="A29" s="15" t="s">
        <v>587</v>
      </c>
      <c r="B29" s="17" t="n">
        <v>2700</v>
      </c>
      <c r="C29" s="18">
        <f>(2127.0/B29*100)</f>
        <v/>
      </c>
      <c r="D29" s="19" t="n">
        <v>573</v>
      </c>
      <c r="E29" s="18" t="n">
        <v>45.2806521</v>
      </c>
      <c r="F29" s="20" t="n">
        <v>2.47968091</v>
      </c>
      <c r="G29" s="18" t="n">
        <v>32.69046246</v>
      </c>
      <c r="H29" s="20" t="n">
        <v>2.12897263</v>
      </c>
      <c r="I29" s="18" t="n">
        <v>20.5293896</v>
      </c>
      <c r="J29" s="20" t="n">
        <v>1.96047602</v>
      </c>
      <c r="K29" s="18" t="n">
        <v>0</v>
      </c>
      <c r="L29" s="20" t="n">
        <v>0</v>
      </c>
      <c r="M29" s="18" t="n">
        <v>0</v>
      </c>
      <c r="N29" s="20" t="n">
        <v>0</v>
      </c>
      <c r="O29" s="18" t="n">
        <v>0</v>
      </c>
      <c r="P29" s="20" t="n">
        <v>0</v>
      </c>
      <c r="Q29" s="18" t="n">
        <v>0</v>
      </c>
      <c r="R29" s="20" t="n">
        <v>0</v>
      </c>
      <c r="S29" s="18" t="n">
        <v>1.49949584</v>
      </c>
      <c r="T29" s="20" t="n">
        <v>0.45555947</v>
      </c>
    </row>
    <row r="30" spans="1:20">
      <c r="A30" s="15" t="s">
        <v>588</v>
      </c>
      <c r="B30" s="17" t="n">
        <v>2257</v>
      </c>
      <c r="C30" s="18">
        <f>(1769.0/B30*100)</f>
        <v/>
      </c>
      <c r="D30" s="19" t="n">
        <v>488</v>
      </c>
      <c r="E30" s="18" t="n">
        <v>32.36563263</v>
      </c>
      <c r="F30" s="20" t="n">
        <v>2.22094467</v>
      </c>
      <c r="G30" s="18" t="n">
        <v>43.03368064</v>
      </c>
      <c r="H30" s="20" t="n">
        <v>2.41350889</v>
      </c>
      <c r="I30" s="18" t="n">
        <v>23.50945298</v>
      </c>
      <c r="J30" s="20" t="n">
        <v>2.43679933</v>
      </c>
      <c r="K30" s="18" t="n">
        <v>0</v>
      </c>
      <c r="L30" s="20" t="n">
        <v>0</v>
      </c>
      <c r="M30" s="18" t="n">
        <v>0.23346082</v>
      </c>
      <c r="N30" s="20" t="n">
        <v>0.26777383</v>
      </c>
      <c r="O30" s="18" t="n">
        <v>0</v>
      </c>
      <c r="P30" s="20" t="n">
        <v>0</v>
      </c>
      <c r="Q30" s="18" t="n">
        <v>0</v>
      </c>
      <c r="R30" s="20" t="n">
        <v>0</v>
      </c>
      <c r="S30" s="18" t="n">
        <v>0.85777294</v>
      </c>
      <c r="T30" s="20" t="n">
        <v>0.39592028</v>
      </c>
    </row>
    <row r="31" spans="1:20">
      <c r="A31" s="15" t="s">
        <v>589</v>
      </c>
      <c r="B31" s="17" t="n">
        <v>2706</v>
      </c>
      <c r="C31" s="18">
        <f>(2126.0/B31*100)</f>
        <v/>
      </c>
      <c r="D31" s="19" t="n">
        <v>580</v>
      </c>
      <c r="E31" s="18" t="n">
        <v>28.95450596</v>
      </c>
      <c r="F31" s="20" t="n">
        <v>1.93354726</v>
      </c>
      <c r="G31" s="18" t="n">
        <v>45.51669905</v>
      </c>
      <c r="H31" s="20" t="n">
        <v>2.03912004</v>
      </c>
      <c r="I31" s="18" t="n">
        <v>24.65530578</v>
      </c>
      <c r="J31" s="20" t="n">
        <v>2.06269019</v>
      </c>
      <c r="K31" s="18" t="n">
        <v>0</v>
      </c>
      <c r="L31" s="20" t="n">
        <v>0</v>
      </c>
      <c r="M31" s="18" t="n">
        <v>0</v>
      </c>
      <c r="N31" s="20" t="n">
        <v>0</v>
      </c>
      <c r="O31" s="18" t="n">
        <v>0</v>
      </c>
      <c r="P31" s="20" t="n">
        <v>0</v>
      </c>
      <c r="Q31" s="18" t="n">
        <v>0</v>
      </c>
      <c r="R31" s="20" t="n">
        <v>0</v>
      </c>
      <c r="S31" s="18" t="n">
        <v>0.87348921</v>
      </c>
      <c r="T31" s="20" t="n">
        <v>0.40223986</v>
      </c>
    </row>
    <row r="32" spans="1:20">
      <c r="A32" s="15" t="s">
        <v>590</v>
      </c>
      <c r="B32" s="17" t="n">
        <v>2209</v>
      </c>
      <c r="C32" s="18">
        <f>(1688.0/B32*100)</f>
        <v/>
      </c>
      <c r="D32" s="19" t="n">
        <v>521</v>
      </c>
      <c r="E32" s="18" t="n">
        <v>21.02047545</v>
      </c>
      <c r="F32" s="20" t="n">
        <v>1.95417303</v>
      </c>
      <c r="G32" s="18" t="n">
        <v>32.30846067</v>
      </c>
      <c r="H32" s="20" t="n">
        <v>2.28707382</v>
      </c>
      <c r="I32" s="18" t="n">
        <v>46.11899115</v>
      </c>
      <c r="J32" s="20" t="n">
        <v>2.82180372</v>
      </c>
      <c r="K32" s="18" t="n">
        <v>0</v>
      </c>
      <c r="L32" s="20" t="n">
        <v>0</v>
      </c>
      <c r="M32" s="18" t="n">
        <v>0</v>
      </c>
      <c r="N32" s="20" t="n">
        <v>0</v>
      </c>
      <c r="O32" s="18" t="n">
        <v>0</v>
      </c>
      <c r="P32" s="20" t="n">
        <v>0</v>
      </c>
      <c r="Q32" s="18" t="n">
        <v>0</v>
      </c>
      <c r="R32" s="20" t="n">
        <v>0</v>
      </c>
      <c r="S32" s="18" t="n">
        <v>0.55207273</v>
      </c>
      <c r="T32" s="20" t="n">
        <v>0.31080423</v>
      </c>
    </row>
    <row r="33" spans="1:20">
      <c r="A33" s="15" t="s">
        <v>591</v>
      </c>
      <c r="B33" s="17" t="n">
        <v>3651</v>
      </c>
      <c r="C33" s="18">
        <f>(2802.0/B33*100)</f>
        <v/>
      </c>
      <c r="D33" s="19" t="n">
        <v>849</v>
      </c>
      <c r="E33" s="18" t="n">
        <v>30.28760334</v>
      </c>
      <c r="F33" s="20" t="n">
        <v>1.50972422</v>
      </c>
      <c r="G33" s="18" t="n">
        <v>24.33389005</v>
      </c>
      <c r="H33" s="20" t="n">
        <v>1.80710484</v>
      </c>
      <c r="I33" s="18" t="n">
        <v>44.86968835</v>
      </c>
      <c r="J33" s="20" t="n">
        <v>1.64053222</v>
      </c>
      <c r="K33" s="18" t="n">
        <v>0</v>
      </c>
      <c r="L33" s="20" t="n">
        <v>0</v>
      </c>
      <c r="M33" s="18" t="n">
        <v>0.14873577</v>
      </c>
      <c r="N33" s="20" t="n">
        <v>0.16483331</v>
      </c>
      <c r="O33" s="18" t="n">
        <v>0</v>
      </c>
      <c r="P33" s="20" t="n">
        <v>0</v>
      </c>
      <c r="Q33" s="18" t="n">
        <v>0</v>
      </c>
      <c r="R33" s="20" t="n">
        <v>0</v>
      </c>
      <c r="S33" s="18" t="n">
        <v>0.36008248</v>
      </c>
      <c r="T33" s="20" t="n">
        <v>0.25379429</v>
      </c>
    </row>
    <row r="34" spans="1:20">
      <c r="A34" s="15" t="s">
        <v>592</v>
      </c>
      <c r="B34" s="17" t="n">
        <v>3035</v>
      </c>
      <c r="C34" s="18">
        <f>(2409.0/B34*100)</f>
        <v/>
      </c>
      <c r="D34" s="19" t="n">
        <v>626</v>
      </c>
      <c r="E34" s="18" t="n">
        <v>40.4078893</v>
      </c>
      <c r="F34" s="20" t="n">
        <v>1.88844354</v>
      </c>
      <c r="G34" s="18" t="n">
        <v>36.73455432</v>
      </c>
      <c r="H34" s="20" t="n">
        <v>2.11392548</v>
      </c>
      <c r="I34" s="18" t="n">
        <v>21.6238224</v>
      </c>
      <c r="J34" s="20" t="n">
        <v>1.76162161</v>
      </c>
      <c r="K34" s="18" t="n">
        <v>0</v>
      </c>
      <c r="L34" s="20" t="n">
        <v>0</v>
      </c>
      <c r="M34" s="18" t="n">
        <v>0</v>
      </c>
      <c r="N34" s="20" t="n">
        <v>0</v>
      </c>
      <c r="O34" s="18" t="n">
        <v>0</v>
      </c>
      <c r="P34" s="20" t="n">
        <v>0</v>
      </c>
      <c r="Q34" s="18" t="n">
        <v>0</v>
      </c>
      <c r="R34" s="20" t="n">
        <v>0</v>
      </c>
      <c r="S34" s="18" t="n">
        <v>1.23373398</v>
      </c>
      <c r="T34" s="20" t="n">
        <v>0.51251439</v>
      </c>
    </row>
    <row r="35" spans="1:20">
      <c r="A35" s="15" t="s">
        <v>593</v>
      </c>
      <c r="B35" s="17" t="n">
        <v>2901</v>
      </c>
      <c r="C35" s="18">
        <f>(2281.0/B35*100)</f>
        <v/>
      </c>
      <c r="D35" s="19" t="n">
        <v>620</v>
      </c>
      <c r="E35" s="18" t="n">
        <v>20.70071907</v>
      </c>
      <c r="F35" s="20" t="n">
        <v>2.14444018</v>
      </c>
      <c r="G35" s="18" t="n">
        <v>23.86566244</v>
      </c>
      <c r="H35" s="20" t="n">
        <v>2.08724667</v>
      </c>
      <c r="I35" s="18" t="n">
        <v>53.717778</v>
      </c>
      <c r="J35" s="20" t="n">
        <v>2.64818321</v>
      </c>
      <c r="K35" s="18" t="n">
        <v>0</v>
      </c>
      <c r="L35" s="20" t="n">
        <v>0</v>
      </c>
      <c r="M35" s="18" t="n">
        <v>0</v>
      </c>
      <c r="N35" s="20" t="n">
        <v>0</v>
      </c>
      <c r="O35" s="18" t="n">
        <v>0</v>
      </c>
      <c r="P35" s="20" t="n">
        <v>0</v>
      </c>
      <c r="Q35" s="18" t="n">
        <v>0</v>
      </c>
      <c r="R35" s="20" t="n">
        <v>0</v>
      </c>
      <c r="S35" s="18" t="n">
        <v>1.71584048</v>
      </c>
      <c r="T35" s="20" t="n">
        <v>0.67911824</v>
      </c>
    </row>
    <row r="36" spans="1:20">
      <c r="A36" s="15" t="s">
        <v>594</v>
      </c>
      <c r="B36" s="17" t="n">
        <v>3404</v>
      </c>
      <c r="C36" s="18">
        <f>(2622.0/B36*100)</f>
        <v/>
      </c>
      <c r="D36" s="19" t="n">
        <v>782</v>
      </c>
      <c r="E36" s="18" t="n">
        <v>33.6576647</v>
      </c>
      <c r="F36" s="20" t="n">
        <v>1.63835741</v>
      </c>
      <c r="G36" s="18" t="n">
        <v>28.03847177</v>
      </c>
      <c r="H36" s="20" t="n">
        <v>1.73052071</v>
      </c>
      <c r="I36" s="18" t="n">
        <v>37.59200749</v>
      </c>
      <c r="J36" s="20" t="n">
        <v>1.96288764</v>
      </c>
      <c r="K36" s="18" t="n">
        <v>0</v>
      </c>
      <c r="L36" s="20" t="n">
        <v>0</v>
      </c>
      <c r="M36" s="18" t="n">
        <v>0.21010008</v>
      </c>
      <c r="N36" s="20" t="n">
        <v>0.1879807</v>
      </c>
      <c r="O36" s="18" t="n">
        <v>0</v>
      </c>
      <c r="P36" s="20" t="n">
        <v>0</v>
      </c>
      <c r="Q36" s="18" t="n">
        <v>0</v>
      </c>
      <c r="R36" s="20" t="n">
        <v>0</v>
      </c>
      <c r="S36" s="18" t="n">
        <v>0.50175596</v>
      </c>
      <c r="T36" s="20" t="n">
        <v>0.25190707</v>
      </c>
    </row>
    <row r="37" spans="1:20">
      <c r="A37" s="15" t="s">
        <v>595</v>
      </c>
      <c r="B37" s="17" t="n">
        <v>2731</v>
      </c>
      <c r="C37" s="18">
        <f>(2115.0/B37*100)</f>
        <v/>
      </c>
      <c r="D37" s="19" t="n">
        <v>616</v>
      </c>
      <c r="E37" s="18" t="n">
        <v>28.0416196</v>
      </c>
      <c r="F37" s="20" t="n">
        <v>1.78436433</v>
      </c>
      <c r="G37" s="18" t="n">
        <v>46.4540947</v>
      </c>
      <c r="H37" s="20" t="n">
        <v>2.08976892</v>
      </c>
      <c r="I37" s="18" t="n">
        <v>24.43721968</v>
      </c>
      <c r="J37" s="20" t="n">
        <v>1.77899787</v>
      </c>
      <c r="K37" s="18" t="n">
        <v>0</v>
      </c>
      <c r="L37" s="20" t="n">
        <v>0</v>
      </c>
      <c r="M37" s="18" t="n">
        <v>0</v>
      </c>
      <c r="N37" s="20" t="n">
        <v>0</v>
      </c>
      <c r="O37" s="18" t="n">
        <v>0</v>
      </c>
      <c r="P37" s="20" t="n">
        <v>0</v>
      </c>
      <c r="Q37" s="18" t="n">
        <v>0</v>
      </c>
      <c r="R37" s="20" t="n">
        <v>0</v>
      </c>
      <c r="S37" s="18" t="n">
        <v>1.06706602</v>
      </c>
      <c r="T37" s="20" t="n">
        <v>0.40873035</v>
      </c>
    </row>
    <row r="38" spans="1:20">
      <c r="A38" s="15" t="s">
        <v>596</v>
      </c>
      <c r="B38" s="17" t="n">
        <v>2807</v>
      </c>
      <c r="C38" s="18">
        <f>(2176.0/B38*100)</f>
        <v/>
      </c>
      <c r="D38" s="19" t="n">
        <v>631</v>
      </c>
      <c r="E38" s="18" t="n">
        <v>32.57233574</v>
      </c>
      <c r="F38" s="20" t="n">
        <v>2.60241458</v>
      </c>
      <c r="G38" s="18" t="n">
        <v>31.28991219</v>
      </c>
      <c r="H38" s="20" t="n">
        <v>2.45029826</v>
      </c>
      <c r="I38" s="18" t="n">
        <v>35.47102229</v>
      </c>
      <c r="J38" s="20" t="n">
        <v>2.31158142</v>
      </c>
      <c r="K38" s="18" t="n">
        <v>0</v>
      </c>
      <c r="L38" s="20" t="n">
        <v>0</v>
      </c>
      <c r="M38" s="18" t="n">
        <v>0</v>
      </c>
      <c r="N38" s="20" t="n">
        <v>0</v>
      </c>
      <c r="O38" s="18" t="n">
        <v>0</v>
      </c>
      <c r="P38" s="20" t="n">
        <v>0</v>
      </c>
      <c r="Q38" s="18" t="n">
        <v>0</v>
      </c>
      <c r="R38" s="20" t="n">
        <v>0</v>
      </c>
      <c r="S38" s="18" t="n">
        <v>0.66672977</v>
      </c>
      <c r="T38" s="20" t="n">
        <v>0.49225173</v>
      </c>
    </row>
    <row r="39" spans="1:20">
      <c r="A39" s="15" t="s">
        <v>597</v>
      </c>
      <c r="B39" s="17" t="n">
        <v>2938</v>
      </c>
      <c r="C39" s="18">
        <f>(2259.0/B39*100)</f>
        <v/>
      </c>
      <c r="D39" s="19" t="n">
        <v>679</v>
      </c>
      <c r="E39" s="18" t="n">
        <v>43.10921921</v>
      </c>
      <c r="F39" s="20" t="n">
        <v>2.19562109</v>
      </c>
      <c r="G39" s="18" t="n">
        <v>26.20466233</v>
      </c>
      <c r="H39" s="20" t="n">
        <v>1.79265652</v>
      </c>
      <c r="I39" s="18" t="n">
        <v>29.26860138</v>
      </c>
      <c r="J39" s="20" t="n">
        <v>2.49911861</v>
      </c>
      <c r="K39" s="18" t="n">
        <v>0</v>
      </c>
      <c r="L39" s="20" t="n">
        <v>0</v>
      </c>
      <c r="M39" s="18" t="n">
        <v>0</v>
      </c>
      <c r="N39" s="20" t="n">
        <v>0</v>
      </c>
      <c r="O39" s="18" t="n">
        <v>0</v>
      </c>
      <c r="P39" s="20" t="n">
        <v>0</v>
      </c>
      <c r="Q39" s="18" t="n">
        <v>0</v>
      </c>
      <c r="R39" s="20" t="n">
        <v>0</v>
      </c>
      <c r="S39" s="18" t="n">
        <v>1.41751709</v>
      </c>
      <c r="T39" s="20" t="n">
        <v>0.52582925</v>
      </c>
    </row>
    <row r="40" spans="1:20">
      <c r="A40" s="15" t="s">
        <v>598</v>
      </c>
      <c r="B40" s="17" t="n">
        <v>6922</v>
      </c>
      <c r="C40" s="18">
        <f>(5383.0/B40*100)</f>
        <v/>
      </c>
      <c r="D40" s="19" t="n">
        <v>1539</v>
      </c>
      <c r="E40" s="18" t="n">
        <v>26.10565794</v>
      </c>
      <c r="F40" s="20" t="n">
        <v>1.5137506</v>
      </c>
      <c r="G40" s="18" t="n">
        <v>28.4669418</v>
      </c>
      <c r="H40" s="20" t="n">
        <v>1.65519882</v>
      </c>
      <c r="I40" s="18" t="n">
        <v>44.49315753</v>
      </c>
      <c r="J40" s="20" t="n">
        <v>1.858404</v>
      </c>
      <c r="K40" s="18" t="n">
        <v>0</v>
      </c>
      <c r="L40" s="20" t="n">
        <v>0</v>
      </c>
      <c r="M40" s="18" t="n">
        <v>0</v>
      </c>
      <c r="N40" s="20" t="n">
        <v>0</v>
      </c>
      <c r="O40" s="18" t="n">
        <v>0</v>
      </c>
      <c r="P40" s="20" t="n">
        <v>0</v>
      </c>
      <c r="Q40" s="18" t="n">
        <v>0</v>
      </c>
      <c r="R40" s="20" t="n">
        <v>0</v>
      </c>
      <c r="S40" s="18" t="n">
        <v>0.93424273</v>
      </c>
      <c r="T40" s="20" t="n">
        <v>0.39019761</v>
      </c>
    </row>
    <row r="41" spans="1:20">
      <c r="A41" s="15" t="s">
        <v>599</v>
      </c>
      <c r="B41" s="17" t="n">
        <v>2854</v>
      </c>
      <c r="C41" s="18">
        <f>(2228.0/B41*100)</f>
        <v/>
      </c>
      <c r="D41" s="19" t="n">
        <v>626</v>
      </c>
      <c r="E41" s="18" t="n">
        <v>27.41823426</v>
      </c>
      <c r="F41" s="20" t="n">
        <v>1.92215032</v>
      </c>
      <c r="G41" s="18" t="n">
        <v>43.14925121</v>
      </c>
      <c r="H41" s="20" t="n">
        <v>1.99696075</v>
      </c>
      <c r="I41" s="18" t="n">
        <v>27.89689282</v>
      </c>
      <c r="J41" s="20" t="n">
        <v>2.26994402</v>
      </c>
      <c r="K41" s="18" t="n">
        <v>0</v>
      </c>
      <c r="L41" s="20" t="n">
        <v>0</v>
      </c>
      <c r="M41" s="18" t="n">
        <v>0</v>
      </c>
      <c r="N41" s="20" t="n">
        <v>0</v>
      </c>
      <c r="O41" s="18" t="n">
        <v>0</v>
      </c>
      <c r="P41" s="20" t="n">
        <v>0</v>
      </c>
      <c r="Q41" s="18" t="n">
        <v>0</v>
      </c>
      <c r="R41" s="20" t="n">
        <v>0</v>
      </c>
      <c r="S41" s="18" t="n">
        <v>1.5356217</v>
      </c>
      <c r="T41" s="20" t="n">
        <v>0.55088078</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12073</v>
      </c>
      <c r="C46" s="18">
        <f>(9634.0/B46*100)</f>
        <v/>
      </c>
      <c r="D46" s="19" t="n">
        <v>2439</v>
      </c>
      <c r="E46" s="18" t="n">
        <v>41.52269388</v>
      </c>
      <c r="F46" s="20" t="n">
        <v>1.27077135</v>
      </c>
      <c r="G46" s="18" t="n">
        <v>28.727935</v>
      </c>
      <c r="H46" s="20" t="n">
        <v>1.49206826</v>
      </c>
      <c r="I46" s="18" t="n">
        <v>22.61515039</v>
      </c>
      <c r="J46" s="20" t="n">
        <v>1.52358664</v>
      </c>
      <c r="K46" s="18" t="n">
        <v>0</v>
      </c>
      <c r="L46" s="20" t="n">
        <v>0</v>
      </c>
      <c r="M46" s="18" t="n">
        <v>0.4791392</v>
      </c>
      <c r="N46" s="20" t="n">
        <v>0.2551654</v>
      </c>
      <c r="O46" s="18" t="n">
        <v>0</v>
      </c>
      <c r="P46" s="20" t="n">
        <v>0</v>
      </c>
      <c r="Q46" s="18" t="n">
        <v>0</v>
      </c>
      <c r="R46" s="20" t="n">
        <v>0</v>
      </c>
      <c r="S46" s="18" t="n">
        <v>6.65508153</v>
      </c>
      <c r="T46" s="20" t="n">
        <v>0.7339249799999999</v>
      </c>
    </row>
    <row r="47" spans="1:20">
      <c r="A47" s="15" t="s">
        <v>606</v>
      </c>
      <c r="B47" s="17" t="n">
        <v>2823</v>
      </c>
      <c r="C47" s="18">
        <f>(2207.0/B47*100)</f>
        <v/>
      </c>
      <c r="D47" s="19" t="n">
        <v>616</v>
      </c>
      <c r="E47" s="18" t="n">
        <v>40.67668375</v>
      </c>
      <c r="F47" s="20" t="n">
        <v>2.38448668</v>
      </c>
      <c r="G47" s="18" t="n">
        <v>21.81376259</v>
      </c>
      <c r="H47" s="20" t="n">
        <v>1.61608292</v>
      </c>
      <c r="I47" s="18" t="n">
        <v>33.76159516</v>
      </c>
      <c r="J47" s="20" t="n">
        <v>2.06161608</v>
      </c>
      <c r="K47" s="18" t="n">
        <v>0</v>
      </c>
      <c r="L47" s="20" t="n">
        <v>0</v>
      </c>
      <c r="M47" s="18" t="n">
        <v>0.45535591</v>
      </c>
      <c r="N47" s="20" t="n">
        <v>0.34269265</v>
      </c>
      <c r="O47" s="18" t="n">
        <v>0</v>
      </c>
      <c r="P47" s="20" t="n">
        <v>0</v>
      </c>
      <c r="Q47" s="18" t="n">
        <v>0</v>
      </c>
      <c r="R47" s="20" t="n">
        <v>0</v>
      </c>
      <c r="S47" s="18" t="n">
        <v>3.29260259</v>
      </c>
      <c r="T47" s="20" t="n">
        <v>0.70938156</v>
      </c>
    </row>
    <row r="48" spans="1:20">
      <c r="A48" s="15" t="s">
        <v>607</v>
      </c>
      <c r="B48" s="17" t="n">
        <v>4682</v>
      </c>
      <c r="C48" s="18">
        <f>(3641.0/B48*100)</f>
        <v/>
      </c>
      <c r="D48" s="19" t="n">
        <v>1041</v>
      </c>
      <c r="E48" s="18" t="n">
        <v>21.10720909</v>
      </c>
      <c r="F48" s="20" t="n">
        <v>2.12213429</v>
      </c>
      <c r="G48" s="18" t="n">
        <v>25.6238271</v>
      </c>
      <c r="H48" s="20" t="n">
        <v>2.00453023</v>
      </c>
      <c r="I48" s="18" t="n">
        <v>51.60906633</v>
      </c>
      <c r="J48" s="20" t="n">
        <v>2.10831663</v>
      </c>
      <c r="K48" s="18" t="n">
        <v>0</v>
      </c>
      <c r="L48" s="20" t="n">
        <v>0</v>
      </c>
      <c r="M48" s="18" t="n">
        <v>0.29847758</v>
      </c>
      <c r="N48" s="20" t="n">
        <v>0.21156928</v>
      </c>
      <c r="O48" s="18" t="n">
        <v>0</v>
      </c>
      <c r="P48" s="20" t="n">
        <v>0</v>
      </c>
      <c r="Q48" s="18" t="n">
        <v>0</v>
      </c>
      <c r="R48" s="20" t="n">
        <v>0</v>
      </c>
      <c r="S48" s="18" t="n">
        <v>1.3614199</v>
      </c>
      <c r="T48" s="20" t="n">
        <v>0.4761775</v>
      </c>
    </row>
    <row r="49" spans="1:20">
      <c r="A49" s="15" t="s">
        <v>608</v>
      </c>
      <c r="B49" s="17" t="n">
        <v>6158</v>
      </c>
      <c r="C49" s="18">
        <f>(4812.0/B49*100)</f>
        <v/>
      </c>
      <c r="D49" s="19" t="n">
        <v>1346</v>
      </c>
      <c r="E49" s="18" t="n">
        <v>52.05471858</v>
      </c>
      <c r="F49" s="20" t="n">
        <v>1.98974387</v>
      </c>
      <c r="G49" s="18" t="n">
        <v>28.31899668</v>
      </c>
      <c r="H49" s="20" t="n">
        <v>1.77106618</v>
      </c>
      <c r="I49" s="18" t="n">
        <v>15.52415699</v>
      </c>
      <c r="J49" s="20" t="n">
        <v>1.22748289</v>
      </c>
      <c r="K49" s="18" t="n">
        <v>0</v>
      </c>
      <c r="L49" s="20" t="n">
        <v>0</v>
      </c>
      <c r="M49" s="18" t="n">
        <v>0.47615537</v>
      </c>
      <c r="N49" s="20" t="n">
        <v>0.20702621</v>
      </c>
      <c r="O49" s="18" t="n">
        <v>0</v>
      </c>
      <c r="P49" s="20" t="n">
        <v>0</v>
      </c>
      <c r="Q49" s="18" t="n">
        <v>0</v>
      </c>
      <c r="R49" s="20" t="n">
        <v>0</v>
      </c>
      <c r="S49" s="18" t="n">
        <v>3.62597238</v>
      </c>
      <c r="T49" s="20" t="n">
        <v>0.85682866</v>
      </c>
    </row>
    <row r="50" spans="1:20">
      <c r="A50" s="15" t="s">
        <v>609</v>
      </c>
      <c r="B50" s="17" t="n">
        <v>3494</v>
      </c>
      <c r="C50" s="18">
        <f>(2792.0/B50*100)</f>
        <v/>
      </c>
      <c r="D50" s="19" t="n">
        <v>702</v>
      </c>
      <c r="E50" s="18" t="n">
        <v>53.61450641</v>
      </c>
      <c r="F50" s="20" t="n">
        <v>1.76437669</v>
      </c>
      <c r="G50" s="18" t="n">
        <v>26.99663249</v>
      </c>
      <c r="H50" s="20" t="n">
        <v>1.74652648</v>
      </c>
      <c r="I50" s="18" t="n">
        <v>16.10442397</v>
      </c>
      <c r="J50" s="20" t="n">
        <v>1.71356366</v>
      </c>
      <c r="K50" s="18" t="n">
        <v>0</v>
      </c>
      <c r="L50" s="20" t="n">
        <v>0</v>
      </c>
      <c r="M50" s="18" t="n">
        <v>0</v>
      </c>
      <c r="N50" s="20" t="n">
        <v>0</v>
      </c>
      <c r="O50" s="18" t="n">
        <v>0</v>
      </c>
      <c r="P50" s="20" t="n">
        <v>0</v>
      </c>
      <c r="Q50" s="18" t="n">
        <v>0</v>
      </c>
      <c r="R50" s="20" t="n">
        <v>0</v>
      </c>
      <c r="S50" s="18" t="n">
        <v>3.28443714</v>
      </c>
      <c r="T50" s="20" t="n">
        <v>0.9092402000000001</v>
      </c>
    </row>
    <row r="51" spans="1:20">
      <c r="A51" s="15" t="s">
        <v>610</v>
      </c>
      <c r="B51" s="17" t="n">
        <v>3013</v>
      </c>
      <c r="C51" s="18">
        <f>(2334.0/B51*100)</f>
        <v/>
      </c>
      <c r="D51" s="19" t="n">
        <v>679</v>
      </c>
      <c r="E51" s="18" t="n">
        <v>24.47575684</v>
      </c>
      <c r="F51" s="20" t="n">
        <v>1.74643785</v>
      </c>
      <c r="G51" s="18" t="n">
        <v>34.01402582</v>
      </c>
      <c r="H51" s="20" t="n">
        <v>1.78654475</v>
      </c>
      <c r="I51" s="18" t="n">
        <v>39.81252426</v>
      </c>
      <c r="J51" s="20" t="n">
        <v>2.31262716</v>
      </c>
      <c r="K51" s="18" t="n">
        <v>0</v>
      </c>
      <c r="L51" s="20" t="n">
        <v>0</v>
      </c>
      <c r="M51" s="18" t="n">
        <v>0</v>
      </c>
      <c r="N51" s="20" t="n">
        <v>0</v>
      </c>
      <c r="O51" s="18" t="n">
        <v>0</v>
      </c>
      <c r="P51" s="20" t="n">
        <v>0</v>
      </c>
      <c r="Q51" s="18" t="n">
        <v>0</v>
      </c>
      <c r="R51" s="20" t="n">
        <v>0</v>
      </c>
      <c r="S51" s="18" t="n">
        <v>1.69769307</v>
      </c>
      <c r="T51" s="20" t="n">
        <v>0.5906623</v>
      </c>
    </row>
    <row r="52" spans="1:20">
      <c r="A52" s="15" t="s">
        <v>611</v>
      </c>
      <c r="B52" s="17" t="n">
        <v>2760</v>
      </c>
      <c r="C52" s="18">
        <f>(2124.0/B52*100)</f>
        <v/>
      </c>
      <c r="D52" s="19" t="n">
        <v>636</v>
      </c>
      <c r="E52" s="18" t="n">
        <v>42.59342618</v>
      </c>
      <c r="F52" s="20" t="n">
        <v>1.73440065</v>
      </c>
      <c r="G52" s="18" t="n">
        <v>27.61447051</v>
      </c>
      <c r="H52" s="20" t="n">
        <v>1.77509131</v>
      </c>
      <c r="I52" s="18" t="n">
        <v>28.32761608</v>
      </c>
      <c r="J52" s="20" t="n">
        <v>1.76014373</v>
      </c>
      <c r="K52" s="18" t="n">
        <v>0</v>
      </c>
      <c r="L52" s="20" t="n">
        <v>0</v>
      </c>
      <c r="M52" s="18" t="n">
        <v>0.11230982</v>
      </c>
      <c r="N52" s="20" t="n">
        <v>0.11304014</v>
      </c>
      <c r="O52" s="18" t="n">
        <v>0</v>
      </c>
      <c r="P52" s="20" t="n">
        <v>0</v>
      </c>
      <c r="Q52" s="18" t="n">
        <v>0</v>
      </c>
      <c r="R52" s="20" t="n">
        <v>0</v>
      </c>
      <c r="S52" s="18" t="n">
        <v>1.3521774</v>
      </c>
      <c r="T52" s="20" t="n">
        <v>0.40491712</v>
      </c>
    </row>
    <row r="53" spans="1:20">
      <c r="A53" s="15" t="s">
        <v>612</v>
      </c>
      <c r="B53" s="17" t="n">
        <v>2474</v>
      </c>
      <c r="C53" s="18">
        <f>(1950.0/B53*100)</f>
        <v/>
      </c>
      <c r="D53" s="19" t="n">
        <v>524</v>
      </c>
      <c r="E53" s="18" t="n">
        <v>40.46443187</v>
      </c>
      <c r="F53" s="20" t="n">
        <v>2.28215893</v>
      </c>
      <c r="G53" s="18" t="n">
        <v>25.43682738</v>
      </c>
      <c r="H53" s="20" t="n">
        <v>2.20506801</v>
      </c>
      <c r="I53" s="18" t="n">
        <v>9.54538949</v>
      </c>
      <c r="J53" s="20" t="n">
        <v>1.3680922</v>
      </c>
      <c r="K53" s="18" t="n">
        <v>0</v>
      </c>
      <c r="L53" s="20" t="n">
        <v>0</v>
      </c>
      <c r="M53" s="18" t="n">
        <v>4.64131453</v>
      </c>
      <c r="N53" s="20" t="n">
        <v>1.12175541</v>
      </c>
      <c r="O53" s="18" t="n">
        <v>0</v>
      </c>
      <c r="P53" s="20" t="n">
        <v>0</v>
      </c>
      <c r="Q53" s="18" t="n">
        <v>0</v>
      </c>
      <c r="R53" s="20" t="n">
        <v>0</v>
      </c>
      <c r="S53" s="18" t="n">
        <v>19.91203673</v>
      </c>
      <c r="T53" s="20" t="n">
        <v>2.20324419</v>
      </c>
    </row>
    <row r="54" spans="1:20">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2675</v>
      </c>
      <c r="C55" s="18">
        <f>(2077.0/B55*100)</f>
        <v/>
      </c>
      <c r="D55" s="19" t="n">
        <v>598</v>
      </c>
      <c r="E55" s="18" t="n">
        <v>21.39997062</v>
      </c>
      <c r="F55" s="20" t="n">
        <v>1.73418792</v>
      </c>
      <c r="G55" s="18" t="n">
        <v>15.76398072</v>
      </c>
      <c r="H55" s="20" t="n">
        <v>1.43035342</v>
      </c>
      <c r="I55" s="18" t="n">
        <v>62.15046661</v>
      </c>
      <c r="J55" s="20" t="n">
        <v>2.24001345</v>
      </c>
      <c r="K55" s="18" t="n">
        <v>0</v>
      </c>
      <c r="L55" s="20" t="n">
        <v>0</v>
      </c>
      <c r="M55" s="18" t="n">
        <v>0.32827943</v>
      </c>
      <c r="N55" s="20" t="n">
        <v>0.31542229</v>
      </c>
      <c r="O55" s="18" t="n">
        <v>0</v>
      </c>
      <c r="P55" s="20" t="n">
        <v>0</v>
      </c>
      <c r="Q55" s="18" t="n">
        <v>0</v>
      </c>
      <c r="R55" s="20" t="n">
        <v>0</v>
      </c>
      <c r="S55" s="18" t="n">
        <v>0.35730262</v>
      </c>
      <c r="T55" s="20" t="n">
        <v>0.2473033</v>
      </c>
    </row>
    <row r="56" spans="1:20">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3201</v>
      </c>
      <c r="C61" s="18">
        <f>(2482.0/B61*100)</f>
        <v/>
      </c>
      <c r="D61" s="19" t="n">
        <v>719</v>
      </c>
      <c r="E61" s="18" t="n">
        <v>23.0100813</v>
      </c>
      <c r="F61" s="20" t="n">
        <v>1.75186581</v>
      </c>
      <c r="G61" s="18" t="n">
        <v>27.01438163</v>
      </c>
      <c r="H61" s="20" t="n">
        <v>1.83749643</v>
      </c>
      <c r="I61" s="18" t="n">
        <v>49.44937683</v>
      </c>
      <c r="J61" s="20" t="n">
        <v>2.21537578</v>
      </c>
      <c r="K61" s="18" t="n">
        <v>0</v>
      </c>
      <c r="L61" s="20" t="n">
        <v>0</v>
      </c>
      <c r="M61" s="18" t="n">
        <v>0.17999217</v>
      </c>
      <c r="N61" s="20" t="n">
        <v>0.1851405</v>
      </c>
      <c r="O61" s="18" t="n">
        <v>0</v>
      </c>
      <c r="P61" s="20" t="n">
        <v>0</v>
      </c>
      <c r="Q61" s="18" t="n">
        <v>0</v>
      </c>
      <c r="R61" s="20" t="n">
        <v>0</v>
      </c>
      <c r="S61" s="18" t="n">
        <v>0.34616807</v>
      </c>
      <c r="T61" s="20" t="n">
        <v>0.20709997</v>
      </c>
    </row>
    <row r="62" spans="1:20">
      <c r="A62" s="15" t="s">
        <v>622</v>
      </c>
      <c r="B62" s="17" t="n">
        <v>2230</v>
      </c>
      <c r="C62" s="18">
        <f>(1723.0/B62*100)</f>
        <v/>
      </c>
      <c r="D62" s="19" t="n">
        <v>507</v>
      </c>
      <c r="E62" s="18" t="n">
        <v>22.14584783</v>
      </c>
      <c r="F62" s="20" t="n">
        <v>1.78160979</v>
      </c>
      <c r="G62" s="18" t="n">
        <v>25.34358876</v>
      </c>
      <c r="H62" s="20" t="n">
        <v>2.14150298</v>
      </c>
      <c r="I62" s="18" t="n">
        <v>52.31468365</v>
      </c>
      <c r="J62" s="20" t="n">
        <v>2.0682965</v>
      </c>
      <c r="K62" s="18" t="n">
        <v>0</v>
      </c>
      <c r="L62" s="20" t="n">
        <v>0</v>
      </c>
      <c r="M62" s="18" t="n">
        <v>0</v>
      </c>
      <c r="N62" s="20" t="n">
        <v>0</v>
      </c>
      <c r="O62" s="18" t="n">
        <v>0</v>
      </c>
      <c r="P62" s="20" t="n">
        <v>0</v>
      </c>
      <c r="Q62" s="18" t="n">
        <v>0</v>
      </c>
      <c r="R62" s="20" t="n">
        <v>0</v>
      </c>
      <c r="S62" s="18" t="n">
        <v>0.19587976</v>
      </c>
      <c r="T62" s="20" t="n">
        <v>0.19483383</v>
      </c>
    </row>
    <row r="63" spans="1:20">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2771</v>
      </c>
      <c r="C67" s="18">
        <f>(2185.0/B67*100)</f>
        <v/>
      </c>
      <c r="D67" s="19" t="n">
        <v>586</v>
      </c>
      <c r="E67" s="18" t="n">
        <v>39.24490459</v>
      </c>
      <c r="F67" s="20" t="n">
        <v>1.86170296</v>
      </c>
      <c r="G67" s="18" t="n">
        <v>25.9985976</v>
      </c>
      <c r="H67" s="20" t="n">
        <v>1.665626</v>
      </c>
      <c r="I67" s="18" t="n">
        <v>29.25424572</v>
      </c>
      <c r="J67" s="20" t="n">
        <v>2.01708211</v>
      </c>
      <c r="K67" s="18" t="n">
        <v>0</v>
      </c>
      <c r="L67" s="20" t="n">
        <v>0</v>
      </c>
      <c r="M67" s="18" t="n">
        <v>0.38375949</v>
      </c>
      <c r="N67" s="20" t="n">
        <v>0.28062348</v>
      </c>
      <c r="O67" s="18" t="n">
        <v>0</v>
      </c>
      <c r="P67" s="20" t="n">
        <v>0</v>
      </c>
      <c r="Q67" s="18" t="n">
        <v>0</v>
      </c>
      <c r="R67" s="20" t="n">
        <v>0</v>
      </c>
      <c r="S67" s="18" t="n">
        <v>5.11849259</v>
      </c>
      <c r="T67" s="20" t="n">
        <v>0.85392026</v>
      </c>
    </row>
    <row r="68" spans="1:20">
      <c r="A68" s="15" t="s">
        <v>628</v>
      </c>
      <c r="B68" s="17" t="n">
        <v>3460</v>
      </c>
      <c r="C68" s="18">
        <f>(2738.0/B68*100)</f>
        <v/>
      </c>
      <c r="D68" s="19" t="n">
        <v>722</v>
      </c>
      <c r="E68" s="18" t="n">
        <v>48.46488398</v>
      </c>
      <c r="F68" s="20" t="n">
        <v>1.80690855</v>
      </c>
      <c r="G68" s="18" t="n">
        <v>30.77780614</v>
      </c>
      <c r="H68" s="20" t="n">
        <v>1.93734519</v>
      </c>
      <c r="I68" s="18" t="n">
        <v>16.55771607</v>
      </c>
      <c r="J68" s="20" t="n">
        <v>1.43671786</v>
      </c>
      <c r="K68" s="18" t="n">
        <v>0</v>
      </c>
      <c r="L68" s="20" t="n">
        <v>0</v>
      </c>
      <c r="M68" s="18" t="n">
        <v>0</v>
      </c>
      <c r="N68" s="20" t="n">
        <v>0</v>
      </c>
      <c r="O68" s="18" t="n">
        <v>0</v>
      </c>
      <c r="P68" s="20" t="n">
        <v>0</v>
      </c>
      <c r="Q68" s="18" t="n">
        <v>0</v>
      </c>
      <c r="R68" s="20" t="n">
        <v>0</v>
      </c>
      <c r="S68" s="18" t="n">
        <v>4.1995938</v>
      </c>
      <c r="T68" s="20" t="n">
        <v>0.79604868</v>
      </c>
    </row>
    <row r="69" spans="1:20">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6034</v>
      </c>
      <c r="C70" s="18">
        <f>(4720.0/B70*100)</f>
        <v/>
      </c>
      <c r="D70" s="19" t="n">
        <v>1314</v>
      </c>
      <c r="E70" s="18" t="n">
        <v>34.80241487</v>
      </c>
      <c r="F70" s="20" t="n">
        <v>1.2672637</v>
      </c>
      <c r="G70" s="18" t="n">
        <v>23.97382172</v>
      </c>
      <c r="H70" s="20" t="n">
        <v>1.21290525</v>
      </c>
      <c r="I70" s="18" t="n">
        <v>39.312515</v>
      </c>
      <c r="J70" s="20" t="n">
        <v>1.25114028</v>
      </c>
      <c r="K70" s="18" t="n">
        <v>0</v>
      </c>
      <c r="L70" s="20" t="n">
        <v>0</v>
      </c>
      <c r="M70" s="18" t="n">
        <v>0.34096577</v>
      </c>
      <c r="N70" s="20" t="n">
        <v>0.17150783</v>
      </c>
      <c r="O70" s="18" t="n">
        <v>0</v>
      </c>
      <c r="P70" s="20" t="n">
        <v>0</v>
      </c>
      <c r="Q70" s="18" t="n">
        <v>0</v>
      </c>
      <c r="R70" s="20" t="n">
        <v>0</v>
      </c>
      <c r="S70" s="18" t="n">
        <v>1.57028265</v>
      </c>
      <c r="T70" s="20" t="n">
        <v>0.33089472</v>
      </c>
    </row>
    <row r="71" spans="1:20">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3107</v>
      </c>
      <c r="C72" s="18">
        <f>(2422.0/B72*100)</f>
        <v/>
      </c>
      <c r="D72" s="19" t="n">
        <v>685</v>
      </c>
      <c r="E72" s="18" t="n">
        <v>55.96770428</v>
      </c>
      <c r="F72" s="20" t="n">
        <v>2.2785568</v>
      </c>
      <c r="G72" s="18" t="n">
        <v>14.28113509</v>
      </c>
      <c r="H72" s="20" t="n">
        <v>1.53652087</v>
      </c>
      <c r="I72" s="18" t="n">
        <v>28.49737207</v>
      </c>
      <c r="J72" s="20" t="n">
        <v>1.76636135</v>
      </c>
      <c r="K72" s="18" t="n">
        <v>0</v>
      </c>
      <c r="L72" s="20" t="n">
        <v>0</v>
      </c>
      <c r="M72" s="18" t="n">
        <v>0</v>
      </c>
      <c r="N72" s="20" t="n">
        <v>0</v>
      </c>
      <c r="O72" s="18" t="n">
        <v>0</v>
      </c>
      <c r="P72" s="20" t="n">
        <v>0</v>
      </c>
      <c r="Q72" s="18" t="n">
        <v>0</v>
      </c>
      <c r="R72" s="20" t="n">
        <v>0</v>
      </c>
      <c r="S72" s="18" t="n">
        <v>1.25378857</v>
      </c>
      <c r="T72" s="20" t="n">
        <v>0.41715348</v>
      </c>
    </row>
    <row r="73" spans="1:20">
      <c r="A73" s="15" t="s">
        <v>633</v>
      </c>
      <c r="B73" s="17" t="n">
        <v>2973</v>
      </c>
      <c r="C73" s="18">
        <f>(2302.0/B73*100)</f>
        <v/>
      </c>
      <c r="D73" s="19" t="n">
        <v>671</v>
      </c>
      <c r="E73" s="18" t="n">
        <v>19.3387204</v>
      </c>
      <c r="F73" s="20" t="n">
        <v>1.90169135</v>
      </c>
      <c r="G73" s="18" t="n">
        <v>20.46026857</v>
      </c>
      <c r="H73" s="20" t="n">
        <v>1.53234777</v>
      </c>
      <c r="I73" s="18" t="n">
        <v>59.68200333</v>
      </c>
      <c r="J73" s="20" t="n">
        <v>2.22556077</v>
      </c>
      <c r="K73" s="18" t="n">
        <v>0</v>
      </c>
      <c r="L73" s="20" t="n">
        <v>0</v>
      </c>
      <c r="M73" s="18" t="n">
        <v>0</v>
      </c>
      <c r="N73" s="20" t="n">
        <v>0</v>
      </c>
      <c r="O73" s="18" t="n">
        <v>0</v>
      </c>
      <c r="P73" s="20" t="n">
        <v>0</v>
      </c>
      <c r="Q73" s="18" t="n">
        <v>0</v>
      </c>
      <c r="R73" s="20" t="n">
        <v>0</v>
      </c>
      <c r="S73" s="18" t="n">
        <v>0.51900769</v>
      </c>
      <c r="T73" s="20" t="n">
        <v>0.28556416</v>
      </c>
    </row>
    <row r="74" spans="1:20">
      <c r="A74" s="15" t="s">
        <v>634</v>
      </c>
      <c r="B74" s="17" t="n">
        <v>3819</v>
      </c>
      <c r="C74" s="18">
        <f>(2927.0/B74*100)</f>
        <v/>
      </c>
      <c r="D74" s="19" t="n">
        <v>892</v>
      </c>
      <c r="E74" s="18" t="n">
        <v>16.49250459</v>
      </c>
      <c r="F74" s="20" t="n">
        <v>1.17801553</v>
      </c>
      <c r="G74" s="18" t="n">
        <v>14.31527686</v>
      </c>
      <c r="H74" s="20" t="n">
        <v>1.08523665</v>
      </c>
      <c r="I74" s="18" t="n">
        <v>68.79553356</v>
      </c>
      <c r="J74" s="20" t="n">
        <v>1.59493581</v>
      </c>
      <c r="K74" s="18" t="n">
        <v>0</v>
      </c>
      <c r="L74" s="20" t="n">
        <v>0</v>
      </c>
      <c r="M74" s="18" t="n">
        <v>0</v>
      </c>
      <c r="N74" s="20" t="n">
        <v>0</v>
      </c>
      <c r="O74" s="18" t="n">
        <v>0</v>
      </c>
      <c r="P74" s="20" t="n">
        <v>0</v>
      </c>
      <c r="Q74" s="18" t="n">
        <v>0</v>
      </c>
      <c r="R74" s="20" t="n">
        <v>0</v>
      </c>
      <c r="S74" s="18" t="n">
        <v>0.39668499</v>
      </c>
      <c r="T74" s="20" t="n">
        <v>0.29658885</v>
      </c>
    </row>
    <row r="75" spans="1:20">
      <c r="A75" s="15" t="s">
        <v>635</v>
      </c>
      <c r="B75" s="17" t="n">
        <v>4652</v>
      </c>
      <c r="C75" s="18">
        <f>(3589.0/B75*100)</f>
        <v/>
      </c>
      <c r="D75" s="19" t="n">
        <v>1063</v>
      </c>
      <c r="E75" s="18" t="n">
        <v>27.1292467</v>
      </c>
      <c r="F75" s="20" t="n">
        <v>1.64924736</v>
      </c>
      <c r="G75" s="18" t="n">
        <v>25.05524806</v>
      </c>
      <c r="H75" s="20" t="n">
        <v>1.70688295</v>
      </c>
      <c r="I75" s="18" t="n">
        <v>45.84281465</v>
      </c>
      <c r="J75" s="20" t="n">
        <v>2.16606561</v>
      </c>
      <c r="K75" s="18" t="n">
        <v>0</v>
      </c>
      <c r="L75" s="20" t="n">
        <v>0</v>
      </c>
      <c r="M75" s="18" t="n">
        <v>0</v>
      </c>
      <c r="N75" s="20" t="n">
        <v>0</v>
      </c>
      <c r="O75" s="18" t="n">
        <v>0</v>
      </c>
      <c r="P75" s="20" t="n">
        <v>0</v>
      </c>
      <c r="Q75" s="18" t="n">
        <v>0</v>
      </c>
      <c r="R75" s="20" t="n">
        <v>0</v>
      </c>
      <c r="S75" s="18" t="n">
        <v>1.97269059</v>
      </c>
      <c r="T75" s="20" t="n">
        <v>0.57588533</v>
      </c>
    </row>
    <row r="76" spans="1:20">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2969</v>
      </c>
      <c r="C77" s="18">
        <f>(2334.0/B77*100)</f>
        <v/>
      </c>
      <c r="D77" s="19" t="n">
        <v>635</v>
      </c>
      <c r="E77" s="18" t="n">
        <v>52.09264704</v>
      </c>
      <c r="F77" s="20" t="n">
        <v>2.00348094</v>
      </c>
      <c r="G77" s="18" t="n">
        <v>25.01160572</v>
      </c>
      <c r="H77" s="20" t="n">
        <v>1.52223945</v>
      </c>
      <c r="I77" s="18" t="n">
        <v>19.28739885</v>
      </c>
      <c r="J77" s="20" t="n">
        <v>1.63580889</v>
      </c>
      <c r="K77" s="18" t="n">
        <v>0</v>
      </c>
      <c r="L77" s="20" t="n">
        <v>0</v>
      </c>
      <c r="M77" s="18" t="n">
        <v>1.73422183</v>
      </c>
      <c r="N77" s="20" t="n">
        <v>0.55937451</v>
      </c>
      <c r="O77" s="18" t="n">
        <v>0</v>
      </c>
      <c r="P77" s="20" t="n">
        <v>0</v>
      </c>
      <c r="Q77" s="18" t="n">
        <v>0</v>
      </c>
      <c r="R77" s="20" t="n">
        <v>0</v>
      </c>
      <c r="S77" s="18" t="n">
        <v>1.87412656</v>
      </c>
      <c r="T77" s="20" t="n">
        <v>0.47809888</v>
      </c>
    </row>
    <row r="78" spans="1:20">
      <c r="A78" s="15" t="s">
        <v>638</v>
      </c>
      <c r="B78" s="17" t="n">
        <v>7115</v>
      </c>
      <c r="C78" s="18">
        <f>(5535.0/B78*100)</f>
        <v/>
      </c>
      <c r="D78" s="19" t="n">
        <v>1580</v>
      </c>
      <c r="E78" s="18" t="n">
        <v>32.24068107</v>
      </c>
      <c r="F78" s="20" t="n">
        <v>1.38153638</v>
      </c>
      <c r="G78" s="18" t="n">
        <v>26.87503175</v>
      </c>
      <c r="H78" s="20" t="n">
        <v>1.71349046</v>
      </c>
      <c r="I78" s="18" t="n">
        <v>39.75636673</v>
      </c>
      <c r="J78" s="20" t="n">
        <v>1.68986311</v>
      </c>
      <c r="K78" s="18" t="n">
        <v>0</v>
      </c>
      <c r="L78" s="20" t="n">
        <v>0</v>
      </c>
      <c r="M78" s="18" t="n">
        <v>0.30391253</v>
      </c>
      <c r="N78" s="20" t="n">
        <v>0.1469105</v>
      </c>
      <c r="O78" s="18" t="n">
        <v>0</v>
      </c>
      <c r="P78" s="20" t="n">
        <v>0</v>
      </c>
      <c r="Q78" s="18" t="n">
        <v>0</v>
      </c>
      <c r="R78" s="20" t="n">
        <v>0</v>
      </c>
      <c r="S78" s="18" t="n">
        <v>0.82400792</v>
      </c>
      <c r="T78" s="20" t="n">
        <v>0.20329377</v>
      </c>
    </row>
    <row r="79" spans="1:20">
      <c r="A79" s="15" t="s">
        <v>639</v>
      </c>
      <c r="B79" s="17" t="n">
        <v>3154</v>
      </c>
      <c r="C79" s="18">
        <f>(2479.0/B79*100)</f>
        <v/>
      </c>
      <c r="D79" s="19" t="n">
        <v>675</v>
      </c>
      <c r="E79" s="18" t="n">
        <v>39.21513364</v>
      </c>
      <c r="F79" s="20" t="n">
        <v>2.05327872</v>
      </c>
      <c r="G79" s="18" t="n">
        <v>32.37116565</v>
      </c>
      <c r="H79" s="20" t="n">
        <v>2.1261798</v>
      </c>
      <c r="I79" s="18" t="n">
        <v>25.04991816</v>
      </c>
      <c r="J79" s="20" t="n">
        <v>1.87633067</v>
      </c>
      <c r="K79" s="18" t="n">
        <v>0</v>
      </c>
      <c r="L79" s="20" t="n">
        <v>0</v>
      </c>
      <c r="M79" s="18" t="n">
        <v>0</v>
      </c>
      <c r="N79" s="20" t="n">
        <v>0</v>
      </c>
      <c r="O79" s="18" t="n">
        <v>0</v>
      </c>
      <c r="P79" s="20" t="n">
        <v>0</v>
      </c>
      <c r="Q79" s="18" t="n">
        <v>0</v>
      </c>
      <c r="R79" s="20" t="n">
        <v>0</v>
      </c>
      <c r="S79" s="18" t="n">
        <v>3.36378255</v>
      </c>
      <c r="T79" s="20" t="n">
        <v>0.8169788100000001</v>
      </c>
    </row>
    <row r="80" spans="1:20">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15961</v>
      </c>
      <c r="C82" s="18">
        <f>(12389.0/B82*100)</f>
        <v/>
      </c>
      <c r="D82" s="19" t="n">
        <v>3572</v>
      </c>
      <c r="E82" s="18" t="n">
        <v>32.67904854</v>
      </c>
      <c r="F82" s="20" t="n">
        <v>0.95010589</v>
      </c>
      <c r="G82" s="18" t="n">
        <v>27.56801868</v>
      </c>
      <c r="H82" s="20" t="n">
        <v>1.0450089</v>
      </c>
      <c r="I82" s="18" t="n">
        <v>38.75573293</v>
      </c>
      <c r="J82" s="20" t="n">
        <v>1.1898718</v>
      </c>
      <c r="K82" s="18" t="n">
        <v>0</v>
      </c>
      <c r="L82" s="20" t="n">
        <v>0</v>
      </c>
      <c r="M82" s="18" t="n">
        <v>0.10978974</v>
      </c>
      <c r="N82" s="20" t="n">
        <v>0.06692867</v>
      </c>
      <c r="O82" s="18" t="n">
        <v>0</v>
      </c>
      <c r="P82" s="20" t="n">
        <v>0</v>
      </c>
      <c r="Q82" s="18" t="n">
        <v>0</v>
      </c>
      <c r="R82" s="20" t="n">
        <v>0</v>
      </c>
      <c r="S82" s="18" t="n">
        <v>0.88741012</v>
      </c>
      <c r="T82" s="20" t="n">
        <v>0.24957935</v>
      </c>
    </row>
    <row r="83" spans="1:20">
      <c r="A83" s="15" t="s">
        <v>643</v>
      </c>
      <c r="B83" s="17" t="n">
        <v>808</v>
      </c>
      <c r="C83" s="18">
        <f>(649.0/B83*100)</f>
        <v/>
      </c>
      <c r="D83" s="19" t="n">
        <v>159</v>
      </c>
      <c r="E83" s="18" t="n">
        <v>16.47810679</v>
      </c>
      <c r="F83" s="20" t="n">
        <v>2.38786623</v>
      </c>
      <c r="G83" s="18" t="n">
        <v>37.99683204</v>
      </c>
      <c r="H83" s="20" t="n">
        <v>3.38156973</v>
      </c>
      <c r="I83" s="18" t="n">
        <v>44.96037668</v>
      </c>
      <c r="J83" s="20" t="n">
        <v>3.39987131</v>
      </c>
      <c r="K83" s="18" t="n">
        <v>0</v>
      </c>
      <c r="L83" s="20" t="n">
        <v>0</v>
      </c>
      <c r="M83" s="18" t="n">
        <v>0</v>
      </c>
      <c r="N83" s="20" t="n">
        <v>0</v>
      </c>
      <c r="O83" s="18" t="n">
        <v>0</v>
      </c>
      <c r="P83" s="20" t="n">
        <v>0</v>
      </c>
      <c r="Q83" s="18" t="n">
        <v>0</v>
      </c>
      <c r="R83" s="20" t="n">
        <v>0</v>
      </c>
      <c r="S83" s="18" t="n">
        <v>0.56468449</v>
      </c>
      <c r="T83" s="20" t="n">
        <v>0.58939583</v>
      </c>
    </row>
    <row r="84" spans="1:20">
      <c r="A84" s="23" t="s">
        <v>644</v>
      </c>
      <c r="B84" s="24" t="n">
        <v>938</v>
      </c>
      <c r="C84" s="25">
        <f>(740.0/B84*100)</f>
        <v/>
      </c>
      <c r="D84" s="19" t="n">
        <v>198</v>
      </c>
      <c r="E84" s="18" t="n">
        <v>17.98709971</v>
      </c>
      <c r="F84" s="20" t="n">
        <v>2.76355463</v>
      </c>
      <c r="G84" s="18" t="n">
        <v>51.32164184</v>
      </c>
      <c r="H84" s="20" t="n">
        <v>3.52808767</v>
      </c>
      <c r="I84" s="18" t="n">
        <v>30.69125845</v>
      </c>
      <c r="J84" s="20" t="n">
        <v>3.53448098</v>
      </c>
      <c r="K84" s="18" t="n">
        <v>0</v>
      </c>
      <c r="L84" s="20" t="n">
        <v>0</v>
      </c>
      <c r="M84" s="18" t="n">
        <v>0</v>
      </c>
      <c r="N84" s="20" t="n">
        <v>0</v>
      </c>
      <c r="O84" s="18" t="n">
        <v>0</v>
      </c>
      <c r="P84" s="20" t="n">
        <v>0</v>
      </c>
      <c r="Q84" s="18" t="n">
        <v>0</v>
      </c>
      <c r="R84" s="20" t="n">
        <v>0</v>
      </c>
      <c r="S84" s="18" t="n">
        <v>0</v>
      </c>
      <c r="T84" s="20" t="n">
        <v>0</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(5593.0/B7*100)</f>
        <v/>
      </c>
      <c r="D7" s="19" t="n">
        <v>1570</v>
      </c>
      <c r="E7" s="18" t="n">
        <v>27.08174506</v>
      </c>
      <c r="F7" s="20" t="n">
        <v>1.83510572</v>
      </c>
      <c r="G7" s="18" t="n">
        <v>71.40253096000001</v>
      </c>
      <c r="H7" s="20" t="n">
        <v>1.80996652</v>
      </c>
      <c r="I7" s="18" t="n">
        <v>0</v>
      </c>
      <c r="J7" s="20" t="n">
        <v>0</v>
      </c>
      <c r="K7" s="18" t="n">
        <v>0.03739222</v>
      </c>
      <c r="L7" s="20" t="n">
        <v>0.02492981</v>
      </c>
      <c r="M7" s="18" t="n">
        <v>0</v>
      </c>
      <c r="N7" s="20" t="n">
        <v>0</v>
      </c>
      <c r="O7" s="18" t="n">
        <v>0</v>
      </c>
      <c r="P7" s="20" t="n">
        <v>0</v>
      </c>
      <c r="Q7" s="18" t="n">
        <v>1.47833175</v>
      </c>
      <c r="R7" s="20" t="n">
        <v>0.32708374</v>
      </c>
    </row>
    <row r="8" spans="1:18">
      <c r="A8" s="15" t="s">
        <v>566</v>
      </c>
      <c r="B8" s="17" t="n">
        <v>3443</v>
      </c>
      <c r="C8" s="18">
        <f>(2668.0/B8*100)</f>
        <v/>
      </c>
      <c r="D8" s="19" t="n">
        <v>775</v>
      </c>
      <c r="E8" s="18" t="n">
        <v>26.41022285</v>
      </c>
      <c r="F8" s="20" t="n">
        <v>2.10948721</v>
      </c>
      <c r="G8" s="18" t="n">
        <v>70.09985139</v>
      </c>
      <c r="H8" s="20" t="n">
        <v>2.19472156</v>
      </c>
      <c r="I8" s="18" t="n">
        <v>0</v>
      </c>
      <c r="J8" s="20" t="n">
        <v>0</v>
      </c>
      <c r="K8" s="18" t="n">
        <v>0.33636343</v>
      </c>
      <c r="L8" s="20" t="n">
        <v>0.24543299</v>
      </c>
      <c r="M8" s="18" t="n">
        <v>0</v>
      </c>
      <c r="N8" s="20" t="n">
        <v>0</v>
      </c>
      <c r="O8" s="18" t="n">
        <v>0</v>
      </c>
      <c r="P8" s="20" t="n">
        <v>0</v>
      </c>
      <c r="Q8" s="18" t="n">
        <v>3.15356232</v>
      </c>
      <c r="R8" s="20" t="n">
        <v>0.72008242</v>
      </c>
    </row>
    <row r="9" spans="1:18">
      <c r="A9" s="15" t="s">
        <v>567</v>
      </c>
      <c r="B9" s="17" t="n">
        <v>4752</v>
      </c>
      <c r="C9" s="18">
        <f>(3747.0/B9*100)</f>
        <v/>
      </c>
      <c r="D9" s="19" t="n">
        <v>1005</v>
      </c>
      <c r="E9" s="18" t="n">
        <v>27.09877882</v>
      </c>
      <c r="F9" s="20" t="n">
        <v>1.40573489</v>
      </c>
      <c r="G9" s="18" t="n">
        <v>70.41172813999999</v>
      </c>
      <c r="H9" s="20" t="n">
        <v>1.53354469</v>
      </c>
      <c r="I9" s="18" t="n">
        <v>0</v>
      </c>
      <c r="J9" s="20" t="n">
        <v>0</v>
      </c>
      <c r="K9" s="18" t="n">
        <v>0</v>
      </c>
      <c r="L9" s="20" t="n">
        <v>0</v>
      </c>
      <c r="M9" s="18" t="n">
        <v>0</v>
      </c>
      <c r="N9" s="20" t="n">
        <v>0</v>
      </c>
      <c r="O9" s="18" t="n">
        <v>0</v>
      </c>
      <c r="P9" s="20" t="n">
        <v>0</v>
      </c>
      <c r="Q9" s="18" t="n">
        <v>2.48949304</v>
      </c>
      <c r="R9" s="20" t="n">
        <v>0.68580165</v>
      </c>
    </row>
    <row r="10" spans="1:18">
      <c r="A10" s="15" t="s">
        <v>568</v>
      </c>
      <c r="B10" s="17" t="n">
        <v>10022</v>
      </c>
      <c r="C10" s="18">
        <f>(7807.0/B10*100)</f>
        <v/>
      </c>
      <c r="D10" s="19" t="n">
        <v>2215</v>
      </c>
      <c r="E10" s="18" t="n">
        <v>21.65871496</v>
      </c>
      <c r="F10" s="20" t="n">
        <v>1.46180306</v>
      </c>
      <c r="G10" s="18" t="n">
        <v>77.06849938000001</v>
      </c>
      <c r="H10" s="20" t="n">
        <v>1.46306341</v>
      </c>
      <c r="I10" s="18" t="n">
        <v>0</v>
      </c>
      <c r="J10" s="20" t="n">
        <v>0</v>
      </c>
      <c r="K10" s="18" t="n">
        <v>0.24402839</v>
      </c>
      <c r="L10" s="20" t="n">
        <v>0.17179437</v>
      </c>
      <c r="M10" s="18" t="n">
        <v>0</v>
      </c>
      <c r="N10" s="20" t="n">
        <v>0</v>
      </c>
      <c r="O10" s="18" t="n">
        <v>0</v>
      </c>
      <c r="P10" s="20" t="n">
        <v>0</v>
      </c>
      <c r="Q10" s="18" t="n">
        <v>1.02875727</v>
      </c>
      <c r="R10" s="20" t="n">
        <v>0.2819642</v>
      </c>
    </row>
    <row r="11" spans="1:18">
      <c r="A11" s="15" t="s">
        <v>569</v>
      </c>
      <c r="B11" s="17" t="n">
        <v>3500</v>
      </c>
      <c r="C11" s="18">
        <f>(2717.0/B11*100)</f>
        <v/>
      </c>
      <c r="D11" s="19" t="n">
        <v>783</v>
      </c>
      <c r="E11" s="18" t="n">
        <v>31.72729461</v>
      </c>
      <c r="F11" s="20" t="n">
        <v>1.78758928</v>
      </c>
      <c r="G11" s="18" t="n">
        <v>63.82947836</v>
      </c>
      <c r="H11" s="20" t="n">
        <v>1.90278319</v>
      </c>
      <c r="I11" s="18" t="n">
        <v>0</v>
      </c>
      <c r="J11" s="20" t="n">
        <v>0</v>
      </c>
      <c r="K11" s="18" t="n">
        <v>0.25685469</v>
      </c>
      <c r="L11" s="20" t="n">
        <v>0.17816052</v>
      </c>
      <c r="M11" s="18" t="n">
        <v>0</v>
      </c>
      <c r="N11" s="20" t="n">
        <v>0</v>
      </c>
      <c r="O11" s="18" t="n">
        <v>0</v>
      </c>
      <c r="P11" s="20" t="n">
        <v>0</v>
      </c>
      <c r="Q11" s="18" t="n">
        <v>4.18637234</v>
      </c>
      <c r="R11" s="20" t="n">
        <v>0.82464951</v>
      </c>
    </row>
    <row r="12" spans="1:18">
      <c r="A12" s="15" t="s">
        <v>570</v>
      </c>
      <c r="B12" s="17" t="n">
        <v>3422</v>
      </c>
      <c r="C12" s="18">
        <f>(2690.0/B12*100)</f>
        <v/>
      </c>
      <c r="D12" s="19" t="n">
        <v>732</v>
      </c>
      <c r="E12" s="18" t="n">
        <v>29.61340054</v>
      </c>
      <c r="F12" s="20" t="n">
        <v>1.73646773</v>
      </c>
      <c r="G12" s="18" t="n">
        <v>68.19960226000001</v>
      </c>
      <c r="H12" s="20" t="n">
        <v>1.74440102</v>
      </c>
      <c r="I12" s="18" t="n">
        <v>0</v>
      </c>
      <c r="J12" s="20" t="n">
        <v>0</v>
      </c>
      <c r="K12" s="18" t="n">
        <v>0.12750674</v>
      </c>
      <c r="L12" s="20" t="n">
        <v>0.12471085</v>
      </c>
      <c r="M12" s="18" t="n">
        <v>0</v>
      </c>
      <c r="N12" s="20" t="n">
        <v>0</v>
      </c>
      <c r="O12" s="18" t="n">
        <v>0</v>
      </c>
      <c r="P12" s="20" t="n">
        <v>0</v>
      </c>
      <c r="Q12" s="18" t="n">
        <v>2.05949046</v>
      </c>
      <c r="R12" s="20" t="n">
        <v>0.51152794</v>
      </c>
    </row>
    <row r="13" spans="1:18">
      <c r="A13" s="15" t="s">
        <v>571</v>
      </c>
      <c r="B13" s="17" t="n">
        <v>3602</v>
      </c>
      <c r="C13" s="18">
        <f>(2848.0/B13*100)</f>
        <v/>
      </c>
      <c r="D13" s="19" t="n">
        <v>754</v>
      </c>
      <c r="E13" s="18" t="n">
        <v>31.832157</v>
      </c>
      <c r="F13" s="20" t="n">
        <v>2.07693421</v>
      </c>
      <c r="G13" s="18" t="n">
        <v>64.76297924000001</v>
      </c>
      <c r="H13" s="20" t="n">
        <v>2.23888316</v>
      </c>
      <c r="I13" s="18" t="n">
        <v>0</v>
      </c>
      <c r="J13" s="20" t="n">
        <v>0</v>
      </c>
      <c r="K13" s="18" t="n">
        <v>0.62419448</v>
      </c>
      <c r="L13" s="20" t="n">
        <v>0.3529543</v>
      </c>
      <c r="M13" s="18" t="n">
        <v>0</v>
      </c>
      <c r="N13" s="20" t="n">
        <v>0</v>
      </c>
      <c r="O13" s="18" t="n">
        <v>0</v>
      </c>
      <c r="P13" s="20" t="n">
        <v>0</v>
      </c>
      <c r="Q13" s="18" t="n">
        <v>2.78066928</v>
      </c>
      <c r="R13" s="20" t="n">
        <v>0.6336562</v>
      </c>
    </row>
    <row r="14" spans="1:18">
      <c r="A14" s="15" t="s">
        <v>572</v>
      </c>
      <c r="B14" s="17" t="n">
        <v>2788</v>
      </c>
      <c r="C14" s="18">
        <f>(2176.0/B14*100)</f>
        <v/>
      </c>
      <c r="D14" s="19" t="n">
        <v>612</v>
      </c>
      <c r="E14" s="18" t="n">
        <v>22.25186463</v>
      </c>
      <c r="F14" s="20" t="n">
        <v>1.65682302</v>
      </c>
      <c r="G14" s="18" t="n">
        <v>77.4941884</v>
      </c>
      <c r="H14" s="20" t="n">
        <v>1.6655367</v>
      </c>
      <c r="I14" s="18" t="n">
        <v>0</v>
      </c>
      <c r="J14" s="20" t="n">
        <v>0</v>
      </c>
      <c r="K14" s="18" t="n">
        <v>0</v>
      </c>
      <c r="L14" s="20" t="n">
        <v>0</v>
      </c>
      <c r="M14" s="18" t="n">
        <v>0</v>
      </c>
      <c r="N14" s="20" t="n">
        <v>0</v>
      </c>
      <c r="O14" s="18" t="n">
        <v>0</v>
      </c>
      <c r="P14" s="20" t="n">
        <v>0</v>
      </c>
      <c r="Q14" s="18" t="n">
        <v>0.25394697</v>
      </c>
      <c r="R14" s="20" t="n">
        <v>0.17456423</v>
      </c>
    </row>
    <row r="15" spans="1:18">
      <c r="A15" s="15" t="s">
        <v>573</v>
      </c>
      <c r="B15" s="17" t="n">
        <v>2863</v>
      </c>
      <c r="C15" s="18">
        <f>(2216.0/B15*100)</f>
        <v/>
      </c>
      <c r="D15" s="19" t="n">
        <v>647</v>
      </c>
      <c r="E15" s="18" t="n">
        <v>25.27635702</v>
      </c>
      <c r="F15" s="20" t="n">
        <v>1.85939759</v>
      </c>
      <c r="G15" s="18" t="n">
        <v>73.27511745</v>
      </c>
      <c r="H15" s="20" t="n">
        <v>1.90668322</v>
      </c>
      <c r="I15" s="18" t="n">
        <v>0</v>
      </c>
      <c r="J15" s="20" t="n">
        <v>0</v>
      </c>
      <c r="K15" s="18" t="n">
        <v>0</v>
      </c>
      <c r="L15" s="20" t="n">
        <v>0</v>
      </c>
      <c r="M15" s="18" t="n">
        <v>0</v>
      </c>
      <c r="N15" s="20" t="n">
        <v>0</v>
      </c>
      <c r="O15" s="18" t="n">
        <v>0</v>
      </c>
      <c r="P15" s="20" t="n">
        <v>0</v>
      </c>
      <c r="Q15" s="18" t="n">
        <v>1.44852553</v>
      </c>
      <c r="R15" s="20" t="n">
        <v>0.51504711</v>
      </c>
    </row>
    <row r="16" spans="1:18">
      <c r="A16" s="15" t="s">
        <v>574</v>
      </c>
      <c r="B16" s="17" t="n">
        <v>3111</v>
      </c>
      <c r="C16" s="18">
        <f>(2420.0/B16*100)</f>
        <v/>
      </c>
      <c r="D16" s="19" t="n">
        <v>691</v>
      </c>
      <c r="E16" s="18" t="n">
        <v>26.7373383</v>
      </c>
      <c r="F16" s="20" t="n">
        <v>1.87827656</v>
      </c>
      <c r="G16" s="18" t="n">
        <v>69.713588</v>
      </c>
      <c r="H16" s="20" t="n">
        <v>1.95441204</v>
      </c>
      <c r="I16" s="18" t="n">
        <v>0</v>
      </c>
      <c r="J16" s="20" t="n">
        <v>0</v>
      </c>
      <c r="K16" s="18" t="n">
        <v>0.10209237</v>
      </c>
      <c r="L16" s="20" t="n">
        <v>0.10120889</v>
      </c>
      <c r="M16" s="18" t="n">
        <v>0</v>
      </c>
      <c r="N16" s="20" t="n">
        <v>0</v>
      </c>
      <c r="O16" s="18" t="n">
        <v>0</v>
      </c>
      <c r="P16" s="20" t="n">
        <v>0</v>
      </c>
      <c r="Q16" s="18" t="n">
        <v>3.44698133</v>
      </c>
      <c r="R16" s="20" t="n">
        <v>0.92593922</v>
      </c>
    </row>
    <row r="17" spans="1:18">
      <c r="A17" s="15" t="s">
        <v>575</v>
      </c>
      <c r="B17" s="17" t="n">
        <v>3197</v>
      </c>
      <c r="C17" s="18">
        <f>(2545.0/B17*100)</f>
        <v/>
      </c>
      <c r="D17" s="19" t="n">
        <v>652</v>
      </c>
      <c r="E17" s="18" t="n">
        <v>26.98289155</v>
      </c>
      <c r="F17" s="20" t="n">
        <v>1.64531923</v>
      </c>
      <c r="G17" s="18" t="n">
        <v>71.10954245000001</v>
      </c>
      <c r="H17" s="20" t="n">
        <v>1.76505707</v>
      </c>
      <c r="I17" s="18" t="n">
        <v>0</v>
      </c>
      <c r="J17" s="20" t="n">
        <v>0</v>
      </c>
      <c r="K17" s="18" t="n">
        <v>0</v>
      </c>
      <c r="L17" s="20" t="n">
        <v>0</v>
      </c>
      <c r="M17" s="18" t="n">
        <v>0</v>
      </c>
      <c r="N17" s="20" t="n">
        <v>0</v>
      </c>
      <c r="O17" s="18" t="n">
        <v>0</v>
      </c>
      <c r="P17" s="20" t="n">
        <v>0</v>
      </c>
      <c r="Q17" s="18" t="n">
        <v>1.907566</v>
      </c>
      <c r="R17" s="20" t="n">
        <v>0.5941551</v>
      </c>
    </row>
    <row r="18" spans="1:18">
      <c r="A18" s="15" t="s">
        <v>576</v>
      </c>
      <c r="B18" s="17" t="n">
        <v>2706</v>
      </c>
      <c r="C18" s="18">
        <f>(2112.0/B18*100)</f>
        <v/>
      </c>
      <c r="D18" s="19" t="n">
        <v>594</v>
      </c>
      <c r="E18" s="18" t="n">
        <v>25.36286791</v>
      </c>
      <c r="F18" s="20" t="n">
        <v>1.98519317</v>
      </c>
      <c r="G18" s="18" t="n">
        <v>69.93183116</v>
      </c>
      <c r="H18" s="20" t="n">
        <v>2.10724689</v>
      </c>
      <c r="I18" s="18" t="n">
        <v>0</v>
      </c>
      <c r="J18" s="20" t="n">
        <v>0</v>
      </c>
      <c r="K18" s="18" t="n">
        <v>0.68708571</v>
      </c>
      <c r="L18" s="20" t="n">
        <v>0.38780942</v>
      </c>
      <c r="M18" s="18" t="n">
        <v>0</v>
      </c>
      <c r="N18" s="20" t="n">
        <v>0</v>
      </c>
      <c r="O18" s="18" t="n">
        <v>0</v>
      </c>
      <c r="P18" s="20" t="n">
        <v>0</v>
      </c>
      <c r="Q18" s="18" t="n">
        <v>4.01821522</v>
      </c>
      <c r="R18" s="20" t="n">
        <v>0.97499074</v>
      </c>
    </row>
    <row r="19" spans="1:18">
      <c r="A19" s="15" t="s">
        <v>577</v>
      </c>
      <c r="B19" s="17" t="n">
        <v>2850</v>
      </c>
      <c r="C19" s="18">
        <f>(2235.0/B19*100)</f>
        <v/>
      </c>
      <c r="D19" s="19" t="n">
        <v>615</v>
      </c>
      <c r="E19" s="18" t="n">
        <v>32.2129528</v>
      </c>
      <c r="F19" s="20" t="n">
        <v>1.91926247</v>
      </c>
      <c r="G19" s="18" t="n">
        <v>65.36772906</v>
      </c>
      <c r="H19" s="20" t="n">
        <v>2.16096348</v>
      </c>
      <c r="I19" s="18" t="n">
        <v>0</v>
      </c>
      <c r="J19" s="20" t="n">
        <v>0</v>
      </c>
      <c r="K19" s="18" t="n">
        <v>0</v>
      </c>
      <c r="L19" s="20" t="n">
        <v>0</v>
      </c>
      <c r="M19" s="18" t="n">
        <v>0</v>
      </c>
      <c r="N19" s="20" t="n">
        <v>0</v>
      </c>
      <c r="O19" s="18" t="n">
        <v>0</v>
      </c>
      <c r="P19" s="20" t="n">
        <v>0</v>
      </c>
      <c r="Q19" s="18" t="n">
        <v>2.41931814</v>
      </c>
      <c r="R19" s="20" t="n">
        <v>0.86024008</v>
      </c>
    </row>
    <row r="20" spans="1:18">
      <c r="A20" s="15" t="s">
        <v>578</v>
      </c>
      <c r="B20" s="17" t="n">
        <v>1741</v>
      </c>
      <c r="C20" s="18">
        <f>(1372.0/B20*100)</f>
        <v/>
      </c>
      <c r="D20" s="19" t="n">
        <v>369</v>
      </c>
      <c r="E20" s="18" t="n">
        <v>33.03870711</v>
      </c>
      <c r="F20" s="20" t="n">
        <v>2.67930484</v>
      </c>
      <c r="G20" s="18" t="n">
        <v>65.44731018</v>
      </c>
      <c r="H20" s="20" t="n">
        <v>2.59692788</v>
      </c>
      <c r="I20" s="18" t="n">
        <v>0</v>
      </c>
      <c r="J20" s="20" t="n">
        <v>0</v>
      </c>
      <c r="K20" s="18" t="n">
        <v>0</v>
      </c>
      <c r="L20" s="20" t="n">
        <v>0</v>
      </c>
      <c r="M20" s="18" t="n">
        <v>0</v>
      </c>
      <c r="N20" s="20" t="n">
        <v>0</v>
      </c>
      <c r="O20" s="18" t="n">
        <v>0</v>
      </c>
      <c r="P20" s="20" t="n">
        <v>0</v>
      </c>
      <c r="Q20" s="18" t="n">
        <v>1.51398271</v>
      </c>
      <c r="R20" s="20" t="n">
        <v>0.691931</v>
      </c>
    </row>
    <row r="21" spans="1:18">
      <c r="A21" s="15" t="s">
        <v>579</v>
      </c>
      <c r="B21" s="17" t="n">
        <v>2833</v>
      </c>
      <c r="C21" s="18">
        <f>(2211.0/B21*100)</f>
        <v/>
      </c>
      <c r="D21" s="19" t="n">
        <v>622</v>
      </c>
      <c r="E21" s="18" t="n">
        <v>31.86574795</v>
      </c>
      <c r="F21" s="20" t="n">
        <v>1.54545244</v>
      </c>
      <c r="G21" s="18" t="n">
        <v>65.88119016</v>
      </c>
      <c r="H21" s="20" t="n">
        <v>1.65956901</v>
      </c>
      <c r="I21" s="18" t="n">
        <v>0</v>
      </c>
      <c r="J21" s="20" t="n">
        <v>0</v>
      </c>
      <c r="K21" s="18" t="n">
        <v>0</v>
      </c>
      <c r="L21" s="20" t="n">
        <v>0</v>
      </c>
      <c r="M21" s="18" t="n">
        <v>0</v>
      </c>
      <c r="N21" s="20" t="n">
        <v>0</v>
      </c>
      <c r="O21" s="18" t="n">
        <v>0</v>
      </c>
      <c r="P21" s="20" t="n">
        <v>0</v>
      </c>
      <c r="Q21" s="18" t="n">
        <v>2.25306189</v>
      </c>
      <c r="R21" s="20" t="n">
        <v>0.65869481</v>
      </c>
    </row>
    <row r="22" spans="1:18">
      <c r="A22" s="15" t="s">
        <v>580</v>
      </c>
      <c r="B22" s="17" t="n">
        <v>3667</v>
      </c>
      <c r="C22" s="18">
        <f>(2864.0/B22*100)</f>
        <v/>
      </c>
      <c r="D22" s="19" t="n">
        <v>803</v>
      </c>
      <c r="E22" s="18" t="n">
        <v>29.36467104</v>
      </c>
      <c r="F22" s="20" t="n">
        <v>1.82645466</v>
      </c>
      <c r="G22" s="18" t="n">
        <v>65.03721084999999</v>
      </c>
      <c r="H22" s="20" t="n">
        <v>1.92918584</v>
      </c>
      <c r="I22" s="18" t="n">
        <v>0</v>
      </c>
      <c r="J22" s="20" t="n">
        <v>0</v>
      </c>
      <c r="K22" s="18" t="n">
        <v>0.60143273</v>
      </c>
      <c r="L22" s="20" t="n">
        <v>0.27282891</v>
      </c>
      <c r="M22" s="18" t="n">
        <v>0</v>
      </c>
      <c r="N22" s="20" t="n">
        <v>0</v>
      </c>
      <c r="O22" s="18" t="n">
        <v>0</v>
      </c>
      <c r="P22" s="20" t="n">
        <v>0</v>
      </c>
      <c r="Q22" s="18" t="n">
        <v>4.99668538</v>
      </c>
      <c r="R22" s="20" t="n">
        <v>0.93652952</v>
      </c>
    </row>
    <row r="23" spans="1:18">
      <c r="A23" s="15" t="s">
        <v>581</v>
      </c>
      <c r="B23" s="17" t="n">
        <v>5792</v>
      </c>
      <c r="C23" s="18">
        <f>(4494.0/B23*100)</f>
        <v/>
      </c>
      <c r="D23" s="19" t="n">
        <v>1298</v>
      </c>
      <c r="E23" s="18" t="n">
        <v>32.55490595</v>
      </c>
      <c r="F23" s="20" t="n">
        <v>1.7548045</v>
      </c>
      <c r="G23" s="18" t="n">
        <v>64.17806406</v>
      </c>
      <c r="H23" s="20" t="n">
        <v>1.6943767</v>
      </c>
      <c r="I23" s="18" t="n">
        <v>0</v>
      </c>
      <c r="J23" s="20" t="n">
        <v>0</v>
      </c>
      <c r="K23" s="18" t="n">
        <v>0.17648592</v>
      </c>
      <c r="L23" s="20" t="n">
        <v>0.18758034</v>
      </c>
      <c r="M23" s="18" t="n">
        <v>0</v>
      </c>
      <c r="N23" s="20" t="n">
        <v>0</v>
      </c>
      <c r="O23" s="18" t="n">
        <v>0</v>
      </c>
      <c r="P23" s="20" t="n">
        <v>0</v>
      </c>
      <c r="Q23" s="18" t="n">
        <v>3.09054407</v>
      </c>
      <c r="R23" s="20" t="n">
        <v>0.65549728</v>
      </c>
    </row>
    <row r="24" spans="1:18">
      <c r="A24" s="15" t="s">
        <v>582</v>
      </c>
      <c r="B24" s="17" t="n">
        <v>3309</v>
      </c>
      <c r="C24" s="18">
        <f>(2563.0/B24*100)</f>
        <v/>
      </c>
      <c r="D24" s="19" t="n">
        <v>746</v>
      </c>
      <c r="E24" s="18" t="n">
        <v>19.57871108</v>
      </c>
      <c r="F24" s="20" t="n">
        <v>1.67222662</v>
      </c>
      <c r="G24" s="18" t="n">
        <v>79.04114649</v>
      </c>
      <c r="H24" s="20" t="n">
        <v>1.6356886</v>
      </c>
      <c r="I24" s="18" t="n">
        <v>0</v>
      </c>
      <c r="J24" s="20" t="n">
        <v>0</v>
      </c>
      <c r="K24" s="18" t="n">
        <v>0</v>
      </c>
      <c r="L24" s="20" t="n">
        <v>0</v>
      </c>
      <c r="M24" s="18" t="n">
        <v>0</v>
      </c>
      <c r="N24" s="20" t="n">
        <v>0</v>
      </c>
      <c r="O24" s="18" t="n">
        <v>0</v>
      </c>
      <c r="P24" s="20" t="n">
        <v>0</v>
      </c>
      <c r="Q24" s="18" t="n">
        <v>1.38014243</v>
      </c>
      <c r="R24" s="20" t="n">
        <v>0.47776696</v>
      </c>
    </row>
    <row r="25" spans="1:18">
      <c r="A25" s="15" t="s">
        <v>583</v>
      </c>
      <c r="B25" s="17" t="n">
        <v>2669</v>
      </c>
      <c r="C25" s="18">
        <f>(2074.0/B25*100)</f>
        <v/>
      </c>
      <c r="D25" s="19" t="n">
        <v>595</v>
      </c>
      <c r="E25" s="18" t="n">
        <v>24.55076502</v>
      </c>
      <c r="F25" s="20" t="n">
        <v>1.95590077</v>
      </c>
      <c r="G25" s="18" t="n">
        <v>73.81255148</v>
      </c>
      <c r="H25" s="20" t="n">
        <v>2.03143537</v>
      </c>
      <c r="I25" s="18" t="n">
        <v>0</v>
      </c>
      <c r="J25" s="20" t="n">
        <v>0</v>
      </c>
      <c r="K25" s="18" t="n">
        <v>0</v>
      </c>
      <c r="L25" s="20" t="n">
        <v>0</v>
      </c>
      <c r="M25" s="18" t="n">
        <v>0</v>
      </c>
      <c r="N25" s="20" t="n">
        <v>0</v>
      </c>
      <c r="O25" s="18" t="n">
        <v>0</v>
      </c>
      <c r="P25" s="20" t="n">
        <v>0</v>
      </c>
      <c r="Q25" s="18" t="n">
        <v>1.63668349</v>
      </c>
      <c r="R25" s="20" t="n">
        <v>0.4432242</v>
      </c>
    </row>
    <row r="26" spans="1:18">
      <c r="A26" s="15" t="s">
        <v>584</v>
      </c>
      <c r="B26" s="17" t="n">
        <v>2419</v>
      </c>
      <c r="C26" s="18">
        <f>(1889.0/B26*100)</f>
        <v/>
      </c>
      <c r="D26" s="19" t="n">
        <v>530</v>
      </c>
      <c r="E26" s="18" t="n">
        <v>28.09705906</v>
      </c>
      <c r="F26" s="20" t="n">
        <v>2.64567548</v>
      </c>
      <c r="G26" s="18" t="n">
        <v>70.21240234</v>
      </c>
      <c r="H26" s="20" t="n">
        <v>2.52228461</v>
      </c>
      <c r="I26" s="18" t="n">
        <v>0</v>
      </c>
      <c r="J26" s="20" t="n">
        <v>0</v>
      </c>
      <c r="K26" s="18" t="n">
        <v>0</v>
      </c>
      <c r="L26" s="20" t="n">
        <v>0</v>
      </c>
      <c r="M26" s="18" t="n">
        <v>0</v>
      </c>
      <c r="N26" s="20" t="n">
        <v>0</v>
      </c>
      <c r="O26" s="18" t="n">
        <v>0</v>
      </c>
      <c r="P26" s="20" t="n">
        <v>0</v>
      </c>
      <c r="Q26" s="18" t="n">
        <v>1.6905386</v>
      </c>
      <c r="R26" s="20" t="n">
        <v>0.48748155</v>
      </c>
    </row>
    <row r="27" spans="1:18">
      <c r="A27" s="15" t="s">
        <v>585</v>
      </c>
      <c r="B27" s="17" t="n">
        <v>2683</v>
      </c>
      <c r="C27" s="18">
        <f>(2115.0/B27*100)</f>
        <v/>
      </c>
      <c r="D27" s="19" t="n">
        <v>568</v>
      </c>
      <c r="E27" s="18" t="n">
        <v>34.14966916</v>
      </c>
      <c r="F27" s="20" t="n">
        <v>2.16133237</v>
      </c>
      <c r="G27" s="18" t="n">
        <v>61.91938372</v>
      </c>
      <c r="H27" s="20" t="n">
        <v>2.20425964</v>
      </c>
      <c r="I27" s="18" t="n">
        <v>0</v>
      </c>
      <c r="J27" s="20" t="n">
        <v>0</v>
      </c>
      <c r="K27" s="18" t="n">
        <v>0.19334252</v>
      </c>
      <c r="L27" s="20" t="n">
        <v>0.18660597</v>
      </c>
      <c r="M27" s="18" t="n">
        <v>0</v>
      </c>
      <c r="N27" s="20" t="n">
        <v>0</v>
      </c>
      <c r="O27" s="18" t="n">
        <v>0</v>
      </c>
      <c r="P27" s="20" t="n">
        <v>0</v>
      </c>
      <c r="Q27" s="18" t="n">
        <v>3.7376046</v>
      </c>
      <c r="R27" s="20" t="n">
        <v>0.77303641</v>
      </c>
    </row>
    <row r="28" spans="1:18">
      <c r="A28" s="15" t="s">
        <v>586</v>
      </c>
      <c r="B28" s="17" t="n">
        <v>3803</v>
      </c>
      <c r="C28" s="18">
        <f>(2996.0/B28*100)</f>
        <v/>
      </c>
      <c r="D28" s="19" t="n">
        <v>807</v>
      </c>
      <c r="E28" s="18" t="n">
        <v>42.67857905</v>
      </c>
      <c r="F28" s="20" t="n">
        <v>2.28707034</v>
      </c>
      <c r="G28" s="18" t="n">
        <v>52.47293612</v>
      </c>
      <c r="H28" s="20" t="n">
        <v>2.15819708</v>
      </c>
      <c r="I28" s="18" t="n">
        <v>0</v>
      </c>
      <c r="J28" s="20" t="n">
        <v>0</v>
      </c>
      <c r="K28" s="18" t="n">
        <v>0.13523583</v>
      </c>
      <c r="L28" s="20" t="n">
        <v>0.13553564</v>
      </c>
      <c r="M28" s="18" t="n">
        <v>0</v>
      </c>
      <c r="N28" s="20" t="n">
        <v>0</v>
      </c>
      <c r="O28" s="18" t="n">
        <v>0</v>
      </c>
      <c r="P28" s="20" t="n">
        <v>0</v>
      </c>
      <c r="Q28" s="18" t="n">
        <v>4.71324899</v>
      </c>
      <c r="R28" s="20" t="n">
        <v>0.81156387</v>
      </c>
    </row>
    <row r="29" spans="1:18">
      <c r="A29" s="15" t="s">
        <v>587</v>
      </c>
      <c r="B29" s="17" t="n">
        <v>2700</v>
      </c>
      <c r="C29" s="18">
        <f>(2127.0/B29*100)</f>
        <v/>
      </c>
      <c r="D29" s="19" t="n">
        <v>573</v>
      </c>
      <c r="E29" s="18" t="n">
        <v>33.80761589</v>
      </c>
      <c r="F29" s="20" t="n">
        <v>1.66869377</v>
      </c>
      <c r="G29" s="18" t="n">
        <v>63.62703423</v>
      </c>
      <c r="H29" s="20" t="n">
        <v>1.77790827</v>
      </c>
      <c r="I29" s="18" t="n">
        <v>0</v>
      </c>
      <c r="J29" s="20" t="n">
        <v>0</v>
      </c>
      <c r="K29" s="18" t="n">
        <v>0</v>
      </c>
      <c r="L29" s="20" t="n">
        <v>0</v>
      </c>
      <c r="M29" s="18" t="n">
        <v>0</v>
      </c>
      <c r="N29" s="20" t="n">
        <v>0</v>
      </c>
      <c r="O29" s="18" t="n">
        <v>0</v>
      </c>
      <c r="P29" s="20" t="n">
        <v>0</v>
      </c>
      <c r="Q29" s="18" t="n">
        <v>2.56534987</v>
      </c>
      <c r="R29" s="20" t="n">
        <v>0.60019333</v>
      </c>
    </row>
    <row r="30" spans="1:18">
      <c r="A30" s="15" t="s">
        <v>588</v>
      </c>
      <c r="B30" s="17" t="n">
        <v>2257</v>
      </c>
      <c r="C30" s="18">
        <f>(1769.0/B30*100)</f>
        <v/>
      </c>
      <c r="D30" s="19" t="n">
        <v>488</v>
      </c>
      <c r="E30" s="18" t="n">
        <v>24.47520586</v>
      </c>
      <c r="F30" s="20" t="n">
        <v>1.83679815</v>
      </c>
      <c r="G30" s="18" t="n">
        <v>73.87051039000001</v>
      </c>
      <c r="H30" s="20" t="n">
        <v>1.89200548</v>
      </c>
      <c r="I30" s="18" t="n">
        <v>0</v>
      </c>
      <c r="J30" s="20" t="n">
        <v>0</v>
      </c>
      <c r="K30" s="18" t="n">
        <v>0.23346082</v>
      </c>
      <c r="L30" s="20" t="n">
        <v>0.26777383</v>
      </c>
      <c r="M30" s="18" t="n">
        <v>0</v>
      </c>
      <c r="N30" s="20" t="n">
        <v>0</v>
      </c>
      <c r="O30" s="18" t="n">
        <v>0</v>
      </c>
      <c r="P30" s="20" t="n">
        <v>0</v>
      </c>
      <c r="Q30" s="18" t="n">
        <v>1.42082294</v>
      </c>
      <c r="R30" s="20" t="n">
        <v>0.47236005</v>
      </c>
    </row>
    <row r="31" spans="1:18">
      <c r="A31" s="15" t="s">
        <v>589</v>
      </c>
      <c r="B31" s="17" t="n">
        <v>2706</v>
      </c>
      <c r="C31" s="18">
        <f>(2126.0/B31*100)</f>
        <v/>
      </c>
      <c r="D31" s="19" t="n">
        <v>580</v>
      </c>
      <c r="E31" s="18" t="n">
        <v>27.30248956</v>
      </c>
      <c r="F31" s="20" t="n">
        <v>1.77420642</v>
      </c>
      <c r="G31" s="18" t="n">
        <v>70.26738443000001</v>
      </c>
      <c r="H31" s="20" t="n">
        <v>1.89622785</v>
      </c>
      <c r="I31" s="18" t="n">
        <v>0</v>
      </c>
      <c r="J31" s="20" t="n">
        <v>0</v>
      </c>
      <c r="K31" s="18" t="n">
        <v>0</v>
      </c>
      <c r="L31" s="20" t="n">
        <v>0</v>
      </c>
      <c r="M31" s="18" t="n">
        <v>0</v>
      </c>
      <c r="N31" s="20" t="n">
        <v>0</v>
      </c>
      <c r="O31" s="18" t="n">
        <v>0</v>
      </c>
      <c r="P31" s="20" t="n">
        <v>0</v>
      </c>
      <c r="Q31" s="18" t="n">
        <v>2.43012601</v>
      </c>
      <c r="R31" s="20" t="n">
        <v>0.7180257</v>
      </c>
    </row>
    <row r="32" spans="1:18">
      <c r="A32" s="15" t="s">
        <v>590</v>
      </c>
      <c r="B32" s="17" t="n">
        <v>2209</v>
      </c>
      <c r="C32" s="18">
        <f>(1688.0/B32*100)</f>
        <v/>
      </c>
      <c r="D32" s="19" t="n">
        <v>521</v>
      </c>
      <c r="E32" s="18" t="n">
        <v>30.27304441</v>
      </c>
      <c r="F32" s="20" t="n">
        <v>2.33629302</v>
      </c>
      <c r="G32" s="18" t="n">
        <v>68.14226444000001</v>
      </c>
      <c r="H32" s="20" t="n">
        <v>2.31635833</v>
      </c>
      <c r="I32" s="18" t="n">
        <v>0</v>
      </c>
      <c r="J32" s="20" t="n">
        <v>0</v>
      </c>
      <c r="K32" s="18" t="n">
        <v>0</v>
      </c>
      <c r="L32" s="20" t="n">
        <v>0</v>
      </c>
      <c r="M32" s="18" t="n">
        <v>0</v>
      </c>
      <c r="N32" s="20" t="n">
        <v>0</v>
      </c>
      <c r="O32" s="18" t="n">
        <v>0</v>
      </c>
      <c r="P32" s="20" t="n">
        <v>0</v>
      </c>
      <c r="Q32" s="18" t="n">
        <v>1.58469114</v>
      </c>
      <c r="R32" s="20" t="n">
        <v>0.80133208</v>
      </c>
    </row>
    <row r="33" spans="1:18">
      <c r="A33" s="15" t="s">
        <v>591</v>
      </c>
      <c r="B33" s="17" t="n">
        <v>3651</v>
      </c>
      <c r="C33" s="18">
        <f>(2803.0/B33*100)</f>
        <v/>
      </c>
      <c r="D33" s="19" t="n">
        <v>848</v>
      </c>
      <c r="E33" s="18" t="n">
        <v>27.84505569</v>
      </c>
      <c r="F33" s="20" t="n">
        <v>1.81479236</v>
      </c>
      <c r="G33" s="18" t="n">
        <v>70.52222542</v>
      </c>
      <c r="H33" s="20" t="n">
        <v>1.81119966</v>
      </c>
      <c r="I33" s="18" t="n">
        <v>0</v>
      </c>
      <c r="J33" s="20" t="n">
        <v>0</v>
      </c>
      <c r="K33" s="18" t="n">
        <v>0.14902542</v>
      </c>
      <c r="L33" s="20" t="n">
        <v>0.1651583</v>
      </c>
      <c r="M33" s="18" t="n">
        <v>0</v>
      </c>
      <c r="N33" s="20" t="n">
        <v>0</v>
      </c>
      <c r="O33" s="18" t="n">
        <v>0</v>
      </c>
      <c r="P33" s="20" t="n">
        <v>0</v>
      </c>
      <c r="Q33" s="18" t="n">
        <v>1.48369347</v>
      </c>
      <c r="R33" s="20" t="n">
        <v>0.49285577</v>
      </c>
    </row>
    <row r="34" spans="1:18">
      <c r="A34" s="15" t="s">
        <v>592</v>
      </c>
      <c r="B34" s="17" t="n">
        <v>3035</v>
      </c>
      <c r="C34" s="18">
        <f>(2409.0/B34*100)</f>
        <v/>
      </c>
      <c r="D34" s="19" t="n">
        <v>626</v>
      </c>
      <c r="E34" s="18" t="n">
        <v>32.7834979</v>
      </c>
      <c r="F34" s="20" t="n">
        <v>1.77083484</v>
      </c>
      <c r="G34" s="18" t="n">
        <v>64.90248359</v>
      </c>
      <c r="H34" s="20" t="n">
        <v>1.88620562</v>
      </c>
      <c r="I34" s="18" t="n">
        <v>0</v>
      </c>
      <c r="J34" s="20" t="n">
        <v>0</v>
      </c>
      <c r="K34" s="18" t="n">
        <v>0</v>
      </c>
      <c r="L34" s="20" t="n">
        <v>0</v>
      </c>
      <c r="M34" s="18" t="n">
        <v>0</v>
      </c>
      <c r="N34" s="20" t="n">
        <v>0</v>
      </c>
      <c r="O34" s="18" t="n">
        <v>0</v>
      </c>
      <c r="P34" s="20" t="n">
        <v>0</v>
      </c>
      <c r="Q34" s="18" t="n">
        <v>2.31401851</v>
      </c>
      <c r="R34" s="20" t="n">
        <v>0.6194198</v>
      </c>
    </row>
    <row r="35" spans="1:18">
      <c r="A35" s="15" t="s">
        <v>593</v>
      </c>
      <c r="B35" s="17" t="n">
        <v>2901</v>
      </c>
      <c r="C35" s="18">
        <f>(2281.0/B35*100)</f>
        <v/>
      </c>
      <c r="D35" s="19" t="n">
        <v>620</v>
      </c>
      <c r="E35" s="18" t="n">
        <v>28.71821224</v>
      </c>
      <c r="F35" s="20" t="n">
        <v>2.22976784</v>
      </c>
      <c r="G35" s="18" t="n">
        <v>69.26938702</v>
      </c>
      <c r="H35" s="20" t="n">
        <v>2.29074235</v>
      </c>
      <c r="I35" s="18" t="n">
        <v>0</v>
      </c>
      <c r="J35" s="20" t="n">
        <v>0</v>
      </c>
      <c r="K35" s="18" t="n">
        <v>0</v>
      </c>
      <c r="L35" s="20" t="n">
        <v>0</v>
      </c>
      <c r="M35" s="18" t="n">
        <v>0</v>
      </c>
      <c r="N35" s="20" t="n">
        <v>0</v>
      </c>
      <c r="O35" s="18" t="n">
        <v>0</v>
      </c>
      <c r="P35" s="20" t="n">
        <v>0</v>
      </c>
      <c r="Q35" s="18" t="n">
        <v>2.01240074</v>
      </c>
      <c r="R35" s="20" t="n">
        <v>0.68337453</v>
      </c>
    </row>
    <row r="36" spans="1:18">
      <c r="A36" s="15" t="s">
        <v>594</v>
      </c>
      <c r="B36" s="17" t="n">
        <v>3404</v>
      </c>
      <c r="C36" s="18">
        <f>(2622.0/B36*100)</f>
        <v/>
      </c>
      <c r="D36" s="19" t="n">
        <v>782</v>
      </c>
      <c r="E36" s="18" t="n">
        <v>22.6494289</v>
      </c>
      <c r="F36" s="20" t="n">
        <v>1.62554159</v>
      </c>
      <c r="G36" s="18" t="n">
        <v>75.4189499</v>
      </c>
      <c r="H36" s="20" t="n">
        <v>1.68303637</v>
      </c>
      <c r="I36" s="18" t="n">
        <v>0</v>
      </c>
      <c r="J36" s="20" t="n">
        <v>0</v>
      </c>
      <c r="K36" s="18" t="n">
        <v>0.21010008</v>
      </c>
      <c r="L36" s="20" t="n">
        <v>0.1879807</v>
      </c>
      <c r="M36" s="18" t="n">
        <v>0</v>
      </c>
      <c r="N36" s="20" t="n">
        <v>0</v>
      </c>
      <c r="O36" s="18" t="n">
        <v>0</v>
      </c>
      <c r="P36" s="20" t="n">
        <v>0</v>
      </c>
      <c r="Q36" s="18" t="n">
        <v>1.72152111</v>
      </c>
      <c r="R36" s="20" t="n">
        <v>0.44122323</v>
      </c>
    </row>
    <row r="37" spans="1:18">
      <c r="A37" s="15" t="s">
        <v>595</v>
      </c>
      <c r="B37" s="17" t="n">
        <v>2731</v>
      </c>
      <c r="C37" s="18">
        <f>(2116.0/B37*100)</f>
        <v/>
      </c>
      <c r="D37" s="19" t="n">
        <v>615</v>
      </c>
      <c r="E37" s="18" t="n">
        <v>32.38433753</v>
      </c>
      <c r="F37" s="20" t="n">
        <v>1.869544</v>
      </c>
      <c r="G37" s="18" t="n">
        <v>63.56842278</v>
      </c>
      <c r="H37" s="20" t="n">
        <v>1.93708614</v>
      </c>
      <c r="I37" s="18" t="n">
        <v>0</v>
      </c>
      <c r="J37" s="20" t="n">
        <v>0</v>
      </c>
      <c r="K37" s="18" t="n">
        <v>0.17772342</v>
      </c>
      <c r="L37" s="20" t="n">
        <v>0.17614612</v>
      </c>
      <c r="M37" s="18" t="n">
        <v>0</v>
      </c>
      <c r="N37" s="20" t="n">
        <v>0</v>
      </c>
      <c r="O37" s="18" t="n">
        <v>0</v>
      </c>
      <c r="P37" s="20" t="n">
        <v>0</v>
      </c>
      <c r="Q37" s="18" t="n">
        <v>3.86951628</v>
      </c>
      <c r="R37" s="20" t="n">
        <v>0.6149593800000001</v>
      </c>
    </row>
    <row r="38" spans="1:18">
      <c r="A38" s="15" t="s">
        <v>596</v>
      </c>
      <c r="B38" s="17" t="n">
        <v>2807</v>
      </c>
      <c r="C38" s="18">
        <f>(2175.0/B38*100)</f>
        <v/>
      </c>
      <c r="D38" s="19" t="n">
        <v>632</v>
      </c>
      <c r="E38" s="18" t="n">
        <v>28.47998378</v>
      </c>
      <c r="F38" s="20" t="n">
        <v>1.81492579</v>
      </c>
      <c r="G38" s="18" t="n">
        <v>68.66741618</v>
      </c>
      <c r="H38" s="20" t="n">
        <v>1.95046563</v>
      </c>
      <c r="I38" s="18" t="n">
        <v>0</v>
      </c>
      <c r="J38" s="20" t="n">
        <v>0</v>
      </c>
      <c r="K38" s="18" t="n">
        <v>0</v>
      </c>
      <c r="L38" s="20" t="n">
        <v>0</v>
      </c>
      <c r="M38" s="18" t="n">
        <v>0</v>
      </c>
      <c r="N38" s="20" t="n">
        <v>0</v>
      </c>
      <c r="O38" s="18" t="n">
        <v>0</v>
      </c>
      <c r="P38" s="20" t="n">
        <v>0</v>
      </c>
      <c r="Q38" s="18" t="n">
        <v>2.85260004</v>
      </c>
      <c r="R38" s="20" t="n">
        <v>0.9373223899999999</v>
      </c>
    </row>
    <row r="39" spans="1:18">
      <c r="A39" s="15" t="s">
        <v>597</v>
      </c>
      <c r="B39" s="17" t="n">
        <v>2938</v>
      </c>
      <c r="C39" s="18">
        <f>(2259.0/B39*100)</f>
        <v/>
      </c>
      <c r="D39" s="19" t="n">
        <v>679</v>
      </c>
      <c r="E39" s="18" t="n">
        <v>44.99582568</v>
      </c>
      <c r="F39" s="20" t="n">
        <v>1.84810908</v>
      </c>
      <c r="G39" s="18" t="n">
        <v>49.77716493</v>
      </c>
      <c r="H39" s="20" t="n">
        <v>1.92362944</v>
      </c>
      <c r="I39" s="18" t="n">
        <v>0</v>
      </c>
      <c r="J39" s="20" t="n">
        <v>0</v>
      </c>
      <c r="K39" s="18" t="n">
        <v>0</v>
      </c>
      <c r="L39" s="20" t="n">
        <v>0</v>
      </c>
      <c r="M39" s="18" t="n">
        <v>0</v>
      </c>
      <c r="N39" s="20" t="n">
        <v>0</v>
      </c>
      <c r="O39" s="18" t="n">
        <v>0</v>
      </c>
      <c r="P39" s="20" t="n">
        <v>0</v>
      </c>
      <c r="Q39" s="18" t="n">
        <v>5.2270094</v>
      </c>
      <c r="R39" s="20" t="n">
        <v>1.18793128</v>
      </c>
    </row>
    <row r="40" spans="1:18">
      <c r="A40" s="15" t="s">
        <v>598</v>
      </c>
      <c r="B40" s="17" t="n">
        <v>6922</v>
      </c>
      <c r="C40" s="18">
        <f>(5383.0/B40*100)</f>
        <v/>
      </c>
      <c r="D40" s="19" t="n">
        <v>1539</v>
      </c>
      <c r="E40" s="18" t="n">
        <v>28.53278363</v>
      </c>
      <c r="F40" s="20" t="n">
        <v>1.73850148</v>
      </c>
      <c r="G40" s="18" t="n">
        <v>68.92180126</v>
      </c>
      <c r="H40" s="20" t="n">
        <v>1.77555351</v>
      </c>
      <c r="I40" s="18" t="n">
        <v>0</v>
      </c>
      <c r="J40" s="20" t="n">
        <v>0</v>
      </c>
      <c r="K40" s="18" t="n">
        <v>0.14303947</v>
      </c>
      <c r="L40" s="20" t="n">
        <v>0.11435245</v>
      </c>
      <c r="M40" s="18" t="n">
        <v>0</v>
      </c>
      <c r="N40" s="20" t="n">
        <v>0</v>
      </c>
      <c r="O40" s="18" t="n">
        <v>0</v>
      </c>
      <c r="P40" s="20" t="n">
        <v>0</v>
      </c>
      <c r="Q40" s="18" t="n">
        <v>2.40237564</v>
      </c>
      <c r="R40" s="20" t="n">
        <v>0.57849347</v>
      </c>
    </row>
    <row r="41" spans="1:18">
      <c r="A41" s="15" t="s">
        <v>599</v>
      </c>
      <c r="B41" s="17" t="n">
        <v>2854</v>
      </c>
      <c r="C41" s="18">
        <f>(2228.0/B41*100)</f>
        <v/>
      </c>
      <c r="D41" s="19" t="n">
        <v>626</v>
      </c>
      <c r="E41" s="18" t="n">
        <v>29.1532927</v>
      </c>
      <c r="F41" s="20" t="n">
        <v>1.67468971</v>
      </c>
      <c r="G41" s="18" t="n">
        <v>68.59838310000001</v>
      </c>
      <c r="H41" s="20" t="n">
        <v>1.91128763</v>
      </c>
      <c r="I41" s="18" t="n">
        <v>0</v>
      </c>
      <c r="J41" s="20" t="n">
        <v>0</v>
      </c>
      <c r="K41" s="18" t="n">
        <v>0</v>
      </c>
      <c r="L41" s="20" t="n">
        <v>0</v>
      </c>
      <c r="M41" s="18" t="n">
        <v>0</v>
      </c>
      <c r="N41" s="20" t="n">
        <v>0</v>
      </c>
      <c r="O41" s="18" t="n">
        <v>0</v>
      </c>
      <c r="P41" s="20" t="n">
        <v>0</v>
      </c>
      <c r="Q41" s="18" t="n">
        <v>2.2483242</v>
      </c>
      <c r="R41" s="20" t="n">
        <v>0.91991647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(9688.0/B46*100)</f>
        <v/>
      </c>
      <c r="D46" s="19" t="n">
        <v>2385</v>
      </c>
      <c r="E46" s="18" t="n">
        <v>38.46122709</v>
      </c>
      <c r="F46" s="20" t="n">
        <v>1.4571006</v>
      </c>
      <c r="G46" s="18" t="n">
        <v>51.09092277</v>
      </c>
      <c r="H46" s="20" t="n">
        <v>1.56749371</v>
      </c>
      <c r="I46" s="18" t="n">
        <v>0</v>
      </c>
      <c r="J46" s="20" t="n">
        <v>0</v>
      </c>
      <c r="K46" s="18" t="n">
        <v>0.52157588</v>
      </c>
      <c r="L46" s="20" t="n">
        <v>0.2614737</v>
      </c>
      <c r="M46" s="18" t="n">
        <v>0</v>
      </c>
      <c r="N46" s="20" t="n">
        <v>0</v>
      </c>
      <c r="O46" s="18" t="n">
        <v>0</v>
      </c>
      <c r="P46" s="20" t="n">
        <v>0</v>
      </c>
      <c r="Q46" s="18" t="n">
        <v>9.92627426</v>
      </c>
      <c r="R46" s="20" t="n">
        <v>0.91232518</v>
      </c>
    </row>
    <row r="47" spans="1:18">
      <c r="A47" s="15" t="s">
        <v>606</v>
      </c>
      <c r="B47" s="17" t="n">
        <v>2823</v>
      </c>
      <c r="C47" s="18">
        <f>(2209.0/B47*100)</f>
        <v/>
      </c>
      <c r="D47" s="19" t="n">
        <v>614</v>
      </c>
      <c r="E47" s="18" t="n">
        <v>33.65510761</v>
      </c>
      <c r="F47" s="20" t="n">
        <v>1.99512984</v>
      </c>
      <c r="G47" s="18" t="n">
        <v>60.74581602</v>
      </c>
      <c r="H47" s="20" t="n">
        <v>2.28913177</v>
      </c>
      <c r="I47" s="18" t="n">
        <v>0</v>
      </c>
      <c r="J47" s="20" t="n">
        <v>0</v>
      </c>
      <c r="K47" s="18" t="n">
        <v>0.79281921</v>
      </c>
      <c r="L47" s="20" t="n">
        <v>0.42704931</v>
      </c>
      <c r="M47" s="18" t="n">
        <v>0</v>
      </c>
      <c r="N47" s="20" t="n">
        <v>0</v>
      </c>
      <c r="O47" s="18" t="n">
        <v>0</v>
      </c>
      <c r="P47" s="20" t="n">
        <v>0</v>
      </c>
      <c r="Q47" s="18" t="n">
        <v>4.80625716</v>
      </c>
      <c r="R47" s="20" t="n">
        <v>1.07132888</v>
      </c>
    </row>
    <row r="48" spans="1:18">
      <c r="A48" s="15" t="s">
        <v>607</v>
      </c>
      <c r="B48" s="17" t="n">
        <v>4682</v>
      </c>
      <c r="C48" s="18">
        <f>(3641.0/B48*100)</f>
        <v/>
      </c>
      <c r="D48" s="19" t="n">
        <v>1041</v>
      </c>
      <c r="E48" s="18" t="n">
        <v>18.70439787</v>
      </c>
      <c r="F48" s="20" t="n">
        <v>1.66464139</v>
      </c>
      <c r="G48" s="18" t="n">
        <v>78.86759608</v>
      </c>
      <c r="H48" s="20" t="n">
        <v>1.65112829</v>
      </c>
      <c r="I48" s="18" t="n">
        <v>0</v>
      </c>
      <c r="J48" s="20" t="n">
        <v>0</v>
      </c>
      <c r="K48" s="18" t="n">
        <v>0.2986421</v>
      </c>
      <c r="L48" s="20" t="n">
        <v>0.2116792</v>
      </c>
      <c r="M48" s="18" t="n">
        <v>0</v>
      </c>
      <c r="N48" s="20" t="n">
        <v>0</v>
      </c>
      <c r="O48" s="18" t="n">
        <v>0</v>
      </c>
      <c r="P48" s="20" t="n">
        <v>0</v>
      </c>
      <c r="Q48" s="18" t="n">
        <v>2.12936395</v>
      </c>
      <c r="R48" s="20" t="n">
        <v>0.59166062</v>
      </c>
    </row>
    <row r="49" spans="1:18">
      <c r="A49" s="15" t="s">
        <v>608</v>
      </c>
      <c r="B49" s="17" t="n">
        <v>6158</v>
      </c>
      <c r="C49" s="18">
        <f>(4818.0/B49*100)</f>
        <v/>
      </c>
      <c r="D49" s="19" t="n">
        <v>1340</v>
      </c>
      <c r="E49" s="18" t="n">
        <v>37.86195812</v>
      </c>
      <c r="F49" s="20" t="n">
        <v>1.75561384</v>
      </c>
      <c r="G49" s="18" t="n">
        <v>55.06448774</v>
      </c>
      <c r="H49" s="20" t="n">
        <v>1.88868387</v>
      </c>
      <c r="I49" s="18" t="n">
        <v>0</v>
      </c>
      <c r="J49" s="20" t="n">
        <v>0</v>
      </c>
      <c r="K49" s="18" t="n">
        <v>0.6557529</v>
      </c>
      <c r="L49" s="20" t="n">
        <v>0.27059287</v>
      </c>
      <c r="M49" s="18" t="n">
        <v>0</v>
      </c>
      <c r="N49" s="20" t="n">
        <v>0</v>
      </c>
      <c r="O49" s="18" t="n">
        <v>0</v>
      </c>
      <c r="P49" s="20" t="n">
        <v>0</v>
      </c>
      <c r="Q49" s="18" t="n">
        <v>6.41780123</v>
      </c>
      <c r="R49" s="20" t="n">
        <v>1.10465514</v>
      </c>
    </row>
    <row r="50" spans="1:18">
      <c r="A50" s="15" t="s">
        <v>609</v>
      </c>
      <c r="B50" s="17" t="n">
        <v>3494</v>
      </c>
      <c r="C50" s="18">
        <f>(2798.0/B50*100)</f>
        <v/>
      </c>
      <c r="D50" s="19" t="n">
        <v>696</v>
      </c>
      <c r="E50" s="18" t="n">
        <v>36.73631735</v>
      </c>
      <c r="F50" s="20" t="n">
        <v>1.81957593</v>
      </c>
      <c r="G50" s="18" t="n">
        <v>57.27997032</v>
      </c>
      <c r="H50" s="20" t="n">
        <v>1.9962127</v>
      </c>
      <c r="I50" s="18" t="n">
        <v>0</v>
      </c>
      <c r="J50" s="20" t="n">
        <v>0</v>
      </c>
      <c r="K50" s="18" t="n">
        <v>0</v>
      </c>
      <c r="L50" s="20" t="n">
        <v>0</v>
      </c>
      <c r="M50" s="18" t="n">
        <v>0</v>
      </c>
      <c r="N50" s="20" t="n">
        <v>0</v>
      </c>
      <c r="O50" s="18" t="n">
        <v>0</v>
      </c>
      <c r="P50" s="20" t="n">
        <v>0</v>
      </c>
      <c r="Q50" s="18" t="n">
        <v>5.98371233</v>
      </c>
      <c r="R50" s="20" t="n">
        <v>1.01768889</v>
      </c>
    </row>
    <row r="51" spans="1:18">
      <c r="A51" s="15" t="s">
        <v>610</v>
      </c>
      <c r="B51" s="17" t="n">
        <v>3013</v>
      </c>
      <c r="C51" s="18">
        <f>(2334.0/B51*100)</f>
        <v/>
      </c>
      <c r="D51" s="19" t="n">
        <v>679</v>
      </c>
      <c r="E51" s="18" t="n">
        <v>26.57644937</v>
      </c>
      <c r="F51" s="20" t="n">
        <v>1.66360135</v>
      </c>
      <c r="G51" s="18" t="n">
        <v>70.03228041</v>
      </c>
      <c r="H51" s="20" t="n">
        <v>1.74299866</v>
      </c>
      <c r="I51" s="18" t="n">
        <v>0</v>
      </c>
      <c r="J51" s="20" t="n">
        <v>0</v>
      </c>
      <c r="K51" s="18" t="n">
        <v>0</v>
      </c>
      <c r="L51" s="20" t="n">
        <v>0</v>
      </c>
      <c r="M51" s="18" t="n">
        <v>0</v>
      </c>
      <c r="N51" s="20" t="n">
        <v>0</v>
      </c>
      <c r="O51" s="18" t="n">
        <v>0</v>
      </c>
      <c r="P51" s="20" t="n">
        <v>0</v>
      </c>
      <c r="Q51" s="18" t="n">
        <v>3.39127022</v>
      </c>
      <c r="R51" s="20" t="n">
        <v>0.60581118</v>
      </c>
    </row>
    <row r="52" spans="1:18">
      <c r="A52" s="15" t="s">
        <v>611</v>
      </c>
      <c r="B52" s="17" t="n">
        <v>2760</v>
      </c>
      <c r="C52" s="18">
        <f>(2125.0/B52*100)</f>
        <v/>
      </c>
      <c r="D52" s="19" t="n">
        <v>635</v>
      </c>
      <c r="E52" s="18" t="n">
        <v>28.66679698</v>
      </c>
      <c r="F52" s="20" t="n">
        <v>1.77304884</v>
      </c>
      <c r="G52" s="18" t="n">
        <v>65.99092381</v>
      </c>
      <c r="H52" s="20" t="n">
        <v>1.94437198</v>
      </c>
      <c r="I52" s="18" t="n">
        <v>0</v>
      </c>
      <c r="J52" s="20" t="n">
        <v>0</v>
      </c>
      <c r="K52" s="18" t="n">
        <v>0.11243952</v>
      </c>
      <c r="L52" s="20" t="n">
        <v>0.1131719</v>
      </c>
      <c r="M52" s="18" t="n">
        <v>0</v>
      </c>
      <c r="N52" s="20" t="n">
        <v>0</v>
      </c>
      <c r="O52" s="18" t="n">
        <v>0</v>
      </c>
      <c r="P52" s="20" t="n">
        <v>0</v>
      </c>
      <c r="Q52" s="18" t="n">
        <v>5.22983969</v>
      </c>
      <c r="R52" s="20" t="n">
        <v>0.83339992</v>
      </c>
    </row>
    <row r="53" spans="1:18">
      <c r="A53" s="15" t="s">
        <v>612</v>
      </c>
      <c r="B53" s="17" t="n">
        <v>2474</v>
      </c>
      <c r="C53" s="18">
        <f>(1950.0/B53*100)</f>
        <v/>
      </c>
      <c r="D53" s="19" t="n">
        <v>524</v>
      </c>
      <c r="E53" s="18" t="n">
        <v>42.15175036</v>
      </c>
      <c r="F53" s="20" t="n">
        <v>2.3311005</v>
      </c>
      <c r="G53" s="18" t="n">
        <v>30.16023659</v>
      </c>
      <c r="H53" s="20" t="n">
        <v>2.28088449</v>
      </c>
      <c r="I53" s="18" t="n">
        <v>0</v>
      </c>
      <c r="J53" s="20" t="n">
        <v>0</v>
      </c>
      <c r="K53" s="18" t="n">
        <v>6.05987187</v>
      </c>
      <c r="L53" s="20" t="n">
        <v>1.21426843</v>
      </c>
      <c r="M53" s="18" t="n">
        <v>0</v>
      </c>
      <c r="N53" s="20" t="n">
        <v>0</v>
      </c>
      <c r="O53" s="18" t="n">
        <v>0</v>
      </c>
      <c r="P53" s="20" t="n">
        <v>0</v>
      </c>
      <c r="Q53" s="18" t="n">
        <v>21.62814118</v>
      </c>
      <c r="R53" s="20" t="n">
        <v>2.05609219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(2077.0/B55*100)</f>
        <v/>
      </c>
      <c r="D55" s="19" t="n">
        <v>598</v>
      </c>
      <c r="E55" s="18" t="n">
        <v>19.36568126</v>
      </c>
      <c r="F55" s="20" t="n">
        <v>1.99072934</v>
      </c>
      <c r="G55" s="18" t="n">
        <v>79.05125784000001</v>
      </c>
      <c r="H55" s="20" t="n">
        <v>2.09271398</v>
      </c>
      <c r="I55" s="18" t="n">
        <v>0</v>
      </c>
      <c r="J55" s="20" t="n">
        <v>0</v>
      </c>
      <c r="K55" s="18" t="n">
        <v>0.32827943</v>
      </c>
      <c r="L55" s="20" t="n">
        <v>0.31542229</v>
      </c>
      <c r="M55" s="18" t="n">
        <v>0</v>
      </c>
      <c r="N55" s="20" t="n">
        <v>0</v>
      </c>
      <c r="O55" s="18" t="n">
        <v>0</v>
      </c>
      <c r="P55" s="20" t="n">
        <v>0</v>
      </c>
      <c r="Q55" s="18" t="n">
        <v>1.25478147</v>
      </c>
      <c r="R55" s="20" t="n">
        <v>0.3569351</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(2484.0/B61*100)</f>
        <v/>
      </c>
      <c r="D61" s="19" t="n">
        <v>717</v>
      </c>
      <c r="E61" s="18" t="n">
        <v>25.97046423</v>
      </c>
      <c r="F61" s="20" t="n">
        <v>1.9511691</v>
      </c>
      <c r="G61" s="18" t="n">
        <v>71.91450066</v>
      </c>
      <c r="H61" s="20" t="n">
        <v>1.94636398</v>
      </c>
      <c r="I61" s="18" t="n">
        <v>0</v>
      </c>
      <c r="J61" s="20" t="n">
        <v>0</v>
      </c>
      <c r="K61" s="18" t="n">
        <v>0.1802263</v>
      </c>
      <c r="L61" s="20" t="n">
        <v>0.1853885</v>
      </c>
      <c r="M61" s="18" t="n">
        <v>0</v>
      </c>
      <c r="N61" s="20" t="n">
        <v>0</v>
      </c>
      <c r="O61" s="18" t="n">
        <v>0</v>
      </c>
      <c r="P61" s="20" t="n">
        <v>0</v>
      </c>
      <c r="Q61" s="18" t="n">
        <v>1.93480881</v>
      </c>
      <c r="R61" s="20" t="n">
        <v>0.5380168400000001</v>
      </c>
    </row>
    <row r="62" spans="1:18">
      <c r="A62" s="15" t="s">
        <v>622</v>
      </c>
      <c r="B62" s="17" t="n">
        <v>2230</v>
      </c>
      <c r="C62" s="18">
        <f>(1723.0/B62*100)</f>
        <v/>
      </c>
      <c r="D62" s="19" t="n">
        <v>507</v>
      </c>
      <c r="E62" s="18" t="n">
        <v>18.69494016</v>
      </c>
      <c r="F62" s="20" t="n">
        <v>1.79802358</v>
      </c>
      <c r="G62" s="18" t="n">
        <v>81.10066322999999</v>
      </c>
      <c r="H62" s="20" t="n">
        <v>1.86016612</v>
      </c>
      <c r="I62" s="18" t="n">
        <v>0</v>
      </c>
      <c r="J62" s="20" t="n">
        <v>0</v>
      </c>
      <c r="K62" s="18" t="n">
        <v>0</v>
      </c>
      <c r="L62" s="20" t="n">
        <v>0</v>
      </c>
      <c r="M62" s="18" t="n">
        <v>0</v>
      </c>
      <c r="N62" s="20" t="n">
        <v>0</v>
      </c>
      <c r="O62" s="18" t="n">
        <v>0</v>
      </c>
      <c r="P62" s="20" t="n">
        <v>0</v>
      </c>
      <c r="Q62" s="18" t="n">
        <v>0.20439661</v>
      </c>
      <c r="R62" s="20" t="n">
        <v>0.20330009</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(2185.0/B67*100)</f>
        <v/>
      </c>
      <c r="D67" s="19" t="n">
        <v>586</v>
      </c>
      <c r="E67" s="18" t="n">
        <v>35.37892154</v>
      </c>
      <c r="F67" s="20" t="n">
        <v>2.13245932</v>
      </c>
      <c r="G67" s="18" t="n">
        <v>55.65459919</v>
      </c>
      <c r="H67" s="20" t="n">
        <v>2.16721851</v>
      </c>
      <c r="I67" s="18" t="n">
        <v>0</v>
      </c>
      <c r="J67" s="20" t="n">
        <v>0</v>
      </c>
      <c r="K67" s="18" t="n">
        <v>0.38378451</v>
      </c>
      <c r="L67" s="20" t="n">
        <v>0.28066022</v>
      </c>
      <c r="M67" s="18" t="n">
        <v>0</v>
      </c>
      <c r="N67" s="20" t="n">
        <v>0</v>
      </c>
      <c r="O67" s="18" t="n">
        <v>0</v>
      </c>
      <c r="P67" s="20" t="n">
        <v>0</v>
      </c>
      <c r="Q67" s="18" t="n">
        <v>8.582694760000001</v>
      </c>
      <c r="R67" s="20" t="n">
        <v>1.05751553</v>
      </c>
    </row>
    <row r="68" spans="1:18">
      <c r="A68" s="15" t="s">
        <v>628</v>
      </c>
      <c r="B68" s="17" t="n">
        <v>3460</v>
      </c>
      <c r="C68" s="18">
        <f>(2750.0/B68*100)</f>
        <v/>
      </c>
      <c r="D68" s="19" t="n">
        <v>710</v>
      </c>
      <c r="E68" s="18" t="n">
        <v>41.93937812</v>
      </c>
      <c r="F68" s="20" t="n">
        <v>1.72522325</v>
      </c>
      <c r="G68" s="18" t="n">
        <v>51.04895484</v>
      </c>
      <c r="H68" s="20" t="n">
        <v>1.779913</v>
      </c>
      <c r="I68" s="18" t="n">
        <v>0</v>
      </c>
      <c r="J68" s="20" t="n">
        <v>0</v>
      </c>
      <c r="K68" s="18" t="n">
        <v>0</v>
      </c>
      <c r="L68" s="20" t="n">
        <v>0</v>
      </c>
      <c r="M68" s="18" t="n">
        <v>0</v>
      </c>
      <c r="N68" s="20" t="n">
        <v>0</v>
      </c>
      <c r="O68" s="18" t="n">
        <v>0</v>
      </c>
      <c r="P68" s="20" t="n">
        <v>0</v>
      </c>
      <c r="Q68" s="18" t="n">
        <v>7.01166704</v>
      </c>
      <c r="R68" s="20" t="n">
        <v>0.91064154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35.41744137</v>
      </c>
      <c r="F70" s="20" t="n">
        <v>1.35806504</v>
      </c>
      <c r="G70" s="18" t="n">
        <v>59.00633587</v>
      </c>
      <c r="H70" s="20" t="n">
        <v>1.31446771</v>
      </c>
      <c r="I70" s="18" t="n">
        <v>0</v>
      </c>
      <c r="J70" s="20" t="n">
        <v>0</v>
      </c>
      <c r="K70" s="18" t="n">
        <v>0.41518851</v>
      </c>
      <c r="L70" s="20" t="n">
        <v>0.18695324</v>
      </c>
      <c r="M70" s="18" t="n">
        <v>0</v>
      </c>
      <c r="N70" s="20" t="n">
        <v>0</v>
      </c>
      <c r="O70" s="18" t="n">
        <v>0</v>
      </c>
      <c r="P70" s="20" t="n">
        <v>0</v>
      </c>
      <c r="Q70" s="18" t="n">
        <v>5.16103425</v>
      </c>
      <c r="R70" s="20" t="n">
        <v>0.61088122</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(2422.0/B72*100)</f>
        <v/>
      </c>
      <c r="D72" s="19" t="n">
        <v>685</v>
      </c>
      <c r="E72" s="18" t="n">
        <v>25.95109461</v>
      </c>
      <c r="F72" s="20" t="n">
        <v>1.89054164</v>
      </c>
      <c r="G72" s="18" t="n">
        <v>71.71288154</v>
      </c>
      <c r="H72" s="20" t="n">
        <v>2.18327063</v>
      </c>
      <c r="I72" s="18" t="n">
        <v>0</v>
      </c>
      <c r="J72" s="20" t="n">
        <v>0</v>
      </c>
      <c r="K72" s="18" t="n">
        <v>0</v>
      </c>
      <c r="L72" s="20" t="n">
        <v>0</v>
      </c>
      <c r="M72" s="18" t="n">
        <v>0</v>
      </c>
      <c r="N72" s="20" t="n">
        <v>0</v>
      </c>
      <c r="O72" s="18" t="n">
        <v>0</v>
      </c>
      <c r="P72" s="20" t="n">
        <v>0</v>
      </c>
      <c r="Q72" s="18" t="n">
        <v>2.33602385</v>
      </c>
      <c r="R72" s="20" t="n">
        <v>0.67371184</v>
      </c>
    </row>
    <row r="73" spans="1:18">
      <c r="A73" s="15" t="s">
        <v>633</v>
      </c>
      <c r="B73" s="17" t="n">
        <v>2973</v>
      </c>
      <c r="C73" s="18">
        <f>(2302.0/B73*100)</f>
        <v/>
      </c>
      <c r="D73" s="19" t="n">
        <v>671</v>
      </c>
      <c r="E73" s="18" t="n">
        <v>20.98618536</v>
      </c>
      <c r="F73" s="20" t="n">
        <v>1.63286292</v>
      </c>
      <c r="G73" s="18" t="n">
        <v>77.66026325</v>
      </c>
      <c r="H73" s="20" t="n">
        <v>1.61600089</v>
      </c>
      <c r="I73" s="18" t="n">
        <v>0</v>
      </c>
      <c r="J73" s="20" t="n">
        <v>0</v>
      </c>
      <c r="K73" s="18" t="n">
        <v>0</v>
      </c>
      <c r="L73" s="20" t="n">
        <v>0</v>
      </c>
      <c r="M73" s="18" t="n">
        <v>0</v>
      </c>
      <c r="N73" s="20" t="n">
        <v>0</v>
      </c>
      <c r="O73" s="18" t="n">
        <v>0</v>
      </c>
      <c r="P73" s="20" t="n">
        <v>0</v>
      </c>
      <c r="Q73" s="18" t="n">
        <v>1.35355139</v>
      </c>
      <c r="R73" s="20" t="n">
        <v>0.37854616</v>
      </c>
    </row>
    <row r="74" spans="1:18">
      <c r="A74" s="15" t="s">
        <v>634</v>
      </c>
      <c r="B74" s="17" t="n">
        <v>3819</v>
      </c>
      <c r="C74" s="18">
        <f>(2927.0/B74*100)</f>
        <v/>
      </c>
      <c r="D74" s="19" t="n">
        <v>892</v>
      </c>
      <c r="E74" s="18" t="n">
        <v>16.48184879</v>
      </c>
      <c r="F74" s="20" t="n">
        <v>1.28189566</v>
      </c>
      <c r="G74" s="18" t="n">
        <v>82.43471123</v>
      </c>
      <c r="H74" s="20" t="n">
        <v>1.3682497</v>
      </c>
      <c r="I74" s="18" t="n">
        <v>0</v>
      </c>
      <c r="J74" s="20" t="n">
        <v>0</v>
      </c>
      <c r="K74" s="18" t="n">
        <v>0</v>
      </c>
      <c r="L74" s="20" t="n">
        <v>0</v>
      </c>
      <c r="M74" s="18" t="n">
        <v>0</v>
      </c>
      <c r="N74" s="20" t="n">
        <v>0</v>
      </c>
      <c r="O74" s="18" t="n">
        <v>0</v>
      </c>
      <c r="P74" s="20" t="n">
        <v>0</v>
      </c>
      <c r="Q74" s="18" t="n">
        <v>1.08343997</v>
      </c>
      <c r="R74" s="20" t="n">
        <v>0.35518004</v>
      </c>
    </row>
    <row r="75" spans="1:18">
      <c r="A75" s="15" t="s">
        <v>635</v>
      </c>
      <c r="B75" s="17" t="n">
        <v>4652</v>
      </c>
      <c r="C75" s="18">
        <f>(3590.0/B75*100)</f>
        <v/>
      </c>
      <c r="D75" s="19" t="n">
        <v>1062</v>
      </c>
      <c r="E75" s="18" t="n">
        <v>27.66054156</v>
      </c>
      <c r="F75" s="20" t="n">
        <v>1.59073692</v>
      </c>
      <c r="G75" s="18" t="n">
        <v>69.60682669000001</v>
      </c>
      <c r="H75" s="20" t="n">
        <v>1.65496623</v>
      </c>
      <c r="I75" s="18" t="n">
        <v>0</v>
      </c>
      <c r="J75" s="20" t="n">
        <v>0</v>
      </c>
      <c r="K75" s="18" t="n">
        <v>0</v>
      </c>
      <c r="L75" s="20" t="n">
        <v>0</v>
      </c>
      <c r="M75" s="18" t="n">
        <v>0</v>
      </c>
      <c r="N75" s="20" t="n">
        <v>0</v>
      </c>
      <c r="O75" s="18" t="n">
        <v>0</v>
      </c>
      <c r="P75" s="20" t="n">
        <v>0</v>
      </c>
      <c r="Q75" s="18" t="n">
        <v>2.73263175</v>
      </c>
      <c r="R75" s="20" t="n">
        <v>0.67820991</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(2336.0/B77*100)</f>
        <v/>
      </c>
      <c r="D77" s="19" t="n">
        <v>633</v>
      </c>
      <c r="E77" s="18" t="n">
        <v>40.29132842</v>
      </c>
      <c r="F77" s="20" t="n">
        <v>1.82158278</v>
      </c>
      <c r="G77" s="18" t="n">
        <v>49.16794396</v>
      </c>
      <c r="H77" s="20" t="n">
        <v>2.21233653</v>
      </c>
      <c r="I77" s="18" t="n">
        <v>0</v>
      </c>
      <c r="J77" s="20" t="n">
        <v>0</v>
      </c>
      <c r="K77" s="18" t="n">
        <v>2.09368656</v>
      </c>
      <c r="L77" s="20" t="n">
        <v>0.64686157</v>
      </c>
      <c r="M77" s="18" t="n">
        <v>0</v>
      </c>
      <c r="N77" s="20" t="n">
        <v>0</v>
      </c>
      <c r="O77" s="18" t="n">
        <v>0</v>
      </c>
      <c r="P77" s="20" t="n">
        <v>0</v>
      </c>
      <c r="Q77" s="18" t="n">
        <v>8.447041049999999</v>
      </c>
      <c r="R77" s="20" t="n">
        <v>1.27441175</v>
      </c>
    </row>
    <row r="78" spans="1:18">
      <c r="A78" s="15" t="s">
        <v>638</v>
      </c>
      <c r="B78" s="17" t="n">
        <v>7115</v>
      </c>
      <c r="C78" s="18">
        <f>(5531.0/B78*100)</f>
        <v/>
      </c>
      <c r="D78" s="19" t="n">
        <v>1584</v>
      </c>
      <c r="E78" s="18" t="n">
        <v>31.85460595</v>
      </c>
      <c r="F78" s="20" t="n">
        <v>1.57263821</v>
      </c>
      <c r="G78" s="18" t="n">
        <v>65.58044411</v>
      </c>
      <c r="H78" s="20" t="n">
        <v>1.70798924</v>
      </c>
      <c r="I78" s="18" t="n">
        <v>0</v>
      </c>
      <c r="J78" s="20" t="n">
        <v>0</v>
      </c>
      <c r="K78" s="18" t="n">
        <v>0.30316238</v>
      </c>
      <c r="L78" s="20" t="n">
        <v>0.14653873</v>
      </c>
      <c r="M78" s="18" t="n">
        <v>0</v>
      </c>
      <c r="N78" s="20" t="n">
        <v>0</v>
      </c>
      <c r="O78" s="18" t="n">
        <v>0</v>
      </c>
      <c r="P78" s="20" t="n">
        <v>0</v>
      </c>
      <c r="Q78" s="18" t="n">
        <v>2.26178756</v>
      </c>
      <c r="R78" s="20" t="n">
        <v>0.4412536</v>
      </c>
    </row>
    <row r="79" spans="1:18">
      <c r="A79" s="15" t="s">
        <v>639</v>
      </c>
      <c r="B79" s="17" t="n">
        <v>3154</v>
      </c>
      <c r="C79" s="18">
        <f>(2479.0/B79*100)</f>
        <v/>
      </c>
      <c r="D79" s="19" t="n">
        <v>675</v>
      </c>
      <c r="E79" s="18" t="n">
        <v>35.35363376</v>
      </c>
      <c r="F79" s="20" t="n">
        <v>1.57259302</v>
      </c>
      <c r="G79" s="18" t="n">
        <v>59.29675011</v>
      </c>
      <c r="H79" s="20" t="n">
        <v>1.58579423</v>
      </c>
      <c r="I79" s="18" t="n">
        <v>0</v>
      </c>
      <c r="J79" s="20" t="n">
        <v>0</v>
      </c>
      <c r="K79" s="18" t="n">
        <v>0.14820442</v>
      </c>
      <c r="L79" s="20" t="n">
        <v>0.14429437</v>
      </c>
      <c r="M79" s="18" t="n">
        <v>0</v>
      </c>
      <c r="N79" s="20" t="n">
        <v>0</v>
      </c>
      <c r="O79" s="18" t="n">
        <v>0</v>
      </c>
      <c r="P79" s="20" t="n">
        <v>0</v>
      </c>
      <c r="Q79" s="18" t="n">
        <v>5.20141171</v>
      </c>
      <c r="R79" s="20" t="n">
        <v>0.88399849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(12391.0/B82*100)</f>
        <v/>
      </c>
      <c r="D82" s="19" t="n">
        <v>3570</v>
      </c>
      <c r="E82" s="18" t="n">
        <v>22.42564634</v>
      </c>
      <c r="F82" s="20" t="n">
        <v>0.90523121</v>
      </c>
      <c r="G82" s="18" t="n">
        <v>75.38867999999999</v>
      </c>
      <c r="H82" s="20" t="n">
        <v>0.92807912</v>
      </c>
      <c r="I82" s="18" t="n">
        <v>0</v>
      </c>
      <c r="J82" s="20" t="n">
        <v>0</v>
      </c>
      <c r="K82" s="18" t="n">
        <v>0.13673128</v>
      </c>
      <c r="L82" s="20" t="n">
        <v>0.06896672</v>
      </c>
      <c r="M82" s="18" t="n">
        <v>0</v>
      </c>
      <c r="N82" s="20" t="n">
        <v>0</v>
      </c>
      <c r="O82" s="18" t="n">
        <v>0</v>
      </c>
      <c r="P82" s="20" t="n">
        <v>0</v>
      </c>
      <c r="Q82" s="18" t="n">
        <v>2.04894238</v>
      </c>
      <c r="R82" s="20" t="n">
        <v>0.30674202</v>
      </c>
    </row>
    <row r="83" spans="1:18">
      <c r="A83" s="15" t="s">
        <v>643</v>
      </c>
      <c r="B83" s="17" t="n">
        <v>808</v>
      </c>
      <c r="C83" s="18">
        <f>(648.0/B83*100)</f>
        <v/>
      </c>
      <c r="D83" s="19" t="n">
        <v>160</v>
      </c>
      <c r="E83" s="18" t="n">
        <v>19.79194762</v>
      </c>
      <c r="F83" s="20" t="n">
        <v>3.81655373</v>
      </c>
      <c r="G83" s="18" t="n">
        <v>80.20805238</v>
      </c>
      <c r="H83" s="20" t="n">
        <v>3.81655373</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(739.0/B84*100)</f>
        <v/>
      </c>
      <c r="D84" s="19" t="n">
        <v>199</v>
      </c>
      <c r="E84" s="18" t="n">
        <v>29.5647021</v>
      </c>
      <c r="F84" s="20" t="n">
        <v>3.32400944</v>
      </c>
      <c r="G84" s="18" t="n">
        <v>69.31463649</v>
      </c>
      <c r="H84" s="20" t="n">
        <v>3.42405966</v>
      </c>
      <c r="I84" s="18" t="n">
        <v>0</v>
      </c>
      <c r="J84" s="20" t="n">
        <v>0</v>
      </c>
      <c r="K84" s="18" t="n">
        <v>0</v>
      </c>
      <c r="L84" s="20" t="n">
        <v>0</v>
      </c>
      <c r="M84" s="18" t="n">
        <v>0</v>
      </c>
      <c r="N84" s="20" t="n">
        <v>0</v>
      </c>
      <c r="O84" s="18" t="n">
        <v>0</v>
      </c>
      <c r="P84" s="20" t="n">
        <v>0</v>
      </c>
      <c r="Q84" s="18" t="n">
        <v>1.12066141</v>
      </c>
      <c r="R84" s="20" t="n">
        <v>0.8122210600000001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(5609.0/B7*100)</f>
        <v/>
      </c>
      <c r="D7" s="19" t="n">
        <v>1554</v>
      </c>
      <c r="E7" s="18" t="n">
        <v>53.18413638</v>
      </c>
      <c r="F7" s="20" t="n">
        <v>1.56141298</v>
      </c>
      <c r="G7" s="18" t="n">
        <v>44.64508185</v>
      </c>
      <c r="H7" s="20" t="n">
        <v>1.62790983</v>
      </c>
      <c r="I7" s="18" t="n">
        <v>0</v>
      </c>
      <c r="J7" s="20" t="n">
        <v>0</v>
      </c>
      <c r="K7" s="18" t="n">
        <v>0.0377079</v>
      </c>
      <c r="L7" s="20" t="n">
        <v>0.0251425</v>
      </c>
      <c r="M7" s="18" t="n">
        <v>0</v>
      </c>
      <c r="N7" s="20" t="n">
        <v>0</v>
      </c>
      <c r="O7" s="18" t="n">
        <v>0</v>
      </c>
      <c r="P7" s="20" t="n">
        <v>0</v>
      </c>
      <c r="Q7" s="18" t="n">
        <v>2.13307387</v>
      </c>
      <c r="R7" s="20" t="n">
        <v>0.33650285</v>
      </c>
    </row>
    <row r="8" spans="1:18">
      <c r="A8" s="15" t="s">
        <v>566</v>
      </c>
      <c r="B8" s="17" t="n">
        <v>3443</v>
      </c>
      <c r="C8" s="18">
        <f>(2675.0/B8*100)</f>
        <v/>
      </c>
      <c r="D8" s="19" t="n">
        <v>768</v>
      </c>
      <c r="E8" s="18" t="n">
        <v>65.52629777999999</v>
      </c>
      <c r="F8" s="20" t="n">
        <v>1.7247562</v>
      </c>
      <c r="G8" s="18" t="n">
        <v>30.95960964</v>
      </c>
      <c r="H8" s="20" t="n">
        <v>1.69919134</v>
      </c>
      <c r="I8" s="18" t="n">
        <v>0</v>
      </c>
      <c r="J8" s="20" t="n">
        <v>0</v>
      </c>
      <c r="K8" s="18" t="n">
        <v>0.33934403</v>
      </c>
      <c r="L8" s="20" t="n">
        <v>0.24787506</v>
      </c>
      <c r="M8" s="18" t="n">
        <v>0</v>
      </c>
      <c r="N8" s="20" t="n">
        <v>0</v>
      </c>
      <c r="O8" s="18" t="n">
        <v>0</v>
      </c>
      <c r="P8" s="20" t="n">
        <v>0</v>
      </c>
      <c r="Q8" s="18" t="n">
        <v>3.17474856</v>
      </c>
      <c r="R8" s="20" t="n">
        <v>0.69911907</v>
      </c>
    </row>
    <row r="9" spans="1:18">
      <c r="A9" s="15" t="s">
        <v>567</v>
      </c>
      <c r="B9" s="17" t="n">
        <v>4752</v>
      </c>
      <c r="C9" s="18">
        <f>(3753.0/B9*100)</f>
        <v/>
      </c>
      <c r="D9" s="19" t="n">
        <v>999</v>
      </c>
      <c r="E9" s="18" t="n">
        <v>52.93364139</v>
      </c>
      <c r="F9" s="20" t="n">
        <v>1.78173439</v>
      </c>
      <c r="G9" s="18" t="n">
        <v>44.16913043</v>
      </c>
      <c r="H9" s="20" t="n">
        <v>1.7298456</v>
      </c>
      <c r="I9" s="18" t="n">
        <v>0</v>
      </c>
      <c r="J9" s="20" t="n">
        <v>0</v>
      </c>
      <c r="K9" s="18" t="n">
        <v>0.08547117999999999</v>
      </c>
      <c r="L9" s="20" t="n">
        <v>0.08154897</v>
      </c>
      <c r="M9" s="18" t="n">
        <v>0.52543473</v>
      </c>
      <c r="N9" s="20" t="n">
        <v>0.28231337</v>
      </c>
      <c r="O9" s="18" t="n">
        <v>0</v>
      </c>
      <c r="P9" s="20" t="n">
        <v>0</v>
      </c>
      <c r="Q9" s="18" t="n">
        <v>2.28632227</v>
      </c>
      <c r="R9" s="20" t="n">
        <v>0.51326211</v>
      </c>
    </row>
    <row r="10" spans="1:18">
      <c r="A10" s="15" t="s">
        <v>568</v>
      </c>
      <c r="B10" s="17" t="n">
        <v>10022</v>
      </c>
      <c r="C10" s="18">
        <f>(7817.0/B10*100)</f>
        <v/>
      </c>
      <c r="D10" s="19" t="n">
        <v>2205</v>
      </c>
      <c r="E10" s="18" t="n">
        <v>45.69041573</v>
      </c>
      <c r="F10" s="20" t="n">
        <v>1.57118705</v>
      </c>
      <c r="G10" s="18" t="n">
        <v>52.90582812</v>
      </c>
      <c r="H10" s="20" t="n">
        <v>1.51971125</v>
      </c>
      <c r="I10" s="18" t="n">
        <v>0</v>
      </c>
      <c r="J10" s="20" t="n">
        <v>0</v>
      </c>
      <c r="K10" s="18" t="n">
        <v>0.24451616</v>
      </c>
      <c r="L10" s="20" t="n">
        <v>0.17209356</v>
      </c>
      <c r="M10" s="18" t="n">
        <v>0</v>
      </c>
      <c r="N10" s="20" t="n">
        <v>0</v>
      </c>
      <c r="O10" s="18" t="n">
        <v>0</v>
      </c>
      <c r="P10" s="20" t="n">
        <v>0</v>
      </c>
      <c r="Q10" s="18" t="n">
        <v>1.15923999</v>
      </c>
      <c r="R10" s="20" t="n">
        <v>0.29462783</v>
      </c>
    </row>
    <row r="11" spans="1:18">
      <c r="A11" s="15" t="s">
        <v>569</v>
      </c>
      <c r="B11" s="17" t="n">
        <v>3500</v>
      </c>
      <c r="C11" s="18">
        <f>(2727.0/B11*100)</f>
        <v/>
      </c>
      <c r="D11" s="19" t="n">
        <v>773</v>
      </c>
      <c r="E11" s="18" t="n">
        <v>66.46227313999999</v>
      </c>
      <c r="F11" s="20" t="n">
        <v>1.92719083</v>
      </c>
      <c r="G11" s="18" t="n">
        <v>28.16174334</v>
      </c>
      <c r="H11" s="20" t="n">
        <v>1.85707258</v>
      </c>
      <c r="I11" s="18" t="n">
        <v>0</v>
      </c>
      <c r="J11" s="20" t="n">
        <v>0</v>
      </c>
      <c r="K11" s="18" t="n">
        <v>0.2598965</v>
      </c>
      <c r="L11" s="20" t="n">
        <v>0.18032625</v>
      </c>
      <c r="M11" s="18" t="n">
        <v>0.18077813</v>
      </c>
      <c r="N11" s="20" t="n">
        <v>0.18915169</v>
      </c>
      <c r="O11" s="18" t="n">
        <v>0</v>
      </c>
      <c r="P11" s="20" t="n">
        <v>0</v>
      </c>
      <c r="Q11" s="18" t="n">
        <v>4.93530889</v>
      </c>
      <c r="R11" s="20" t="n">
        <v>0.94460652</v>
      </c>
    </row>
    <row r="12" spans="1:18">
      <c r="A12" s="15" t="s">
        <v>570</v>
      </c>
      <c r="B12" s="17" t="n">
        <v>3422</v>
      </c>
      <c r="C12" s="18">
        <f>(2692.0/B12*100)</f>
        <v/>
      </c>
      <c r="D12" s="19" t="n">
        <v>730</v>
      </c>
      <c r="E12" s="18" t="n">
        <v>70.20290747</v>
      </c>
      <c r="F12" s="20" t="n">
        <v>1.59487959</v>
      </c>
      <c r="G12" s="18" t="n">
        <v>28.74397549</v>
      </c>
      <c r="H12" s="20" t="n">
        <v>1.54956221</v>
      </c>
      <c r="I12" s="18" t="n">
        <v>0</v>
      </c>
      <c r="J12" s="20" t="n">
        <v>0</v>
      </c>
      <c r="K12" s="18" t="n">
        <v>0.12801656</v>
      </c>
      <c r="L12" s="20" t="n">
        <v>0.12521279</v>
      </c>
      <c r="M12" s="18" t="n">
        <v>0</v>
      </c>
      <c r="N12" s="20" t="n">
        <v>0</v>
      </c>
      <c r="O12" s="18" t="n">
        <v>0</v>
      </c>
      <c r="P12" s="20" t="n">
        <v>0</v>
      </c>
      <c r="Q12" s="18" t="n">
        <v>0.92510048</v>
      </c>
      <c r="R12" s="20" t="n">
        <v>0.36091226</v>
      </c>
    </row>
    <row r="13" spans="1:18">
      <c r="A13" s="15" t="s">
        <v>571</v>
      </c>
      <c r="B13" s="17" t="n">
        <v>3602</v>
      </c>
      <c r="C13" s="18">
        <f>(2852.0/B13*100)</f>
        <v/>
      </c>
      <c r="D13" s="19" t="n">
        <v>750</v>
      </c>
      <c r="E13" s="18" t="n">
        <v>60.88076526</v>
      </c>
      <c r="F13" s="20" t="n">
        <v>2.02815343</v>
      </c>
      <c r="G13" s="18" t="n">
        <v>36.60628823</v>
      </c>
      <c r="H13" s="20" t="n">
        <v>2.04920351</v>
      </c>
      <c r="I13" s="18" t="n">
        <v>0</v>
      </c>
      <c r="J13" s="20" t="n">
        <v>0</v>
      </c>
      <c r="K13" s="18" t="n">
        <v>0.6769844699999999</v>
      </c>
      <c r="L13" s="20" t="n">
        <v>0.35799467</v>
      </c>
      <c r="M13" s="18" t="n">
        <v>0</v>
      </c>
      <c r="N13" s="20" t="n">
        <v>0</v>
      </c>
      <c r="O13" s="18" t="n">
        <v>0</v>
      </c>
      <c r="P13" s="20" t="n">
        <v>0</v>
      </c>
      <c r="Q13" s="18" t="n">
        <v>1.83596204</v>
      </c>
      <c r="R13" s="20" t="n">
        <v>0.78355939</v>
      </c>
    </row>
    <row r="14" spans="1:18">
      <c r="A14" s="15" t="s">
        <v>572</v>
      </c>
      <c r="B14" s="17" t="n">
        <v>2788</v>
      </c>
      <c r="C14" s="18">
        <f>(2180.0/B14*100)</f>
        <v/>
      </c>
      <c r="D14" s="19" t="n">
        <v>608</v>
      </c>
      <c r="E14" s="18" t="n">
        <v>47.82720218</v>
      </c>
      <c r="F14" s="20" t="n">
        <v>2.33305443</v>
      </c>
      <c r="G14" s="18" t="n">
        <v>51.30926001</v>
      </c>
      <c r="H14" s="20" t="n">
        <v>2.2965872</v>
      </c>
      <c r="I14" s="18" t="n">
        <v>0</v>
      </c>
      <c r="J14" s="20" t="n">
        <v>0</v>
      </c>
      <c r="K14" s="18" t="n">
        <v>0</v>
      </c>
      <c r="L14" s="20" t="n">
        <v>0</v>
      </c>
      <c r="M14" s="18" t="n">
        <v>0</v>
      </c>
      <c r="N14" s="20" t="n">
        <v>0</v>
      </c>
      <c r="O14" s="18" t="n">
        <v>0</v>
      </c>
      <c r="P14" s="20" t="n">
        <v>0</v>
      </c>
      <c r="Q14" s="18" t="n">
        <v>0.86353781</v>
      </c>
      <c r="R14" s="20" t="n">
        <v>0.53523865</v>
      </c>
    </row>
    <row r="15" spans="1:18">
      <c r="A15" s="15" t="s">
        <v>573</v>
      </c>
      <c r="B15" s="17" t="n">
        <v>2863</v>
      </c>
      <c r="C15" s="18">
        <f>(2216.0/B15*100)</f>
        <v/>
      </c>
      <c r="D15" s="19" t="n">
        <v>647</v>
      </c>
      <c r="E15" s="18" t="n">
        <v>59.89812329</v>
      </c>
      <c r="F15" s="20" t="n">
        <v>2.04675843</v>
      </c>
      <c r="G15" s="18" t="n">
        <v>38.85910428</v>
      </c>
      <c r="H15" s="20" t="n">
        <v>1.992409</v>
      </c>
      <c r="I15" s="18" t="n">
        <v>0</v>
      </c>
      <c r="J15" s="20" t="n">
        <v>0</v>
      </c>
      <c r="K15" s="18" t="n">
        <v>0</v>
      </c>
      <c r="L15" s="20" t="n">
        <v>0</v>
      </c>
      <c r="M15" s="18" t="n">
        <v>0</v>
      </c>
      <c r="N15" s="20" t="n">
        <v>0</v>
      </c>
      <c r="O15" s="18" t="n">
        <v>0</v>
      </c>
      <c r="P15" s="20" t="n">
        <v>0</v>
      </c>
      <c r="Q15" s="18" t="n">
        <v>1.24277243</v>
      </c>
      <c r="R15" s="20" t="n">
        <v>0.43799431</v>
      </c>
    </row>
    <row r="16" spans="1:18">
      <c r="A16" s="15" t="s">
        <v>574</v>
      </c>
      <c r="B16" s="17" t="n">
        <v>3111</v>
      </c>
      <c r="C16" s="18">
        <f>(2423.0/B16*100)</f>
        <v/>
      </c>
      <c r="D16" s="19" t="n">
        <v>688</v>
      </c>
      <c r="E16" s="18" t="n">
        <v>53.69714956</v>
      </c>
      <c r="F16" s="20" t="n">
        <v>1.786145</v>
      </c>
      <c r="G16" s="18" t="n">
        <v>41.2728889</v>
      </c>
      <c r="H16" s="20" t="n">
        <v>1.89365566</v>
      </c>
      <c r="I16" s="18" t="n">
        <v>0</v>
      </c>
      <c r="J16" s="20" t="n">
        <v>0</v>
      </c>
      <c r="K16" s="18" t="n">
        <v>0.10252484</v>
      </c>
      <c r="L16" s="20" t="n">
        <v>0.10164119</v>
      </c>
      <c r="M16" s="18" t="n">
        <v>0</v>
      </c>
      <c r="N16" s="20" t="n">
        <v>0</v>
      </c>
      <c r="O16" s="18" t="n">
        <v>0</v>
      </c>
      <c r="P16" s="20" t="n">
        <v>0</v>
      </c>
      <c r="Q16" s="18" t="n">
        <v>4.92743671</v>
      </c>
      <c r="R16" s="20" t="n">
        <v>0.85975117</v>
      </c>
    </row>
    <row r="17" spans="1:18">
      <c r="A17" s="15" t="s">
        <v>575</v>
      </c>
      <c r="B17" s="17" t="n">
        <v>3197</v>
      </c>
      <c r="C17" s="18">
        <f>(2551.0/B17*100)</f>
        <v/>
      </c>
      <c r="D17" s="19" t="n">
        <v>646</v>
      </c>
      <c r="E17" s="18" t="n">
        <v>56.1561862</v>
      </c>
      <c r="F17" s="20" t="n">
        <v>1.77954867</v>
      </c>
      <c r="G17" s="18" t="n">
        <v>40.06645387</v>
      </c>
      <c r="H17" s="20" t="n">
        <v>1.82390169</v>
      </c>
      <c r="I17" s="18" t="n">
        <v>0</v>
      </c>
      <c r="J17" s="20" t="n">
        <v>0</v>
      </c>
      <c r="K17" s="18" t="n">
        <v>0</v>
      </c>
      <c r="L17" s="20" t="n">
        <v>0</v>
      </c>
      <c r="M17" s="18" t="n">
        <v>0</v>
      </c>
      <c r="N17" s="20" t="n">
        <v>0</v>
      </c>
      <c r="O17" s="18" t="n">
        <v>0</v>
      </c>
      <c r="P17" s="20" t="n">
        <v>0</v>
      </c>
      <c r="Q17" s="18" t="n">
        <v>3.77735993</v>
      </c>
      <c r="R17" s="20" t="n">
        <v>0.71735567</v>
      </c>
    </row>
    <row r="18" spans="1:18">
      <c r="A18" s="15" t="s">
        <v>576</v>
      </c>
      <c r="B18" s="17" t="n">
        <v>2706</v>
      </c>
      <c r="C18" s="18">
        <f>(2113.0/B18*100)</f>
        <v/>
      </c>
      <c r="D18" s="19" t="n">
        <v>593</v>
      </c>
      <c r="E18" s="18" t="n">
        <v>63.02904947</v>
      </c>
      <c r="F18" s="20" t="n">
        <v>2.26791959</v>
      </c>
      <c r="G18" s="18" t="n">
        <v>33.64983928</v>
      </c>
      <c r="H18" s="20" t="n">
        <v>2.30979029</v>
      </c>
      <c r="I18" s="18" t="n">
        <v>0</v>
      </c>
      <c r="J18" s="20" t="n">
        <v>0</v>
      </c>
      <c r="K18" s="18" t="n">
        <v>0.68820056</v>
      </c>
      <c r="L18" s="20" t="n">
        <v>0.38846022</v>
      </c>
      <c r="M18" s="18" t="n">
        <v>0</v>
      </c>
      <c r="N18" s="20" t="n">
        <v>0</v>
      </c>
      <c r="O18" s="18" t="n">
        <v>0</v>
      </c>
      <c r="P18" s="20" t="n">
        <v>0</v>
      </c>
      <c r="Q18" s="18" t="n">
        <v>2.63291068</v>
      </c>
      <c r="R18" s="20" t="n">
        <v>1.01557608</v>
      </c>
    </row>
    <row r="19" spans="1:18">
      <c r="A19" s="15" t="s">
        <v>577</v>
      </c>
      <c r="B19" s="17" t="n">
        <v>2850</v>
      </c>
      <c r="C19" s="18">
        <f>(2243.0/B19*100)</f>
        <v/>
      </c>
      <c r="D19" s="19" t="n">
        <v>607</v>
      </c>
      <c r="E19" s="18" t="n">
        <v>73.43290578</v>
      </c>
      <c r="F19" s="20" t="n">
        <v>2.04922017</v>
      </c>
      <c r="G19" s="18" t="n">
        <v>25.00911766</v>
      </c>
      <c r="H19" s="20" t="n">
        <v>1.97160796</v>
      </c>
      <c r="I19" s="18" t="n">
        <v>0</v>
      </c>
      <c r="J19" s="20" t="n">
        <v>0</v>
      </c>
      <c r="K19" s="18" t="n">
        <v>0</v>
      </c>
      <c r="L19" s="20" t="n">
        <v>0</v>
      </c>
      <c r="M19" s="18" t="n">
        <v>0</v>
      </c>
      <c r="N19" s="20" t="n">
        <v>0</v>
      </c>
      <c r="O19" s="18" t="n">
        <v>0</v>
      </c>
      <c r="P19" s="20" t="n">
        <v>0</v>
      </c>
      <c r="Q19" s="18" t="n">
        <v>1.55797656</v>
      </c>
      <c r="R19" s="20" t="n">
        <v>0.52100213</v>
      </c>
    </row>
    <row r="20" spans="1:18">
      <c r="A20" s="15" t="s">
        <v>578</v>
      </c>
      <c r="B20" s="17" t="n">
        <v>1741</v>
      </c>
      <c r="C20" s="18">
        <f>(1376.0/B20*100)</f>
        <v/>
      </c>
      <c r="D20" s="19" t="n">
        <v>365</v>
      </c>
      <c r="E20" s="18" t="n">
        <v>55.27073162</v>
      </c>
      <c r="F20" s="20" t="n">
        <v>2.53596563</v>
      </c>
      <c r="G20" s="18" t="n">
        <v>41.52847972</v>
      </c>
      <c r="H20" s="20" t="n">
        <v>2.40536577</v>
      </c>
      <c r="I20" s="18" t="n">
        <v>0</v>
      </c>
      <c r="J20" s="20" t="n">
        <v>0</v>
      </c>
      <c r="K20" s="18" t="n">
        <v>0.31902468</v>
      </c>
      <c r="L20" s="20" t="n">
        <v>0.31019979</v>
      </c>
      <c r="M20" s="18" t="n">
        <v>0.8465978</v>
      </c>
      <c r="N20" s="20" t="n">
        <v>0.12199247</v>
      </c>
      <c r="O20" s="18" t="n">
        <v>0</v>
      </c>
      <c r="P20" s="20" t="n">
        <v>0</v>
      </c>
      <c r="Q20" s="18" t="n">
        <v>2.03516618</v>
      </c>
      <c r="R20" s="20" t="n">
        <v>0.65991478</v>
      </c>
    </row>
    <row r="21" spans="1:18">
      <c r="A21" s="15" t="s">
        <v>579</v>
      </c>
      <c r="B21" s="17" t="n">
        <v>2833</v>
      </c>
      <c r="C21" s="18">
        <f>(2212.0/B21*100)</f>
        <v/>
      </c>
      <c r="D21" s="19" t="n">
        <v>621</v>
      </c>
      <c r="E21" s="18" t="n">
        <v>68.28848098</v>
      </c>
      <c r="F21" s="20" t="n">
        <v>2.05115743</v>
      </c>
      <c r="G21" s="18" t="n">
        <v>30.00037153</v>
      </c>
      <c r="H21" s="20" t="n">
        <v>2.00748023</v>
      </c>
      <c r="I21" s="18" t="n">
        <v>0</v>
      </c>
      <c r="J21" s="20" t="n">
        <v>0</v>
      </c>
      <c r="K21" s="18" t="n">
        <v>0</v>
      </c>
      <c r="L21" s="20" t="n">
        <v>0</v>
      </c>
      <c r="M21" s="18" t="n">
        <v>0</v>
      </c>
      <c r="N21" s="20" t="n">
        <v>0</v>
      </c>
      <c r="O21" s="18" t="n">
        <v>0</v>
      </c>
      <c r="P21" s="20" t="n">
        <v>0</v>
      </c>
      <c r="Q21" s="18" t="n">
        <v>1.71114749</v>
      </c>
      <c r="R21" s="20" t="n">
        <v>0.70650891</v>
      </c>
    </row>
    <row r="22" spans="1:18">
      <c r="A22" s="15" t="s">
        <v>580</v>
      </c>
      <c r="B22" s="17" t="n">
        <v>3667</v>
      </c>
      <c r="C22" s="18">
        <f>(2873.0/B22*100)</f>
        <v/>
      </c>
      <c r="D22" s="19" t="n">
        <v>794</v>
      </c>
      <c r="E22" s="18" t="n">
        <v>58.48612248</v>
      </c>
      <c r="F22" s="20" t="n">
        <v>2.04599198</v>
      </c>
      <c r="G22" s="18" t="n">
        <v>37.57065141</v>
      </c>
      <c r="H22" s="20" t="n">
        <v>2.10436304</v>
      </c>
      <c r="I22" s="18" t="n">
        <v>0</v>
      </c>
      <c r="J22" s="20" t="n">
        <v>0</v>
      </c>
      <c r="K22" s="18" t="n">
        <v>0.73267101</v>
      </c>
      <c r="L22" s="20" t="n">
        <v>0.30255886</v>
      </c>
      <c r="M22" s="18" t="n">
        <v>0.21274899</v>
      </c>
      <c r="N22" s="20" t="n">
        <v>0.21148074</v>
      </c>
      <c r="O22" s="18" t="n">
        <v>0</v>
      </c>
      <c r="P22" s="20" t="n">
        <v>0</v>
      </c>
      <c r="Q22" s="18" t="n">
        <v>2.99780611</v>
      </c>
      <c r="R22" s="20" t="n">
        <v>0.58728102</v>
      </c>
    </row>
    <row r="23" spans="1:18">
      <c r="A23" s="15" t="s">
        <v>581</v>
      </c>
      <c r="B23" s="17" t="n">
        <v>5792</v>
      </c>
      <c r="C23" s="18">
        <f>(4502.0/B23*100)</f>
        <v/>
      </c>
      <c r="D23" s="19" t="n">
        <v>1290</v>
      </c>
      <c r="E23" s="18" t="n">
        <v>63.71704637</v>
      </c>
      <c r="F23" s="20" t="n">
        <v>2.01605706</v>
      </c>
      <c r="G23" s="18" t="n">
        <v>29.79366671</v>
      </c>
      <c r="H23" s="20" t="n">
        <v>2.06268179</v>
      </c>
      <c r="I23" s="18" t="n">
        <v>0</v>
      </c>
      <c r="J23" s="20" t="n">
        <v>0</v>
      </c>
      <c r="K23" s="18" t="n">
        <v>0.415742</v>
      </c>
      <c r="L23" s="20" t="n">
        <v>0.32583635</v>
      </c>
      <c r="M23" s="18" t="n">
        <v>0.09420033</v>
      </c>
      <c r="N23" s="20" t="n">
        <v>0.09422285</v>
      </c>
      <c r="O23" s="18" t="n">
        <v>0</v>
      </c>
      <c r="P23" s="20" t="n">
        <v>0</v>
      </c>
      <c r="Q23" s="18" t="n">
        <v>5.97934459</v>
      </c>
      <c r="R23" s="20" t="n">
        <v>0.7929221400000001</v>
      </c>
    </row>
    <row r="24" spans="1:18">
      <c r="A24" s="15" t="s">
        <v>582</v>
      </c>
      <c r="B24" s="17" t="n">
        <v>3309</v>
      </c>
      <c r="C24" s="18">
        <f>(2567.0/B24*100)</f>
        <v/>
      </c>
      <c r="D24" s="19" t="n">
        <v>742</v>
      </c>
      <c r="E24" s="18" t="n">
        <v>42.84677029</v>
      </c>
      <c r="F24" s="20" t="n">
        <v>1.81931795</v>
      </c>
      <c r="G24" s="18" t="n">
        <v>55.26994461</v>
      </c>
      <c r="H24" s="20" t="n">
        <v>1.82672493</v>
      </c>
      <c r="I24" s="18" t="n">
        <v>0</v>
      </c>
      <c r="J24" s="20" t="n">
        <v>0</v>
      </c>
      <c r="K24" s="18" t="n">
        <v>0</v>
      </c>
      <c r="L24" s="20" t="n">
        <v>0</v>
      </c>
      <c r="M24" s="18" t="n">
        <v>0</v>
      </c>
      <c r="N24" s="20" t="n">
        <v>0</v>
      </c>
      <c r="O24" s="18" t="n">
        <v>0</v>
      </c>
      <c r="P24" s="20" t="n">
        <v>0</v>
      </c>
      <c r="Q24" s="18" t="n">
        <v>1.8832851</v>
      </c>
      <c r="R24" s="20" t="n">
        <v>0.48404858</v>
      </c>
    </row>
    <row r="25" spans="1:18">
      <c r="A25" s="15" t="s">
        <v>583</v>
      </c>
      <c r="B25" s="17" t="n">
        <v>2669</v>
      </c>
      <c r="C25" s="18">
        <f>(2074.0/B25*100)</f>
        <v/>
      </c>
      <c r="D25" s="19" t="n">
        <v>595</v>
      </c>
      <c r="E25" s="18" t="n">
        <v>52.49324185</v>
      </c>
      <c r="F25" s="20" t="n">
        <v>2.43719977</v>
      </c>
      <c r="G25" s="18" t="n">
        <v>47.18601985</v>
      </c>
      <c r="H25" s="20" t="n">
        <v>2.43928931</v>
      </c>
      <c r="I25" s="18" t="n">
        <v>0</v>
      </c>
      <c r="J25" s="20" t="n">
        <v>0</v>
      </c>
      <c r="K25" s="18" t="n">
        <v>0</v>
      </c>
      <c r="L25" s="20" t="n">
        <v>0</v>
      </c>
      <c r="M25" s="18" t="n">
        <v>0</v>
      </c>
      <c r="N25" s="20" t="n">
        <v>0</v>
      </c>
      <c r="O25" s="18" t="n">
        <v>0</v>
      </c>
      <c r="P25" s="20" t="n">
        <v>0</v>
      </c>
      <c r="Q25" s="18" t="n">
        <v>0.3207383</v>
      </c>
      <c r="R25" s="20" t="n">
        <v>0.22496773</v>
      </c>
    </row>
    <row r="26" spans="1:18">
      <c r="A26" s="15" t="s">
        <v>584</v>
      </c>
      <c r="B26" s="17" t="n">
        <v>2419</v>
      </c>
      <c r="C26" s="18">
        <f>(1893.0/B26*100)</f>
        <v/>
      </c>
      <c r="D26" s="19" t="n">
        <v>526</v>
      </c>
      <c r="E26" s="18" t="n">
        <v>64.78596125999999</v>
      </c>
      <c r="F26" s="20" t="n">
        <v>2.16702689</v>
      </c>
      <c r="G26" s="18" t="n">
        <v>34.75769854</v>
      </c>
      <c r="H26" s="20" t="n">
        <v>2.19506534</v>
      </c>
      <c r="I26" s="18" t="n">
        <v>0</v>
      </c>
      <c r="J26" s="20" t="n">
        <v>0</v>
      </c>
      <c r="K26" s="18" t="n">
        <v>0</v>
      </c>
      <c r="L26" s="20" t="n">
        <v>0</v>
      </c>
      <c r="M26" s="18" t="n">
        <v>0.13202546</v>
      </c>
      <c r="N26" s="20" t="n">
        <v>0.1328138</v>
      </c>
      <c r="O26" s="18" t="n">
        <v>0</v>
      </c>
      <c r="P26" s="20" t="n">
        <v>0</v>
      </c>
      <c r="Q26" s="18" t="n">
        <v>0.32431474</v>
      </c>
      <c r="R26" s="20" t="n">
        <v>0.24063928</v>
      </c>
    </row>
    <row r="27" spans="1:18">
      <c r="A27" s="15" t="s">
        <v>585</v>
      </c>
      <c r="B27" s="17" t="n">
        <v>2683</v>
      </c>
      <c r="C27" s="18">
        <f>(2121.0/B27*100)</f>
        <v/>
      </c>
      <c r="D27" s="19" t="n">
        <v>562</v>
      </c>
      <c r="E27" s="18" t="n">
        <v>63.94198524</v>
      </c>
      <c r="F27" s="20" t="n">
        <v>2.05522519</v>
      </c>
      <c r="G27" s="18" t="n">
        <v>31.38313755</v>
      </c>
      <c r="H27" s="20" t="n">
        <v>2.03851987</v>
      </c>
      <c r="I27" s="18" t="n">
        <v>0</v>
      </c>
      <c r="J27" s="20" t="n">
        <v>0</v>
      </c>
      <c r="K27" s="18" t="n">
        <v>0.37699746</v>
      </c>
      <c r="L27" s="20" t="n">
        <v>0.2649968</v>
      </c>
      <c r="M27" s="18" t="n">
        <v>0</v>
      </c>
      <c r="N27" s="20" t="n">
        <v>0</v>
      </c>
      <c r="O27" s="18" t="n">
        <v>0</v>
      </c>
      <c r="P27" s="20" t="n">
        <v>0</v>
      </c>
      <c r="Q27" s="18" t="n">
        <v>4.29787976</v>
      </c>
      <c r="R27" s="20" t="n">
        <v>0.8271626</v>
      </c>
    </row>
    <row r="28" spans="1:18">
      <c r="A28" s="15" t="s">
        <v>586</v>
      </c>
      <c r="B28" s="17" t="n">
        <v>3803</v>
      </c>
      <c r="C28" s="18">
        <f>(3028.0/B28*100)</f>
        <v/>
      </c>
      <c r="D28" s="19" t="n">
        <v>775</v>
      </c>
      <c r="E28" s="18" t="n">
        <v>84.34840047</v>
      </c>
      <c r="F28" s="20" t="n">
        <v>1.62377044</v>
      </c>
      <c r="G28" s="18" t="n">
        <v>13.42738825</v>
      </c>
      <c r="H28" s="20" t="n">
        <v>1.4355851</v>
      </c>
      <c r="I28" s="18" t="n">
        <v>0</v>
      </c>
      <c r="J28" s="20" t="n">
        <v>0</v>
      </c>
      <c r="K28" s="18" t="n">
        <v>0.28121547</v>
      </c>
      <c r="L28" s="20" t="n">
        <v>0.20034682</v>
      </c>
      <c r="M28" s="18" t="n">
        <v>0.24819694</v>
      </c>
      <c r="N28" s="20" t="n">
        <v>0.24818797</v>
      </c>
      <c r="O28" s="18" t="n">
        <v>0</v>
      </c>
      <c r="P28" s="20" t="n">
        <v>0</v>
      </c>
      <c r="Q28" s="18" t="n">
        <v>1.69479888</v>
      </c>
      <c r="R28" s="20" t="n">
        <v>0.57141557</v>
      </c>
    </row>
    <row r="29" spans="1:18">
      <c r="A29" s="15" t="s">
        <v>587</v>
      </c>
      <c r="B29" s="17" t="n">
        <v>2700</v>
      </c>
      <c r="C29" s="18">
        <f>(2127.0/B29*100)</f>
        <v/>
      </c>
      <c r="D29" s="19" t="n">
        <v>573</v>
      </c>
      <c r="E29" s="18" t="n">
        <v>61.08654227</v>
      </c>
      <c r="F29" s="20" t="n">
        <v>2.0393103</v>
      </c>
      <c r="G29" s="18" t="n">
        <v>38.3736523</v>
      </c>
      <c r="H29" s="20" t="n">
        <v>2.01696563</v>
      </c>
      <c r="I29" s="18" t="n">
        <v>0</v>
      </c>
      <c r="J29" s="20" t="n">
        <v>0</v>
      </c>
      <c r="K29" s="18" t="n">
        <v>0</v>
      </c>
      <c r="L29" s="20" t="n">
        <v>0</v>
      </c>
      <c r="M29" s="18" t="n">
        <v>0</v>
      </c>
      <c r="N29" s="20" t="n">
        <v>0</v>
      </c>
      <c r="O29" s="18" t="n">
        <v>0</v>
      </c>
      <c r="P29" s="20" t="n">
        <v>0</v>
      </c>
      <c r="Q29" s="18" t="n">
        <v>0.53980542</v>
      </c>
      <c r="R29" s="20" t="n">
        <v>0.28493729</v>
      </c>
    </row>
    <row r="30" spans="1:18">
      <c r="A30" s="15" t="s">
        <v>588</v>
      </c>
      <c r="B30" s="17" t="n">
        <v>2257</v>
      </c>
      <c r="C30" s="18">
        <f>(1779.0/B30*100)</f>
        <v/>
      </c>
      <c r="D30" s="19" t="n">
        <v>478</v>
      </c>
      <c r="E30" s="18" t="n">
        <v>49.16340741</v>
      </c>
      <c r="F30" s="20" t="n">
        <v>2.00732696</v>
      </c>
      <c r="G30" s="18" t="n">
        <v>46.18119965</v>
      </c>
      <c r="H30" s="20" t="n">
        <v>1.97541599</v>
      </c>
      <c r="I30" s="18" t="n">
        <v>0</v>
      </c>
      <c r="J30" s="20" t="n">
        <v>0</v>
      </c>
      <c r="K30" s="18" t="n">
        <v>0.2381</v>
      </c>
      <c r="L30" s="20" t="n">
        <v>0.27294263</v>
      </c>
      <c r="M30" s="18" t="n">
        <v>0.22641858</v>
      </c>
      <c r="N30" s="20" t="n">
        <v>0.22986768</v>
      </c>
      <c r="O30" s="18" t="n">
        <v>0</v>
      </c>
      <c r="P30" s="20" t="n">
        <v>0</v>
      </c>
      <c r="Q30" s="18" t="n">
        <v>4.19087436</v>
      </c>
      <c r="R30" s="20" t="n">
        <v>0.8373842500000001</v>
      </c>
    </row>
    <row r="31" spans="1:18">
      <c r="A31" s="15" t="s">
        <v>589</v>
      </c>
      <c r="B31" s="17" t="n">
        <v>2706</v>
      </c>
      <c r="C31" s="18">
        <f>(2135.0/B31*100)</f>
        <v/>
      </c>
      <c r="D31" s="19" t="n">
        <v>571</v>
      </c>
      <c r="E31" s="18" t="n">
        <v>58.41015246</v>
      </c>
      <c r="F31" s="20" t="n">
        <v>2.11088388</v>
      </c>
      <c r="G31" s="18" t="n">
        <v>39.25771585</v>
      </c>
      <c r="H31" s="20" t="n">
        <v>2.06720666</v>
      </c>
      <c r="I31" s="18" t="n">
        <v>0</v>
      </c>
      <c r="J31" s="20" t="n">
        <v>0</v>
      </c>
      <c r="K31" s="18" t="n">
        <v>0</v>
      </c>
      <c r="L31" s="20" t="n">
        <v>0</v>
      </c>
      <c r="M31" s="18" t="n">
        <v>0.33478138</v>
      </c>
      <c r="N31" s="20" t="n">
        <v>0.23081394</v>
      </c>
      <c r="O31" s="18" t="n">
        <v>0</v>
      </c>
      <c r="P31" s="20" t="n">
        <v>0</v>
      </c>
      <c r="Q31" s="18" t="n">
        <v>1.99735031</v>
      </c>
      <c r="R31" s="20" t="n">
        <v>0.58798527</v>
      </c>
    </row>
    <row r="32" spans="1:18">
      <c r="A32" s="15" t="s">
        <v>590</v>
      </c>
      <c r="B32" s="17" t="n">
        <v>2209</v>
      </c>
      <c r="C32" s="18">
        <f>(1689.0/B32*100)</f>
        <v/>
      </c>
      <c r="D32" s="19" t="n">
        <v>520</v>
      </c>
      <c r="E32" s="18" t="n">
        <v>60.9856996</v>
      </c>
      <c r="F32" s="20" t="n">
        <v>2.2525947</v>
      </c>
      <c r="G32" s="18" t="n">
        <v>37.70753399</v>
      </c>
      <c r="H32" s="20" t="n">
        <v>2.2452197</v>
      </c>
      <c r="I32" s="18" t="n">
        <v>0</v>
      </c>
      <c r="J32" s="20" t="n">
        <v>0</v>
      </c>
      <c r="K32" s="18" t="n">
        <v>0</v>
      </c>
      <c r="L32" s="20" t="n">
        <v>0</v>
      </c>
      <c r="M32" s="18" t="n">
        <v>0</v>
      </c>
      <c r="N32" s="20" t="n">
        <v>0</v>
      </c>
      <c r="O32" s="18" t="n">
        <v>0</v>
      </c>
      <c r="P32" s="20" t="n">
        <v>0</v>
      </c>
      <c r="Q32" s="18" t="n">
        <v>1.30676641</v>
      </c>
      <c r="R32" s="20" t="n">
        <v>0.54932971</v>
      </c>
    </row>
    <row r="33" spans="1:18">
      <c r="A33" s="15" t="s">
        <v>591</v>
      </c>
      <c r="B33" s="17" t="n">
        <v>3651</v>
      </c>
      <c r="C33" s="18">
        <f>(2820.0/B33*100)</f>
        <v/>
      </c>
      <c r="D33" s="19" t="n">
        <v>831</v>
      </c>
      <c r="E33" s="18" t="n">
        <v>51.0481283</v>
      </c>
      <c r="F33" s="20" t="n">
        <v>2.04184195</v>
      </c>
      <c r="G33" s="18" t="n">
        <v>48.29183657</v>
      </c>
      <c r="H33" s="20" t="n">
        <v>2.08690254</v>
      </c>
      <c r="I33" s="18" t="n">
        <v>0</v>
      </c>
      <c r="J33" s="20" t="n">
        <v>0</v>
      </c>
      <c r="K33" s="18" t="n">
        <v>0.15214968</v>
      </c>
      <c r="L33" s="20" t="n">
        <v>0.16868817</v>
      </c>
      <c r="M33" s="18" t="n">
        <v>0</v>
      </c>
      <c r="N33" s="20" t="n">
        <v>0</v>
      </c>
      <c r="O33" s="18" t="n">
        <v>0</v>
      </c>
      <c r="P33" s="20" t="n">
        <v>0</v>
      </c>
      <c r="Q33" s="18" t="n">
        <v>0.50788545</v>
      </c>
      <c r="R33" s="20" t="n">
        <v>0.3184327</v>
      </c>
    </row>
    <row r="34" spans="1:18">
      <c r="A34" s="15" t="s">
        <v>592</v>
      </c>
      <c r="B34" s="17" t="n">
        <v>3035</v>
      </c>
      <c r="C34" s="18">
        <f>(2415.0/B34*100)</f>
        <v/>
      </c>
      <c r="D34" s="19" t="n">
        <v>620</v>
      </c>
      <c r="E34" s="18" t="n">
        <v>76.29438045000001</v>
      </c>
      <c r="F34" s="20" t="n">
        <v>1.9094891</v>
      </c>
      <c r="G34" s="18" t="n">
        <v>22.37333002</v>
      </c>
      <c r="H34" s="20" t="n">
        <v>1.84259734</v>
      </c>
      <c r="I34" s="18" t="n">
        <v>0</v>
      </c>
      <c r="J34" s="20" t="n">
        <v>0</v>
      </c>
      <c r="K34" s="18" t="n">
        <v>0</v>
      </c>
      <c r="L34" s="20" t="n">
        <v>0</v>
      </c>
      <c r="M34" s="18" t="n">
        <v>0.31210551</v>
      </c>
      <c r="N34" s="20" t="n">
        <v>0.22342859</v>
      </c>
      <c r="O34" s="18" t="n">
        <v>0</v>
      </c>
      <c r="P34" s="20" t="n">
        <v>0</v>
      </c>
      <c r="Q34" s="18" t="n">
        <v>1.02018401</v>
      </c>
      <c r="R34" s="20" t="n">
        <v>0.44078696</v>
      </c>
    </row>
    <row r="35" spans="1:18">
      <c r="A35" s="15" t="s">
        <v>593</v>
      </c>
      <c r="B35" s="17" t="n">
        <v>2901</v>
      </c>
      <c r="C35" s="18">
        <f>(2283.0/B35*100)</f>
        <v/>
      </c>
      <c r="D35" s="19" t="n">
        <v>618</v>
      </c>
      <c r="E35" s="18" t="n">
        <v>52.05966362</v>
      </c>
      <c r="F35" s="20" t="n">
        <v>2.47000808</v>
      </c>
      <c r="G35" s="18" t="n">
        <v>45.62022193</v>
      </c>
      <c r="H35" s="20" t="n">
        <v>2.59445526</v>
      </c>
      <c r="I35" s="18" t="n">
        <v>0</v>
      </c>
      <c r="J35" s="20" t="n">
        <v>0</v>
      </c>
      <c r="K35" s="18" t="n">
        <v>0</v>
      </c>
      <c r="L35" s="20" t="n">
        <v>0</v>
      </c>
      <c r="M35" s="18" t="n">
        <v>0</v>
      </c>
      <c r="N35" s="20" t="n">
        <v>0</v>
      </c>
      <c r="O35" s="18" t="n">
        <v>0</v>
      </c>
      <c r="P35" s="20" t="n">
        <v>0</v>
      </c>
      <c r="Q35" s="18" t="n">
        <v>2.32011446</v>
      </c>
      <c r="R35" s="20" t="n">
        <v>0.67843791</v>
      </c>
    </row>
    <row r="36" spans="1:18">
      <c r="A36" s="15" t="s">
        <v>594</v>
      </c>
      <c r="B36" s="17" t="n">
        <v>3404</v>
      </c>
      <c r="C36" s="18">
        <f>(2626.0/B36*100)</f>
        <v/>
      </c>
      <c r="D36" s="19" t="n">
        <v>778</v>
      </c>
      <c r="E36" s="18" t="n">
        <v>58.88204137</v>
      </c>
      <c r="F36" s="20" t="n">
        <v>2.08266904</v>
      </c>
      <c r="G36" s="18" t="n">
        <v>39.25659967</v>
      </c>
      <c r="H36" s="20" t="n">
        <v>2.10970767</v>
      </c>
      <c r="I36" s="18" t="n">
        <v>0</v>
      </c>
      <c r="J36" s="20" t="n">
        <v>0</v>
      </c>
      <c r="K36" s="18" t="n">
        <v>0.21092247</v>
      </c>
      <c r="L36" s="20" t="n">
        <v>0.18846635</v>
      </c>
      <c r="M36" s="18" t="n">
        <v>0</v>
      </c>
      <c r="N36" s="20" t="n">
        <v>0</v>
      </c>
      <c r="O36" s="18" t="n">
        <v>0</v>
      </c>
      <c r="P36" s="20" t="n">
        <v>0</v>
      </c>
      <c r="Q36" s="18" t="n">
        <v>1.65043649</v>
      </c>
      <c r="R36" s="20" t="n">
        <v>0.5013281000000001</v>
      </c>
    </row>
    <row r="37" spans="1:18">
      <c r="A37" s="15" t="s">
        <v>595</v>
      </c>
      <c r="B37" s="17" t="n">
        <v>2731</v>
      </c>
      <c r="C37" s="18">
        <f>(2127.0/B37*100)</f>
        <v/>
      </c>
      <c r="D37" s="19" t="n">
        <v>604</v>
      </c>
      <c r="E37" s="18" t="n">
        <v>60.51996278</v>
      </c>
      <c r="F37" s="20" t="n">
        <v>2.32148792</v>
      </c>
      <c r="G37" s="18" t="n">
        <v>33.85847709</v>
      </c>
      <c r="H37" s="20" t="n">
        <v>2.23457091</v>
      </c>
      <c r="I37" s="18" t="n">
        <v>0</v>
      </c>
      <c r="J37" s="20" t="n">
        <v>0</v>
      </c>
      <c r="K37" s="18" t="n">
        <v>0.18078491</v>
      </c>
      <c r="L37" s="20" t="n">
        <v>0.17919335</v>
      </c>
      <c r="M37" s="18" t="n">
        <v>0</v>
      </c>
      <c r="N37" s="20" t="n">
        <v>0</v>
      </c>
      <c r="O37" s="18" t="n">
        <v>0</v>
      </c>
      <c r="P37" s="20" t="n">
        <v>0</v>
      </c>
      <c r="Q37" s="18" t="n">
        <v>5.44077522</v>
      </c>
      <c r="R37" s="20" t="n">
        <v>0.78033257</v>
      </c>
    </row>
    <row r="38" spans="1:18">
      <c r="A38" s="15" t="s">
        <v>596</v>
      </c>
      <c r="B38" s="17" t="n">
        <v>2807</v>
      </c>
      <c r="C38" s="18">
        <f>(2180.0/B38*100)</f>
        <v/>
      </c>
      <c r="D38" s="19" t="n">
        <v>627</v>
      </c>
      <c r="E38" s="18" t="n">
        <v>54.31724114</v>
      </c>
      <c r="F38" s="20" t="n">
        <v>2.423372</v>
      </c>
      <c r="G38" s="18" t="n">
        <v>41.48923271</v>
      </c>
      <c r="H38" s="20" t="n">
        <v>2.42352698</v>
      </c>
      <c r="I38" s="18" t="n">
        <v>0</v>
      </c>
      <c r="J38" s="20" t="n">
        <v>0</v>
      </c>
      <c r="K38" s="18" t="n">
        <v>0</v>
      </c>
      <c r="L38" s="20" t="n">
        <v>0</v>
      </c>
      <c r="M38" s="18" t="n">
        <v>1.8164902</v>
      </c>
      <c r="N38" s="20" t="n">
        <v>0.54561675</v>
      </c>
      <c r="O38" s="18" t="n">
        <v>0</v>
      </c>
      <c r="P38" s="20" t="n">
        <v>0</v>
      </c>
      <c r="Q38" s="18" t="n">
        <v>2.37703595</v>
      </c>
      <c r="R38" s="20" t="n">
        <v>0.7140872</v>
      </c>
    </row>
    <row r="39" spans="1:18">
      <c r="A39" s="15" t="s">
        <v>597</v>
      </c>
      <c r="B39" s="17" t="n">
        <v>2938</v>
      </c>
      <c r="C39" s="18">
        <f>(2259.0/B39*100)</f>
        <v/>
      </c>
      <c r="D39" s="19" t="n">
        <v>679</v>
      </c>
      <c r="E39" s="18" t="n">
        <v>70.61616269</v>
      </c>
      <c r="F39" s="20" t="n">
        <v>2.28587525</v>
      </c>
      <c r="G39" s="18" t="n">
        <v>26.7469114</v>
      </c>
      <c r="H39" s="20" t="n">
        <v>2.26798869</v>
      </c>
      <c r="I39" s="18" t="n">
        <v>0</v>
      </c>
      <c r="J39" s="20" t="n">
        <v>0</v>
      </c>
      <c r="K39" s="18" t="n">
        <v>0</v>
      </c>
      <c r="L39" s="20" t="n">
        <v>0</v>
      </c>
      <c r="M39" s="18" t="n">
        <v>0</v>
      </c>
      <c r="N39" s="20" t="n">
        <v>0</v>
      </c>
      <c r="O39" s="18" t="n">
        <v>0</v>
      </c>
      <c r="P39" s="20" t="n">
        <v>0</v>
      </c>
      <c r="Q39" s="18" t="n">
        <v>2.6369259</v>
      </c>
      <c r="R39" s="20" t="n">
        <v>0.64901665</v>
      </c>
    </row>
    <row r="40" spans="1:18">
      <c r="A40" s="15" t="s">
        <v>598</v>
      </c>
      <c r="B40" s="17" t="n">
        <v>6922</v>
      </c>
      <c r="C40" s="18">
        <f>(5385.0/B40*100)</f>
        <v/>
      </c>
      <c r="D40" s="19" t="n">
        <v>1537</v>
      </c>
      <c r="E40" s="18" t="n">
        <v>48.81274288</v>
      </c>
      <c r="F40" s="20" t="n">
        <v>1.79821459</v>
      </c>
      <c r="G40" s="18" t="n">
        <v>46.59461823</v>
      </c>
      <c r="H40" s="20" t="n">
        <v>1.70589488</v>
      </c>
      <c r="I40" s="18" t="n">
        <v>0</v>
      </c>
      <c r="J40" s="20" t="n">
        <v>0</v>
      </c>
      <c r="K40" s="18" t="n">
        <v>0.14304529</v>
      </c>
      <c r="L40" s="20" t="n">
        <v>0.11435716</v>
      </c>
      <c r="M40" s="18" t="n">
        <v>0</v>
      </c>
      <c r="N40" s="20" t="n">
        <v>0</v>
      </c>
      <c r="O40" s="18" t="n">
        <v>0</v>
      </c>
      <c r="P40" s="20" t="n">
        <v>0</v>
      </c>
      <c r="Q40" s="18" t="n">
        <v>4.4495936</v>
      </c>
      <c r="R40" s="20" t="n">
        <v>0.9324936</v>
      </c>
    </row>
    <row r="41" spans="1:18">
      <c r="A41" s="15" t="s">
        <v>599</v>
      </c>
      <c r="B41" s="17" t="n">
        <v>2854</v>
      </c>
      <c r="C41" s="18">
        <f>(2234.0/B41*100)</f>
        <v/>
      </c>
      <c r="D41" s="19" t="n">
        <v>620</v>
      </c>
      <c r="E41" s="18" t="n">
        <v>54.02934691</v>
      </c>
      <c r="F41" s="20" t="n">
        <v>1.95270417</v>
      </c>
      <c r="G41" s="18" t="n">
        <v>45.31593025</v>
      </c>
      <c r="H41" s="20" t="n">
        <v>1.90661755</v>
      </c>
      <c r="I41" s="18" t="n">
        <v>0</v>
      </c>
      <c r="J41" s="20" t="n">
        <v>0</v>
      </c>
      <c r="K41" s="18" t="n">
        <v>0</v>
      </c>
      <c r="L41" s="20" t="n">
        <v>0</v>
      </c>
      <c r="M41" s="18" t="n">
        <v>0</v>
      </c>
      <c r="N41" s="20" t="n">
        <v>0</v>
      </c>
      <c r="O41" s="18" t="n">
        <v>0</v>
      </c>
      <c r="P41" s="20" t="n">
        <v>0</v>
      </c>
      <c r="Q41" s="18" t="n">
        <v>0.65472284</v>
      </c>
      <c r="R41" s="20" t="n">
        <v>0.28659502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(9890.0/B46*100)</f>
        <v/>
      </c>
      <c r="D46" s="19" t="n">
        <v>2183</v>
      </c>
      <c r="E46" s="18" t="n">
        <v>80.67290276999999</v>
      </c>
      <c r="F46" s="20" t="n">
        <v>1.31419397</v>
      </c>
      <c r="G46" s="18" t="n">
        <v>12.14797692</v>
      </c>
      <c r="H46" s="20" t="n">
        <v>1.10729694</v>
      </c>
      <c r="I46" s="18" t="n">
        <v>0</v>
      </c>
      <c r="J46" s="20" t="n">
        <v>0</v>
      </c>
      <c r="K46" s="18" t="n">
        <v>0.55987054</v>
      </c>
      <c r="L46" s="20" t="n">
        <v>0.28069137</v>
      </c>
      <c r="M46" s="18" t="n">
        <v>0.37989066</v>
      </c>
      <c r="N46" s="20" t="n">
        <v>0.13260196</v>
      </c>
      <c r="O46" s="18" t="n">
        <v>0</v>
      </c>
      <c r="P46" s="20" t="n">
        <v>0</v>
      </c>
      <c r="Q46" s="18" t="n">
        <v>6.23935911</v>
      </c>
      <c r="R46" s="20" t="n">
        <v>0.73136938</v>
      </c>
    </row>
    <row r="47" spans="1:18">
      <c r="A47" s="15" t="s">
        <v>606</v>
      </c>
      <c r="B47" s="17" t="n">
        <v>2823</v>
      </c>
      <c r="C47" s="18">
        <f>(2214.0/B47*100)</f>
        <v/>
      </c>
      <c r="D47" s="19" t="n">
        <v>609</v>
      </c>
      <c r="E47" s="18" t="n">
        <v>76.59114621000001</v>
      </c>
      <c r="F47" s="20" t="n">
        <v>1.85236824</v>
      </c>
      <c r="G47" s="18" t="n">
        <v>20.46346432</v>
      </c>
      <c r="H47" s="20" t="n">
        <v>1.78736454</v>
      </c>
      <c r="I47" s="18" t="n">
        <v>0</v>
      </c>
      <c r="J47" s="20" t="n">
        <v>0</v>
      </c>
      <c r="K47" s="18" t="n">
        <v>0.96589683</v>
      </c>
      <c r="L47" s="20" t="n">
        <v>0.46318711</v>
      </c>
      <c r="M47" s="18" t="n">
        <v>0</v>
      </c>
      <c r="N47" s="20" t="n">
        <v>0</v>
      </c>
      <c r="O47" s="18" t="n">
        <v>0</v>
      </c>
      <c r="P47" s="20" t="n">
        <v>0</v>
      </c>
      <c r="Q47" s="18" t="n">
        <v>1.97949264</v>
      </c>
      <c r="R47" s="20" t="n">
        <v>0.59388793</v>
      </c>
    </row>
    <row r="48" spans="1:18">
      <c r="A48" s="15" t="s">
        <v>607</v>
      </c>
      <c r="B48" s="17" t="n">
        <v>4682</v>
      </c>
      <c r="C48" s="18">
        <f>(3644.0/B48*100)</f>
        <v/>
      </c>
      <c r="D48" s="19" t="n">
        <v>1038</v>
      </c>
      <c r="E48" s="18" t="n">
        <v>43.86307878</v>
      </c>
      <c r="F48" s="20" t="n">
        <v>2.51564705</v>
      </c>
      <c r="G48" s="18" t="n">
        <v>55.48673084</v>
      </c>
      <c r="H48" s="20" t="n">
        <v>2.53920107</v>
      </c>
      <c r="I48" s="18" t="n">
        <v>0</v>
      </c>
      <c r="J48" s="20" t="n">
        <v>0</v>
      </c>
      <c r="K48" s="18" t="n">
        <v>0.4854676</v>
      </c>
      <c r="L48" s="20" t="n">
        <v>0.37737046</v>
      </c>
      <c r="M48" s="18" t="n">
        <v>0</v>
      </c>
      <c r="N48" s="20" t="n">
        <v>0</v>
      </c>
      <c r="O48" s="18" t="n">
        <v>0</v>
      </c>
      <c r="P48" s="20" t="n">
        <v>0</v>
      </c>
      <c r="Q48" s="18" t="n">
        <v>0.16472277</v>
      </c>
      <c r="R48" s="20" t="n">
        <v>0.16478236</v>
      </c>
    </row>
    <row r="49" spans="1:18">
      <c r="A49" s="15" t="s">
        <v>608</v>
      </c>
      <c r="B49" s="17" t="n">
        <v>6158</v>
      </c>
      <c r="C49" s="18">
        <f>(4847.0/B49*100)</f>
        <v/>
      </c>
      <c r="D49" s="19" t="n">
        <v>1311</v>
      </c>
      <c r="E49" s="18" t="n">
        <v>80.61094896</v>
      </c>
      <c r="F49" s="20" t="n">
        <v>1.40800733</v>
      </c>
      <c r="G49" s="18" t="n">
        <v>15.64919747</v>
      </c>
      <c r="H49" s="20" t="n">
        <v>1.19784832</v>
      </c>
      <c r="I49" s="18" t="n">
        <v>0</v>
      </c>
      <c r="J49" s="20" t="n">
        <v>0</v>
      </c>
      <c r="K49" s="18" t="n">
        <v>0.91269018</v>
      </c>
      <c r="L49" s="20" t="n">
        <v>0.29012743</v>
      </c>
      <c r="M49" s="18" t="n">
        <v>0.17153551</v>
      </c>
      <c r="N49" s="20" t="n">
        <v>0.08129952</v>
      </c>
      <c r="O49" s="18" t="n">
        <v>0</v>
      </c>
      <c r="P49" s="20" t="n">
        <v>0</v>
      </c>
      <c r="Q49" s="18" t="n">
        <v>2.65562788</v>
      </c>
      <c r="R49" s="20" t="n">
        <v>0.58559923</v>
      </c>
    </row>
    <row r="50" spans="1:18">
      <c r="A50" s="15" t="s">
        <v>609</v>
      </c>
      <c r="B50" s="17" t="n">
        <v>3494</v>
      </c>
      <c r="C50" s="18">
        <f>(2815.0/B50*100)</f>
        <v/>
      </c>
      <c r="D50" s="19" t="n">
        <v>679</v>
      </c>
      <c r="E50" s="18" t="n">
        <v>86.08206223000001</v>
      </c>
      <c r="F50" s="20" t="n">
        <v>1.58045258</v>
      </c>
      <c r="G50" s="18" t="n">
        <v>12.70307484</v>
      </c>
      <c r="H50" s="20" t="n">
        <v>1.59073443</v>
      </c>
      <c r="I50" s="18" t="n">
        <v>0</v>
      </c>
      <c r="J50" s="20" t="n">
        <v>0</v>
      </c>
      <c r="K50" s="18" t="n">
        <v>0</v>
      </c>
      <c r="L50" s="20" t="n">
        <v>0</v>
      </c>
      <c r="M50" s="18" t="n">
        <v>0</v>
      </c>
      <c r="N50" s="20" t="n">
        <v>0</v>
      </c>
      <c r="O50" s="18" t="n">
        <v>0</v>
      </c>
      <c r="P50" s="20" t="n">
        <v>0</v>
      </c>
      <c r="Q50" s="18" t="n">
        <v>1.21486293</v>
      </c>
      <c r="R50" s="20" t="n">
        <v>0.38822527</v>
      </c>
    </row>
    <row r="51" spans="1:18">
      <c r="A51" s="15" t="s">
        <v>610</v>
      </c>
      <c r="B51" s="17" t="n">
        <v>3013</v>
      </c>
      <c r="C51" s="18">
        <f>(2337.0/B51*100)</f>
        <v/>
      </c>
      <c r="D51" s="19" t="n">
        <v>676</v>
      </c>
      <c r="E51" s="18" t="n">
        <v>65.12342454</v>
      </c>
      <c r="F51" s="20" t="n">
        <v>1.97226897</v>
      </c>
      <c r="G51" s="18" t="n">
        <v>32.8126981</v>
      </c>
      <c r="H51" s="20" t="n">
        <v>1.97704172</v>
      </c>
      <c r="I51" s="18" t="n">
        <v>0</v>
      </c>
      <c r="J51" s="20" t="n">
        <v>0</v>
      </c>
      <c r="K51" s="18" t="n">
        <v>0</v>
      </c>
      <c r="L51" s="20" t="n">
        <v>0</v>
      </c>
      <c r="M51" s="18" t="n">
        <v>0</v>
      </c>
      <c r="N51" s="20" t="n">
        <v>0</v>
      </c>
      <c r="O51" s="18" t="n">
        <v>0</v>
      </c>
      <c r="P51" s="20" t="n">
        <v>0</v>
      </c>
      <c r="Q51" s="18" t="n">
        <v>2.06387735</v>
      </c>
      <c r="R51" s="20" t="n">
        <v>0.57255122</v>
      </c>
    </row>
    <row r="52" spans="1:18">
      <c r="A52" s="15" t="s">
        <v>611</v>
      </c>
      <c r="B52" s="17" t="n">
        <v>2760</v>
      </c>
      <c r="C52" s="18">
        <f>(2135.0/B52*100)</f>
        <v/>
      </c>
      <c r="D52" s="19" t="n">
        <v>625</v>
      </c>
      <c r="E52" s="18" t="n">
        <v>71.25903771</v>
      </c>
      <c r="F52" s="20" t="n">
        <v>1.73255391</v>
      </c>
      <c r="G52" s="18" t="n">
        <v>27.74023197</v>
      </c>
      <c r="H52" s="20" t="n">
        <v>1.72615718</v>
      </c>
      <c r="I52" s="18" t="n">
        <v>0</v>
      </c>
      <c r="J52" s="20" t="n">
        <v>0</v>
      </c>
      <c r="K52" s="18" t="n">
        <v>0.11436267</v>
      </c>
      <c r="L52" s="20" t="n">
        <v>0.11488599</v>
      </c>
      <c r="M52" s="18" t="n">
        <v>0</v>
      </c>
      <c r="N52" s="20" t="n">
        <v>0</v>
      </c>
      <c r="O52" s="18" t="n">
        <v>0</v>
      </c>
      <c r="P52" s="20" t="n">
        <v>0</v>
      </c>
      <c r="Q52" s="18" t="n">
        <v>0.88636766</v>
      </c>
      <c r="R52" s="20" t="n">
        <v>0.37209565</v>
      </c>
    </row>
    <row r="53" spans="1:18">
      <c r="A53" s="15" t="s">
        <v>612</v>
      </c>
      <c r="B53" s="17" t="n">
        <v>2474</v>
      </c>
      <c r="C53" s="18">
        <f>(1953.0/B53*100)</f>
        <v/>
      </c>
      <c r="D53" s="19" t="n">
        <v>521</v>
      </c>
      <c r="E53" s="18" t="n">
        <v>83.12292355</v>
      </c>
      <c r="F53" s="20" t="n">
        <v>2.15354026</v>
      </c>
      <c r="G53" s="18" t="n">
        <v>4.26949038</v>
      </c>
      <c r="H53" s="20" t="n">
        <v>1.11488579</v>
      </c>
      <c r="I53" s="18" t="n">
        <v>0</v>
      </c>
      <c r="J53" s="20" t="n">
        <v>0</v>
      </c>
      <c r="K53" s="18" t="n">
        <v>6.94474465</v>
      </c>
      <c r="L53" s="20" t="n">
        <v>1.32766915</v>
      </c>
      <c r="M53" s="18" t="n">
        <v>1.07524631</v>
      </c>
      <c r="N53" s="20" t="n">
        <v>1.18277045</v>
      </c>
      <c r="O53" s="18" t="n">
        <v>0</v>
      </c>
      <c r="P53" s="20" t="n">
        <v>0</v>
      </c>
      <c r="Q53" s="18" t="n">
        <v>4.58759511</v>
      </c>
      <c r="R53" s="20" t="n">
        <v>0.7543354799999999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(2080.0/B55*100)</f>
        <v/>
      </c>
      <c r="D55" s="19" t="n">
        <v>595</v>
      </c>
      <c r="E55" s="18" t="n">
        <v>38.51539524</v>
      </c>
      <c r="F55" s="20" t="n">
        <v>2.75035323</v>
      </c>
      <c r="G55" s="18" t="n">
        <v>60.59614503</v>
      </c>
      <c r="H55" s="20" t="n">
        <v>2.81089532</v>
      </c>
      <c r="I55" s="18" t="n">
        <v>0</v>
      </c>
      <c r="J55" s="20" t="n">
        <v>0</v>
      </c>
      <c r="K55" s="18" t="n">
        <v>0.33010156</v>
      </c>
      <c r="L55" s="20" t="n">
        <v>0.31717459</v>
      </c>
      <c r="M55" s="18" t="n">
        <v>0</v>
      </c>
      <c r="N55" s="20" t="n">
        <v>0</v>
      </c>
      <c r="O55" s="18" t="n">
        <v>0</v>
      </c>
      <c r="P55" s="20" t="n">
        <v>0</v>
      </c>
      <c r="Q55" s="18" t="n">
        <v>0.55835817</v>
      </c>
      <c r="R55" s="20" t="n">
        <v>0.32641757</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(2486.0/B61*100)</f>
        <v/>
      </c>
      <c r="D61" s="19" t="n">
        <v>715</v>
      </c>
      <c r="E61" s="18" t="n">
        <v>62.65804184</v>
      </c>
      <c r="F61" s="20" t="n">
        <v>2.06916833</v>
      </c>
      <c r="G61" s="18" t="n">
        <v>36.39882937</v>
      </c>
      <c r="H61" s="20" t="n">
        <v>2.03661425</v>
      </c>
      <c r="I61" s="18" t="n">
        <v>0</v>
      </c>
      <c r="J61" s="20" t="n">
        <v>0</v>
      </c>
      <c r="K61" s="18" t="n">
        <v>0.18096625</v>
      </c>
      <c r="L61" s="20" t="n">
        <v>0.18614357</v>
      </c>
      <c r="M61" s="18" t="n">
        <v>0</v>
      </c>
      <c r="N61" s="20" t="n">
        <v>0</v>
      </c>
      <c r="O61" s="18" t="n">
        <v>0</v>
      </c>
      <c r="P61" s="20" t="n">
        <v>0</v>
      </c>
      <c r="Q61" s="18" t="n">
        <v>0.7621625400000001</v>
      </c>
      <c r="R61" s="20" t="n">
        <v>0.30570229</v>
      </c>
    </row>
    <row r="62" spans="1:18">
      <c r="A62" s="15" t="s">
        <v>622</v>
      </c>
      <c r="B62" s="17" t="n">
        <v>2230</v>
      </c>
      <c r="C62" s="18">
        <f>(1728.0/B62*100)</f>
        <v/>
      </c>
      <c r="D62" s="19" t="n">
        <v>502</v>
      </c>
      <c r="E62" s="18" t="n">
        <v>45.71015686</v>
      </c>
      <c r="F62" s="20" t="n">
        <v>1.97822306</v>
      </c>
      <c r="G62" s="18" t="n">
        <v>54.28984314</v>
      </c>
      <c r="H62" s="20" t="n">
        <v>1.97822306</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(2201.0/B67*100)</f>
        <v/>
      </c>
      <c r="D67" s="19" t="n">
        <v>570</v>
      </c>
      <c r="E67" s="18" t="n">
        <v>78.13664955</v>
      </c>
      <c r="F67" s="20" t="n">
        <v>1.33664035</v>
      </c>
      <c r="G67" s="18" t="n">
        <v>15.47673891</v>
      </c>
      <c r="H67" s="20" t="n">
        <v>1.27149698</v>
      </c>
      <c r="I67" s="18" t="n">
        <v>0</v>
      </c>
      <c r="J67" s="20" t="n">
        <v>0</v>
      </c>
      <c r="K67" s="18" t="n">
        <v>0.39457949</v>
      </c>
      <c r="L67" s="20" t="n">
        <v>0.28865029</v>
      </c>
      <c r="M67" s="18" t="n">
        <v>0.33883742</v>
      </c>
      <c r="N67" s="20" t="n">
        <v>0.23988036</v>
      </c>
      <c r="O67" s="18" t="n">
        <v>0</v>
      </c>
      <c r="P67" s="20" t="n">
        <v>0</v>
      </c>
      <c r="Q67" s="18" t="n">
        <v>5.65319464</v>
      </c>
      <c r="R67" s="20" t="n">
        <v>0.87855028</v>
      </c>
    </row>
    <row r="68" spans="1:18">
      <c r="A68" s="15" t="s">
        <v>628</v>
      </c>
      <c r="B68" s="17" t="n">
        <v>3460</v>
      </c>
      <c r="C68" s="18">
        <f>(2780.0/B68*100)</f>
        <v/>
      </c>
      <c r="D68" s="19" t="n">
        <v>680</v>
      </c>
      <c r="E68" s="18" t="n">
        <v>85.25510417</v>
      </c>
      <c r="F68" s="20" t="n">
        <v>1.56581469</v>
      </c>
      <c r="G68" s="18" t="n">
        <v>12.23919842</v>
      </c>
      <c r="H68" s="20" t="n">
        <v>1.54057707</v>
      </c>
      <c r="I68" s="18" t="n">
        <v>0</v>
      </c>
      <c r="J68" s="20" t="n">
        <v>0</v>
      </c>
      <c r="K68" s="18" t="n">
        <v>0</v>
      </c>
      <c r="L68" s="20" t="n">
        <v>0</v>
      </c>
      <c r="M68" s="18" t="n">
        <v>0.5669047699999999</v>
      </c>
      <c r="N68" s="20" t="n">
        <v>0.33287729</v>
      </c>
      <c r="O68" s="18" t="n">
        <v>0</v>
      </c>
      <c r="P68" s="20" t="n">
        <v>0</v>
      </c>
      <c r="Q68" s="18" t="n">
        <v>1.93879264</v>
      </c>
      <c r="R68" s="20" t="n">
        <v>0.50162822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70.36849502</v>
      </c>
      <c r="F70" s="20" t="n">
        <v>1.20882778</v>
      </c>
      <c r="G70" s="18" t="n">
        <v>26.04619914</v>
      </c>
      <c r="H70" s="20" t="n">
        <v>1.15613027</v>
      </c>
      <c r="I70" s="18" t="n">
        <v>0</v>
      </c>
      <c r="J70" s="20" t="n">
        <v>0</v>
      </c>
      <c r="K70" s="18" t="n">
        <v>0.71092113</v>
      </c>
      <c r="L70" s="20" t="n">
        <v>0.23717581</v>
      </c>
      <c r="M70" s="18" t="n">
        <v>0</v>
      </c>
      <c r="N70" s="20" t="n">
        <v>0</v>
      </c>
      <c r="O70" s="18" t="n">
        <v>0</v>
      </c>
      <c r="P70" s="20" t="n">
        <v>0</v>
      </c>
      <c r="Q70" s="18" t="n">
        <v>2.87438471</v>
      </c>
      <c r="R70" s="20" t="n">
        <v>0.47956658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(2437.0/B72*100)</f>
        <v/>
      </c>
      <c r="D72" s="19" t="n">
        <v>670</v>
      </c>
      <c r="E72" s="18" t="n">
        <v>63.45911965</v>
      </c>
      <c r="F72" s="20" t="n">
        <v>1.93659541</v>
      </c>
      <c r="G72" s="18" t="n">
        <v>35.1976221</v>
      </c>
      <c r="H72" s="20" t="n">
        <v>1.85707961</v>
      </c>
      <c r="I72" s="18" t="n">
        <v>0</v>
      </c>
      <c r="J72" s="20" t="n">
        <v>0</v>
      </c>
      <c r="K72" s="18" t="n">
        <v>0</v>
      </c>
      <c r="L72" s="20" t="n">
        <v>0</v>
      </c>
      <c r="M72" s="18" t="n">
        <v>0.06659276</v>
      </c>
      <c r="N72" s="20" t="n">
        <v>0.06693428999999999</v>
      </c>
      <c r="O72" s="18" t="n">
        <v>0</v>
      </c>
      <c r="P72" s="20" t="n">
        <v>0</v>
      </c>
      <c r="Q72" s="18" t="n">
        <v>1.27666549</v>
      </c>
      <c r="R72" s="20" t="n">
        <v>0.61093927</v>
      </c>
    </row>
    <row r="73" spans="1:18">
      <c r="A73" s="15" t="s">
        <v>633</v>
      </c>
      <c r="B73" s="17" t="n">
        <v>2973</v>
      </c>
      <c r="C73" s="18">
        <f>(2306.0/B73*100)</f>
        <v/>
      </c>
      <c r="D73" s="19" t="n">
        <v>667</v>
      </c>
      <c r="E73" s="18" t="n">
        <v>36.657337</v>
      </c>
      <c r="F73" s="20" t="n">
        <v>2.08144792</v>
      </c>
      <c r="G73" s="18" t="n">
        <v>62.75949047</v>
      </c>
      <c r="H73" s="20" t="n">
        <v>2.099395</v>
      </c>
      <c r="I73" s="18" t="n">
        <v>0</v>
      </c>
      <c r="J73" s="20" t="n">
        <v>0</v>
      </c>
      <c r="K73" s="18" t="n">
        <v>0</v>
      </c>
      <c r="L73" s="20" t="n">
        <v>0</v>
      </c>
      <c r="M73" s="18" t="n">
        <v>0</v>
      </c>
      <c r="N73" s="20" t="n">
        <v>0</v>
      </c>
      <c r="O73" s="18" t="n">
        <v>0</v>
      </c>
      <c r="P73" s="20" t="n">
        <v>0</v>
      </c>
      <c r="Q73" s="18" t="n">
        <v>0.58317253</v>
      </c>
      <c r="R73" s="20" t="n">
        <v>0.29374089</v>
      </c>
    </row>
    <row r="74" spans="1:18">
      <c r="A74" s="15" t="s">
        <v>634</v>
      </c>
      <c r="B74" s="17" t="n">
        <v>3819</v>
      </c>
      <c r="C74" s="18">
        <f>(2928.0/B74*100)</f>
        <v/>
      </c>
      <c r="D74" s="19" t="n">
        <v>891</v>
      </c>
      <c r="E74" s="18" t="n">
        <v>41.42509662</v>
      </c>
      <c r="F74" s="20" t="n">
        <v>2.07229861</v>
      </c>
      <c r="G74" s="18" t="n">
        <v>58.14196728</v>
      </c>
      <c r="H74" s="20" t="n">
        <v>2.03326059</v>
      </c>
      <c r="I74" s="18" t="n">
        <v>0</v>
      </c>
      <c r="J74" s="20" t="n">
        <v>0</v>
      </c>
      <c r="K74" s="18" t="n">
        <v>0</v>
      </c>
      <c r="L74" s="20" t="n">
        <v>0</v>
      </c>
      <c r="M74" s="18" t="n">
        <v>0</v>
      </c>
      <c r="N74" s="20" t="n">
        <v>0</v>
      </c>
      <c r="O74" s="18" t="n">
        <v>0</v>
      </c>
      <c r="P74" s="20" t="n">
        <v>0</v>
      </c>
      <c r="Q74" s="18" t="n">
        <v>0.4329361</v>
      </c>
      <c r="R74" s="20" t="n">
        <v>0.30764773</v>
      </c>
    </row>
    <row r="75" spans="1:18">
      <c r="A75" s="15" t="s">
        <v>635</v>
      </c>
      <c r="B75" s="17" t="n">
        <v>4652</v>
      </c>
      <c r="C75" s="18">
        <f>(3610.0/B75*100)</f>
        <v/>
      </c>
      <c r="D75" s="19" t="n">
        <v>1042</v>
      </c>
      <c r="E75" s="18" t="n">
        <v>74.93857762</v>
      </c>
      <c r="F75" s="20" t="n">
        <v>1.86210746</v>
      </c>
      <c r="G75" s="18" t="n">
        <v>24.05443816</v>
      </c>
      <c r="H75" s="20" t="n">
        <v>1.85155167</v>
      </c>
      <c r="I75" s="18" t="n">
        <v>0</v>
      </c>
      <c r="J75" s="20" t="n">
        <v>0</v>
      </c>
      <c r="K75" s="18" t="n">
        <v>0</v>
      </c>
      <c r="L75" s="20" t="n">
        <v>0</v>
      </c>
      <c r="M75" s="18" t="n">
        <v>0.49017402</v>
      </c>
      <c r="N75" s="20" t="n">
        <v>0.2880249</v>
      </c>
      <c r="O75" s="18" t="n">
        <v>0</v>
      </c>
      <c r="P75" s="20" t="n">
        <v>0</v>
      </c>
      <c r="Q75" s="18" t="n">
        <v>0.5168102</v>
      </c>
      <c r="R75" s="20" t="n">
        <v>0.16006868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(2352.0/B77*100)</f>
        <v/>
      </c>
      <c r="D77" s="19" t="n">
        <v>617</v>
      </c>
      <c r="E77" s="18" t="n">
        <v>84.54418092</v>
      </c>
      <c r="F77" s="20" t="n">
        <v>1.66108067</v>
      </c>
      <c r="G77" s="18" t="n">
        <v>8.44924065</v>
      </c>
      <c r="H77" s="20" t="n">
        <v>1.18219176</v>
      </c>
      <c r="I77" s="18" t="n">
        <v>0</v>
      </c>
      <c r="J77" s="20" t="n">
        <v>0</v>
      </c>
      <c r="K77" s="18" t="n">
        <v>2.76845515</v>
      </c>
      <c r="L77" s="20" t="n">
        <v>0.74712592</v>
      </c>
      <c r="M77" s="18" t="n">
        <v>1.02438384</v>
      </c>
      <c r="N77" s="20" t="n">
        <v>0.42099545</v>
      </c>
      <c r="O77" s="18" t="n">
        <v>0</v>
      </c>
      <c r="P77" s="20" t="n">
        <v>0</v>
      </c>
      <c r="Q77" s="18" t="n">
        <v>3.21373944</v>
      </c>
      <c r="R77" s="20" t="n">
        <v>0.86157031</v>
      </c>
    </row>
    <row r="78" spans="1:18">
      <c r="A78" s="15" t="s">
        <v>638</v>
      </c>
      <c r="B78" s="17" t="n">
        <v>7115</v>
      </c>
      <c r="C78" s="18">
        <f>(5535.0/B78*100)</f>
        <v/>
      </c>
      <c r="D78" s="19" t="n">
        <v>1580</v>
      </c>
      <c r="E78" s="18" t="n">
        <v>70.39850085</v>
      </c>
      <c r="F78" s="20" t="n">
        <v>1.43694253</v>
      </c>
      <c r="G78" s="18" t="n">
        <v>26.84852057</v>
      </c>
      <c r="H78" s="20" t="n">
        <v>1.39879589</v>
      </c>
      <c r="I78" s="18" t="n">
        <v>0</v>
      </c>
      <c r="J78" s="20" t="n">
        <v>0</v>
      </c>
      <c r="K78" s="18" t="n">
        <v>0.30400022</v>
      </c>
      <c r="L78" s="20" t="n">
        <v>0.14693908</v>
      </c>
      <c r="M78" s="18" t="n">
        <v>0.14540227</v>
      </c>
      <c r="N78" s="20" t="n">
        <v>0.10732837</v>
      </c>
      <c r="O78" s="18" t="n">
        <v>0</v>
      </c>
      <c r="P78" s="20" t="n">
        <v>0</v>
      </c>
      <c r="Q78" s="18" t="n">
        <v>2.3035761</v>
      </c>
      <c r="R78" s="20" t="n">
        <v>0.43141718</v>
      </c>
    </row>
    <row r="79" spans="1:18">
      <c r="A79" s="15" t="s">
        <v>639</v>
      </c>
      <c r="B79" s="17" t="n">
        <v>3154</v>
      </c>
      <c r="C79" s="18">
        <f>(2495.0/B79*100)</f>
        <v/>
      </c>
      <c r="D79" s="19" t="n">
        <v>659</v>
      </c>
      <c r="E79" s="18" t="n">
        <v>75.69884666</v>
      </c>
      <c r="F79" s="20" t="n">
        <v>1.73625794</v>
      </c>
      <c r="G79" s="18" t="n">
        <v>16.02210709</v>
      </c>
      <c r="H79" s="20" t="n">
        <v>1.49008267</v>
      </c>
      <c r="I79" s="18" t="n">
        <v>0</v>
      </c>
      <c r="J79" s="20" t="n">
        <v>0</v>
      </c>
      <c r="K79" s="18" t="n">
        <v>0.26977696</v>
      </c>
      <c r="L79" s="20" t="n">
        <v>0.1886229</v>
      </c>
      <c r="M79" s="18" t="n">
        <v>0</v>
      </c>
      <c r="N79" s="20" t="n">
        <v>0</v>
      </c>
      <c r="O79" s="18" t="n">
        <v>0</v>
      </c>
      <c r="P79" s="20" t="n">
        <v>0</v>
      </c>
      <c r="Q79" s="18" t="n">
        <v>8.009269290000001</v>
      </c>
      <c r="R79" s="20" t="n">
        <v>1.18505901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(12423.0/B82*100)</f>
        <v/>
      </c>
      <c r="D82" s="19" t="n">
        <v>3538</v>
      </c>
      <c r="E82" s="18" t="n">
        <v>55.94629231</v>
      </c>
      <c r="F82" s="20" t="n">
        <v>1.23822158</v>
      </c>
      <c r="G82" s="18" t="n">
        <v>42.2139201</v>
      </c>
      <c r="H82" s="20" t="n">
        <v>1.245712</v>
      </c>
      <c r="I82" s="18" t="n">
        <v>0</v>
      </c>
      <c r="J82" s="20" t="n">
        <v>0</v>
      </c>
      <c r="K82" s="18" t="n">
        <v>0.13761391</v>
      </c>
      <c r="L82" s="20" t="n">
        <v>0.06942367000000001</v>
      </c>
      <c r="M82" s="18" t="n">
        <v>0</v>
      </c>
      <c r="N82" s="20" t="n">
        <v>0</v>
      </c>
      <c r="O82" s="18" t="n">
        <v>0</v>
      </c>
      <c r="P82" s="20" t="n">
        <v>0</v>
      </c>
      <c r="Q82" s="18" t="n">
        <v>1.70217367</v>
      </c>
      <c r="R82" s="20" t="n">
        <v>0.32959658</v>
      </c>
    </row>
    <row r="83" spans="1:18">
      <c r="A83" s="15" t="s">
        <v>643</v>
      </c>
      <c r="B83" s="17" t="n">
        <v>808</v>
      </c>
      <c r="C83" s="18">
        <f>(650.0/B83*100)</f>
        <v/>
      </c>
      <c r="D83" s="19" t="n">
        <v>158</v>
      </c>
      <c r="E83" s="18" t="n">
        <v>39.13199715</v>
      </c>
      <c r="F83" s="20" t="n">
        <v>4.67361505</v>
      </c>
      <c r="G83" s="18" t="n">
        <v>60.86800285</v>
      </c>
      <c r="H83" s="20" t="n">
        <v>4.67361505</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(742.0/B84*100)</f>
        <v/>
      </c>
      <c r="D84" s="19" t="n">
        <v>196</v>
      </c>
      <c r="E84" s="18" t="n">
        <v>56.17378611</v>
      </c>
      <c r="F84" s="20" t="n">
        <v>4.21694953</v>
      </c>
      <c r="G84" s="18" t="n">
        <v>42.78101963</v>
      </c>
      <c r="H84" s="20" t="n">
        <v>4.2998847</v>
      </c>
      <c r="I84" s="18" t="n">
        <v>0</v>
      </c>
      <c r="J84" s="20" t="n">
        <v>0</v>
      </c>
      <c r="K84" s="18" t="n">
        <v>0</v>
      </c>
      <c r="L84" s="20" t="n">
        <v>0</v>
      </c>
      <c r="M84" s="18" t="n">
        <v>0</v>
      </c>
      <c r="N84" s="20" t="n">
        <v>0</v>
      </c>
      <c r="O84" s="18" t="n">
        <v>0</v>
      </c>
      <c r="P84" s="20" t="n">
        <v>0</v>
      </c>
      <c r="Q84" s="18" t="n">
        <v>1.04519426</v>
      </c>
      <c r="R84" s="20" t="n">
        <v>0.8419186400000001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755</v>
      </c>
    </row>
    <row customHeight="1" ht="30" r="4" spans="1:20">
      <c r="A4" s="6" t="n"/>
      <c r="B4" s="7" t="s">
        <v>551</v>
      </c>
      <c r="C4" s="7" t="s">
        <v>552</v>
      </c>
      <c r="D4" s="8" t="s">
        <v>551</v>
      </c>
      <c r="E4" s="9" t="s">
        <v>660</v>
      </c>
      <c r="F4" s="10" t="n"/>
      <c r="G4" s="9" t="s">
        <v>752</v>
      </c>
      <c r="H4" s="10" t="n"/>
      <c r="I4" s="9" t="s">
        <v>661</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(5602.0/B7*100)</f>
        <v/>
      </c>
      <c r="D7" s="19" t="n">
        <v>1561</v>
      </c>
      <c r="E7" s="18" t="n">
        <v>33.1884549</v>
      </c>
      <c r="F7" s="20" t="n">
        <v>1.46741103</v>
      </c>
      <c r="G7" s="18" t="n">
        <v>31.4638884</v>
      </c>
      <c r="H7" s="20" t="n">
        <v>1.50353535</v>
      </c>
      <c r="I7" s="18" t="n">
        <v>33.81003818</v>
      </c>
      <c r="J7" s="20" t="n">
        <v>1.54295965</v>
      </c>
      <c r="K7" s="18" t="n">
        <v>0</v>
      </c>
      <c r="L7" s="20" t="n">
        <v>0</v>
      </c>
      <c r="M7" s="18" t="n">
        <v>0.14146226</v>
      </c>
      <c r="N7" s="20" t="n">
        <v>0.10274995</v>
      </c>
      <c r="O7" s="18" t="n">
        <v>0</v>
      </c>
      <c r="P7" s="20" t="n">
        <v>0</v>
      </c>
      <c r="Q7" s="18" t="n">
        <v>0</v>
      </c>
      <c r="R7" s="20" t="n">
        <v>0</v>
      </c>
      <c r="S7" s="18" t="n">
        <v>1.39615625</v>
      </c>
      <c r="T7" s="20" t="n">
        <v>0.34960658</v>
      </c>
    </row>
    <row r="8" spans="1:20">
      <c r="A8" s="15" t="s">
        <v>566</v>
      </c>
      <c r="B8" s="17" t="n">
        <v>3443</v>
      </c>
      <c r="C8" s="18">
        <f>(2674.0/B8*100)</f>
        <v/>
      </c>
      <c r="D8" s="19" t="n">
        <v>769</v>
      </c>
      <c r="E8" s="18" t="n">
        <v>39.85872507</v>
      </c>
      <c r="F8" s="20" t="n">
        <v>1.89203138</v>
      </c>
      <c r="G8" s="18" t="n">
        <v>40.17710591</v>
      </c>
      <c r="H8" s="20" t="n">
        <v>1.88442726</v>
      </c>
      <c r="I8" s="18" t="n">
        <v>18.63261089</v>
      </c>
      <c r="J8" s="20" t="n">
        <v>1.50060833</v>
      </c>
      <c r="K8" s="18" t="n">
        <v>0</v>
      </c>
      <c r="L8" s="20" t="n">
        <v>0</v>
      </c>
      <c r="M8" s="18" t="n">
        <v>0.33872435</v>
      </c>
      <c r="N8" s="20" t="n">
        <v>0.24743382</v>
      </c>
      <c r="O8" s="18" t="n">
        <v>0</v>
      </c>
      <c r="P8" s="20" t="n">
        <v>0</v>
      </c>
      <c r="Q8" s="18" t="n">
        <v>0</v>
      </c>
      <c r="R8" s="20" t="n">
        <v>0</v>
      </c>
      <c r="S8" s="18" t="n">
        <v>0.99283379</v>
      </c>
      <c r="T8" s="20" t="n">
        <v>0.33497747</v>
      </c>
    </row>
    <row r="9" spans="1:20">
      <c r="A9" s="15" t="s">
        <v>567</v>
      </c>
      <c r="B9" s="17" t="n">
        <v>4752</v>
      </c>
      <c r="C9" s="18">
        <f>(3751.0/B9*100)</f>
        <v/>
      </c>
      <c r="D9" s="19" t="n">
        <v>1001</v>
      </c>
      <c r="E9" s="18" t="n">
        <v>35.32243249</v>
      </c>
      <c r="F9" s="20" t="n">
        <v>1.68310405</v>
      </c>
      <c r="G9" s="18" t="n">
        <v>28.16042943</v>
      </c>
      <c r="H9" s="20" t="n">
        <v>1.24659929</v>
      </c>
      <c r="I9" s="18" t="n">
        <v>34.24396179</v>
      </c>
      <c r="J9" s="20" t="n">
        <v>1.40282287</v>
      </c>
      <c r="K9" s="18" t="n">
        <v>0</v>
      </c>
      <c r="L9" s="20" t="n">
        <v>0</v>
      </c>
      <c r="M9" s="18" t="n">
        <v>0.21687712</v>
      </c>
      <c r="N9" s="20" t="n">
        <v>0.15328482</v>
      </c>
      <c r="O9" s="18" t="n">
        <v>0</v>
      </c>
      <c r="P9" s="20" t="n">
        <v>0</v>
      </c>
      <c r="Q9" s="18" t="n">
        <v>0</v>
      </c>
      <c r="R9" s="20" t="n">
        <v>0</v>
      </c>
      <c r="S9" s="18" t="n">
        <v>2.05629918</v>
      </c>
      <c r="T9" s="20" t="n">
        <v>0.60635564</v>
      </c>
    </row>
    <row r="10" spans="1:20">
      <c r="A10" s="15" t="s">
        <v>568</v>
      </c>
      <c r="B10" s="17" t="n">
        <v>10022</v>
      </c>
      <c r="C10" s="18">
        <f>(7811.0/B10*100)</f>
        <v/>
      </c>
      <c r="D10" s="19" t="n">
        <v>2211</v>
      </c>
      <c r="E10" s="18" t="n">
        <v>31.69760737</v>
      </c>
      <c r="F10" s="20" t="n">
        <v>1.62174901</v>
      </c>
      <c r="G10" s="18" t="n">
        <v>28.79939397</v>
      </c>
      <c r="H10" s="20" t="n">
        <v>1.40609366</v>
      </c>
      <c r="I10" s="18" t="n">
        <v>38.62475448</v>
      </c>
      <c r="J10" s="20" t="n">
        <v>1.54982824</v>
      </c>
      <c r="K10" s="18" t="n">
        <v>0</v>
      </c>
      <c r="L10" s="20" t="n">
        <v>0</v>
      </c>
      <c r="M10" s="18" t="n">
        <v>0.39325906</v>
      </c>
      <c r="N10" s="20" t="n">
        <v>0.19830293</v>
      </c>
      <c r="O10" s="18" t="n">
        <v>0</v>
      </c>
      <c r="P10" s="20" t="n">
        <v>0</v>
      </c>
      <c r="Q10" s="18" t="n">
        <v>0</v>
      </c>
      <c r="R10" s="20" t="n">
        <v>0</v>
      </c>
      <c r="S10" s="18" t="n">
        <v>0.48498511</v>
      </c>
      <c r="T10" s="20" t="n">
        <v>0.19264066</v>
      </c>
    </row>
    <row r="11" spans="1:20">
      <c r="A11" s="15" t="s">
        <v>569</v>
      </c>
      <c r="B11" s="17" t="n">
        <v>3500</v>
      </c>
      <c r="C11" s="18">
        <f>(2723.0/B11*100)</f>
        <v/>
      </c>
      <c r="D11" s="19" t="n">
        <v>777</v>
      </c>
      <c r="E11" s="18" t="n">
        <v>47.54275126</v>
      </c>
      <c r="F11" s="20" t="n">
        <v>2.42147071</v>
      </c>
      <c r="G11" s="18" t="n">
        <v>33.1303675</v>
      </c>
      <c r="H11" s="20" t="n">
        <v>2.10965197</v>
      </c>
      <c r="I11" s="18" t="n">
        <v>14.98371329</v>
      </c>
      <c r="J11" s="20" t="n">
        <v>1.84537804</v>
      </c>
      <c r="K11" s="18" t="n">
        <v>0</v>
      </c>
      <c r="L11" s="20" t="n">
        <v>0</v>
      </c>
      <c r="M11" s="18" t="n">
        <v>0.50735717</v>
      </c>
      <c r="N11" s="20" t="n">
        <v>0.27229923</v>
      </c>
      <c r="O11" s="18" t="n">
        <v>0</v>
      </c>
      <c r="P11" s="20" t="n">
        <v>0</v>
      </c>
      <c r="Q11" s="18" t="n">
        <v>0</v>
      </c>
      <c r="R11" s="20" t="n">
        <v>0</v>
      </c>
      <c r="S11" s="18" t="n">
        <v>3.83581078</v>
      </c>
      <c r="T11" s="20" t="n">
        <v>0.81483935</v>
      </c>
    </row>
    <row r="12" spans="1:20">
      <c r="A12" s="15" t="s">
        <v>570</v>
      </c>
      <c r="B12" s="17" t="n">
        <v>3422</v>
      </c>
      <c r="C12" s="18">
        <f>(2691.0/B12*100)</f>
        <v/>
      </c>
      <c r="D12" s="19" t="n">
        <v>731</v>
      </c>
      <c r="E12" s="18" t="n">
        <v>34.52435807</v>
      </c>
      <c r="F12" s="20" t="n">
        <v>1.94936354</v>
      </c>
      <c r="G12" s="18" t="n">
        <v>35.88553695</v>
      </c>
      <c r="H12" s="20" t="n">
        <v>1.89152721</v>
      </c>
      <c r="I12" s="18" t="n">
        <v>28.22745417</v>
      </c>
      <c r="J12" s="20" t="n">
        <v>1.67874253</v>
      </c>
      <c r="K12" s="18" t="n">
        <v>0</v>
      </c>
      <c r="L12" s="20" t="n">
        <v>0</v>
      </c>
      <c r="M12" s="18" t="n">
        <v>0.12777565</v>
      </c>
      <c r="N12" s="20" t="n">
        <v>0.12497224</v>
      </c>
      <c r="O12" s="18" t="n">
        <v>0</v>
      </c>
      <c r="P12" s="20" t="n">
        <v>0</v>
      </c>
      <c r="Q12" s="18" t="n">
        <v>0</v>
      </c>
      <c r="R12" s="20" t="n">
        <v>0</v>
      </c>
      <c r="S12" s="18" t="n">
        <v>1.23487516</v>
      </c>
      <c r="T12" s="20" t="n">
        <v>0.50569933</v>
      </c>
    </row>
    <row r="13" spans="1:20">
      <c r="A13" s="15" t="s">
        <v>571</v>
      </c>
      <c r="B13" s="17" t="n">
        <v>3602</v>
      </c>
      <c r="C13" s="18">
        <f>(2848.0/B13*100)</f>
        <v/>
      </c>
      <c r="D13" s="19" t="n">
        <v>754</v>
      </c>
      <c r="E13" s="18" t="n">
        <v>35.41042967</v>
      </c>
      <c r="F13" s="20" t="n">
        <v>1.92963199</v>
      </c>
      <c r="G13" s="18" t="n">
        <v>37.95913454</v>
      </c>
      <c r="H13" s="20" t="n">
        <v>2.04091017</v>
      </c>
      <c r="I13" s="18" t="n">
        <v>24.5269013</v>
      </c>
      <c r="J13" s="20" t="n">
        <v>1.97265326</v>
      </c>
      <c r="K13" s="18" t="n">
        <v>0</v>
      </c>
      <c r="L13" s="20" t="n">
        <v>0</v>
      </c>
      <c r="M13" s="18" t="n">
        <v>0.672764</v>
      </c>
      <c r="N13" s="20" t="n">
        <v>0.35659636</v>
      </c>
      <c r="O13" s="18" t="n">
        <v>0</v>
      </c>
      <c r="P13" s="20" t="n">
        <v>0</v>
      </c>
      <c r="Q13" s="18" t="n">
        <v>0</v>
      </c>
      <c r="R13" s="20" t="n">
        <v>0</v>
      </c>
      <c r="S13" s="18" t="n">
        <v>1.43077049</v>
      </c>
      <c r="T13" s="20" t="n">
        <v>0.73403359</v>
      </c>
    </row>
    <row r="14" spans="1:20">
      <c r="A14" s="15" t="s">
        <v>572</v>
      </c>
      <c r="B14" s="17" t="n">
        <v>2788</v>
      </c>
      <c r="C14" s="18">
        <f>(2179.0/B14*100)</f>
        <v/>
      </c>
      <c r="D14" s="19" t="n">
        <v>609</v>
      </c>
      <c r="E14" s="18" t="n">
        <v>30.93921621</v>
      </c>
      <c r="F14" s="20" t="n">
        <v>1.93097263</v>
      </c>
      <c r="G14" s="18" t="n">
        <v>25.80548496</v>
      </c>
      <c r="H14" s="20" t="n">
        <v>1.82318518</v>
      </c>
      <c r="I14" s="18" t="n">
        <v>42.75766892</v>
      </c>
      <c r="J14" s="20" t="n">
        <v>2.08569364</v>
      </c>
      <c r="K14" s="18" t="n">
        <v>0</v>
      </c>
      <c r="L14" s="20" t="n">
        <v>0</v>
      </c>
      <c r="M14" s="18" t="n">
        <v>0</v>
      </c>
      <c r="N14" s="20" t="n">
        <v>0</v>
      </c>
      <c r="O14" s="18" t="n">
        <v>0</v>
      </c>
      <c r="P14" s="20" t="n">
        <v>0</v>
      </c>
      <c r="Q14" s="18" t="n">
        <v>0</v>
      </c>
      <c r="R14" s="20" t="n">
        <v>0</v>
      </c>
      <c r="S14" s="18" t="n">
        <v>0.49762991</v>
      </c>
      <c r="T14" s="20" t="n">
        <v>0.39486117</v>
      </c>
    </row>
    <row r="15" spans="1:20">
      <c r="A15" s="15" t="s">
        <v>573</v>
      </c>
      <c r="B15" s="17" t="n">
        <v>2863</v>
      </c>
      <c r="C15" s="18">
        <f>(2216.0/B15*100)</f>
        <v/>
      </c>
      <c r="D15" s="19" t="n">
        <v>647</v>
      </c>
      <c r="E15" s="18" t="n">
        <v>33.66955973</v>
      </c>
      <c r="F15" s="20" t="n">
        <v>2.05773304</v>
      </c>
      <c r="G15" s="18" t="n">
        <v>33.55637722</v>
      </c>
      <c r="H15" s="20" t="n">
        <v>1.90275868</v>
      </c>
      <c r="I15" s="18" t="n">
        <v>31.29830537</v>
      </c>
      <c r="J15" s="20" t="n">
        <v>1.84954826</v>
      </c>
      <c r="K15" s="18" t="n">
        <v>0</v>
      </c>
      <c r="L15" s="20" t="n">
        <v>0</v>
      </c>
      <c r="M15" s="18" t="n">
        <v>0</v>
      </c>
      <c r="N15" s="20" t="n">
        <v>0</v>
      </c>
      <c r="O15" s="18" t="n">
        <v>0</v>
      </c>
      <c r="P15" s="20" t="n">
        <v>0</v>
      </c>
      <c r="Q15" s="18" t="n">
        <v>0</v>
      </c>
      <c r="R15" s="20" t="n">
        <v>0</v>
      </c>
      <c r="S15" s="18" t="n">
        <v>1.47575767</v>
      </c>
      <c r="T15" s="20" t="n">
        <v>0.46941405</v>
      </c>
    </row>
    <row r="16" spans="1:20">
      <c r="A16" s="15" t="s">
        <v>574</v>
      </c>
      <c r="B16" s="17" t="n">
        <v>3111</v>
      </c>
      <c r="C16" s="18">
        <f>(2421.0/B16*100)</f>
        <v/>
      </c>
      <c r="D16" s="19" t="n">
        <v>690</v>
      </c>
      <c r="E16" s="18" t="n">
        <v>28.26419656</v>
      </c>
      <c r="F16" s="20" t="n">
        <v>1.80548456</v>
      </c>
      <c r="G16" s="18" t="n">
        <v>27.13979267</v>
      </c>
      <c r="H16" s="20" t="n">
        <v>1.68036696</v>
      </c>
      <c r="I16" s="18" t="n">
        <v>40.02437024</v>
      </c>
      <c r="J16" s="20" t="n">
        <v>1.86470975</v>
      </c>
      <c r="K16" s="18" t="n">
        <v>0</v>
      </c>
      <c r="L16" s="20" t="n">
        <v>0</v>
      </c>
      <c r="M16" s="18" t="n">
        <v>0.10221673</v>
      </c>
      <c r="N16" s="20" t="n">
        <v>0.10134104</v>
      </c>
      <c r="O16" s="18" t="n">
        <v>0</v>
      </c>
      <c r="P16" s="20" t="n">
        <v>0</v>
      </c>
      <c r="Q16" s="18" t="n">
        <v>0</v>
      </c>
      <c r="R16" s="20" t="n">
        <v>0</v>
      </c>
      <c r="S16" s="18" t="n">
        <v>4.46942381</v>
      </c>
      <c r="T16" s="20" t="n">
        <v>0.89785834</v>
      </c>
    </row>
    <row r="17" spans="1:20">
      <c r="A17" s="15" t="s">
        <v>575</v>
      </c>
      <c r="B17" s="17" t="n">
        <v>3197</v>
      </c>
      <c r="C17" s="18">
        <f>(2546.0/B17*100)</f>
        <v/>
      </c>
      <c r="D17" s="19" t="n">
        <v>651</v>
      </c>
      <c r="E17" s="18" t="n">
        <v>34.17902614</v>
      </c>
      <c r="F17" s="20" t="n">
        <v>1.96309052</v>
      </c>
      <c r="G17" s="18" t="n">
        <v>33.37596682</v>
      </c>
      <c r="H17" s="20" t="n">
        <v>1.77939903</v>
      </c>
      <c r="I17" s="18" t="n">
        <v>30.36247786</v>
      </c>
      <c r="J17" s="20" t="n">
        <v>1.84524528</v>
      </c>
      <c r="K17" s="18" t="n">
        <v>0</v>
      </c>
      <c r="L17" s="20" t="n">
        <v>0</v>
      </c>
      <c r="M17" s="18" t="n">
        <v>0</v>
      </c>
      <c r="N17" s="20" t="n">
        <v>0</v>
      </c>
      <c r="O17" s="18" t="n">
        <v>0</v>
      </c>
      <c r="P17" s="20" t="n">
        <v>0</v>
      </c>
      <c r="Q17" s="18" t="n">
        <v>0</v>
      </c>
      <c r="R17" s="20" t="n">
        <v>0</v>
      </c>
      <c r="S17" s="18" t="n">
        <v>2.08252918</v>
      </c>
      <c r="T17" s="20" t="n">
        <v>0.59142837</v>
      </c>
    </row>
    <row r="18" spans="1:20">
      <c r="A18" s="15" t="s">
        <v>576</v>
      </c>
      <c r="B18" s="17" t="n">
        <v>2706</v>
      </c>
      <c r="C18" s="18">
        <f>(2112.0/B18*100)</f>
        <v/>
      </c>
      <c r="D18" s="19" t="n">
        <v>594</v>
      </c>
      <c r="E18" s="18" t="n">
        <v>45.74286511</v>
      </c>
      <c r="F18" s="20" t="n">
        <v>2.26633424</v>
      </c>
      <c r="G18" s="18" t="n">
        <v>32.79037222</v>
      </c>
      <c r="H18" s="20" t="n">
        <v>2.10688424</v>
      </c>
      <c r="I18" s="18" t="n">
        <v>19.39698848</v>
      </c>
      <c r="J18" s="20" t="n">
        <v>2.12082493</v>
      </c>
      <c r="K18" s="18" t="n">
        <v>0</v>
      </c>
      <c r="L18" s="20" t="n">
        <v>0</v>
      </c>
      <c r="M18" s="18" t="n">
        <v>0.68708571</v>
      </c>
      <c r="N18" s="20" t="n">
        <v>0.38780942</v>
      </c>
      <c r="O18" s="18" t="n">
        <v>0</v>
      </c>
      <c r="P18" s="20" t="n">
        <v>0</v>
      </c>
      <c r="Q18" s="18" t="n">
        <v>0</v>
      </c>
      <c r="R18" s="20" t="n">
        <v>0</v>
      </c>
      <c r="S18" s="18" t="n">
        <v>1.38268847</v>
      </c>
      <c r="T18" s="20" t="n">
        <v>0.7031951400000001</v>
      </c>
    </row>
    <row r="19" spans="1:20">
      <c r="A19" s="15" t="s">
        <v>577</v>
      </c>
      <c r="B19" s="17" t="n">
        <v>2850</v>
      </c>
      <c r="C19" s="18">
        <f>(2237.0/B19*100)</f>
        <v/>
      </c>
      <c r="D19" s="19" t="n">
        <v>613</v>
      </c>
      <c r="E19" s="18" t="n">
        <v>46.50362418</v>
      </c>
      <c r="F19" s="20" t="n">
        <v>2.22778408</v>
      </c>
      <c r="G19" s="18" t="n">
        <v>28.47518258</v>
      </c>
      <c r="H19" s="20" t="n">
        <v>1.85183966</v>
      </c>
      <c r="I19" s="18" t="n">
        <v>24.38584075</v>
      </c>
      <c r="J19" s="20" t="n">
        <v>1.84252316</v>
      </c>
      <c r="K19" s="18" t="n">
        <v>0</v>
      </c>
      <c r="L19" s="20" t="n">
        <v>0</v>
      </c>
      <c r="M19" s="18" t="n">
        <v>0</v>
      </c>
      <c r="N19" s="20" t="n">
        <v>0</v>
      </c>
      <c r="O19" s="18" t="n">
        <v>0</v>
      </c>
      <c r="P19" s="20" t="n">
        <v>0</v>
      </c>
      <c r="Q19" s="18" t="n">
        <v>0</v>
      </c>
      <c r="R19" s="20" t="n">
        <v>0</v>
      </c>
      <c r="S19" s="18" t="n">
        <v>0.63535249</v>
      </c>
      <c r="T19" s="20" t="n">
        <v>0.32075983</v>
      </c>
    </row>
    <row r="20" spans="1:20">
      <c r="A20" s="15" t="s">
        <v>578</v>
      </c>
      <c r="B20" s="17" t="n">
        <v>1741</v>
      </c>
      <c r="C20" s="18">
        <f>(1375.0/B20*100)</f>
        <v/>
      </c>
      <c r="D20" s="19" t="n">
        <v>366</v>
      </c>
      <c r="E20" s="18" t="n">
        <v>42.74494599</v>
      </c>
      <c r="F20" s="20" t="n">
        <v>2.65868894</v>
      </c>
      <c r="G20" s="18" t="n">
        <v>36.8695021</v>
      </c>
      <c r="H20" s="20" t="n">
        <v>2.67282471</v>
      </c>
      <c r="I20" s="18" t="n">
        <v>18.97007395</v>
      </c>
      <c r="J20" s="20" t="n">
        <v>2.20400218</v>
      </c>
      <c r="K20" s="18" t="n">
        <v>0</v>
      </c>
      <c r="L20" s="20" t="n">
        <v>0</v>
      </c>
      <c r="M20" s="18" t="n">
        <v>0.31856466</v>
      </c>
      <c r="N20" s="20" t="n">
        <v>0.30975132</v>
      </c>
      <c r="O20" s="18" t="n">
        <v>0</v>
      </c>
      <c r="P20" s="20" t="n">
        <v>0</v>
      </c>
      <c r="Q20" s="18" t="n">
        <v>0</v>
      </c>
      <c r="R20" s="20" t="n">
        <v>0</v>
      </c>
      <c r="S20" s="18" t="n">
        <v>1.09691331</v>
      </c>
      <c r="T20" s="20" t="n">
        <v>0.56023219</v>
      </c>
    </row>
    <row r="21" spans="1:20">
      <c r="A21" s="15" t="s">
        <v>579</v>
      </c>
      <c r="B21" s="17" t="n">
        <v>2833</v>
      </c>
      <c r="C21" s="18">
        <f>(2211.0/B21*100)</f>
        <v/>
      </c>
      <c r="D21" s="19" t="n">
        <v>622</v>
      </c>
      <c r="E21" s="18" t="n">
        <v>37.93710475</v>
      </c>
      <c r="F21" s="20" t="n">
        <v>2.09548147</v>
      </c>
      <c r="G21" s="18" t="n">
        <v>32.93074173</v>
      </c>
      <c r="H21" s="20" t="n">
        <v>2.00965942</v>
      </c>
      <c r="I21" s="18" t="n">
        <v>27.83826798</v>
      </c>
      <c r="J21" s="20" t="n">
        <v>1.93059207</v>
      </c>
      <c r="K21" s="18" t="n">
        <v>0</v>
      </c>
      <c r="L21" s="20" t="n">
        <v>0</v>
      </c>
      <c r="M21" s="18" t="n">
        <v>0</v>
      </c>
      <c r="N21" s="20" t="n">
        <v>0</v>
      </c>
      <c r="O21" s="18" t="n">
        <v>0</v>
      </c>
      <c r="P21" s="20" t="n">
        <v>0</v>
      </c>
      <c r="Q21" s="18" t="n">
        <v>0</v>
      </c>
      <c r="R21" s="20" t="n">
        <v>0</v>
      </c>
      <c r="S21" s="18" t="n">
        <v>1.29388554</v>
      </c>
      <c r="T21" s="20" t="n">
        <v>0.53175225</v>
      </c>
    </row>
    <row r="22" spans="1:20">
      <c r="A22" s="15" t="s">
        <v>580</v>
      </c>
      <c r="B22" s="17" t="n">
        <v>3667</v>
      </c>
      <c r="C22" s="18">
        <f>(2869.0/B22*100)</f>
        <v/>
      </c>
      <c r="D22" s="19" t="n">
        <v>798</v>
      </c>
      <c r="E22" s="18" t="n">
        <v>38.69939337</v>
      </c>
      <c r="F22" s="20" t="n">
        <v>2.04875181</v>
      </c>
      <c r="G22" s="18" t="n">
        <v>31.36768868</v>
      </c>
      <c r="H22" s="20" t="n">
        <v>1.50258799</v>
      </c>
      <c r="I22" s="18" t="n">
        <v>25.92518831</v>
      </c>
      <c r="J22" s="20" t="n">
        <v>1.84305642</v>
      </c>
      <c r="K22" s="18" t="n">
        <v>0</v>
      </c>
      <c r="L22" s="20" t="n">
        <v>0</v>
      </c>
      <c r="M22" s="18" t="n">
        <v>0.84812628</v>
      </c>
      <c r="N22" s="20" t="n">
        <v>0.32393572</v>
      </c>
      <c r="O22" s="18" t="n">
        <v>0</v>
      </c>
      <c r="P22" s="20" t="n">
        <v>0</v>
      </c>
      <c r="Q22" s="18" t="n">
        <v>0</v>
      </c>
      <c r="R22" s="20" t="n">
        <v>0</v>
      </c>
      <c r="S22" s="18" t="n">
        <v>3.15960337</v>
      </c>
      <c r="T22" s="20" t="n">
        <v>0.92586029</v>
      </c>
    </row>
    <row r="23" spans="1:20">
      <c r="A23" s="15" t="s">
        <v>581</v>
      </c>
      <c r="B23" s="17" t="n">
        <v>5792</v>
      </c>
      <c r="C23" s="18">
        <f>(4497.0/B23*100)</f>
        <v/>
      </c>
      <c r="D23" s="19" t="n">
        <v>1295</v>
      </c>
      <c r="E23" s="18" t="n">
        <v>39.43622947</v>
      </c>
      <c r="F23" s="20" t="n">
        <v>2.09043604</v>
      </c>
      <c r="G23" s="18" t="n">
        <v>32.19655086</v>
      </c>
      <c r="H23" s="20" t="n">
        <v>1.98935578</v>
      </c>
      <c r="I23" s="18" t="n">
        <v>24.81290966</v>
      </c>
      <c r="J23" s="20" t="n">
        <v>2.06080825</v>
      </c>
      <c r="K23" s="18" t="n">
        <v>0</v>
      </c>
      <c r="L23" s="20" t="n">
        <v>0</v>
      </c>
      <c r="M23" s="18" t="n">
        <v>0.63759577</v>
      </c>
      <c r="N23" s="20" t="n">
        <v>0.35801044</v>
      </c>
      <c r="O23" s="18" t="n">
        <v>0</v>
      </c>
      <c r="P23" s="20" t="n">
        <v>0</v>
      </c>
      <c r="Q23" s="18" t="n">
        <v>0</v>
      </c>
      <c r="R23" s="20" t="n">
        <v>0</v>
      </c>
      <c r="S23" s="18" t="n">
        <v>2.91671424</v>
      </c>
      <c r="T23" s="20" t="n">
        <v>0.54939226</v>
      </c>
    </row>
    <row r="24" spans="1:20">
      <c r="A24" s="15" t="s">
        <v>582</v>
      </c>
      <c r="B24" s="17" t="n">
        <v>3309</v>
      </c>
      <c r="C24" s="18">
        <f>(2564.0/B24*100)</f>
        <v/>
      </c>
      <c r="D24" s="19" t="n">
        <v>745</v>
      </c>
      <c r="E24" s="18" t="n">
        <v>30.08328653</v>
      </c>
      <c r="F24" s="20" t="n">
        <v>1.929564</v>
      </c>
      <c r="G24" s="18" t="n">
        <v>25.36473905</v>
      </c>
      <c r="H24" s="20" t="n">
        <v>1.81744046</v>
      </c>
      <c r="I24" s="18" t="n">
        <v>43.01255384</v>
      </c>
      <c r="J24" s="20" t="n">
        <v>2.0237504</v>
      </c>
      <c r="K24" s="18" t="n">
        <v>0</v>
      </c>
      <c r="L24" s="20" t="n">
        <v>0</v>
      </c>
      <c r="M24" s="18" t="n">
        <v>0</v>
      </c>
      <c r="N24" s="20" t="n">
        <v>0</v>
      </c>
      <c r="O24" s="18" t="n">
        <v>0</v>
      </c>
      <c r="P24" s="20" t="n">
        <v>0</v>
      </c>
      <c r="Q24" s="18" t="n">
        <v>0</v>
      </c>
      <c r="R24" s="20" t="n">
        <v>0</v>
      </c>
      <c r="S24" s="18" t="n">
        <v>1.53942058</v>
      </c>
      <c r="T24" s="20" t="n">
        <v>0.47900664</v>
      </c>
    </row>
    <row r="25" spans="1:20">
      <c r="A25" s="15" t="s">
        <v>583</v>
      </c>
      <c r="B25" s="17" t="n">
        <v>2669</v>
      </c>
      <c r="C25" s="18">
        <f>(2074.0/B25*100)</f>
        <v/>
      </c>
      <c r="D25" s="19" t="n">
        <v>595</v>
      </c>
      <c r="E25" s="18" t="n">
        <v>35.76333029</v>
      </c>
      <c r="F25" s="20" t="n">
        <v>2.41518991</v>
      </c>
      <c r="G25" s="18" t="n">
        <v>31.7767135</v>
      </c>
      <c r="H25" s="20" t="n">
        <v>2.13010269</v>
      </c>
      <c r="I25" s="18" t="n">
        <v>32.31972864</v>
      </c>
      <c r="J25" s="20" t="n">
        <v>2.04431891</v>
      </c>
      <c r="K25" s="18" t="n">
        <v>0</v>
      </c>
      <c r="L25" s="20" t="n">
        <v>0</v>
      </c>
      <c r="M25" s="18" t="n">
        <v>0</v>
      </c>
      <c r="N25" s="20" t="n">
        <v>0</v>
      </c>
      <c r="O25" s="18" t="n">
        <v>0</v>
      </c>
      <c r="P25" s="20" t="n">
        <v>0</v>
      </c>
      <c r="Q25" s="18" t="n">
        <v>0</v>
      </c>
      <c r="R25" s="20" t="n">
        <v>0</v>
      </c>
      <c r="S25" s="18" t="n">
        <v>0.14022757</v>
      </c>
      <c r="T25" s="20" t="n">
        <v>0.1404701</v>
      </c>
    </row>
    <row r="26" spans="1:20">
      <c r="A26" s="15" t="s">
        <v>584</v>
      </c>
      <c r="B26" s="17" t="n">
        <v>2419</v>
      </c>
      <c r="C26" s="18">
        <f>(1891.0/B26*100)</f>
        <v/>
      </c>
      <c r="D26" s="19" t="n">
        <v>528</v>
      </c>
      <c r="E26" s="18" t="n">
        <v>36.96779956</v>
      </c>
      <c r="F26" s="20" t="n">
        <v>2.31175652</v>
      </c>
      <c r="G26" s="18" t="n">
        <v>33.60047275</v>
      </c>
      <c r="H26" s="20" t="n">
        <v>2.19042912</v>
      </c>
      <c r="I26" s="18" t="n">
        <v>28.98931449</v>
      </c>
      <c r="J26" s="20" t="n">
        <v>2.31925243</v>
      </c>
      <c r="K26" s="18" t="n">
        <v>0</v>
      </c>
      <c r="L26" s="20" t="n">
        <v>0</v>
      </c>
      <c r="M26" s="18" t="n">
        <v>0</v>
      </c>
      <c r="N26" s="20" t="n">
        <v>0</v>
      </c>
      <c r="O26" s="18" t="n">
        <v>0</v>
      </c>
      <c r="P26" s="20" t="n">
        <v>0</v>
      </c>
      <c r="Q26" s="18" t="n">
        <v>0</v>
      </c>
      <c r="R26" s="20" t="n">
        <v>0</v>
      </c>
      <c r="S26" s="18" t="n">
        <v>0.4424132</v>
      </c>
      <c r="T26" s="20" t="n">
        <v>0.26675959</v>
      </c>
    </row>
    <row r="27" spans="1:20">
      <c r="A27" s="15" t="s">
        <v>585</v>
      </c>
      <c r="B27" s="17" t="n">
        <v>2683</v>
      </c>
      <c r="C27" s="18">
        <f>(2120.0/B27*100)</f>
        <v/>
      </c>
      <c r="D27" s="19" t="n">
        <v>563</v>
      </c>
      <c r="E27" s="18" t="n">
        <v>39.13267392</v>
      </c>
      <c r="F27" s="20" t="n">
        <v>1.99614114</v>
      </c>
      <c r="G27" s="18" t="n">
        <v>36.35789354</v>
      </c>
      <c r="H27" s="20" t="n">
        <v>2.10513532</v>
      </c>
      <c r="I27" s="18" t="n">
        <v>21.82202716</v>
      </c>
      <c r="J27" s="20" t="n">
        <v>1.81508058</v>
      </c>
      <c r="K27" s="18" t="n">
        <v>0</v>
      </c>
      <c r="L27" s="20" t="n">
        <v>0</v>
      </c>
      <c r="M27" s="18" t="n">
        <v>0.3763541</v>
      </c>
      <c r="N27" s="20" t="n">
        <v>0.26454541</v>
      </c>
      <c r="O27" s="18" t="n">
        <v>0</v>
      </c>
      <c r="P27" s="20" t="n">
        <v>0</v>
      </c>
      <c r="Q27" s="18" t="n">
        <v>0</v>
      </c>
      <c r="R27" s="20" t="n">
        <v>0</v>
      </c>
      <c r="S27" s="18" t="n">
        <v>2.3110513</v>
      </c>
      <c r="T27" s="20" t="n">
        <v>0.56410907</v>
      </c>
    </row>
    <row r="28" spans="1:20">
      <c r="A28" s="15" t="s">
        <v>586</v>
      </c>
      <c r="B28" s="17" t="n">
        <v>3803</v>
      </c>
      <c r="C28" s="18">
        <f>(3019.0/B28*100)</f>
        <v/>
      </c>
      <c r="D28" s="19" t="n">
        <v>784</v>
      </c>
      <c r="E28" s="18" t="n">
        <v>56.97501423</v>
      </c>
      <c r="F28" s="20" t="n">
        <v>2.14084902</v>
      </c>
      <c r="G28" s="18" t="n">
        <v>32.53870307</v>
      </c>
      <c r="H28" s="20" t="n">
        <v>1.99866685</v>
      </c>
      <c r="I28" s="18" t="n">
        <v>8.120289420000001</v>
      </c>
      <c r="J28" s="20" t="n">
        <v>0.93178433</v>
      </c>
      <c r="K28" s="18" t="n">
        <v>0</v>
      </c>
      <c r="L28" s="20" t="n">
        <v>0</v>
      </c>
      <c r="M28" s="18" t="n">
        <v>0.27805327</v>
      </c>
      <c r="N28" s="20" t="n">
        <v>0.19807855</v>
      </c>
      <c r="O28" s="18" t="n">
        <v>0</v>
      </c>
      <c r="P28" s="20" t="n">
        <v>0</v>
      </c>
      <c r="Q28" s="18" t="n">
        <v>0</v>
      </c>
      <c r="R28" s="20" t="n">
        <v>0</v>
      </c>
      <c r="S28" s="18" t="n">
        <v>2.08794001</v>
      </c>
      <c r="T28" s="20" t="n">
        <v>0.62378133</v>
      </c>
    </row>
    <row r="29" spans="1:20">
      <c r="A29" s="15" t="s">
        <v>587</v>
      </c>
      <c r="B29" s="17" t="n">
        <v>2700</v>
      </c>
      <c r="C29" s="18">
        <f>(2127.0/B29*100)</f>
        <v/>
      </c>
      <c r="D29" s="19" t="n">
        <v>573</v>
      </c>
      <c r="E29" s="18" t="n">
        <v>36.89441501</v>
      </c>
      <c r="F29" s="20" t="n">
        <v>1.99215475</v>
      </c>
      <c r="G29" s="18" t="n">
        <v>36.35149789</v>
      </c>
      <c r="H29" s="20" t="n">
        <v>2.13799456</v>
      </c>
      <c r="I29" s="18" t="n">
        <v>26.30379091</v>
      </c>
      <c r="J29" s="20" t="n">
        <v>1.86937283</v>
      </c>
      <c r="K29" s="18" t="n">
        <v>0</v>
      </c>
      <c r="L29" s="20" t="n">
        <v>0</v>
      </c>
      <c r="M29" s="18" t="n">
        <v>0</v>
      </c>
      <c r="N29" s="20" t="n">
        <v>0</v>
      </c>
      <c r="O29" s="18" t="n">
        <v>0</v>
      </c>
      <c r="P29" s="20" t="n">
        <v>0</v>
      </c>
      <c r="Q29" s="18" t="n">
        <v>0</v>
      </c>
      <c r="R29" s="20" t="n">
        <v>0</v>
      </c>
      <c r="S29" s="18" t="n">
        <v>0.45029619</v>
      </c>
      <c r="T29" s="20" t="n">
        <v>0.27343564</v>
      </c>
    </row>
    <row r="30" spans="1:20">
      <c r="A30" s="15" t="s">
        <v>588</v>
      </c>
      <c r="B30" s="17" t="n">
        <v>2257</v>
      </c>
      <c r="C30" s="18">
        <f>(1773.0/B30*100)</f>
        <v/>
      </c>
      <c r="D30" s="19" t="n">
        <v>484</v>
      </c>
      <c r="E30" s="18" t="n">
        <v>35.38313628</v>
      </c>
      <c r="F30" s="20" t="n">
        <v>2.13666699</v>
      </c>
      <c r="G30" s="18" t="n">
        <v>25.87888924</v>
      </c>
      <c r="H30" s="20" t="n">
        <v>1.97824686</v>
      </c>
      <c r="I30" s="18" t="n">
        <v>34.44459756</v>
      </c>
      <c r="J30" s="20" t="n">
        <v>2.16540233</v>
      </c>
      <c r="K30" s="18" t="n">
        <v>0</v>
      </c>
      <c r="L30" s="20" t="n">
        <v>0</v>
      </c>
      <c r="M30" s="18" t="n">
        <v>0.23529915</v>
      </c>
      <c r="N30" s="20" t="n">
        <v>0.269819</v>
      </c>
      <c r="O30" s="18" t="n">
        <v>0</v>
      </c>
      <c r="P30" s="20" t="n">
        <v>0</v>
      </c>
      <c r="Q30" s="18" t="n">
        <v>0</v>
      </c>
      <c r="R30" s="20" t="n">
        <v>0</v>
      </c>
      <c r="S30" s="18" t="n">
        <v>4.05807777</v>
      </c>
      <c r="T30" s="20" t="n">
        <v>0.84572443</v>
      </c>
    </row>
    <row r="31" spans="1:20">
      <c r="A31" s="15" t="s">
        <v>589</v>
      </c>
      <c r="B31" s="17" t="n">
        <v>2706</v>
      </c>
      <c r="C31" s="18">
        <f>(2130.0/B31*100)</f>
        <v/>
      </c>
      <c r="D31" s="19" t="n">
        <v>576</v>
      </c>
      <c r="E31" s="18" t="n">
        <v>34.93295002</v>
      </c>
      <c r="F31" s="20" t="n">
        <v>2.16284871</v>
      </c>
      <c r="G31" s="18" t="n">
        <v>35.80938389</v>
      </c>
      <c r="H31" s="20" t="n">
        <v>1.95785104</v>
      </c>
      <c r="I31" s="18" t="n">
        <v>26.53224479</v>
      </c>
      <c r="J31" s="20" t="n">
        <v>1.8084302</v>
      </c>
      <c r="K31" s="18" t="n">
        <v>0</v>
      </c>
      <c r="L31" s="20" t="n">
        <v>0</v>
      </c>
      <c r="M31" s="18" t="n">
        <v>0</v>
      </c>
      <c r="N31" s="20" t="n">
        <v>0</v>
      </c>
      <c r="O31" s="18" t="n">
        <v>0</v>
      </c>
      <c r="P31" s="20" t="n">
        <v>0</v>
      </c>
      <c r="Q31" s="18" t="n">
        <v>0</v>
      </c>
      <c r="R31" s="20" t="n">
        <v>0</v>
      </c>
      <c r="S31" s="18" t="n">
        <v>2.7254213</v>
      </c>
      <c r="T31" s="20" t="n">
        <v>0.61631278</v>
      </c>
    </row>
    <row r="32" spans="1:20">
      <c r="A32" s="15" t="s">
        <v>590</v>
      </c>
      <c r="B32" s="17" t="n">
        <v>2209</v>
      </c>
      <c r="C32" s="18">
        <f>(1689.0/B32*100)</f>
        <v/>
      </c>
      <c r="D32" s="19" t="n">
        <v>520</v>
      </c>
      <c r="E32" s="18" t="n">
        <v>27.2155395</v>
      </c>
      <c r="F32" s="20" t="n">
        <v>1.91487468</v>
      </c>
      <c r="G32" s="18" t="n">
        <v>39.37154894</v>
      </c>
      <c r="H32" s="20" t="n">
        <v>2.12452488</v>
      </c>
      <c r="I32" s="18" t="n">
        <v>32.671707</v>
      </c>
      <c r="J32" s="20" t="n">
        <v>2.54568405</v>
      </c>
      <c r="K32" s="18" t="n">
        <v>0</v>
      </c>
      <c r="L32" s="20" t="n">
        <v>0</v>
      </c>
      <c r="M32" s="18" t="n">
        <v>0</v>
      </c>
      <c r="N32" s="20" t="n">
        <v>0</v>
      </c>
      <c r="O32" s="18" t="n">
        <v>0</v>
      </c>
      <c r="P32" s="20" t="n">
        <v>0</v>
      </c>
      <c r="Q32" s="18" t="n">
        <v>0</v>
      </c>
      <c r="R32" s="20" t="n">
        <v>0</v>
      </c>
      <c r="S32" s="18" t="n">
        <v>0.74120455</v>
      </c>
      <c r="T32" s="20" t="n">
        <v>0.43021823</v>
      </c>
    </row>
    <row r="33" spans="1:20">
      <c r="A33" s="15" t="s">
        <v>591</v>
      </c>
      <c r="B33" s="17" t="n">
        <v>3651</v>
      </c>
      <c r="C33" s="18">
        <f>(2810.0/B33*100)</f>
        <v/>
      </c>
      <c r="D33" s="19" t="n">
        <v>841</v>
      </c>
      <c r="E33" s="18" t="n">
        <v>39.98322063</v>
      </c>
      <c r="F33" s="20" t="n">
        <v>2.04292469</v>
      </c>
      <c r="G33" s="18" t="n">
        <v>27.13308284</v>
      </c>
      <c r="H33" s="20" t="n">
        <v>1.80289448</v>
      </c>
      <c r="I33" s="18" t="n">
        <v>32.25200224</v>
      </c>
      <c r="J33" s="20" t="n">
        <v>1.87000506</v>
      </c>
      <c r="K33" s="18" t="n">
        <v>0</v>
      </c>
      <c r="L33" s="20" t="n">
        <v>0</v>
      </c>
      <c r="M33" s="18" t="n">
        <v>0.15042009</v>
      </c>
      <c r="N33" s="20" t="n">
        <v>0.16675736</v>
      </c>
      <c r="O33" s="18" t="n">
        <v>0</v>
      </c>
      <c r="P33" s="20" t="n">
        <v>0</v>
      </c>
      <c r="Q33" s="18" t="n">
        <v>0</v>
      </c>
      <c r="R33" s="20" t="n">
        <v>0</v>
      </c>
      <c r="S33" s="18" t="n">
        <v>0.48127421</v>
      </c>
      <c r="T33" s="20" t="n">
        <v>0.31568533</v>
      </c>
    </row>
    <row r="34" spans="1:20">
      <c r="A34" s="15" t="s">
        <v>592</v>
      </c>
      <c r="B34" s="17" t="n">
        <v>3035</v>
      </c>
      <c r="C34" s="18">
        <f>(2412.0/B34*100)</f>
        <v/>
      </c>
      <c r="D34" s="19" t="n">
        <v>623</v>
      </c>
      <c r="E34" s="18" t="n">
        <v>43.23168865</v>
      </c>
      <c r="F34" s="20" t="n">
        <v>1.7414418</v>
      </c>
      <c r="G34" s="18" t="n">
        <v>35.3598186</v>
      </c>
      <c r="H34" s="20" t="n">
        <v>2.10818955</v>
      </c>
      <c r="I34" s="18" t="n">
        <v>19.74425974</v>
      </c>
      <c r="J34" s="20" t="n">
        <v>1.98472872</v>
      </c>
      <c r="K34" s="18" t="n">
        <v>0</v>
      </c>
      <c r="L34" s="20" t="n">
        <v>0</v>
      </c>
      <c r="M34" s="18" t="n">
        <v>0</v>
      </c>
      <c r="N34" s="20" t="n">
        <v>0</v>
      </c>
      <c r="O34" s="18" t="n">
        <v>0</v>
      </c>
      <c r="P34" s="20" t="n">
        <v>0</v>
      </c>
      <c r="Q34" s="18" t="n">
        <v>0</v>
      </c>
      <c r="R34" s="20" t="n">
        <v>0</v>
      </c>
      <c r="S34" s="18" t="n">
        <v>1.664233</v>
      </c>
      <c r="T34" s="20" t="n">
        <v>0.49443006</v>
      </c>
    </row>
    <row r="35" spans="1:20">
      <c r="A35" s="15" t="s">
        <v>593</v>
      </c>
      <c r="B35" s="17" t="n">
        <v>2901</v>
      </c>
      <c r="C35" s="18">
        <f>(2282.0/B35*100)</f>
        <v/>
      </c>
      <c r="D35" s="19" t="n">
        <v>619</v>
      </c>
      <c r="E35" s="18" t="n">
        <v>33.47210278</v>
      </c>
      <c r="F35" s="20" t="n">
        <v>2.29023509</v>
      </c>
      <c r="G35" s="18" t="n">
        <v>37.85335758</v>
      </c>
      <c r="H35" s="20" t="n">
        <v>1.98680804</v>
      </c>
      <c r="I35" s="18" t="n">
        <v>27.58262677</v>
      </c>
      <c r="J35" s="20" t="n">
        <v>2.42782327</v>
      </c>
      <c r="K35" s="18" t="n">
        <v>0</v>
      </c>
      <c r="L35" s="20" t="n">
        <v>0</v>
      </c>
      <c r="M35" s="18" t="n">
        <v>0</v>
      </c>
      <c r="N35" s="20" t="n">
        <v>0</v>
      </c>
      <c r="O35" s="18" t="n">
        <v>0</v>
      </c>
      <c r="P35" s="20" t="n">
        <v>0</v>
      </c>
      <c r="Q35" s="18" t="n">
        <v>0</v>
      </c>
      <c r="R35" s="20" t="n">
        <v>0</v>
      </c>
      <c r="S35" s="18" t="n">
        <v>1.09191287</v>
      </c>
      <c r="T35" s="20" t="n">
        <v>0.54905048</v>
      </c>
    </row>
    <row r="36" spans="1:20">
      <c r="A36" s="15" t="s">
        <v>594</v>
      </c>
      <c r="B36" s="17" t="n">
        <v>3404</v>
      </c>
      <c r="C36" s="18">
        <f>(2623.0/B36*100)</f>
        <v/>
      </c>
      <c r="D36" s="19" t="n">
        <v>781</v>
      </c>
      <c r="E36" s="18" t="n">
        <v>40.5320755</v>
      </c>
      <c r="F36" s="20" t="n">
        <v>1.77006989</v>
      </c>
      <c r="G36" s="18" t="n">
        <v>32.83569891</v>
      </c>
      <c r="H36" s="20" t="n">
        <v>1.54225265</v>
      </c>
      <c r="I36" s="18" t="n">
        <v>25.44662357</v>
      </c>
      <c r="J36" s="20" t="n">
        <v>1.74926852</v>
      </c>
      <c r="K36" s="18" t="n">
        <v>0</v>
      </c>
      <c r="L36" s="20" t="n">
        <v>0</v>
      </c>
      <c r="M36" s="18" t="n">
        <v>0.34220449</v>
      </c>
      <c r="N36" s="20" t="n">
        <v>0.22691828</v>
      </c>
      <c r="O36" s="18" t="n">
        <v>0</v>
      </c>
      <c r="P36" s="20" t="n">
        <v>0</v>
      </c>
      <c r="Q36" s="18" t="n">
        <v>0</v>
      </c>
      <c r="R36" s="20" t="n">
        <v>0</v>
      </c>
      <c r="S36" s="18" t="n">
        <v>0.84339753</v>
      </c>
      <c r="T36" s="20" t="n">
        <v>0.3983331</v>
      </c>
    </row>
    <row r="37" spans="1:20">
      <c r="A37" s="15" t="s">
        <v>595</v>
      </c>
      <c r="B37" s="17" t="n">
        <v>2731</v>
      </c>
      <c r="C37" s="18">
        <f>(2122.0/B37*100)</f>
        <v/>
      </c>
      <c r="D37" s="19" t="n">
        <v>609</v>
      </c>
      <c r="E37" s="18" t="n">
        <v>36.6361555</v>
      </c>
      <c r="F37" s="20" t="n">
        <v>2.2051911</v>
      </c>
      <c r="G37" s="18" t="n">
        <v>35.82484915</v>
      </c>
      <c r="H37" s="20" t="n">
        <v>2.02336988</v>
      </c>
      <c r="I37" s="18" t="n">
        <v>21.57542801</v>
      </c>
      <c r="J37" s="20" t="n">
        <v>2.04716601</v>
      </c>
      <c r="K37" s="18" t="n">
        <v>0</v>
      </c>
      <c r="L37" s="20" t="n">
        <v>0</v>
      </c>
      <c r="M37" s="18" t="n">
        <v>0.17938007</v>
      </c>
      <c r="N37" s="20" t="n">
        <v>0.17778697</v>
      </c>
      <c r="O37" s="18" t="n">
        <v>0</v>
      </c>
      <c r="P37" s="20" t="n">
        <v>0</v>
      </c>
      <c r="Q37" s="18" t="n">
        <v>0</v>
      </c>
      <c r="R37" s="20" t="n">
        <v>0</v>
      </c>
      <c r="S37" s="18" t="n">
        <v>5.78418727</v>
      </c>
      <c r="T37" s="20" t="n">
        <v>0.87141799</v>
      </c>
    </row>
    <row r="38" spans="1:20">
      <c r="A38" s="15" t="s">
        <v>596</v>
      </c>
      <c r="B38" s="17" t="n">
        <v>2807</v>
      </c>
      <c r="C38" s="18">
        <f>(2179.0/B38*100)</f>
        <v/>
      </c>
      <c r="D38" s="19" t="n">
        <v>628</v>
      </c>
      <c r="E38" s="18" t="n">
        <v>38.77704321</v>
      </c>
      <c r="F38" s="20" t="n">
        <v>2.36368411</v>
      </c>
      <c r="G38" s="18" t="n">
        <v>29.38525725</v>
      </c>
      <c r="H38" s="20" t="n">
        <v>2.25282792</v>
      </c>
      <c r="I38" s="18" t="n">
        <v>29.63550516</v>
      </c>
      <c r="J38" s="20" t="n">
        <v>2.19133711</v>
      </c>
      <c r="K38" s="18" t="n">
        <v>0</v>
      </c>
      <c r="L38" s="20" t="n">
        <v>0</v>
      </c>
      <c r="M38" s="18" t="n">
        <v>0</v>
      </c>
      <c r="N38" s="20" t="n">
        <v>0</v>
      </c>
      <c r="O38" s="18" t="n">
        <v>0</v>
      </c>
      <c r="P38" s="20" t="n">
        <v>0</v>
      </c>
      <c r="Q38" s="18" t="n">
        <v>0</v>
      </c>
      <c r="R38" s="20" t="n">
        <v>0</v>
      </c>
      <c r="S38" s="18" t="n">
        <v>2.20219437</v>
      </c>
      <c r="T38" s="20" t="n">
        <v>0.68089453</v>
      </c>
    </row>
    <row r="39" spans="1:20">
      <c r="A39" s="15" t="s">
        <v>597</v>
      </c>
      <c r="B39" s="17" t="n">
        <v>2938</v>
      </c>
      <c r="C39" s="18">
        <f>(2259.0/B39*100)</f>
        <v/>
      </c>
      <c r="D39" s="19" t="n">
        <v>679</v>
      </c>
      <c r="E39" s="18" t="n">
        <v>55.09771757</v>
      </c>
      <c r="F39" s="20" t="n">
        <v>2.40787211</v>
      </c>
      <c r="G39" s="18" t="n">
        <v>34.44921261</v>
      </c>
      <c r="H39" s="20" t="n">
        <v>2.10249712</v>
      </c>
      <c r="I39" s="18" t="n">
        <v>8.15837833</v>
      </c>
      <c r="J39" s="20" t="n">
        <v>1.68260909</v>
      </c>
      <c r="K39" s="18" t="n">
        <v>0</v>
      </c>
      <c r="L39" s="20" t="n">
        <v>0</v>
      </c>
      <c r="M39" s="18" t="n">
        <v>0</v>
      </c>
      <c r="N39" s="20" t="n">
        <v>0</v>
      </c>
      <c r="O39" s="18" t="n">
        <v>0</v>
      </c>
      <c r="P39" s="20" t="n">
        <v>0</v>
      </c>
      <c r="Q39" s="18" t="n">
        <v>0</v>
      </c>
      <c r="R39" s="20" t="n">
        <v>0</v>
      </c>
      <c r="S39" s="18" t="n">
        <v>2.2946915</v>
      </c>
      <c r="T39" s="20" t="n">
        <v>0.56934651</v>
      </c>
    </row>
    <row r="40" spans="1:20">
      <c r="A40" s="15" t="s">
        <v>598</v>
      </c>
      <c r="B40" s="17" t="n">
        <v>6922</v>
      </c>
      <c r="C40" s="18">
        <f>(5385.0/B40*100)</f>
        <v/>
      </c>
      <c r="D40" s="19" t="n">
        <v>1537</v>
      </c>
      <c r="E40" s="18" t="n">
        <v>32.86255471</v>
      </c>
      <c r="F40" s="20" t="n">
        <v>1.61301254</v>
      </c>
      <c r="G40" s="18" t="n">
        <v>28.11040816</v>
      </c>
      <c r="H40" s="20" t="n">
        <v>1.76926925</v>
      </c>
      <c r="I40" s="18" t="n">
        <v>36.66502064</v>
      </c>
      <c r="J40" s="20" t="n">
        <v>1.90648999</v>
      </c>
      <c r="K40" s="18" t="n">
        <v>0</v>
      </c>
      <c r="L40" s="20" t="n">
        <v>0</v>
      </c>
      <c r="M40" s="18" t="n">
        <v>0.35443541</v>
      </c>
      <c r="N40" s="20" t="n">
        <v>0.25864188</v>
      </c>
      <c r="O40" s="18" t="n">
        <v>0</v>
      </c>
      <c r="P40" s="20" t="n">
        <v>0</v>
      </c>
      <c r="Q40" s="18" t="n">
        <v>0</v>
      </c>
      <c r="R40" s="20" t="n">
        <v>0</v>
      </c>
      <c r="S40" s="18" t="n">
        <v>2.00758109</v>
      </c>
      <c r="T40" s="20" t="n">
        <v>0.61809443</v>
      </c>
    </row>
    <row r="41" spans="1:20">
      <c r="A41" s="15" t="s">
        <v>599</v>
      </c>
      <c r="B41" s="17" t="n">
        <v>2854</v>
      </c>
      <c r="C41" s="18">
        <f>(2231.0/B41*100)</f>
        <v/>
      </c>
      <c r="D41" s="19" t="n">
        <v>623</v>
      </c>
      <c r="E41" s="18" t="n">
        <v>40.05380638</v>
      </c>
      <c r="F41" s="20" t="n">
        <v>2.38960501</v>
      </c>
      <c r="G41" s="18" t="n">
        <v>26.98010455</v>
      </c>
      <c r="H41" s="20" t="n">
        <v>2.05923314</v>
      </c>
      <c r="I41" s="18" t="n">
        <v>32.82132048</v>
      </c>
      <c r="J41" s="20" t="n">
        <v>1.88098879</v>
      </c>
      <c r="K41" s="18" t="n">
        <v>0</v>
      </c>
      <c r="L41" s="20" t="n">
        <v>0</v>
      </c>
      <c r="M41" s="18" t="n">
        <v>0</v>
      </c>
      <c r="N41" s="20" t="n">
        <v>0</v>
      </c>
      <c r="O41" s="18" t="n">
        <v>0</v>
      </c>
      <c r="P41" s="20" t="n">
        <v>0</v>
      </c>
      <c r="Q41" s="18" t="n">
        <v>0</v>
      </c>
      <c r="R41" s="20" t="n">
        <v>0</v>
      </c>
      <c r="S41" s="18" t="n">
        <v>0.14476859</v>
      </c>
      <c r="T41" s="20" t="n">
        <v>0.14148563</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12073</v>
      </c>
      <c r="C46" s="18">
        <f>(9833.0/B46*100)</f>
        <v/>
      </c>
      <c r="D46" s="19" t="n">
        <v>2240</v>
      </c>
      <c r="E46" s="18" t="n">
        <v>58.48345709</v>
      </c>
      <c r="F46" s="20" t="n">
        <v>1.40790297</v>
      </c>
      <c r="G46" s="18" t="n">
        <v>27.63328407</v>
      </c>
      <c r="H46" s="20" t="n">
        <v>1.14898034</v>
      </c>
      <c r="I46" s="18" t="n">
        <v>7.43815367</v>
      </c>
      <c r="J46" s="20" t="n">
        <v>0.96346588</v>
      </c>
      <c r="K46" s="18" t="n">
        <v>0</v>
      </c>
      <c r="L46" s="20" t="n">
        <v>0</v>
      </c>
      <c r="M46" s="18" t="n">
        <v>0.7858565199999999</v>
      </c>
      <c r="N46" s="20" t="n">
        <v>0.30152718</v>
      </c>
      <c r="O46" s="18" t="n">
        <v>0</v>
      </c>
      <c r="P46" s="20" t="n">
        <v>0</v>
      </c>
      <c r="Q46" s="18" t="n">
        <v>0</v>
      </c>
      <c r="R46" s="20" t="n">
        <v>0</v>
      </c>
      <c r="S46" s="18" t="n">
        <v>5.65924866</v>
      </c>
      <c r="T46" s="20" t="n">
        <v>0.63950498</v>
      </c>
    </row>
    <row r="47" spans="1:20">
      <c r="A47" s="15" t="s">
        <v>606</v>
      </c>
      <c r="B47" s="17" t="n">
        <v>2823</v>
      </c>
      <c r="C47" s="18">
        <f>(2213.0/B47*100)</f>
        <v/>
      </c>
      <c r="D47" s="19" t="n">
        <v>610</v>
      </c>
      <c r="E47" s="18" t="n">
        <v>47.87679635</v>
      </c>
      <c r="F47" s="20" t="n">
        <v>2.08061263</v>
      </c>
      <c r="G47" s="18" t="n">
        <v>32.65580072</v>
      </c>
      <c r="H47" s="20" t="n">
        <v>1.76223624</v>
      </c>
      <c r="I47" s="18" t="n">
        <v>16.07240687</v>
      </c>
      <c r="J47" s="20" t="n">
        <v>1.46848038</v>
      </c>
      <c r="K47" s="18" t="n">
        <v>0</v>
      </c>
      <c r="L47" s="20" t="n">
        <v>0</v>
      </c>
      <c r="M47" s="18" t="n">
        <v>0.96426516</v>
      </c>
      <c r="N47" s="20" t="n">
        <v>0.46242341</v>
      </c>
      <c r="O47" s="18" t="n">
        <v>0</v>
      </c>
      <c r="P47" s="20" t="n">
        <v>0</v>
      </c>
      <c r="Q47" s="18" t="n">
        <v>0</v>
      </c>
      <c r="R47" s="20" t="n">
        <v>0</v>
      </c>
      <c r="S47" s="18" t="n">
        <v>2.43073091</v>
      </c>
      <c r="T47" s="20" t="n">
        <v>0.56356314</v>
      </c>
    </row>
    <row r="48" spans="1:20">
      <c r="A48" s="15" t="s">
        <v>607</v>
      </c>
      <c r="B48" s="17" t="n">
        <v>4682</v>
      </c>
      <c r="C48" s="18">
        <f>(3644.0/B48*100)</f>
        <v/>
      </c>
      <c r="D48" s="19" t="n">
        <v>1038</v>
      </c>
      <c r="E48" s="18" t="n">
        <v>32.46832205</v>
      </c>
      <c r="F48" s="20" t="n">
        <v>2.18837548</v>
      </c>
      <c r="G48" s="18" t="n">
        <v>30.41044601</v>
      </c>
      <c r="H48" s="20" t="n">
        <v>2.39090873</v>
      </c>
      <c r="I48" s="18" t="n">
        <v>36.11611208</v>
      </c>
      <c r="J48" s="20" t="n">
        <v>3.33858357</v>
      </c>
      <c r="K48" s="18" t="n">
        <v>0</v>
      </c>
      <c r="L48" s="20" t="n">
        <v>0</v>
      </c>
      <c r="M48" s="18" t="n">
        <v>0.48566162</v>
      </c>
      <c r="N48" s="20" t="n">
        <v>0.37753809</v>
      </c>
      <c r="O48" s="18" t="n">
        <v>0</v>
      </c>
      <c r="P48" s="20" t="n">
        <v>0</v>
      </c>
      <c r="Q48" s="18" t="n">
        <v>0</v>
      </c>
      <c r="R48" s="20" t="n">
        <v>0</v>
      </c>
      <c r="S48" s="18" t="n">
        <v>0.51945824</v>
      </c>
      <c r="T48" s="20" t="n">
        <v>0.30917914</v>
      </c>
    </row>
    <row r="49" spans="1:20">
      <c r="A49" s="15" t="s">
        <v>608</v>
      </c>
      <c r="B49" s="17" t="n">
        <v>6158</v>
      </c>
      <c r="C49" s="18">
        <f>(4837.0/B49*100)</f>
        <v/>
      </c>
      <c r="D49" s="19" t="n">
        <v>1321</v>
      </c>
      <c r="E49" s="18" t="n">
        <v>54.70711785</v>
      </c>
      <c r="F49" s="20" t="n">
        <v>1.71575344</v>
      </c>
      <c r="G49" s="18" t="n">
        <v>30.4254728</v>
      </c>
      <c r="H49" s="20" t="n">
        <v>1.59666088</v>
      </c>
      <c r="I49" s="18" t="n">
        <v>12.47347454</v>
      </c>
      <c r="J49" s="20" t="n">
        <v>1.07603975</v>
      </c>
      <c r="K49" s="18" t="n">
        <v>0</v>
      </c>
      <c r="L49" s="20" t="n">
        <v>0</v>
      </c>
      <c r="M49" s="18" t="n">
        <v>1.0157397</v>
      </c>
      <c r="N49" s="20" t="n">
        <v>0.30539131</v>
      </c>
      <c r="O49" s="18" t="n">
        <v>0</v>
      </c>
      <c r="P49" s="20" t="n">
        <v>0</v>
      </c>
      <c r="Q49" s="18" t="n">
        <v>0</v>
      </c>
      <c r="R49" s="20" t="n">
        <v>0</v>
      </c>
      <c r="S49" s="18" t="n">
        <v>1.3781951</v>
      </c>
      <c r="T49" s="20" t="n">
        <v>0.41248896</v>
      </c>
    </row>
    <row r="50" spans="1:20">
      <c r="A50" s="15" t="s">
        <v>609</v>
      </c>
      <c r="B50" s="17" t="n">
        <v>3494</v>
      </c>
      <c r="C50" s="18">
        <f>(2812.0/B50*100)</f>
        <v/>
      </c>
      <c r="D50" s="19" t="n">
        <v>682</v>
      </c>
      <c r="E50" s="18" t="n">
        <v>61.65929374</v>
      </c>
      <c r="F50" s="20" t="n">
        <v>2.06484904</v>
      </c>
      <c r="G50" s="18" t="n">
        <v>28.36768159</v>
      </c>
      <c r="H50" s="20" t="n">
        <v>1.87720342</v>
      </c>
      <c r="I50" s="18" t="n">
        <v>7.82802424</v>
      </c>
      <c r="J50" s="20" t="n">
        <v>1.11387048</v>
      </c>
      <c r="K50" s="18" t="n">
        <v>0</v>
      </c>
      <c r="L50" s="20" t="n">
        <v>0</v>
      </c>
      <c r="M50" s="18" t="n">
        <v>0</v>
      </c>
      <c r="N50" s="20" t="n">
        <v>0</v>
      </c>
      <c r="O50" s="18" t="n">
        <v>0</v>
      </c>
      <c r="P50" s="20" t="n">
        <v>0</v>
      </c>
      <c r="Q50" s="18" t="n">
        <v>0</v>
      </c>
      <c r="R50" s="20" t="n">
        <v>0</v>
      </c>
      <c r="S50" s="18" t="n">
        <v>2.14500043</v>
      </c>
      <c r="T50" s="20" t="n">
        <v>0.66740309</v>
      </c>
    </row>
    <row r="51" spans="1:20">
      <c r="A51" s="15" t="s">
        <v>610</v>
      </c>
      <c r="B51" s="17" t="n">
        <v>3013</v>
      </c>
      <c r="C51" s="18">
        <f>(2336.0/B51*100)</f>
        <v/>
      </c>
      <c r="D51" s="19" t="n">
        <v>677</v>
      </c>
      <c r="E51" s="18" t="n">
        <v>47.04755947</v>
      </c>
      <c r="F51" s="20" t="n">
        <v>2.37562634</v>
      </c>
      <c r="G51" s="18" t="n">
        <v>29.50110445</v>
      </c>
      <c r="H51" s="20" t="n">
        <v>1.82787867</v>
      </c>
      <c r="I51" s="18" t="n">
        <v>22.43724749</v>
      </c>
      <c r="J51" s="20" t="n">
        <v>1.49284566</v>
      </c>
      <c r="K51" s="18" t="n">
        <v>0</v>
      </c>
      <c r="L51" s="20" t="n">
        <v>0</v>
      </c>
      <c r="M51" s="18" t="n">
        <v>0</v>
      </c>
      <c r="N51" s="20" t="n">
        <v>0</v>
      </c>
      <c r="O51" s="18" t="n">
        <v>0</v>
      </c>
      <c r="P51" s="20" t="n">
        <v>0</v>
      </c>
      <c r="Q51" s="18" t="n">
        <v>0</v>
      </c>
      <c r="R51" s="20" t="n">
        <v>0</v>
      </c>
      <c r="S51" s="18" t="n">
        <v>1.01408859</v>
      </c>
      <c r="T51" s="20" t="n">
        <v>0.39813707</v>
      </c>
    </row>
    <row r="52" spans="1:20">
      <c r="A52" s="15" t="s">
        <v>611</v>
      </c>
      <c r="B52" s="17" t="n">
        <v>2760</v>
      </c>
      <c r="C52" s="18">
        <f>(2132.0/B52*100)</f>
        <v/>
      </c>
      <c r="D52" s="19" t="n">
        <v>628</v>
      </c>
      <c r="E52" s="18" t="n">
        <v>44.41555849</v>
      </c>
      <c r="F52" s="20" t="n">
        <v>2.15176478</v>
      </c>
      <c r="G52" s="18" t="n">
        <v>35.26190581</v>
      </c>
      <c r="H52" s="20" t="n">
        <v>2.0997076</v>
      </c>
      <c r="I52" s="18" t="n">
        <v>19.35744411</v>
      </c>
      <c r="J52" s="20" t="n">
        <v>1.71287587</v>
      </c>
      <c r="K52" s="18" t="n">
        <v>0</v>
      </c>
      <c r="L52" s="20" t="n">
        <v>0</v>
      </c>
      <c r="M52" s="18" t="n">
        <v>0.11385003</v>
      </c>
      <c r="N52" s="20" t="n">
        <v>0.11450515</v>
      </c>
      <c r="O52" s="18" t="n">
        <v>0</v>
      </c>
      <c r="P52" s="20" t="n">
        <v>0</v>
      </c>
      <c r="Q52" s="18" t="n">
        <v>0</v>
      </c>
      <c r="R52" s="20" t="n">
        <v>0</v>
      </c>
      <c r="S52" s="18" t="n">
        <v>0.85124155</v>
      </c>
      <c r="T52" s="20" t="n">
        <v>0.38973182</v>
      </c>
    </row>
    <row r="53" spans="1:20">
      <c r="A53" s="15" t="s">
        <v>612</v>
      </c>
      <c r="B53" s="17" t="n">
        <v>2474</v>
      </c>
      <c r="C53" s="18">
        <f>(1953.0/B53*100)</f>
        <v/>
      </c>
      <c r="D53" s="19" t="n">
        <v>521</v>
      </c>
      <c r="E53" s="18" t="n">
        <v>55.34481935</v>
      </c>
      <c r="F53" s="20" t="n">
        <v>2.53436652</v>
      </c>
      <c r="G53" s="18" t="n">
        <v>24.6828295</v>
      </c>
      <c r="H53" s="20" t="n">
        <v>1.9346039</v>
      </c>
      <c r="I53" s="18" t="n">
        <v>1.50705643</v>
      </c>
      <c r="J53" s="20" t="n">
        <v>0.5524098</v>
      </c>
      <c r="K53" s="18" t="n">
        <v>0</v>
      </c>
      <c r="L53" s="20" t="n">
        <v>0</v>
      </c>
      <c r="M53" s="18" t="n">
        <v>9.053688040000001</v>
      </c>
      <c r="N53" s="20" t="n">
        <v>1.62571553</v>
      </c>
      <c r="O53" s="18" t="n">
        <v>0</v>
      </c>
      <c r="P53" s="20" t="n">
        <v>0</v>
      </c>
      <c r="Q53" s="18" t="n">
        <v>0</v>
      </c>
      <c r="R53" s="20" t="n">
        <v>0</v>
      </c>
      <c r="S53" s="18" t="n">
        <v>9.41160668</v>
      </c>
      <c r="T53" s="20" t="n">
        <v>1.45941709</v>
      </c>
    </row>
    <row r="54" spans="1:20">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2675</v>
      </c>
      <c r="C55" s="18">
        <f>(2078.0/B55*100)</f>
        <v/>
      </c>
      <c r="D55" s="19" t="n">
        <v>597</v>
      </c>
      <c r="E55" s="18" t="n">
        <v>34.45406664</v>
      </c>
      <c r="F55" s="20" t="n">
        <v>2.17104966</v>
      </c>
      <c r="G55" s="18" t="n">
        <v>42.30802316</v>
      </c>
      <c r="H55" s="20" t="n">
        <v>2.40179071</v>
      </c>
      <c r="I55" s="18" t="n">
        <v>22.7415556</v>
      </c>
      <c r="J55" s="20" t="n">
        <v>2.33810983</v>
      </c>
      <c r="K55" s="18" t="n">
        <v>0</v>
      </c>
      <c r="L55" s="20" t="n">
        <v>0</v>
      </c>
      <c r="M55" s="18" t="n">
        <v>0.32897512</v>
      </c>
      <c r="N55" s="20" t="n">
        <v>0.31608999</v>
      </c>
      <c r="O55" s="18" t="n">
        <v>0</v>
      </c>
      <c r="P55" s="20" t="n">
        <v>0</v>
      </c>
      <c r="Q55" s="18" t="n">
        <v>0</v>
      </c>
      <c r="R55" s="20" t="n">
        <v>0</v>
      </c>
      <c r="S55" s="18" t="n">
        <v>0.16737948</v>
      </c>
      <c r="T55" s="20" t="n">
        <v>0.16878155</v>
      </c>
    </row>
    <row r="56" spans="1:20">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3201</v>
      </c>
      <c r="C61" s="18">
        <f>(2485.0/B61*100)</f>
        <v/>
      </c>
      <c r="D61" s="19" t="n">
        <v>716</v>
      </c>
      <c r="E61" s="18" t="n">
        <v>40.43383484</v>
      </c>
      <c r="F61" s="20" t="n">
        <v>2.10879323</v>
      </c>
      <c r="G61" s="18" t="n">
        <v>50.81013932</v>
      </c>
      <c r="H61" s="20" t="n">
        <v>1.97546214</v>
      </c>
      <c r="I61" s="18" t="n">
        <v>6.13115012</v>
      </c>
      <c r="J61" s="20" t="n">
        <v>1.00161944</v>
      </c>
      <c r="K61" s="18" t="n">
        <v>0</v>
      </c>
      <c r="L61" s="20" t="n">
        <v>0</v>
      </c>
      <c r="M61" s="18" t="n">
        <v>0.1806583</v>
      </c>
      <c r="N61" s="20" t="n">
        <v>0.18582297</v>
      </c>
      <c r="O61" s="18" t="n">
        <v>0</v>
      </c>
      <c r="P61" s="20" t="n">
        <v>0</v>
      </c>
      <c r="Q61" s="18" t="n">
        <v>0</v>
      </c>
      <c r="R61" s="20" t="n">
        <v>0</v>
      </c>
      <c r="S61" s="18" t="n">
        <v>2.44421742</v>
      </c>
      <c r="T61" s="20" t="n">
        <v>0.67307577</v>
      </c>
    </row>
    <row r="62" spans="1:20">
      <c r="A62" s="15" t="s">
        <v>622</v>
      </c>
      <c r="B62" s="17" t="n">
        <v>2230</v>
      </c>
      <c r="C62" s="18">
        <f>(1726.0/B62*100)</f>
        <v/>
      </c>
      <c r="D62" s="19" t="n">
        <v>504</v>
      </c>
      <c r="E62" s="18" t="n">
        <v>29.16901116</v>
      </c>
      <c r="F62" s="20" t="n">
        <v>2.11259148</v>
      </c>
      <c r="G62" s="18" t="n">
        <v>28.37276587</v>
      </c>
      <c r="H62" s="20" t="n">
        <v>1.94113895</v>
      </c>
      <c r="I62" s="18" t="n">
        <v>42.45822298</v>
      </c>
      <c r="J62" s="20" t="n">
        <v>2.03515544</v>
      </c>
      <c r="K62" s="18" t="n">
        <v>0</v>
      </c>
      <c r="L62" s="20" t="n">
        <v>0</v>
      </c>
      <c r="M62" s="18" t="n">
        <v>0</v>
      </c>
      <c r="N62" s="20" t="n">
        <v>0</v>
      </c>
      <c r="O62" s="18" t="n">
        <v>0</v>
      </c>
      <c r="P62" s="20" t="n">
        <v>0</v>
      </c>
      <c r="Q62" s="18" t="n">
        <v>0</v>
      </c>
      <c r="R62" s="20" t="n">
        <v>0</v>
      </c>
      <c r="S62" s="18" t="n">
        <v>0</v>
      </c>
      <c r="T62" s="20" t="n">
        <v>0</v>
      </c>
    </row>
    <row r="63" spans="1:20">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2771</v>
      </c>
      <c r="C67" s="18">
        <f>(2196.0/B67*100)</f>
        <v/>
      </c>
      <c r="D67" s="19" t="n">
        <v>575</v>
      </c>
      <c r="E67" s="18" t="n">
        <v>52.51868952</v>
      </c>
      <c r="F67" s="20" t="n">
        <v>2.20141852</v>
      </c>
      <c r="G67" s="18" t="n">
        <v>30.42761852</v>
      </c>
      <c r="H67" s="20" t="n">
        <v>1.87350414</v>
      </c>
      <c r="I67" s="18" t="n">
        <v>9.99900648</v>
      </c>
      <c r="J67" s="20" t="n">
        <v>1.17897044</v>
      </c>
      <c r="K67" s="18" t="n">
        <v>0</v>
      </c>
      <c r="L67" s="20" t="n">
        <v>0</v>
      </c>
      <c r="M67" s="18" t="n">
        <v>0.54190533</v>
      </c>
      <c r="N67" s="20" t="n">
        <v>0.32591595</v>
      </c>
      <c r="O67" s="18" t="n">
        <v>0</v>
      </c>
      <c r="P67" s="20" t="n">
        <v>0</v>
      </c>
      <c r="Q67" s="18" t="n">
        <v>0</v>
      </c>
      <c r="R67" s="20" t="n">
        <v>0</v>
      </c>
      <c r="S67" s="18" t="n">
        <v>6.51278016</v>
      </c>
      <c r="T67" s="20" t="n">
        <v>1.0105197</v>
      </c>
    </row>
    <row r="68" spans="1:20">
      <c r="A68" s="15" t="s">
        <v>628</v>
      </c>
      <c r="B68" s="17" t="n">
        <v>3460</v>
      </c>
      <c r="C68" s="18">
        <f>(2769.0/B68*100)</f>
        <v/>
      </c>
      <c r="D68" s="19" t="n">
        <v>691</v>
      </c>
      <c r="E68" s="18" t="n">
        <v>56.29493699</v>
      </c>
      <c r="F68" s="20" t="n">
        <v>1.96721284</v>
      </c>
      <c r="G68" s="18" t="n">
        <v>33.62238382</v>
      </c>
      <c r="H68" s="20" t="n">
        <v>1.71468217</v>
      </c>
      <c r="I68" s="18" t="n">
        <v>6.14067897</v>
      </c>
      <c r="J68" s="20" t="n">
        <v>1.07673867</v>
      </c>
      <c r="K68" s="18" t="n">
        <v>0</v>
      </c>
      <c r="L68" s="20" t="n">
        <v>0</v>
      </c>
      <c r="M68" s="18" t="n">
        <v>0</v>
      </c>
      <c r="N68" s="20" t="n">
        <v>0</v>
      </c>
      <c r="O68" s="18" t="n">
        <v>0</v>
      </c>
      <c r="P68" s="20" t="n">
        <v>0</v>
      </c>
      <c r="Q68" s="18" t="n">
        <v>0</v>
      </c>
      <c r="R68" s="20" t="n">
        <v>0</v>
      </c>
      <c r="S68" s="18" t="n">
        <v>3.94200022</v>
      </c>
      <c r="T68" s="20" t="n">
        <v>0.65796522</v>
      </c>
    </row>
    <row r="69" spans="1:20">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6034</v>
      </c>
      <c r="C70" s="18">
        <f>(4720.0/B70*100)</f>
        <v/>
      </c>
      <c r="D70" s="19" t="n">
        <v>1314</v>
      </c>
      <c r="E70" s="18" t="n">
        <v>49.68947719</v>
      </c>
      <c r="F70" s="20" t="n">
        <v>1.26602591</v>
      </c>
      <c r="G70" s="18" t="n">
        <v>34.12138151</v>
      </c>
      <c r="H70" s="20" t="n">
        <v>1.17649457</v>
      </c>
      <c r="I70" s="18" t="n">
        <v>12.71989192</v>
      </c>
      <c r="J70" s="20" t="n">
        <v>0.78969895</v>
      </c>
      <c r="K70" s="18" t="n">
        <v>0</v>
      </c>
      <c r="L70" s="20" t="n">
        <v>0</v>
      </c>
      <c r="M70" s="18" t="n">
        <v>1.00797922</v>
      </c>
      <c r="N70" s="20" t="n">
        <v>0.22939975</v>
      </c>
      <c r="O70" s="18" t="n">
        <v>0</v>
      </c>
      <c r="P70" s="20" t="n">
        <v>0</v>
      </c>
      <c r="Q70" s="18" t="n">
        <v>0</v>
      </c>
      <c r="R70" s="20" t="n">
        <v>0</v>
      </c>
      <c r="S70" s="18" t="n">
        <v>2.46127016</v>
      </c>
      <c r="T70" s="20" t="n">
        <v>0.47856402</v>
      </c>
    </row>
    <row r="71" spans="1:20">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3107</v>
      </c>
      <c r="C72" s="18">
        <f>(2433.0/B72*100)</f>
        <v/>
      </c>
      <c r="D72" s="19" t="n">
        <v>674</v>
      </c>
      <c r="E72" s="18" t="n">
        <v>39.61282655</v>
      </c>
      <c r="F72" s="20" t="n">
        <v>2.31729459</v>
      </c>
      <c r="G72" s="18" t="n">
        <v>37.23879498</v>
      </c>
      <c r="H72" s="20" t="n">
        <v>2.40030859</v>
      </c>
      <c r="I72" s="18" t="n">
        <v>21.26391436</v>
      </c>
      <c r="J72" s="20" t="n">
        <v>1.45851404</v>
      </c>
      <c r="K72" s="18" t="n">
        <v>0</v>
      </c>
      <c r="L72" s="20" t="n">
        <v>0</v>
      </c>
      <c r="M72" s="18" t="n">
        <v>0</v>
      </c>
      <c r="N72" s="20" t="n">
        <v>0</v>
      </c>
      <c r="O72" s="18" t="n">
        <v>0</v>
      </c>
      <c r="P72" s="20" t="n">
        <v>0</v>
      </c>
      <c r="Q72" s="18" t="n">
        <v>0</v>
      </c>
      <c r="R72" s="20" t="n">
        <v>0</v>
      </c>
      <c r="S72" s="18" t="n">
        <v>1.88446411</v>
      </c>
      <c r="T72" s="20" t="n">
        <v>0.62478707</v>
      </c>
    </row>
    <row r="73" spans="1:20">
      <c r="A73" s="15" t="s">
        <v>633</v>
      </c>
      <c r="B73" s="17" t="n">
        <v>2973</v>
      </c>
      <c r="C73" s="18">
        <f>(2306.0/B73*100)</f>
        <v/>
      </c>
      <c r="D73" s="19" t="n">
        <v>667</v>
      </c>
      <c r="E73" s="18" t="n">
        <v>30.301333</v>
      </c>
      <c r="F73" s="20" t="n">
        <v>2.01872421</v>
      </c>
      <c r="G73" s="18" t="n">
        <v>25.56080498</v>
      </c>
      <c r="H73" s="20" t="n">
        <v>1.90585204</v>
      </c>
      <c r="I73" s="18" t="n">
        <v>43.87626593</v>
      </c>
      <c r="J73" s="20" t="n">
        <v>2.22982719</v>
      </c>
      <c r="K73" s="18" t="n">
        <v>0</v>
      </c>
      <c r="L73" s="20" t="n">
        <v>0</v>
      </c>
      <c r="M73" s="18" t="n">
        <v>0</v>
      </c>
      <c r="N73" s="20" t="n">
        <v>0</v>
      </c>
      <c r="O73" s="18" t="n">
        <v>0</v>
      </c>
      <c r="P73" s="20" t="n">
        <v>0</v>
      </c>
      <c r="Q73" s="18" t="n">
        <v>0</v>
      </c>
      <c r="R73" s="20" t="n">
        <v>0</v>
      </c>
      <c r="S73" s="18" t="n">
        <v>0.26159609</v>
      </c>
      <c r="T73" s="20" t="n">
        <v>0.18714095</v>
      </c>
    </row>
    <row r="74" spans="1:20">
      <c r="A74" s="15" t="s">
        <v>634</v>
      </c>
      <c r="B74" s="17" t="n">
        <v>3819</v>
      </c>
      <c r="C74" s="18">
        <f>(2928.0/B74*100)</f>
        <v/>
      </c>
      <c r="D74" s="19" t="n">
        <v>891</v>
      </c>
      <c r="E74" s="18" t="n">
        <v>30.38964574</v>
      </c>
      <c r="F74" s="20" t="n">
        <v>1.59716013</v>
      </c>
      <c r="G74" s="18" t="n">
        <v>38.02782392</v>
      </c>
      <c r="H74" s="20" t="n">
        <v>1.63015433</v>
      </c>
      <c r="I74" s="18" t="n">
        <v>31.28865889</v>
      </c>
      <c r="J74" s="20" t="n">
        <v>1.84946515</v>
      </c>
      <c r="K74" s="18" t="n">
        <v>0</v>
      </c>
      <c r="L74" s="20" t="n">
        <v>0</v>
      </c>
      <c r="M74" s="18" t="n">
        <v>0</v>
      </c>
      <c r="N74" s="20" t="n">
        <v>0</v>
      </c>
      <c r="O74" s="18" t="n">
        <v>0</v>
      </c>
      <c r="P74" s="20" t="n">
        <v>0</v>
      </c>
      <c r="Q74" s="18" t="n">
        <v>0</v>
      </c>
      <c r="R74" s="20" t="n">
        <v>0</v>
      </c>
      <c r="S74" s="18" t="n">
        <v>0.29387145</v>
      </c>
      <c r="T74" s="20" t="n">
        <v>0.27466097</v>
      </c>
    </row>
    <row r="75" spans="1:20">
      <c r="A75" s="15" t="s">
        <v>635</v>
      </c>
      <c r="B75" s="17" t="n">
        <v>4652</v>
      </c>
      <c r="C75" s="18">
        <f>(3603.0/B75*100)</f>
        <v/>
      </c>
      <c r="D75" s="19" t="n">
        <v>1049</v>
      </c>
      <c r="E75" s="18" t="n">
        <v>49.10504455</v>
      </c>
      <c r="F75" s="20" t="n">
        <v>1.73816791</v>
      </c>
      <c r="G75" s="18" t="n">
        <v>36.59092646</v>
      </c>
      <c r="H75" s="20" t="n">
        <v>1.55726965</v>
      </c>
      <c r="I75" s="18" t="n">
        <v>13.73957802</v>
      </c>
      <c r="J75" s="20" t="n">
        <v>1.47377981</v>
      </c>
      <c r="K75" s="18" t="n">
        <v>0</v>
      </c>
      <c r="L75" s="20" t="n">
        <v>0</v>
      </c>
      <c r="M75" s="18" t="n">
        <v>0</v>
      </c>
      <c r="N75" s="20" t="n">
        <v>0</v>
      </c>
      <c r="O75" s="18" t="n">
        <v>0</v>
      </c>
      <c r="P75" s="20" t="n">
        <v>0</v>
      </c>
      <c r="Q75" s="18" t="n">
        <v>0</v>
      </c>
      <c r="R75" s="20" t="n">
        <v>0</v>
      </c>
      <c r="S75" s="18" t="n">
        <v>0.56445097</v>
      </c>
      <c r="T75" s="20" t="n">
        <v>0.2947882</v>
      </c>
    </row>
    <row r="76" spans="1:20">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2969</v>
      </c>
      <c r="C77" s="18">
        <f>(2343.0/B77*100)</f>
        <v/>
      </c>
      <c r="D77" s="19" t="n">
        <v>626</v>
      </c>
      <c r="E77" s="18" t="n">
        <v>58.72541699</v>
      </c>
      <c r="F77" s="20" t="n">
        <v>2.55755379</v>
      </c>
      <c r="G77" s="18" t="n">
        <v>32.260999</v>
      </c>
      <c r="H77" s="20" t="n">
        <v>2.47778018</v>
      </c>
      <c r="I77" s="18" t="n">
        <v>1.07978652</v>
      </c>
      <c r="J77" s="20" t="n">
        <v>0.45079407</v>
      </c>
      <c r="K77" s="18" t="n">
        <v>0</v>
      </c>
      <c r="L77" s="20" t="n">
        <v>0</v>
      </c>
      <c r="M77" s="18" t="n">
        <v>3.15343439</v>
      </c>
      <c r="N77" s="20" t="n">
        <v>0.86773406</v>
      </c>
      <c r="O77" s="18" t="n">
        <v>0</v>
      </c>
      <c r="P77" s="20" t="n">
        <v>0</v>
      </c>
      <c r="Q77" s="18" t="n">
        <v>0</v>
      </c>
      <c r="R77" s="20" t="n">
        <v>0</v>
      </c>
      <c r="S77" s="18" t="n">
        <v>4.7803631</v>
      </c>
      <c r="T77" s="20" t="n">
        <v>1.17699869</v>
      </c>
    </row>
    <row r="78" spans="1:20">
      <c r="A78" s="15" t="s">
        <v>638</v>
      </c>
      <c r="B78" s="17" t="n">
        <v>7115</v>
      </c>
      <c r="C78" s="18">
        <f>(5537.0/B78*100)</f>
        <v/>
      </c>
      <c r="D78" s="19" t="n">
        <v>1578</v>
      </c>
      <c r="E78" s="18" t="n">
        <v>48.62643166</v>
      </c>
      <c r="F78" s="20" t="n">
        <v>1.99106849</v>
      </c>
      <c r="G78" s="18" t="n">
        <v>31.16087143</v>
      </c>
      <c r="H78" s="20" t="n">
        <v>1.62135003</v>
      </c>
      <c r="I78" s="18" t="n">
        <v>19.34309557</v>
      </c>
      <c r="J78" s="20" t="n">
        <v>1.22596118</v>
      </c>
      <c r="K78" s="18" t="n">
        <v>0</v>
      </c>
      <c r="L78" s="20" t="n">
        <v>0</v>
      </c>
      <c r="M78" s="18" t="n">
        <v>0.30426909</v>
      </c>
      <c r="N78" s="20" t="n">
        <v>0.1470658</v>
      </c>
      <c r="O78" s="18" t="n">
        <v>0</v>
      </c>
      <c r="P78" s="20" t="n">
        <v>0</v>
      </c>
      <c r="Q78" s="18" t="n">
        <v>0</v>
      </c>
      <c r="R78" s="20" t="n">
        <v>0</v>
      </c>
      <c r="S78" s="18" t="n">
        <v>0.56533225</v>
      </c>
      <c r="T78" s="20" t="n">
        <v>0.2149872</v>
      </c>
    </row>
    <row r="79" spans="1:20">
      <c r="A79" s="15" t="s">
        <v>639</v>
      </c>
      <c r="B79" s="17" t="n">
        <v>3154</v>
      </c>
      <c r="C79" s="18">
        <f>(2491.0/B79*100)</f>
        <v/>
      </c>
      <c r="D79" s="19" t="n">
        <v>663</v>
      </c>
      <c r="E79" s="18" t="n">
        <v>49.34694368</v>
      </c>
      <c r="F79" s="20" t="n">
        <v>1.91958637</v>
      </c>
      <c r="G79" s="18" t="n">
        <v>29.75991965</v>
      </c>
      <c r="H79" s="20" t="n">
        <v>1.85562775</v>
      </c>
      <c r="I79" s="18" t="n">
        <v>14.45900479</v>
      </c>
      <c r="J79" s="20" t="n">
        <v>1.49385635</v>
      </c>
      <c r="K79" s="18" t="n">
        <v>0</v>
      </c>
      <c r="L79" s="20" t="n">
        <v>0</v>
      </c>
      <c r="M79" s="18" t="n">
        <v>0.51020642</v>
      </c>
      <c r="N79" s="20" t="n">
        <v>0.26401509</v>
      </c>
      <c r="O79" s="18" t="n">
        <v>0</v>
      </c>
      <c r="P79" s="20" t="n">
        <v>0</v>
      </c>
      <c r="Q79" s="18" t="n">
        <v>0</v>
      </c>
      <c r="R79" s="20" t="n">
        <v>0</v>
      </c>
      <c r="S79" s="18" t="n">
        <v>5.92392546</v>
      </c>
      <c r="T79" s="20" t="n">
        <v>0.94100197</v>
      </c>
    </row>
    <row r="80" spans="1:20">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15961</v>
      </c>
      <c r="C82" s="18">
        <f>(12409.0/B82*100)</f>
        <v/>
      </c>
      <c r="D82" s="19" t="n">
        <v>3552</v>
      </c>
      <c r="E82" s="18" t="n">
        <v>39.16583587</v>
      </c>
      <c r="F82" s="20" t="n">
        <v>1.22869639</v>
      </c>
      <c r="G82" s="18" t="n">
        <v>32.18539314</v>
      </c>
      <c r="H82" s="20" t="n">
        <v>1.28271552</v>
      </c>
      <c r="I82" s="18" t="n">
        <v>27.31112663</v>
      </c>
      <c r="J82" s="20" t="n">
        <v>1.31380755</v>
      </c>
      <c r="K82" s="18" t="n">
        <v>0</v>
      </c>
      <c r="L82" s="20" t="n">
        <v>0</v>
      </c>
      <c r="M82" s="18" t="n">
        <v>0.22383221</v>
      </c>
      <c r="N82" s="20" t="n">
        <v>0.1103161</v>
      </c>
      <c r="O82" s="18" t="n">
        <v>0</v>
      </c>
      <c r="P82" s="20" t="n">
        <v>0</v>
      </c>
      <c r="Q82" s="18" t="n">
        <v>0</v>
      </c>
      <c r="R82" s="20" t="n">
        <v>0</v>
      </c>
      <c r="S82" s="18" t="n">
        <v>1.11381215</v>
      </c>
      <c r="T82" s="20" t="n">
        <v>0.30880491</v>
      </c>
    </row>
    <row r="83" spans="1:20">
      <c r="A83" s="15" t="s">
        <v>643</v>
      </c>
      <c r="B83" s="17" t="n">
        <v>808</v>
      </c>
      <c r="C83" s="18">
        <f>(650.0/B83*100)</f>
        <v/>
      </c>
      <c r="D83" s="19" t="n">
        <v>158</v>
      </c>
      <c r="E83" s="18" t="n">
        <v>22.56796721</v>
      </c>
      <c r="F83" s="20" t="n">
        <v>3.69894299</v>
      </c>
      <c r="G83" s="18" t="n">
        <v>25.93642763</v>
      </c>
      <c r="H83" s="20" t="n">
        <v>3.39621229</v>
      </c>
      <c r="I83" s="18" t="n">
        <v>51.49560516</v>
      </c>
      <c r="J83" s="20" t="n">
        <v>4.87462457</v>
      </c>
      <c r="K83" s="18" t="n">
        <v>0</v>
      </c>
      <c r="L83" s="20" t="n">
        <v>0</v>
      </c>
      <c r="M83" s="18" t="n">
        <v>0</v>
      </c>
      <c r="N83" s="20" t="n">
        <v>0</v>
      </c>
      <c r="O83" s="18" t="n">
        <v>0</v>
      </c>
      <c r="P83" s="20" t="n">
        <v>0</v>
      </c>
      <c r="Q83" s="18" t="n">
        <v>0</v>
      </c>
      <c r="R83" s="20" t="n">
        <v>0</v>
      </c>
      <c r="S83" s="18" t="n">
        <v>0</v>
      </c>
      <c r="T83" s="20" t="n">
        <v>0</v>
      </c>
    </row>
    <row r="84" spans="1:20">
      <c r="A84" s="23" t="s">
        <v>644</v>
      </c>
      <c r="B84" s="24" t="n">
        <v>938</v>
      </c>
      <c r="C84" s="25">
        <f>(741.0/B84*100)</f>
        <v/>
      </c>
      <c r="D84" s="19" t="n">
        <v>197</v>
      </c>
      <c r="E84" s="18" t="n">
        <v>39.57792904</v>
      </c>
      <c r="F84" s="20" t="n">
        <v>4.65911269</v>
      </c>
      <c r="G84" s="18" t="n">
        <v>29.0636957</v>
      </c>
      <c r="H84" s="20" t="n">
        <v>3.99872191</v>
      </c>
      <c r="I84" s="18" t="n">
        <v>30.31900713</v>
      </c>
      <c r="J84" s="20" t="n">
        <v>3.11952658</v>
      </c>
      <c r="K84" s="18" t="n">
        <v>0</v>
      </c>
      <c r="L84" s="20" t="n">
        <v>0</v>
      </c>
      <c r="M84" s="18" t="n">
        <v>0</v>
      </c>
      <c r="N84" s="20" t="n">
        <v>0</v>
      </c>
      <c r="O84" s="18" t="n">
        <v>0</v>
      </c>
      <c r="P84" s="20" t="n">
        <v>0</v>
      </c>
      <c r="Q84" s="18" t="n">
        <v>0</v>
      </c>
      <c r="R84" s="20" t="n">
        <v>0</v>
      </c>
      <c r="S84" s="18" t="n">
        <v>1.03936814</v>
      </c>
      <c r="T84" s="20" t="n">
        <v>0.83683039</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756</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(5609.0/B7*100)</f>
        <v/>
      </c>
      <c r="D7" s="19" t="n">
        <v>1554</v>
      </c>
      <c r="E7" s="18" t="n">
        <v>70.59242539</v>
      </c>
      <c r="F7" s="20" t="n">
        <v>1.60145119</v>
      </c>
      <c r="G7" s="18" t="n">
        <v>13.28109643</v>
      </c>
      <c r="H7" s="20" t="n">
        <v>1.0707082</v>
      </c>
      <c r="I7" s="18" t="n">
        <v>13.41121995</v>
      </c>
      <c r="J7" s="20" t="n">
        <v>1.11028208</v>
      </c>
      <c r="K7" s="18" t="n">
        <v>0</v>
      </c>
      <c r="L7" s="20" t="n">
        <v>0</v>
      </c>
      <c r="M7" s="18" t="n">
        <v>0.18658794</v>
      </c>
      <c r="N7" s="20" t="n">
        <v>0.10992989</v>
      </c>
      <c r="O7" s="18" t="n">
        <v>0</v>
      </c>
      <c r="P7" s="20" t="n">
        <v>0</v>
      </c>
      <c r="Q7" s="18" t="n">
        <v>0</v>
      </c>
      <c r="R7" s="20" t="n">
        <v>0</v>
      </c>
      <c r="S7" s="18" t="n">
        <v>2.52867029</v>
      </c>
      <c r="T7" s="20" t="n">
        <v>0.46751341</v>
      </c>
    </row>
    <row r="8" spans="1:20">
      <c r="A8" s="15" t="s">
        <v>566</v>
      </c>
      <c r="B8" s="17" t="n">
        <v>3443</v>
      </c>
      <c r="C8" s="18">
        <f>(2676.0/B8*100)</f>
        <v/>
      </c>
      <c r="D8" s="19" t="n">
        <v>767</v>
      </c>
      <c r="E8" s="18" t="n">
        <v>78.46769412</v>
      </c>
      <c r="F8" s="20" t="n">
        <v>1.64318388</v>
      </c>
      <c r="G8" s="18" t="n">
        <v>8.72355932</v>
      </c>
      <c r="H8" s="20" t="n">
        <v>1.00994732</v>
      </c>
      <c r="I8" s="18" t="n">
        <v>8.57580119</v>
      </c>
      <c r="J8" s="20" t="n">
        <v>0.9146568</v>
      </c>
      <c r="K8" s="18" t="n">
        <v>0</v>
      </c>
      <c r="L8" s="20" t="n">
        <v>0</v>
      </c>
      <c r="M8" s="18" t="n">
        <v>0.40607573</v>
      </c>
      <c r="N8" s="20" t="n">
        <v>0.25564685</v>
      </c>
      <c r="O8" s="18" t="n">
        <v>0</v>
      </c>
      <c r="P8" s="20" t="n">
        <v>0</v>
      </c>
      <c r="Q8" s="18" t="n">
        <v>0</v>
      </c>
      <c r="R8" s="20" t="n">
        <v>0</v>
      </c>
      <c r="S8" s="18" t="n">
        <v>3.82686964</v>
      </c>
      <c r="T8" s="20" t="n">
        <v>0.91072564</v>
      </c>
    </row>
    <row r="9" spans="1:20">
      <c r="A9" s="15" t="s">
        <v>567</v>
      </c>
      <c r="B9" s="17" t="n">
        <v>4752</v>
      </c>
      <c r="C9" s="18">
        <f>(3753.0/B9*100)</f>
        <v/>
      </c>
      <c r="D9" s="19" t="n">
        <v>999</v>
      </c>
      <c r="E9" s="18" t="n">
        <v>74.95377637</v>
      </c>
      <c r="F9" s="20" t="n">
        <v>1.27915371</v>
      </c>
      <c r="G9" s="18" t="n">
        <v>9.043744439999999</v>
      </c>
      <c r="H9" s="20" t="n">
        <v>1.03454183</v>
      </c>
      <c r="I9" s="18" t="n">
        <v>11.21278114</v>
      </c>
      <c r="J9" s="20" t="n">
        <v>0.74534764</v>
      </c>
      <c r="K9" s="18" t="n">
        <v>0</v>
      </c>
      <c r="L9" s="20" t="n">
        <v>0</v>
      </c>
      <c r="M9" s="18" t="n">
        <v>0.28013709</v>
      </c>
      <c r="N9" s="20" t="n">
        <v>0.1671948</v>
      </c>
      <c r="O9" s="18" t="n">
        <v>0.52543473</v>
      </c>
      <c r="P9" s="20" t="n">
        <v>0.28231337</v>
      </c>
      <c r="Q9" s="18" t="n">
        <v>0</v>
      </c>
      <c r="R9" s="20" t="n">
        <v>0</v>
      </c>
      <c r="S9" s="18" t="n">
        <v>3.98412622</v>
      </c>
      <c r="T9" s="20" t="n">
        <v>0.77511719</v>
      </c>
    </row>
    <row r="10" spans="1:20">
      <c r="A10" s="15" t="s">
        <v>568</v>
      </c>
      <c r="B10" s="17" t="n">
        <v>10022</v>
      </c>
      <c r="C10" s="18">
        <f>(7817.0/B10*100)</f>
        <v/>
      </c>
      <c r="D10" s="19" t="n">
        <v>2205</v>
      </c>
      <c r="E10" s="18" t="n">
        <v>67.71567373000001</v>
      </c>
      <c r="F10" s="20" t="n">
        <v>1.49621362</v>
      </c>
      <c r="G10" s="18" t="n">
        <v>14.06305903</v>
      </c>
      <c r="H10" s="20" t="n">
        <v>1.26596558</v>
      </c>
      <c r="I10" s="18" t="n">
        <v>16.60737726</v>
      </c>
      <c r="J10" s="20" t="n">
        <v>1.12480437</v>
      </c>
      <c r="K10" s="18" t="n">
        <v>0</v>
      </c>
      <c r="L10" s="20" t="n">
        <v>0</v>
      </c>
      <c r="M10" s="18" t="n">
        <v>0.46498552</v>
      </c>
      <c r="N10" s="20" t="n">
        <v>0.20513952</v>
      </c>
      <c r="O10" s="18" t="n">
        <v>0</v>
      </c>
      <c r="P10" s="20" t="n">
        <v>0</v>
      </c>
      <c r="Q10" s="18" t="n">
        <v>0</v>
      </c>
      <c r="R10" s="20" t="n">
        <v>0</v>
      </c>
      <c r="S10" s="18" t="n">
        <v>1.14890445</v>
      </c>
      <c r="T10" s="20" t="n">
        <v>0.34189142</v>
      </c>
    </row>
    <row r="11" spans="1:20">
      <c r="A11" s="15" t="s">
        <v>569</v>
      </c>
      <c r="B11" s="17" t="n">
        <v>3500</v>
      </c>
      <c r="C11" s="18">
        <f>(2727.0/B11*100)</f>
        <v/>
      </c>
      <c r="D11" s="19" t="n">
        <v>773</v>
      </c>
      <c r="E11" s="18" t="n">
        <v>85.60165655</v>
      </c>
      <c r="F11" s="20" t="n">
        <v>1.34898056</v>
      </c>
      <c r="G11" s="18" t="n">
        <v>4.45043992</v>
      </c>
      <c r="H11" s="20" t="n">
        <v>0.69126731</v>
      </c>
      <c r="I11" s="18" t="n">
        <v>3.61388389</v>
      </c>
      <c r="J11" s="20" t="n">
        <v>0.68012437</v>
      </c>
      <c r="K11" s="18" t="n">
        <v>0</v>
      </c>
      <c r="L11" s="20" t="n">
        <v>0</v>
      </c>
      <c r="M11" s="18" t="n">
        <v>0.65186261</v>
      </c>
      <c r="N11" s="20" t="n">
        <v>0.19971393</v>
      </c>
      <c r="O11" s="18" t="n">
        <v>0.18077813</v>
      </c>
      <c r="P11" s="20" t="n">
        <v>0.18915169</v>
      </c>
      <c r="Q11" s="18" t="n">
        <v>0</v>
      </c>
      <c r="R11" s="20" t="n">
        <v>0</v>
      </c>
      <c r="S11" s="18" t="n">
        <v>5.50137891</v>
      </c>
      <c r="T11" s="20" t="n">
        <v>0.97661732</v>
      </c>
    </row>
    <row r="12" spans="1:20">
      <c r="A12" s="15" t="s">
        <v>570</v>
      </c>
      <c r="B12" s="17" t="n">
        <v>3422</v>
      </c>
      <c r="C12" s="18">
        <f>(2692.0/B12*100)</f>
        <v/>
      </c>
      <c r="D12" s="19" t="n">
        <v>730</v>
      </c>
      <c r="E12" s="18" t="n">
        <v>80.97206916</v>
      </c>
      <c r="F12" s="20" t="n">
        <v>1.40612374</v>
      </c>
      <c r="G12" s="18" t="n">
        <v>9.105928889999999</v>
      </c>
      <c r="H12" s="20" t="n">
        <v>1.00709986</v>
      </c>
      <c r="I12" s="18" t="n">
        <v>7.03752797</v>
      </c>
      <c r="J12" s="20" t="n">
        <v>1.06225373</v>
      </c>
      <c r="K12" s="18" t="n">
        <v>0</v>
      </c>
      <c r="L12" s="20" t="n">
        <v>0</v>
      </c>
      <c r="M12" s="18" t="n">
        <v>0.12801656</v>
      </c>
      <c r="N12" s="20" t="n">
        <v>0.12521279</v>
      </c>
      <c r="O12" s="18" t="n">
        <v>0</v>
      </c>
      <c r="P12" s="20" t="n">
        <v>0</v>
      </c>
      <c r="Q12" s="18" t="n">
        <v>0</v>
      </c>
      <c r="R12" s="20" t="n">
        <v>0</v>
      </c>
      <c r="S12" s="18" t="n">
        <v>2.75645742</v>
      </c>
      <c r="T12" s="20" t="n">
        <v>0.7638269600000001</v>
      </c>
    </row>
    <row r="13" spans="1:20">
      <c r="A13" s="15" t="s">
        <v>571</v>
      </c>
      <c r="B13" s="17" t="n">
        <v>3602</v>
      </c>
      <c r="C13" s="18">
        <f>(2852.0/B13*100)</f>
        <v/>
      </c>
      <c r="D13" s="19" t="n">
        <v>750</v>
      </c>
      <c r="E13" s="18" t="n">
        <v>78.54053046</v>
      </c>
      <c r="F13" s="20" t="n">
        <v>1.68005316</v>
      </c>
      <c r="G13" s="18" t="n">
        <v>7.43224993</v>
      </c>
      <c r="H13" s="20" t="n">
        <v>1.16370602</v>
      </c>
      <c r="I13" s="18" t="n">
        <v>10.32796493</v>
      </c>
      <c r="J13" s="20" t="n">
        <v>1.23169823</v>
      </c>
      <c r="K13" s="18" t="n">
        <v>0</v>
      </c>
      <c r="L13" s="20" t="n">
        <v>0</v>
      </c>
      <c r="M13" s="18" t="n">
        <v>0.6769844699999999</v>
      </c>
      <c r="N13" s="20" t="n">
        <v>0.35799467</v>
      </c>
      <c r="O13" s="18" t="n">
        <v>0</v>
      </c>
      <c r="P13" s="20" t="n">
        <v>0</v>
      </c>
      <c r="Q13" s="18" t="n">
        <v>0</v>
      </c>
      <c r="R13" s="20" t="n">
        <v>0</v>
      </c>
      <c r="S13" s="18" t="n">
        <v>3.0222702</v>
      </c>
      <c r="T13" s="20" t="n">
        <v>0.93147413</v>
      </c>
    </row>
    <row r="14" spans="1:20">
      <c r="A14" s="15" t="s">
        <v>572</v>
      </c>
      <c r="B14" s="17" t="n">
        <v>2788</v>
      </c>
      <c r="C14" s="18">
        <f>(2180.0/B14*100)</f>
        <v/>
      </c>
      <c r="D14" s="19" t="n">
        <v>608</v>
      </c>
      <c r="E14" s="18" t="n">
        <v>71.88998033999999</v>
      </c>
      <c r="F14" s="20" t="n">
        <v>1.77748781</v>
      </c>
      <c r="G14" s="18" t="n">
        <v>11.54318173</v>
      </c>
      <c r="H14" s="20" t="n">
        <v>1.38596537</v>
      </c>
      <c r="I14" s="18" t="n">
        <v>14.6856109</v>
      </c>
      <c r="J14" s="20" t="n">
        <v>1.47829216</v>
      </c>
      <c r="K14" s="18" t="n">
        <v>0</v>
      </c>
      <c r="L14" s="20" t="n">
        <v>0</v>
      </c>
      <c r="M14" s="18" t="n">
        <v>0.12950611</v>
      </c>
      <c r="N14" s="20" t="n">
        <v>0.1214755</v>
      </c>
      <c r="O14" s="18" t="n">
        <v>0</v>
      </c>
      <c r="P14" s="20" t="n">
        <v>0</v>
      </c>
      <c r="Q14" s="18" t="n">
        <v>0</v>
      </c>
      <c r="R14" s="20" t="n">
        <v>0</v>
      </c>
      <c r="S14" s="18" t="n">
        <v>1.75172093</v>
      </c>
      <c r="T14" s="20" t="n">
        <v>0.64462172</v>
      </c>
    </row>
    <row r="15" spans="1:20">
      <c r="A15" s="15" t="s">
        <v>573</v>
      </c>
      <c r="B15" s="17" t="n">
        <v>2863</v>
      </c>
      <c r="C15" s="18">
        <f>(2216.0/B15*100)</f>
        <v/>
      </c>
      <c r="D15" s="19" t="n">
        <v>647</v>
      </c>
      <c r="E15" s="18" t="n">
        <v>66.98835893</v>
      </c>
      <c r="F15" s="20" t="n">
        <v>1.9218607</v>
      </c>
      <c r="G15" s="18" t="n">
        <v>11.19641292</v>
      </c>
      <c r="H15" s="20" t="n">
        <v>1.25165103</v>
      </c>
      <c r="I15" s="18" t="n">
        <v>19.13949447</v>
      </c>
      <c r="J15" s="20" t="n">
        <v>1.72962768</v>
      </c>
      <c r="K15" s="18" t="n">
        <v>0</v>
      </c>
      <c r="L15" s="20" t="n">
        <v>0</v>
      </c>
      <c r="M15" s="18" t="n">
        <v>0</v>
      </c>
      <c r="N15" s="20" t="n">
        <v>0</v>
      </c>
      <c r="O15" s="18" t="n">
        <v>0</v>
      </c>
      <c r="P15" s="20" t="n">
        <v>0</v>
      </c>
      <c r="Q15" s="18" t="n">
        <v>0</v>
      </c>
      <c r="R15" s="20" t="n">
        <v>0</v>
      </c>
      <c r="S15" s="18" t="n">
        <v>2.67573368</v>
      </c>
      <c r="T15" s="20" t="n">
        <v>0.6750085300000001</v>
      </c>
    </row>
    <row r="16" spans="1:20">
      <c r="A16" s="15" t="s">
        <v>574</v>
      </c>
      <c r="B16" s="17" t="n">
        <v>3111</v>
      </c>
      <c r="C16" s="18">
        <f>(2423.0/B16*100)</f>
        <v/>
      </c>
      <c r="D16" s="19" t="n">
        <v>688</v>
      </c>
      <c r="E16" s="18" t="n">
        <v>70.00317506</v>
      </c>
      <c r="F16" s="20" t="n">
        <v>1.60757812</v>
      </c>
      <c r="G16" s="18" t="n">
        <v>11.64707304</v>
      </c>
      <c r="H16" s="20" t="n">
        <v>1.12713001</v>
      </c>
      <c r="I16" s="18" t="n">
        <v>13.07620915</v>
      </c>
      <c r="J16" s="20" t="n">
        <v>1.08610332</v>
      </c>
      <c r="K16" s="18" t="n">
        <v>0</v>
      </c>
      <c r="L16" s="20" t="n">
        <v>0</v>
      </c>
      <c r="M16" s="18" t="n">
        <v>0.22470376</v>
      </c>
      <c r="N16" s="20" t="n">
        <v>0.1571454</v>
      </c>
      <c r="O16" s="18" t="n">
        <v>0</v>
      </c>
      <c r="P16" s="20" t="n">
        <v>0</v>
      </c>
      <c r="Q16" s="18" t="n">
        <v>0</v>
      </c>
      <c r="R16" s="20" t="n">
        <v>0</v>
      </c>
      <c r="S16" s="18" t="n">
        <v>5.04883899</v>
      </c>
      <c r="T16" s="20" t="n">
        <v>0.88860758</v>
      </c>
    </row>
    <row r="17" spans="1:20">
      <c r="A17" s="15" t="s">
        <v>575</v>
      </c>
      <c r="B17" s="17" t="n">
        <v>3197</v>
      </c>
      <c r="C17" s="18">
        <f>(2550.0/B17*100)</f>
        <v/>
      </c>
      <c r="D17" s="19" t="n">
        <v>647</v>
      </c>
      <c r="E17" s="18" t="n">
        <v>74.75587671</v>
      </c>
      <c r="F17" s="20" t="n">
        <v>1.92911963</v>
      </c>
      <c r="G17" s="18" t="n">
        <v>10.07566123</v>
      </c>
      <c r="H17" s="20" t="n">
        <v>1.2799083</v>
      </c>
      <c r="I17" s="18" t="n">
        <v>11.96968138</v>
      </c>
      <c r="J17" s="20" t="n">
        <v>1.16003401</v>
      </c>
      <c r="K17" s="18" t="n">
        <v>0</v>
      </c>
      <c r="L17" s="20" t="n">
        <v>0</v>
      </c>
      <c r="M17" s="18" t="n">
        <v>0</v>
      </c>
      <c r="N17" s="20" t="n">
        <v>0</v>
      </c>
      <c r="O17" s="18" t="n">
        <v>0</v>
      </c>
      <c r="P17" s="20" t="n">
        <v>0</v>
      </c>
      <c r="Q17" s="18" t="n">
        <v>0</v>
      </c>
      <c r="R17" s="20" t="n">
        <v>0</v>
      </c>
      <c r="S17" s="18" t="n">
        <v>3.19878067</v>
      </c>
      <c r="T17" s="20" t="n">
        <v>0.72858433</v>
      </c>
    </row>
    <row r="18" spans="1:20">
      <c r="A18" s="15" t="s">
        <v>576</v>
      </c>
      <c r="B18" s="17" t="n">
        <v>2706</v>
      </c>
      <c r="C18" s="18">
        <f>(2113.0/B18*100)</f>
        <v/>
      </c>
      <c r="D18" s="19" t="n">
        <v>593</v>
      </c>
      <c r="E18" s="18" t="n">
        <v>83.10493612</v>
      </c>
      <c r="F18" s="20" t="n">
        <v>2.01030751</v>
      </c>
      <c r="G18" s="18" t="n">
        <v>7.01073938</v>
      </c>
      <c r="H18" s="20" t="n">
        <v>1.23894889</v>
      </c>
      <c r="I18" s="18" t="n">
        <v>7.69950304</v>
      </c>
      <c r="J18" s="20" t="n">
        <v>1.21802476</v>
      </c>
      <c r="K18" s="18" t="n">
        <v>0</v>
      </c>
      <c r="L18" s="20" t="n">
        <v>0</v>
      </c>
      <c r="M18" s="18" t="n">
        <v>0.82902983</v>
      </c>
      <c r="N18" s="20" t="n">
        <v>0.41435466</v>
      </c>
      <c r="O18" s="18" t="n">
        <v>0</v>
      </c>
      <c r="P18" s="20" t="n">
        <v>0</v>
      </c>
      <c r="Q18" s="18" t="n">
        <v>0</v>
      </c>
      <c r="R18" s="20" t="n">
        <v>0</v>
      </c>
      <c r="S18" s="18" t="n">
        <v>1.35579163</v>
      </c>
      <c r="T18" s="20" t="n">
        <v>0.61232752</v>
      </c>
    </row>
    <row r="19" spans="1:20">
      <c r="A19" s="15" t="s">
        <v>577</v>
      </c>
      <c r="B19" s="17" t="n">
        <v>2850</v>
      </c>
      <c r="C19" s="18">
        <f>(2243.0/B19*100)</f>
        <v/>
      </c>
      <c r="D19" s="19" t="n">
        <v>607</v>
      </c>
      <c r="E19" s="18" t="n">
        <v>82.58642551</v>
      </c>
      <c r="F19" s="20" t="n">
        <v>1.75861497</v>
      </c>
      <c r="G19" s="18" t="n">
        <v>7.46108218</v>
      </c>
      <c r="H19" s="20" t="n">
        <v>1.14870155</v>
      </c>
      <c r="I19" s="18" t="n">
        <v>7.45984837</v>
      </c>
      <c r="J19" s="20" t="n">
        <v>0.8574834</v>
      </c>
      <c r="K19" s="18" t="n">
        <v>0</v>
      </c>
      <c r="L19" s="20" t="n">
        <v>0</v>
      </c>
      <c r="M19" s="18" t="n">
        <v>0</v>
      </c>
      <c r="N19" s="20" t="n">
        <v>0</v>
      </c>
      <c r="O19" s="18" t="n">
        <v>0</v>
      </c>
      <c r="P19" s="20" t="n">
        <v>0</v>
      </c>
      <c r="Q19" s="18" t="n">
        <v>0</v>
      </c>
      <c r="R19" s="20" t="n">
        <v>0</v>
      </c>
      <c r="S19" s="18" t="n">
        <v>2.49264394</v>
      </c>
      <c r="T19" s="20" t="n">
        <v>0.84175154</v>
      </c>
    </row>
    <row r="20" spans="1:20">
      <c r="A20" s="15" t="s">
        <v>578</v>
      </c>
      <c r="B20" s="17" t="n">
        <v>1741</v>
      </c>
      <c r="C20" s="18">
        <f>(1376.0/B20*100)</f>
        <v/>
      </c>
      <c r="D20" s="19" t="n">
        <v>365</v>
      </c>
      <c r="E20" s="18" t="n">
        <v>74.1921468</v>
      </c>
      <c r="F20" s="20" t="n">
        <v>2.11796111</v>
      </c>
      <c r="G20" s="18" t="n">
        <v>9.70662147</v>
      </c>
      <c r="H20" s="20" t="n">
        <v>1.35956651</v>
      </c>
      <c r="I20" s="18" t="n">
        <v>10.73570324</v>
      </c>
      <c r="J20" s="20" t="n">
        <v>1.54860529</v>
      </c>
      <c r="K20" s="18" t="n">
        <v>0</v>
      </c>
      <c r="L20" s="20" t="n">
        <v>0</v>
      </c>
      <c r="M20" s="18" t="n">
        <v>0.31902468</v>
      </c>
      <c r="N20" s="20" t="n">
        <v>0.31019979</v>
      </c>
      <c r="O20" s="18" t="n">
        <v>0.8465978</v>
      </c>
      <c r="P20" s="20" t="n">
        <v>0.12199247</v>
      </c>
      <c r="Q20" s="18" t="n">
        <v>0</v>
      </c>
      <c r="R20" s="20" t="n">
        <v>0</v>
      </c>
      <c r="S20" s="18" t="n">
        <v>4.19990601</v>
      </c>
      <c r="T20" s="20" t="n">
        <v>1.05671341</v>
      </c>
    </row>
    <row r="21" spans="1:20">
      <c r="A21" s="15" t="s">
        <v>579</v>
      </c>
      <c r="B21" s="17" t="n">
        <v>2833</v>
      </c>
      <c r="C21" s="18">
        <f>(2212.0/B21*100)</f>
        <v/>
      </c>
      <c r="D21" s="19" t="n">
        <v>621</v>
      </c>
      <c r="E21" s="18" t="n">
        <v>77.22317382999999</v>
      </c>
      <c r="F21" s="20" t="n">
        <v>1.73944595</v>
      </c>
      <c r="G21" s="18" t="n">
        <v>9.768693799999999</v>
      </c>
      <c r="H21" s="20" t="n">
        <v>1.18737557</v>
      </c>
      <c r="I21" s="18" t="n">
        <v>11.33366263</v>
      </c>
      <c r="J21" s="20" t="n">
        <v>1.15277159</v>
      </c>
      <c r="K21" s="18" t="n">
        <v>0</v>
      </c>
      <c r="L21" s="20" t="n">
        <v>0</v>
      </c>
      <c r="M21" s="18" t="n">
        <v>0</v>
      </c>
      <c r="N21" s="20" t="n">
        <v>0</v>
      </c>
      <c r="O21" s="18" t="n">
        <v>0</v>
      </c>
      <c r="P21" s="20" t="n">
        <v>0</v>
      </c>
      <c r="Q21" s="18" t="n">
        <v>0</v>
      </c>
      <c r="R21" s="20" t="n">
        <v>0</v>
      </c>
      <c r="S21" s="18" t="n">
        <v>1.67446975</v>
      </c>
      <c r="T21" s="20" t="n">
        <v>0.55272094</v>
      </c>
    </row>
    <row r="22" spans="1:20">
      <c r="A22" s="15" t="s">
        <v>580</v>
      </c>
      <c r="B22" s="17" t="n">
        <v>3667</v>
      </c>
      <c r="C22" s="18">
        <f>(2872.0/B22*100)</f>
        <v/>
      </c>
      <c r="D22" s="19" t="n">
        <v>795</v>
      </c>
      <c r="E22" s="18" t="n">
        <v>74.57135164</v>
      </c>
      <c r="F22" s="20" t="n">
        <v>1.65191365</v>
      </c>
      <c r="G22" s="18" t="n">
        <v>7.75489841</v>
      </c>
      <c r="H22" s="20" t="n">
        <v>0.92714724</v>
      </c>
      <c r="I22" s="18" t="n">
        <v>10.31467886</v>
      </c>
      <c r="J22" s="20" t="n">
        <v>1.2677323</v>
      </c>
      <c r="K22" s="18" t="n">
        <v>0</v>
      </c>
      <c r="L22" s="20" t="n">
        <v>0</v>
      </c>
      <c r="M22" s="18" t="n">
        <v>1.33944937</v>
      </c>
      <c r="N22" s="20" t="n">
        <v>0.43494407</v>
      </c>
      <c r="O22" s="18" t="n">
        <v>0.2125278</v>
      </c>
      <c r="P22" s="20" t="n">
        <v>0.21126424</v>
      </c>
      <c r="Q22" s="18" t="n">
        <v>0</v>
      </c>
      <c r="R22" s="20" t="n">
        <v>0</v>
      </c>
      <c r="S22" s="18" t="n">
        <v>5.80709392</v>
      </c>
      <c r="T22" s="20" t="n">
        <v>0.8733997999999999</v>
      </c>
    </row>
    <row r="23" spans="1:20">
      <c r="A23" s="15" t="s">
        <v>581</v>
      </c>
      <c r="B23" s="17" t="n">
        <v>5792</v>
      </c>
      <c r="C23" s="18">
        <f>(4502.0/B23*100)</f>
        <v/>
      </c>
      <c r="D23" s="19" t="n">
        <v>1290</v>
      </c>
      <c r="E23" s="18" t="n">
        <v>77.09825879</v>
      </c>
      <c r="F23" s="20" t="n">
        <v>1.90434393</v>
      </c>
      <c r="G23" s="18" t="n">
        <v>7.12947627</v>
      </c>
      <c r="H23" s="20" t="n">
        <v>1.44010464</v>
      </c>
      <c r="I23" s="18" t="n">
        <v>7.86252121</v>
      </c>
      <c r="J23" s="20" t="n">
        <v>1.06857434</v>
      </c>
      <c r="K23" s="18" t="n">
        <v>0</v>
      </c>
      <c r="L23" s="20" t="n">
        <v>0</v>
      </c>
      <c r="M23" s="18" t="n">
        <v>1.1213429</v>
      </c>
      <c r="N23" s="20" t="n">
        <v>0.66553168</v>
      </c>
      <c r="O23" s="18" t="n">
        <v>0.09420033</v>
      </c>
      <c r="P23" s="20" t="n">
        <v>0.09422285</v>
      </c>
      <c r="Q23" s="18" t="n">
        <v>0</v>
      </c>
      <c r="R23" s="20" t="n">
        <v>0</v>
      </c>
      <c r="S23" s="18" t="n">
        <v>6.69420049</v>
      </c>
      <c r="T23" s="20" t="n">
        <v>1.0928202</v>
      </c>
    </row>
    <row r="24" spans="1:20">
      <c r="A24" s="15" t="s">
        <v>582</v>
      </c>
      <c r="B24" s="17" t="n">
        <v>3309</v>
      </c>
      <c r="C24" s="18">
        <f>(2567.0/B24*100)</f>
        <v/>
      </c>
      <c r="D24" s="19" t="n">
        <v>742</v>
      </c>
      <c r="E24" s="18" t="n">
        <v>73.05101329999999</v>
      </c>
      <c r="F24" s="20" t="n">
        <v>1.63957927</v>
      </c>
      <c r="G24" s="18" t="n">
        <v>8.49978012</v>
      </c>
      <c r="H24" s="20" t="n">
        <v>1.10362549</v>
      </c>
      <c r="I24" s="18" t="n">
        <v>15.37374122</v>
      </c>
      <c r="J24" s="20" t="n">
        <v>1.29869448</v>
      </c>
      <c r="K24" s="18" t="n">
        <v>0</v>
      </c>
      <c r="L24" s="20" t="n">
        <v>0</v>
      </c>
      <c r="M24" s="18" t="n">
        <v>0</v>
      </c>
      <c r="N24" s="20" t="n">
        <v>0</v>
      </c>
      <c r="O24" s="18" t="n">
        <v>0.1305445</v>
      </c>
      <c r="P24" s="20" t="n">
        <v>0.13082077</v>
      </c>
      <c r="Q24" s="18" t="n">
        <v>0</v>
      </c>
      <c r="R24" s="20" t="n">
        <v>0</v>
      </c>
      <c r="S24" s="18" t="n">
        <v>2.94492087</v>
      </c>
      <c r="T24" s="20" t="n">
        <v>0.71117993</v>
      </c>
    </row>
    <row r="25" spans="1:20">
      <c r="A25" s="15" t="s">
        <v>583</v>
      </c>
      <c r="B25" s="17" t="n">
        <v>2669</v>
      </c>
      <c r="C25" s="18">
        <f>(2074.0/B25*100)</f>
        <v/>
      </c>
      <c r="D25" s="19" t="n">
        <v>595</v>
      </c>
      <c r="E25" s="18" t="n">
        <v>81.9721696</v>
      </c>
      <c r="F25" s="20" t="n">
        <v>1.53721034</v>
      </c>
      <c r="G25" s="18" t="n">
        <v>8.051977340000001</v>
      </c>
      <c r="H25" s="20" t="n">
        <v>1.26753341</v>
      </c>
      <c r="I25" s="18" t="n">
        <v>8.982497220000001</v>
      </c>
      <c r="J25" s="20" t="n">
        <v>1.25823397</v>
      </c>
      <c r="K25" s="18" t="n">
        <v>0</v>
      </c>
      <c r="L25" s="20" t="n">
        <v>0</v>
      </c>
      <c r="M25" s="18" t="n">
        <v>0</v>
      </c>
      <c r="N25" s="20" t="n">
        <v>0</v>
      </c>
      <c r="O25" s="18" t="n">
        <v>0</v>
      </c>
      <c r="P25" s="20" t="n">
        <v>0</v>
      </c>
      <c r="Q25" s="18" t="n">
        <v>0</v>
      </c>
      <c r="R25" s="20" t="n">
        <v>0</v>
      </c>
      <c r="S25" s="18" t="n">
        <v>0.9933558300000001</v>
      </c>
      <c r="T25" s="20" t="n">
        <v>0.38714118</v>
      </c>
    </row>
    <row r="26" spans="1:20">
      <c r="A26" s="15" t="s">
        <v>584</v>
      </c>
      <c r="B26" s="17" t="n">
        <v>2419</v>
      </c>
      <c r="C26" s="18">
        <f>(1893.0/B26*100)</f>
        <v/>
      </c>
      <c r="D26" s="19" t="n">
        <v>526</v>
      </c>
      <c r="E26" s="18" t="n">
        <v>80.40374421999999</v>
      </c>
      <c r="F26" s="20" t="n">
        <v>2.15007007</v>
      </c>
      <c r="G26" s="18" t="n">
        <v>11.09141366</v>
      </c>
      <c r="H26" s="20" t="n">
        <v>1.72085025</v>
      </c>
      <c r="I26" s="18" t="n">
        <v>6.70478856</v>
      </c>
      <c r="J26" s="20" t="n">
        <v>1.08922886</v>
      </c>
      <c r="K26" s="18" t="n">
        <v>0</v>
      </c>
      <c r="L26" s="20" t="n">
        <v>0</v>
      </c>
      <c r="M26" s="18" t="n">
        <v>0</v>
      </c>
      <c r="N26" s="20" t="n">
        <v>0</v>
      </c>
      <c r="O26" s="18" t="n">
        <v>0.13202546</v>
      </c>
      <c r="P26" s="20" t="n">
        <v>0.1328138</v>
      </c>
      <c r="Q26" s="18" t="n">
        <v>0</v>
      </c>
      <c r="R26" s="20" t="n">
        <v>0</v>
      </c>
      <c r="S26" s="18" t="n">
        <v>1.6680281</v>
      </c>
      <c r="T26" s="20" t="n">
        <v>0.60851286</v>
      </c>
    </row>
    <row r="27" spans="1:20">
      <c r="A27" s="15" t="s">
        <v>585</v>
      </c>
      <c r="B27" s="17" t="n">
        <v>2683</v>
      </c>
      <c r="C27" s="18">
        <f>(2121.0/B27*100)</f>
        <v/>
      </c>
      <c r="D27" s="19" t="n">
        <v>562</v>
      </c>
      <c r="E27" s="18" t="n">
        <v>78.70191373</v>
      </c>
      <c r="F27" s="20" t="n">
        <v>1.72385438</v>
      </c>
      <c r="G27" s="18" t="n">
        <v>8.95671711</v>
      </c>
      <c r="H27" s="20" t="n">
        <v>1.07227343</v>
      </c>
      <c r="I27" s="18" t="n">
        <v>8.05339573</v>
      </c>
      <c r="J27" s="20" t="n">
        <v>1.16283964</v>
      </c>
      <c r="K27" s="18" t="n">
        <v>0</v>
      </c>
      <c r="L27" s="20" t="n">
        <v>0</v>
      </c>
      <c r="M27" s="18" t="n">
        <v>0.37699746</v>
      </c>
      <c r="N27" s="20" t="n">
        <v>0.2649968</v>
      </c>
      <c r="O27" s="18" t="n">
        <v>0</v>
      </c>
      <c r="P27" s="20" t="n">
        <v>0</v>
      </c>
      <c r="Q27" s="18" t="n">
        <v>0</v>
      </c>
      <c r="R27" s="20" t="n">
        <v>0</v>
      </c>
      <c r="S27" s="18" t="n">
        <v>3.91097598</v>
      </c>
      <c r="T27" s="20" t="n">
        <v>0.7435479</v>
      </c>
    </row>
    <row r="28" spans="1:20">
      <c r="A28" s="15" t="s">
        <v>586</v>
      </c>
      <c r="B28" s="17" t="n">
        <v>3803</v>
      </c>
      <c r="C28" s="18">
        <f>(3028.0/B28*100)</f>
        <v/>
      </c>
      <c r="D28" s="19" t="n">
        <v>775</v>
      </c>
      <c r="E28" s="18" t="n">
        <v>91.02642302</v>
      </c>
      <c r="F28" s="20" t="n">
        <v>1.06670505</v>
      </c>
      <c r="G28" s="18" t="n">
        <v>3.82645037</v>
      </c>
      <c r="H28" s="20" t="n">
        <v>0.72321842</v>
      </c>
      <c r="I28" s="18" t="n">
        <v>1.62077462</v>
      </c>
      <c r="J28" s="20" t="n">
        <v>0.31782847</v>
      </c>
      <c r="K28" s="18" t="n">
        <v>0</v>
      </c>
      <c r="L28" s="20" t="n">
        <v>0</v>
      </c>
      <c r="M28" s="18" t="n">
        <v>0.84548459</v>
      </c>
      <c r="N28" s="20" t="n">
        <v>0.40255552</v>
      </c>
      <c r="O28" s="18" t="n">
        <v>0.24819694</v>
      </c>
      <c r="P28" s="20" t="n">
        <v>0.24818797</v>
      </c>
      <c r="Q28" s="18" t="n">
        <v>0</v>
      </c>
      <c r="R28" s="20" t="n">
        <v>0</v>
      </c>
      <c r="S28" s="18" t="n">
        <v>2.43267046</v>
      </c>
      <c r="T28" s="20" t="n">
        <v>0.63169721</v>
      </c>
    </row>
    <row r="29" spans="1:20">
      <c r="A29" s="15" t="s">
        <v>587</v>
      </c>
      <c r="B29" s="17" t="n">
        <v>2700</v>
      </c>
      <c r="C29" s="18">
        <f>(2127.0/B29*100)</f>
        <v/>
      </c>
      <c r="D29" s="19" t="n">
        <v>573</v>
      </c>
      <c r="E29" s="18" t="n">
        <v>77.46859215000001</v>
      </c>
      <c r="F29" s="20" t="n">
        <v>1.67355847</v>
      </c>
      <c r="G29" s="18" t="n">
        <v>9.271536230000001</v>
      </c>
      <c r="H29" s="20" t="n">
        <v>1.13842028</v>
      </c>
      <c r="I29" s="18" t="n">
        <v>10.49831414</v>
      </c>
      <c r="J29" s="20" t="n">
        <v>1.32849783</v>
      </c>
      <c r="K29" s="18" t="n">
        <v>0</v>
      </c>
      <c r="L29" s="20" t="n">
        <v>0</v>
      </c>
      <c r="M29" s="18" t="n">
        <v>0</v>
      </c>
      <c r="N29" s="20" t="n">
        <v>0</v>
      </c>
      <c r="O29" s="18" t="n">
        <v>0</v>
      </c>
      <c r="P29" s="20" t="n">
        <v>0</v>
      </c>
      <c r="Q29" s="18" t="n">
        <v>0</v>
      </c>
      <c r="R29" s="20" t="n">
        <v>0</v>
      </c>
      <c r="S29" s="18" t="n">
        <v>2.76155748</v>
      </c>
      <c r="T29" s="20" t="n">
        <v>0.68477573</v>
      </c>
    </row>
    <row r="30" spans="1:20">
      <c r="A30" s="15" t="s">
        <v>588</v>
      </c>
      <c r="B30" s="17" t="n">
        <v>2257</v>
      </c>
      <c r="C30" s="18">
        <f>(1779.0/B30*100)</f>
        <v/>
      </c>
      <c r="D30" s="19" t="n">
        <v>478</v>
      </c>
      <c r="E30" s="18" t="n">
        <v>70.21971404999999</v>
      </c>
      <c r="F30" s="20" t="n">
        <v>2.14767307</v>
      </c>
      <c r="G30" s="18" t="n">
        <v>10.06786851</v>
      </c>
      <c r="H30" s="20" t="n">
        <v>1.45865707</v>
      </c>
      <c r="I30" s="18" t="n">
        <v>14.80360499</v>
      </c>
      <c r="J30" s="20" t="n">
        <v>1.69090253</v>
      </c>
      <c r="K30" s="18" t="n">
        <v>0</v>
      </c>
      <c r="L30" s="20" t="n">
        <v>0</v>
      </c>
      <c r="M30" s="18" t="n">
        <v>0.2381</v>
      </c>
      <c r="N30" s="20" t="n">
        <v>0.27294263</v>
      </c>
      <c r="O30" s="18" t="n">
        <v>0.22641858</v>
      </c>
      <c r="P30" s="20" t="n">
        <v>0.22986768</v>
      </c>
      <c r="Q30" s="18" t="n">
        <v>0</v>
      </c>
      <c r="R30" s="20" t="n">
        <v>0</v>
      </c>
      <c r="S30" s="18" t="n">
        <v>4.44429387</v>
      </c>
      <c r="T30" s="20" t="n">
        <v>0.91127371</v>
      </c>
    </row>
    <row r="31" spans="1:20">
      <c r="A31" s="15" t="s">
        <v>589</v>
      </c>
      <c r="B31" s="17" t="n">
        <v>2706</v>
      </c>
      <c r="C31" s="18">
        <f>(2135.0/B31*100)</f>
        <v/>
      </c>
      <c r="D31" s="19" t="n">
        <v>571</v>
      </c>
      <c r="E31" s="18" t="n">
        <v>75.46823325</v>
      </c>
      <c r="F31" s="20" t="n">
        <v>1.65818493</v>
      </c>
      <c r="G31" s="18" t="n">
        <v>8.691405789999999</v>
      </c>
      <c r="H31" s="20" t="n">
        <v>1.17457545</v>
      </c>
      <c r="I31" s="18" t="n">
        <v>10.31954825</v>
      </c>
      <c r="J31" s="20" t="n">
        <v>1.10203887</v>
      </c>
      <c r="K31" s="18" t="n">
        <v>0</v>
      </c>
      <c r="L31" s="20" t="n">
        <v>0</v>
      </c>
      <c r="M31" s="18" t="n">
        <v>0</v>
      </c>
      <c r="N31" s="20" t="n">
        <v>0</v>
      </c>
      <c r="O31" s="18" t="n">
        <v>0.33478138</v>
      </c>
      <c r="P31" s="20" t="n">
        <v>0.23081394</v>
      </c>
      <c r="Q31" s="18" t="n">
        <v>0</v>
      </c>
      <c r="R31" s="20" t="n">
        <v>0</v>
      </c>
      <c r="S31" s="18" t="n">
        <v>5.18603132</v>
      </c>
      <c r="T31" s="20" t="n">
        <v>0.96616944</v>
      </c>
    </row>
    <row r="32" spans="1:20">
      <c r="A32" s="15" t="s">
        <v>590</v>
      </c>
      <c r="B32" s="17" t="n">
        <v>2209</v>
      </c>
      <c r="C32" s="18">
        <f>(1689.0/B32*100)</f>
        <v/>
      </c>
      <c r="D32" s="19" t="n">
        <v>520</v>
      </c>
      <c r="E32" s="18" t="n">
        <v>76.97668203000001</v>
      </c>
      <c r="F32" s="20" t="n">
        <v>1.90848444</v>
      </c>
      <c r="G32" s="18" t="n">
        <v>12.53910911</v>
      </c>
      <c r="H32" s="20" t="n">
        <v>1.54316815</v>
      </c>
      <c r="I32" s="18" t="n">
        <v>8.034833669999999</v>
      </c>
      <c r="J32" s="20" t="n">
        <v>1.45447105</v>
      </c>
      <c r="K32" s="18" t="n">
        <v>0</v>
      </c>
      <c r="L32" s="20" t="n">
        <v>0</v>
      </c>
      <c r="M32" s="18" t="n">
        <v>0</v>
      </c>
      <c r="N32" s="20" t="n">
        <v>0</v>
      </c>
      <c r="O32" s="18" t="n">
        <v>0</v>
      </c>
      <c r="P32" s="20" t="n">
        <v>0</v>
      </c>
      <c r="Q32" s="18" t="n">
        <v>0</v>
      </c>
      <c r="R32" s="20" t="n">
        <v>0</v>
      </c>
      <c r="S32" s="18" t="n">
        <v>2.44937519</v>
      </c>
      <c r="T32" s="20" t="n">
        <v>0.70707192</v>
      </c>
    </row>
    <row r="33" spans="1:20">
      <c r="A33" s="15" t="s">
        <v>591</v>
      </c>
      <c r="B33" s="17" t="n">
        <v>3651</v>
      </c>
      <c r="C33" s="18">
        <f>(2820.0/B33*100)</f>
        <v/>
      </c>
      <c r="D33" s="19" t="n">
        <v>831</v>
      </c>
      <c r="E33" s="18" t="n">
        <v>76.28252270999999</v>
      </c>
      <c r="F33" s="20" t="n">
        <v>1.83146118</v>
      </c>
      <c r="G33" s="18" t="n">
        <v>10.20494022</v>
      </c>
      <c r="H33" s="20" t="n">
        <v>1.23766622</v>
      </c>
      <c r="I33" s="18" t="n">
        <v>10.84927734</v>
      </c>
      <c r="J33" s="20" t="n">
        <v>1.25897391</v>
      </c>
      <c r="K33" s="18" t="n">
        <v>0</v>
      </c>
      <c r="L33" s="20" t="n">
        <v>0</v>
      </c>
      <c r="M33" s="18" t="n">
        <v>0.53405812</v>
      </c>
      <c r="N33" s="20" t="n">
        <v>0.29175378</v>
      </c>
      <c r="O33" s="18" t="n">
        <v>0.17972446</v>
      </c>
      <c r="P33" s="20" t="n">
        <v>0.15414307</v>
      </c>
      <c r="Q33" s="18" t="n">
        <v>0</v>
      </c>
      <c r="R33" s="20" t="n">
        <v>0</v>
      </c>
      <c r="S33" s="18" t="n">
        <v>1.94947715</v>
      </c>
      <c r="T33" s="20" t="n">
        <v>0.50894438</v>
      </c>
    </row>
    <row r="34" spans="1:20">
      <c r="A34" s="15" t="s">
        <v>592</v>
      </c>
      <c r="B34" s="17" t="n">
        <v>3035</v>
      </c>
      <c r="C34" s="18">
        <f>(2418.0/B34*100)</f>
        <v/>
      </c>
      <c r="D34" s="19" t="n">
        <v>617</v>
      </c>
      <c r="E34" s="18" t="n">
        <v>82.73511177</v>
      </c>
      <c r="F34" s="20" t="n">
        <v>1.61403618</v>
      </c>
      <c r="G34" s="18" t="n">
        <v>7.66456126</v>
      </c>
      <c r="H34" s="20" t="n">
        <v>1.13118267</v>
      </c>
      <c r="I34" s="18" t="n">
        <v>7.62385619</v>
      </c>
      <c r="J34" s="20" t="n">
        <v>0.92620391</v>
      </c>
      <c r="K34" s="18" t="n">
        <v>0</v>
      </c>
      <c r="L34" s="20" t="n">
        <v>0</v>
      </c>
      <c r="M34" s="18" t="n">
        <v>0</v>
      </c>
      <c r="N34" s="20" t="n">
        <v>0</v>
      </c>
      <c r="O34" s="18" t="n">
        <v>0.31355789</v>
      </c>
      <c r="P34" s="20" t="n">
        <v>0.22449422</v>
      </c>
      <c r="Q34" s="18" t="n">
        <v>0</v>
      </c>
      <c r="R34" s="20" t="n">
        <v>0</v>
      </c>
      <c r="S34" s="18" t="n">
        <v>1.6629129</v>
      </c>
      <c r="T34" s="20" t="n">
        <v>0.54096599</v>
      </c>
    </row>
    <row r="35" spans="1:20">
      <c r="A35" s="15" t="s">
        <v>593</v>
      </c>
      <c r="B35" s="17" t="n">
        <v>2901</v>
      </c>
      <c r="C35" s="18">
        <f>(2283.0/B35*100)</f>
        <v/>
      </c>
      <c r="D35" s="19" t="n">
        <v>618</v>
      </c>
      <c r="E35" s="18" t="n">
        <v>67.53054797999999</v>
      </c>
      <c r="F35" s="20" t="n">
        <v>2.77747703</v>
      </c>
      <c r="G35" s="18" t="n">
        <v>18.45277027</v>
      </c>
      <c r="H35" s="20" t="n">
        <v>2.42697755</v>
      </c>
      <c r="I35" s="18" t="n">
        <v>12.04910318</v>
      </c>
      <c r="J35" s="20" t="n">
        <v>1.86380563</v>
      </c>
      <c r="K35" s="18" t="n">
        <v>0</v>
      </c>
      <c r="L35" s="20" t="n">
        <v>0</v>
      </c>
      <c r="M35" s="18" t="n">
        <v>0</v>
      </c>
      <c r="N35" s="20" t="n">
        <v>0</v>
      </c>
      <c r="O35" s="18" t="n">
        <v>0</v>
      </c>
      <c r="P35" s="20" t="n">
        <v>0</v>
      </c>
      <c r="Q35" s="18" t="n">
        <v>0</v>
      </c>
      <c r="R35" s="20" t="n">
        <v>0</v>
      </c>
      <c r="S35" s="18" t="n">
        <v>1.96757857</v>
      </c>
      <c r="T35" s="20" t="n">
        <v>0.7074654500000001</v>
      </c>
    </row>
    <row r="36" spans="1:20">
      <c r="A36" s="15" t="s">
        <v>594</v>
      </c>
      <c r="B36" s="17" t="n">
        <v>3404</v>
      </c>
      <c r="C36" s="18">
        <f>(2626.0/B36*100)</f>
        <v/>
      </c>
      <c r="D36" s="19" t="n">
        <v>778</v>
      </c>
      <c r="E36" s="18" t="n">
        <v>83.08586505</v>
      </c>
      <c r="F36" s="20" t="n">
        <v>1.21951023</v>
      </c>
      <c r="G36" s="18" t="n">
        <v>5.85226297</v>
      </c>
      <c r="H36" s="20" t="n">
        <v>0.8280915599999999</v>
      </c>
      <c r="I36" s="18" t="n">
        <v>6.84893065</v>
      </c>
      <c r="J36" s="20" t="n">
        <v>0.82944125</v>
      </c>
      <c r="K36" s="18" t="n">
        <v>0</v>
      </c>
      <c r="L36" s="20" t="n">
        <v>0</v>
      </c>
      <c r="M36" s="18" t="n">
        <v>0.34330743</v>
      </c>
      <c r="N36" s="20" t="n">
        <v>0.22731356</v>
      </c>
      <c r="O36" s="18" t="n">
        <v>0</v>
      </c>
      <c r="P36" s="20" t="n">
        <v>0</v>
      </c>
      <c r="Q36" s="18" t="n">
        <v>0</v>
      </c>
      <c r="R36" s="20" t="n">
        <v>0</v>
      </c>
      <c r="S36" s="18" t="n">
        <v>3.86963391</v>
      </c>
      <c r="T36" s="20" t="n">
        <v>0.6416518</v>
      </c>
    </row>
    <row r="37" spans="1:20">
      <c r="A37" s="15" t="s">
        <v>595</v>
      </c>
      <c r="B37" s="17" t="n">
        <v>2731</v>
      </c>
      <c r="C37" s="18">
        <f>(2127.0/B37*100)</f>
        <v/>
      </c>
      <c r="D37" s="19" t="n">
        <v>604</v>
      </c>
      <c r="E37" s="18" t="n">
        <v>73.43656254</v>
      </c>
      <c r="F37" s="20" t="n">
        <v>2.09693816</v>
      </c>
      <c r="G37" s="18" t="n">
        <v>8.85352035</v>
      </c>
      <c r="H37" s="20" t="n">
        <v>1.38195809</v>
      </c>
      <c r="I37" s="18" t="n">
        <v>10.96264323</v>
      </c>
      <c r="J37" s="20" t="n">
        <v>1.45498079</v>
      </c>
      <c r="K37" s="18" t="n">
        <v>0</v>
      </c>
      <c r="L37" s="20" t="n">
        <v>0</v>
      </c>
      <c r="M37" s="18" t="n">
        <v>0.36849598</v>
      </c>
      <c r="N37" s="20" t="n">
        <v>0.2529119</v>
      </c>
      <c r="O37" s="18" t="n">
        <v>0</v>
      </c>
      <c r="P37" s="20" t="n">
        <v>0</v>
      </c>
      <c r="Q37" s="18" t="n">
        <v>0</v>
      </c>
      <c r="R37" s="20" t="n">
        <v>0</v>
      </c>
      <c r="S37" s="18" t="n">
        <v>6.37877789</v>
      </c>
      <c r="T37" s="20" t="n">
        <v>0.89353184</v>
      </c>
    </row>
    <row r="38" spans="1:20">
      <c r="A38" s="15" t="s">
        <v>596</v>
      </c>
      <c r="B38" s="17" t="n">
        <v>2807</v>
      </c>
      <c r="C38" s="18">
        <f>(2180.0/B38*100)</f>
        <v/>
      </c>
      <c r="D38" s="19" t="n">
        <v>627</v>
      </c>
      <c r="E38" s="18" t="n">
        <v>71.52528527</v>
      </c>
      <c r="F38" s="20" t="n">
        <v>2.16369601</v>
      </c>
      <c r="G38" s="18" t="n">
        <v>9.2323732</v>
      </c>
      <c r="H38" s="20" t="n">
        <v>1.32187042</v>
      </c>
      <c r="I38" s="18" t="n">
        <v>13.71925916</v>
      </c>
      <c r="J38" s="20" t="n">
        <v>1.63791133</v>
      </c>
      <c r="K38" s="18" t="n">
        <v>0</v>
      </c>
      <c r="L38" s="20" t="n">
        <v>0</v>
      </c>
      <c r="M38" s="18" t="n">
        <v>0</v>
      </c>
      <c r="N38" s="20" t="n">
        <v>0</v>
      </c>
      <c r="O38" s="18" t="n">
        <v>2.17617118</v>
      </c>
      <c r="P38" s="20" t="n">
        <v>0.5344484</v>
      </c>
      <c r="Q38" s="18" t="n">
        <v>0</v>
      </c>
      <c r="R38" s="20" t="n">
        <v>0</v>
      </c>
      <c r="S38" s="18" t="n">
        <v>3.34691118</v>
      </c>
      <c r="T38" s="20" t="n">
        <v>0.79612054</v>
      </c>
    </row>
    <row r="39" spans="1:20">
      <c r="A39" s="15" t="s">
        <v>597</v>
      </c>
      <c r="B39" s="17" t="n">
        <v>2938</v>
      </c>
      <c r="C39" s="18">
        <f>(2260.0/B39*100)</f>
        <v/>
      </c>
      <c r="D39" s="19" t="n">
        <v>678</v>
      </c>
      <c r="E39" s="18" t="n">
        <v>90.73347527999999</v>
      </c>
      <c r="F39" s="20" t="n">
        <v>1.37818775</v>
      </c>
      <c r="G39" s="18" t="n">
        <v>2.72501752</v>
      </c>
      <c r="H39" s="20" t="n">
        <v>0.63456682</v>
      </c>
      <c r="I39" s="18" t="n">
        <v>2.16729967</v>
      </c>
      <c r="J39" s="20" t="n">
        <v>0.64597116</v>
      </c>
      <c r="K39" s="18" t="n">
        <v>0</v>
      </c>
      <c r="L39" s="20" t="n">
        <v>0</v>
      </c>
      <c r="M39" s="18" t="n">
        <v>0</v>
      </c>
      <c r="N39" s="20" t="n">
        <v>0</v>
      </c>
      <c r="O39" s="18" t="n">
        <v>0</v>
      </c>
      <c r="P39" s="20" t="n">
        <v>0</v>
      </c>
      <c r="Q39" s="18" t="n">
        <v>0</v>
      </c>
      <c r="R39" s="20" t="n">
        <v>0</v>
      </c>
      <c r="S39" s="18" t="n">
        <v>4.37420753</v>
      </c>
      <c r="T39" s="20" t="n">
        <v>0.9103570600000001</v>
      </c>
    </row>
    <row r="40" spans="1:20">
      <c r="A40" s="15" t="s">
        <v>598</v>
      </c>
      <c r="B40" s="17" t="n">
        <v>6922</v>
      </c>
      <c r="C40" s="18">
        <f>(5385.0/B40*100)</f>
        <v/>
      </c>
      <c r="D40" s="19" t="n">
        <v>1537</v>
      </c>
      <c r="E40" s="18" t="n">
        <v>71.81151975</v>
      </c>
      <c r="F40" s="20" t="n">
        <v>2.02135034</v>
      </c>
      <c r="G40" s="18" t="n">
        <v>10.44128358</v>
      </c>
      <c r="H40" s="20" t="n">
        <v>1.16707471</v>
      </c>
      <c r="I40" s="18" t="n">
        <v>13.52513192</v>
      </c>
      <c r="J40" s="20" t="n">
        <v>1.58708964</v>
      </c>
      <c r="K40" s="18" t="n">
        <v>0</v>
      </c>
      <c r="L40" s="20" t="n">
        <v>0</v>
      </c>
      <c r="M40" s="18" t="n">
        <v>0.36818828</v>
      </c>
      <c r="N40" s="20" t="n">
        <v>0.25887212</v>
      </c>
      <c r="O40" s="18" t="n">
        <v>0</v>
      </c>
      <c r="P40" s="20" t="n">
        <v>0</v>
      </c>
      <c r="Q40" s="18" t="n">
        <v>0</v>
      </c>
      <c r="R40" s="20" t="n">
        <v>0</v>
      </c>
      <c r="S40" s="18" t="n">
        <v>3.85387647</v>
      </c>
      <c r="T40" s="20" t="n">
        <v>0.83512231</v>
      </c>
    </row>
    <row r="41" spans="1:20">
      <c r="A41" s="15" t="s">
        <v>599</v>
      </c>
      <c r="B41" s="17" t="n">
        <v>2854</v>
      </c>
      <c r="C41" s="18">
        <f>(2234.0/B41*100)</f>
        <v/>
      </c>
      <c r="D41" s="19" t="n">
        <v>620</v>
      </c>
      <c r="E41" s="18" t="n">
        <v>76.24989006</v>
      </c>
      <c r="F41" s="20" t="n">
        <v>1.81081224</v>
      </c>
      <c r="G41" s="18" t="n">
        <v>9.59715724</v>
      </c>
      <c r="H41" s="20" t="n">
        <v>1.32500473</v>
      </c>
      <c r="I41" s="18" t="n">
        <v>13.56218495</v>
      </c>
      <c r="J41" s="20" t="n">
        <v>1.46449481</v>
      </c>
      <c r="K41" s="18" t="n">
        <v>0</v>
      </c>
      <c r="L41" s="20" t="n">
        <v>0</v>
      </c>
      <c r="M41" s="18" t="n">
        <v>0.19550871</v>
      </c>
      <c r="N41" s="20" t="n">
        <v>0.17891769</v>
      </c>
      <c r="O41" s="18" t="n">
        <v>0</v>
      </c>
      <c r="P41" s="20" t="n">
        <v>0</v>
      </c>
      <c r="Q41" s="18" t="n">
        <v>0</v>
      </c>
      <c r="R41" s="20" t="n">
        <v>0</v>
      </c>
      <c r="S41" s="18" t="n">
        <v>0.39525905</v>
      </c>
      <c r="T41" s="20" t="n">
        <v>0.22301916</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12073</v>
      </c>
      <c r="C46" s="18">
        <f>(9893.0/B46*100)</f>
        <v/>
      </c>
      <c r="D46" s="19" t="n">
        <v>2180</v>
      </c>
      <c r="E46" s="18" t="n">
        <v>86.42896777</v>
      </c>
      <c r="F46" s="20" t="n">
        <v>1.13235288</v>
      </c>
      <c r="G46" s="18" t="n">
        <v>4.75439932</v>
      </c>
      <c r="H46" s="20" t="n">
        <v>0.6316092800000001</v>
      </c>
      <c r="I46" s="18" t="n">
        <v>1.13123289</v>
      </c>
      <c r="J46" s="20" t="n">
        <v>0.38234475</v>
      </c>
      <c r="K46" s="18" t="n">
        <v>0</v>
      </c>
      <c r="L46" s="20" t="n">
        <v>0</v>
      </c>
      <c r="M46" s="18" t="n">
        <v>1.05699989</v>
      </c>
      <c r="N46" s="20" t="n">
        <v>0.36869233</v>
      </c>
      <c r="O46" s="18" t="n">
        <v>0.45254695</v>
      </c>
      <c r="P46" s="20" t="n">
        <v>0.15315498</v>
      </c>
      <c r="Q46" s="18" t="n">
        <v>0</v>
      </c>
      <c r="R46" s="20" t="n">
        <v>0</v>
      </c>
      <c r="S46" s="18" t="n">
        <v>6.17585318</v>
      </c>
      <c r="T46" s="20" t="n">
        <v>0.63099077</v>
      </c>
    </row>
    <row r="47" spans="1:20">
      <c r="A47" s="15" t="s">
        <v>606</v>
      </c>
      <c r="B47" s="17" t="n">
        <v>2823</v>
      </c>
      <c r="C47" s="18">
        <f>(2214.0/B47*100)</f>
        <v/>
      </c>
      <c r="D47" s="19" t="n">
        <v>609</v>
      </c>
      <c r="E47" s="18" t="n">
        <v>81.0404434</v>
      </c>
      <c r="F47" s="20" t="n">
        <v>1.55426843</v>
      </c>
      <c r="G47" s="18" t="n">
        <v>7.69418882</v>
      </c>
      <c r="H47" s="20" t="n">
        <v>1.2189835</v>
      </c>
      <c r="I47" s="18" t="n">
        <v>6.03933922</v>
      </c>
      <c r="J47" s="20" t="n">
        <v>1.03516998</v>
      </c>
      <c r="K47" s="18" t="n">
        <v>0</v>
      </c>
      <c r="L47" s="20" t="n">
        <v>0</v>
      </c>
      <c r="M47" s="18" t="n">
        <v>1.31136285</v>
      </c>
      <c r="N47" s="20" t="n">
        <v>0.52834028</v>
      </c>
      <c r="O47" s="18" t="n">
        <v>0</v>
      </c>
      <c r="P47" s="20" t="n">
        <v>0</v>
      </c>
      <c r="Q47" s="18" t="n">
        <v>0</v>
      </c>
      <c r="R47" s="20" t="n">
        <v>0</v>
      </c>
      <c r="S47" s="18" t="n">
        <v>3.91466571</v>
      </c>
      <c r="T47" s="20" t="n">
        <v>0.87392539</v>
      </c>
    </row>
    <row r="48" spans="1:20">
      <c r="A48" s="15" t="s">
        <v>607</v>
      </c>
      <c r="B48" s="17" t="n">
        <v>4682</v>
      </c>
      <c r="C48" s="18">
        <f>(3644.0/B48*100)</f>
        <v/>
      </c>
      <c r="D48" s="19" t="n">
        <v>1038</v>
      </c>
      <c r="E48" s="18" t="n">
        <v>74.50004422000001</v>
      </c>
      <c r="F48" s="20" t="n">
        <v>2.35136416</v>
      </c>
      <c r="G48" s="18" t="n">
        <v>8.434316559999999</v>
      </c>
      <c r="H48" s="20" t="n">
        <v>1.37396945</v>
      </c>
      <c r="I48" s="18" t="n">
        <v>16.33457987</v>
      </c>
      <c r="J48" s="20" t="n">
        <v>2.0252065</v>
      </c>
      <c r="K48" s="18" t="n">
        <v>0</v>
      </c>
      <c r="L48" s="20" t="n">
        <v>0</v>
      </c>
      <c r="M48" s="18" t="n">
        <v>0.4854676</v>
      </c>
      <c r="N48" s="20" t="n">
        <v>0.37737046</v>
      </c>
      <c r="O48" s="18" t="n">
        <v>0</v>
      </c>
      <c r="P48" s="20" t="n">
        <v>0</v>
      </c>
      <c r="Q48" s="18" t="n">
        <v>0</v>
      </c>
      <c r="R48" s="20" t="n">
        <v>0</v>
      </c>
      <c r="S48" s="18" t="n">
        <v>0.24559176</v>
      </c>
      <c r="T48" s="20" t="n">
        <v>0.17849015</v>
      </c>
    </row>
    <row r="49" spans="1:20">
      <c r="A49" s="15" t="s">
        <v>608</v>
      </c>
      <c r="B49" s="17" t="n">
        <v>6158</v>
      </c>
      <c r="C49" s="18">
        <f>(4847.0/B49*100)</f>
        <v/>
      </c>
      <c r="D49" s="19" t="n">
        <v>1311</v>
      </c>
      <c r="E49" s="18" t="n">
        <v>94.11582258</v>
      </c>
      <c r="F49" s="20" t="n">
        <v>0.8919361</v>
      </c>
      <c r="G49" s="18" t="n">
        <v>0.54007778</v>
      </c>
      <c r="H49" s="20" t="n">
        <v>0.23467248</v>
      </c>
      <c r="I49" s="18" t="n">
        <v>1.62369082</v>
      </c>
      <c r="J49" s="20" t="n">
        <v>0.49754656</v>
      </c>
      <c r="K49" s="18" t="n">
        <v>0</v>
      </c>
      <c r="L49" s="20" t="n">
        <v>0</v>
      </c>
      <c r="M49" s="18" t="n">
        <v>1.60767707</v>
      </c>
      <c r="N49" s="20" t="n">
        <v>0.39665037</v>
      </c>
      <c r="O49" s="18" t="n">
        <v>0.17153551</v>
      </c>
      <c r="P49" s="20" t="n">
        <v>0.08129952</v>
      </c>
      <c r="Q49" s="18" t="n">
        <v>0</v>
      </c>
      <c r="R49" s="20" t="n">
        <v>0</v>
      </c>
      <c r="S49" s="18" t="n">
        <v>1.94119623</v>
      </c>
      <c r="T49" s="20" t="n">
        <v>0.51257914</v>
      </c>
    </row>
    <row r="50" spans="1:20">
      <c r="A50" s="15" t="s">
        <v>609</v>
      </c>
      <c r="B50" s="17" t="n">
        <v>3494</v>
      </c>
      <c r="C50" s="18">
        <f>(2815.0/B50*100)</f>
        <v/>
      </c>
      <c r="D50" s="19" t="n">
        <v>679</v>
      </c>
      <c r="E50" s="18" t="n">
        <v>92.45928343999999</v>
      </c>
      <c r="F50" s="20" t="n">
        <v>1.05750901</v>
      </c>
      <c r="G50" s="18" t="n">
        <v>2.64429885</v>
      </c>
      <c r="H50" s="20" t="n">
        <v>0.63497234</v>
      </c>
      <c r="I50" s="18" t="n">
        <v>1.32333518</v>
      </c>
      <c r="J50" s="20" t="n">
        <v>0.45301535</v>
      </c>
      <c r="K50" s="18" t="n">
        <v>0</v>
      </c>
      <c r="L50" s="20" t="n">
        <v>0</v>
      </c>
      <c r="M50" s="18" t="n">
        <v>0</v>
      </c>
      <c r="N50" s="20" t="n">
        <v>0</v>
      </c>
      <c r="O50" s="18" t="n">
        <v>0</v>
      </c>
      <c r="P50" s="20" t="n">
        <v>0</v>
      </c>
      <c r="Q50" s="18" t="n">
        <v>0</v>
      </c>
      <c r="R50" s="20" t="n">
        <v>0</v>
      </c>
      <c r="S50" s="18" t="n">
        <v>3.57308253</v>
      </c>
      <c r="T50" s="20" t="n">
        <v>0.822881</v>
      </c>
    </row>
    <row r="51" spans="1:20">
      <c r="A51" s="15" t="s">
        <v>610</v>
      </c>
      <c r="B51" s="17" t="n">
        <v>3013</v>
      </c>
      <c r="C51" s="18">
        <f>(2337.0/B51*100)</f>
        <v/>
      </c>
      <c r="D51" s="19" t="n">
        <v>676</v>
      </c>
      <c r="E51" s="18" t="n">
        <v>83.60162835</v>
      </c>
      <c r="F51" s="20" t="n">
        <v>1.68974238</v>
      </c>
      <c r="G51" s="18" t="n">
        <v>6.72679549</v>
      </c>
      <c r="H51" s="20" t="n">
        <v>0.98739071</v>
      </c>
      <c r="I51" s="18" t="n">
        <v>7.56973597</v>
      </c>
      <c r="J51" s="20" t="n">
        <v>1.14600776</v>
      </c>
      <c r="K51" s="18" t="n">
        <v>0</v>
      </c>
      <c r="L51" s="20" t="n">
        <v>0</v>
      </c>
      <c r="M51" s="18" t="n">
        <v>0</v>
      </c>
      <c r="N51" s="20" t="n">
        <v>0</v>
      </c>
      <c r="O51" s="18" t="n">
        <v>0</v>
      </c>
      <c r="P51" s="20" t="n">
        <v>0</v>
      </c>
      <c r="Q51" s="18" t="n">
        <v>0</v>
      </c>
      <c r="R51" s="20" t="n">
        <v>0</v>
      </c>
      <c r="S51" s="18" t="n">
        <v>2.10184019</v>
      </c>
      <c r="T51" s="20" t="n">
        <v>0.66984382</v>
      </c>
    </row>
    <row r="52" spans="1:20">
      <c r="A52" s="15" t="s">
        <v>611</v>
      </c>
      <c r="B52" s="17" t="n">
        <v>2760</v>
      </c>
      <c r="C52" s="18">
        <f>(2135.0/B52*100)</f>
        <v/>
      </c>
      <c r="D52" s="19" t="n">
        <v>625</v>
      </c>
      <c r="E52" s="18" t="n">
        <v>85.10626435</v>
      </c>
      <c r="F52" s="20" t="n">
        <v>1.41517542</v>
      </c>
      <c r="G52" s="18" t="n">
        <v>5.14347785</v>
      </c>
      <c r="H52" s="20" t="n">
        <v>0.83967502</v>
      </c>
      <c r="I52" s="18" t="n">
        <v>5.63432316</v>
      </c>
      <c r="J52" s="20" t="n">
        <v>1.0312294</v>
      </c>
      <c r="K52" s="18" t="n">
        <v>0</v>
      </c>
      <c r="L52" s="20" t="n">
        <v>0</v>
      </c>
      <c r="M52" s="18" t="n">
        <v>0.26218678</v>
      </c>
      <c r="N52" s="20" t="n">
        <v>0.18893011</v>
      </c>
      <c r="O52" s="18" t="n">
        <v>0</v>
      </c>
      <c r="P52" s="20" t="n">
        <v>0</v>
      </c>
      <c r="Q52" s="18" t="n">
        <v>0</v>
      </c>
      <c r="R52" s="20" t="n">
        <v>0</v>
      </c>
      <c r="S52" s="18" t="n">
        <v>3.85374786</v>
      </c>
      <c r="T52" s="20" t="n">
        <v>0.83531917</v>
      </c>
    </row>
    <row r="53" spans="1:20">
      <c r="A53" s="15" t="s">
        <v>612</v>
      </c>
      <c r="B53" s="17" t="n">
        <v>2474</v>
      </c>
      <c r="C53" s="18">
        <f>(1953.0/B53*100)</f>
        <v/>
      </c>
      <c r="D53" s="19" t="n">
        <v>521</v>
      </c>
      <c r="E53" s="18" t="n">
        <v>82.849892</v>
      </c>
      <c r="F53" s="20" t="n">
        <v>2.41828476</v>
      </c>
      <c r="G53" s="18" t="n">
        <v>0.74195846</v>
      </c>
      <c r="H53" s="20" t="n">
        <v>0.26589023</v>
      </c>
      <c r="I53" s="18" t="n">
        <v>0.36282351</v>
      </c>
      <c r="J53" s="20" t="n">
        <v>0.29833893</v>
      </c>
      <c r="K53" s="18" t="n">
        <v>0</v>
      </c>
      <c r="L53" s="20" t="n">
        <v>0</v>
      </c>
      <c r="M53" s="18" t="n">
        <v>10.14278392</v>
      </c>
      <c r="N53" s="20" t="n">
        <v>1.75509924</v>
      </c>
      <c r="O53" s="18" t="n">
        <v>1.07524631</v>
      </c>
      <c r="P53" s="20" t="n">
        <v>1.18277045</v>
      </c>
      <c r="Q53" s="18" t="n">
        <v>0</v>
      </c>
      <c r="R53" s="20" t="n">
        <v>0</v>
      </c>
      <c r="S53" s="18" t="n">
        <v>4.82729581</v>
      </c>
      <c r="T53" s="20" t="n">
        <v>1.11126451</v>
      </c>
    </row>
    <row r="54" spans="1:20">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2675</v>
      </c>
      <c r="C55" s="18">
        <f>(2079.0/B55*100)</f>
        <v/>
      </c>
      <c r="D55" s="19" t="n">
        <v>596</v>
      </c>
      <c r="E55" s="18" t="n">
        <v>78.36812385</v>
      </c>
      <c r="F55" s="20" t="n">
        <v>1.55855266</v>
      </c>
      <c r="G55" s="18" t="n">
        <v>10.85474276</v>
      </c>
      <c r="H55" s="20" t="n">
        <v>1.00287513</v>
      </c>
      <c r="I55" s="18" t="n">
        <v>9.689900400000001</v>
      </c>
      <c r="J55" s="20" t="n">
        <v>1.54954477</v>
      </c>
      <c r="K55" s="18" t="n">
        <v>0</v>
      </c>
      <c r="L55" s="20" t="n">
        <v>0</v>
      </c>
      <c r="M55" s="18" t="n">
        <v>0.32951538</v>
      </c>
      <c r="N55" s="20" t="n">
        <v>0.31662805</v>
      </c>
      <c r="O55" s="18" t="n">
        <v>0</v>
      </c>
      <c r="P55" s="20" t="n">
        <v>0</v>
      </c>
      <c r="Q55" s="18" t="n">
        <v>0</v>
      </c>
      <c r="R55" s="20" t="n">
        <v>0</v>
      </c>
      <c r="S55" s="18" t="n">
        <v>0.75771762</v>
      </c>
      <c r="T55" s="20" t="n">
        <v>0.34769247</v>
      </c>
    </row>
    <row r="56" spans="1:20">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3201</v>
      </c>
      <c r="C61" s="18">
        <f>(2486.0/B61*100)</f>
        <v/>
      </c>
      <c r="D61" s="19" t="n">
        <v>715</v>
      </c>
      <c r="E61" s="18" t="n">
        <v>84.30152814</v>
      </c>
      <c r="F61" s="20" t="n">
        <v>1.56798371</v>
      </c>
      <c r="G61" s="18" t="n">
        <v>5.85150481</v>
      </c>
      <c r="H61" s="20" t="n">
        <v>1.0112755</v>
      </c>
      <c r="I61" s="18" t="n">
        <v>6.49454551</v>
      </c>
      <c r="J61" s="20" t="n">
        <v>1.16452664</v>
      </c>
      <c r="K61" s="18" t="n">
        <v>0</v>
      </c>
      <c r="L61" s="20" t="n">
        <v>0</v>
      </c>
      <c r="M61" s="18" t="n">
        <v>0.21514097</v>
      </c>
      <c r="N61" s="20" t="n">
        <v>0.1893435</v>
      </c>
      <c r="O61" s="18" t="n">
        <v>0</v>
      </c>
      <c r="P61" s="20" t="n">
        <v>0</v>
      </c>
      <c r="Q61" s="18" t="n">
        <v>0</v>
      </c>
      <c r="R61" s="20" t="n">
        <v>0</v>
      </c>
      <c r="S61" s="18" t="n">
        <v>3.13728057</v>
      </c>
      <c r="T61" s="20" t="n">
        <v>0.6960766</v>
      </c>
    </row>
    <row r="62" spans="1:20">
      <c r="A62" s="15" t="s">
        <v>622</v>
      </c>
      <c r="B62" s="17" t="n">
        <v>2230</v>
      </c>
      <c r="C62" s="18">
        <f>(1728.0/B62*100)</f>
        <v/>
      </c>
      <c r="D62" s="19" t="n">
        <v>502</v>
      </c>
      <c r="E62" s="18" t="n">
        <v>71.91167586</v>
      </c>
      <c r="F62" s="20" t="n">
        <v>2.07463818</v>
      </c>
      <c r="G62" s="18" t="n">
        <v>11.15490543</v>
      </c>
      <c r="H62" s="20" t="n">
        <v>1.49380439</v>
      </c>
      <c r="I62" s="18" t="n">
        <v>16.73083552</v>
      </c>
      <c r="J62" s="20" t="n">
        <v>1.73521903</v>
      </c>
      <c r="K62" s="18" t="n">
        <v>0</v>
      </c>
      <c r="L62" s="20" t="n">
        <v>0</v>
      </c>
      <c r="M62" s="18" t="n">
        <v>0</v>
      </c>
      <c r="N62" s="20" t="n">
        <v>0</v>
      </c>
      <c r="O62" s="18" t="n">
        <v>0</v>
      </c>
      <c r="P62" s="20" t="n">
        <v>0</v>
      </c>
      <c r="Q62" s="18" t="n">
        <v>0</v>
      </c>
      <c r="R62" s="20" t="n">
        <v>0</v>
      </c>
      <c r="S62" s="18" t="n">
        <v>0.20258319</v>
      </c>
      <c r="T62" s="20" t="n">
        <v>0.20282429</v>
      </c>
    </row>
    <row r="63" spans="1:20">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2771</v>
      </c>
      <c r="C67" s="18">
        <f>(2201.0/B67*100)</f>
        <v/>
      </c>
      <c r="D67" s="19" t="n">
        <v>570</v>
      </c>
      <c r="E67" s="18" t="n">
        <v>82.51817025</v>
      </c>
      <c r="F67" s="20" t="n">
        <v>1.72496387</v>
      </c>
      <c r="G67" s="18" t="n">
        <v>4.18571795</v>
      </c>
      <c r="H67" s="20" t="n">
        <v>0.89322952</v>
      </c>
      <c r="I67" s="18" t="n">
        <v>2.40404064</v>
      </c>
      <c r="J67" s="20" t="n">
        <v>0.64180775</v>
      </c>
      <c r="K67" s="18" t="n">
        <v>0</v>
      </c>
      <c r="L67" s="20" t="n">
        <v>0</v>
      </c>
      <c r="M67" s="18" t="n">
        <v>0.72836245</v>
      </c>
      <c r="N67" s="20" t="n">
        <v>0.3772328</v>
      </c>
      <c r="O67" s="18" t="n">
        <v>0.33883742</v>
      </c>
      <c r="P67" s="20" t="n">
        <v>0.23988036</v>
      </c>
      <c r="Q67" s="18" t="n">
        <v>0</v>
      </c>
      <c r="R67" s="20" t="n">
        <v>0</v>
      </c>
      <c r="S67" s="18" t="n">
        <v>9.82487128</v>
      </c>
      <c r="T67" s="20" t="n">
        <v>1.3870265</v>
      </c>
    </row>
    <row r="68" spans="1:20">
      <c r="A68" s="15" t="s">
        <v>628</v>
      </c>
      <c r="B68" s="17" t="n">
        <v>3460</v>
      </c>
      <c r="C68" s="18">
        <f>(2780.0/B68*100)</f>
        <v/>
      </c>
      <c r="D68" s="19" t="n">
        <v>680</v>
      </c>
      <c r="E68" s="18" t="n">
        <v>90.67001035</v>
      </c>
      <c r="F68" s="20" t="n">
        <v>1.30491713</v>
      </c>
      <c r="G68" s="18" t="n">
        <v>3.17126057</v>
      </c>
      <c r="H68" s="20" t="n">
        <v>0.74774394</v>
      </c>
      <c r="I68" s="18" t="n">
        <v>1.56897046</v>
      </c>
      <c r="J68" s="20" t="n">
        <v>0.54950732</v>
      </c>
      <c r="K68" s="18" t="n">
        <v>0</v>
      </c>
      <c r="L68" s="20" t="n">
        <v>0</v>
      </c>
      <c r="M68" s="18" t="n">
        <v>0.13474465</v>
      </c>
      <c r="N68" s="20" t="n">
        <v>0.13470021</v>
      </c>
      <c r="O68" s="18" t="n">
        <v>0.5669047699999999</v>
      </c>
      <c r="P68" s="20" t="n">
        <v>0.33287729</v>
      </c>
      <c r="Q68" s="18" t="n">
        <v>0</v>
      </c>
      <c r="R68" s="20" t="n">
        <v>0</v>
      </c>
      <c r="S68" s="18" t="n">
        <v>3.8881092</v>
      </c>
      <c r="T68" s="20" t="n">
        <v>0.84111324</v>
      </c>
    </row>
    <row r="69" spans="1:20">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6034</v>
      </c>
      <c r="C70" s="18">
        <f>(4720.0/B70*100)</f>
        <v/>
      </c>
      <c r="D70" s="19" t="n">
        <v>1314</v>
      </c>
      <c r="E70" s="18" t="n">
        <v>85.34302824</v>
      </c>
      <c r="F70" s="20" t="n">
        <v>1.0253806</v>
      </c>
      <c r="G70" s="18" t="n">
        <v>6.08283606</v>
      </c>
      <c r="H70" s="20" t="n">
        <v>0.66648885</v>
      </c>
      <c r="I70" s="18" t="n">
        <v>4.20204732</v>
      </c>
      <c r="J70" s="20" t="n">
        <v>0.53239985</v>
      </c>
      <c r="K70" s="18" t="n">
        <v>0</v>
      </c>
      <c r="L70" s="20" t="n">
        <v>0</v>
      </c>
      <c r="M70" s="18" t="n">
        <v>1.31307443</v>
      </c>
      <c r="N70" s="20" t="n">
        <v>0.275172</v>
      </c>
      <c r="O70" s="18" t="n">
        <v>0</v>
      </c>
      <c r="P70" s="20" t="n">
        <v>0</v>
      </c>
      <c r="Q70" s="18" t="n">
        <v>0</v>
      </c>
      <c r="R70" s="20" t="n">
        <v>0</v>
      </c>
      <c r="S70" s="18" t="n">
        <v>3.05901395</v>
      </c>
      <c r="T70" s="20" t="n">
        <v>0.42666221</v>
      </c>
    </row>
    <row r="71" spans="1:20">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3107</v>
      </c>
      <c r="C72" s="18">
        <f>(2438.0/B72*100)</f>
        <v/>
      </c>
      <c r="D72" s="19" t="n">
        <v>669</v>
      </c>
      <c r="E72" s="18" t="n">
        <v>84.69626816</v>
      </c>
      <c r="F72" s="20" t="n">
        <v>1.43373852</v>
      </c>
      <c r="G72" s="18" t="n">
        <v>7.46828132</v>
      </c>
      <c r="H72" s="20" t="n">
        <v>1.08652893</v>
      </c>
      <c r="I72" s="18" t="n">
        <v>4.51455064</v>
      </c>
      <c r="J72" s="20" t="n">
        <v>0.86202238</v>
      </c>
      <c r="K72" s="18" t="n">
        <v>0</v>
      </c>
      <c r="L72" s="20" t="n">
        <v>0</v>
      </c>
      <c r="M72" s="18" t="n">
        <v>0</v>
      </c>
      <c r="N72" s="20" t="n">
        <v>0</v>
      </c>
      <c r="O72" s="18" t="n">
        <v>0.06670002</v>
      </c>
      <c r="P72" s="20" t="n">
        <v>0.06704251999999999</v>
      </c>
      <c r="Q72" s="18" t="n">
        <v>0</v>
      </c>
      <c r="R72" s="20" t="n">
        <v>0</v>
      </c>
      <c r="S72" s="18" t="n">
        <v>3.25419986</v>
      </c>
      <c r="T72" s="20" t="n">
        <v>0.87489245</v>
      </c>
    </row>
    <row r="73" spans="1:20">
      <c r="A73" s="15" t="s">
        <v>633</v>
      </c>
      <c r="B73" s="17" t="n">
        <v>2973</v>
      </c>
      <c r="C73" s="18">
        <f>(2306.0/B73*100)</f>
        <v/>
      </c>
      <c r="D73" s="19" t="n">
        <v>667</v>
      </c>
      <c r="E73" s="18" t="n">
        <v>66.34399745</v>
      </c>
      <c r="F73" s="20" t="n">
        <v>1.97361011</v>
      </c>
      <c r="G73" s="18" t="n">
        <v>10.68770542</v>
      </c>
      <c r="H73" s="20" t="n">
        <v>1.41689734</v>
      </c>
      <c r="I73" s="18" t="n">
        <v>22.07180557</v>
      </c>
      <c r="J73" s="20" t="n">
        <v>1.80546473</v>
      </c>
      <c r="K73" s="18" t="n">
        <v>0</v>
      </c>
      <c r="L73" s="20" t="n">
        <v>0</v>
      </c>
      <c r="M73" s="18" t="n">
        <v>0.17569471</v>
      </c>
      <c r="N73" s="20" t="n">
        <v>0.17487989</v>
      </c>
      <c r="O73" s="18" t="n">
        <v>0</v>
      </c>
      <c r="P73" s="20" t="n">
        <v>0</v>
      </c>
      <c r="Q73" s="18" t="n">
        <v>0</v>
      </c>
      <c r="R73" s="20" t="n">
        <v>0</v>
      </c>
      <c r="S73" s="18" t="n">
        <v>0.72079685</v>
      </c>
      <c r="T73" s="20" t="n">
        <v>0.34384365</v>
      </c>
    </row>
    <row r="74" spans="1:20">
      <c r="A74" s="15" t="s">
        <v>634</v>
      </c>
      <c r="B74" s="17" t="n">
        <v>3819</v>
      </c>
      <c r="C74" s="18">
        <f>(2928.0/B74*100)</f>
        <v/>
      </c>
      <c r="D74" s="19" t="n">
        <v>891</v>
      </c>
      <c r="E74" s="18" t="n">
        <v>71.66050135</v>
      </c>
      <c r="F74" s="20" t="n">
        <v>1.58439565</v>
      </c>
      <c r="G74" s="18" t="n">
        <v>12.62050327</v>
      </c>
      <c r="H74" s="20" t="n">
        <v>1.08880392</v>
      </c>
      <c r="I74" s="18" t="n">
        <v>15.34385451</v>
      </c>
      <c r="J74" s="20" t="n">
        <v>1.4465123</v>
      </c>
      <c r="K74" s="18" t="n">
        <v>0</v>
      </c>
      <c r="L74" s="20" t="n">
        <v>0</v>
      </c>
      <c r="M74" s="18" t="n">
        <v>0</v>
      </c>
      <c r="N74" s="20" t="n">
        <v>0</v>
      </c>
      <c r="O74" s="18" t="n">
        <v>0</v>
      </c>
      <c r="P74" s="20" t="n">
        <v>0</v>
      </c>
      <c r="Q74" s="18" t="n">
        <v>0</v>
      </c>
      <c r="R74" s="20" t="n">
        <v>0</v>
      </c>
      <c r="S74" s="18" t="n">
        <v>0.37514087</v>
      </c>
      <c r="T74" s="20" t="n">
        <v>0.2218113</v>
      </c>
    </row>
    <row r="75" spans="1:20">
      <c r="A75" s="15" t="s">
        <v>635</v>
      </c>
      <c r="B75" s="17" t="n">
        <v>4652</v>
      </c>
      <c r="C75" s="18">
        <f>(3610.0/B75*100)</f>
        <v/>
      </c>
      <c r="D75" s="19" t="n">
        <v>1042</v>
      </c>
      <c r="E75" s="18" t="n">
        <v>91.21888991</v>
      </c>
      <c r="F75" s="20" t="n">
        <v>1.21920736</v>
      </c>
      <c r="G75" s="18" t="n">
        <v>4.86485685</v>
      </c>
      <c r="H75" s="20" t="n">
        <v>0.8422893</v>
      </c>
      <c r="I75" s="18" t="n">
        <v>2.52424166</v>
      </c>
      <c r="J75" s="20" t="n">
        <v>0.61036977</v>
      </c>
      <c r="K75" s="18" t="n">
        <v>0</v>
      </c>
      <c r="L75" s="20" t="n">
        <v>0</v>
      </c>
      <c r="M75" s="18" t="n">
        <v>0.13603789</v>
      </c>
      <c r="N75" s="20" t="n">
        <v>0.13338402</v>
      </c>
      <c r="O75" s="18" t="n">
        <v>0.49017402</v>
      </c>
      <c r="P75" s="20" t="n">
        <v>0.2880249</v>
      </c>
      <c r="Q75" s="18" t="n">
        <v>0</v>
      </c>
      <c r="R75" s="20" t="n">
        <v>0</v>
      </c>
      <c r="S75" s="18" t="n">
        <v>0.76579966</v>
      </c>
      <c r="T75" s="20" t="n">
        <v>0.31974262</v>
      </c>
    </row>
    <row r="76" spans="1:20">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2969</v>
      </c>
      <c r="C77" s="18">
        <f>(2351.0/B77*100)</f>
        <v/>
      </c>
      <c r="D77" s="19" t="n">
        <v>618</v>
      </c>
      <c r="E77" s="18" t="n">
        <v>89.61793007</v>
      </c>
      <c r="F77" s="20" t="n">
        <v>1.33261597</v>
      </c>
      <c r="G77" s="18" t="n">
        <v>0.59496148</v>
      </c>
      <c r="H77" s="20" t="n">
        <v>0.36294875</v>
      </c>
      <c r="I77" s="18" t="n">
        <v>1.36371425</v>
      </c>
      <c r="J77" s="20" t="n">
        <v>0.37692349</v>
      </c>
      <c r="K77" s="18" t="n">
        <v>0</v>
      </c>
      <c r="L77" s="20" t="n">
        <v>0</v>
      </c>
      <c r="M77" s="18" t="n">
        <v>3.69827212</v>
      </c>
      <c r="N77" s="20" t="n">
        <v>0.89282763</v>
      </c>
      <c r="O77" s="18" t="n">
        <v>0.8897812</v>
      </c>
      <c r="P77" s="20" t="n">
        <v>0.39985203</v>
      </c>
      <c r="Q77" s="18" t="n">
        <v>0</v>
      </c>
      <c r="R77" s="20" t="n">
        <v>0</v>
      </c>
      <c r="S77" s="18" t="n">
        <v>3.83534089</v>
      </c>
      <c r="T77" s="20" t="n">
        <v>0.86765609</v>
      </c>
    </row>
    <row r="78" spans="1:20">
      <c r="A78" s="15" t="s">
        <v>638</v>
      </c>
      <c r="B78" s="17" t="n">
        <v>7115</v>
      </c>
      <c r="C78" s="18">
        <f>(5535.0/B78*100)</f>
        <v/>
      </c>
      <c r="D78" s="19" t="n">
        <v>1580</v>
      </c>
      <c r="E78" s="18" t="n">
        <v>84.43858474</v>
      </c>
      <c r="F78" s="20" t="n">
        <v>1.14457265</v>
      </c>
      <c r="G78" s="18" t="n">
        <v>8.15601695</v>
      </c>
      <c r="H78" s="20" t="n">
        <v>0.83929579</v>
      </c>
      <c r="I78" s="18" t="n">
        <v>5.5037331</v>
      </c>
      <c r="J78" s="20" t="n">
        <v>0.74512156</v>
      </c>
      <c r="K78" s="18" t="n">
        <v>0</v>
      </c>
      <c r="L78" s="20" t="n">
        <v>0</v>
      </c>
      <c r="M78" s="18" t="n">
        <v>0.4255345</v>
      </c>
      <c r="N78" s="20" t="n">
        <v>0.17046288</v>
      </c>
      <c r="O78" s="18" t="n">
        <v>0.14540227</v>
      </c>
      <c r="P78" s="20" t="n">
        <v>0.10732837</v>
      </c>
      <c r="Q78" s="18" t="n">
        <v>0</v>
      </c>
      <c r="R78" s="20" t="n">
        <v>0</v>
      </c>
      <c r="S78" s="18" t="n">
        <v>1.33072845</v>
      </c>
      <c r="T78" s="20" t="n">
        <v>0.35642601</v>
      </c>
    </row>
    <row r="79" spans="1:20">
      <c r="A79" s="15" t="s">
        <v>639</v>
      </c>
      <c r="B79" s="17" t="n">
        <v>3154</v>
      </c>
      <c r="C79" s="18">
        <f>(2495.0/B79*100)</f>
        <v/>
      </c>
      <c r="D79" s="19" t="n">
        <v>659</v>
      </c>
      <c r="E79" s="18" t="n">
        <v>82.17441431</v>
      </c>
      <c r="F79" s="20" t="n">
        <v>1.67039216</v>
      </c>
      <c r="G79" s="18" t="n">
        <v>4.04025432</v>
      </c>
      <c r="H79" s="20" t="n">
        <v>1.02547934</v>
      </c>
      <c r="I79" s="18" t="n">
        <v>4.00116553</v>
      </c>
      <c r="J79" s="20" t="n">
        <v>0.80978943</v>
      </c>
      <c r="K79" s="18" t="n">
        <v>0</v>
      </c>
      <c r="L79" s="20" t="n">
        <v>0</v>
      </c>
      <c r="M79" s="18" t="n">
        <v>1.23610563</v>
      </c>
      <c r="N79" s="20" t="n">
        <v>0.35629357</v>
      </c>
      <c r="O79" s="18" t="n">
        <v>0</v>
      </c>
      <c r="P79" s="20" t="n">
        <v>0</v>
      </c>
      <c r="Q79" s="18" t="n">
        <v>0</v>
      </c>
      <c r="R79" s="20" t="n">
        <v>0</v>
      </c>
      <c r="S79" s="18" t="n">
        <v>8.54806022</v>
      </c>
      <c r="T79" s="20" t="n">
        <v>1.2177244</v>
      </c>
    </row>
    <row r="80" spans="1:20">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15961</v>
      </c>
      <c r="C82" s="18">
        <f>(12423.0/B82*100)</f>
        <v/>
      </c>
      <c r="D82" s="19" t="n">
        <v>3538</v>
      </c>
      <c r="E82" s="18" t="n">
        <v>79.61305263</v>
      </c>
      <c r="F82" s="20" t="n">
        <v>0.9419402100000001</v>
      </c>
      <c r="G82" s="18" t="n">
        <v>7.25922306</v>
      </c>
      <c r="H82" s="20" t="n">
        <v>0.54932815</v>
      </c>
      <c r="I82" s="18" t="n">
        <v>8.48777155</v>
      </c>
      <c r="J82" s="20" t="n">
        <v>0.67771634</v>
      </c>
      <c r="K82" s="18" t="n">
        <v>0</v>
      </c>
      <c r="L82" s="20" t="n">
        <v>0</v>
      </c>
      <c r="M82" s="18" t="n">
        <v>0.28537217</v>
      </c>
      <c r="N82" s="20" t="n">
        <v>0.12274965</v>
      </c>
      <c r="O82" s="18" t="n">
        <v>0</v>
      </c>
      <c r="P82" s="20" t="n">
        <v>0</v>
      </c>
      <c r="Q82" s="18" t="n">
        <v>0</v>
      </c>
      <c r="R82" s="20" t="n">
        <v>0</v>
      </c>
      <c r="S82" s="18" t="n">
        <v>4.3545806</v>
      </c>
      <c r="T82" s="20" t="n">
        <v>0.6322996400000001</v>
      </c>
    </row>
    <row r="83" spans="1:20">
      <c r="A83" s="15" t="s">
        <v>643</v>
      </c>
      <c r="B83" s="17" t="n">
        <v>808</v>
      </c>
      <c r="C83" s="18">
        <f>(650.0/B83*100)</f>
        <v/>
      </c>
      <c r="D83" s="19" t="n">
        <v>158</v>
      </c>
      <c r="E83" s="18" t="n">
        <v>63.92314177</v>
      </c>
      <c r="F83" s="20" t="n">
        <v>4.05490072</v>
      </c>
      <c r="G83" s="18" t="n">
        <v>16.04345825</v>
      </c>
      <c r="H83" s="20" t="n">
        <v>2.68673488</v>
      </c>
      <c r="I83" s="18" t="n">
        <v>20.03339998</v>
      </c>
      <c r="J83" s="20" t="n">
        <v>2.91249848</v>
      </c>
      <c r="K83" s="18" t="n">
        <v>0</v>
      </c>
      <c r="L83" s="20" t="n">
        <v>0</v>
      </c>
      <c r="M83" s="18" t="n">
        <v>0</v>
      </c>
      <c r="N83" s="20" t="n">
        <v>0</v>
      </c>
      <c r="O83" s="18" t="n">
        <v>0</v>
      </c>
      <c r="P83" s="20" t="n">
        <v>0</v>
      </c>
      <c r="Q83" s="18" t="n">
        <v>0</v>
      </c>
      <c r="R83" s="20" t="n">
        <v>0</v>
      </c>
      <c r="S83" s="18" t="n">
        <v>0</v>
      </c>
      <c r="T83" s="20" t="n">
        <v>0</v>
      </c>
    </row>
    <row r="84" spans="1:20">
      <c r="A84" s="23" t="s">
        <v>644</v>
      </c>
      <c r="B84" s="24" t="n">
        <v>938</v>
      </c>
      <c r="C84" s="25">
        <f>(742.0/B84*100)</f>
        <v/>
      </c>
      <c r="D84" s="19" t="n">
        <v>196</v>
      </c>
      <c r="E84" s="18" t="n">
        <v>80.69441525000001</v>
      </c>
      <c r="F84" s="20" t="n">
        <v>2.63333052</v>
      </c>
      <c r="G84" s="18" t="n">
        <v>8.548892650000001</v>
      </c>
      <c r="H84" s="20" t="n">
        <v>2.25671102</v>
      </c>
      <c r="I84" s="18" t="n">
        <v>9.679526510000001</v>
      </c>
      <c r="J84" s="20" t="n">
        <v>1.86923136</v>
      </c>
      <c r="K84" s="18" t="n">
        <v>0</v>
      </c>
      <c r="L84" s="20" t="n">
        <v>0</v>
      </c>
      <c r="M84" s="18" t="n">
        <v>0</v>
      </c>
      <c r="N84" s="20" t="n">
        <v>0</v>
      </c>
      <c r="O84" s="18" t="n">
        <v>0</v>
      </c>
      <c r="P84" s="20" t="n">
        <v>0</v>
      </c>
      <c r="Q84" s="18" t="n">
        <v>0</v>
      </c>
      <c r="R84" s="20" t="n">
        <v>0</v>
      </c>
      <c r="S84" s="18" t="n">
        <v>1.07716559</v>
      </c>
      <c r="T84" s="20" t="n">
        <v>0.86399612</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(5624.0/B7*100)</f>
        <v/>
      </c>
      <c r="D7" s="19" t="n">
        <v>1539</v>
      </c>
      <c r="E7" s="18" t="n">
        <v>22.18912798</v>
      </c>
      <c r="F7" s="20" t="n">
        <v>1.37086189</v>
      </c>
      <c r="G7" s="18" t="n">
        <v>76.63845212</v>
      </c>
      <c r="H7" s="20" t="n">
        <v>1.32724642</v>
      </c>
      <c r="I7" s="18" t="n">
        <v>0</v>
      </c>
      <c r="J7" s="20" t="n">
        <v>0</v>
      </c>
      <c r="K7" s="18" t="n">
        <v>0.18839135</v>
      </c>
      <c r="L7" s="20" t="n">
        <v>0.1109763</v>
      </c>
      <c r="M7" s="18" t="n">
        <v>0</v>
      </c>
      <c r="N7" s="20" t="n">
        <v>0</v>
      </c>
      <c r="O7" s="18" t="n">
        <v>0</v>
      </c>
      <c r="P7" s="20" t="n">
        <v>0</v>
      </c>
      <c r="Q7" s="18" t="n">
        <v>0.98402855</v>
      </c>
      <c r="R7" s="20" t="n">
        <v>0.30442458</v>
      </c>
    </row>
    <row r="8" spans="1:18">
      <c r="A8" s="15" t="s">
        <v>566</v>
      </c>
      <c r="B8" s="17" t="n">
        <v>3443</v>
      </c>
      <c r="C8" s="18">
        <f>(2679.0/B8*100)</f>
        <v/>
      </c>
      <c r="D8" s="19" t="n">
        <v>764</v>
      </c>
      <c r="E8" s="18" t="n">
        <v>23.65290542</v>
      </c>
      <c r="F8" s="20" t="n">
        <v>1.64041847</v>
      </c>
      <c r="G8" s="18" t="n">
        <v>73.99738152</v>
      </c>
      <c r="H8" s="20" t="n">
        <v>1.69038109</v>
      </c>
      <c r="I8" s="18" t="n">
        <v>0</v>
      </c>
      <c r="J8" s="20" t="n">
        <v>0</v>
      </c>
      <c r="K8" s="18" t="n">
        <v>0.40803678</v>
      </c>
      <c r="L8" s="20" t="n">
        <v>0.25686483</v>
      </c>
      <c r="M8" s="18" t="n">
        <v>0</v>
      </c>
      <c r="N8" s="20" t="n">
        <v>0</v>
      </c>
      <c r="O8" s="18" t="n">
        <v>0</v>
      </c>
      <c r="P8" s="20" t="n">
        <v>0</v>
      </c>
      <c r="Q8" s="18" t="n">
        <v>1.94167628</v>
      </c>
      <c r="R8" s="20" t="n">
        <v>0.63131762</v>
      </c>
    </row>
    <row r="9" spans="1:18">
      <c r="A9" s="15" t="s">
        <v>567</v>
      </c>
      <c r="B9" s="17" t="n">
        <v>4752</v>
      </c>
      <c r="C9" s="18">
        <f>(3760.0/B9*100)</f>
        <v/>
      </c>
      <c r="D9" s="19" t="n">
        <v>992</v>
      </c>
      <c r="E9" s="18" t="n">
        <v>25.62409869</v>
      </c>
      <c r="F9" s="20" t="n">
        <v>1.34617237</v>
      </c>
      <c r="G9" s="18" t="n">
        <v>72.60562847999999</v>
      </c>
      <c r="H9" s="20" t="n">
        <v>1.50104724</v>
      </c>
      <c r="I9" s="18" t="n">
        <v>0</v>
      </c>
      <c r="J9" s="20" t="n">
        <v>0</v>
      </c>
      <c r="K9" s="18" t="n">
        <v>0.64572808</v>
      </c>
      <c r="L9" s="20" t="n">
        <v>0.27371824</v>
      </c>
      <c r="M9" s="18" t="n">
        <v>0</v>
      </c>
      <c r="N9" s="20" t="n">
        <v>0</v>
      </c>
      <c r="O9" s="18" t="n">
        <v>0</v>
      </c>
      <c r="P9" s="20" t="n">
        <v>0</v>
      </c>
      <c r="Q9" s="18" t="n">
        <v>1.12454476</v>
      </c>
      <c r="R9" s="20" t="n">
        <v>0.33391291</v>
      </c>
    </row>
    <row r="10" spans="1:18">
      <c r="A10" s="15" t="s">
        <v>568</v>
      </c>
      <c r="B10" s="17" t="n">
        <v>10022</v>
      </c>
      <c r="C10" s="18">
        <f>(7825.0/B10*100)</f>
        <v/>
      </c>
      <c r="D10" s="19" t="n">
        <v>2197</v>
      </c>
      <c r="E10" s="18" t="n">
        <v>16.90096358</v>
      </c>
      <c r="F10" s="20" t="n">
        <v>1.20602177</v>
      </c>
      <c r="G10" s="18" t="n">
        <v>81.63712384999999</v>
      </c>
      <c r="H10" s="20" t="n">
        <v>1.25554278</v>
      </c>
      <c r="I10" s="18" t="n">
        <v>0</v>
      </c>
      <c r="J10" s="20" t="n">
        <v>0</v>
      </c>
      <c r="K10" s="18" t="n">
        <v>0.55763598</v>
      </c>
      <c r="L10" s="20" t="n">
        <v>0.22266866</v>
      </c>
      <c r="M10" s="18" t="n">
        <v>0</v>
      </c>
      <c r="N10" s="20" t="n">
        <v>0</v>
      </c>
      <c r="O10" s="18" t="n">
        <v>0</v>
      </c>
      <c r="P10" s="20" t="n">
        <v>0</v>
      </c>
      <c r="Q10" s="18" t="n">
        <v>0.90427658</v>
      </c>
      <c r="R10" s="20" t="n">
        <v>0.26876864</v>
      </c>
    </row>
    <row r="11" spans="1:18">
      <c r="A11" s="15" t="s">
        <v>569</v>
      </c>
      <c r="B11" s="17" t="n">
        <v>3500</v>
      </c>
      <c r="C11" s="18">
        <f>(2732.0/B11*100)</f>
        <v/>
      </c>
      <c r="D11" s="19" t="n">
        <v>768</v>
      </c>
      <c r="E11" s="18" t="n">
        <v>29.70299955</v>
      </c>
      <c r="F11" s="20" t="n">
        <v>2.10925975</v>
      </c>
      <c r="G11" s="18" t="n">
        <v>67.52284647</v>
      </c>
      <c r="H11" s="20" t="n">
        <v>2.09667728</v>
      </c>
      <c r="I11" s="18" t="n">
        <v>0</v>
      </c>
      <c r="J11" s="20" t="n">
        <v>0</v>
      </c>
      <c r="K11" s="18" t="n">
        <v>1.25879791</v>
      </c>
      <c r="L11" s="20" t="n">
        <v>0.35096789</v>
      </c>
      <c r="M11" s="18" t="n">
        <v>0</v>
      </c>
      <c r="N11" s="20" t="n">
        <v>0</v>
      </c>
      <c r="O11" s="18" t="n">
        <v>0</v>
      </c>
      <c r="P11" s="20" t="n">
        <v>0</v>
      </c>
      <c r="Q11" s="18" t="n">
        <v>1.51535608</v>
      </c>
      <c r="R11" s="20" t="n">
        <v>0.48826786</v>
      </c>
    </row>
    <row r="12" spans="1:18">
      <c r="A12" s="15" t="s">
        <v>570</v>
      </c>
      <c r="B12" s="17" t="n">
        <v>3422</v>
      </c>
      <c r="C12" s="18">
        <f>(2693.0/B12*100)</f>
        <v/>
      </c>
      <c r="D12" s="19" t="n">
        <v>729</v>
      </c>
      <c r="E12" s="18" t="n">
        <v>25.47884807</v>
      </c>
      <c r="F12" s="20" t="n">
        <v>2.17115121</v>
      </c>
      <c r="G12" s="18" t="n">
        <v>73.64722393</v>
      </c>
      <c r="H12" s="20" t="n">
        <v>2.22646104</v>
      </c>
      <c r="I12" s="18" t="n">
        <v>0</v>
      </c>
      <c r="J12" s="20" t="n">
        <v>0</v>
      </c>
      <c r="K12" s="18" t="n">
        <v>0.12801724</v>
      </c>
      <c r="L12" s="20" t="n">
        <v>0.12523055</v>
      </c>
      <c r="M12" s="18" t="n">
        <v>0</v>
      </c>
      <c r="N12" s="20" t="n">
        <v>0</v>
      </c>
      <c r="O12" s="18" t="n">
        <v>0</v>
      </c>
      <c r="P12" s="20" t="n">
        <v>0</v>
      </c>
      <c r="Q12" s="18" t="n">
        <v>0.7459107699999999</v>
      </c>
      <c r="R12" s="20" t="n">
        <v>0.29859057</v>
      </c>
    </row>
    <row r="13" spans="1:18">
      <c r="A13" s="15" t="s">
        <v>571</v>
      </c>
      <c r="B13" s="17" t="n">
        <v>3602</v>
      </c>
      <c r="C13" s="18">
        <f>(2855.0/B13*100)</f>
        <v/>
      </c>
      <c r="D13" s="19" t="n">
        <v>747</v>
      </c>
      <c r="E13" s="18" t="n">
        <v>22.77529513</v>
      </c>
      <c r="F13" s="20" t="n">
        <v>1.92056257</v>
      </c>
      <c r="G13" s="18" t="n">
        <v>75.63429945</v>
      </c>
      <c r="H13" s="20" t="n">
        <v>1.85619525</v>
      </c>
      <c r="I13" s="18" t="n">
        <v>0</v>
      </c>
      <c r="J13" s="20" t="n">
        <v>0</v>
      </c>
      <c r="K13" s="18" t="n">
        <v>0.84706842</v>
      </c>
      <c r="L13" s="20" t="n">
        <v>0.46636548</v>
      </c>
      <c r="M13" s="18" t="n">
        <v>0</v>
      </c>
      <c r="N13" s="20" t="n">
        <v>0</v>
      </c>
      <c r="O13" s="18" t="n">
        <v>0</v>
      </c>
      <c r="P13" s="20" t="n">
        <v>0</v>
      </c>
      <c r="Q13" s="18" t="n">
        <v>0.743337</v>
      </c>
      <c r="R13" s="20" t="n">
        <v>0.36326631</v>
      </c>
    </row>
    <row r="14" spans="1:18">
      <c r="A14" s="15" t="s">
        <v>572</v>
      </c>
      <c r="B14" s="17" t="n">
        <v>2788</v>
      </c>
      <c r="C14" s="18">
        <f>(2182.0/B14*100)</f>
        <v/>
      </c>
      <c r="D14" s="19" t="n">
        <v>606</v>
      </c>
      <c r="E14" s="18" t="n">
        <v>16.96917641</v>
      </c>
      <c r="F14" s="20" t="n">
        <v>1.53696544</v>
      </c>
      <c r="G14" s="18" t="n">
        <v>82.76137738</v>
      </c>
      <c r="H14" s="20" t="n">
        <v>1.55482812</v>
      </c>
      <c r="I14" s="18" t="n">
        <v>0</v>
      </c>
      <c r="J14" s="20" t="n">
        <v>0</v>
      </c>
      <c r="K14" s="18" t="n">
        <v>0.12984199</v>
      </c>
      <c r="L14" s="20" t="n">
        <v>0.12178788</v>
      </c>
      <c r="M14" s="18" t="n">
        <v>0</v>
      </c>
      <c r="N14" s="20" t="n">
        <v>0</v>
      </c>
      <c r="O14" s="18" t="n">
        <v>0</v>
      </c>
      <c r="P14" s="20" t="n">
        <v>0</v>
      </c>
      <c r="Q14" s="18" t="n">
        <v>0.13960422</v>
      </c>
      <c r="R14" s="20" t="n">
        <v>0.1083115</v>
      </c>
    </row>
    <row r="15" spans="1:18">
      <c r="A15" s="15" t="s">
        <v>573</v>
      </c>
      <c r="B15" s="17" t="n">
        <v>2863</v>
      </c>
      <c r="C15" s="18">
        <f>(2219.0/B15*100)</f>
        <v/>
      </c>
      <c r="D15" s="19" t="n">
        <v>644</v>
      </c>
      <c r="E15" s="18" t="n">
        <v>12.7130953</v>
      </c>
      <c r="F15" s="20" t="n">
        <v>1.43771356</v>
      </c>
      <c r="G15" s="18" t="n">
        <v>86.33702228</v>
      </c>
      <c r="H15" s="20" t="n">
        <v>1.45361029</v>
      </c>
      <c r="I15" s="18" t="n">
        <v>0</v>
      </c>
      <c r="J15" s="20" t="n">
        <v>0</v>
      </c>
      <c r="K15" s="18" t="n">
        <v>0.1814312</v>
      </c>
      <c r="L15" s="20" t="n">
        <v>0.20967958</v>
      </c>
      <c r="M15" s="18" t="n">
        <v>0</v>
      </c>
      <c r="N15" s="20" t="n">
        <v>0</v>
      </c>
      <c r="O15" s="18" t="n">
        <v>0</v>
      </c>
      <c r="P15" s="20" t="n">
        <v>0</v>
      </c>
      <c r="Q15" s="18" t="n">
        <v>0.76845122</v>
      </c>
      <c r="R15" s="20" t="n">
        <v>0.34318245</v>
      </c>
    </row>
    <row r="16" spans="1:18">
      <c r="A16" s="15" t="s">
        <v>574</v>
      </c>
      <c r="B16" s="17" t="n">
        <v>3111</v>
      </c>
      <c r="C16" s="18">
        <f>(2428.0/B16*100)</f>
        <v/>
      </c>
      <c r="D16" s="19" t="n">
        <v>683</v>
      </c>
      <c r="E16" s="18" t="n">
        <v>23.08854104</v>
      </c>
      <c r="F16" s="20" t="n">
        <v>1.74493823</v>
      </c>
      <c r="G16" s="18" t="n">
        <v>75.00313165999999</v>
      </c>
      <c r="H16" s="20" t="n">
        <v>1.7797302</v>
      </c>
      <c r="I16" s="18" t="n">
        <v>0</v>
      </c>
      <c r="J16" s="20" t="n">
        <v>0</v>
      </c>
      <c r="K16" s="18" t="n">
        <v>0.37219193</v>
      </c>
      <c r="L16" s="20" t="n">
        <v>0.21517477</v>
      </c>
      <c r="M16" s="18" t="n">
        <v>0</v>
      </c>
      <c r="N16" s="20" t="n">
        <v>0</v>
      </c>
      <c r="O16" s="18" t="n">
        <v>0</v>
      </c>
      <c r="P16" s="20" t="n">
        <v>0</v>
      </c>
      <c r="Q16" s="18" t="n">
        <v>1.53613536</v>
      </c>
      <c r="R16" s="20" t="n">
        <v>0.59685337</v>
      </c>
    </row>
    <row r="17" spans="1:18">
      <c r="A17" s="15" t="s">
        <v>575</v>
      </c>
      <c r="B17" s="17" t="n">
        <v>3197</v>
      </c>
      <c r="C17" s="18">
        <f>(2551.0/B17*100)</f>
        <v/>
      </c>
      <c r="D17" s="19" t="n">
        <v>646</v>
      </c>
      <c r="E17" s="18" t="n">
        <v>23.05752727</v>
      </c>
      <c r="F17" s="20" t="n">
        <v>1.65143049</v>
      </c>
      <c r="G17" s="18" t="n">
        <v>75.68316772999999</v>
      </c>
      <c r="H17" s="20" t="n">
        <v>1.69316108</v>
      </c>
      <c r="I17" s="18" t="n">
        <v>0</v>
      </c>
      <c r="J17" s="20" t="n">
        <v>0</v>
      </c>
      <c r="K17" s="18" t="n">
        <v>0.16947595</v>
      </c>
      <c r="L17" s="20" t="n">
        <v>0.16878928</v>
      </c>
      <c r="M17" s="18" t="n">
        <v>0</v>
      </c>
      <c r="N17" s="20" t="n">
        <v>0</v>
      </c>
      <c r="O17" s="18" t="n">
        <v>0</v>
      </c>
      <c r="P17" s="20" t="n">
        <v>0</v>
      </c>
      <c r="Q17" s="18" t="n">
        <v>1.08982904</v>
      </c>
      <c r="R17" s="20" t="n">
        <v>0.44236967</v>
      </c>
    </row>
    <row r="18" spans="1:18">
      <c r="A18" s="15" t="s">
        <v>576</v>
      </c>
      <c r="B18" s="17" t="n">
        <v>2706</v>
      </c>
      <c r="C18" s="18">
        <f>(2114.0/B18*100)</f>
        <v/>
      </c>
      <c r="D18" s="19" t="n">
        <v>592</v>
      </c>
      <c r="E18" s="18" t="n">
        <v>27.0269179</v>
      </c>
      <c r="F18" s="20" t="n">
        <v>2.0344898</v>
      </c>
      <c r="G18" s="18" t="n">
        <v>71.41958323</v>
      </c>
      <c r="H18" s="20" t="n">
        <v>1.99588887</v>
      </c>
      <c r="I18" s="18" t="n">
        <v>0</v>
      </c>
      <c r="J18" s="20" t="n">
        <v>0</v>
      </c>
      <c r="K18" s="18" t="n">
        <v>1.06468092</v>
      </c>
      <c r="L18" s="20" t="n">
        <v>0.5272345899999999</v>
      </c>
      <c r="M18" s="18" t="n">
        <v>0</v>
      </c>
      <c r="N18" s="20" t="n">
        <v>0</v>
      </c>
      <c r="O18" s="18" t="n">
        <v>0</v>
      </c>
      <c r="P18" s="20" t="n">
        <v>0</v>
      </c>
      <c r="Q18" s="18" t="n">
        <v>0.48881795</v>
      </c>
      <c r="R18" s="20" t="n">
        <v>0.24975028</v>
      </c>
    </row>
    <row r="19" spans="1:18">
      <c r="A19" s="15" t="s">
        <v>577</v>
      </c>
      <c r="B19" s="17" t="n">
        <v>2850</v>
      </c>
      <c r="C19" s="18">
        <f>(2244.0/B19*100)</f>
        <v/>
      </c>
      <c r="D19" s="19" t="n">
        <v>606</v>
      </c>
      <c r="E19" s="18" t="n">
        <v>29.4809365</v>
      </c>
      <c r="F19" s="20" t="n">
        <v>2.08833198</v>
      </c>
      <c r="G19" s="18" t="n">
        <v>69.85536406</v>
      </c>
      <c r="H19" s="20" t="n">
        <v>2.06048634</v>
      </c>
      <c r="I19" s="18" t="n">
        <v>0</v>
      </c>
      <c r="J19" s="20" t="n">
        <v>0</v>
      </c>
      <c r="K19" s="18" t="n">
        <v>0.14395856</v>
      </c>
      <c r="L19" s="20" t="n">
        <v>0.14489648</v>
      </c>
      <c r="M19" s="18" t="n">
        <v>0</v>
      </c>
      <c r="N19" s="20" t="n">
        <v>0</v>
      </c>
      <c r="O19" s="18" t="n">
        <v>0</v>
      </c>
      <c r="P19" s="20" t="n">
        <v>0</v>
      </c>
      <c r="Q19" s="18" t="n">
        <v>0.51974089</v>
      </c>
      <c r="R19" s="20" t="n">
        <v>0.39734213</v>
      </c>
    </row>
    <row r="20" spans="1:18">
      <c r="A20" s="15" t="s">
        <v>578</v>
      </c>
      <c r="B20" s="17" t="n">
        <v>1741</v>
      </c>
      <c r="C20" s="18">
        <f>(1379.0/B20*100)</f>
        <v/>
      </c>
      <c r="D20" s="19" t="n">
        <v>362</v>
      </c>
      <c r="E20" s="18" t="n">
        <v>25.75453423</v>
      </c>
      <c r="F20" s="20" t="n">
        <v>2.091048</v>
      </c>
      <c r="G20" s="18" t="n">
        <v>72.64003334</v>
      </c>
      <c r="H20" s="20" t="n">
        <v>2.12805926</v>
      </c>
      <c r="I20" s="18" t="n">
        <v>0</v>
      </c>
      <c r="J20" s="20" t="n">
        <v>0</v>
      </c>
      <c r="K20" s="18" t="n">
        <v>0.59310568</v>
      </c>
      <c r="L20" s="20" t="n">
        <v>0.41054301</v>
      </c>
      <c r="M20" s="18" t="n">
        <v>0</v>
      </c>
      <c r="N20" s="20" t="n">
        <v>0</v>
      </c>
      <c r="O20" s="18" t="n">
        <v>0</v>
      </c>
      <c r="P20" s="20" t="n">
        <v>0</v>
      </c>
      <c r="Q20" s="18" t="n">
        <v>1.01232676</v>
      </c>
      <c r="R20" s="20" t="n">
        <v>0.5221367099999999</v>
      </c>
    </row>
    <row r="21" spans="1:18">
      <c r="A21" s="15" t="s">
        <v>579</v>
      </c>
      <c r="B21" s="17" t="n">
        <v>2833</v>
      </c>
      <c r="C21" s="18">
        <f>(2214.0/B21*100)</f>
        <v/>
      </c>
      <c r="D21" s="19" t="n">
        <v>619</v>
      </c>
      <c r="E21" s="18" t="n">
        <v>22.4921327</v>
      </c>
      <c r="F21" s="20" t="n">
        <v>1.47455859</v>
      </c>
      <c r="G21" s="18" t="n">
        <v>76.70641306</v>
      </c>
      <c r="H21" s="20" t="n">
        <v>1.48555895</v>
      </c>
      <c r="I21" s="18" t="n">
        <v>0</v>
      </c>
      <c r="J21" s="20" t="n">
        <v>0</v>
      </c>
      <c r="K21" s="18" t="n">
        <v>0</v>
      </c>
      <c r="L21" s="20" t="n">
        <v>0</v>
      </c>
      <c r="M21" s="18" t="n">
        <v>0</v>
      </c>
      <c r="N21" s="20" t="n">
        <v>0</v>
      </c>
      <c r="O21" s="18" t="n">
        <v>0</v>
      </c>
      <c r="P21" s="20" t="n">
        <v>0</v>
      </c>
      <c r="Q21" s="18" t="n">
        <v>0.80145424</v>
      </c>
      <c r="R21" s="20" t="n">
        <v>0.38882962</v>
      </c>
    </row>
    <row r="22" spans="1:18">
      <c r="A22" s="15" t="s">
        <v>580</v>
      </c>
      <c r="B22" s="17" t="n">
        <v>3667</v>
      </c>
      <c r="C22" s="18">
        <f>(2877.0/B22*100)</f>
        <v/>
      </c>
      <c r="D22" s="19" t="n">
        <v>790</v>
      </c>
      <c r="E22" s="18" t="n">
        <v>34.61534535</v>
      </c>
      <c r="F22" s="20" t="n">
        <v>1.95458454</v>
      </c>
      <c r="G22" s="18" t="n">
        <v>62.8363681</v>
      </c>
      <c r="H22" s="20" t="n">
        <v>1.94621747</v>
      </c>
      <c r="I22" s="18" t="n">
        <v>0</v>
      </c>
      <c r="J22" s="20" t="n">
        <v>0</v>
      </c>
      <c r="K22" s="18" t="n">
        <v>1.46879305</v>
      </c>
      <c r="L22" s="20" t="n">
        <v>0.45521478</v>
      </c>
      <c r="M22" s="18" t="n">
        <v>0</v>
      </c>
      <c r="N22" s="20" t="n">
        <v>0</v>
      </c>
      <c r="O22" s="18" t="n">
        <v>0</v>
      </c>
      <c r="P22" s="20" t="n">
        <v>0</v>
      </c>
      <c r="Q22" s="18" t="n">
        <v>1.07949349</v>
      </c>
      <c r="R22" s="20" t="n">
        <v>0.43866604</v>
      </c>
    </row>
    <row r="23" spans="1:18">
      <c r="A23" s="15" t="s">
        <v>581</v>
      </c>
      <c r="B23" s="17" t="n">
        <v>5792</v>
      </c>
      <c r="C23" s="18">
        <f>(4507.0/B23*100)</f>
        <v/>
      </c>
      <c r="D23" s="19" t="n">
        <v>1285</v>
      </c>
      <c r="E23" s="18" t="n">
        <v>25.95463472</v>
      </c>
      <c r="F23" s="20" t="n">
        <v>2.09968422</v>
      </c>
      <c r="G23" s="18" t="n">
        <v>71.05278278</v>
      </c>
      <c r="H23" s="20" t="n">
        <v>2.29302441</v>
      </c>
      <c r="I23" s="18" t="n">
        <v>0</v>
      </c>
      <c r="J23" s="20" t="n">
        <v>0</v>
      </c>
      <c r="K23" s="18" t="n">
        <v>1.12917889</v>
      </c>
      <c r="L23" s="20" t="n">
        <v>0.67065127</v>
      </c>
      <c r="M23" s="18" t="n">
        <v>0</v>
      </c>
      <c r="N23" s="20" t="n">
        <v>0</v>
      </c>
      <c r="O23" s="18" t="n">
        <v>0</v>
      </c>
      <c r="P23" s="20" t="n">
        <v>0</v>
      </c>
      <c r="Q23" s="18" t="n">
        <v>1.86340361</v>
      </c>
      <c r="R23" s="20" t="n">
        <v>0.50239291</v>
      </c>
    </row>
    <row r="24" spans="1:18">
      <c r="A24" s="15" t="s">
        <v>582</v>
      </c>
      <c r="B24" s="17" t="n">
        <v>3309</v>
      </c>
      <c r="C24" s="18">
        <f>(2567.0/B24*100)</f>
        <v/>
      </c>
      <c r="D24" s="19" t="n">
        <v>742</v>
      </c>
      <c r="E24" s="18" t="n">
        <v>13.31743851</v>
      </c>
      <c r="F24" s="20" t="n">
        <v>1.28881588</v>
      </c>
      <c r="G24" s="18" t="n">
        <v>86.15370443</v>
      </c>
      <c r="H24" s="20" t="n">
        <v>1.28604142</v>
      </c>
      <c r="I24" s="18" t="n">
        <v>0</v>
      </c>
      <c r="J24" s="20" t="n">
        <v>0</v>
      </c>
      <c r="K24" s="18" t="n">
        <v>0</v>
      </c>
      <c r="L24" s="20" t="n">
        <v>0</v>
      </c>
      <c r="M24" s="18" t="n">
        <v>0</v>
      </c>
      <c r="N24" s="20" t="n">
        <v>0</v>
      </c>
      <c r="O24" s="18" t="n">
        <v>0</v>
      </c>
      <c r="P24" s="20" t="n">
        <v>0</v>
      </c>
      <c r="Q24" s="18" t="n">
        <v>0.52885706</v>
      </c>
      <c r="R24" s="20" t="n">
        <v>0.26725737</v>
      </c>
    </row>
    <row r="25" spans="1:18">
      <c r="A25" s="15" t="s">
        <v>583</v>
      </c>
      <c r="B25" s="17" t="n">
        <v>2669</v>
      </c>
      <c r="C25" s="18">
        <f>(2074.0/B25*100)</f>
        <v/>
      </c>
      <c r="D25" s="19" t="n">
        <v>595</v>
      </c>
      <c r="E25" s="18" t="n">
        <v>18.24152136</v>
      </c>
      <c r="F25" s="20" t="n">
        <v>1.73962002</v>
      </c>
      <c r="G25" s="18" t="n">
        <v>81.43637200000001</v>
      </c>
      <c r="H25" s="20" t="n">
        <v>1.75485945</v>
      </c>
      <c r="I25" s="18" t="n">
        <v>0</v>
      </c>
      <c r="J25" s="20" t="n">
        <v>0</v>
      </c>
      <c r="K25" s="18" t="n">
        <v>0</v>
      </c>
      <c r="L25" s="20" t="n">
        <v>0</v>
      </c>
      <c r="M25" s="18" t="n">
        <v>0</v>
      </c>
      <c r="N25" s="20" t="n">
        <v>0</v>
      </c>
      <c r="O25" s="18" t="n">
        <v>0</v>
      </c>
      <c r="P25" s="20" t="n">
        <v>0</v>
      </c>
      <c r="Q25" s="18" t="n">
        <v>0.32210664</v>
      </c>
      <c r="R25" s="20" t="n">
        <v>0.23166018</v>
      </c>
    </row>
    <row r="26" spans="1:18">
      <c r="A26" s="15" t="s">
        <v>584</v>
      </c>
      <c r="B26" s="17" t="n">
        <v>2419</v>
      </c>
      <c r="C26" s="18">
        <f>(1897.0/B26*100)</f>
        <v/>
      </c>
      <c r="D26" s="19" t="n">
        <v>522</v>
      </c>
      <c r="E26" s="18" t="n">
        <v>21.09439386</v>
      </c>
      <c r="F26" s="20" t="n">
        <v>1.93360101</v>
      </c>
      <c r="G26" s="18" t="n">
        <v>78.05482433</v>
      </c>
      <c r="H26" s="20" t="n">
        <v>1.93171478</v>
      </c>
      <c r="I26" s="18" t="n">
        <v>0</v>
      </c>
      <c r="J26" s="20" t="n">
        <v>0</v>
      </c>
      <c r="K26" s="18" t="n">
        <v>0</v>
      </c>
      <c r="L26" s="20" t="n">
        <v>0</v>
      </c>
      <c r="M26" s="18" t="n">
        <v>0</v>
      </c>
      <c r="N26" s="20" t="n">
        <v>0</v>
      </c>
      <c r="O26" s="18" t="n">
        <v>0</v>
      </c>
      <c r="P26" s="20" t="n">
        <v>0</v>
      </c>
      <c r="Q26" s="18" t="n">
        <v>0.85078181</v>
      </c>
      <c r="R26" s="20" t="n">
        <v>0.36912283</v>
      </c>
    </row>
    <row r="27" spans="1:18">
      <c r="A27" s="15" t="s">
        <v>585</v>
      </c>
      <c r="B27" s="17" t="n">
        <v>2683</v>
      </c>
      <c r="C27" s="18">
        <f>(2128.0/B27*100)</f>
        <v/>
      </c>
      <c r="D27" s="19" t="n">
        <v>555</v>
      </c>
      <c r="E27" s="18" t="n">
        <v>25.58066808</v>
      </c>
      <c r="F27" s="20" t="n">
        <v>1.76336291</v>
      </c>
      <c r="G27" s="18" t="n">
        <v>72.41699853</v>
      </c>
      <c r="H27" s="20" t="n">
        <v>1.73072631</v>
      </c>
      <c r="I27" s="18" t="n">
        <v>0</v>
      </c>
      <c r="J27" s="20" t="n">
        <v>0</v>
      </c>
      <c r="K27" s="18" t="n">
        <v>0.38170871</v>
      </c>
      <c r="L27" s="20" t="n">
        <v>0.26808174</v>
      </c>
      <c r="M27" s="18" t="n">
        <v>0</v>
      </c>
      <c r="N27" s="20" t="n">
        <v>0</v>
      </c>
      <c r="O27" s="18" t="n">
        <v>0</v>
      </c>
      <c r="P27" s="20" t="n">
        <v>0</v>
      </c>
      <c r="Q27" s="18" t="n">
        <v>1.62062468</v>
      </c>
      <c r="R27" s="20" t="n">
        <v>0.47231736</v>
      </c>
    </row>
    <row r="28" spans="1:18">
      <c r="A28" s="15" t="s">
        <v>586</v>
      </c>
      <c r="B28" s="17" t="n">
        <v>3803</v>
      </c>
      <c r="C28" s="18">
        <f>(3043.0/B28*100)</f>
        <v/>
      </c>
      <c r="D28" s="19" t="n">
        <v>760</v>
      </c>
      <c r="E28" s="18" t="n">
        <v>35.07786406</v>
      </c>
      <c r="F28" s="20" t="n">
        <v>1.90988122</v>
      </c>
      <c r="G28" s="18" t="n">
        <v>63.34270718</v>
      </c>
      <c r="H28" s="20" t="n">
        <v>1.88670435</v>
      </c>
      <c r="I28" s="18" t="n">
        <v>0</v>
      </c>
      <c r="J28" s="20" t="n">
        <v>0</v>
      </c>
      <c r="K28" s="18" t="n">
        <v>1.00403555</v>
      </c>
      <c r="L28" s="20" t="n">
        <v>0.38326465</v>
      </c>
      <c r="M28" s="18" t="n">
        <v>0</v>
      </c>
      <c r="N28" s="20" t="n">
        <v>0</v>
      </c>
      <c r="O28" s="18" t="n">
        <v>0</v>
      </c>
      <c r="P28" s="20" t="n">
        <v>0</v>
      </c>
      <c r="Q28" s="18" t="n">
        <v>0.57539321</v>
      </c>
      <c r="R28" s="20" t="n">
        <v>0.25380306</v>
      </c>
    </row>
    <row r="29" spans="1:18">
      <c r="A29" s="15" t="s">
        <v>587</v>
      </c>
      <c r="B29" s="17" t="n">
        <v>2700</v>
      </c>
      <c r="C29" s="18">
        <f>(2127.0/B29*100)</f>
        <v/>
      </c>
      <c r="D29" s="19" t="n">
        <v>573</v>
      </c>
      <c r="E29" s="18" t="n">
        <v>27.61489909</v>
      </c>
      <c r="F29" s="20" t="n">
        <v>2.05548874</v>
      </c>
      <c r="G29" s="18" t="n">
        <v>71.80699045999999</v>
      </c>
      <c r="H29" s="20" t="n">
        <v>1.99637467</v>
      </c>
      <c r="I29" s="18" t="n">
        <v>0</v>
      </c>
      <c r="J29" s="20" t="n">
        <v>0</v>
      </c>
      <c r="K29" s="18" t="n">
        <v>0</v>
      </c>
      <c r="L29" s="20" t="n">
        <v>0</v>
      </c>
      <c r="M29" s="18" t="n">
        <v>0</v>
      </c>
      <c r="N29" s="20" t="n">
        <v>0</v>
      </c>
      <c r="O29" s="18" t="n">
        <v>0</v>
      </c>
      <c r="P29" s="20" t="n">
        <v>0</v>
      </c>
      <c r="Q29" s="18" t="n">
        <v>0.57811046</v>
      </c>
      <c r="R29" s="20" t="n">
        <v>0.30412969</v>
      </c>
    </row>
    <row r="30" spans="1:18">
      <c r="A30" s="15" t="s">
        <v>588</v>
      </c>
      <c r="B30" s="17" t="n">
        <v>2257</v>
      </c>
      <c r="C30" s="18">
        <f>(1780.0/B30*100)</f>
        <v/>
      </c>
      <c r="D30" s="19" t="n">
        <v>477</v>
      </c>
      <c r="E30" s="18" t="n">
        <v>19.26088187</v>
      </c>
      <c r="F30" s="20" t="n">
        <v>2.1361866</v>
      </c>
      <c r="G30" s="18" t="n">
        <v>79.26825022</v>
      </c>
      <c r="H30" s="20" t="n">
        <v>2.30959026</v>
      </c>
      <c r="I30" s="18" t="n">
        <v>0</v>
      </c>
      <c r="J30" s="20" t="n">
        <v>0</v>
      </c>
      <c r="K30" s="18" t="n">
        <v>0.43072416</v>
      </c>
      <c r="L30" s="20" t="n">
        <v>0.33169951</v>
      </c>
      <c r="M30" s="18" t="n">
        <v>0</v>
      </c>
      <c r="N30" s="20" t="n">
        <v>0</v>
      </c>
      <c r="O30" s="18" t="n">
        <v>0</v>
      </c>
      <c r="P30" s="20" t="n">
        <v>0</v>
      </c>
      <c r="Q30" s="18" t="n">
        <v>1.04014375</v>
      </c>
      <c r="R30" s="20" t="n">
        <v>0.4956415</v>
      </c>
    </row>
    <row r="31" spans="1:18">
      <c r="A31" s="15" t="s">
        <v>589</v>
      </c>
      <c r="B31" s="17" t="n">
        <v>2706</v>
      </c>
      <c r="C31" s="18">
        <f>(2136.0/B31*100)</f>
        <v/>
      </c>
      <c r="D31" s="19" t="n">
        <v>570</v>
      </c>
      <c r="E31" s="18" t="n">
        <v>22.08215527</v>
      </c>
      <c r="F31" s="20" t="n">
        <v>1.86525598</v>
      </c>
      <c r="G31" s="18" t="n">
        <v>76.32366815</v>
      </c>
      <c r="H31" s="20" t="n">
        <v>1.92423818</v>
      </c>
      <c r="I31" s="18" t="n">
        <v>0</v>
      </c>
      <c r="J31" s="20" t="n">
        <v>0</v>
      </c>
      <c r="K31" s="18" t="n">
        <v>0.69753089</v>
      </c>
      <c r="L31" s="20" t="n">
        <v>0.40174949</v>
      </c>
      <c r="M31" s="18" t="n">
        <v>0</v>
      </c>
      <c r="N31" s="20" t="n">
        <v>0</v>
      </c>
      <c r="O31" s="18" t="n">
        <v>0</v>
      </c>
      <c r="P31" s="20" t="n">
        <v>0</v>
      </c>
      <c r="Q31" s="18" t="n">
        <v>0.8966456900000001</v>
      </c>
      <c r="R31" s="20" t="n">
        <v>0.38978294</v>
      </c>
    </row>
    <row r="32" spans="1:18">
      <c r="A32" s="15" t="s">
        <v>590</v>
      </c>
      <c r="B32" s="17" t="n">
        <v>2209</v>
      </c>
      <c r="C32" s="18">
        <f>(1691.0/B32*100)</f>
        <v/>
      </c>
      <c r="D32" s="19" t="n">
        <v>518</v>
      </c>
      <c r="E32" s="18" t="n">
        <v>20.49847434</v>
      </c>
      <c r="F32" s="20" t="n">
        <v>1.7817504</v>
      </c>
      <c r="G32" s="18" t="n">
        <v>79.50152566</v>
      </c>
      <c r="H32" s="20" t="n">
        <v>1.7817504</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(2836.0/B33*100)</f>
        <v/>
      </c>
      <c r="D33" s="19" t="n">
        <v>815</v>
      </c>
      <c r="E33" s="18" t="n">
        <v>22.14334181</v>
      </c>
      <c r="F33" s="20" t="n">
        <v>1.66076156</v>
      </c>
      <c r="G33" s="18" t="n">
        <v>75.67363317</v>
      </c>
      <c r="H33" s="20" t="n">
        <v>1.80260912</v>
      </c>
      <c r="I33" s="18" t="n">
        <v>0</v>
      </c>
      <c r="J33" s="20" t="n">
        <v>0</v>
      </c>
      <c r="K33" s="18" t="n">
        <v>0.96224505</v>
      </c>
      <c r="L33" s="20" t="n">
        <v>0.48311452</v>
      </c>
      <c r="M33" s="18" t="n">
        <v>0</v>
      </c>
      <c r="N33" s="20" t="n">
        <v>0</v>
      </c>
      <c r="O33" s="18" t="n">
        <v>0</v>
      </c>
      <c r="P33" s="20" t="n">
        <v>0</v>
      </c>
      <c r="Q33" s="18" t="n">
        <v>1.22077996</v>
      </c>
      <c r="R33" s="20" t="n">
        <v>0.42166786</v>
      </c>
    </row>
    <row r="34" spans="1:18">
      <c r="A34" s="15" t="s">
        <v>592</v>
      </c>
      <c r="B34" s="17" t="n">
        <v>3035</v>
      </c>
      <c r="C34" s="18">
        <f>(2423.0/B34*100)</f>
        <v/>
      </c>
      <c r="D34" s="19" t="n">
        <v>612</v>
      </c>
      <c r="E34" s="18" t="n">
        <v>34.54479563</v>
      </c>
      <c r="F34" s="20" t="n">
        <v>2.31039104</v>
      </c>
      <c r="G34" s="18" t="n">
        <v>64.68838789</v>
      </c>
      <c r="H34" s="20" t="n">
        <v>2.34145969</v>
      </c>
      <c r="I34" s="18" t="n">
        <v>0</v>
      </c>
      <c r="J34" s="20" t="n">
        <v>0</v>
      </c>
      <c r="K34" s="18" t="n">
        <v>0.14744057</v>
      </c>
      <c r="L34" s="20" t="n">
        <v>0.13957078</v>
      </c>
      <c r="M34" s="18" t="n">
        <v>0</v>
      </c>
      <c r="N34" s="20" t="n">
        <v>0</v>
      </c>
      <c r="O34" s="18" t="n">
        <v>0</v>
      </c>
      <c r="P34" s="20" t="n">
        <v>0</v>
      </c>
      <c r="Q34" s="18" t="n">
        <v>0.61937592</v>
      </c>
      <c r="R34" s="20" t="n">
        <v>0.35930903</v>
      </c>
    </row>
    <row r="35" spans="1:18">
      <c r="A35" s="15" t="s">
        <v>593</v>
      </c>
      <c r="B35" s="17" t="n">
        <v>2901</v>
      </c>
      <c r="C35" s="18">
        <f>(2284.0/B35*100)</f>
        <v/>
      </c>
      <c r="D35" s="19" t="n">
        <v>617</v>
      </c>
      <c r="E35" s="18" t="n">
        <v>19.52394524</v>
      </c>
      <c r="F35" s="20" t="n">
        <v>1.94359883</v>
      </c>
      <c r="G35" s="18" t="n">
        <v>78.97142971</v>
      </c>
      <c r="H35" s="20" t="n">
        <v>1.99567772</v>
      </c>
      <c r="I35" s="18" t="n">
        <v>0</v>
      </c>
      <c r="J35" s="20" t="n">
        <v>0</v>
      </c>
      <c r="K35" s="18" t="n">
        <v>0</v>
      </c>
      <c r="L35" s="20" t="n">
        <v>0</v>
      </c>
      <c r="M35" s="18" t="n">
        <v>0</v>
      </c>
      <c r="N35" s="20" t="n">
        <v>0</v>
      </c>
      <c r="O35" s="18" t="n">
        <v>0</v>
      </c>
      <c r="P35" s="20" t="n">
        <v>0</v>
      </c>
      <c r="Q35" s="18" t="n">
        <v>1.50462505</v>
      </c>
      <c r="R35" s="20" t="n">
        <v>0.62787558</v>
      </c>
    </row>
    <row r="36" spans="1:18">
      <c r="A36" s="15" t="s">
        <v>594</v>
      </c>
      <c r="B36" s="17" t="n">
        <v>3404</v>
      </c>
      <c r="C36" s="18">
        <f>(2631.0/B36*100)</f>
        <v/>
      </c>
      <c r="D36" s="19" t="n">
        <v>773</v>
      </c>
      <c r="E36" s="18" t="n">
        <v>22.13261161</v>
      </c>
      <c r="F36" s="20" t="n">
        <v>1.55328372</v>
      </c>
      <c r="G36" s="18" t="n">
        <v>77.06401227000001</v>
      </c>
      <c r="H36" s="20" t="n">
        <v>1.5318707</v>
      </c>
      <c r="I36" s="18" t="n">
        <v>0</v>
      </c>
      <c r="J36" s="20" t="n">
        <v>0</v>
      </c>
      <c r="K36" s="18" t="n">
        <v>0.34550582</v>
      </c>
      <c r="L36" s="20" t="n">
        <v>0.22876275</v>
      </c>
      <c r="M36" s="18" t="n">
        <v>0</v>
      </c>
      <c r="N36" s="20" t="n">
        <v>0</v>
      </c>
      <c r="O36" s="18" t="n">
        <v>0</v>
      </c>
      <c r="P36" s="20" t="n">
        <v>0</v>
      </c>
      <c r="Q36" s="18" t="n">
        <v>0.4578703</v>
      </c>
      <c r="R36" s="20" t="n">
        <v>0.2573427</v>
      </c>
    </row>
    <row r="37" spans="1:18">
      <c r="A37" s="15" t="s">
        <v>595</v>
      </c>
      <c r="B37" s="17" t="n">
        <v>2731</v>
      </c>
      <c r="C37" s="18">
        <f>(2132.0/B37*100)</f>
        <v/>
      </c>
      <c r="D37" s="19" t="n">
        <v>599</v>
      </c>
      <c r="E37" s="18" t="n">
        <v>27.13253852</v>
      </c>
      <c r="F37" s="20" t="n">
        <v>1.73158672</v>
      </c>
      <c r="G37" s="18" t="n">
        <v>71.02186544</v>
      </c>
      <c r="H37" s="20" t="n">
        <v>1.81295143</v>
      </c>
      <c r="I37" s="18" t="n">
        <v>0</v>
      </c>
      <c r="J37" s="20" t="n">
        <v>0</v>
      </c>
      <c r="K37" s="18" t="n">
        <v>0.37136197</v>
      </c>
      <c r="L37" s="20" t="n">
        <v>0.25485115</v>
      </c>
      <c r="M37" s="18" t="n">
        <v>0</v>
      </c>
      <c r="N37" s="20" t="n">
        <v>0</v>
      </c>
      <c r="O37" s="18" t="n">
        <v>0</v>
      </c>
      <c r="P37" s="20" t="n">
        <v>0</v>
      </c>
      <c r="Q37" s="18" t="n">
        <v>1.47423407</v>
      </c>
      <c r="R37" s="20" t="n">
        <v>0.48666343</v>
      </c>
    </row>
    <row r="38" spans="1:18">
      <c r="A38" s="15" t="s">
        <v>596</v>
      </c>
      <c r="B38" s="17" t="n">
        <v>2807</v>
      </c>
      <c r="C38" s="18">
        <f>(2182.0/B38*100)</f>
        <v/>
      </c>
      <c r="D38" s="19" t="n">
        <v>625</v>
      </c>
      <c r="E38" s="18" t="n">
        <v>21.50653169</v>
      </c>
      <c r="F38" s="20" t="n">
        <v>1.85425679</v>
      </c>
      <c r="G38" s="18" t="n">
        <v>76.75541617</v>
      </c>
      <c r="H38" s="20" t="n">
        <v>1.98320107</v>
      </c>
      <c r="I38" s="18" t="n">
        <v>0</v>
      </c>
      <c r="J38" s="20" t="n">
        <v>0</v>
      </c>
      <c r="K38" s="18" t="n">
        <v>0.15508032</v>
      </c>
      <c r="L38" s="20" t="n">
        <v>0.15508609</v>
      </c>
      <c r="M38" s="18" t="n">
        <v>0</v>
      </c>
      <c r="N38" s="20" t="n">
        <v>0</v>
      </c>
      <c r="O38" s="18" t="n">
        <v>0</v>
      </c>
      <c r="P38" s="20" t="n">
        <v>0</v>
      </c>
      <c r="Q38" s="18" t="n">
        <v>1.58297183</v>
      </c>
      <c r="R38" s="20" t="n">
        <v>0.59419351</v>
      </c>
    </row>
    <row r="39" spans="1:18">
      <c r="A39" s="15" t="s">
        <v>597</v>
      </c>
      <c r="B39" s="17" t="n">
        <v>2938</v>
      </c>
      <c r="C39" s="18">
        <f>(2258.0/B39*100)</f>
        <v/>
      </c>
      <c r="D39" s="19" t="n">
        <v>680</v>
      </c>
      <c r="E39" s="18" t="n">
        <v>38.65561115</v>
      </c>
      <c r="F39" s="20" t="n">
        <v>2.14976533</v>
      </c>
      <c r="G39" s="18" t="n">
        <v>60.27350235</v>
      </c>
      <c r="H39" s="20" t="n">
        <v>2.17021349</v>
      </c>
      <c r="I39" s="18" t="n">
        <v>0</v>
      </c>
      <c r="J39" s="20" t="n">
        <v>0</v>
      </c>
      <c r="K39" s="18" t="n">
        <v>0</v>
      </c>
      <c r="L39" s="20" t="n">
        <v>0</v>
      </c>
      <c r="M39" s="18" t="n">
        <v>0</v>
      </c>
      <c r="N39" s="20" t="n">
        <v>0</v>
      </c>
      <c r="O39" s="18" t="n">
        <v>0</v>
      </c>
      <c r="P39" s="20" t="n">
        <v>0</v>
      </c>
      <c r="Q39" s="18" t="n">
        <v>1.0708865</v>
      </c>
      <c r="R39" s="20" t="n">
        <v>0.46539571</v>
      </c>
    </row>
    <row r="40" spans="1:18">
      <c r="A40" s="15" t="s">
        <v>598</v>
      </c>
      <c r="B40" s="17" t="n">
        <v>6922</v>
      </c>
      <c r="C40" s="18">
        <f>(5385.0/B40*100)</f>
        <v/>
      </c>
      <c r="D40" s="19" t="n">
        <v>1537</v>
      </c>
      <c r="E40" s="18" t="n">
        <v>23.27310954</v>
      </c>
      <c r="F40" s="20" t="n">
        <v>1.42209321</v>
      </c>
      <c r="G40" s="18" t="n">
        <v>74.67278867</v>
      </c>
      <c r="H40" s="20" t="n">
        <v>1.35857068</v>
      </c>
      <c r="I40" s="18" t="n">
        <v>0</v>
      </c>
      <c r="J40" s="20" t="n">
        <v>0</v>
      </c>
      <c r="K40" s="18" t="n">
        <v>0.42555078</v>
      </c>
      <c r="L40" s="20" t="n">
        <v>0.26418645</v>
      </c>
      <c r="M40" s="18" t="n">
        <v>0</v>
      </c>
      <c r="N40" s="20" t="n">
        <v>0</v>
      </c>
      <c r="O40" s="18" t="n">
        <v>0</v>
      </c>
      <c r="P40" s="20" t="n">
        <v>0</v>
      </c>
      <c r="Q40" s="18" t="n">
        <v>1.62855101</v>
      </c>
      <c r="R40" s="20" t="n">
        <v>0.64721127</v>
      </c>
    </row>
    <row r="41" spans="1:18">
      <c r="A41" s="15" t="s">
        <v>599</v>
      </c>
      <c r="B41" s="17" t="n">
        <v>2854</v>
      </c>
      <c r="C41" s="18">
        <f>(2241.0/B41*100)</f>
        <v/>
      </c>
      <c r="D41" s="19" t="n">
        <v>613</v>
      </c>
      <c r="E41" s="18" t="n">
        <v>25.64275352</v>
      </c>
      <c r="F41" s="20" t="n">
        <v>1.84430595</v>
      </c>
      <c r="G41" s="18" t="n">
        <v>73.94082127</v>
      </c>
      <c r="H41" s="20" t="n">
        <v>1.84224715</v>
      </c>
      <c r="I41" s="18" t="n">
        <v>0</v>
      </c>
      <c r="J41" s="20" t="n">
        <v>0</v>
      </c>
      <c r="K41" s="18" t="n">
        <v>0.1977364</v>
      </c>
      <c r="L41" s="20" t="n">
        <v>0.18097492</v>
      </c>
      <c r="M41" s="18" t="n">
        <v>0</v>
      </c>
      <c r="N41" s="20" t="n">
        <v>0</v>
      </c>
      <c r="O41" s="18" t="n">
        <v>0</v>
      </c>
      <c r="P41" s="20" t="n">
        <v>0</v>
      </c>
      <c r="Q41" s="18" t="n">
        <v>0.21868881</v>
      </c>
      <c r="R41" s="20" t="n">
        <v>0.15731025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(9993.0/B46*100)</f>
        <v/>
      </c>
      <c r="D46" s="19" t="n">
        <v>2080</v>
      </c>
      <c r="E46" s="18" t="n">
        <v>43.37774703</v>
      </c>
      <c r="F46" s="20" t="n">
        <v>1.5167977</v>
      </c>
      <c r="G46" s="18" t="n">
        <v>52.16314787</v>
      </c>
      <c r="H46" s="20" t="n">
        <v>1.66834022</v>
      </c>
      <c r="I46" s="18" t="n">
        <v>0</v>
      </c>
      <c r="J46" s="20" t="n">
        <v>0</v>
      </c>
      <c r="K46" s="18" t="n">
        <v>1.41993188</v>
      </c>
      <c r="L46" s="20" t="n">
        <v>0.39856014</v>
      </c>
      <c r="M46" s="18" t="n">
        <v>0</v>
      </c>
      <c r="N46" s="20" t="n">
        <v>0</v>
      </c>
      <c r="O46" s="18" t="n">
        <v>0</v>
      </c>
      <c r="P46" s="20" t="n">
        <v>0</v>
      </c>
      <c r="Q46" s="18" t="n">
        <v>3.03917322</v>
      </c>
      <c r="R46" s="20" t="n">
        <v>0.60757248</v>
      </c>
    </row>
    <row r="47" spans="1:18">
      <c r="A47" s="15" t="s">
        <v>606</v>
      </c>
      <c r="B47" s="17" t="n">
        <v>2823</v>
      </c>
      <c r="C47" s="18">
        <f>(2222.0/B47*100)</f>
        <v/>
      </c>
      <c r="D47" s="19" t="n">
        <v>601</v>
      </c>
      <c r="E47" s="18" t="n">
        <v>36.222985</v>
      </c>
      <c r="F47" s="20" t="n">
        <v>1.86630472</v>
      </c>
      <c r="G47" s="18" t="n">
        <v>61.95108321</v>
      </c>
      <c r="H47" s="20" t="n">
        <v>1.98233155</v>
      </c>
      <c r="I47" s="18" t="n">
        <v>0</v>
      </c>
      <c r="J47" s="20" t="n">
        <v>0</v>
      </c>
      <c r="K47" s="18" t="n">
        <v>1.49232197</v>
      </c>
      <c r="L47" s="20" t="n">
        <v>0.55786592</v>
      </c>
      <c r="M47" s="18" t="n">
        <v>0</v>
      </c>
      <c r="N47" s="20" t="n">
        <v>0</v>
      </c>
      <c r="O47" s="18" t="n">
        <v>0</v>
      </c>
      <c r="P47" s="20" t="n">
        <v>0</v>
      </c>
      <c r="Q47" s="18" t="n">
        <v>0.33360982</v>
      </c>
      <c r="R47" s="20" t="n">
        <v>0.20358504</v>
      </c>
    </row>
    <row r="48" spans="1:18">
      <c r="A48" s="15" t="s">
        <v>607</v>
      </c>
      <c r="B48" s="17" t="n">
        <v>4682</v>
      </c>
      <c r="C48" s="18">
        <f>(3648.0/B48*100)</f>
        <v/>
      </c>
      <c r="D48" s="19" t="n">
        <v>1034</v>
      </c>
      <c r="E48" s="18" t="n">
        <v>21.73362359</v>
      </c>
      <c r="F48" s="20" t="n">
        <v>1.85206597</v>
      </c>
      <c r="G48" s="18" t="n">
        <v>77.07373964999999</v>
      </c>
      <c r="H48" s="20" t="n">
        <v>1.93958726</v>
      </c>
      <c r="I48" s="18" t="n">
        <v>0</v>
      </c>
      <c r="J48" s="20" t="n">
        <v>0</v>
      </c>
      <c r="K48" s="18" t="n">
        <v>0.48713706</v>
      </c>
      <c r="L48" s="20" t="n">
        <v>0.37866736</v>
      </c>
      <c r="M48" s="18" t="n">
        <v>0</v>
      </c>
      <c r="N48" s="20" t="n">
        <v>0</v>
      </c>
      <c r="O48" s="18" t="n">
        <v>0</v>
      </c>
      <c r="P48" s="20" t="n">
        <v>0</v>
      </c>
      <c r="Q48" s="18" t="n">
        <v>0.70549971</v>
      </c>
      <c r="R48" s="20" t="n">
        <v>0.32215966</v>
      </c>
    </row>
    <row r="49" spans="1:18">
      <c r="A49" s="15" t="s">
        <v>608</v>
      </c>
      <c r="B49" s="17" t="n">
        <v>6158</v>
      </c>
      <c r="C49" s="18">
        <f>(4859.0/B49*100)</f>
        <v/>
      </c>
      <c r="D49" s="19" t="n">
        <v>1299</v>
      </c>
      <c r="E49" s="18" t="n">
        <v>38.17513258</v>
      </c>
      <c r="F49" s="20" t="n">
        <v>2.02937675</v>
      </c>
      <c r="G49" s="18" t="n">
        <v>58.69297495</v>
      </c>
      <c r="H49" s="20" t="n">
        <v>2.01084791</v>
      </c>
      <c r="I49" s="18" t="n">
        <v>0</v>
      </c>
      <c r="J49" s="20" t="n">
        <v>0</v>
      </c>
      <c r="K49" s="18" t="n">
        <v>1.95153156</v>
      </c>
      <c r="L49" s="20" t="n">
        <v>0.4315534</v>
      </c>
      <c r="M49" s="18" t="n">
        <v>0</v>
      </c>
      <c r="N49" s="20" t="n">
        <v>0</v>
      </c>
      <c r="O49" s="18" t="n">
        <v>0</v>
      </c>
      <c r="P49" s="20" t="n">
        <v>0</v>
      </c>
      <c r="Q49" s="18" t="n">
        <v>1.18036091</v>
      </c>
      <c r="R49" s="20" t="n">
        <v>0.42774025</v>
      </c>
    </row>
    <row r="50" spans="1:18">
      <c r="A50" s="15" t="s">
        <v>609</v>
      </c>
      <c r="B50" s="17" t="n">
        <v>3494</v>
      </c>
      <c r="C50" s="18">
        <f>(2831.0/B50*100)</f>
        <v/>
      </c>
      <c r="D50" s="19" t="n">
        <v>663</v>
      </c>
      <c r="E50" s="18" t="n">
        <v>35.65646406</v>
      </c>
      <c r="F50" s="20" t="n">
        <v>2.20349794</v>
      </c>
      <c r="G50" s="18" t="n">
        <v>63.7475145</v>
      </c>
      <c r="H50" s="20" t="n">
        <v>2.21158547</v>
      </c>
      <c r="I50" s="18" t="n">
        <v>0</v>
      </c>
      <c r="J50" s="20" t="n">
        <v>0</v>
      </c>
      <c r="K50" s="18" t="n">
        <v>0</v>
      </c>
      <c r="L50" s="20" t="n">
        <v>0</v>
      </c>
      <c r="M50" s="18" t="n">
        <v>0</v>
      </c>
      <c r="N50" s="20" t="n">
        <v>0</v>
      </c>
      <c r="O50" s="18" t="n">
        <v>0</v>
      </c>
      <c r="P50" s="20" t="n">
        <v>0</v>
      </c>
      <c r="Q50" s="18" t="n">
        <v>0.59602145</v>
      </c>
      <c r="R50" s="20" t="n">
        <v>0.31813599</v>
      </c>
    </row>
    <row r="51" spans="1:18">
      <c r="A51" s="15" t="s">
        <v>610</v>
      </c>
      <c r="B51" s="17" t="n">
        <v>3013</v>
      </c>
      <c r="C51" s="18">
        <f>(2338.0/B51*100)</f>
        <v/>
      </c>
      <c r="D51" s="19" t="n">
        <v>675</v>
      </c>
      <c r="E51" s="18" t="n">
        <v>28.70133023</v>
      </c>
      <c r="F51" s="20" t="n">
        <v>1.73878141</v>
      </c>
      <c r="G51" s="18" t="n">
        <v>70.89139646</v>
      </c>
      <c r="H51" s="20" t="n">
        <v>1.74192252</v>
      </c>
      <c r="I51" s="18" t="n">
        <v>0</v>
      </c>
      <c r="J51" s="20" t="n">
        <v>0</v>
      </c>
      <c r="K51" s="18" t="n">
        <v>0</v>
      </c>
      <c r="L51" s="20" t="n">
        <v>0</v>
      </c>
      <c r="M51" s="18" t="n">
        <v>0</v>
      </c>
      <c r="N51" s="20" t="n">
        <v>0</v>
      </c>
      <c r="O51" s="18" t="n">
        <v>0</v>
      </c>
      <c r="P51" s="20" t="n">
        <v>0</v>
      </c>
      <c r="Q51" s="18" t="n">
        <v>0.40727332</v>
      </c>
      <c r="R51" s="20" t="n">
        <v>0.23724279</v>
      </c>
    </row>
    <row r="52" spans="1:18">
      <c r="A52" s="15" t="s">
        <v>611</v>
      </c>
      <c r="B52" s="17" t="n">
        <v>2760</v>
      </c>
      <c r="C52" s="18">
        <f>(2137.0/B52*100)</f>
        <v/>
      </c>
      <c r="D52" s="19" t="n">
        <v>623</v>
      </c>
      <c r="E52" s="18" t="n">
        <v>35.88094172</v>
      </c>
      <c r="F52" s="20" t="n">
        <v>2.08371544</v>
      </c>
      <c r="G52" s="18" t="n">
        <v>63.73432456</v>
      </c>
      <c r="H52" s="20" t="n">
        <v>2.07091517</v>
      </c>
      <c r="I52" s="18" t="n">
        <v>0</v>
      </c>
      <c r="J52" s="20" t="n">
        <v>0</v>
      </c>
      <c r="K52" s="18" t="n">
        <v>0.26292151</v>
      </c>
      <c r="L52" s="20" t="n">
        <v>0.18936564</v>
      </c>
      <c r="M52" s="18" t="n">
        <v>0</v>
      </c>
      <c r="N52" s="20" t="n">
        <v>0</v>
      </c>
      <c r="O52" s="18" t="n">
        <v>0</v>
      </c>
      <c r="P52" s="20" t="n">
        <v>0</v>
      </c>
      <c r="Q52" s="18" t="n">
        <v>0.12181221</v>
      </c>
      <c r="R52" s="20" t="n">
        <v>0.12302896</v>
      </c>
    </row>
    <row r="53" spans="1:18">
      <c r="A53" s="15" t="s">
        <v>612</v>
      </c>
      <c r="B53" s="17" t="n">
        <v>2474</v>
      </c>
      <c r="C53" s="18">
        <f>(1953.0/B53*100)</f>
        <v/>
      </c>
      <c r="D53" s="19" t="n">
        <v>521</v>
      </c>
      <c r="E53" s="18" t="n">
        <v>45.76658717</v>
      </c>
      <c r="F53" s="20" t="n">
        <v>2.25687662</v>
      </c>
      <c r="G53" s="18" t="n">
        <v>38.16511714</v>
      </c>
      <c r="H53" s="20" t="n">
        <v>2.23626865</v>
      </c>
      <c r="I53" s="18" t="n">
        <v>0</v>
      </c>
      <c r="J53" s="20" t="n">
        <v>0</v>
      </c>
      <c r="K53" s="18" t="n">
        <v>12.65719939</v>
      </c>
      <c r="L53" s="20" t="n">
        <v>1.76421286</v>
      </c>
      <c r="M53" s="18" t="n">
        <v>0</v>
      </c>
      <c r="N53" s="20" t="n">
        <v>0</v>
      </c>
      <c r="O53" s="18" t="n">
        <v>0</v>
      </c>
      <c r="P53" s="20" t="n">
        <v>0</v>
      </c>
      <c r="Q53" s="18" t="n">
        <v>3.41109631</v>
      </c>
      <c r="R53" s="20" t="n">
        <v>0.79382557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(2079.0/B55*100)</f>
        <v/>
      </c>
      <c r="D55" s="19" t="n">
        <v>596</v>
      </c>
      <c r="E55" s="18" t="n">
        <v>19.57072958</v>
      </c>
      <c r="F55" s="20" t="n">
        <v>1.78265031</v>
      </c>
      <c r="G55" s="18" t="n">
        <v>79.54126591000001</v>
      </c>
      <c r="H55" s="20" t="n">
        <v>1.880342</v>
      </c>
      <c r="I55" s="18" t="n">
        <v>0</v>
      </c>
      <c r="J55" s="20" t="n">
        <v>0</v>
      </c>
      <c r="K55" s="18" t="n">
        <v>0.51635464</v>
      </c>
      <c r="L55" s="20" t="n">
        <v>0.35986725</v>
      </c>
      <c r="M55" s="18" t="n">
        <v>0</v>
      </c>
      <c r="N55" s="20" t="n">
        <v>0</v>
      </c>
      <c r="O55" s="18" t="n">
        <v>0</v>
      </c>
      <c r="P55" s="20" t="n">
        <v>0</v>
      </c>
      <c r="Q55" s="18" t="n">
        <v>0.37164987</v>
      </c>
      <c r="R55" s="20" t="n">
        <v>0.25556048</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(2489.0/B61*100)</f>
        <v/>
      </c>
      <c r="D61" s="19" t="n">
        <v>712</v>
      </c>
      <c r="E61" s="18" t="n">
        <v>19.93601538</v>
      </c>
      <c r="F61" s="20" t="n">
        <v>1.95050757</v>
      </c>
      <c r="G61" s="18" t="n">
        <v>79.6188215</v>
      </c>
      <c r="H61" s="20" t="n">
        <v>1.91255751</v>
      </c>
      <c r="I61" s="18" t="n">
        <v>0</v>
      </c>
      <c r="J61" s="20" t="n">
        <v>0</v>
      </c>
      <c r="K61" s="18" t="n">
        <v>0.21546731</v>
      </c>
      <c r="L61" s="20" t="n">
        <v>0.18963161</v>
      </c>
      <c r="M61" s="18" t="n">
        <v>0</v>
      </c>
      <c r="N61" s="20" t="n">
        <v>0</v>
      </c>
      <c r="O61" s="18" t="n">
        <v>0</v>
      </c>
      <c r="P61" s="20" t="n">
        <v>0</v>
      </c>
      <c r="Q61" s="18" t="n">
        <v>0.22969582</v>
      </c>
      <c r="R61" s="20" t="n">
        <v>0.16382172</v>
      </c>
    </row>
    <row r="62" spans="1:18">
      <c r="A62" s="15" t="s">
        <v>622</v>
      </c>
      <c r="B62" s="17" t="n">
        <v>2230</v>
      </c>
      <c r="C62" s="18">
        <f>(1733.0/B62*100)</f>
        <v/>
      </c>
      <c r="D62" s="19" t="n">
        <v>497</v>
      </c>
      <c r="E62" s="18" t="n">
        <v>17.90713136</v>
      </c>
      <c r="F62" s="20" t="n">
        <v>1.65793322</v>
      </c>
      <c r="G62" s="18" t="n">
        <v>82.09286864000001</v>
      </c>
      <c r="H62" s="20" t="n">
        <v>1.65793322</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(2207.0/B67*100)</f>
        <v/>
      </c>
      <c r="D67" s="19" t="n">
        <v>564</v>
      </c>
      <c r="E67" s="18" t="n">
        <v>39.67719266</v>
      </c>
      <c r="F67" s="20" t="n">
        <v>2.35887352</v>
      </c>
      <c r="G67" s="18" t="n">
        <v>56.57517354</v>
      </c>
      <c r="H67" s="20" t="n">
        <v>2.3060703</v>
      </c>
      <c r="I67" s="18" t="n">
        <v>0</v>
      </c>
      <c r="J67" s="20" t="n">
        <v>0</v>
      </c>
      <c r="K67" s="18" t="n">
        <v>0.73723486</v>
      </c>
      <c r="L67" s="20" t="n">
        <v>0.38186011</v>
      </c>
      <c r="M67" s="18" t="n">
        <v>0</v>
      </c>
      <c r="N67" s="20" t="n">
        <v>0</v>
      </c>
      <c r="O67" s="18" t="n">
        <v>0</v>
      </c>
      <c r="P67" s="20" t="n">
        <v>0</v>
      </c>
      <c r="Q67" s="18" t="n">
        <v>3.01039894</v>
      </c>
      <c r="R67" s="20" t="n">
        <v>0.66962648</v>
      </c>
    </row>
    <row r="68" spans="1:18">
      <c r="A68" s="15" t="s">
        <v>628</v>
      </c>
      <c r="B68" s="17" t="n">
        <v>3460</v>
      </c>
      <c r="C68" s="18">
        <f>(2807.0/B68*100)</f>
        <v/>
      </c>
      <c r="D68" s="19" t="n">
        <v>653</v>
      </c>
      <c r="E68" s="18" t="n">
        <v>39.66609522</v>
      </c>
      <c r="F68" s="20" t="n">
        <v>2.07752095</v>
      </c>
      <c r="G68" s="18" t="n">
        <v>59.30605439</v>
      </c>
      <c r="H68" s="20" t="n">
        <v>2.11753804</v>
      </c>
      <c r="I68" s="18" t="n">
        <v>0</v>
      </c>
      <c r="J68" s="20" t="n">
        <v>0</v>
      </c>
      <c r="K68" s="18" t="n">
        <v>0.14023919</v>
      </c>
      <c r="L68" s="20" t="n">
        <v>0.14036855</v>
      </c>
      <c r="M68" s="18" t="n">
        <v>0</v>
      </c>
      <c r="N68" s="20" t="n">
        <v>0</v>
      </c>
      <c r="O68" s="18" t="n">
        <v>0</v>
      </c>
      <c r="P68" s="20" t="n">
        <v>0</v>
      </c>
      <c r="Q68" s="18" t="n">
        <v>0.8876112</v>
      </c>
      <c r="R68" s="20" t="n">
        <v>0.41113439</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39.26295227</v>
      </c>
      <c r="F70" s="20" t="n">
        <v>1.37962042</v>
      </c>
      <c r="G70" s="18" t="n">
        <v>57.47989986</v>
      </c>
      <c r="H70" s="20" t="n">
        <v>1.35940806</v>
      </c>
      <c r="I70" s="18" t="n">
        <v>0</v>
      </c>
      <c r="J70" s="20" t="n">
        <v>0</v>
      </c>
      <c r="K70" s="18" t="n">
        <v>2.06035154</v>
      </c>
      <c r="L70" s="20" t="n">
        <v>0.3716628</v>
      </c>
      <c r="M70" s="18" t="n">
        <v>0</v>
      </c>
      <c r="N70" s="20" t="n">
        <v>0</v>
      </c>
      <c r="O70" s="18" t="n">
        <v>0</v>
      </c>
      <c r="P70" s="20" t="n">
        <v>0</v>
      </c>
      <c r="Q70" s="18" t="n">
        <v>1.19679633</v>
      </c>
      <c r="R70" s="20" t="n">
        <v>0.27636225</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(2458.0/B72*100)</f>
        <v/>
      </c>
      <c r="D72" s="19" t="n">
        <v>649</v>
      </c>
      <c r="E72" s="18" t="n">
        <v>27.13582623</v>
      </c>
      <c r="F72" s="20" t="n">
        <v>1.89418425</v>
      </c>
      <c r="G72" s="18" t="n">
        <v>72.26455752</v>
      </c>
      <c r="H72" s="20" t="n">
        <v>1.92428879</v>
      </c>
      <c r="I72" s="18" t="n">
        <v>0</v>
      </c>
      <c r="J72" s="20" t="n">
        <v>0</v>
      </c>
      <c r="K72" s="18" t="n">
        <v>0</v>
      </c>
      <c r="L72" s="20" t="n">
        <v>0</v>
      </c>
      <c r="M72" s="18" t="n">
        <v>0</v>
      </c>
      <c r="N72" s="20" t="n">
        <v>0</v>
      </c>
      <c r="O72" s="18" t="n">
        <v>0</v>
      </c>
      <c r="P72" s="20" t="n">
        <v>0</v>
      </c>
      <c r="Q72" s="18" t="n">
        <v>0.59961625</v>
      </c>
      <c r="R72" s="20" t="n">
        <v>0.35065075</v>
      </c>
    </row>
    <row r="73" spans="1:18">
      <c r="A73" s="15" t="s">
        <v>633</v>
      </c>
      <c r="B73" s="17" t="n">
        <v>2973</v>
      </c>
      <c r="C73" s="18">
        <f>(2308.0/B73*100)</f>
        <v/>
      </c>
      <c r="D73" s="19" t="n">
        <v>665</v>
      </c>
      <c r="E73" s="18" t="n">
        <v>15.57594384</v>
      </c>
      <c r="F73" s="20" t="n">
        <v>1.56405743</v>
      </c>
      <c r="G73" s="18" t="n">
        <v>83.82786805000001</v>
      </c>
      <c r="H73" s="20" t="n">
        <v>1.56696746</v>
      </c>
      <c r="I73" s="18" t="n">
        <v>0</v>
      </c>
      <c r="J73" s="20" t="n">
        <v>0</v>
      </c>
      <c r="K73" s="18" t="n">
        <v>0.34328854</v>
      </c>
      <c r="L73" s="20" t="n">
        <v>0.24217196</v>
      </c>
      <c r="M73" s="18" t="n">
        <v>0</v>
      </c>
      <c r="N73" s="20" t="n">
        <v>0</v>
      </c>
      <c r="O73" s="18" t="n">
        <v>0</v>
      </c>
      <c r="P73" s="20" t="n">
        <v>0</v>
      </c>
      <c r="Q73" s="18" t="n">
        <v>0.25289957</v>
      </c>
      <c r="R73" s="20" t="n">
        <v>0.17976362</v>
      </c>
    </row>
    <row r="74" spans="1:18">
      <c r="A74" s="15" t="s">
        <v>634</v>
      </c>
      <c r="B74" s="17" t="n">
        <v>3819</v>
      </c>
      <c r="C74" s="18">
        <f>(2928.0/B74*100)</f>
        <v/>
      </c>
      <c r="D74" s="19" t="n">
        <v>891</v>
      </c>
      <c r="E74" s="18" t="n">
        <v>17.25801309</v>
      </c>
      <c r="F74" s="20" t="n">
        <v>1.44339596</v>
      </c>
      <c r="G74" s="18" t="n">
        <v>82.34391616000001</v>
      </c>
      <c r="H74" s="20" t="n">
        <v>1.44731891</v>
      </c>
      <c r="I74" s="18" t="n">
        <v>0</v>
      </c>
      <c r="J74" s="20" t="n">
        <v>0</v>
      </c>
      <c r="K74" s="18" t="n">
        <v>0.17350412</v>
      </c>
      <c r="L74" s="20" t="n">
        <v>0.24741452</v>
      </c>
      <c r="M74" s="18" t="n">
        <v>0</v>
      </c>
      <c r="N74" s="20" t="n">
        <v>0</v>
      </c>
      <c r="O74" s="18" t="n">
        <v>0</v>
      </c>
      <c r="P74" s="20" t="n">
        <v>0</v>
      </c>
      <c r="Q74" s="18" t="n">
        <v>0.22456662</v>
      </c>
      <c r="R74" s="20" t="n">
        <v>0.16433779</v>
      </c>
    </row>
    <row r="75" spans="1:18">
      <c r="A75" s="15" t="s">
        <v>635</v>
      </c>
      <c r="B75" s="17" t="n">
        <v>4652</v>
      </c>
      <c r="C75" s="18">
        <f>(3624.0/B75*100)</f>
        <v/>
      </c>
      <c r="D75" s="19" t="n">
        <v>1028</v>
      </c>
      <c r="E75" s="18" t="n">
        <v>39.62418703</v>
      </c>
      <c r="F75" s="20" t="n">
        <v>1.62870115</v>
      </c>
      <c r="G75" s="18" t="n">
        <v>59.73194192</v>
      </c>
      <c r="H75" s="20" t="n">
        <v>1.68472688</v>
      </c>
      <c r="I75" s="18" t="n">
        <v>0</v>
      </c>
      <c r="J75" s="20" t="n">
        <v>0</v>
      </c>
      <c r="K75" s="18" t="n">
        <v>0.13823334</v>
      </c>
      <c r="L75" s="20" t="n">
        <v>0.13570898</v>
      </c>
      <c r="M75" s="18" t="n">
        <v>0</v>
      </c>
      <c r="N75" s="20" t="n">
        <v>0</v>
      </c>
      <c r="O75" s="18" t="n">
        <v>0</v>
      </c>
      <c r="P75" s="20" t="n">
        <v>0</v>
      </c>
      <c r="Q75" s="18" t="n">
        <v>0.50563771</v>
      </c>
      <c r="R75" s="20" t="n">
        <v>0.24164894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(2358.0/B77*100)</f>
        <v/>
      </c>
      <c r="D77" s="19" t="n">
        <v>611</v>
      </c>
      <c r="E77" s="18" t="n">
        <v>40.45429779</v>
      </c>
      <c r="F77" s="20" t="n">
        <v>2.43708977</v>
      </c>
      <c r="G77" s="18" t="n">
        <v>52.12437539</v>
      </c>
      <c r="H77" s="20" t="n">
        <v>2.37624844</v>
      </c>
      <c r="I77" s="18" t="n">
        <v>0</v>
      </c>
      <c r="J77" s="20" t="n">
        <v>0</v>
      </c>
      <c r="K77" s="18" t="n">
        <v>4.77974455</v>
      </c>
      <c r="L77" s="20" t="n">
        <v>1.07467266</v>
      </c>
      <c r="M77" s="18" t="n">
        <v>0</v>
      </c>
      <c r="N77" s="20" t="n">
        <v>0</v>
      </c>
      <c r="O77" s="18" t="n">
        <v>0</v>
      </c>
      <c r="P77" s="20" t="n">
        <v>0</v>
      </c>
      <c r="Q77" s="18" t="n">
        <v>2.64158226</v>
      </c>
      <c r="R77" s="20" t="n">
        <v>0.72768733</v>
      </c>
    </row>
    <row r="78" spans="1:18">
      <c r="A78" s="15" t="s">
        <v>638</v>
      </c>
      <c r="B78" s="17" t="n">
        <v>7115</v>
      </c>
      <c r="C78" s="18">
        <f>(5539.0/B78*100)</f>
        <v/>
      </c>
      <c r="D78" s="19" t="n">
        <v>1576</v>
      </c>
      <c r="E78" s="18" t="n">
        <v>31.65048008</v>
      </c>
      <c r="F78" s="20" t="n">
        <v>1.58032277</v>
      </c>
      <c r="G78" s="18" t="n">
        <v>67.02949142</v>
      </c>
      <c r="H78" s="20" t="n">
        <v>1.60131688</v>
      </c>
      <c r="I78" s="18" t="n">
        <v>0</v>
      </c>
      <c r="J78" s="20" t="n">
        <v>0</v>
      </c>
      <c r="K78" s="18" t="n">
        <v>0.87716887</v>
      </c>
      <c r="L78" s="20" t="n">
        <v>0.29825456</v>
      </c>
      <c r="M78" s="18" t="n">
        <v>0</v>
      </c>
      <c r="N78" s="20" t="n">
        <v>0</v>
      </c>
      <c r="O78" s="18" t="n">
        <v>0</v>
      </c>
      <c r="P78" s="20" t="n">
        <v>0</v>
      </c>
      <c r="Q78" s="18" t="n">
        <v>0.44285964</v>
      </c>
      <c r="R78" s="20" t="n">
        <v>0.17985748</v>
      </c>
    </row>
    <row r="79" spans="1:18">
      <c r="A79" s="15" t="s">
        <v>639</v>
      </c>
      <c r="B79" s="17" t="n">
        <v>3154</v>
      </c>
      <c r="C79" s="18">
        <f>(2505.0/B79*100)</f>
        <v/>
      </c>
      <c r="D79" s="19" t="n">
        <v>649</v>
      </c>
      <c r="E79" s="18" t="n">
        <v>34.31097967</v>
      </c>
      <c r="F79" s="20" t="n">
        <v>2.12330891</v>
      </c>
      <c r="G79" s="18" t="n">
        <v>62.32417685</v>
      </c>
      <c r="H79" s="20" t="n">
        <v>2.07870566</v>
      </c>
      <c r="I79" s="18" t="n">
        <v>0</v>
      </c>
      <c r="J79" s="20" t="n">
        <v>0</v>
      </c>
      <c r="K79" s="18" t="n">
        <v>1.47352866</v>
      </c>
      <c r="L79" s="20" t="n">
        <v>0.34736337</v>
      </c>
      <c r="M79" s="18" t="n">
        <v>0</v>
      </c>
      <c r="N79" s="20" t="n">
        <v>0</v>
      </c>
      <c r="O79" s="18" t="n">
        <v>0</v>
      </c>
      <c r="P79" s="20" t="n">
        <v>0</v>
      </c>
      <c r="Q79" s="18" t="n">
        <v>1.89131481</v>
      </c>
      <c r="R79" s="20" t="n">
        <v>0.58116916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(12449.0/B82*100)</f>
        <v/>
      </c>
      <c r="D82" s="19" t="n">
        <v>3512</v>
      </c>
      <c r="E82" s="18" t="n">
        <v>20.91640216</v>
      </c>
      <c r="F82" s="20" t="n">
        <v>1.0431686</v>
      </c>
      <c r="G82" s="18" t="n">
        <v>78.04052815999999</v>
      </c>
      <c r="H82" s="20" t="n">
        <v>1.02781784</v>
      </c>
      <c r="I82" s="18" t="n">
        <v>0</v>
      </c>
      <c r="J82" s="20" t="n">
        <v>0</v>
      </c>
      <c r="K82" s="18" t="n">
        <v>0.38424345</v>
      </c>
      <c r="L82" s="20" t="n">
        <v>0.15729476</v>
      </c>
      <c r="M82" s="18" t="n">
        <v>0</v>
      </c>
      <c r="N82" s="20" t="n">
        <v>0</v>
      </c>
      <c r="O82" s="18" t="n">
        <v>0</v>
      </c>
      <c r="P82" s="20" t="n">
        <v>0</v>
      </c>
      <c r="Q82" s="18" t="n">
        <v>0.65882623</v>
      </c>
      <c r="R82" s="20" t="n">
        <v>0.19956281</v>
      </c>
    </row>
    <row r="83" spans="1:18">
      <c r="A83" s="15" t="s">
        <v>643</v>
      </c>
      <c r="B83" s="17" t="n">
        <v>808</v>
      </c>
      <c r="C83" s="18">
        <f>(649.0/B83*100)</f>
        <v/>
      </c>
      <c r="D83" s="19" t="n">
        <v>159</v>
      </c>
      <c r="E83" s="18" t="n">
        <v>16.40804569</v>
      </c>
      <c r="F83" s="20" t="n">
        <v>3.62291422</v>
      </c>
      <c r="G83" s="18" t="n">
        <v>82.88711105</v>
      </c>
      <c r="H83" s="20" t="n">
        <v>3.68789089</v>
      </c>
      <c r="I83" s="18" t="n">
        <v>0</v>
      </c>
      <c r="J83" s="20" t="n">
        <v>0</v>
      </c>
      <c r="K83" s="18" t="n">
        <v>0</v>
      </c>
      <c r="L83" s="20" t="n">
        <v>0</v>
      </c>
      <c r="M83" s="18" t="n">
        <v>0</v>
      </c>
      <c r="N83" s="20" t="n">
        <v>0</v>
      </c>
      <c r="O83" s="18" t="n">
        <v>0</v>
      </c>
      <c r="P83" s="20" t="n">
        <v>0</v>
      </c>
      <c r="Q83" s="18" t="n">
        <v>0.70484326</v>
      </c>
      <c r="R83" s="20" t="n">
        <v>0.6352246499999999</v>
      </c>
    </row>
    <row r="84" spans="1:18">
      <c r="A84" s="23" t="s">
        <v>644</v>
      </c>
      <c r="B84" s="24" t="n">
        <v>938</v>
      </c>
      <c r="C84" s="25">
        <f>(742.0/B84*100)</f>
        <v/>
      </c>
      <c r="D84" s="19" t="n">
        <v>196</v>
      </c>
      <c r="E84" s="18" t="n">
        <v>29.36842388</v>
      </c>
      <c r="F84" s="20" t="n">
        <v>3.0531006</v>
      </c>
      <c r="G84" s="18" t="n">
        <v>70.10831184</v>
      </c>
      <c r="H84" s="20" t="n">
        <v>2.97887863</v>
      </c>
      <c r="I84" s="18" t="n">
        <v>0</v>
      </c>
      <c r="J84" s="20" t="n">
        <v>0</v>
      </c>
      <c r="K84" s="18" t="n">
        <v>0</v>
      </c>
      <c r="L84" s="20" t="n">
        <v>0</v>
      </c>
      <c r="M84" s="18" t="n">
        <v>0</v>
      </c>
      <c r="N84" s="20" t="n">
        <v>0</v>
      </c>
      <c r="O84" s="18" t="n">
        <v>0</v>
      </c>
      <c r="P84" s="20" t="n">
        <v>0</v>
      </c>
      <c r="Q84" s="18" t="n">
        <v>0.52326429</v>
      </c>
      <c r="R84" s="20" t="n">
        <v>0.52190411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(5646.0/B7*100)</f>
        <v/>
      </c>
      <c r="D7" s="19" t="n">
        <v>1517</v>
      </c>
      <c r="E7" s="18" t="n">
        <v>57.26976799</v>
      </c>
      <c r="F7" s="20" t="n">
        <v>1.71257074</v>
      </c>
      <c r="G7" s="18" t="n">
        <v>40.20216833</v>
      </c>
      <c r="H7" s="20" t="n">
        <v>1.66451497</v>
      </c>
      <c r="I7" s="18" t="n">
        <v>0</v>
      </c>
      <c r="J7" s="20" t="n">
        <v>0</v>
      </c>
      <c r="K7" s="18" t="n">
        <v>0.27156679</v>
      </c>
      <c r="L7" s="20" t="n">
        <v>0.12970553</v>
      </c>
      <c r="M7" s="18" t="n">
        <v>0.00662563</v>
      </c>
      <c r="N7" s="20" t="n">
        <v>0.00662639</v>
      </c>
      <c r="O7" s="18" t="n">
        <v>0</v>
      </c>
      <c r="P7" s="20" t="n">
        <v>0</v>
      </c>
      <c r="Q7" s="18" t="n">
        <v>2.24987126</v>
      </c>
      <c r="R7" s="20" t="n">
        <v>0.42981067</v>
      </c>
    </row>
    <row r="8" spans="1:18">
      <c r="A8" s="15" t="s">
        <v>566</v>
      </c>
      <c r="B8" s="17" t="n">
        <v>3443</v>
      </c>
      <c r="C8" s="18">
        <f>(2682.0/B8*100)</f>
        <v/>
      </c>
      <c r="D8" s="19" t="n">
        <v>761</v>
      </c>
      <c r="E8" s="18" t="n">
        <v>63.2023367</v>
      </c>
      <c r="F8" s="20" t="n">
        <v>2.41906074</v>
      </c>
      <c r="G8" s="18" t="n">
        <v>32.12417206</v>
      </c>
      <c r="H8" s="20" t="n">
        <v>2.22611248</v>
      </c>
      <c r="I8" s="18" t="n">
        <v>0</v>
      </c>
      <c r="J8" s="20" t="n">
        <v>0</v>
      </c>
      <c r="K8" s="18" t="n">
        <v>0.41016066</v>
      </c>
      <c r="L8" s="20" t="n">
        <v>0.25816899</v>
      </c>
      <c r="M8" s="18" t="n">
        <v>0</v>
      </c>
      <c r="N8" s="20" t="n">
        <v>0</v>
      </c>
      <c r="O8" s="18" t="n">
        <v>0</v>
      </c>
      <c r="P8" s="20" t="n">
        <v>0</v>
      </c>
      <c r="Q8" s="18" t="n">
        <v>4.26333058</v>
      </c>
      <c r="R8" s="20" t="n">
        <v>1.01374674</v>
      </c>
    </row>
    <row r="9" spans="1:18">
      <c r="A9" s="15" t="s">
        <v>567</v>
      </c>
      <c r="B9" s="17" t="n">
        <v>4752</v>
      </c>
      <c r="C9" s="18">
        <f>(3785.0/B9*100)</f>
        <v/>
      </c>
      <c r="D9" s="19" t="n">
        <v>967</v>
      </c>
      <c r="E9" s="18" t="n">
        <v>53.19256192</v>
      </c>
      <c r="F9" s="20" t="n">
        <v>1.58342422</v>
      </c>
      <c r="G9" s="18" t="n">
        <v>42.4174155</v>
      </c>
      <c r="H9" s="20" t="n">
        <v>1.56599441</v>
      </c>
      <c r="I9" s="18" t="n">
        <v>0</v>
      </c>
      <c r="J9" s="20" t="n">
        <v>0</v>
      </c>
      <c r="K9" s="18" t="n">
        <v>0.89688928</v>
      </c>
      <c r="L9" s="20" t="n">
        <v>0.34019921</v>
      </c>
      <c r="M9" s="18" t="n">
        <v>0.46630157</v>
      </c>
      <c r="N9" s="20" t="n">
        <v>0.28210821</v>
      </c>
      <c r="O9" s="18" t="n">
        <v>0</v>
      </c>
      <c r="P9" s="20" t="n">
        <v>0</v>
      </c>
      <c r="Q9" s="18" t="n">
        <v>3.02683172</v>
      </c>
      <c r="R9" s="20" t="n">
        <v>0.6543516</v>
      </c>
    </row>
    <row r="10" spans="1:18">
      <c r="A10" s="15" t="s">
        <v>568</v>
      </c>
      <c r="B10" s="17" t="n">
        <v>10022</v>
      </c>
      <c r="C10" s="18">
        <f>(7846.0/B10*100)</f>
        <v/>
      </c>
      <c r="D10" s="19" t="n">
        <v>2176</v>
      </c>
      <c r="E10" s="18" t="n">
        <v>51.18928179</v>
      </c>
      <c r="F10" s="20" t="n">
        <v>1.80191238</v>
      </c>
      <c r="G10" s="18" t="n">
        <v>46.54972313</v>
      </c>
      <c r="H10" s="20" t="n">
        <v>1.79177168</v>
      </c>
      <c r="I10" s="18" t="n">
        <v>0</v>
      </c>
      <c r="J10" s="20" t="n">
        <v>0</v>
      </c>
      <c r="K10" s="18" t="n">
        <v>0.5649114200000001</v>
      </c>
      <c r="L10" s="20" t="n">
        <v>0.22532208</v>
      </c>
      <c r="M10" s="18" t="n">
        <v>0</v>
      </c>
      <c r="N10" s="20" t="n">
        <v>0</v>
      </c>
      <c r="O10" s="18" t="n">
        <v>0</v>
      </c>
      <c r="P10" s="20" t="n">
        <v>0</v>
      </c>
      <c r="Q10" s="18" t="n">
        <v>1.69608366</v>
      </c>
      <c r="R10" s="20" t="n">
        <v>0.3581179</v>
      </c>
    </row>
    <row r="11" spans="1:18">
      <c r="A11" s="15" t="s">
        <v>569</v>
      </c>
      <c r="B11" s="17" t="n">
        <v>3500</v>
      </c>
      <c r="C11" s="18">
        <f>(2745.0/B11*100)</f>
        <v/>
      </c>
      <c r="D11" s="19" t="n">
        <v>755</v>
      </c>
      <c r="E11" s="18" t="n">
        <v>78.03697783</v>
      </c>
      <c r="F11" s="20" t="n">
        <v>1.80109857</v>
      </c>
      <c r="G11" s="18" t="n">
        <v>15.54012273</v>
      </c>
      <c r="H11" s="20" t="n">
        <v>1.59133872</v>
      </c>
      <c r="I11" s="18" t="n">
        <v>0</v>
      </c>
      <c r="J11" s="20" t="n">
        <v>0</v>
      </c>
      <c r="K11" s="18" t="n">
        <v>1.93881235</v>
      </c>
      <c r="L11" s="20" t="n">
        <v>0.63762306</v>
      </c>
      <c r="M11" s="18" t="n">
        <v>0.18405648</v>
      </c>
      <c r="N11" s="20" t="n">
        <v>0.19259805</v>
      </c>
      <c r="O11" s="18" t="n">
        <v>0</v>
      </c>
      <c r="P11" s="20" t="n">
        <v>0</v>
      </c>
      <c r="Q11" s="18" t="n">
        <v>4.30003061</v>
      </c>
      <c r="R11" s="20" t="n">
        <v>0.78553857</v>
      </c>
    </row>
    <row r="12" spans="1:18">
      <c r="A12" s="15" t="s">
        <v>570</v>
      </c>
      <c r="B12" s="17" t="n">
        <v>3422</v>
      </c>
      <c r="C12" s="18">
        <f>(2702.0/B12*100)</f>
        <v/>
      </c>
      <c r="D12" s="19" t="n">
        <v>720</v>
      </c>
      <c r="E12" s="18" t="n">
        <v>61.61359672</v>
      </c>
      <c r="F12" s="20" t="n">
        <v>2.47395195</v>
      </c>
      <c r="G12" s="18" t="n">
        <v>36.59367735</v>
      </c>
      <c r="H12" s="20" t="n">
        <v>2.38952043</v>
      </c>
      <c r="I12" s="18" t="n">
        <v>0</v>
      </c>
      <c r="J12" s="20" t="n">
        <v>0</v>
      </c>
      <c r="K12" s="18" t="n">
        <v>0.3814251</v>
      </c>
      <c r="L12" s="20" t="n">
        <v>0.22175024</v>
      </c>
      <c r="M12" s="18" t="n">
        <v>0</v>
      </c>
      <c r="N12" s="20" t="n">
        <v>0</v>
      </c>
      <c r="O12" s="18" t="n">
        <v>0</v>
      </c>
      <c r="P12" s="20" t="n">
        <v>0</v>
      </c>
      <c r="Q12" s="18" t="n">
        <v>1.41130083</v>
      </c>
      <c r="R12" s="20" t="n">
        <v>0.50633488</v>
      </c>
    </row>
    <row r="13" spans="1:18">
      <c r="A13" s="15" t="s">
        <v>571</v>
      </c>
      <c r="B13" s="17" t="n">
        <v>3602</v>
      </c>
      <c r="C13" s="18">
        <f>(2863.0/B13*100)</f>
        <v/>
      </c>
      <c r="D13" s="19" t="n">
        <v>739</v>
      </c>
      <c r="E13" s="18" t="n">
        <v>63.00484931</v>
      </c>
      <c r="F13" s="20" t="n">
        <v>2.31636481</v>
      </c>
      <c r="G13" s="18" t="n">
        <v>34.95208255</v>
      </c>
      <c r="H13" s="20" t="n">
        <v>2.19446714</v>
      </c>
      <c r="I13" s="18" t="n">
        <v>0</v>
      </c>
      <c r="J13" s="20" t="n">
        <v>0</v>
      </c>
      <c r="K13" s="18" t="n">
        <v>1.01606844</v>
      </c>
      <c r="L13" s="20" t="n">
        <v>0.49760773</v>
      </c>
      <c r="M13" s="18" t="n">
        <v>0</v>
      </c>
      <c r="N13" s="20" t="n">
        <v>0</v>
      </c>
      <c r="O13" s="18" t="n">
        <v>0</v>
      </c>
      <c r="P13" s="20" t="n">
        <v>0</v>
      </c>
      <c r="Q13" s="18" t="n">
        <v>1.0269997</v>
      </c>
      <c r="R13" s="20" t="n">
        <v>0.42118288</v>
      </c>
    </row>
    <row r="14" spans="1:18">
      <c r="A14" s="15" t="s">
        <v>572</v>
      </c>
      <c r="B14" s="17" t="n">
        <v>2788</v>
      </c>
      <c r="C14" s="18">
        <f>(2190.0/B14*100)</f>
        <v/>
      </c>
      <c r="D14" s="19" t="n">
        <v>598</v>
      </c>
      <c r="E14" s="18" t="n">
        <v>52.05825315</v>
      </c>
      <c r="F14" s="20" t="n">
        <v>2.37886991</v>
      </c>
      <c r="G14" s="18" t="n">
        <v>47.10600435</v>
      </c>
      <c r="H14" s="20" t="n">
        <v>2.3988014</v>
      </c>
      <c r="I14" s="18" t="n">
        <v>0</v>
      </c>
      <c r="J14" s="20" t="n">
        <v>0</v>
      </c>
      <c r="K14" s="18" t="n">
        <v>0.13158742</v>
      </c>
      <c r="L14" s="20" t="n">
        <v>0.12356882</v>
      </c>
      <c r="M14" s="18" t="n">
        <v>0</v>
      </c>
      <c r="N14" s="20" t="n">
        <v>0</v>
      </c>
      <c r="O14" s="18" t="n">
        <v>0</v>
      </c>
      <c r="P14" s="20" t="n">
        <v>0</v>
      </c>
      <c r="Q14" s="18" t="n">
        <v>0.70415508</v>
      </c>
      <c r="R14" s="20" t="n">
        <v>0.43984565</v>
      </c>
    </row>
    <row r="15" spans="1:18">
      <c r="A15" s="15" t="s">
        <v>573</v>
      </c>
      <c r="B15" s="17" t="n">
        <v>2863</v>
      </c>
      <c r="C15" s="18">
        <f>(2225.0/B15*100)</f>
        <v/>
      </c>
      <c r="D15" s="19" t="n">
        <v>638</v>
      </c>
      <c r="E15" s="18" t="n">
        <v>52.24033919</v>
      </c>
      <c r="F15" s="20" t="n">
        <v>2.19944594</v>
      </c>
      <c r="G15" s="18" t="n">
        <v>45.40165948</v>
      </c>
      <c r="H15" s="20" t="n">
        <v>2.21271547</v>
      </c>
      <c r="I15" s="18" t="n">
        <v>0</v>
      </c>
      <c r="J15" s="20" t="n">
        <v>0</v>
      </c>
      <c r="K15" s="18" t="n">
        <v>0.32142663</v>
      </c>
      <c r="L15" s="20" t="n">
        <v>0.25381935</v>
      </c>
      <c r="M15" s="18" t="n">
        <v>0</v>
      </c>
      <c r="N15" s="20" t="n">
        <v>0</v>
      </c>
      <c r="O15" s="18" t="n">
        <v>0</v>
      </c>
      <c r="P15" s="20" t="n">
        <v>0</v>
      </c>
      <c r="Q15" s="18" t="n">
        <v>2.0365747</v>
      </c>
      <c r="R15" s="20" t="n">
        <v>0.54234074</v>
      </c>
    </row>
    <row r="16" spans="1:18">
      <c r="A16" s="15" t="s">
        <v>574</v>
      </c>
      <c r="B16" s="17" t="n">
        <v>3111</v>
      </c>
      <c r="C16" s="18">
        <f>(2433.0/B16*100)</f>
        <v/>
      </c>
      <c r="D16" s="19" t="n">
        <v>678</v>
      </c>
      <c r="E16" s="18" t="n">
        <v>53.9369168</v>
      </c>
      <c r="F16" s="20" t="n">
        <v>1.77617502</v>
      </c>
      <c r="G16" s="18" t="n">
        <v>42.56093487</v>
      </c>
      <c r="H16" s="20" t="n">
        <v>1.76034497</v>
      </c>
      <c r="I16" s="18" t="n">
        <v>0</v>
      </c>
      <c r="J16" s="20" t="n">
        <v>0</v>
      </c>
      <c r="K16" s="18" t="n">
        <v>0.37470345</v>
      </c>
      <c r="L16" s="20" t="n">
        <v>0.21656079</v>
      </c>
      <c r="M16" s="18" t="n">
        <v>0</v>
      </c>
      <c r="N16" s="20" t="n">
        <v>0</v>
      </c>
      <c r="O16" s="18" t="n">
        <v>0</v>
      </c>
      <c r="P16" s="20" t="n">
        <v>0</v>
      </c>
      <c r="Q16" s="18" t="n">
        <v>3.12744488</v>
      </c>
      <c r="R16" s="20" t="n">
        <v>0.6705289</v>
      </c>
    </row>
    <row r="17" spans="1:18">
      <c r="A17" s="15" t="s">
        <v>575</v>
      </c>
      <c r="B17" s="17" t="n">
        <v>3197</v>
      </c>
      <c r="C17" s="18">
        <f>(2563.0/B17*100)</f>
        <v/>
      </c>
      <c r="D17" s="19" t="n">
        <v>634</v>
      </c>
      <c r="E17" s="18" t="n">
        <v>58.96396954</v>
      </c>
      <c r="F17" s="20" t="n">
        <v>1.99588162</v>
      </c>
      <c r="G17" s="18" t="n">
        <v>37.26100669</v>
      </c>
      <c r="H17" s="20" t="n">
        <v>1.90480747</v>
      </c>
      <c r="I17" s="18" t="n">
        <v>0</v>
      </c>
      <c r="J17" s="20" t="n">
        <v>0</v>
      </c>
      <c r="K17" s="18" t="n">
        <v>0.17283934</v>
      </c>
      <c r="L17" s="20" t="n">
        <v>0.17229098</v>
      </c>
      <c r="M17" s="18" t="n">
        <v>0</v>
      </c>
      <c r="N17" s="20" t="n">
        <v>0</v>
      </c>
      <c r="O17" s="18" t="n">
        <v>0</v>
      </c>
      <c r="P17" s="20" t="n">
        <v>0</v>
      </c>
      <c r="Q17" s="18" t="n">
        <v>3.60218443</v>
      </c>
      <c r="R17" s="20" t="n">
        <v>0.8391041299999999</v>
      </c>
    </row>
    <row r="18" spans="1:18">
      <c r="A18" s="15" t="s">
        <v>576</v>
      </c>
      <c r="B18" s="17" t="n">
        <v>2706</v>
      </c>
      <c r="C18" s="18">
        <f>(2115.0/B18*100)</f>
        <v/>
      </c>
      <c r="D18" s="19" t="n">
        <v>591</v>
      </c>
      <c r="E18" s="18" t="n">
        <v>70.692375</v>
      </c>
      <c r="F18" s="20" t="n">
        <v>2.28429139</v>
      </c>
      <c r="G18" s="18" t="n">
        <v>25.55855983</v>
      </c>
      <c r="H18" s="20" t="n">
        <v>2.12637566</v>
      </c>
      <c r="I18" s="18" t="n">
        <v>0</v>
      </c>
      <c r="J18" s="20" t="n">
        <v>0</v>
      </c>
      <c r="K18" s="18" t="n">
        <v>1.34230155</v>
      </c>
      <c r="L18" s="20" t="n">
        <v>0.59959199</v>
      </c>
      <c r="M18" s="18" t="n">
        <v>0</v>
      </c>
      <c r="N18" s="20" t="n">
        <v>0</v>
      </c>
      <c r="O18" s="18" t="n">
        <v>0</v>
      </c>
      <c r="P18" s="20" t="n">
        <v>0</v>
      </c>
      <c r="Q18" s="18" t="n">
        <v>2.40676361</v>
      </c>
      <c r="R18" s="20" t="n">
        <v>0.67611553</v>
      </c>
    </row>
    <row r="19" spans="1:18">
      <c r="A19" s="15" t="s">
        <v>577</v>
      </c>
      <c r="B19" s="17" t="n">
        <v>2850</v>
      </c>
      <c r="C19" s="18">
        <f>(2260.0/B19*100)</f>
        <v/>
      </c>
      <c r="D19" s="19" t="n">
        <v>590</v>
      </c>
      <c r="E19" s="18" t="n">
        <v>75.61938634000001</v>
      </c>
      <c r="F19" s="20" t="n">
        <v>1.77436979</v>
      </c>
      <c r="G19" s="18" t="n">
        <v>21.43540036</v>
      </c>
      <c r="H19" s="20" t="n">
        <v>1.65865352</v>
      </c>
      <c r="I19" s="18" t="n">
        <v>0</v>
      </c>
      <c r="J19" s="20" t="n">
        <v>0</v>
      </c>
      <c r="K19" s="18" t="n">
        <v>0.14754083</v>
      </c>
      <c r="L19" s="20" t="n">
        <v>0.14829976</v>
      </c>
      <c r="M19" s="18" t="n">
        <v>0</v>
      </c>
      <c r="N19" s="20" t="n">
        <v>0</v>
      </c>
      <c r="O19" s="18" t="n">
        <v>0</v>
      </c>
      <c r="P19" s="20" t="n">
        <v>0</v>
      </c>
      <c r="Q19" s="18" t="n">
        <v>2.79767247</v>
      </c>
      <c r="R19" s="20" t="n">
        <v>0.66323318</v>
      </c>
    </row>
    <row r="20" spans="1:18">
      <c r="A20" s="15" t="s">
        <v>578</v>
      </c>
      <c r="B20" s="17" t="n">
        <v>1741</v>
      </c>
      <c r="C20" s="18">
        <f>(1385.0/B20*100)</f>
        <v/>
      </c>
      <c r="D20" s="19" t="n">
        <v>356</v>
      </c>
      <c r="E20" s="18" t="n">
        <v>65.09719702</v>
      </c>
      <c r="F20" s="20" t="n">
        <v>2.39540979</v>
      </c>
      <c r="G20" s="18" t="n">
        <v>31.46872135</v>
      </c>
      <c r="H20" s="20" t="n">
        <v>2.41800273</v>
      </c>
      <c r="I20" s="18" t="n">
        <v>0</v>
      </c>
      <c r="J20" s="20" t="n">
        <v>0</v>
      </c>
      <c r="K20" s="18" t="n">
        <v>0.60287474</v>
      </c>
      <c r="L20" s="20" t="n">
        <v>0.41684747</v>
      </c>
      <c r="M20" s="18" t="n">
        <v>0.8679138</v>
      </c>
      <c r="N20" s="20" t="n">
        <v>0.125656</v>
      </c>
      <c r="O20" s="18" t="n">
        <v>0</v>
      </c>
      <c r="P20" s="20" t="n">
        <v>0</v>
      </c>
      <c r="Q20" s="18" t="n">
        <v>1.9632931</v>
      </c>
      <c r="R20" s="20" t="n">
        <v>0.7549991</v>
      </c>
    </row>
    <row r="21" spans="1:18">
      <c r="A21" s="15" t="s">
        <v>579</v>
      </c>
      <c r="B21" s="17" t="n">
        <v>2833</v>
      </c>
      <c r="C21" s="18">
        <f>(2218.0/B21*100)</f>
        <v/>
      </c>
      <c r="D21" s="19" t="n">
        <v>615</v>
      </c>
      <c r="E21" s="18" t="n">
        <v>58.74917246</v>
      </c>
      <c r="F21" s="20" t="n">
        <v>1.9690792</v>
      </c>
      <c r="G21" s="18" t="n">
        <v>39.14418006</v>
      </c>
      <c r="H21" s="20" t="n">
        <v>1.97882798</v>
      </c>
      <c r="I21" s="18" t="n">
        <v>0</v>
      </c>
      <c r="J21" s="20" t="n">
        <v>0</v>
      </c>
      <c r="K21" s="18" t="n">
        <v>0</v>
      </c>
      <c r="L21" s="20" t="n">
        <v>0</v>
      </c>
      <c r="M21" s="18" t="n">
        <v>0</v>
      </c>
      <c r="N21" s="20" t="n">
        <v>0</v>
      </c>
      <c r="O21" s="18" t="n">
        <v>0</v>
      </c>
      <c r="P21" s="20" t="n">
        <v>0</v>
      </c>
      <c r="Q21" s="18" t="n">
        <v>2.10664749</v>
      </c>
      <c r="R21" s="20" t="n">
        <v>0.73238959</v>
      </c>
    </row>
    <row r="22" spans="1:18">
      <c r="A22" s="15" t="s">
        <v>580</v>
      </c>
      <c r="B22" s="17" t="n">
        <v>3667</v>
      </c>
      <c r="C22" s="18">
        <f>(2892.0/B22*100)</f>
        <v/>
      </c>
      <c r="D22" s="19" t="n">
        <v>775</v>
      </c>
      <c r="E22" s="18" t="n">
        <v>52.4273334</v>
      </c>
      <c r="F22" s="20" t="n">
        <v>2.18466282</v>
      </c>
      <c r="G22" s="18" t="n">
        <v>42.34671865</v>
      </c>
      <c r="H22" s="20" t="n">
        <v>2.18338149</v>
      </c>
      <c r="I22" s="18" t="n">
        <v>0</v>
      </c>
      <c r="J22" s="20" t="n">
        <v>0</v>
      </c>
      <c r="K22" s="18" t="n">
        <v>1.96832377</v>
      </c>
      <c r="L22" s="20" t="n">
        <v>0.59795845</v>
      </c>
      <c r="M22" s="18" t="n">
        <v>0.21801053</v>
      </c>
      <c r="N22" s="20" t="n">
        <v>0.21669685</v>
      </c>
      <c r="O22" s="18" t="n">
        <v>0</v>
      </c>
      <c r="P22" s="20" t="n">
        <v>0</v>
      </c>
      <c r="Q22" s="18" t="n">
        <v>3.03961365</v>
      </c>
      <c r="R22" s="20" t="n">
        <v>0.63687622</v>
      </c>
    </row>
    <row r="23" spans="1:18">
      <c r="A23" s="15" t="s">
        <v>581</v>
      </c>
      <c r="B23" s="17" t="n">
        <v>5792</v>
      </c>
      <c r="C23" s="18">
        <f>(4522.0/B23*100)</f>
        <v/>
      </c>
      <c r="D23" s="19" t="n">
        <v>1270</v>
      </c>
      <c r="E23" s="18" t="n">
        <v>66.44914812</v>
      </c>
      <c r="F23" s="20" t="n">
        <v>1.92849646</v>
      </c>
      <c r="G23" s="18" t="n">
        <v>28.37105515</v>
      </c>
      <c r="H23" s="20" t="n">
        <v>1.83077361</v>
      </c>
      <c r="I23" s="18" t="n">
        <v>0</v>
      </c>
      <c r="J23" s="20" t="n">
        <v>0</v>
      </c>
      <c r="K23" s="18" t="n">
        <v>1.29200222</v>
      </c>
      <c r="L23" s="20" t="n">
        <v>0.68792549</v>
      </c>
      <c r="M23" s="18" t="n">
        <v>0.0956562</v>
      </c>
      <c r="N23" s="20" t="n">
        <v>0.09567781</v>
      </c>
      <c r="O23" s="18" t="n">
        <v>0</v>
      </c>
      <c r="P23" s="20" t="n">
        <v>0</v>
      </c>
      <c r="Q23" s="18" t="n">
        <v>3.79213831</v>
      </c>
      <c r="R23" s="20" t="n">
        <v>0.70736201</v>
      </c>
    </row>
    <row r="24" spans="1:18">
      <c r="A24" s="15" t="s">
        <v>582</v>
      </c>
      <c r="B24" s="17" t="n">
        <v>3309</v>
      </c>
      <c r="C24" s="18">
        <f>(2572.0/B24*100)</f>
        <v/>
      </c>
      <c r="D24" s="19" t="n">
        <v>737</v>
      </c>
      <c r="E24" s="18" t="n">
        <v>35.91624265</v>
      </c>
      <c r="F24" s="20" t="n">
        <v>1.63738114</v>
      </c>
      <c r="G24" s="18" t="n">
        <v>61.77991204</v>
      </c>
      <c r="H24" s="20" t="n">
        <v>1.61290686</v>
      </c>
      <c r="I24" s="18" t="n">
        <v>0</v>
      </c>
      <c r="J24" s="20" t="n">
        <v>0</v>
      </c>
      <c r="K24" s="18" t="n">
        <v>0</v>
      </c>
      <c r="L24" s="20" t="n">
        <v>0</v>
      </c>
      <c r="M24" s="18" t="n">
        <v>0</v>
      </c>
      <c r="N24" s="20" t="n">
        <v>0</v>
      </c>
      <c r="O24" s="18" t="n">
        <v>0</v>
      </c>
      <c r="P24" s="20" t="n">
        <v>0</v>
      </c>
      <c r="Q24" s="18" t="n">
        <v>2.30384531</v>
      </c>
      <c r="R24" s="20" t="n">
        <v>0.67206977</v>
      </c>
    </row>
    <row r="25" spans="1:18">
      <c r="A25" s="15" t="s">
        <v>583</v>
      </c>
      <c r="B25" s="17" t="n">
        <v>2669</v>
      </c>
      <c r="C25" s="18">
        <f>(2075.0/B25*100)</f>
        <v/>
      </c>
      <c r="D25" s="19" t="n">
        <v>594</v>
      </c>
      <c r="E25" s="18" t="n">
        <v>46.69655818</v>
      </c>
      <c r="F25" s="20" t="n">
        <v>2.2219789</v>
      </c>
      <c r="G25" s="18" t="n">
        <v>52.63866048</v>
      </c>
      <c r="H25" s="20" t="n">
        <v>2.18792418</v>
      </c>
      <c r="I25" s="18" t="n">
        <v>0</v>
      </c>
      <c r="J25" s="20" t="n">
        <v>0</v>
      </c>
      <c r="K25" s="18" t="n">
        <v>0</v>
      </c>
      <c r="L25" s="20" t="n">
        <v>0</v>
      </c>
      <c r="M25" s="18" t="n">
        <v>0</v>
      </c>
      <c r="N25" s="20" t="n">
        <v>0</v>
      </c>
      <c r="O25" s="18" t="n">
        <v>0</v>
      </c>
      <c r="P25" s="20" t="n">
        <v>0</v>
      </c>
      <c r="Q25" s="18" t="n">
        <v>0.66478134</v>
      </c>
      <c r="R25" s="20" t="n">
        <v>0.32994311</v>
      </c>
    </row>
    <row r="26" spans="1:18">
      <c r="A26" s="15" t="s">
        <v>584</v>
      </c>
      <c r="B26" s="17" t="n">
        <v>2419</v>
      </c>
      <c r="C26" s="18">
        <f>(1896.0/B26*100)</f>
        <v/>
      </c>
      <c r="D26" s="19" t="n">
        <v>523</v>
      </c>
      <c r="E26" s="18" t="n">
        <v>61.03544063</v>
      </c>
      <c r="F26" s="20" t="n">
        <v>2.45166232</v>
      </c>
      <c r="G26" s="18" t="n">
        <v>38.52187833</v>
      </c>
      <c r="H26" s="20" t="n">
        <v>2.4330248</v>
      </c>
      <c r="I26" s="18" t="n">
        <v>0</v>
      </c>
      <c r="J26" s="20" t="n">
        <v>0</v>
      </c>
      <c r="K26" s="18" t="n">
        <v>0</v>
      </c>
      <c r="L26" s="20" t="n">
        <v>0</v>
      </c>
      <c r="M26" s="18" t="n">
        <v>0</v>
      </c>
      <c r="N26" s="20" t="n">
        <v>0</v>
      </c>
      <c r="O26" s="18" t="n">
        <v>0</v>
      </c>
      <c r="P26" s="20" t="n">
        <v>0</v>
      </c>
      <c r="Q26" s="18" t="n">
        <v>0.44268104</v>
      </c>
      <c r="R26" s="20" t="n">
        <v>0.25572376</v>
      </c>
    </row>
    <row r="27" spans="1:18">
      <c r="A27" s="15" t="s">
        <v>585</v>
      </c>
      <c r="B27" s="17" t="n">
        <v>2683</v>
      </c>
      <c r="C27" s="18">
        <f>(2139.0/B27*100)</f>
        <v/>
      </c>
      <c r="D27" s="19" t="n">
        <v>544</v>
      </c>
      <c r="E27" s="18" t="n">
        <v>64.16034698</v>
      </c>
      <c r="F27" s="20" t="n">
        <v>2.13183292</v>
      </c>
      <c r="G27" s="18" t="n">
        <v>33.06055497</v>
      </c>
      <c r="H27" s="20" t="n">
        <v>2.03632721</v>
      </c>
      <c r="I27" s="18" t="n">
        <v>0</v>
      </c>
      <c r="J27" s="20" t="n">
        <v>0</v>
      </c>
      <c r="K27" s="18" t="n">
        <v>0.38941986</v>
      </c>
      <c r="L27" s="20" t="n">
        <v>0.27348243</v>
      </c>
      <c r="M27" s="18" t="n">
        <v>0</v>
      </c>
      <c r="N27" s="20" t="n">
        <v>0</v>
      </c>
      <c r="O27" s="18" t="n">
        <v>0</v>
      </c>
      <c r="P27" s="20" t="n">
        <v>0</v>
      </c>
      <c r="Q27" s="18" t="n">
        <v>2.38967819</v>
      </c>
      <c r="R27" s="20" t="n">
        <v>0.64397468</v>
      </c>
    </row>
    <row r="28" spans="1:18">
      <c r="A28" s="15" t="s">
        <v>586</v>
      </c>
      <c r="B28" s="17" t="n">
        <v>3803</v>
      </c>
      <c r="C28" s="18">
        <f>(3080.0/B28*100)</f>
        <v/>
      </c>
      <c r="D28" s="19" t="n">
        <v>723</v>
      </c>
      <c r="E28" s="18" t="n">
        <v>87.00635373</v>
      </c>
      <c r="F28" s="20" t="n">
        <v>1.33415323</v>
      </c>
      <c r="G28" s="18" t="n">
        <v>9.55030159</v>
      </c>
      <c r="H28" s="20" t="n">
        <v>1.09520717</v>
      </c>
      <c r="I28" s="18" t="n">
        <v>0</v>
      </c>
      <c r="J28" s="20" t="n">
        <v>0</v>
      </c>
      <c r="K28" s="18" t="n">
        <v>1.5334101</v>
      </c>
      <c r="L28" s="20" t="n">
        <v>0.48855704</v>
      </c>
      <c r="M28" s="18" t="n">
        <v>0.2678515</v>
      </c>
      <c r="N28" s="20" t="n">
        <v>0.26731668</v>
      </c>
      <c r="O28" s="18" t="n">
        <v>0</v>
      </c>
      <c r="P28" s="20" t="n">
        <v>0</v>
      </c>
      <c r="Q28" s="18" t="n">
        <v>1.64208309</v>
      </c>
      <c r="R28" s="20" t="n">
        <v>0.54572463</v>
      </c>
    </row>
    <row r="29" spans="1:18">
      <c r="A29" s="15" t="s">
        <v>587</v>
      </c>
      <c r="B29" s="17" t="n">
        <v>2700</v>
      </c>
      <c r="C29" s="18">
        <f>(2127.0/B29*100)</f>
        <v/>
      </c>
      <c r="D29" s="19" t="n">
        <v>573</v>
      </c>
      <c r="E29" s="18" t="n">
        <v>54.45221596</v>
      </c>
      <c r="F29" s="20" t="n">
        <v>2.25725101</v>
      </c>
      <c r="G29" s="18" t="n">
        <v>44.51965383</v>
      </c>
      <c r="H29" s="20" t="n">
        <v>2.22664722</v>
      </c>
      <c r="I29" s="18" t="n">
        <v>0</v>
      </c>
      <c r="J29" s="20" t="n">
        <v>0</v>
      </c>
      <c r="K29" s="18" t="n">
        <v>0</v>
      </c>
      <c r="L29" s="20" t="n">
        <v>0</v>
      </c>
      <c r="M29" s="18" t="n">
        <v>0</v>
      </c>
      <c r="N29" s="20" t="n">
        <v>0</v>
      </c>
      <c r="O29" s="18" t="n">
        <v>0</v>
      </c>
      <c r="P29" s="20" t="n">
        <v>0</v>
      </c>
      <c r="Q29" s="18" t="n">
        <v>1.0281302</v>
      </c>
      <c r="R29" s="20" t="n">
        <v>0.40138085</v>
      </c>
    </row>
    <row r="30" spans="1:18">
      <c r="A30" s="15" t="s">
        <v>588</v>
      </c>
      <c r="B30" s="17" t="n">
        <v>2257</v>
      </c>
      <c r="C30" s="18">
        <f>(1796.0/B30*100)</f>
        <v/>
      </c>
      <c r="D30" s="19" t="n">
        <v>461</v>
      </c>
      <c r="E30" s="18" t="n">
        <v>51.71537064</v>
      </c>
      <c r="F30" s="20" t="n">
        <v>2.38326412</v>
      </c>
      <c r="G30" s="18" t="n">
        <v>43.74695628</v>
      </c>
      <c r="H30" s="20" t="n">
        <v>2.16702129</v>
      </c>
      <c r="I30" s="18" t="n">
        <v>0</v>
      </c>
      <c r="J30" s="20" t="n">
        <v>0</v>
      </c>
      <c r="K30" s="18" t="n">
        <v>0.44585208</v>
      </c>
      <c r="L30" s="20" t="n">
        <v>0.34401179</v>
      </c>
      <c r="M30" s="18" t="n">
        <v>0.23497795</v>
      </c>
      <c r="N30" s="20" t="n">
        <v>0.23929582</v>
      </c>
      <c r="O30" s="18" t="n">
        <v>0</v>
      </c>
      <c r="P30" s="20" t="n">
        <v>0</v>
      </c>
      <c r="Q30" s="18" t="n">
        <v>3.85684305</v>
      </c>
      <c r="R30" s="20" t="n">
        <v>0.91401996</v>
      </c>
    </row>
    <row r="31" spans="1:18">
      <c r="A31" s="15" t="s">
        <v>589</v>
      </c>
      <c r="B31" s="17" t="n">
        <v>2706</v>
      </c>
      <c r="C31" s="18">
        <f>(2142.0/B31*100)</f>
        <v/>
      </c>
      <c r="D31" s="19" t="n">
        <v>564</v>
      </c>
      <c r="E31" s="18" t="n">
        <v>65.57664287</v>
      </c>
      <c r="F31" s="20" t="n">
        <v>2.1387801</v>
      </c>
      <c r="G31" s="18" t="n">
        <v>30.96678838</v>
      </c>
      <c r="H31" s="20" t="n">
        <v>2.04568729</v>
      </c>
      <c r="I31" s="18" t="n">
        <v>0</v>
      </c>
      <c r="J31" s="20" t="n">
        <v>0</v>
      </c>
      <c r="K31" s="18" t="n">
        <v>1.21809612</v>
      </c>
      <c r="L31" s="20" t="n">
        <v>0.50343882</v>
      </c>
      <c r="M31" s="18" t="n">
        <v>0.3387854</v>
      </c>
      <c r="N31" s="20" t="n">
        <v>0.23360286</v>
      </c>
      <c r="O31" s="18" t="n">
        <v>0</v>
      </c>
      <c r="P31" s="20" t="n">
        <v>0</v>
      </c>
      <c r="Q31" s="18" t="n">
        <v>1.89968724</v>
      </c>
      <c r="R31" s="20" t="n">
        <v>0.5633046</v>
      </c>
    </row>
    <row r="32" spans="1:18">
      <c r="A32" s="15" t="s">
        <v>590</v>
      </c>
      <c r="B32" s="17" t="n">
        <v>2209</v>
      </c>
      <c r="C32" s="18">
        <f>(1691.0/B32*100)</f>
        <v/>
      </c>
      <c r="D32" s="19" t="n">
        <v>518</v>
      </c>
      <c r="E32" s="18" t="n">
        <v>62.28164307</v>
      </c>
      <c r="F32" s="20" t="n">
        <v>2.38343608</v>
      </c>
      <c r="G32" s="18" t="n">
        <v>36.98419559</v>
      </c>
      <c r="H32" s="20" t="n">
        <v>2.24713595</v>
      </c>
      <c r="I32" s="18" t="n">
        <v>0</v>
      </c>
      <c r="J32" s="20" t="n">
        <v>0</v>
      </c>
      <c r="K32" s="18" t="n">
        <v>0</v>
      </c>
      <c r="L32" s="20" t="n">
        <v>0</v>
      </c>
      <c r="M32" s="18" t="n">
        <v>0</v>
      </c>
      <c r="N32" s="20" t="n">
        <v>0</v>
      </c>
      <c r="O32" s="18" t="n">
        <v>0</v>
      </c>
      <c r="P32" s="20" t="n">
        <v>0</v>
      </c>
      <c r="Q32" s="18" t="n">
        <v>0.73416134</v>
      </c>
      <c r="R32" s="20" t="n">
        <v>0.37572185</v>
      </c>
    </row>
    <row r="33" spans="1:18">
      <c r="A33" s="15" t="s">
        <v>591</v>
      </c>
      <c r="B33" s="17" t="n">
        <v>3651</v>
      </c>
      <c r="C33" s="18">
        <f>(2863.0/B33*100)</f>
        <v/>
      </c>
      <c r="D33" s="19" t="n">
        <v>788</v>
      </c>
      <c r="E33" s="18" t="n">
        <v>58.94504254</v>
      </c>
      <c r="F33" s="20" t="n">
        <v>2.04326378</v>
      </c>
      <c r="G33" s="18" t="n">
        <v>37.8154584</v>
      </c>
      <c r="H33" s="20" t="n">
        <v>2.02848684</v>
      </c>
      <c r="I33" s="18" t="n">
        <v>0</v>
      </c>
      <c r="J33" s="20" t="n">
        <v>0</v>
      </c>
      <c r="K33" s="18" t="n">
        <v>1.1830414</v>
      </c>
      <c r="L33" s="20" t="n">
        <v>0.55832869</v>
      </c>
      <c r="M33" s="18" t="n">
        <v>0</v>
      </c>
      <c r="N33" s="20" t="n">
        <v>0</v>
      </c>
      <c r="O33" s="18" t="n">
        <v>0</v>
      </c>
      <c r="P33" s="20" t="n">
        <v>0</v>
      </c>
      <c r="Q33" s="18" t="n">
        <v>2.05645766</v>
      </c>
      <c r="R33" s="20" t="n">
        <v>0.58927979</v>
      </c>
    </row>
    <row r="34" spans="1:18">
      <c r="A34" s="15" t="s">
        <v>592</v>
      </c>
      <c r="B34" s="17" t="n">
        <v>3035</v>
      </c>
      <c r="C34" s="18">
        <f>(2434.0/B34*100)</f>
        <v/>
      </c>
      <c r="D34" s="19" t="n">
        <v>601</v>
      </c>
      <c r="E34" s="18" t="n">
        <v>73.48541811</v>
      </c>
      <c r="F34" s="20" t="n">
        <v>1.93381944</v>
      </c>
      <c r="G34" s="18" t="n">
        <v>24.23231415</v>
      </c>
      <c r="H34" s="20" t="n">
        <v>1.91057445</v>
      </c>
      <c r="I34" s="18" t="n">
        <v>0</v>
      </c>
      <c r="J34" s="20" t="n">
        <v>0</v>
      </c>
      <c r="K34" s="18" t="n">
        <v>0.14986411</v>
      </c>
      <c r="L34" s="20" t="n">
        <v>0.14192754</v>
      </c>
      <c r="M34" s="18" t="n">
        <v>0.3216945</v>
      </c>
      <c r="N34" s="20" t="n">
        <v>0.23030047</v>
      </c>
      <c r="O34" s="18" t="n">
        <v>0</v>
      </c>
      <c r="P34" s="20" t="n">
        <v>0</v>
      </c>
      <c r="Q34" s="18" t="n">
        <v>1.81070914</v>
      </c>
      <c r="R34" s="20" t="n">
        <v>0.63292682</v>
      </c>
    </row>
    <row r="35" spans="1:18">
      <c r="A35" s="15" t="s">
        <v>593</v>
      </c>
      <c r="B35" s="17" t="n">
        <v>2901</v>
      </c>
      <c r="C35" s="18">
        <f>(2285.0/B35*100)</f>
        <v/>
      </c>
      <c r="D35" s="19" t="n">
        <v>616</v>
      </c>
      <c r="E35" s="18" t="n">
        <v>52.7738538</v>
      </c>
      <c r="F35" s="20" t="n">
        <v>2.37660606</v>
      </c>
      <c r="G35" s="18" t="n">
        <v>46.18715049</v>
      </c>
      <c r="H35" s="20" t="n">
        <v>2.37502494</v>
      </c>
      <c r="I35" s="18" t="n">
        <v>0</v>
      </c>
      <c r="J35" s="20" t="n">
        <v>0</v>
      </c>
      <c r="K35" s="18" t="n">
        <v>0</v>
      </c>
      <c r="L35" s="20" t="n">
        <v>0</v>
      </c>
      <c r="M35" s="18" t="n">
        <v>0</v>
      </c>
      <c r="N35" s="20" t="n">
        <v>0</v>
      </c>
      <c r="O35" s="18" t="n">
        <v>0</v>
      </c>
      <c r="P35" s="20" t="n">
        <v>0</v>
      </c>
      <c r="Q35" s="18" t="n">
        <v>1.03899571</v>
      </c>
      <c r="R35" s="20" t="n">
        <v>0.42356774</v>
      </c>
    </row>
    <row r="36" spans="1:18">
      <c r="A36" s="15" t="s">
        <v>594</v>
      </c>
      <c r="B36" s="17" t="n">
        <v>3404</v>
      </c>
      <c r="C36" s="18">
        <f>(2646.0/B36*100)</f>
        <v/>
      </c>
      <c r="D36" s="19" t="n">
        <v>758</v>
      </c>
      <c r="E36" s="18" t="n">
        <v>68.31153657999999</v>
      </c>
      <c r="F36" s="20" t="n">
        <v>2.02860612</v>
      </c>
      <c r="G36" s="18" t="n">
        <v>28.98562258</v>
      </c>
      <c r="H36" s="20" t="n">
        <v>1.96043885</v>
      </c>
      <c r="I36" s="18" t="n">
        <v>0</v>
      </c>
      <c r="J36" s="20" t="n">
        <v>0</v>
      </c>
      <c r="K36" s="18" t="n">
        <v>0.60945723</v>
      </c>
      <c r="L36" s="20" t="n">
        <v>0.32538994</v>
      </c>
      <c r="M36" s="18" t="n">
        <v>0</v>
      </c>
      <c r="N36" s="20" t="n">
        <v>0</v>
      </c>
      <c r="O36" s="18" t="n">
        <v>0</v>
      </c>
      <c r="P36" s="20" t="n">
        <v>0</v>
      </c>
      <c r="Q36" s="18" t="n">
        <v>2.09338361</v>
      </c>
      <c r="R36" s="20" t="n">
        <v>0.5151095</v>
      </c>
    </row>
    <row r="37" spans="1:18">
      <c r="A37" s="15" t="s">
        <v>595</v>
      </c>
      <c r="B37" s="17" t="n">
        <v>2731</v>
      </c>
      <c r="C37" s="18">
        <f>(2159.0/B37*100)</f>
        <v/>
      </c>
      <c r="D37" s="19" t="n">
        <v>572</v>
      </c>
      <c r="E37" s="18" t="n">
        <v>59.81379853</v>
      </c>
      <c r="F37" s="20" t="n">
        <v>1.93915998</v>
      </c>
      <c r="G37" s="18" t="n">
        <v>33.34596695</v>
      </c>
      <c r="H37" s="20" t="n">
        <v>1.92569177</v>
      </c>
      <c r="I37" s="18" t="n">
        <v>0</v>
      </c>
      <c r="J37" s="20" t="n">
        <v>0</v>
      </c>
      <c r="K37" s="18" t="n">
        <v>0.76353607</v>
      </c>
      <c r="L37" s="20" t="n">
        <v>0.46719832</v>
      </c>
      <c r="M37" s="18" t="n">
        <v>0</v>
      </c>
      <c r="N37" s="20" t="n">
        <v>0</v>
      </c>
      <c r="O37" s="18" t="n">
        <v>0</v>
      </c>
      <c r="P37" s="20" t="n">
        <v>0</v>
      </c>
      <c r="Q37" s="18" t="n">
        <v>6.07669845</v>
      </c>
      <c r="R37" s="20" t="n">
        <v>0.94290104</v>
      </c>
    </row>
    <row r="38" spans="1:18">
      <c r="A38" s="15" t="s">
        <v>596</v>
      </c>
      <c r="B38" s="17" t="n">
        <v>2807</v>
      </c>
      <c r="C38" s="18">
        <f>(2190.0/B38*100)</f>
        <v/>
      </c>
      <c r="D38" s="19" t="n">
        <v>617</v>
      </c>
      <c r="E38" s="18" t="n">
        <v>53.42031994</v>
      </c>
      <c r="F38" s="20" t="n">
        <v>2.66323343</v>
      </c>
      <c r="G38" s="18" t="n">
        <v>42.62321566</v>
      </c>
      <c r="H38" s="20" t="n">
        <v>2.69686909</v>
      </c>
      <c r="I38" s="18" t="n">
        <v>0</v>
      </c>
      <c r="J38" s="20" t="n">
        <v>0</v>
      </c>
      <c r="K38" s="18" t="n">
        <v>0.15700084</v>
      </c>
      <c r="L38" s="20" t="n">
        <v>0.15701331</v>
      </c>
      <c r="M38" s="18" t="n">
        <v>1.49556196</v>
      </c>
      <c r="N38" s="20" t="n">
        <v>0.48814785</v>
      </c>
      <c r="O38" s="18" t="n">
        <v>0</v>
      </c>
      <c r="P38" s="20" t="n">
        <v>0</v>
      </c>
      <c r="Q38" s="18" t="n">
        <v>2.3039016</v>
      </c>
      <c r="R38" s="20" t="n">
        <v>0.83780401</v>
      </c>
    </row>
    <row r="39" spans="1:18">
      <c r="A39" s="15" t="s">
        <v>597</v>
      </c>
      <c r="B39" s="17" t="n">
        <v>2938</v>
      </c>
      <c r="C39" s="18">
        <f>(2259.0/B39*100)</f>
        <v/>
      </c>
      <c r="D39" s="19" t="n">
        <v>679</v>
      </c>
      <c r="E39" s="18" t="n">
        <v>69.92840114000001</v>
      </c>
      <c r="F39" s="20" t="n">
        <v>2.3015017</v>
      </c>
      <c r="G39" s="18" t="n">
        <v>26.66773894</v>
      </c>
      <c r="H39" s="20" t="n">
        <v>2.34987591</v>
      </c>
      <c r="I39" s="18" t="n">
        <v>0</v>
      </c>
      <c r="J39" s="20" t="n">
        <v>0</v>
      </c>
      <c r="K39" s="18" t="n">
        <v>0.13710641</v>
      </c>
      <c r="L39" s="20" t="n">
        <v>0.13293611</v>
      </c>
      <c r="M39" s="18" t="n">
        <v>0</v>
      </c>
      <c r="N39" s="20" t="n">
        <v>0</v>
      </c>
      <c r="O39" s="18" t="n">
        <v>0</v>
      </c>
      <c r="P39" s="20" t="n">
        <v>0</v>
      </c>
      <c r="Q39" s="18" t="n">
        <v>3.26675351</v>
      </c>
      <c r="R39" s="20" t="n">
        <v>0.5765301</v>
      </c>
    </row>
    <row r="40" spans="1:18">
      <c r="A40" s="15" t="s">
        <v>598</v>
      </c>
      <c r="B40" s="17" t="n">
        <v>6922</v>
      </c>
      <c r="C40" s="18">
        <f>(5391.0/B40*100)</f>
        <v/>
      </c>
      <c r="D40" s="19" t="n">
        <v>1531</v>
      </c>
      <c r="E40" s="18" t="n">
        <v>52.19555034</v>
      </c>
      <c r="F40" s="20" t="n">
        <v>1.87686901</v>
      </c>
      <c r="G40" s="18" t="n">
        <v>42.89585962</v>
      </c>
      <c r="H40" s="20" t="n">
        <v>1.89789843</v>
      </c>
      <c r="I40" s="18" t="n">
        <v>0</v>
      </c>
      <c r="J40" s="20" t="n">
        <v>0</v>
      </c>
      <c r="K40" s="18" t="n">
        <v>0.6696596500000001</v>
      </c>
      <c r="L40" s="20" t="n">
        <v>0.34819993</v>
      </c>
      <c r="M40" s="18" t="n">
        <v>0</v>
      </c>
      <c r="N40" s="20" t="n">
        <v>0</v>
      </c>
      <c r="O40" s="18" t="n">
        <v>0</v>
      </c>
      <c r="P40" s="20" t="n">
        <v>0</v>
      </c>
      <c r="Q40" s="18" t="n">
        <v>4.23893039</v>
      </c>
      <c r="R40" s="20" t="n">
        <v>0.89094784</v>
      </c>
    </row>
    <row r="41" spans="1:18">
      <c r="A41" s="15" t="s">
        <v>599</v>
      </c>
      <c r="B41" s="17" t="n">
        <v>2854</v>
      </c>
      <c r="C41" s="18">
        <f>(2252.0/B41*100)</f>
        <v/>
      </c>
      <c r="D41" s="19" t="n">
        <v>602</v>
      </c>
      <c r="E41" s="18" t="n">
        <v>61.72936838</v>
      </c>
      <c r="F41" s="20" t="n">
        <v>1.91707509</v>
      </c>
      <c r="G41" s="18" t="n">
        <v>37.18712586</v>
      </c>
      <c r="H41" s="20" t="n">
        <v>1.87188271</v>
      </c>
      <c r="I41" s="18" t="n">
        <v>0</v>
      </c>
      <c r="J41" s="20" t="n">
        <v>0</v>
      </c>
      <c r="K41" s="18" t="n">
        <v>0.20047496</v>
      </c>
      <c r="L41" s="20" t="n">
        <v>0.18320138</v>
      </c>
      <c r="M41" s="18" t="n">
        <v>0</v>
      </c>
      <c r="N41" s="20" t="n">
        <v>0</v>
      </c>
      <c r="O41" s="18" t="n">
        <v>0</v>
      </c>
      <c r="P41" s="20" t="n">
        <v>0</v>
      </c>
      <c r="Q41" s="18" t="n">
        <v>0.8830308</v>
      </c>
      <c r="R41" s="20" t="n">
        <v>0.31877903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(10156.0/B46*100)</f>
        <v/>
      </c>
      <c r="D46" s="19" t="n">
        <v>1917</v>
      </c>
      <c r="E46" s="18" t="n">
        <v>68.30961309</v>
      </c>
      <c r="F46" s="20" t="n">
        <v>1.32890766</v>
      </c>
      <c r="G46" s="18" t="n">
        <v>22.85440665</v>
      </c>
      <c r="H46" s="20" t="n">
        <v>1.19925005</v>
      </c>
      <c r="I46" s="18" t="n">
        <v>0</v>
      </c>
      <c r="J46" s="20" t="n">
        <v>0</v>
      </c>
      <c r="K46" s="18" t="n">
        <v>1.80964181</v>
      </c>
      <c r="L46" s="20" t="n">
        <v>0.49424456</v>
      </c>
      <c r="M46" s="18" t="n">
        <v>0.43008574</v>
      </c>
      <c r="N46" s="20" t="n">
        <v>0.14994395</v>
      </c>
      <c r="O46" s="18" t="n">
        <v>0</v>
      </c>
      <c r="P46" s="20" t="n">
        <v>0</v>
      </c>
      <c r="Q46" s="18" t="n">
        <v>6.59625272</v>
      </c>
      <c r="R46" s="20" t="n">
        <v>0.87839282</v>
      </c>
    </row>
    <row r="47" spans="1:18">
      <c r="A47" s="15" t="s">
        <v>606</v>
      </c>
      <c r="B47" s="17" t="n">
        <v>2823</v>
      </c>
      <c r="C47" s="18">
        <f>(2234.0/B47*100)</f>
        <v/>
      </c>
      <c r="D47" s="19" t="n">
        <v>589</v>
      </c>
      <c r="E47" s="18" t="n">
        <v>83.86833674</v>
      </c>
      <c r="F47" s="20" t="n">
        <v>1.42820244</v>
      </c>
      <c r="G47" s="18" t="n">
        <v>10.93400203</v>
      </c>
      <c r="H47" s="20" t="n">
        <v>1.40223147</v>
      </c>
      <c r="I47" s="18" t="n">
        <v>0</v>
      </c>
      <c r="J47" s="20" t="n">
        <v>0</v>
      </c>
      <c r="K47" s="18" t="n">
        <v>1.85818214</v>
      </c>
      <c r="L47" s="20" t="n">
        <v>0.62246531</v>
      </c>
      <c r="M47" s="18" t="n">
        <v>0</v>
      </c>
      <c r="N47" s="20" t="n">
        <v>0</v>
      </c>
      <c r="O47" s="18" t="n">
        <v>0</v>
      </c>
      <c r="P47" s="20" t="n">
        <v>0</v>
      </c>
      <c r="Q47" s="18" t="n">
        <v>3.33947909</v>
      </c>
      <c r="R47" s="20" t="n">
        <v>0.74523242</v>
      </c>
    </row>
    <row r="48" spans="1:18">
      <c r="A48" s="15" t="s">
        <v>607</v>
      </c>
      <c r="B48" s="17" t="n">
        <v>4682</v>
      </c>
      <c r="C48" s="18">
        <f>(3657.0/B48*100)</f>
        <v/>
      </c>
      <c r="D48" s="19" t="n">
        <v>1025</v>
      </c>
      <c r="E48" s="18" t="n">
        <v>50.41670676</v>
      </c>
      <c r="F48" s="20" t="n">
        <v>2.30931268</v>
      </c>
      <c r="G48" s="18" t="n">
        <v>47.81256622</v>
      </c>
      <c r="H48" s="20" t="n">
        <v>2.54550478</v>
      </c>
      <c r="I48" s="18" t="n">
        <v>0</v>
      </c>
      <c r="J48" s="20" t="n">
        <v>0</v>
      </c>
      <c r="K48" s="18" t="n">
        <v>0.79244511</v>
      </c>
      <c r="L48" s="20" t="n">
        <v>0.48199371</v>
      </c>
      <c r="M48" s="18" t="n">
        <v>0</v>
      </c>
      <c r="N48" s="20" t="n">
        <v>0</v>
      </c>
      <c r="O48" s="18" t="n">
        <v>0</v>
      </c>
      <c r="P48" s="20" t="n">
        <v>0</v>
      </c>
      <c r="Q48" s="18" t="n">
        <v>0.97828191</v>
      </c>
      <c r="R48" s="20" t="n">
        <v>0.4198822</v>
      </c>
    </row>
    <row r="49" spans="1:18">
      <c r="A49" s="15" t="s">
        <v>608</v>
      </c>
      <c r="B49" s="17" t="n">
        <v>6158</v>
      </c>
      <c r="C49" s="18">
        <f>(4889.0/B49*100)</f>
        <v/>
      </c>
      <c r="D49" s="19" t="n">
        <v>1269</v>
      </c>
      <c r="E49" s="18" t="n">
        <v>80.49470303</v>
      </c>
      <c r="F49" s="20" t="n">
        <v>1.40398244</v>
      </c>
      <c r="G49" s="18" t="n">
        <v>13.97819348</v>
      </c>
      <c r="H49" s="20" t="n">
        <v>1.2978481</v>
      </c>
      <c r="I49" s="18" t="n">
        <v>0</v>
      </c>
      <c r="J49" s="20" t="n">
        <v>0</v>
      </c>
      <c r="K49" s="18" t="n">
        <v>2.55952686</v>
      </c>
      <c r="L49" s="20" t="n">
        <v>0.52591897</v>
      </c>
      <c r="M49" s="18" t="n">
        <v>0.17732116</v>
      </c>
      <c r="N49" s="20" t="n">
        <v>0.08390179</v>
      </c>
      <c r="O49" s="18" t="n">
        <v>0</v>
      </c>
      <c r="P49" s="20" t="n">
        <v>0</v>
      </c>
      <c r="Q49" s="18" t="n">
        <v>2.79025547</v>
      </c>
      <c r="R49" s="20" t="n">
        <v>0.59540432</v>
      </c>
    </row>
    <row r="50" spans="1:18">
      <c r="A50" s="15" t="s">
        <v>609</v>
      </c>
      <c r="B50" s="17" t="n">
        <v>3494</v>
      </c>
      <c r="C50" s="18">
        <f>(2847.0/B50*100)</f>
        <v/>
      </c>
      <c r="D50" s="19" t="n">
        <v>647</v>
      </c>
      <c r="E50" s="18" t="n">
        <v>82.36836383000001</v>
      </c>
      <c r="F50" s="20" t="n">
        <v>1.77160952</v>
      </c>
      <c r="G50" s="18" t="n">
        <v>14.17818498</v>
      </c>
      <c r="H50" s="20" t="n">
        <v>1.71780992</v>
      </c>
      <c r="I50" s="18" t="n">
        <v>0</v>
      </c>
      <c r="J50" s="20" t="n">
        <v>0</v>
      </c>
      <c r="K50" s="18" t="n">
        <v>0.14208727</v>
      </c>
      <c r="L50" s="20" t="n">
        <v>0.10958853</v>
      </c>
      <c r="M50" s="18" t="n">
        <v>0</v>
      </c>
      <c r="N50" s="20" t="n">
        <v>0</v>
      </c>
      <c r="O50" s="18" t="n">
        <v>0</v>
      </c>
      <c r="P50" s="20" t="n">
        <v>0</v>
      </c>
      <c r="Q50" s="18" t="n">
        <v>3.31136392</v>
      </c>
      <c r="R50" s="20" t="n">
        <v>0.81002962</v>
      </c>
    </row>
    <row r="51" spans="1:18">
      <c r="A51" s="15" t="s">
        <v>610</v>
      </c>
      <c r="B51" s="17" t="n">
        <v>3013</v>
      </c>
      <c r="C51" s="18">
        <f>(2345.0/B51*100)</f>
        <v/>
      </c>
      <c r="D51" s="19" t="n">
        <v>668</v>
      </c>
      <c r="E51" s="18" t="n">
        <v>56.68335463</v>
      </c>
      <c r="F51" s="20" t="n">
        <v>2.02695185</v>
      </c>
      <c r="G51" s="18" t="n">
        <v>39.53697156</v>
      </c>
      <c r="H51" s="20" t="n">
        <v>2.0895227</v>
      </c>
      <c r="I51" s="18" t="n">
        <v>0</v>
      </c>
      <c r="J51" s="20" t="n">
        <v>0</v>
      </c>
      <c r="K51" s="18" t="n">
        <v>0.16787503</v>
      </c>
      <c r="L51" s="20" t="n">
        <v>0.14456064</v>
      </c>
      <c r="M51" s="18" t="n">
        <v>0</v>
      </c>
      <c r="N51" s="20" t="n">
        <v>0</v>
      </c>
      <c r="O51" s="18" t="n">
        <v>0</v>
      </c>
      <c r="P51" s="20" t="n">
        <v>0</v>
      </c>
      <c r="Q51" s="18" t="n">
        <v>3.61179878</v>
      </c>
      <c r="R51" s="20" t="n">
        <v>0.66197428</v>
      </c>
    </row>
    <row r="52" spans="1:18">
      <c r="A52" s="15" t="s">
        <v>611</v>
      </c>
      <c r="B52" s="17" t="n">
        <v>2760</v>
      </c>
      <c r="C52" s="18">
        <f>(2148.0/B52*100)</f>
        <v/>
      </c>
      <c r="D52" s="19" t="n">
        <v>612</v>
      </c>
      <c r="E52" s="18" t="n">
        <v>68.52689834</v>
      </c>
      <c r="F52" s="20" t="n">
        <v>1.66160331</v>
      </c>
      <c r="G52" s="18" t="n">
        <v>29.93652946</v>
      </c>
      <c r="H52" s="20" t="n">
        <v>1.72342176</v>
      </c>
      <c r="I52" s="18" t="n">
        <v>0</v>
      </c>
      <c r="J52" s="20" t="n">
        <v>0</v>
      </c>
      <c r="K52" s="18" t="n">
        <v>0.26757661</v>
      </c>
      <c r="L52" s="20" t="n">
        <v>0.19257532</v>
      </c>
      <c r="M52" s="18" t="n">
        <v>0</v>
      </c>
      <c r="N52" s="20" t="n">
        <v>0</v>
      </c>
      <c r="O52" s="18" t="n">
        <v>0</v>
      </c>
      <c r="P52" s="20" t="n">
        <v>0</v>
      </c>
      <c r="Q52" s="18" t="n">
        <v>1.26899559</v>
      </c>
      <c r="R52" s="20" t="n">
        <v>0.56908011</v>
      </c>
    </row>
    <row r="53" spans="1:18">
      <c r="A53" s="15" t="s">
        <v>612</v>
      </c>
      <c r="B53" s="17" t="n">
        <v>2474</v>
      </c>
      <c r="C53" s="18">
        <f>(1955.0/B53*100)</f>
        <v/>
      </c>
      <c r="D53" s="19" t="n">
        <v>519</v>
      </c>
      <c r="E53" s="18" t="n">
        <v>68.08385183</v>
      </c>
      <c r="F53" s="20" t="n">
        <v>2.59560396</v>
      </c>
      <c r="G53" s="18" t="n">
        <v>7.79825808</v>
      </c>
      <c r="H53" s="20" t="n">
        <v>1.22511711</v>
      </c>
      <c r="I53" s="18" t="n">
        <v>0</v>
      </c>
      <c r="J53" s="20" t="n">
        <v>0</v>
      </c>
      <c r="K53" s="18" t="n">
        <v>13.99512603</v>
      </c>
      <c r="L53" s="20" t="n">
        <v>1.87512492</v>
      </c>
      <c r="M53" s="18" t="n">
        <v>1.07567178</v>
      </c>
      <c r="N53" s="20" t="n">
        <v>1.1832373</v>
      </c>
      <c r="O53" s="18" t="n">
        <v>0</v>
      </c>
      <c r="P53" s="20" t="n">
        <v>0</v>
      </c>
      <c r="Q53" s="18" t="n">
        <v>9.047092279999999</v>
      </c>
      <c r="R53" s="20" t="n">
        <v>1.33373647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(2083.0/B55*100)</f>
        <v/>
      </c>
      <c r="D55" s="19" t="n">
        <v>592</v>
      </c>
      <c r="E55" s="18" t="n">
        <v>43.31622495</v>
      </c>
      <c r="F55" s="20" t="n">
        <v>2.55705183</v>
      </c>
      <c r="G55" s="18" t="n">
        <v>55.98686904</v>
      </c>
      <c r="H55" s="20" t="n">
        <v>2.51106449</v>
      </c>
      <c r="I55" s="18" t="n">
        <v>0</v>
      </c>
      <c r="J55" s="20" t="n">
        <v>0</v>
      </c>
      <c r="K55" s="18" t="n">
        <v>0.51968832</v>
      </c>
      <c r="L55" s="20" t="n">
        <v>0.36212892</v>
      </c>
      <c r="M55" s="18" t="n">
        <v>0</v>
      </c>
      <c r="N55" s="20" t="n">
        <v>0</v>
      </c>
      <c r="O55" s="18" t="n">
        <v>0</v>
      </c>
      <c r="P55" s="20" t="n">
        <v>0</v>
      </c>
      <c r="Q55" s="18" t="n">
        <v>0.17721769</v>
      </c>
      <c r="R55" s="20" t="n">
        <v>0.16945546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(2493.0/B61*100)</f>
        <v/>
      </c>
      <c r="D61" s="19" t="n">
        <v>708</v>
      </c>
      <c r="E61" s="18" t="n">
        <v>77.78679098000001</v>
      </c>
      <c r="F61" s="20" t="n">
        <v>1.97292433</v>
      </c>
      <c r="G61" s="18" t="n">
        <v>20.29588277</v>
      </c>
      <c r="H61" s="20" t="n">
        <v>1.89822567</v>
      </c>
      <c r="I61" s="18" t="n">
        <v>0</v>
      </c>
      <c r="J61" s="20" t="n">
        <v>0</v>
      </c>
      <c r="K61" s="18" t="n">
        <v>0.2165019</v>
      </c>
      <c r="L61" s="20" t="n">
        <v>0.19054898</v>
      </c>
      <c r="M61" s="18" t="n">
        <v>0</v>
      </c>
      <c r="N61" s="20" t="n">
        <v>0</v>
      </c>
      <c r="O61" s="18" t="n">
        <v>0</v>
      </c>
      <c r="P61" s="20" t="n">
        <v>0</v>
      </c>
      <c r="Q61" s="18" t="n">
        <v>1.70082434</v>
      </c>
      <c r="R61" s="20" t="n">
        <v>0.51845363</v>
      </c>
    </row>
    <row r="62" spans="1:18">
      <c r="A62" s="15" t="s">
        <v>622</v>
      </c>
      <c r="B62" s="17" t="n">
        <v>2230</v>
      </c>
      <c r="C62" s="18">
        <f>(1752.0/B62*100)</f>
        <v/>
      </c>
      <c r="D62" s="19" t="n">
        <v>478</v>
      </c>
      <c r="E62" s="18" t="n">
        <v>44.9072719</v>
      </c>
      <c r="F62" s="20" t="n">
        <v>2.25142855</v>
      </c>
      <c r="G62" s="18" t="n">
        <v>54.87860236</v>
      </c>
      <c r="H62" s="20" t="n">
        <v>2.29330185</v>
      </c>
      <c r="I62" s="18" t="n">
        <v>0</v>
      </c>
      <c r="J62" s="20" t="n">
        <v>0</v>
      </c>
      <c r="K62" s="18" t="n">
        <v>0</v>
      </c>
      <c r="L62" s="20" t="n">
        <v>0</v>
      </c>
      <c r="M62" s="18" t="n">
        <v>0</v>
      </c>
      <c r="N62" s="20" t="n">
        <v>0</v>
      </c>
      <c r="O62" s="18" t="n">
        <v>0</v>
      </c>
      <c r="P62" s="20" t="n">
        <v>0</v>
      </c>
      <c r="Q62" s="18" t="n">
        <v>0.21412574</v>
      </c>
      <c r="R62" s="20" t="n">
        <v>0.21209322</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(2215.0/B67*100)</f>
        <v/>
      </c>
      <c r="D67" s="19" t="n">
        <v>556</v>
      </c>
      <c r="E67" s="18" t="n">
        <v>73.15892888</v>
      </c>
      <c r="F67" s="20" t="n">
        <v>1.92251594</v>
      </c>
      <c r="G67" s="18" t="n">
        <v>17.52720816</v>
      </c>
      <c r="H67" s="20" t="n">
        <v>1.83231144</v>
      </c>
      <c r="I67" s="18" t="n">
        <v>0</v>
      </c>
      <c r="J67" s="20" t="n">
        <v>0</v>
      </c>
      <c r="K67" s="18" t="n">
        <v>0.90858633</v>
      </c>
      <c r="L67" s="20" t="n">
        <v>0.42141671</v>
      </c>
      <c r="M67" s="18" t="n">
        <v>0.16631422</v>
      </c>
      <c r="N67" s="20" t="n">
        <v>0.16609356</v>
      </c>
      <c r="O67" s="18" t="n">
        <v>0</v>
      </c>
      <c r="P67" s="20" t="n">
        <v>0</v>
      </c>
      <c r="Q67" s="18" t="n">
        <v>8.238962409999999</v>
      </c>
      <c r="R67" s="20" t="n">
        <v>1.09287524</v>
      </c>
    </row>
    <row r="68" spans="1:18">
      <c r="A68" s="15" t="s">
        <v>628</v>
      </c>
      <c r="B68" s="17" t="n">
        <v>3460</v>
      </c>
      <c r="C68" s="18">
        <f>(2853.0/B68*100)</f>
        <v/>
      </c>
      <c r="D68" s="19" t="n">
        <v>607</v>
      </c>
      <c r="E68" s="18" t="n">
        <v>78.65000861</v>
      </c>
      <c r="F68" s="20" t="n">
        <v>1.71687346</v>
      </c>
      <c r="G68" s="18" t="n">
        <v>16.87360716</v>
      </c>
      <c r="H68" s="20" t="n">
        <v>1.50803768</v>
      </c>
      <c r="I68" s="18" t="n">
        <v>0</v>
      </c>
      <c r="J68" s="20" t="n">
        <v>0</v>
      </c>
      <c r="K68" s="18" t="n">
        <v>0.48819548</v>
      </c>
      <c r="L68" s="20" t="n">
        <v>0.28011961</v>
      </c>
      <c r="M68" s="18" t="n">
        <v>0.63401586</v>
      </c>
      <c r="N68" s="20" t="n">
        <v>0.37252016</v>
      </c>
      <c r="O68" s="18" t="n">
        <v>0</v>
      </c>
      <c r="P68" s="20" t="n">
        <v>0</v>
      </c>
      <c r="Q68" s="18" t="n">
        <v>3.35417289</v>
      </c>
      <c r="R68" s="20" t="n">
        <v>0.71908028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(4721.0/B70*100)</f>
        <v/>
      </c>
      <c r="D70" s="19" t="n">
        <v>1313</v>
      </c>
      <c r="E70" s="18" t="n">
        <v>70.91746438</v>
      </c>
      <c r="F70" s="20" t="n">
        <v>1.28213932</v>
      </c>
      <c r="G70" s="18" t="n">
        <v>23.97719412</v>
      </c>
      <c r="H70" s="20" t="n">
        <v>1.27449807</v>
      </c>
      <c r="I70" s="18" t="n">
        <v>0</v>
      </c>
      <c r="J70" s="20" t="n">
        <v>0</v>
      </c>
      <c r="K70" s="18" t="n">
        <v>2.75416185</v>
      </c>
      <c r="L70" s="20" t="n">
        <v>0.49489968</v>
      </c>
      <c r="M70" s="18" t="n">
        <v>0</v>
      </c>
      <c r="N70" s="20" t="n">
        <v>0</v>
      </c>
      <c r="O70" s="18" t="n">
        <v>0</v>
      </c>
      <c r="P70" s="20" t="n">
        <v>0</v>
      </c>
      <c r="Q70" s="18" t="n">
        <v>2.35117965</v>
      </c>
      <c r="R70" s="20" t="n">
        <v>0.43056264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(2475.0/B72*100)</f>
        <v/>
      </c>
      <c r="D72" s="19" t="n">
        <v>632</v>
      </c>
      <c r="E72" s="18" t="n">
        <v>75.84613877</v>
      </c>
      <c r="F72" s="20" t="n">
        <v>1.9412365</v>
      </c>
      <c r="G72" s="18" t="n">
        <v>21.99005138</v>
      </c>
      <c r="H72" s="20" t="n">
        <v>1.86761848</v>
      </c>
      <c r="I72" s="18" t="n">
        <v>0</v>
      </c>
      <c r="J72" s="20" t="n">
        <v>0</v>
      </c>
      <c r="K72" s="18" t="n">
        <v>0.13130691</v>
      </c>
      <c r="L72" s="20" t="n">
        <v>0.18643024</v>
      </c>
      <c r="M72" s="18" t="n">
        <v>0.07042205999999999</v>
      </c>
      <c r="N72" s="20" t="n">
        <v>0.07065599</v>
      </c>
      <c r="O72" s="18" t="n">
        <v>0</v>
      </c>
      <c r="P72" s="20" t="n">
        <v>0</v>
      </c>
      <c r="Q72" s="18" t="n">
        <v>1.96208088</v>
      </c>
      <c r="R72" s="20" t="n">
        <v>0.65673985</v>
      </c>
    </row>
    <row r="73" spans="1:18">
      <c r="A73" s="15" t="s">
        <v>633</v>
      </c>
      <c r="B73" s="17" t="n">
        <v>2973</v>
      </c>
      <c r="C73" s="18">
        <f>(2313.0/B73*100)</f>
        <v/>
      </c>
      <c r="D73" s="19" t="n">
        <v>660</v>
      </c>
      <c r="E73" s="18" t="n">
        <v>39.24212952</v>
      </c>
      <c r="F73" s="20" t="n">
        <v>1.97672499</v>
      </c>
      <c r="G73" s="18" t="n">
        <v>60.0136138</v>
      </c>
      <c r="H73" s="20" t="n">
        <v>1.93535713</v>
      </c>
      <c r="I73" s="18" t="n">
        <v>0</v>
      </c>
      <c r="J73" s="20" t="n">
        <v>0</v>
      </c>
      <c r="K73" s="18" t="n">
        <v>0.34623918</v>
      </c>
      <c r="L73" s="20" t="n">
        <v>0.24432231</v>
      </c>
      <c r="M73" s="18" t="n">
        <v>0</v>
      </c>
      <c r="N73" s="20" t="n">
        <v>0</v>
      </c>
      <c r="O73" s="18" t="n">
        <v>0</v>
      </c>
      <c r="P73" s="20" t="n">
        <v>0</v>
      </c>
      <c r="Q73" s="18" t="n">
        <v>0.3980175</v>
      </c>
      <c r="R73" s="20" t="n">
        <v>0.2320679</v>
      </c>
    </row>
    <row r="74" spans="1:18">
      <c r="A74" s="15" t="s">
        <v>634</v>
      </c>
      <c r="B74" s="17" t="n">
        <v>3819</v>
      </c>
      <c r="C74" s="18">
        <f>(2930.0/B74*100)</f>
        <v/>
      </c>
      <c r="D74" s="19" t="n">
        <v>889</v>
      </c>
      <c r="E74" s="18" t="n">
        <v>53.75803455</v>
      </c>
      <c r="F74" s="20" t="n">
        <v>1.92281897</v>
      </c>
      <c r="G74" s="18" t="n">
        <v>45.74982852</v>
      </c>
      <c r="H74" s="20" t="n">
        <v>1.95385056</v>
      </c>
      <c r="I74" s="18" t="n">
        <v>0</v>
      </c>
      <c r="J74" s="20" t="n">
        <v>0</v>
      </c>
      <c r="K74" s="18" t="n">
        <v>0.17370743</v>
      </c>
      <c r="L74" s="20" t="n">
        <v>0.24770458</v>
      </c>
      <c r="M74" s="18" t="n">
        <v>0</v>
      </c>
      <c r="N74" s="20" t="n">
        <v>0</v>
      </c>
      <c r="O74" s="18" t="n">
        <v>0</v>
      </c>
      <c r="P74" s="20" t="n">
        <v>0</v>
      </c>
      <c r="Q74" s="18" t="n">
        <v>0.31842951</v>
      </c>
      <c r="R74" s="20" t="n">
        <v>0.19913603</v>
      </c>
    </row>
    <row r="75" spans="1:18">
      <c r="A75" s="15" t="s">
        <v>635</v>
      </c>
      <c r="B75" s="17" t="n">
        <v>4652</v>
      </c>
      <c r="C75" s="18">
        <f>(3658.0/B75*100)</f>
        <v/>
      </c>
      <c r="D75" s="19" t="n">
        <v>994</v>
      </c>
      <c r="E75" s="18" t="n">
        <v>86.7718077</v>
      </c>
      <c r="F75" s="20" t="n">
        <v>1.37231318</v>
      </c>
      <c r="G75" s="18" t="n">
        <v>12.54679742</v>
      </c>
      <c r="H75" s="20" t="n">
        <v>1.36784528</v>
      </c>
      <c r="I75" s="18" t="n">
        <v>0</v>
      </c>
      <c r="J75" s="20" t="n">
        <v>0</v>
      </c>
      <c r="K75" s="18" t="n">
        <v>0.14290749</v>
      </c>
      <c r="L75" s="20" t="n">
        <v>0.14010768</v>
      </c>
      <c r="M75" s="18" t="n">
        <v>0.38422377</v>
      </c>
      <c r="N75" s="20" t="n">
        <v>0.26986946</v>
      </c>
      <c r="O75" s="18" t="n">
        <v>0</v>
      </c>
      <c r="P75" s="20" t="n">
        <v>0</v>
      </c>
      <c r="Q75" s="18" t="n">
        <v>0.15426362</v>
      </c>
      <c r="R75" s="20" t="n">
        <v>0.10635478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(2372.0/B77*100)</f>
        <v/>
      </c>
      <c r="D77" s="19" t="n">
        <v>597</v>
      </c>
      <c r="E77" s="18" t="n">
        <v>84.18879574</v>
      </c>
      <c r="F77" s="20" t="n">
        <v>1.66302609</v>
      </c>
      <c r="G77" s="18" t="n">
        <v>4.22003014</v>
      </c>
      <c r="H77" s="20" t="n">
        <v>0.69588803</v>
      </c>
      <c r="I77" s="18" t="n">
        <v>0</v>
      </c>
      <c r="J77" s="20" t="n">
        <v>0</v>
      </c>
      <c r="K77" s="18" t="n">
        <v>4.96430738</v>
      </c>
      <c r="L77" s="20" t="n">
        <v>1.0810133</v>
      </c>
      <c r="M77" s="18" t="n">
        <v>0.71782581</v>
      </c>
      <c r="N77" s="20" t="n">
        <v>0.36362997</v>
      </c>
      <c r="O77" s="18" t="n">
        <v>0</v>
      </c>
      <c r="P77" s="20" t="n">
        <v>0</v>
      </c>
      <c r="Q77" s="18" t="n">
        <v>5.90904093</v>
      </c>
      <c r="R77" s="20" t="n">
        <v>1.36881814</v>
      </c>
    </row>
    <row r="78" spans="1:18">
      <c r="A78" s="15" t="s">
        <v>638</v>
      </c>
      <c r="B78" s="17" t="n">
        <v>7115</v>
      </c>
      <c r="C78" s="18">
        <f>(5548.0/B78*100)</f>
        <v/>
      </c>
      <c r="D78" s="19" t="n">
        <v>1567</v>
      </c>
      <c r="E78" s="18" t="n">
        <v>68.88197983000001</v>
      </c>
      <c r="F78" s="20" t="n">
        <v>1.3694868</v>
      </c>
      <c r="G78" s="18" t="n">
        <v>28.94253613</v>
      </c>
      <c r="H78" s="20" t="n">
        <v>1.30653543</v>
      </c>
      <c r="I78" s="18" t="n">
        <v>0</v>
      </c>
      <c r="J78" s="20" t="n">
        <v>0</v>
      </c>
      <c r="K78" s="18" t="n">
        <v>0.88072478</v>
      </c>
      <c r="L78" s="20" t="n">
        <v>0.29948351</v>
      </c>
      <c r="M78" s="18" t="n">
        <v>0.14629433</v>
      </c>
      <c r="N78" s="20" t="n">
        <v>0.1079614</v>
      </c>
      <c r="O78" s="18" t="n">
        <v>0</v>
      </c>
      <c r="P78" s="20" t="n">
        <v>0</v>
      </c>
      <c r="Q78" s="18" t="n">
        <v>1.14846493</v>
      </c>
      <c r="R78" s="20" t="n">
        <v>0.36526659</v>
      </c>
    </row>
    <row r="79" spans="1:18">
      <c r="A79" s="15" t="s">
        <v>639</v>
      </c>
      <c r="B79" s="17" t="n">
        <v>3154</v>
      </c>
      <c r="C79" s="18">
        <f>(2525.0/B79*100)</f>
        <v/>
      </c>
      <c r="D79" s="19" t="n">
        <v>629</v>
      </c>
      <c r="E79" s="18" t="n">
        <v>71.08617898999999</v>
      </c>
      <c r="F79" s="20" t="n">
        <v>1.99335722</v>
      </c>
      <c r="G79" s="18" t="n">
        <v>18.39469716</v>
      </c>
      <c r="H79" s="20" t="n">
        <v>1.73352019</v>
      </c>
      <c r="I79" s="18" t="n">
        <v>0</v>
      </c>
      <c r="J79" s="20" t="n">
        <v>0</v>
      </c>
      <c r="K79" s="18" t="n">
        <v>1.96757017</v>
      </c>
      <c r="L79" s="20" t="n">
        <v>0.49370745</v>
      </c>
      <c r="M79" s="18" t="n">
        <v>0</v>
      </c>
      <c r="N79" s="20" t="n">
        <v>0</v>
      </c>
      <c r="O79" s="18" t="n">
        <v>0</v>
      </c>
      <c r="P79" s="20" t="n">
        <v>0</v>
      </c>
      <c r="Q79" s="18" t="n">
        <v>8.55155368</v>
      </c>
      <c r="R79" s="20" t="n">
        <v>1.04463489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(12515.0/B82*100)</f>
        <v/>
      </c>
      <c r="D82" s="19" t="n">
        <v>3446</v>
      </c>
      <c r="E82" s="18" t="n">
        <v>67.76950447999999</v>
      </c>
      <c r="F82" s="20" t="n">
        <v>1.14342111</v>
      </c>
      <c r="G82" s="18" t="n">
        <v>29.32822361</v>
      </c>
      <c r="H82" s="20" t="n">
        <v>1.17848584</v>
      </c>
      <c r="I82" s="18" t="n">
        <v>0</v>
      </c>
      <c r="J82" s="20" t="n">
        <v>0</v>
      </c>
      <c r="K82" s="18" t="n">
        <v>0.53771647</v>
      </c>
      <c r="L82" s="20" t="n">
        <v>0.18767924</v>
      </c>
      <c r="M82" s="18" t="n">
        <v>0</v>
      </c>
      <c r="N82" s="20" t="n">
        <v>0</v>
      </c>
      <c r="O82" s="18" t="n">
        <v>0</v>
      </c>
      <c r="P82" s="20" t="n">
        <v>0</v>
      </c>
      <c r="Q82" s="18" t="n">
        <v>2.36455545</v>
      </c>
      <c r="R82" s="20" t="n">
        <v>0.32736838</v>
      </c>
    </row>
    <row r="83" spans="1:18">
      <c r="A83" s="15" t="s">
        <v>643</v>
      </c>
      <c r="B83" s="17" t="n">
        <v>808</v>
      </c>
      <c r="C83" s="18">
        <f>(651.0/B83*100)</f>
        <v/>
      </c>
      <c r="D83" s="19" t="n">
        <v>157</v>
      </c>
      <c r="E83" s="18" t="n">
        <v>48.74331879</v>
      </c>
      <c r="F83" s="20" t="n">
        <v>4.11280511</v>
      </c>
      <c r="G83" s="18" t="n">
        <v>50.03073334</v>
      </c>
      <c r="H83" s="20" t="n">
        <v>4.30256618</v>
      </c>
      <c r="I83" s="18" t="n">
        <v>0</v>
      </c>
      <c r="J83" s="20" t="n">
        <v>0</v>
      </c>
      <c r="K83" s="18" t="n">
        <v>0</v>
      </c>
      <c r="L83" s="20" t="n">
        <v>0</v>
      </c>
      <c r="M83" s="18" t="n">
        <v>0</v>
      </c>
      <c r="N83" s="20" t="n">
        <v>0</v>
      </c>
      <c r="O83" s="18" t="n">
        <v>0</v>
      </c>
      <c r="P83" s="20" t="n">
        <v>0</v>
      </c>
      <c r="Q83" s="18" t="n">
        <v>1.22594788</v>
      </c>
      <c r="R83" s="20" t="n">
        <v>0.87873276</v>
      </c>
    </row>
    <row r="84" spans="1:18">
      <c r="A84" s="23" t="s">
        <v>644</v>
      </c>
      <c r="B84" s="24" t="n">
        <v>938</v>
      </c>
      <c r="C84" s="25">
        <f>(744.0/B84*100)</f>
        <v/>
      </c>
      <c r="D84" s="19" t="n">
        <v>194</v>
      </c>
      <c r="E84" s="18" t="n">
        <v>70.00406687</v>
      </c>
      <c r="F84" s="20" t="n">
        <v>3.22924452</v>
      </c>
      <c r="G84" s="18" t="n">
        <v>29.4681869</v>
      </c>
      <c r="H84" s="20" t="n">
        <v>3.23087696</v>
      </c>
      <c r="I84" s="18" t="n">
        <v>0</v>
      </c>
      <c r="J84" s="20" t="n">
        <v>0</v>
      </c>
      <c r="K84" s="18" t="n">
        <v>0</v>
      </c>
      <c r="L84" s="20" t="n">
        <v>0</v>
      </c>
      <c r="M84" s="18" t="n">
        <v>0</v>
      </c>
      <c r="N84" s="20" t="n">
        <v>0</v>
      </c>
      <c r="O84" s="18" t="n">
        <v>0</v>
      </c>
      <c r="P84" s="20" t="n">
        <v>0</v>
      </c>
      <c r="Q84" s="18" t="n">
        <v>0.52774623</v>
      </c>
      <c r="R84" s="20" t="n">
        <v>0.65323314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(5636.0/B7*100)</f>
        <v/>
      </c>
      <c r="D7" s="19" t="n">
        <v>1527</v>
      </c>
      <c r="E7" s="18" t="n">
        <v>26.48409308</v>
      </c>
      <c r="F7" s="20" t="n">
        <v>1.36394829</v>
      </c>
      <c r="G7" s="18" t="n">
        <v>71.70934909</v>
      </c>
      <c r="H7" s="20" t="n">
        <v>1.364696</v>
      </c>
      <c r="I7" s="18" t="n">
        <v>0</v>
      </c>
      <c r="J7" s="20" t="n">
        <v>0</v>
      </c>
      <c r="K7" s="18" t="n">
        <v>0.63595616</v>
      </c>
      <c r="L7" s="20" t="n">
        <v>0.24962479</v>
      </c>
      <c r="M7" s="18" t="n">
        <v>0</v>
      </c>
      <c r="N7" s="20" t="n">
        <v>0</v>
      </c>
      <c r="O7" s="18" t="n">
        <v>0</v>
      </c>
      <c r="P7" s="20" t="n">
        <v>0</v>
      </c>
      <c r="Q7" s="18" t="n">
        <v>1.17060168</v>
      </c>
      <c r="R7" s="20" t="n">
        <v>0.29437896</v>
      </c>
    </row>
    <row r="8" spans="1:18">
      <c r="A8" s="15" t="s">
        <v>566</v>
      </c>
      <c r="B8" s="17" t="n">
        <v>3443</v>
      </c>
      <c r="C8" s="18">
        <f>(2680.0/B8*100)</f>
        <v/>
      </c>
      <c r="D8" s="19" t="n">
        <v>763</v>
      </c>
      <c r="E8" s="18" t="n">
        <v>35.4303719</v>
      </c>
      <c r="F8" s="20" t="n">
        <v>1.68737287</v>
      </c>
      <c r="G8" s="18" t="n">
        <v>63.31559588</v>
      </c>
      <c r="H8" s="20" t="n">
        <v>1.85583414</v>
      </c>
      <c r="I8" s="18" t="n">
        <v>0</v>
      </c>
      <c r="J8" s="20" t="n">
        <v>0</v>
      </c>
      <c r="K8" s="18" t="n">
        <v>0.40865371</v>
      </c>
      <c r="L8" s="20" t="n">
        <v>0.25725053</v>
      </c>
      <c r="M8" s="18" t="n">
        <v>0</v>
      </c>
      <c r="N8" s="20" t="n">
        <v>0</v>
      </c>
      <c r="O8" s="18" t="n">
        <v>0</v>
      </c>
      <c r="P8" s="20" t="n">
        <v>0</v>
      </c>
      <c r="Q8" s="18" t="n">
        <v>0.8453785</v>
      </c>
      <c r="R8" s="20" t="n">
        <v>0.45098291</v>
      </c>
    </row>
    <row r="9" spans="1:18">
      <c r="A9" s="15" t="s">
        <v>567</v>
      </c>
      <c r="B9" s="17" t="n">
        <v>4752</v>
      </c>
      <c r="C9" s="18">
        <f>(3774.0/B9*100)</f>
        <v/>
      </c>
      <c r="D9" s="19" t="n">
        <v>978</v>
      </c>
      <c r="E9" s="18" t="n">
        <v>45.43924273</v>
      </c>
      <c r="F9" s="20" t="n">
        <v>1.43812588</v>
      </c>
      <c r="G9" s="18" t="n">
        <v>52.0492576</v>
      </c>
      <c r="H9" s="20" t="n">
        <v>1.45432194</v>
      </c>
      <c r="I9" s="18" t="n">
        <v>0</v>
      </c>
      <c r="J9" s="20" t="n">
        <v>0</v>
      </c>
      <c r="K9" s="18" t="n">
        <v>1.09603756</v>
      </c>
      <c r="L9" s="20" t="n">
        <v>0.34161818</v>
      </c>
      <c r="M9" s="18" t="n">
        <v>0</v>
      </c>
      <c r="N9" s="20" t="n">
        <v>0</v>
      </c>
      <c r="O9" s="18" t="n">
        <v>0</v>
      </c>
      <c r="P9" s="20" t="n">
        <v>0</v>
      </c>
      <c r="Q9" s="18" t="n">
        <v>1.4154621</v>
      </c>
      <c r="R9" s="20" t="n">
        <v>0.30539113</v>
      </c>
    </row>
    <row r="10" spans="1:18">
      <c r="A10" s="15" t="s">
        <v>568</v>
      </c>
      <c r="B10" s="17" t="n">
        <v>10022</v>
      </c>
      <c r="C10" s="18">
        <f>(7841.0/B10*100)</f>
        <v/>
      </c>
      <c r="D10" s="19" t="n">
        <v>2181</v>
      </c>
      <c r="E10" s="18" t="n">
        <v>24.70292478</v>
      </c>
      <c r="F10" s="20" t="n">
        <v>1.37700058</v>
      </c>
      <c r="G10" s="18" t="n">
        <v>74.17473708</v>
      </c>
      <c r="H10" s="20" t="n">
        <v>1.41026577</v>
      </c>
      <c r="I10" s="18" t="n">
        <v>0</v>
      </c>
      <c r="J10" s="20" t="n">
        <v>0</v>
      </c>
      <c r="K10" s="18" t="n">
        <v>0.5901211</v>
      </c>
      <c r="L10" s="20" t="n">
        <v>0.2262538</v>
      </c>
      <c r="M10" s="18" t="n">
        <v>0</v>
      </c>
      <c r="N10" s="20" t="n">
        <v>0</v>
      </c>
      <c r="O10" s="18" t="n">
        <v>0</v>
      </c>
      <c r="P10" s="20" t="n">
        <v>0</v>
      </c>
      <c r="Q10" s="18" t="n">
        <v>0.53221705</v>
      </c>
      <c r="R10" s="20" t="n">
        <v>0.17199187</v>
      </c>
    </row>
    <row r="11" spans="1:18">
      <c r="A11" s="15" t="s">
        <v>569</v>
      </c>
      <c r="B11" s="17" t="n">
        <v>3500</v>
      </c>
      <c r="C11" s="18">
        <f>(2739.0/B11*100)</f>
        <v/>
      </c>
      <c r="D11" s="19" t="n">
        <v>761</v>
      </c>
      <c r="E11" s="18" t="n">
        <v>23.24607532</v>
      </c>
      <c r="F11" s="20" t="n">
        <v>1.67950126</v>
      </c>
      <c r="G11" s="18" t="n">
        <v>73.31661061</v>
      </c>
      <c r="H11" s="20" t="n">
        <v>1.73056106</v>
      </c>
      <c r="I11" s="18" t="n">
        <v>0</v>
      </c>
      <c r="J11" s="20" t="n">
        <v>0</v>
      </c>
      <c r="K11" s="18" t="n">
        <v>2.55004876</v>
      </c>
      <c r="L11" s="20" t="n">
        <v>0.71416718</v>
      </c>
      <c r="M11" s="18" t="n">
        <v>0</v>
      </c>
      <c r="N11" s="20" t="n">
        <v>0</v>
      </c>
      <c r="O11" s="18" t="n">
        <v>0</v>
      </c>
      <c r="P11" s="20" t="n">
        <v>0</v>
      </c>
      <c r="Q11" s="18" t="n">
        <v>0.88726531</v>
      </c>
      <c r="R11" s="20" t="n">
        <v>0.3414708</v>
      </c>
    </row>
    <row r="12" spans="1:18">
      <c r="A12" s="15" t="s">
        <v>570</v>
      </c>
      <c r="B12" s="17" t="n">
        <v>3422</v>
      </c>
      <c r="C12" s="18">
        <f>(2697.0/B12*100)</f>
        <v/>
      </c>
      <c r="D12" s="19" t="n">
        <v>725</v>
      </c>
      <c r="E12" s="18" t="n">
        <v>29.16073304</v>
      </c>
      <c r="F12" s="20" t="n">
        <v>1.91277473</v>
      </c>
      <c r="G12" s="18" t="n">
        <v>69.36542321</v>
      </c>
      <c r="H12" s="20" t="n">
        <v>1.99436132</v>
      </c>
      <c r="I12" s="18" t="n">
        <v>0</v>
      </c>
      <c r="J12" s="20" t="n">
        <v>0</v>
      </c>
      <c r="K12" s="18" t="n">
        <v>0.68860301</v>
      </c>
      <c r="L12" s="20" t="n">
        <v>0.2716177</v>
      </c>
      <c r="M12" s="18" t="n">
        <v>0</v>
      </c>
      <c r="N12" s="20" t="n">
        <v>0</v>
      </c>
      <c r="O12" s="18" t="n">
        <v>0</v>
      </c>
      <c r="P12" s="20" t="n">
        <v>0</v>
      </c>
      <c r="Q12" s="18" t="n">
        <v>0.78524074</v>
      </c>
      <c r="R12" s="20" t="n">
        <v>0.3525455</v>
      </c>
    </row>
    <row r="13" spans="1:18">
      <c r="A13" s="15" t="s">
        <v>571</v>
      </c>
      <c r="B13" s="17" t="n">
        <v>3602</v>
      </c>
      <c r="C13" s="18">
        <f>(2864.0/B13*100)</f>
        <v/>
      </c>
      <c r="D13" s="19" t="n">
        <v>738</v>
      </c>
      <c r="E13" s="18" t="n">
        <v>45.12117746</v>
      </c>
      <c r="F13" s="20" t="n">
        <v>2.46395212</v>
      </c>
      <c r="G13" s="18" t="n">
        <v>52.88820898</v>
      </c>
      <c r="H13" s="20" t="n">
        <v>2.59458463</v>
      </c>
      <c r="I13" s="18" t="n">
        <v>0</v>
      </c>
      <c r="J13" s="20" t="n">
        <v>0</v>
      </c>
      <c r="K13" s="18" t="n">
        <v>1.1704761</v>
      </c>
      <c r="L13" s="20" t="n">
        <v>0.52158819</v>
      </c>
      <c r="M13" s="18" t="n">
        <v>0</v>
      </c>
      <c r="N13" s="20" t="n">
        <v>0</v>
      </c>
      <c r="O13" s="18" t="n">
        <v>0</v>
      </c>
      <c r="P13" s="20" t="n">
        <v>0</v>
      </c>
      <c r="Q13" s="18" t="n">
        <v>0.82013746</v>
      </c>
      <c r="R13" s="20" t="n">
        <v>0.40277495</v>
      </c>
    </row>
    <row r="14" spans="1:18">
      <c r="A14" s="15" t="s">
        <v>572</v>
      </c>
      <c r="B14" s="17" t="n">
        <v>2788</v>
      </c>
      <c r="C14" s="18">
        <f>(2186.0/B14*100)</f>
        <v/>
      </c>
      <c r="D14" s="19" t="n">
        <v>602</v>
      </c>
      <c r="E14" s="18" t="n">
        <v>26.97898701</v>
      </c>
      <c r="F14" s="20" t="n">
        <v>1.85216965</v>
      </c>
      <c r="G14" s="18" t="n">
        <v>72.72853503</v>
      </c>
      <c r="H14" s="20" t="n">
        <v>1.85146799</v>
      </c>
      <c r="I14" s="18" t="n">
        <v>0</v>
      </c>
      <c r="J14" s="20" t="n">
        <v>0</v>
      </c>
      <c r="K14" s="18" t="n">
        <v>0.13065864</v>
      </c>
      <c r="L14" s="20" t="n">
        <v>0.12270063</v>
      </c>
      <c r="M14" s="18" t="n">
        <v>0</v>
      </c>
      <c r="N14" s="20" t="n">
        <v>0</v>
      </c>
      <c r="O14" s="18" t="n">
        <v>0</v>
      </c>
      <c r="P14" s="20" t="n">
        <v>0</v>
      </c>
      <c r="Q14" s="18" t="n">
        <v>0.16181932</v>
      </c>
      <c r="R14" s="20" t="n">
        <v>0.16333445</v>
      </c>
    </row>
    <row r="15" spans="1:18">
      <c r="A15" s="15" t="s">
        <v>573</v>
      </c>
      <c r="B15" s="17" t="n">
        <v>2863</v>
      </c>
      <c r="C15" s="18">
        <f>(2222.0/B15*100)</f>
        <v/>
      </c>
      <c r="D15" s="19" t="n">
        <v>641</v>
      </c>
      <c r="E15" s="18" t="n">
        <v>17.1664978</v>
      </c>
      <c r="F15" s="20" t="n">
        <v>1.43747755</v>
      </c>
      <c r="G15" s="18" t="n">
        <v>81.92892663000001</v>
      </c>
      <c r="H15" s="20" t="n">
        <v>1.38534643</v>
      </c>
      <c r="I15" s="18" t="n">
        <v>0</v>
      </c>
      <c r="J15" s="20" t="n">
        <v>0</v>
      </c>
      <c r="K15" s="18" t="n">
        <v>0.31984567</v>
      </c>
      <c r="L15" s="20" t="n">
        <v>0.25251486</v>
      </c>
      <c r="M15" s="18" t="n">
        <v>0</v>
      </c>
      <c r="N15" s="20" t="n">
        <v>0</v>
      </c>
      <c r="O15" s="18" t="n">
        <v>0</v>
      </c>
      <c r="P15" s="20" t="n">
        <v>0</v>
      </c>
      <c r="Q15" s="18" t="n">
        <v>0.5847299</v>
      </c>
      <c r="R15" s="20" t="n">
        <v>0.2958859</v>
      </c>
    </row>
    <row r="16" spans="1:18">
      <c r="A16" s="15" t="s">
        <v>574</v>
      </c>
      <c r="B16" s="17" t="n">
        <v>3111</v>
      </c>
      <c r="C16" s="18">
        <f>(2428.0/B16*100)</f>
        <v/>
      </c>
      <c r="D16" s="19" t="n">
        <v>683</v>
      </c>
      <c r="E16" s="18" t="n">
        <v>46.39117831</v>
      </c>
      <c r="F16" s="20" t="n">
        <v>2.04814168</v>
      </c>
      <c r="G16" s="18" t="n">
        <v>51.44379476</v>
      </c>
      <c r="H16" s="20" t="n">
        <v>1.97642498</v>
      </c>
      <c r="I16" s="18" t="n">
        <v>0</v>
      </c>
      <c r="J16" s="20" t="n">
        <v>0</v>
      </c>
      <c r="K16" s="18" t="n">
        <v>0.74476177</v>
      </c>
      <c r="L16" s="20" t="n">
        <v>0.29875457</v>
      </c>
      <c r="M16" s="18" t="n">
        <v>0</v>
      </c>
      <c r="N16" s="20" t="n">
        <v>0</v>
      </c>
      <c r="O16" s="18" t="n">
        <v>0</v>
      </c>
      <c r="P16" s="20" t="n">
        <v>0</v>
      </c>
      <c r="Q16" s="18" t="n">
        <v>1.42026516</v>
      </c>
      <c r="R16" s="20" t="n">
        <v>0.5630238400000001</v>
      </c>
    </row>
    <row r="17" spans="1:18">
      <c r="A17" s="15" t="s">
        <v>575</v>
      </c>
      <c r="B17" s="17" t="n">
        <v>3197</v>
      </c>
      <c r="C17" s="18">
        <f>(2559.0/B17*100)</f>
        <v/>
      </c>
      <c r="D17" s="19" t="n">
        <v>638</v>
      </c>
      <c r="E17" s="18" t="n">
        <v>33.05390879</v>
      </c>
      <c r="F17" s="20" t="n">
        <v>1.8422992</v>
      </c>
      <c r="G17" s="18" t="n">
        <v>65.40691421</v>
      </c>
      <c r="H17" s="20" t="n">
        <v>1.9564044</v>
      </c>
      <c r="I17" s="18" t="n">
        <v>0</v>
      </c>
      <c r="J17" s="20" t="n">
        <v>0</v>
      </c>
      <c r="K17" s="18" t="n">
        <v>0.3240055</v>
      </c>
      <c r="L17" s="20" t="n">
        <v>0.2205484</v>
      </c>
      <c r="M17" s="18" t="n">
        <v>0</v>
      </c>
      <c r="N17" s="20" t="n">
        <v>0</v>
      </c>
      <c r="O17" s="18" t="n">
        <v>0</v>
      </c>
      <c r="P17" s="20" t="n">
        <v>0</v>
      </c>
      <c r="Q17" s="18" t="n">
        <v>1.2151715</v>
      </c>
      <c r="R17" s="20" t="n">
        <v>0.43244973</v>
      </c>
    </row>
    <row r="18" spans="1:18">
      <c r="A18" s="15" t="s">
        <v>576</v>
      </c>
      <c r="B18" s="17" t="n">
        <v>2706</v>
      </c>
      <c r="C18" s="18">
        <f>(2114.0/B18*100)</f>
        <v/>
      </c>
      <c r="D18" s="19" t="n">
        <v>592</v>
      </c>
      <c r="E18" s="18" t="n">
        <v>43.90295058</v>
      </c>
      <c r="F18" s="20" t="n">
        <v>2.53898812</v>
      </c>
      <c r="G18" s="18" t="n">
        <v>53.65079622</v>
      </c>
      <c r="H18" s="20" t="n">
        <v>2.4018864</v>
      </c>
      <c r="I18" s="18" t="n">
        <v>0</v>
      </c>
      <c r="J18" s="20" t="n">
        <v>0</v>
      </c>
      <c r="K18" s="18" t="n">
        <v>1.34005781</v>
      </c>
      <c r="L18" s="20" t="n">
        <v>0.59852437</v>
      </c>
      <c r="M18" s="18" t="n">
        <v>0</v>
      </c>
      <c r="N18" s="20" t="n">
        <v>0</v>
      </c>
      <c r="O18" s="18" t="n">
        <v>0</v>
      </c>
      <c r="P18" s="20" t="n">
        <v>0</v>
      </c>
      <c r="Q18" s="18" t="n">
        <v>1.10619539</v>
      </c>
      <c r="R18" s="20" t="n">
        <v>0.47886359</v>
      </c>
    </row>
    <row r="19" spans="1:18">
      <c r="A19" s="15" t="s">
        <v>577</v>
      </c>
      <c r="B19" s="17" t="n">
        <v>2850</v>
      </c>
      <c r="C19" s="18">
        <f>(2253.0/B19*100)</f>
        <v/>
      </c>
      <c r="D19" s="19" t="n">
        <v>597</v>
      </c>
      <c r="E19" s="18" t="n">
        <v>37.35605494</v>
      </c>
      <c r="F19" s="20" t="n">
        <v>1.98786951</v>
      </c>
      <c r="G19" s="18" t="n">
        <v>61.95155453</v>
      </c>
      <c r="H19" s="20" t="n">
        <v>1.98622176</v>
      </c>
      <c r="I19" s="18" t="n">
        <v>0</v>
      </c>
      <c r="J19" s="20" t="n">
        <v>0</v>
      </c>
      <c r="K19" s="18" t="n">
        <v>0.14594541</v>
      </c>
      <c r="L19" s="20" t="n">
        <v>0.14668789</v>
      </c>
      <c r="M19" s="18" t="n">
        <v>0</v>
      </c>
      <c r="N19" s="20" t="n">
        <v>0</v>
      </c>
      <c r="O19" s="18" t="n">
        <v>0</v>
      </c>
      <c r="P19" s="20" t="n">
        <v>0</v>
      </c>
      <c r="Q19" s="18" t="n">
        <v>0.5464451299999999</v>
      </c>
      <c r="R19" s="20" t="n">
        <v>0.2756188</v>
      </c>
    </row>
    <row r="20" spans="1:18">
      <c r="A20" s="15" t="s">
        <v>578</v>
      </c>
      <c r="B20" s="17" t="n">
        <v>1741</v>
      </c>
      <c r="C20" s="18">
        <f>(1382.0/B20*100)</f>
        <v/>
      </c>
      <c r="D20" s="19" t="n">
        <v>359</v>
      </c>
      <c r="E20" s="18" t="n">
        <v>34.16168638</v>
      </c>
      <c r="F20" s="20" t="n">
        <v>2.31275649</v>
      </c>
      <c r="G20" s="18" t="n">
        <v>63.96018436</v>
      </c>
      <c r="H20" s="20" t="n">
        <v>2.29338139</v>
      </c>
      <c r="I20" s="18" t="n">
        <v>0</v>
      </c>
      <c r="J20" s="20" t="n">
        <v>0</v>
      </c>
      <c r="K20" s="18" t="n">
        <v>0.59790532</v>
      </c>
      <c r="L20" s="20" t="n">
        <v>0.41376206</v>
      </c>
      <c r="M20" s="18" t="n">
        <v>0</v>
      </c>
      <c r="N20" s="20" t="n">
        <v>0</v>
      </c>
      <c r="O20" s="18" t="n">
        <v>0</v>
      </c>
      <c r="P20" s="20" t="n">
        <v>0</v>
      </c>
      <c r="Q20" s="18" t="n">
        <v>1.28022394</v>
      </c>
      <c r="R20" s="20" t="n">
        <v>0.58369499</v>
      </c>
    </row>
    <row r="21" spans="1:18">
      <c r="A21" s="15" t="s">
        <v>579</v>
      </c>
      <c r="B21" s="17" t="n">
        <v>2833</v>
      </c>
      <c r="C21" s="18">
        <f>(2217.0/B21*100)</f>
        <v/>
      </c>
      <c r="D21" s="19" t="n">
        <v>616</v>
      </c>
      <c r="E21" s="18" t="n">
        <v>29.4412691</v>
      </c>
      <c r="F21" s="20" t="n">
        <v>1.93297005</v>
      </c>
      <c r="G21" s="18" t="n">
        <v>69.54837625</v>
      </c>
      <c r="H21" s="20" t="n">
        <v>1.94464903</v>
      </c>
      <c r="I21" s="18" t="n">
        <v>0</v>
      </c>
      <c r="J21" s="20" t="n">
        <v>0</v>
      </c>
      <c r="K21" s="18" t="n">
        <v>0</v>
      </c>
      <c r="L21" s="20" t="n">
        <v>0</v>
      </c>
      <c r="M21" s="18" t="n">
        <v>0</v>
      </c>
      <c r="N21" s="20" t="n">
        <v>0</v>
      </c>
      <c r="O21" s="18" t="n">
        <v>0</v>
      </c>
      <c r="P21" s="20" t="n">
        <v>0</v>
      </c>
      <c r="Q21" s="18" t="n">
        <v>1.01035465</v>
      </c>
      <c r="R21" s="20" t="n">
        <v>0.41496756</v>
      </c>
    </row>
    <row r="22" spans="1:18">
      <c r="A22" s="15" t="s">
        <v>580</v>
      </c>
      <c r="B22" s="17" t="n">
        <v>3667</v>
      </c>
      <c r="C22" s="18">
        <f>(2884.0/B22*100)</f>
        <v/>
      </c>
      <c r="D22" s="19" t="n">
        <v>783</v>
      </c>
      <c r="E22" s="18" t="n">
        <v>28.56789057</v>
      </c>
      <c r="F22" s="20" t="n">
        <v>1.76812084</v>
      </c>
      <c r="G22" s="18" t="n">
        <v>66.72840600000001</v>
      </c>
      <c r="H22" s="20" t="n">
        <v>1.81353725</v>
      </c>
      <c r="I22" s="18" t="n">
        <v>0</v>
      </c>
      <c r="J22" s="20" t="n">
        <v>0</v>
      </c>
      <c r="K22" s="18" t="n">
        <v>2.16185047</v>
      </c>
      <c r="L22" s="20" t="n">
        <v>0.62214843</v>
      </c>
      <c r="M22" s="18" t="n">
        <v>0</v>
      </c>
      <c r="N22" s="20" t="n">
        <v>0</v>
      </c>
      <c r="O22" s="18" t="n">
        <v>0</v>
      </c>
      <c r="P22" s="20" t="n">
        <v>0</v>
      </c>
      <c r="Q22" s="18" t="n">
        <v>2.54185297</v>
      </c>
      <c r="R22" s="20" t="n">
        <v>0.66373817</v>
      </c>
    </row>
    <row r="23" spans="1:18">
      <c r="A23" s="15" t="s">
        <v>581</v>
      </c>
      <c r="B23" s="17" t="n">
        <v>5792</v>
      </c>
      <c r="C23" s="18">
        <f>(4517.0/B23*100)</f>
        <v/>
      </c>
      <c r="D23" s="19" t="n">
        <v>1275</v>
      </c>
      <c r="E23" s="18" t="n">
        <v>41.93255411</v>
      </c>
      <c r="F23" s="20" t="n">
        <v>2.23772663</v>
      </c>
      <c r="G23" s="18" t="n">
        <v>54.72173466</v>
      </c>
      <c r="H23" s="20" t="n">
        <v>2.53717898</v>
      </c>
      <c r="I23" s="18" t="n">
        <v>0</v>
      </c>
      <c r="J23" s="20" t="n">
        <v>0</v>
      </c>
      <c r="K23" s="18" t="n">
        <v>1.35419013</v>
      </c>
      <c r="L23" s="20" t="n">
        <v>0.68587052</v>
      </c>
      <c r="M23" s="18" t="n">
        <v>0</v>
      </c>
      <c r="N23" s="20" t="n">
        <v>0</v>
      </c>
      <c r="O23" s="18" t="n">
        <v>0</v>
      </c>
      <c r="P23" s="20" t="n">
        <v>0</v>
      </c>
      <c r="Q23" s="18" t="n">
        <v>1.99152111</v>
      </c>
      <c r="R23" s="20" t="n">
        <v>0.65746727</v>
      </c>
    </row>
    <row r="24" spans="1:18">
      <c r="A24" s="15" t="s">
        <v>582</v>
      </c>
      <c r="B24" s="17" t="n">
        <v>3309</v>
      </c>
      <c r="C24" s="18">
        <f>(2569.0/B24*100)</f>
        <v/>
      </c>
      <c r="D24" s="19" t="n">
        <v>740</v>
      </c>
      <c r="E24" s="18" t="n">
        <v>21.81365522</v>
      </c>
      <c r="F24" s="20" t="n">
        <v>1.28023287</v>
      </c>
      <c r="G24" s="18" t="n">
        <v>76.53276483</v>
      </c>
      <c r="H24" s="20" t="n">
        <v>1.40466822</v>
      </c>
      <c r="I24" s="18" t="n">
        <v>0</v>
      </c>
      <c r="J24" s="20" t="n">
        <v>0</v>
      </c>
      <c r="K24" s="18" t="n">
        <v>0</v>
      </c>
      <c r="L24" s="20" t="n">
        <v>0</v>
      </c>
      <c r="M24" s="18" t="n">
        <v>0</v>
      </c>
      <c r="N24" s="20" t="n">
        <v>0</v>
      </c>
      <c r="O24" s="18" t="n">
        <v>0</v>
      </c>
      <c r="P24" s="20" t="n">
        <v>0</v>
      </c>
      <c r="Q24" s="18" t="n">
        <v>1.65357994</v>
      </c>
      <c r="R24" s="20" t="n">
        <v>0.54376526</v>
      </c>
    </row>
    <row r="25" spans="1:18">
      <c r="A25" s="15" t="s">
        <v>583</v>
      </c>
      <c r="B25" s="17" t="n">
        <v>2669</v>
      </c>
      <c r="C25" s="18">
        <f>(2075.0/B25*100)</f>
        <v/>
      </c>
      <c r="D25" s="19" t="n">
        <v>594</v>
      </c>
      <c r="E25" s="18" t="n">
        <v>20.34603298</v>
      </c>
      <c r="F25" s="20" t="n">
        <v>1.84742995</v>
      </c>
      <c r="G25" s="18" t="n">
        <v>79.10781918000001</v>
      </c>
      <c r="H25" s="20" t="n">
        <v>1.83565324</v>
      </c>
      <c r="I25" s="18" t="n">
        <v>0</v>
      </c>
      <c r="J25" s="20" t="n">
        <v>0</v>
      </c>
      <c r="K25" s="18" t="n">
        <v>0</v>
      </c>
      <c r="L25" s="20" t="n">
        <v>0</v>
      </c>
      <c r="M25" s="18" t="n">
        <v>0</v>
      </c>
      <c r="N25" s="20" t="n">
        <v>0</v>
      </c>
      <c r="O25" s="18" t="n">
        <v>0</v>
      </c>
      <c r="P25" s="20" t="n">
        <v>0</v>
      </c>
      <c r="Q25" s="18" t="n">
        <v>0.5461478400000001</v>
      </c>
      <c r="R25" s="20" t="n">
        <v>0.31832247</v>
      </c>
    </row>
    <row r="26" spans="1:18">
      <c r="A26" s="15" t="s">
        <v>584</v>
      </c>
      <c r="B26" s="17" t="n">
        <v>2419</v>
      </c>
      <c r="C26" s="18">
        <f>(1896.0/B26*100)</f>
        <v/>
      </c>
      <c r="D26" s="19" t="n">
        <v>523</v>
      </c>
      <c r="E26" s="18" t="n">
        <v>25.50076584</v>
      </c>
      <c r="F26" s="20" t="n">
        <v>2.03896595</v>
      </c>
      <c r="G26" s="18" t="n">
        <v>73.83259034</v>
      </c>
      <c r="H26" s="20" t="n">
        <v>2.05963137</v>
      </c>
      <c r="I26" s="18" t="n">
        <v>0</v>
      </c>
      <c r="J26" s="20" t="n">
        <v>0</v>
      </c>
      <c r="K26" s="18" t="n">
        <v>0</v>
      </c>
      <c r="L26" s="20" t="n">
        <v>0</v>
      </c>
      <c r="M26" s="18" t="n">
        <v>0</v>
      </c>
      <c r="N26" s="20" t="n">
        <v>0</v>
      </c>
      <c r="O26" s="18" t="n">
        <v>0</v>
      </c>
      <c r="P26" s="20" t="n">
        <v>0</v>
      </c>
      <c r="Q26" s="18" t="n">
        <v>0.66664382</v>
      </c>
      <c r="R26" s="20" t="n">
        <v>0.33163324</v>
      </c>
    </row>
    <row r="27" spans="1:18">
      <c r="A27" s="15" t="s">
        <v>585</v>
      </c>
      <c r="B27" s="17" t="n">
        <v>2683</v>
      </c>
      <c r="C27" s="18">
        <f>(2133.0/B27*100)</f>
        <v/>
      </c>
      <c r="D27" s="19" t="n">
        <v>550</v>
      </c>
      <c r="E27" s="18" t="n">
        <v>38.67115284</v>
      </c>
      <c r="F27" s="20" t="n">
        <v>2.22286115</v>
      </c>
      <c r="G27" s="18" t="n">
        <v>59.31653103</v>
      </c>
      <c r="H27" s="20" t="n">
        <v>2.15811445</v>
      </c>
      <c r="I27" s="18" t="n">
        <v>0</v>
      </c>
      <c r="J27" s="20" t="n">
        <v>0</v>
      </c>
      <c r="K27" s="18" t="n">
        <v>0.38515153</v>
      </c>
      <c r="L27" s="20" t="n">
        <v>0.27048753</v>
      </c>
      <c r="M27" s="18" t="n">
        <v>0</v>
      </c>
      <c r="N27" s="20" t="n">
        <v>0</v>
      </c>
      <c r="O27" s="18" t="n">
        <v>0</v>
      </c>
      <c r="P27" s="20" t="n">
        <v>0</v>
      </c>
      <c r="Q27" s="18" t="n">
        <v>1.6271646</v>
      </c>
      <c r="R27" s="20" t="n">
        <v>0.53098897</v>
      </c>
    </row>
    <row r="28" spans="1:18">
      <c r="A28" s="15" t="s">
        <v>586</v>
      </c>
      <c r="B28" s="17" t="n">
        <v>3803</v>
      </c>
      <c r="C28" s="18">
        <f>(3064.0/B28*100)</f>
        <v/>
      </c>
      <c r="D28" s="19" t="n">
        <v>739</v>
      </c>
      <c r="E28" s="18" t="n">
        <v>39.64334941</v>
      </c>
      <c r="F28" s="20" t="n">
        <v>1.90695904</v>
      </c>
      <c r="G28" s="18" t="n">
        <v>57.38867069</v>
      </c>
      <c r="H28" s="20" t="n">
        <v>2.2633214</v>
      </c>
      <c r="I28" s="18" t="n">
        <v>0</v>
      </c>
      <c r="J28" s="20" t="n">
        <v>0</v>
      </c>
      <c r="K28" s="18" t="n">
        <v>2.18640286</v>
      </c>
      <c r="L28" s="20" t="n">
        <v>1.03208517</v>
      </c>
      <c r="M28" s="18" t="n">
        <v>0</v>
      </c>
      <c r="N28" s="20" t="n">
        <v>0</v>
      </c>
      <c r="O28" s="18" t="n">
        <v>0</v>
      </c>
      <c r="P28" s="20" t="n">
        <v>0</v>
      </c>
      <c r="Q28" s="18" t="n">
        <v>0.7815770399999999</v>
      </c>
      <c r="R28" s="20" t="n">
        <v>0.35365208</v>
      </c>
    </row>
    <row r="29" spans="1:18">
      <c r="A29" s="15" t="s">
        <v>587</v>
      </c>
      <c r="B29" s="17" t="n">
        <v>2700</v>
      </c>
      <c r="C29" s="18">
        <f>(2127.0/B29*100)</f>
        <v/>
      </c>
      <c r="D29" s="19" t="n">
        <v>573</v>
      </c>
      <c r="E29" s="18" t="n">
        <v>35.79750119</v>
      </c>
      <c r="F29" s="20" t="n">
        <v>2.03686275</v>
      </c>
      <c r="G29" s="18" t="n">
        <v>63.22659933</v>
      </c>
      <c r="H29" s="20" t="n">
        <v>2.03778546</v>
      </c>
      <c r="I29" s="18" t="n">
        <v>0</v>
      </c>
      <c r="J29" s="20" t="n">
        <v>0</v>
      </c>
      <c r="K29" s="18" t="n">
        <v>0</v>
      </c>
      <c r="L29" s="20" t="n">
        <v>0</v>
      </c>
      <c r="M29" s="18" t="n">
        <v>0</v>
      </c>
      <c r="N29" s="20" t="n">
        <v>0</v>
      </c>
      <c r="O29" s="18" t="n">
        <v>0</v>
      </c>
      <c r="P29" s="20" t="n">
        <v>0</v>
      </c>
      <c r="Q29" s="18" t="n">
        <v>0.97589948</v>
      </c>
      <c r="R29" s="20" t="n">
        <v>0.48125179</v>
      </c>
    </row>
    <row r="30" spans="1:18">
      <c r="A30" s="15" t="s">
        <v>588</v>
      </c>
      <c r="B30" s="17" t="n">
        <v>2257</v>
      </c>
      <c r="C30" s="18">
        <f>(1787.0/B30*100)</f>
        <v/>
      </c>
      <c r="D30" s="19" t="n">
        <v>470</v>
      </c>
      <c r="E30" s="18" t="n">
        <v>33.5176244</v>
      </c>
      <c r="F30" s="20" t="n">
        <v>2.64743203</v>
      </c>
      <c r="G30" s="18" t="n">
        <v>65.08603714</v>
      </c>
      <c r="H30" s="20" t="n">
        <v>2.55692161</v>
      </c>
      <c r="I30" s="18" t="n">
        <v>0</v>
      </c>
      <c r="J30" s="20" t="n">
        <v>0</v>
      </c>
      <c r="K30" s="18" t="n">
        <v>0.43755493</v>
      </c>
      <c r="L30" s="20" t="n">
        <v>0.33766181</v>
      </c>
      <c r="M30" s="18" t="n">
        <v>0</v>
      </c>
      <c r="N30" s="20" t="n">
        <v>0</v>
      </c>
      <c r="O30" s="18" t="n">
        <v>0</v>
      </c>
      <c r="P30" s="20" t="n">
        <v>0</v>
      </c>
      <c r="Q30" s="18" t="n">
        <v>0.9587835300000001</v>
      </c>
      <c r="R30" s="20" t="n">
        <v>0.4928885</v>
      </c>
    </row>
    <row r="31" spans="1:18">
      <c r="A31" s="15" t="s">
        <v>589</v>
      </c>
      <c r="B31" s="17" t="n">
        <v>2706</v>
      </c>
      <c r="C31" s="18">
        <f>(2138.0/B31*100)</f>
        <v/>
      </c>
      <c r="D31" s="19" t="n">
        <v>568</v>
      </c>
      <c r="E31" s="18" t="n">
        <v>33.31420913</v>
      </c>
      <c r="F31" s="20" t="n">
        <v>2.09692974</v>
      </c>
      <c r="G31" s="18" t="n">
        <v>64.64396306</v>
      </c>
      <c r="H31" s="20" t="n">
        <v>2.10587794</v>
      </c>
      <c r="I31" s="18" t="n">
        <v>0</v>
      </c>
      <c r="J31" s="20" t="n">
        <v>0</v>
      </c>
      <c r="K31" s="18" t="n">
        <v>1.37326489</v>
      </c>
      <c r="L31" s="20" t="n">
        <v>0.52572888</v>
      </c>
      <c r="M31" s="18" t="n">
        <v>0</v>
      </c>
      <c r="N31" s="20" t="n">
        <v>0</v>
      </c>
      <c r="O31" s="18" t="n">
        <v>0</v>
      </c>
      <c r="P31" s="20" t="n">
        <v>0</v>
      </c>
      <c r="Q31" s="18" t="n">
        <v>0.66856291</v>
      </c>
      <c r="R31" s="20" t="n">
        <v>0.33957651</v>
      </c>
    </row>
    <row r="32" spans="1:18">
      <c r="A32" s="15" t="s">
        <v>590</v>
      </c>
      <c r="B32" s="17" t="n">
        <v>2209</v>
      </c>
      <c r="C32" s="18">
        <f>(1691.0/B32*100)</f>
        <v/>
      </c>
      <c r="D32" s="19" t="n">
        <v>518</v>
      </c>
      <c r="E32" s="18" t="n">
        <v>20.44593428</v>
      </c>
      <c r="F32" s="20" t="n">
        <v>1.78896445</v>
      </c>
      <c r="G32" s="18" t="n">
        <v>79.18463474000001</v>
      </c>
      <c r="H32" s="20" t="n">
        <v>1.79980691</v>
      </c>
      <c r="I32" s="18" t="n">
        <v>0</v>
      </c>
      <c r="J32" s="20" t="n">
        <v>0</v>
      </c>
      <c r="K32" s="18" t="n">
        <v>0</v>
      </c>
      <c r="L32" s="20" t="n">
        <v>0</v>
      </c>
      <c r="M32" s="18" t="n">
        <v>0</v>
      </c>
      <c r="N32" s="20" t="n">
        <v>0</v>
      </c>
      <c r="O32" s="18" t="n">
        <v>0</v>
      </c>
      <c r="P32" s="20" t="n">
        <v>0</v>
      </c>
      <c r="Q32" s="18" t="n">
        <v>0.36943098</v>
      </c>
      <c r="R32" s="20" t="n">
        <v>0.2587149</v>
      </c>
    </row>
    <row r="33" spans="1:18">
      <c r="A33" s="15" t="s">
        <v>591</v>
      </c>
      <c r="B33" s="17" t="n">
        <v>3651</v>
      </c>
      <c r="C33" s="18">
        <f>(2851.0/B33*100)</f>
        <v/>
      </c>
      <c r="D33" s="19" t="n">
        <v>800</v>
      </c>
      <c r="E33" s="18" t="n">
        <v>30.41033162</v>
      </c>
      <c r="F33" s="20" t="n">
        <v>1.81851407</v>
      </c>
      <c r="G33" s="18" t="n">
        <v>67.42406515</v>
      </c>
      <c r="H33" s="20" t="n">
        <v>1.83959967</v>
      </c>
      <c r="I33" s="18" t="n">
        <v>0</v>
      </c>
      <c r="J33" s="20" t="n">
        <v>0</v>
      </c>
      <c r="K33" s="18" t="n">
        <v>1.33704657</v>
      </c>
      <c r="L33" s="20" t="n">
        <v>0.58088864</v>
      </c>
      <c r="M33" s="18" t="n">
        <v>0</v>
      </c>
      <c r="N33" s="20" t="n">
        <v>0</v>
      </c>
      <c r="O33" s="18" t="n">
        <v>0</v>
      </c>
      <c r="P33" s="20" t="n">
        <v>0</v>
      </c>
      <c r="Q33" s="18" t="n">
        <v>0.82855667</v>
      </c>
      <c r="R33" s="20" t="n">
        <v>0.45110041</v>
      </c>
    </row>
    <row r="34" spans="1:18">
      <c r="A34" s="15" t="s">
        <v>592</v>
      </c>
      <c r="B34" s="17" t="n">
        <v>3035</v>
      </c>
      <c r="C34" s="18">
        <f>(2428.0/B34*100)</f>
        <v/>
      </c>
      <c r="D34" s="19" t="n">
        <v>607</v>
      </c>
      <c r="E34" s="18" t="n">
        <v>38.00921031</v>
      </c>
      <c r="F34" s="20" t="n">
        <v>2.09680399</v>
      </c>
      <c r="G34" s="18" t="n">
        <v>60.90472996</v>
      </c>
      <c r="H34" s="20" t="n">
        <v>2.03512175</v>
      </c>
      <c r="I34" s="18" t="n">
        <v>0</v>
      </c>
      <c r="J34" s="20" t="n">
        <v>0</v>
      </c>
      <c r="K34" s="18" t="n">
        <v>0.14862328</v>
      </c>
      <c r="L34" s="20" t="n">
        <v>0.14068406</v>
      </c>
      <c r="M34" s="18" t="n">
        <v>0</v>
      </c>
      <c r="N34" s="20" t="n">
        <v>0</v>
      </c>
      <c r="O34" s="18" t="n">
        <v>0</v>
      </c>
      <c r="P34" s="20" t="n">
        <v>0</v>
      </c>
      <c r="Q34" s="18" t="n">
        <v>0.93743645</v>
      </c>
      <c r="R34" s="20" t="n">
        <v>0.43193832</v>
      </c>
    </row>
    <row r="35" spans="1:18">
      <c r="A35" s="15" t="s">
        <v>593</v>
      </c>
      <c r="B35" s="17" t="n">
        <v>2901</v>
      </c>
      <c r="C35" s="18">
        <f>(2285.0/B35*100)</f>
        <v/>
      </c>
      <c r="D35" s="19" t="n">
        <v>616</v>
      </c>
      <c r="E35" s="18" t="n">
        <v>24.38541711</v>
      </c>
      <c r="F35" s="20" t="n">
        <v>1.88656645</v>
      </c>
      <c r="G35" s="18" t="n">
        <v>75.31564791</v>
      </c>
      <c r="H35" s="20" t="n">
        <v>1.88861049</v>
      </c>
      <c r="I35" s="18" t="n">
        <v>0</v>
      </c>
      <c r="J35" s="20" t="n">
        <v>0</v>
      </c>
      <c r="K35" s="18" t="n">
        <v>0</v>
      </c>
      <c r="L35" s="20" t="n">
        <v>0</v>
      </c>
      <c r="M35" s="18" t="n">
        <v>0</v>
      </c>
      <c r="N35" s="20" t="n">
        <v>0</v>
      </c>
      <c r="O35" s="18" t="n">
        <v>0</v>
      </c>
      <c r="P35" s="20" t="n">
        <v>0</v>
      </c>
      <c r="Q35" s="18" t="n">
        <v>0.29893498</v>
      </c>
      <c r="R35" s="20" t="n">
        <v>0.15037952</v>
      </c>
    </row>
    <row r="36" spans="1:18">
      <c r="A36" s="15" t="s">
        <v>594</v>
      </c>
      <c r="B36" s="17" t="n">
        <v>3404</v>
      </c>
      <c r="C36" s="18">
        <f>(2641.0/B36*100)</f>
        <v/>
      </c>
      <c r="D36" s="19" t="n">
        <v>763</v>
      </c>
      <c r="E36" s="18" t="n">
        <v>38.162629</v>
      </c>
      <c r="F36" s="20" t="n">
        <v>2.08624468</v>
      </c>
      <c r="G36" s="18" t="n">
        <v>60.54481716</v>
      </c>
      <c r="H36" s="20" t="n">
        <v>2.07322783</v>
      </c>
      <c r="I36" s="18" t="n">
        <v>0</v>
      </c>
      <c r="J36" s="20" t="n">
        <v>0</v>
      </c>
      <c r="K36" s="18" t="n">
        <v>0.8519655900000001</v>
      </c>
      <c r="L36" s="20" t="n">
        <v>0.3663418</v>
      </c>
      <c r="M36" s="18" t="n">
        <v>0</v>
      </c>
      <c r="N36" s="20" t="n">
        <v>0</v>
      </c>
      <c r="O36" s="18" t="n">
        <v>0</v>
      </c>
      <c r="P36" s="20" t="n">
        <v>0</v>
      </c>
      <c r="Q36" s="18" t="n">
        <v>0.44058825</v>
      </c>
      <c r="R36" s="20" t="n">
        <v>0.22989113</v>
      </c>
    </row>
    <row r="37" spans="1:18">
      <c r="A37" s="15" t="s">
        <v>595</v>
      </c>
      <c r="B37" s="17" t="n">
        <v>2731</v>
      </c>
      <c r="C37" s="18">
        <f>(2147.0/B37*100)</f>
        <v/>
      </c>
      <c r="D37" s="19" t="n">
        <v>584</v>
      </c>
      <c r="E37" s="18" t="n">
        <v>36.37791486</v>
      </c>
      <c r="F37" s="20" t="n">
        <v>2.33421938</v>
      </c>
      <c r="G37" s="18" t="n">
        <v>60.96657169</v>
      </c>
      <c r="H37" s="20" t="n">
        <v>2.4231398</v>
      </c>
      <c r="I37" s="18" t="n">
        <v>0</v>
      </c>
      <c r="J37" s="20" t="n">
        <v>0</v>
      </c>
      <c r="K37" s="18" t="n">
        <v>0.93226298</v>
      </c>
      <c r="L37" s="20" t="n">
        <v>0.48826452</v>
      </c>
      <c r="M37" s="18" t="n">
        <v>0</v>
      </c>
      <c r="N37" s="20" t="n">
        <v>0</v>
      </c>
      <c r="O37" s="18" t="n">
        <v>0</v>
      </c>
      <c r="P37" s="20" t="n">
        <v>0</v>
      </c>
      <c r="Q37" s="18" t="n">
        <v>1.72325047</v>
      </c>
      <c r="R37" s="20" t="n">
        <v>0.47410845</v>
      </c>
    </row>
    <row r="38" spans="1:18">
      <c r="A38" s="15" t="s">
        <v>596</v>
      </c>
      <c r="B38" s="17" t="n">
        <v>2807</v>
      </c>
      <c r="C38" s="18">
        <f>(2185.0/B38*100)</f>
        <v/>
      </c>
      <c r="D38" s="19" t="n">
        <v>622</v>
      </c>
      <c r="E38" s="18" t="n">
        <v>35.10154976</v>
      </c>
      <c r="F38" s="20" t="n">
        <v>1.97438922</v>
      </c>
      <c r="G38" s="18" t="n">
        <v>63.59884911</v>
      </c>
      <c r="H38" s="20" t="n">
        <v>2.03913798</v>
      </c>
      <c r="I38" s="18" t="n">
        <v>0</v>
      </c>
      <c r="J38" s="20" t="n">
        <v>0</v>
      </c>
      <c r="K38" s="18" t="n">
        <v>0.1557837</v>
      </c>
      <c r="L38" s="20" t="n">
        <v>0.15578274</v>
      </c>
      <c r="M38" s="18" t="n">
        <v>0</v>
      </c>
      <c r="N38" s="20" t="n">
        <v>0</v>
      </c>
      <c r="O38" s="18" t="n">
        <v>0</v>
      </c>
      <c r="P38" s="20" t="n">
        <v>0</v>
      </c>
      <c r="Q38" s="18" t="n">
        <v>1.14381743</v>
      </c>
      <c r="R38" s="20" t="n">
        <v>0.480731</v>
      </c>
    </row>
    <row r="39" spans="1:18">
      <c r="A39" s="15" t="s">
        <v>597</v>
      </c>
      <c r="B39" s="17" t="n">
        <v>2938</v>
      </c>
      <c r="C39" s="18">
        <f>(2258.0/B39*100)</f>
        <v/>
      </c>
      <c r="D39" s="19" t="n">
        <v>680</v>
      </c>
      <c r="E39" s="18" t="n">
        <v>24.76530588</v>
      </c>
      <c r="F39" s="20" t="n">
        <v>1.842532</v>
      </c>
      <c r="G39" s="18" t="n">
        <v>74.34802062</v>
      </c>
      <c r="H39" s="20" t="n">
        <v>1.9135667</v>
      </c>
      <c r="I39" s="18" t="n">
        <v>0</v>
      </c>
      <c r="J39" s="20" t="n">
        <v>0</v>
      </c>
      <c r="K39" s="18" t="n">
        <v>0.13697701</v>
      </c>
      <c r="L39" s="20" t="n">
        <v>0.13281027</v>
      </c>
      <c r="M39" s="18" t="n">
        <v>0</v>
      </c>
      <c r="N39" s="20" t="n">
        <v>0</v>
      </c>
      <c r="O39" s="18" t="n">
        <v>0</v>
      </c>
      <c r="P39" s="20" t="n">
        <v>0</v>
      </c>
      <c r="Q39" s="18" t="n">
        <v>0.74969648</v>
      </c>
      <c r="R39" s="20" t="n">
        <v>0.35746022</v>
      </c>
    </row>
    <row r="40" spans="1:18">
      <c r="A40" s="15" t="s">
        <v>598</v>
      </c>
      <c r="B40" s="17" t="n">
        <v>6922</v>
      </c>
      <c r="C40" s="18">
        <f>(5386.0/B40*100)</f>
        <v/>
      </c>
      <c r="D40" s="19" t="n">
        <v>1536</v>
      </c>
      <c r="E40" s="18" t="n">
        <v>26.82394652</v>
      </c>
      <c r="F40" s="20" t="n">
        <v>1.64211369</v>
      </c>
      <c r="G40" s="18" t="n">
        <v>71.6925604</v>
      </c>
      <c r="H40" s="20" t="n">
        <v>1.67298486</v>
      </c>
      <c r="I40" s="18" t="n">
        <v>0</v>
      </c>
      <c r="J40" s="20" t="n">
        <v>0</v>
      </c>
      <c r="K40" s="18" t="n">
        <v>0.66513051</v>
      </c>
      <c r="L40" s="20" t="n">
        <v>0.34575586</v>
      </c>
      <c r="M40" s="18" t="n">
        <v>0</v>
      </c>
      <c r="N40" s="20" t="n">
        <v>0</v>
      </c>
      <c r="O40" s="18" t="n">
        <v>0</v>
      </c>
      <c r="P40" s="20" t="n">
        <v>0</v>
      </c>
      <c r="Q40" s="18" t="n">
        <v>0.81836257</v>
      </c>
      <c r="R40" s="20" t="n">
        <v>0.48745283</v>
      </c>
    </row>
    <row r="41" spans="1:18">
      <c r="A41" s="15" t="s">
        <v>599</v>
      </c>
      <c r="B41" s="17" t="n">
        <v>2854</v>
      </c>
      <c r="C41" s="18">
        <f>(2249.0/B41*100)</f>
        <v/>
      </c>
      <c r="D41" s="19" t="n">
        <v>605</v>
      </c>
      <c r="E41" s="18" t="n">
        <v>28.26837788</v>
      </c>
      <c r="F41" s="20" t="n">
        <v>1.85381646</v>
      </c>
      <c r="G41" s="18" t="n">
        <v>69.96464829</v>
      </c>
      <c r="H41" s="20" t="n">
        <v>1.9149118</v>
      </c>
      <c r="I41" s="18" t="n">
        <v>0</v>
      </c>
      <c r="J41" s="20" t="n">
        <v>0</v>
      </c>
      <c r="K41" s="18" t="n">
        <v>0.19974652</v>
      </c>
      <c r="L41" s="20" t="n">
        <v>0.18254307</v>
      </c>
      <c r="M41" s="18" t="n">
        <v>0</v>
      </c>
      <c r="N41" s="20" t="n">
        <v>0</v>
      </c>
      <c r="O41" s="18" t="n">
        <v>0</v>
      </c>
      <c r="P41" s="20" t="n">
        <v>0</v>
      </c>
      <c r="Q41" s="18" t="n">
        <v>1.56722731</v>
      </c>
      <c r="R41" s="20" t="n">
        <v>0.47188238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(10084.0/B46*100)</f>
        <v/>
      </c>
      <c r="D46" s="19" t="n">
        <v>1989</v>
      </c>
      <c r="E46" s="18" t="n">
        <v>37.04456057</v>
      </c>
      <c r="F46" s="20" t="n">
        <v>1.49026267</v>
      </c>
      <c r="G46" s="18" t="n">
        <v>58.52301944</v>
      </c>
      <c r="H46" s="20" t="n">
        <v>1.60259638</v>
      </c>
      <c r="I46" s="18" t="n">
        <v>0</v>
      </c>
      <c r="J46" s="20" t="n">
        <v>0</v>
      </c>
      <c r="K46" s="18" t="n">
        <v>1.87485953</v>
      </c>
      <c r="L46" s="20" t="n">
        <v>0.5181901</v>
      </c>
      <c r="M46" s="18" t="n">
        <v>0</v>
      </c>
      <c r="N46" s="20" t="n">
        <v>0</v>
      </c>
      <c r="O46" s="18" t="n">
        <v>0</v>
      </c>
      <c r="P46" s="20" t="n">
        <v>0</v>
      </c>
      <c r="Q46" s="18" t="n">
        <v>2.55756046</v>
      </c>
      <c r="R46" s="20" t="n">
        <v>0.4871472</v>
      </c>
    </row>
    <row r="47" spans="1:18">
      <c r="A47" s="15" t="s">
        <v>606</v>
      </c>
      <c r="B47" s="17" t="n">
        <v>2823</v>
      </c>
      <c r="C47" s="18">
        <f>(2232.0/B47*100)</f>
        <v/>
      </c>
      <c r="D47" s="19" t="n">
        <v>591</v>
      </c>
      <c r="E47" s="18" t="n">
        <v>33.41627021</v>
      </c>
      <c r="F47" s="20" t="n">
        <v>2.03584409</v>
      </c>
      <c r="G47" s="18" t="n">
        <v>64.07291886</v>
      </c>
      <c r="H47" s="20" t="n">
        <v>2.20700883</v>
      </c>
      <c r="I47" s="18" t="n">
        <v>0</v>
      </c>
      <c r="J47" s="20" t="n">
        <v>0</v>
      </c>
      <c r="K47" s="18" t="n">
        <v>1.85238953</v>
      </c>
      <c r="L47" s="20" t="n">
        <v>0.62054551</v>
      </c>
      <c r="M47" s="18" t="n">
        <v>0</v>
      </c>
      <c r="N47" s="20" t="n">
        <v>0</v>
      </c>
      <c r="O47" s="18" t="n">
        <v>0</v>
      </c>
      <c r="P47" s="20" t="n">
        <v>0</v>
      </c>
      <c r="Q47" s="18" t="n">
        <v>0.6584214</v>
      </c>
      <c r="R47" s="20" t="n">
        <v>0.30022699</v>
      </c>
    </row>
    <row r="48" spans="1:18">
      <c r="A48" s="15" t="s">
        <v>607</v>
      </c>
      <c r="B48" s="17" t="n">
        <v>4682</v>
      </c>
      <c r="C48" s="18">
        <f>(3653.0/B48*100)</f>
        <v/>
      </c>
      <c r="D48" s="19" t="n">
        <v>1029</v>
      </c>
      <c r="E48" s="18" t="n">
        <v>10.72249719</v>
      </c>
      <c r="F48" s="20" t="n">
        <v>1.53818363</v>
      </c>
      <c r="G48" s="18" t="n">
        <v>88.20038615</v>
      </c>
      <c r="H48" s="20" t="n">
        <v>1.66550763</v>
      </c>
      <c r="I48" s="18" t="n">
        <v>0</v>
      </c>
      <c r="J48" s="20" t="n">
        <v>0</v>
      </c>
      <c r="K48" s="18" t="n">
        <v>0.78715623</v>
      </c>
      <c r="L48" s="20" t="n">
        <v>0.47882388</v>
      </c>
      <c r="M48" s="18" t="n">
        <v>0</v>
      </c>
      <c r="N48" s="20" t="n">
        <v>0</v>
      </c>
      <c r="O48" s="18" t="n">
        <v>0</v>
      </c>
      <c r="P48" s="20" t="n">
        <v>0</v>
      </c>
      <c r="Q48" s="18" t="n">
        <v>0.28996042</v>
      </c>
      <c r="R48" s="20" t="n">
        <v>0.1996564</v>
      </c>
    </row>
    <row r="49" spans="1:18">
      <c r="A49" s="15" t="s">
        <v>608</v>
      </c>
      <c r="B49" s="17" t="n">
        <v>6158</v>
      </c>
      <c r="C49" s="18">
        <f>(4879.0/B49*100)</f>
        <v/>
      </c>
      <c r="D49" s="19" t="n">
        <v>1279</v>
      </c>
      <c r="E49" s="18" t="n">
        <v>24.3191284</v>
      </c>
      <c r="F49" s="20" t="n">
        <v>1.60183659</v>
      </c>
      <c r="G49" s="18" t="n">
        <v>71.71238738</v>
      </c>
      <c r="H49" s="20" t="n">
        <v>1.61700244</v>
      </c>
      <c r="I49" s="18" t="n">
        <v>0</v>
      </c>
      <c r="J49" s="20" t="n">
        <v>0</v>
      </c>
      <c r="K49" s="18" t="n">
        <v>2.67094795</v>
      </c>
      <c r="L49" s="20" t="n">
        <v>0.53196543</v>
      </c>
      <c r="M49" s="18" t="n">
        <v>0</v>
      </c>
      <c r="N49" s="20" t="n">
        <v>0</v>
      </c>
      <c r="O49" s="18" t="n">
        <v>0</v>
      </c>
      <c r="P49" s="20" t="n">
        <v>0</v>
      </c>
      <c r="Q49" s="18" t="n">
        <v>1.29753627</v>
      </c>
      <c r="R49" s="20" t="n">
        <v>0.36288479</v>
      </c>
    </row>
    <row r="50" spans="1:18">
      <c r="A50" s="15" t="s">
        <v>609</v>
      </c>
      <c r="B50" s="17" t="n">
        <v>3494</v>
      </c>
      <c r="C50" s="18">
        <f>(2840.0/B50*100)</f>
        <v/>
      </c>
      <c r="D50" s="19" t="n">
        <v>654</v>
      </c>
      <c r="E50" s="18" t="n">
        <v>27.82000473</v>
      </c>
      <c r="F50" s="20" t="n">
        <v>1.94956104</v>
      </c>
      <c r="G50" s="18" t="n">
        <v>70.56516968</v>
      </c>
      <c r="H50" s="20" t="n">
        <v>2.02936416</v>
      </c>
      <c r="I50" s="18" t="n">
        <v>0</v>
      </c>
      <c r="J50" s="20" t="n">
        <v>0</v>
      </c>
      <c r="K50" s="18" t="n">
        <v>0.24096514</v>
      </c>
      <c r="L50" s="20" t="n">
        <v>0.14856921</v>
      </c>
      <c r="M50" s="18" t="n">
        <v>0</v>
      </c>
      <c r="N50" s="20" t="n">
        <v>0</v>
      </c>
      <c r="O50" s="18" t="n">
        <v>0</v>
      </c>
      <c r="P50" s="20" t="n">
        <v>0</v>
      </c>
      <c r="Q50" s="18" t="n">
        <v>1.37386046</v>
      </c>
      <c r="R50" s="20" t="n">
        <v>0.51547849</v>
      </c>
    </row>
    <row r="51" spans="1:18">
      <c r="A51" s="15" t="s">
        <v>610</v>
      </c>
      <c r="B51" s="17" t="n">
        <v>3013</v>
      </c>
      <c r="C51" s="18">
        <f>(2341.0/B51*100)</f>
        <v/>
      </c>
      <c r="D51" s="19" t="n">
        <v>672</v>
      </c>
      <c r="E51" s="18" t="n">
        <v>36.82796962</v>
      </c>
      <c r="F51" s="20" t="n">
        <v>2.14026477</v>
      </c>
      <c r="G51" s="18" t="n">
        <v>62.44435801</v>
      </c>
      <c r="H51" s="20" t="n">
        <v>2.0635702</v>
      </c>
      <c r="I51" s="18" t="n">
        <v>0</v>
      </c>
      <c r="J51" s="20" t="n">
        <v>0</v>
      </c>
      <c r="K51" s="18" t="n">
        <v>0.16686458</v>
      </c>
      <c r="L51" s="20" t="n">
        <v>0.1436848</v>
      </c>
      <c r="M51" s="18" t="n">
        <v>0</v>
      </c>
      <c r="N51" s="20" t="n">
        <v>0</v>
      </c>
      <c r="O51" s="18" t="n">
        <v>0</v>
      </c>
      <c r="P51" s="20" t="n">
        <v>0</v>
      </c>
      <c r="Q51" s="18" t="n">
        <v>0.56080779</v>
      </c>
      <c r="R51" s="20" t="n">
        <v>0.28576167</v>
      </c>
    </row>
    <row r="52" spans="1:18">
      <c r="A52" s="15" t="s">
        <v>611</v>
      </c>
      <c r="B52" s="17" t="n">
        <v>2760</v>
      </c>
      <c r="C52" s="18">
        <f>(2143.0/B52*100)</f>
        <v/>
      </c>
      <c r="D52" s="19" t="n">
        <v>617</v>
      </c>
      <c r="E52" s="18" t="n">
        <v>37.17608319</v>
      </c>
      <c r="F52" s="20" t="n">
        <v>1.90195191</v>
      </c>
      <c r="G52" s="18" t="n">
        <v>61.13549895</v>
      </c>
      <c r="H52" s="20" t="n">
        <v>2.09631464</v>
      </c>
      <c r="I52" s="18" t="n">
        <v>0</v>
      </c>
      <c r="J52" s="20" t="n">
        <v>0</v>
      </c>
      <c r="K52" s="18" t="n">
        <v>0.26550281</v>
      </c>
      <c r="L52" s="20" t="n">
        <v>0.19111366</v>
      </c>
      <c r="M52" s="18" t="n">
        <v>0</v>
      </c>
      <c r="N52" s="20" t="n">
        <v>0</v>
      </c>
      <c r="O52" s="18" t="n">
        <v>0</v>
      </c>
      <c r="P52" s="20" t="n">
        <v>0</v>
      </c>
      <c r="Q52" s="18" t="n">
        <v>1.42291505</v>
      </c>
      <c r="R52" s="20" t="n">
        <v>0.52163135</v>
      </c>
    </row>
    <row r="53" spans="1:18">
      <c r="A53" s="15" t="s">
        <v>612</v>
      </c>
      <c r="B53" s="17" t="n">
        <v>2474</v>
      </c>
      <c r="C53" s="18">
        <f>(1954.0/B53*100)</f>
        <v/>
      </c>
      <c r="D53" s="19" t="n">
        <v>520</v>
      </c>
      <c r="E53" s="18" t="n">
        <v>27.34415536</v>
      </c>
      <c r="F53" s="20" t="n">
        <v>1.79434238</v>
      </c>
      <c r="G53" s="18" t="n">
        <v>54.10206642</v>
      </c>
      <c r="H53" s="20" t="n">
        <v>2.42217137</v>
      </c>
      <c r="I53" s="18" t="n">
        <v>0</v>
      </c>
      <c r="J53" s="20" t="n">
        <v>0</v>
      </c>
      <c r="K53" s="18" t="n">
        <v>14.7571603</v>
      </c>
      <c r="L53" s="20" t="n">
        <v>1.95247723</v>
      </c>
      <c r="M53" s="18" t="n">
        <v>0</v>
      </c>
      <c r="N53" s="20" t="n">
        <v>0</v>
      </c>
      <c r="O53" s="18" t="n">
        <v>0</v>
      </c>
      <c r="P53" s="20" t="n">
        <v>0</v>
      </c>
      <c r="Q53" s="18" t="n">
        <v>3.79661792</v>
      </c>
      <c r="R53" s="20" t="n">
        <v>1.12680549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(2082.0/B55*100)</f>
        <v/>
      </c>
      <c r="D55" s="19" t="n">
        <v>593</v>
      </c>
      <c r="E55" s="18" t="n">
        <v>26.09765871</v>
      </c>
      <c r="F55" s="20" t="n">
        <v>1.67272069</v>
      </c>
      <c r="G55" s="18" t="n">
        <v>73.10389394000001</v>
      </c>
      <c r="H55" s="20" t="n">
        <v>1.6663124</v>
      </c>
      <c r="I55" s="18" t="n">
        <v>0</v>
      </c>
      <c r="J55" s="20" t="n">
        <v>0</v>
      </c>
      <c r="K55" s="18" t="n">
        <v>0.51862693</v>
      </c>
      <c r="L55" s="20" t="n">
        <v>0.36141432</v>
      </c>
      <c r="M55" s="18" t="n">
        <v>0</v>
      </c>
      <c r="N55" s="20" t="n">
        <v>0</v>
      </c>
      <c r="O55" s="18" t="n">
        <v>0</v>
      </c>
      <c r="P55" s="20" t="n">
        <v>0</v>
      </c>
      <c r="Q55" s="18" t="n">
        <v>0.27982041</v>
      </c>
      <c r="R55" s="20" t="n">
        <v>0.20241105</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(2491.0/B61*100)</f>
        <v/>
      </c>
      <c r="D61" s="19" t="n">
        <v>710</v>
      </c>
      <c r="E61" s="18" t="n">
        <v>25.81490553</v>
      </c>
      <c r="F61" s="20" t="n">
        <v>1.53303477</v>
      </c>
      <c r="G61" s="18" t="n">
        <v>73.25073016</v>
      </c>
      <c r="H61" s="20" t="n">
        <v>1.52576172</v>
      </c>
      <c r="I61" s="18" t="n">
        <v>0</v>
      </c>
      <c r="J61" s="20" t="n">
        <v>0</v>
      </c>
      <c r="K61" s="18" t="n">
        <v>0.2163571</v>
      </c>
      <c r="L61" s="20" t="n">
        <v>0.1904221</v>
      </c>
      <c r="M61" s="18" t="n">
        <v>0</v>
      </c>
      <c r="N61" s="20" t="n">
        <v>0</v>
      </c>
      <c r="O61" s="18" t="n">
        <v>0</v>
      </c>
      <c r="P61" s="20" t="n">
        <v>0</v>
      </c>
      <c r="Q61" s="18" t="n">
        <v>0.71800721</v>
      </c>
      <c r="R61" s="20" t="n">
        <v>0.3462963</v>
      </c>
    </row>
    <row r="62" spans="1:18">
      <c r="A62" s="15" t="s">
        <v>622</v>
      </c>
      <c r="B62" s="17" t="n">
        <v>2230</v>
      </c>
      <c r="C62" s="18">
        <f>(1744.0/B62*100)</f>
        <v/>
      </c>
      <c r="D62" s="19" t="n">
        <v>486</v>
      </c>
      <c r="E62" s="18" t="n">
        <v>28.40253657</v>
      </c>
      <c r="F62" s="20" t="n">
        <v>2.11208382</v>
      </c>
      <c r="G62" s="18" t="n">
        <v>70.96910539</v>
      </c>
      <c r="H62" s="20" t="n">
        <v>2.13761841</v>
      </c>
      <c r="I62" s="18" t="n">
        <v>0</v>
      </c>
      <c r="J62" s="20" t="n">
        <v>0</v>
      </c>
      <c r="K62" s="18" t="n">
        <v>0</v>
      </c>
      <c r="L62" s="20" t="n">
        <v>0</v>
      </c>
      <c r="M62" s="18" t="n">
        <v>0</v>
      </c>
      <c r="N62" s="20" t="n">
        <v>0</v>
      </c>
      <c r="O62" s="18" t="n">
        <v>0</v>
      </c>
      <c r="P62" s="20" t="n">
        <v>0</v>
      </c>
      <c r="Q62" s="18" t="n">
        <v>0.62835804</v>
      </c>
      <c r="R62" s="20" t="n">
        <v>0.35992101</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(2211.0/B67*100)</f>
        <v/>
      </c>
      <c r="D67" s="19" t="n">
        <v>560</v>
      </c>
      <c r="E67" s="18" t="n">
        <v>46.4580325</v>
      </c>
      <c r="F67" s="20" t="n">
        <v>1.81722797</v>
      </c>
      <c r="G67" s="18" t="n">
        <v>50.13815118</v>
      </c>
      <c r="H67" s="20" t="n">
        <v>1.7762485</v>
      </c>
      <c r="I67" s="18" t="n">
        <v>0</v>
      </c>
      <c r="J67" s="20" t="n">
        <v>0</v>
      </c>
      <c r="K67" s="18" t="n">
        <v>1.30149222</v>
      </c>
      <c r="L67" s="20" t="n">
        <v>0.57373846</v>
      </c>
      <c r="M67" s="18" t="n">
        <v>0</v>
      </c>
      <c r="N67" s="20" t="n">
        <v>0</v>
      </c>
      <c r="O67" s="18" t="n">
        <v>0</v>
      </c>
      <c r="P67" s="20" t="n">
        <v>0</v>
      </c>
      <c r="Q67" s="18" t="n">
        <v>2.1023241</v>
      </c>
      <c r="R67" s="20" t="n">
        <v>0.53685056</v>
      </c>
    </row>
    <row r="68" spans="1:18">
      <c r="A68" s="15" t="s">
        <v>628</v>
      </c>
      <c r="B68" s="17" t="n">
        <v>3460</v>
      </c>
      <c r="C68" s="18">
        <f>(2834.0/B68*100)</f>
        <v/>
      </c>
      <c r="D68" s="19" t="n">
        <v>626</v>
      </c>
      <c r="E68" s="18" t="n">
        <v>39.58749877</v>
      </c>
      <c r="F68" s="20" t="n">
        <v>2.21232625</v>
      </c>
      <c r="G68" s="18" t="n">
        <v>59.1849111</v>
      </c>
      <c r="H68" s="20" t="n">
        <v>2.17449283</v>
      </c>
      <c r="I68" s="18" t="n">
        <v>0</v>
      </c>
      <c r="J68" s="20" t="n">
        <v>0</v>
      </c>
      <c r="K68" s="18" t="n">
        <v>0.47414192</v>
      </c>
      <c r="L68" s="20" t="n">
        <v>0.2720765</v>
      </c>
      <c r="M68" s="18" t="n">
        <v>0</v>
      </c>
      <c r="N68" s="20" t="n">
        <v>0</v>
      </c>
      <c r="O68" s="18" t="n">
        <v>0</v>
      </c>
      <c r="P68" s="20" t="n">
        <v>0</v>
      </c>
      <c r="Q68" s="18" t="n">
        <v>0.75344821</v>
      </c>
      <c r="R68" s="20" t="n">
        <v>0.33098979</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36.03290897</v>
      </c>
      <c r="F70" s="20" t="n">
        <v>1.25149332</v>
      </c>
      <c r="G70" s="18" t="n">
        <v>59.31865068</v>
      </c>
      <c r="H70" s="20" t="n">
        <v>1.21008473</v>
      </c>
      <c r="I70" s="18" t="n">
        <v>0</v>
      </c>
      <c r="J70" s="20" t="n">
        <v>0</v>
      </c>
      <c r="K70" s="18" t="n">
        <v>3.04318169</v>
      </c>
      <c r="L70" s="20" t="n">
        <v>0.50737231</v>
      </c>
      <c r="M70" s="18" t="n">
        <v>0</v>
      </c>
      <c r="N70" s="20" t="n">
        <v>0</v>
      </c>
      <c r="O70" s="18" t="n">
        <v>0</v>
      </c>
      <c r="P70" s="20" t="n">
        <v>0</v>
      </c>
      <c r="Q70" s="18" t="n">
        <v>1.60525865</v>
      </c>
      <c r="R70" s="20" t="n">
        <v>0.36503324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(2467.0/B72*100)</f>
        <v/>
      </c>
      <c r="D72" s="19" t="n">
        <v>640</v>
      </c>
      <c r="E72" s="18" t="n">
        <v>33.40379639</v>
      </c>
      <c r="F72" s="20" t="n">
        <v>1.81204851</v>
      </c>
      <c r="G72" s="18" t="n">
        <v>65.85611886</v>
      </c>
      <c r="H72" s="20" t="n">
        <v>1.80899795</v>
      </c>
      <c r="I72" s="18" t="n">
        <v>0</v>
      </c>
      <c r="J72" s="20" t="n">
        <v>0</v>
      </c>
      <c r="K72" s="18" t="n">
        <v>0.12981843</v>
      </c>
      <c r="L72" s="20" t="n">
        <v>0.18430454</v>
      </c>
      <c r="M72" s="18" t="n">
        <v>0</v>
      </c>
      <c r="N72" s="20" t="n">
        <v>0</v>
      </c>
      <c r="O72" s="18" t="n">
        <v>0</v>
      </c>
      <c r="P72" s="20" t="n">
        <v>0</v>
      </c>
      <c r="Q72" s="18" t="n">
        <v>0.61026632</v>
      </c>
      <c r="R72" s="20" t="n">
        <v>0.32846785</v>
      </c>
    </row>
    <row r="73" spans="1:18">
      <c r="A73" s="15" t="s">
        <v>633</v>
      </c>
      <c r="B73" s="17" t="n">
        <v>2973</v>
      </c>
      <c r="C73" s="18">
        <f>(2311.0/B73*100)</f>
        <v/>
      </c>
      <c r="D73" s="19" t="n">
        <v>662</v>
      </c>
      <c r="E73" s="18" t="n">
        <v>22.0080311</v>
      </c>
      <c r="F73" s="20" t="n">
        <v>1.52502546</v>
      </c>
      <c r="G73" s="18" t="n">
        <v>77.52998069</v>
      </c>
      <c r="H73" s="20" t="n">
        <v>1.50982217</v>
      </c>
      <c r="I73" s="18" t="n">
        <v>0</v>
      </c>
      <c r="J73" s="20" t="n">
        <v>0</v>
      </c>
      <c r="K73" s="18" t="n">
        <v>0.34446145</v>
      </c>
      <c r="L73" s="20" t="n">
        <v>0.24300197</v>
      </c>
      <c r="M73" s="18" t="n">
        <v>0</v>
      </c>
      <c r="N73" s="20" t="n">
        <v>0</v>
      </c>
      <c r="O73" s="18" t="n">
        <v>0</v>
      </c>
      <c r="P73" s="20" t="n">
        <v>0</v>
      </c>
      <c r="Q73" s="18" t="n">
        <v>0.11752676</v>
      </c>
      <c r="R73" s="20" t="n">
        <v>0.1182814</v>
      </c>
    </row>
    <row r="74" spans="1:18">
      <c r="A74" s="15" t="s">
        <v>634</v>
      </c>
      <c r="B74" s="17" t="n">
        <v>3819</v>
      </c>
      <c r="C74" s="18">
        <f>(2929.0/B74*100)</f>
        <v/>
      </c>
      <c r="D74" s="19" t="n">
        <v>890</v>
      </c>
      <c r="E74" s="18" t="n">
        <v>21.70775153</v>
      </c>
      <c r="F74" s="20" t="n">
        <v>1.63738108</v>
      </c>
      <c r="G74" s="18" t="n">
        <v>77.81720052999999</v>
      </c>
      <c r="H74" s="20" t="n">
        <v>1.59965542</v>
      </c>
      <c r="I74" s="18" t="n">
        <v>0</v>
      </c>
      <c r="J74" s="20" t="n">
        <v>0</v>
      </c>
      <c r="K74" s="18" t="n">
        <v>0.17365327</v>
      </c>
      <c r="L74" s="20" t="n">
        <v>0.24762652</v>
      </c>
      <c r="M74" s="18" t="n">
        <v>0</v>
      </c>
      <c r="N74" s="20" t="n">
        <v>0</v>
      </c>
      <c r="O74" s="18" t="n">
        <v>0</v>
      </c>
      <c r="P74" s="20" t="n">
        <v>0</v>
      </c>
      <c r="Q74" s="18" t="n">
        <v>0.30139468</v>
      </c>
      <c r="R74" s="20" t="n">
        <v>0.21531414</v>
      </c>
    </row>
    <row r="75" spans="1:18">
      <c r="A75" s="15" t="s">
        <v>635</v>
      </c>
      <c r="B75" s="17" t="n">
        <v>4652</v>
      </c>
      <c r="C75" s="18">
        <f>(3643.0/B75*100)</f>
        <v/>
      </c>
      <c r="D75" s="19" t="n">
        <v>1009</v>
      </c>
      <c r="E75" s="18" t="n">
        <v>34.52352939</v>
      </c>
      <c r="F75" s="20" t="n">
        <v>1.92260637</v>
      </c>
      <c r="G75" s="18" t="n">
        <v>64.7692802</v>
      </c>
      <c r="H75" s="20" t="n">
        <v>1.8788916</v>
      </c>
      <c r="I75" s="18" t="n">
        <v>0</v>
      </c>
      <c r="J75" s="20" t="n">
        <v>0</v>
      </c>
      <c r="K75" s="18" t="n">
        <v>0.14077296</v>
      </c>
      <c r="L75" s="20" t="n">
        <v>0.13808767</v>
      </c>
      <c r="M75" s="18" t="n">
        <v>0</v>
      </c>
      <c r="N75" s="20" t="n">
        <v>0</v>
      </c>
      <c r="O75" s="18" t="n">
        <v>0</v>
      </c>
      <c r="P75" s="20" t="n">
        <v>0</v>
      </c>
      <c r="Q75" s="18" t="n">
        <v>0.56641745</v>
      </c>
      <c r="R75" s="20" t="n">
        <v>0.29989311</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(2365.0/B77*100)</f>
        <v/>
      </c>
      <c r="D77" s="19" t="n">
        <v>604</v>
      </c>
      <c r="E77" s="18" t="n">
        <v>44.53582537</v>
      </c>
      <c r="F77" s="20" t="n">
        <v>2.2192899</v>
      </c>
      <c r="G77" s="18" t="n">
        <v>48.08699173</v>
      </c>
      <c r="H77" s="20" t="n">
        <v>2.17487165</v>
      </c>
      <c r="I77" s="18" t="n">
        <v>0</v>
      </c>
      <c r="J77" s="20" t="n">
        <v>0</v>
      </c>
      <c r="K77" s="18" t="n">
        <v>5.48544974</v>
      </c>
      <c r="L77" s="20" t="n">
        <v>1.21310078</v>
      </c>
      <c r="M77" s="18" t="n">
        <v>0</v>
      </c>
      <c r="N77" s="20" t="n">
        <v>0</v>
      </c>
      <c r="O77" s="18" t="n">
        <v>0</v>
      </c>
      <c r="P77" s="20" t="n">
        <v>0</v>
      </c>
      <c r="Q77" s="18" t="n">
        <v>1.89173317</v>
      </c>
      <c r="R77" s="20" t="n">
        <v>0.58909241</v>
      </c>
    </row>
    <row r="78" spans="1:18">
      <c r="A78" s="15" t="s">
        <v>638</v>
      </c>
      <c r="B78" s="17" t="n">
        <v>7115</v>
      </c>
      <c r="C78" s="18">
        <f>(5543.0/B78*100)</f>
        <v/>
      </c>
      <c r="D78" s="19" t="n">
        <v>1572</v>
      </c>
      <c r="E78" s="18" t="n">
        <v>32.40211572</v>
      </c>
      <c r="F78" s="20" t="n">
        <v>1.44809721</v>
      </c>
      <c r="G78" s="18" t="n">
        <v>65.92958187000001</v>
      </c>
      <c r="H78" s="20" t="n">
        <v>1.46495107</v>
      </c>
      <c r="I78" s="18" t="n">
        <v>0</v>
      </c>
      <c r="J78" s="20" t="n">
        <v>0</v>
      </c>
      <c r="K78" s="18" t="n">
        <v>0.9223535</v>
      </c>
      <c r="L78" s="20" t="n">
        <v>0.2999524</v>
      </c>
      <c r="M78" s="18" t="n">
        <v>0</v>
      </c>
      <c r="N78" s="20" t="n">
        <v>0</v>
      </c>
      <c r="O78" s="18" t="n">
        <v>0</v>
      </c>
      <c r="P78" s="20" t="n">
        <v>0</v>
      </c>
      <c r="Q78" s="18" t="n">
        <v>0.74594891</v>
      </c>
      <c r="R78" s="20" t="n">
        <v>0.24598389</v>
      </c>
    </row>
    <row r="79" spans="1:18">
      <c r="A79" s="15" t="s">
        <v>639</v>
      </c>
      <c r="B79" s="17" t="n">
        <v>3154</v>
      </c>
      <c r="C79" s="18">
        <f>(2519.0/B79*100)</f>
        <v/>
      </c>
      <c r="D79" s="19" t="n">
        <v>635</v>
      </c>
      <c r="E79" s="18" t="n">
        <v>32.53235052</v>
      </c>
      <c r="F79" s="20" t="n">
        <v>2.22537899</v>
      </c>
      <c r="G79" s="18" t="n">
        <v>64.19752737</v>
      </c>
      <c r="H79" s="20" t="n">
        <v>2.32215002</v>
      </c>
      <c r="I79" s="18" t="n">
        <v>0</v>
      </c>
      <c r="J79" s="20" t="n">
        <v>0</v>
      </c>
      <c r="K79" s="18" t="n">
        <v>1.95117608</v>
      </c>
      <c r="L79" s="20" t="n">
        <v>0.49006238</v>
      </c>
      <c r="M79" s="18" t="n">
        <v>0</v>
      </c>
      <c r="N79" s="20" t="n">
        <v>0</v>
      </c>
      <c r="O79" s="18" t="n">
        <v>0</v>
      </c>
      <c r="P79" s="20" t="n">
        <v>0</v>
      </c>
      <c r="Q79" s="18" t="n">
        <v>1.31894603</v>
      </c>
      <c r="R79" s="20" t="n">
        <v>0.66812293</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(12490.0/B82*100)</f>
        <v/>
      </c>
      <c r="D82" s="19" t="n">
        <v>3471</v>
      </c>
      <c r="E82" s="18" t="n">
        <v>36.11102381</v>
      </c>
      <c r="F82" s="20" t="n">
        <v>1.42040489</v>
      </c>
      <c r="G82" s="18" t="n">
        <v>62.63383907</v>
      </c>
      <c r="H82" s="20" t="n">
        <v>1.43367743</v>
      </c>
      <c r="I82" s="18" t="n">
        <v>0</v>
      </c>
      <c r="J82" s="20" t="n">
        <v>0</v>
      </c>
      <c r="K82" s="18" t="n">
        <v>0.64305144</v>
      </c>
      <c r="L82" s="20" t="n">
        <v>0.20160774</v>
      </c>
      <c r="M82" s="18" t="n">
        <v>0</v>
      </c>
      <c r="N82" s="20" t="n">
        <v>0</v>
      </c>
      <c r="O82" s="18" t="n">
        <v>0</v>
      </c>
      <c r="P82" s="20" t="n">
        <v>0</v>
      </c>
      <c r="Q82" s="18" t="n">
        <v>0.61208569</v>
      </c>
      <c r="R82" s="20" t="n">
        <v>0.13042018</v>
      </c>
    </row>
    <row r="83" spans="1:18">
      <c r="A83" s="15" t="s">
        <v>643</v>
      </c>
      <c r="B83" s="17" t="n">
        <v>808</v>
      </c>
      <c r="C83" s="18">
        <f>(650.0/B83*100)</f>
        <v/>
      </c>
      <c r="D83" s="19" t="n">
        <v>158</v>
      </c>
      <c r="E83" s="18" t="n">
        <v>19.3190432</v>
      </c>
      <c r="F83" s="20" t="n">
        <v>3.00240649</v>
      </c>
      <c r="G83" s="18" t="n">
        <v>80.14801332</v>
      </c>
      <c r="H83" s="20" t="n">
        <v>3.06214484</v>
      </c>
      <c r="I83" s="18" t="n">
        <v>0</v>
      </c>
      <c r="J83" s="20" t="n">
        <v>0</v>
      </c>
      <c r="K83" s="18" t="n">
        <v>0</v>
      </c>
      <c r="L83" s="20" t="n">
        <v>0</v>
      </c>
      <c r="M83" s="18" t="n">
        <v>0</v>
      </c>
      <c r="N83" s="20" t="n">
        <v>0</v>
      </c>
      <c r="O83" s="18" t="n">
        <v>0</v>
      </c>
      <c r="P83" s="20" t="n">
        <v>0</v>
      </c>
      <c r="Q83" s="18" t="n">
        <v>0.53294348</v>
      </c>
      <c r="R83" s="20" t="n">
        <v>0.5377675200000001</v>
      </c>
    </row>
    <row r="84" spans="1:18">
      <c r="A84" s="23" t="s">
        <v>644</v>
      </c>
      <c r="B84" s="24" t="n">
        <v>938</v>
      </c>
      <c r="C84" s="25">
        <f>(744.0/B84*100)</f>
        <v/>
      </c>
      <c r="D84" s="19" t="n">
        <v>194</v>
      </c>
      <c r="E84" s="18" t="n">
        <v>23.75462872</v>
      </c>
      <c r="F84" s="20" t="n">
        <v>3.66237595</v>
      </c>
      <c r="G84" s="18" t="n">
        <v>75.73966089</v>
      </c>
      <c r="H84" s="20" t="n">
        <v>3.48111266</v>
      </c>
      <c r="I84" s="18" t="n">
        <v>0</v>
      </c>
      <c r="J84" s="20" t="n">
        <v>0</v>
      </c>
      <c r="K84" s="18" t="n">
        <v>0</v>
      </c>
      <c r="L84" s="20" t="n">
        <v>0</v>
      </c>
      <c r="M84" s="18" t="n">
        <v>0</v>
      </c>
      <c r="N84" s="20" t="n">
        <v>0</v>
      </c>
      <c r="O84" s="18" t="n">
        <v>0</v>
      </c>
      <c r="P84" s="20" t="n">
        <v>0</v>
      </c>
      <c r="Q84" s="18" t="n">
        <v>0.50571039</v>
      </c>
      <c r="R84" s="20" t="n">
        <v>0.50234333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(5639.0/B7*100)</f>
        <v/>
      </c>
      <c r="D7" s="19" t="n">
        <v>1524</v>
      </c>
      <c r="E7" s="18" t="n">
        <v>36.17519309</v>
      </c>
      <c r="F7" s="20" t="n">
        <v>1.49625983</v>
      </c>
      <c r="G7" s="18" t="n">
        <v>62.12649389</v>
      </c>
      <c r="H7" s="20" t="n">
        <v>1.53062801</v>
      </c>
      <c r="I7" s="18" t="n">
        <v>0</v>
      </c>
      <c r="J7" s="20" t="n">
        <v>0</v>
      </c>
      <c r="K7" s="18" t="n">
        <v>0.7829113599999999</v>
      </c>
      <c r="L7" s="20" t="n">
        <v>0.28236421</v>
      </c>
      <c r="M7" s="18" t="n">
        <v>0</v>
      </c>
      <c r="N7" s="20" t="n">
        <v>0</v>
      </c>
      <c r="O7" s="18" t="n">
        <v>0</v>
      </c>
      <c r="P7" s="20" t="n">
        <v>0</v>
      </c>
      <c r="Q7" s="18" t="n">
        <v>0.91540166</v>
      </c>
      <c r="R7" s="20" t="n">
        <v>0.26145545</v>
      </c>
    </row>
    <row r="8" spans="1:18">
      <c r="A8" s="15" t="s">
        <v>566</v>
      </c>
      <c r="B8" s="17" t="n">
        <v>3443</v>
      </c>
      <c r="C8" s="18">
        <f>(2682.0/B8*100)</f>
        <v/>
      </c>
      <c r="D8" s="19" t="n">
        <v>761</v>
      </c>
      <c r="E8" s="18" t="n">
        <v>43.10336979</v>
      </c>
      <c r="F8" s="20" t="n">
        <v>1.92573693</v>
      </c>
      <c r="G8" s="18" t="n">
        <v>54.98068039</v>
      </c>
      <c r="H8" s="20" t="n">
        <v>2.10091105</v>
      </c>
      <c r="I8" s="18" t="n">
        <v>0</v>
      </c>
      <c r="J8" s="20" t="n">
        <v>0</v>
      </c>
      <c r="K8" s="18" t="n">
        <v>0.57435497</v>
      </c>
      <c r="L8" s="20" t="n">
        <v>0.30513861</v>
      </c>
      <c r="M8" s="18" t="n">
        <v>0</v>
      </c>
      <c r="N8" s="20" t="n">
        <v>0</v>
      </c>
      <c r="O8" s="18" t="n">
        <v>0</v>
      </c>
      <c r="P8" s="20" t="n">
        <v>0</v>
      </c>
      <c r="Q8" s="18" t="n">
        <v>1.34159485</v>
      </c>
      <c r="R8" s="20" t="n">
        <v>0.6102959100000001</v>
      </c>
    </row>
    <row r="9" spans="1:18">
      <c r="A9" s="15" t="s">
        <v>567</v>
      </c>
      <c r="B9" s="17" t="n">
        <v>4752</v>
      </c>
      <c r="C9" s="18">
        <f>(3778.0/B9*100)</f>
        <v/>
      </c>
      <c r="D9" s="19" t="n">
        <v>974</v>
      </c>
      <c r="E9" s="18" t="n">
        <v>44.86215095</v>
      </c>
      <c r="F9" s="20" t="n">
        <v>1.61486784</v>
      </c>
      <c r="G9" s="18" t="n">
        <v>52.36307499</v>
      </c>
      <c r="H9" s="20" t="n">
        <v>1.74265034</v>
      </c>
      <c r="I9" s="18" t="n">
        <v>0</v>
      </c>
      <c r="J9" s="20" t="n">
        <v>0</v>
      </c>
      <c r="K9" s="18" t="n">
        <v>1.10070618</v>
      </c>
      <c r="L9" s="20" t="n">
        <v>0.34307558</v>
      </c>
      <c r="M9" s="18" t="n">
        <v>0</v>
      </c>
      <c r="N9" s="20" t="n">
        <v>0</v>
      </c>
      <c r="O9" s="18" t="n">
        <v>0</v>
      </c>
      <c r="P9" s="20" t="n">
        <v>0</v>
      </c>
      <c r="Q9" s="18" t="n">
        <v>1.67406788</v>
      </c>
      <c r="R9" s="20" t="n">
        <v>0.48166008</v>
      </c>
    </row>
    <row r="10" spans="1:18">
      <c r="A10" s="15" t="s">
        <v>568</v>
      </c>
      <c r="B10" s="17" t="n">
        <v>10022</v>
      </c>
      <c r="C10" s="18">
        <f>(7844.0/B10*100)</f>
        <v/>
      </c>
      <c r="D10" s="19" t="n">
        <v>2178</v>
      </c>
      <c r="E10" s="18" t="n">
        <v>39.03388922</v>
      </c>
      <c r="F10" s="20" t="n">
        <v>1.55203083</v>
      </c>
      <c r="G10" s="18" t="n">
        <v>59.72562681</v>
      </c>
      <c r="H10" s="20" t="n">
        <v>1.54668082</v>
      </c>
      <c r="I10" s="18" t="n">
        <v>0</v>
      </c>
      <c r="J10" s="20" t="n">
        <v>0</v>
      </c>
      <c r="K10" s="18" t="n">
        <v>0.62311581</v>
      </c>
      <c r="L10" s="20" t="n">
        <v>0.22776807</v>
      </c>
      <c r="M10" s="18" t="n">
        <v>0</v>
      </c>
      <c r="N10" s="20" t="n">
        <v>0</v>
      </c>
      <c r="O10" s="18" t="n">
        <v>0</v>
      </c>
      <c r="P10" s="20" t="n">
        <v>0</v>
      </c>
      <c r="Q10" s="18" t="n">
        <v>0.6173681600000001</v>
      </c>
      <c r="R10" s="20" t="n">
        <v>0.18732136</v>
      </c>
    </row>
    <row r="11" spans="1:18">
      <c r="A11" s="15" t="s">
        <v>569</v>
      </c>
      <c r="B11" s="17" t="n">
        <v>3500</v>
      </c>
      <c r="C11" s="18">
        <f>(2742.0/B11*100)</f>
        <v/>
      </c>
      <c r="D11" s="19" t="n">
        <v>758</v>
      </c>
      <c r="E11" s="18" t="n">
        <v>45.01291421</v>
      </c>
      <c r="F11" s="20" t="n">
        <v>1.92024607</v>
      </c>
      <c r="G11" s="18" t="n">
        <v>50.60274658</v>
      </c>
      <c r="H11" s="20" t="n">
        <v>1.84172938</v>
      </c>
      <c r="I11" s="18" t="n">
        <v>0</v>
      </c>
      <c r="J11" s="20" t="n">
        <v>0</v>
      </c>
      <c r="K11" s="18" t="n">
        <v>2.71012924</v>
      </c>
      <c r="L11" s="20" t="n">
        <v>0.7646219</v>
      </c>
      <c r="M11" s="18" t="n">
        <v>0</v>
      </c>
      <c r="N11" s="20" t="n">
        <v>0</v>
      </c>
      <c r="O11" s="18" t="n">
        <v>0</v>
      </c>
      <c r="P11" s="20" t="n">
        <v>0</v>
      </c>
      <c r="Q11" s="18" t="n">
        <v>1.67420997</v>
      </c>
      <c r="R11" s="20" t="n">
        <v>0.50183157</v>
      </c>
    </row>
    <row r="12" spans="1:18">
      <c r="A12" s="15" t="s">
        <v>570</v>
      </c>
      <c r="B12" s="17" t="n">
        <v>3422</v>
      </c>
      <c r="C12" s="18">
        <f>(2699.0/B12*100)</f>
        <v/>
      </c>
      <c r="D12" s="19" t="n">
        <v>723</v>
      </c>
      <c r="E12" s="18" t="n">
        <v>46.88850652</v>
      </c>
      <c r="F12" s="20" t="n">
        <v>2.05317759</v>
      </c>
      <c r="G12" s="18" t="n">
        <v>51.62113922</v>
      </c>
      <c r="H12" s="20" t="n">
        <v>1.95046258</v>
      </c>
      <c r="I12" s="18" t="n">
        <v>0</v>
      </c>
      <c r="J12" s="20" t="n">
        <v>0</v>
      </c>
      <c r="K12" s="18" t="n">
        <v>0.81441583</v>
      </c>
      <c r="L12" s="20" t="n">
        <v>0.23828246</v>
      </c>
      <c r="M12" s="18" t="n">
        <v>0</v>
      </c>
      <c r="N12" s="20" t="n">
        <v>0</v>
      </c>
      <c r="O12" s="18" t="n">
        <v>0</v>
      </c>
      <c r="P12" s="20" t="n">
        <v>0</v>
      </c>
      <c r="Q12" s="18" t="n">
        <v>0.67593843</v>
      </c>
      <c r="R12" s="20" t="n">
        <v>0.36815741</v>
      </c>
    </row>
    <row r="13" spans="1:18">
      <c r="A13" s="15" t="s">
        <v>571</v>
      </c>
      <c r="B13" s="17" t="n">
        <v>3602</v>
      </c>
      <c r="C13" s="18">
        <f>(2864.0/B13*100)</f>
        <v/>
      </c>
      <c r="D13" s="19" t="n">
        <v>738</v>
      </c>
      <c r="E13" s="18" t="n">
        <v>43.47405904</v>
      </c>
      <c r="F13" s="20" t="n">
        <v>2.08079105</v>
      </c>
      <c r="G13" s="18" t="n">
        <v>53.8613496</v>
      </c>
      <c r="H13" s="20" t="n">
        <v>2.25543827</v>
      </c>
      <c r="I13" s="18" t="n">
        <v>0</v>
      </c>
      <c r="J13" s="20" t="n">
        <v>0</v>
      </c>
      <c r="K13" s="18" t="n">
        <v>1.42056525</v>
      </c>
      <c r="L13" s="20" t="n">
        <v>0.61122022</v>
      </c>
      <c r="M13" s="18" t="n">
        <v>0</v>
      </c>
      <c r="N13" s="20" t="n">
        <v>0</v>
      </c>
      <c r="O13" s="18" t="n">
        <v>0</v>
      </c>
      <c r="P13" s="20" t="n">
        <v>0</v>
      </c>
      <c r="Q13" s="18" t="n">
        <v>1.24402611</v>
      </c>
      <c r="R13" s="20" t="n">
        <v>0.72673908</v>
      </c>
    </row>
    <row r="14" spans="1:18">
      <c r="A14" s="15" t="s">
        <v>572</v>
      </c>
      <c r="B14" s="17" t="n">
        <v>2788</v>
      </c>
      <c r="C14" s="18">
        <f>(2188.0/B14*100)</f>
        <v/>
      </c>
      <c r="D14" s="19" t="n">
        <v>600</v>
      </c>
      <c r="E14" s="18" t="n">
        <v>44.55490002</v>
      </c>
      <c r="F14" s="20" t="n">
        <v>2.12702963</v>
      </c>
      <c r="G14" s="18" t="n">
        <v>54.39411874</v>
      </c>
      <c r="H14" s="20" t="n">
        <v>2.03816667</v>
      </c>
      <c r="I14" s="18" t="n">
        <v>0</v>
      </c>
      <c r="J14" s="20" t="n">
        <v>0</v>
      </c>
      <c r="K14" s="18" t="n">
        <v>0.51226189</v>
      </c>
      <c r="L14" s="20" t="n">
        <v>0.40088626</v>
      </c>
      <c r="M14" s="18" t="n">
        <v>0</v>
      </c>
      <c r="N14" s="20" t="n">
        <v>0</v>
      </c>
      <c r="O14" s="18" t="n">
        <v>0</v>
      </c>
      <c r="P14" s="20" t="n">
        <v>0</v>
      </c>
      <c r="Q14" s="18" t="n">
        <v>0.53871935</v>
      </c>
      <c r="R14" s="20" t="n">
        <v>0.26971873</v>
      </c>
    </row>
    <row r="15" spans="1:18">
      <c r="A15" s="15" t="s">
        <v>573</v>
      </c>
      <c r="B15" s="17" t="n">
        <v>2863</v>
      </c>
      <c r="C15" s="18">
        <f>(2223.0/B15*100)</f>
        <v/>
      </c>
      <c r="D15" s="19" t="n">
        <v>640</v>
      </c>
      <c r="E15" s="18" t="n">
        <v>40.80950121</v>
      </c>
      <c r="F15" s="20" t="n">
        <v>1.98583003</v>
      </c>
      <c r="G15" s="18" t="n">
        <v>57.8891471</v>
      </c>
      <c r="H15" s="20" t="n">
        <v>1.9647872</v>
      </c>
      <c r="I15" s="18" t="n">
        <v>0</v>
      </c>
      <c r="J15" s="20" t="n">
        <v>0</v>
      </c>
      <c r="K15" s="18" t="n">
        <v>0.32041012</v>
      </c>
      <c r="L15" s="20" t="n">
        <v>0.25301326</v>
      </c>
      <c r="M15" s="18" t="n">
        <v>0</v>
      </c>
      <c r="N15" s="20" t="n">
        <v>0</v>
      </c>
      <c r="O15" s="18" t="n">
        <v>0</v>
      </c>
      <c r="P15" s="20" t="n">
        <v>0</v>
      </c>
      <c r="Q15" s="18" t="n">
        <v>0.98094157</v>
      </c>
      <c r="R15" s="20" t="n">
        <v>0.3393495</v>
      </c>
    </row>
    <row r="16" spans="1:18">
      <c r="A16" s="15" t="s">
        <v>574</v>
      </c>
      <c r="B16" s="17" t="n">
        <v>3111</v>
      </c>
      <c r="C16" s="18">
        <f>(2431.0/B16*100)</f>
        <v/>
      </c>
      <c r="D16" s="19" t="n">
        <v>680</v>
      </c>
      <c r="E16" s="18" t="n">
        <v>44.49435037</v>
      </c>
      <c r="F16" s="20" t="n">
        <v>1.7230687</v>
      </c>
      <c r="G16" s="18" t="n">
        <v>52.43568076</v>
      </c>
      <c r="H16" s="20" t="n">
        <v>1.74913774</v>
      </c>
      <c r="I16" s="18" t="n">
        <v>0</v>
      </c>
      <c r="J16" s="20" t="n">
        <v>0</v>
      </c>
      <c r="K16" s="18" t="n">
        <v>1.11503962</v>
      </c>
      <c r="L16" s="20" t="n">
        <v>0.42580787</v>
      </c>
      <c r="M16" s="18" t="n">
        <v>0</v>
      </c>
      <c r="N16" s="20" t="n">
        <v>0</v>
      </c>
      <c r="O16" s="18" t="n">
        <v>0</v>
      </c>
      <c r="P16" s="20" t="n">
        <v>0</v>
      </c>
      <c r="Q16" s="18" t="n">
        <v>1.95492926</v>
      </c>
      <c r="R16" s="20" t="n">
        <v>0.65351752</v>
      </c>
    </row>
    <row r="17" spans="1:18">
      <c r="A17" s="15" t="s">
        <v>575</v>
      </c>
      <c r="B17" s="17" t="n">
        <v>3197</v>
      </c>
      <c r="C17" s="18">
        <f>(2563.0/B17*100)</f>
        <v/>
      </c>
      <c r="D17" s="19" t="n">
        <v>634</v>
      </c>
      <c r="E17" s="18" t="n">
        <v>44.78938123</v>
      </c>
      <c r="F17" s="20" t="n">
        <v>2.0347155</v>
      </c>
      <c r="G17" s="18" t="n">
        <v>52.77883255</v>
      </c>
      <c r="H17" s="20" t="n">
        <v>2.18537615</v>
      </c>
      <c r="I17" s="18" t="n">
        <v>0</v>
      </c>
      <c r="J17" s="20" t="n">
        <v>0</v>
      </c>
      <c r="K17" s="18" t="n">
        <v>0.32601432</v>
      </c>
      <c r="L17" s="20" t="n">
        <v>0.22202848</v>
      </c>
      <c r="M17" s="18" t="n">
        <v>0</v>
      </c>
      <c r="N17" s="20" t="n">
        <v>0</v>
      </c>
      <c r="O17" s="18" t="n">
        <v>0</v>
      </c>
      <c r="P17" s="20" t="n">
        <v>0</v>
      </c>
      <c r="Q17" s="18" t="n">
        <v>2.1057719</v>
      </c>
      <c r="R17" s="20" t="n">
        <v>0.55182002</v>
      </c>
    </row>
    <row r="18" spans="1:18">
      <c r="A18" s="15" t="s">
        <v>576</v>
      </c>
      <c r="B18" s="17" t="n">
        <v>2706</v>
      </c>
      <c r="C18" s="18">
        <f>(2114.0/B18*100)</f>
        <v/>
      </c>
      <c r="D18" s="19" t="n">
        <v>592</v>
      </c>
      <c r="E18" s="18" t="n">
        <v>52.4974493</v>
      </c>
      <c r="F18" s="20" t="n">
        <v>2.17511271</v>
      </c>
      <c r="G18" s="18" t="n">
        <v>44.64640756</v>
      </c>
      <c r="H18" s="20" t="n">
        <v>2.20511321</v>
      </c>
      <c r="I18" s="18" t="n">
        <v>0</v>
      </c>
      <c r="J18" s="20" t="n">
        <v>0</v>
      </c>
      <c r="K18" s="18" t="n">
        <v>1.63252701</v>
      </c>
      <c r="L18" s="20" t="n">
        <v>0.63534255</v>
      </c>
      <c r="M18" s="18" t="n">
        <v>0</v>
      </c>
      <c r="N18" s="20" t="n">
        <v>0</v>
      </c>
      <c r="O18" s="18" t="n">
        <v>0</v>
      </c>
      <c r="P18" s="20" t="n">
        <v>0</v>
      </c>
      <c r="Q18" s="18" t="n">
        <v>1.22361613</v>
      </c>
      <c r="R18" s="20" t="n">
        <v>0.47572652</v>
      </c>
    </row>
    <row r="19" spans="1:18">
      <c r="A19" s="15" t="s">
        <v>577</v>
      </c>
      <c r="B19" s="17" t="n">
        <v>2850</v>
      </c>
      <c r="C19" s="18">
        <f>(2256.0/B19*100)</f>
        <v/>
      </c>
      <c r="D19" s="19" t="n">
        <v>594</v>
      </c>
      <c r="E19" s="18" t="n">
        <v>43.17175027</v>
      </c>
      <c r="F19" s="20" t="n">
        <v>2.06258405</v>
      </c>
      <c r="G19" s="18" t="n">
        <v>55.18523975</v>
      </c>
      <c r="H19" s="20" t="n">
        <v>2.10604066</v>
      </c>
      <c r="I19" s="18" t="n">
        <v>0</v>
      </c>
      <c r="J19" s="20" t="n">
        <v>0</v>
      </c>
      <c r="K19" s="18" t="n">
        <v>0.14661656</v>
      </c>
      <c r="L19" s="20" t="n">
        <v>0.14737714</v>
      </c>
      <c r="M19" s="18" t="n">
        <v>0</v>
      </c>
      <c r="N19" s="20" t="n">
        <v>0</v>
      </c>
      <c r="O19" s="18" t="n">
        <v>0</v>
      </c>
      <c r="P19" s="20" t="n">
        <v>0</v>
      </c>
      <c r="Q19" s="18" t="n">
        <v>1.49639342</v>
      </c>
      <c r="R19" s="20" t="n">
        <v>0.60954888</v>
      </c>
    </row>
    <row r="20" spans="1:18">
      <c r="A20" s="15" t="s">
        <v>578</v>
      </c>
      <c r="B20" s="17" t="n">
        <v>1741</v>
      </c>
      <c r="C20" s="18">
        <f>(1383.0/B20*100)</f>
        <v/>
      </c>
      <c r="D20" s="19" t="n">
        <v>358</v>
      </c>
      <c r="E20" s="18" t="n">
        <v>47.61097479</v>
      </c>
      <c r="F20" s="20" t="n">
        <v>2.54084975</v>
      </c>
      <c r="G20" s="18" t="n">
        <v>50.24499456</v>
      </c>
      <c r="H20" s="20" t="n">
        <v>2.40840516</v>
      </c>
      <c r="I20" s="18" t="n">
        <v>0</v>
      </c>
      <c r="J20" s="20" t="n">
        <v>0</v>
      </c>
      <c r="K20" s="18" t="n">
        <v>0.59954158</v>
      </c>
      <c r="L20" s="20" t="n">
        <v>0.4149011</v>
      </c>
      <c r="M20" s="18" t="n">
        <v>0</v>
      </c>
      <c r="N20" s="20" t="n">
        <v>0</v>
      </c>
      <c r="O20" s="18" t="n">
        <v>0</v>
      </c>
      <c r="P20" s="20" t="n">
        <v>0</v>
      </c>
      <c r="Q20" s="18" t="n">
        <v>1.54448908</v>
      </c>
      <c r="R20" s="20" t="n">
        <v>0.64439673</v>
      </c>
    </row>
    <row r="21" spans="1:18">
      <c r="A21" s="15" t="s">
        <v>579</v>
      </c>
      <c r="B21" s="17" t="n">
        <v>2833</v>
      </c>
      <c r="C21" s="18">
        <f>(2217.0/B21*100)</f>
        <v/>
      </c>
      <c r="D21" s="19" t="n">
        <v>616</v>
      </c>
      <c r="E21" s="18" t="n">
        <v>44.14664109</v>
      </c>
      <c r="F21" s="20" t="n">
        <v>1.86368101</v>
      </c>
      <c r="G21" s="18" t="n">
        <v>54.72447735</v>
      </c>
      <c r="H21" s="20" t="n">
        <v>1.89003734</v>
      </c>
      <c r="I21" s="18" t="n">
        <v>0</v>
      </c>
      <c r="J21" s="20" t="n">
        <v>0</v>
      </c>
      <c r="K21" s="18" t="n">
        <v>0.1855716</v>
      </c>
      <c r="L21" s="20" t="n">
        <v>0.1690256</v>
      </c>
      <c r="M21" s="18" t="n">
        <v>0</v>
      </c>
      <c r="N21" s="20" t="n">
        <v>0</v>
      </c>
      <c r="O21" s="18" t="n">
        <v>0</v>
      </c>
      <c r="P21" s="20" t="n">
        <v>0</v>
      </c>
      <c r="Q21" s="18" t="n">
        <v>0.94330996</v>
      </c>
      <c r="R21" s="20" t="n">
        <v>0.38447233</v>
      </c>
    </row>
    <row r="22" spans="1:18">
      <c r="A22" s="15" t="s">
        <v>580</v>
      </c>
      <c r="B22" s="17" t="n">
        <v>3667</v>
      </c>
      <c r="C22" s="18">
        <f>(2887.0/B22*100)</f>
        <v/>
      </c>
      <c r="D22" s="19" t="n">
        <v>780</v>
      </c>
      <c r="E22" s="18" t="n">
        <v>44.73698863</v>
      </c>
      <c r="F22" s="20" t="n">
        <v>2.21035486</v>
      </c>
      <c r="G22" s="18" t="n">
        <v>50.82536609</v>
      </c>
      <c r="H22" s="20" t="n">
        <v>2.22348559</v>
      </c>
      <c r="I22" s="18" t="n">
        <v>0</v>
      </c>
      <c r="J22" s="20" t="n">
        <v>0</v>
      </c>
      <c r="K22" s="18" t="n">
        <v>2.1695757</v>
      </c>
      <c r="L22" s="20" t="n">
        <v>0.6241779200000001</v>
      </c>
      <c r="M22" s="18" t="n">
        <v>0</v>
      </c>
      <c r="N22" s="20" t="n">
        <v>0</v>
      </c>
      <c r="O22" s="18" t="n">
        <v>0</v>
      </c>
      <c r="P22" s="20" t="n">
        <v>0</v>
      </c>
      <c r="Q22" s="18" t="n">
        <v>2.26806958</v>
      </c>
      <c r="R22" s="20" t="n">
        <v>0.5928847</v>
      </c>
    </row>
    <row r="23" spans="1:18">
      <c r="A23" s="15" t="s">
        <v>581</v>
      </c>
      <c r="B23" s="17" t="n">
        <v>5792</v>
      </c>
      <c r="C23" s="18">
        <f>(4520.0/B23*100)</f>
        <v/>
      </c>
      <c r="D23" s="19" t="n">
        <v>1272</v>
      </c>
      <c r="E23" s="18" t="n">
        <v>51.19249426</v>
      </c>
      <c r="F23" s="20" t="n">
        <v>1.92392493</v>
      </c>
      <c r="G23" s="18" t="n">
        <v>45.19632148</v>
      </c>
      <c r="H23" s="20" t="n">
        <v>1.84937751</v>
      </c>
      <c r="I23" s="18" t="n">
        <v>0</v>
      </c>
      <c r="J23" s="20" t="n">
        <v>0</v>
      </c>
      <c r="K23" s="18" t="n">
        <v>1.36084911</v>
      </c>
      <c r="L23" s="20" t="n">
        <v>0.68683068</v>
      </c>
      <c r="M23" s="18" t="n">
        <v>0</v>
      </c>
      <c r="N23" s="20" t="n">
        <v>0</v>
      </c>
      <c r="O23" s="18" t="n">
        <v>0</v>
      </c>
      <c r="P23" s="20" t="n">
        <v>0</v>
      </c>
      <c r="Q23" s="18" t="n">
        <v>2.25033515</v>
      </c>
      <c r="R23" s="20" t="n">
        <v>0.67404127</v>
      </c>
    </row>
    <row r="24" spans="1:18">
      <c r="A24" s="15" t="s">
        <v>582</v>
      </c>
      <c r="B24" s="17" t="n">
        <v>3309</v>
      </c>
      <c r="C24" s="18">
        <f>(2571.0/B24*100)</f>
        <v/>
      </c>
      <c r="D24" s="19" t="n">
        <v>738</v>
      </c>
      <c r="E24" s="18" t="n">
        <v>40.69412917</v>
      </c>
      <c r="F24" s="20" t="n">
        <v>1.64730788</v>
      </c>
      <c r="G24" s="18" t="n">
        <v>58.24240127</v>
      </c>
      <c r="H24" s="20" t="n">
        <v>1.64321077</v>
      </c>
      <c r="I24" s="18" t="n">
        <v>0</v>
      </c>
      <c r="J24" s="20" t="n">
        <v>0</v>
      </c>
      <c r="K24" s="18" t="n">
        <v>0</v>
      </c>
      <c r="L24" s="20" t="n">
        <v>0</v>
      </c>
      <c r="M24" s="18" t="n">
        <v>0</v>
      </c>
      <c r="N24" s="20" t="n">
        <v>0</v>
      </c>
      <c r="O24" s="18" t="n">
        <v>0</v>
      </c>
      <c r="P24" s="20" t="n">
        <v>0</v>
      </c>
      <c r="Q24" s="18" t="n">
        <v>1.06346956</v>
      </c>
      <c r="R24" s="20" t="n">
        <v>0.32200955</v>
      </c>
    </row>
    <row r="25" spans="1:18">
      <c r="A25" s="15" t="s">
        <v>583</v>
      </c>
      <c r="B25" s="17" t="n">
        <v>2669</v>
      </c>
      <c r="C25" s="18">
        <f>(2075.0/B25*100)</f>
        <v/>
      </c>
      <c r="D25" s="19" t="n">
        <v>594</v>
      </c>
      <c r="E25" s="18" t="n">
        <v>26.01143509</v>
      </c>
      <c r="F25" s="20" t="n">
        <v>1.72667625</v>
      </c>
      <c r="G25" s="18" t="n">
        <v>73.61139355</v>
      </c>
      <c r="H25" s="20" t="n">
        <v>1.73825594</v>
      </c>
      <c r="I25" s="18" t="n">
        <v>0</v>
      </c>
      <c r="J25" s="20" t="n">
        <v>0</v>
      </c>
      <c r="K25" s="18" t="n">
        <v>0</v>
      </c>
      <c r="L25" s="20" t="n">
        <v>0</v>
      </c>
      <c r="M25" s="18" t="n">
        <v>0</v>
      </c>
      <c r="N25" s="20" t="n">
        <v>0</v>
      </c>
      <c r="O25" s="18" t="n">
        <v>0</v>
      </c>
      <c r="P25" s="20" t="n">
        <v>0</v>
      </c>
      <c r="Q25" s="18" t="n">
        <v>0.37717136</v>
      </c>
      <c r="R25" s="20" t="n">
        <v>0.25864373</v>
      </c>
    </row>
    <row r="26" spans="1:18">
      <c r="A26" s="15" t="s">
        <v>584</v>
      </c>
      <c r="B26" s="17" t="n">
        <v>2419</v>
      </c>
      <c r="C26" s="18">
        <f>(1896.0/B26*100)</f>
        <v/>
      </c>
      <c r="D26" s="19" t="n">
        <v>523</v>
      </c>
      <c r="E26" s="18" t="n">
        <v>41.23365205</v>
      </c>
      <c r="F26" s="20" t="n">
        <v>2.5396141</v>
      </c>
      <c r="G26" s="18" t="n">
        <v>58.31096872</v>
      </c>
      <c r="H26" s="20" t="n">
        <v>2.53787142</v>
      </c>
      <c r="I26" s="18" t="n">
        <v>0</v>
      </c>
      <c r="J26" s="20" t="n">
        <v>0</v>
      </c>
      <c r="K26" s="18" t="n">
        <v>0</v>
      </c>
      <c r="L26" s="20" t="n">
        <v>0</v>
      </c>
      <c r="M26" s="18" t="n">
        <v>0</v>
      </c>
      <c r="N26" s="20" t="n">
        <v>0</v>
      </c>
      <c r="O26" s="18" t="n">
        <v>0</v>
      </c>
      <c r="P26" s="20" t="n">
        <v>0</v>
      </c>
      <c r="Q26" s="18" t="n">
        <v>0.45537923</v>
      </c>
      <c r="R26" s="20" t="n">
        <v>0.26114887</v>
      </c>
    </row>
    <row r="27" spans="1:18">
      <c r="A27" s="15" t="s">
        <v>585</v>
      </c>
      <c r="B27" s="17" t="n">
        <v>2683</v>
      </c>
      <c r="C27" s="18">
        <f>(2135.0/B27*100)</f>
        <v/>
      </c>
      <c r="D27" s="19" t="n">
        <v>548</v>
      </c>
      <c r="E27" s="18" t="n">
        <v>48.78927437</v>
      </c>
      <c r="F27" s="20" t="n">
        <v>2.04275975</v>
      </c>
      <c r="G27" s="18" t="n">
        <v>48.99811463</v>
      </c>
      <c r="H27" s="20" t="n">
        <v>2.02617866</v>
      </c>
      <c r="I27" s="18" t="n">
        <v>0</v>
      </c>
      <c r="J27" s="20" t="n">
        <v>0</v>
      </c>
      <c r="K27" s="18" t="n">
        <v>0.57243356</v>
      </c>
      <c r="L27" s="20" t="n">
        <v>0.32820609</v>
      </c>
      <c r="M27" s="18" t="n">
        <v>0</v>
      </c>
      <c r="N27" s="20" t="n">
        <v>0</v>
      </c>
      <c r="O27" s="18" t="n">
        <v>0</v>
      </c>
      <c r="P27" s="20" t="n">
        <v>0</v>
      </c>
      <c r="Q27" s="18" t="n">
        <v>1.64017744</v>
      </c>
      <c r="R27" s="20" t="n">
        <v>0.60331252</v>
      </c>
    </row>
    <row r="28" spans="1:18">
      <c r="A28" s="15" t="s">
        <v>586</v>
      </c>
      <c r="B28" s="17" t="n">
        <v>3803</v>
      </c>
      <c r="C28" s="18">
        <f>(3069.0/B28*100)</f>
        <v/>
      </c>
      <c r="D28" s="19" t="n">
        <v>734</v>
      </c>
      <c r="E28" s="18" t="n">
        <v>56.5036225</v>
      </c>
      <c r="F28" s="20" t="n">
        <v>2.29814459</v>
      </c>
      <c r="G28" s="18" t="n">
        <v>40.42834817</v>
      </c>
      <c r="H28" s="20" t="n">
        <v>2.0723216</v>
      </c>
      <c r="I28" s="18" t="n">
        <v>0</v>
      </c>
      <c r="J28" s="20" t="n">
        <v>0</v>
      </c>
      <c r="K28" s="18" t="n">
        <v>2.31704437</v>
      </c>
      <c r="L28" s="20" t="n">
        <v>1.04135473</v>
      </c>
      <c r="M28" s="18" t="n">
        <v>0</v>
      </c>
      <c r="N28" s="20" t="n">
        <v>0</v>
      </c>
      <c r="O28" s="18" t="n">
        <v>0</v>
      </c>
      <c r="P28" s="20" t="n">
        <v>0</v>
      </c>
      <c r="Q28" s="18" t="n">
        <v>0.75098497</v>
      </c>
      <c r="R28" s="20" t="n">
        <v>0.32513976</v>
      </c>
    </row>
    <row r="29" spans="1:18">
      <c r="A29" s="15" t="s">
        <v>587</v>
      </c>
      <c r="B29" s="17" t="n">
        <v>2700</v>
      </c>
      <c r="C29" s="18">
        <f>(2127.0/B29*100)</f>
        <v/>
      </c>
      <c r="D29" s="19" t="n">
        <v>573</v>
      </c>
      <c r="E29" s="18" t="n">
        <v>43.61816396</v>
      </c>
      <c r="F29" s="20" t="n">
        <v>2.23773014</v>
      </c>
      <c r="G29" s="18" t="n">
        <v>55.74713384</v>
      </c>
      <c r="H29" s="20" t="n">
        <v>2.20346068</v>
      </c>
      <c r="I29" s="18" t="n">
        <v>0</v>
      </c>
      <c r="J29" s="20" t="n">
        <v>0</v>
      </c>
      <c r="K29" s="18" t="n">
        <v>0</v>
      </c>
      <c r="L29" s="20" t="n">
        <v>0</v>
      </c>
      <c r="M29" s="18" t="n">
        <v>0</v>
      </c>
      <c r="N29" s="20" t="n">
        <v>0</v>
      </c>
      <c r="O29" s="18" t="n">
        <v>0</v>
      </c>
      <c r="P29" s="20" t="n">
        <v>0</v>
      </c>
      <c r="Q29" s="18" t="n">
        <v>0.6347022</v>
      </c>
      <c r="R29" s="20" t="n">
        <v>0.31702256</v>
      </c>
    </row>
    <row r="30" spans="1:18">
      <c r="A30" s="15" t="s">
        <v>588</v>
      </c>
      <c r="B30" s="17" t="n">
        <v>2257</v>
      </c>
      <c r="C30" s="18">
        <f>(1789.0/B30*100)</f>
        <v/>
      </c>
      <c r="D30" s="19" t="n">
        <v>468</v>
      </c>
      <c r="E30" s="18" t="n">
        <v>36.37157916</v>
      </c>
      <c r="F30" s="20" t="n">
        <v>2.88492794</v>
      </c>
      <c r="G30" s="18" t="n">
        <v>62.25342538</v>
      </c>
      <c r="H30" s="20" t="n">
        <v>2.96999155</v>
      </c>
      <c r="I30" s="18" t="n">
        <v>0</v>
      </c>
      <c r="J30" s="20" t="n">
        <v>0</v>
      </c>
      <c r="K30" s="18" t="n">
        <v>0.43941674</v>
      </c>
      <c r="L30" s="20" t="n">
        <v>0.33901618</v>
      </c>
      <c r="M30" s="18" t="n">
        <v>0</v>
      </c>
      <c r="N30" s="20" t="n">
        <v>0</v>
      </c>
      <c r="O30" s="18" t="n">
        <v>0</v>
      </c>
      <c r="P30" s="20" t="n">
        <v>0</v>
      </c>
      <c r="Q30" s="18" t="n">
        <v>0.93557872</v>
      </c>
      <c r="R30" s="20" t="n">
        <v>0.41040282</v>
      </c>
    </row>
    <row r="31" spans="1:18">
      <c r="A31" s="15" t="s">
        <v>589</v>
      </c>
      <c r="B31" s="17" t="n">
        <v>2706</v>
      </c>
      <c r="C31" s="18">
        <f>(2140.0/B31*100)</f>
        <v/>
      </c>
      <c r="D31" s="19" t="n">
        <v>566</v>
      </c>
      <c r="E31" s="18" t="n">
        <v>45.65911751</v>
      </c>
      <c r="F31" s="20" t="n">
        <v>1.99592322</v>
      </c>
      <c r="G31" s="18" t="n">
        <v>51.76445856</v>
      </c>
      <c r="H31" s="20" t="n">
        <v>1.99164007</v>
      </c>
      <c r="I31" s="18" t="n">
        <v>0</v>
      </c>
      <c r="J31" s="20" t="n">
        <v>0</v>
      </c>
      <c r="K31" s="18" t="n">
        <v>1.37785327</v>
      </c>
      <c r="L31" s="20" t="n">
        <v>0.52737195</v>
      </c>
      <c r="M31" s="18" t="n">
        <v>0</v>
      </c>
      <c r="N31" s="20" t="n">
        <v>0</v>
      </c>
      <c r="O31" s="18" t="n">
        <v>0</v>
      </c>
      <c r="P31" s="20" t="n">
        <v>0</v>
      </c>
      <c r="Q31" s="18" t="n">
        <v>1.19857065</v>
      </c>
      <c r="R31" s="20" t="n">
        <v>0.45181935</v>
      </c>
    </row>
    <row r="32" spans="1:18">
      <c r="A32" s="15" t="s">
        <v>590</v>
      </c>
      <c r="B32" s="17" t="n">
        <v>2209</v>
      </c>
      <c r="C32" s="18">
        <f>(1691.0/B32*100)</f>
        <v/>
      </c>
      <c r="D32" s="19" t="n">
        <v>518</v>
      </c>
      <c r="E32" s="18" t="n">
        <v>48.5011448</v>
      </c>
      <c r="F32" s="20" t="n">
        <v>2.28143402</v>
      </c>
      <c r="G32" s="18" t="n">
        <v>51.3297681</v>
      </c>
      <c r="H32" s="20" t="n">
        <v>2.28421659</v>
      </c>
      <c r="I32" s="18" t="n">
        <v>0</v>
      </c>
      <c r="J32" s="20" t="n">
        <v>0</v>
      </c>
      <c r="K32" s="18" t="n">
        <v>0</v>
      </c>
      <c r="L32" s="20" t="n">
        <v>0</v>
      </c>
      <c r="M32" s="18" t="n">
        <v>0</v>
      </c>
      <c r="N32" s="20" t="n">
        <v>0</v>
      </c>
      <c r="O32" s="18" t="n">
        <v>0</v>
      </c>
      <c r="P32" s="20" t="n">
        <v>0</v>
      </c>
      <c r="Q32" s="18" t="n">
        <v>0.1690871</v>
      </c>
      <c r="R32" s="20" t="n">
        <v>0.16847816</v>
      </c>
    </row>
    <row r="33" spans="1:18">
      <c r="A33" s="15" t="s">
        <v>591</v>
      </c>
      <c r="B33" s="17" t="n">
        <v>3651</v>
      </c>
      <c r="C33" s="18">
        <f>(2858.0/B33*100)</f>
        <v/>
      </c>
      <c r="D33" s="19" t="n">
        <v>793</v>
      </c>
      <c r="E33" s="18" t="n">
        <v>47.53303708</v>
      </c>
      <c r="F33" s="20" t="n">
        <v>1.85530846</v>
      </c>
      <c r="G33" s="18" t="n">
        <v>49.75493376</v>
      </c>
      <c r="H33" s="20" t="n">
        <v>1.91586646</v>
      </c>
      <c r="I33" s="18" t="n">
        <v>0</v>
      </c>
      <c r="J33" s="20" t="n">
        <v>0</v>
      </c>
      <c r="K33" s="18" t="n">
        <v>1.56935301</v>
      </c>
      <c r="L33" s="20" t="n">
        <v>0.64221408</v>
      </c>
      <c r="M33" s="18" t="n">
        <v>0</v>
      </c>
      <c r="N33" s="20" t="n">
        <v>0</v>
      </c>
      <c r="O33" s="18" t="n">
        <v>0</v>
      </c>
      <c r="P33" s="20" t="n">
        <v>0</v>
      </c>
      <c r="Q33" s="18" t="n">
        <v>1.14267616</v>
      </c>
      <c r="R33" s="20" t="n">
        <v>0.36095888</v>
      </c>
    </row>
    <row r="34" spans="1:18">
      <c r="A34" s="15" t="s">
        <v>592</v>
      </c>
      <c r="B34" s="17" t="n">
        <v>3035</v>
      </c>
      <c r="C34" s="18">
        <f>(2432.0/B34*100)</f>
        <v/>
      </c>
      <c r="D34" s="19" t="n">
        <v>603</v>
      </c>
      <c r="E34" s="18" t="n">
        <v>48.26705621</v>
      </c>
      <c r="F34" s="20" t="n">
        <v>2.18667393</v>
      </c>
      <c r="G34" s="18" t="n">
        <v>49.65256797</v>
      </c>
      <c r="H34" s="20" t="n">
        <v>2.17505719</v>
      </c>
      <c r="I34" s="18" t="n">
        <v>0</v>
      </c>
      <c r="J34" s="20" t="n">
        <v>0</v>
      </c>
      <c r="K34" s="18" t="n">
        <v>0.14946338</v>
      </c>
      <c r="L34" s="20" t="n">
        <v>0.14145877</v>
      </c>
      <c r="M34" s="18" t="n">
        <v>0</v>
      </c>
      <c r="N34" s="20" t="n">
        <v>0</v>
      </c>
      <c r="O34" s="18" t="n">
        <v>0</v>
      </c>
      <c r="P34" s="20" t="n">
        <v>0</v>
      </c>
      <c r="Q34" s="18" t="n">
        <v>1.93091244</v>
      </c>
      <c r="R34" s="20" t="n">
        <v>0.6301278300000001</v>
      </c>
    </row>
    <row r="35" spans="1:18">
      <c r="A35" s="15" t="s">
        <v>593</v>
      </c>
      <c r="B35" s="17" t="n">
        <v>2901</v>
      </c>
      <c r="C35" s="18">
        <f>(2285.0/B35*100)</f>
        <v/>
      </c>
      <c r="D35" s="19" t="n">
        <v>616</v>
      </c>
      <c r="E35" s="18" t="n">
        <v>41.66348604</v>
      </c>
      <c r="F35" s="20" t="n">
        <v>2.2060939</v>
      </c>
      <c r="G35" s="18" t="n">
        <v>56.8298257</v>
      </c>
      <c r="H35" s="20" t="n">
        <v>2.17091658</v>
      </c>
      <c r="I35" s="18" t="n">
        <v>0</v>
      </c>
      <c r="J35" s="20" t="n">
        <v>0</v>
      </c>
      <c r="K35" s="18" t="n">
        <v>0.32740845</v>
      </c>
      <c r="L35" s="20" t="n">
        <v>0.26494727</v>
      </c>
      <c r="M35" s="18" t="n">
        <v>0</v>
      </c>
      <c r="N35" s="20" t="n">
        <v>0</v>
      </c>
      <c r="O35" s="18" t="n">
        <v>0</v>
      </c>
      <c r="P35" s="20" t="n">
        <v>0</v>
      </c>
      <c r="Q35" s="18" t="n">
        <v>1.17927981</v>
      </c>
      <c r="R35" s="20" t="n">
        <v>0.4845944</v>
      </c>
    </row>
    <row r="36" spans="1:18">
      <c r="A36" s="15" t="s">
        <v>594</v>
      </c>
      <c r="B36" s="17" t="n">
        <v>3404</v>
      </c>
      <c r="C36" s="18">
        <f>(2643.0/B36*100)</f>
        <v/>
      </c>
      <c r="D36" s="19" t="n">
        <v>761</v>
      </c>
      <c r="E36" s="18" t="n">
        <v>46.80675684</v>
      </c>
      <c r="F36" s="20" t="n">
        <v>1.58295461</v>
      </c>
      <c r="G36" s="18" t="n">
        <v>51.26713684</v>
      </c>
      <c r="H36" s="20" t="n">
        <v>1.67078141</v>
      </c>
      <c r="I36" s="18" t="n">
        <v>0</v>
      </c>
      <c r="J36" s="20" t="n">
        <v>0</v>
      </c>
      <c r="K36" s="18" t="n">
        <v>0.85421073</v>
      </c>
      <c r="L36" s="20" t="n">
        <v>0.36737675</v>
      </c>
      <c r="M36" s="18" t="n">
        <v>0</v>
      </c>
      <c r="N36" s="20" t="n">
        <v>0</v>
      </c>
      <c r="O36" s="18" t="n">
        <v>0</v>
      </c>
      <c r="P36" s="20" t="n">
        <v>0</v>
      </c>
      <c r="Q36" s="18" t="n">
        <v>1.07189559</v>
      </c>
      <c r="R36" s="20" t="n">
        <v>0.38794661</v>
      </c>
    </row>
    <row r="37" spans="1:18">
      <c r="A37" s="15" t="s">
        <v>595</v>
      </c>
      <c r="B37" s="17" t="n">
        <v>2731</v>
      </c>
      <c r="C37" s="18">
        <f>(2153.0/B37*100)</f>
        <v/>
      </c>
      <c r="D37" s="19" t="n">
        <v>578</v>
      </c>
      <c r="E37" s="18" t="n">
        <v>42.19830377</v>
      </c>
      <c r="F37" s="20" t="n">
        <v>2.37662657</v>
      </c>
      <c r="G37" s="18" t="n">
        <v>54.21122355</v>
      </c>
      <c r="H37" s="20" t="n">
        <v>2.32739465</v>
      </c>
      <c r="I37" s="18" t="n">
        <v>0</v>
      </c>
      <c r="J37" s="20" t="n">
        <v>0</v>
      </c>
      <c r="K37" s="18" t="n">
        <v>1.10144068</v>
      </c>
      <c r="L37" s="20" t="n">
        <v>0.51587255</v>
      </c>
      <c r="M37" s="18" t="n">
        <v>0</v>
      </c>
      <c r="N37" s="20" t="n">
        <v>0</v>
      </c>
      <c r="O37" s="18" t="n">
        <v>0</v>
      </c>
      <c r="P37" s="20" t="n">
        <v>0</v>
      </c>
      <c r="Q37" s="18" t="n">
        <v>2.489032</v>
      </c>
      <c r="R37" s="20" t="n">
        <v>0.59660216</v>
      </c>
    </row>
    <row r="38" spans="1:18">
      <c r="A38" s="15" t="s">
        <v>596</v>
      </c>
      <c r="B38" s="17" t="n">
        <v>2807</v>
      </c>
      <c r="C38" s="18">
        <f>(2186.0/B38*100)</f>
        <v/>
      </c>
      <c r="D38" s="19" t="n">
        <v>621</v>
      </c>
      <c r="E38" s="18" t="n">
        <v>43.24928971</v>
      </c>
      <c r="F38" s="20" t="n">
        <v>2.37064414</v>
      </c>
      <c r="G38" s="18" t="n">
        <v>54.73977855</v>
      </c>
      <c r="H38" s="20" t="n">
        <v>2.39214646</v>
      </c>
      <c r="I38" s="18" t="n">
        <v>0</v>
      </c>
      <c r="J38" s="20" t="n">
        <v>0</v>
      </c>
      <c r="K38" s="18" t="n">
        <v>0.28541166</v>
      </c>
      <c r="L38" s="20" t="n">
        <v>0.20425938</v>
      </c>
      <c r="M38" s="18" t="n">
        <v>0</v>
      </c>
      <c r="N38" s="20" t="n">
        <v>0</v>
      </c>
      <c r="O38" s="18" t="n">
        <v>0</v>
      </c>
      <c r="P38" s="20" t="n">
        <v>0</v>
      </c>
      <c r="Q38" s="18" t="n">
        <v>1.72552008</v>
      </c>
      <c r="R38" s="20" t="n">
        <v>0.76565125</v>
      </c>
    </row>
    <row r="39" spans="1:18">
      <c r="A39" s="15" t="s">
        <v>597</v>
      </c>
      <c r="B39" s="17" t="n">
        <v>2938</v>
      </c>
      <c r="C39" s="18">
        <f>(2258.0/B39*100)</f>
        <v/>
      </c>
      <c r="D39" s="19" t="n">
        <v>680</v>
      </c>
      <c r="E39" s="18" t="n">
        <v>58.69503485</v>
      </c>
      <c r="F39" s="20" t="n">
        <v>1.91416435</v>
      </c>
      <c r="G39" s="18" t="n">
        <v>40.70977099</v>
      </c>
      <c r="H39" s="20" t="n">
        <v>1.87289257</v>
      </c>
      <c r="I39" s="18" t="n">
        <v>0</v>
      </c>
      <c r="J39" s="20" t="n">
        <v>0</v>
      </c>
      <c r="K39" s="18" t="n">
        <v>0.13697701</v>
      </c>
      <c r="L39" s="20" t="n">
        <v>0.13281027</v>
      </c>
      <c r="M39" s="18" t="n">
        <v>0</v>
      </c>
      <c r="N39" s="20" t="n">
        <v>0</v>
      </c>
      <c r="O39" s="18" t="n">
        <v>0</v>
      </c>
      <c r="P39" s="20" t="n">
        <v>0</v>
      </c>
      <c r="Q39" s="18" t="n">
        <v>0.45821715</v>
      </c>
      <c r="R39" s="20" t="n">
        <v>0.27131707</v>
      </c>
    </row>
    <row r="40" spans="1:18">
      <c r="A40" s="15" t="s">
        <v>598</v>
      </c>
      <c r="B40" s="17" t="n">
        <v>6922</v>
      </c>
      <c r="C40" s="18">
        <f>(5390.0/B40*100)</f>
        <v/>
      </c>
      <c r="D40" s="19" t="n">
        <v>1532</v>
      </c>
      <c r="E40" s="18" t="n">
        <v>42.10969111</v>
      </c>
      <c r="F40" s="20" t="n">
        <v>2.22931019</v>
      </c>
      <c r="G40" s="18" t="n">
        <v>55.57498178</v>
      </c>
      <c r="H40" s="20" t="n">
        <v>2.31336776</v>
      </c>
      <c r="I40" s="18" t="n">
        <v>0</v>
      </c>
      <c r="J40" s="20" t="n">
        <v>0</v>
      </c>
      <c r="K40" s="18" t="n">
        <v>0.85935136</v>
      </c>
      <c r="L40" s="20" t="n">
        <v>0.40204552</v>
      </c>
      <c r="M40" s="18" t="n">
        <v>0</v>
      </c>
      <c r="N40" s="20" t="n">
        <v>0</v>
      </c>
      <c r="O40" s="18" t="n">
        <v>0</v>
      </c>
      <c r="P40" s="20" t="n">
        <v>0</v>
      </c>
      <c r="Q40" s="18" t="n">
        <v>1.45597575</v>
      </c>
      <c r="R40" s="20" t="n">
        <v>0.56921788</v>
      </c>
    </row>
    <row r="41" spans="1:18">
      <c r="A41" s="15" t="s">
        <v>599</v>
      </c>
      <c r="B41" s="17" t="n">
        <v>2854</v>
      </c>
      <c r="C41" s="18">
        <f>(2249.0/B41*100)</f>
        <v/>
      </c>
      <c r="D41" s="19" t="n">
        <v>605</v>
      </c>
      <c r="E41" s="18" t="n">
        <v>36.9859989</v>
      </c>
      <c r="F41" s="20" t="n">
        <v>2.21216562</v>
      </c>
      <c r="G41" s="18" t="n">
        <v>62.41590764</v>
      </c>
      <c r="H41" s="20" t="n">
        <v>2.24492679</v>
      </c>
      <c r="I41" s="18" t="n">
        <v>0</v>
      </c>
      <c r="J41" s="20" t="n">
        <v>0</v>
      </c>
      <c r="K41" s="18" t="n">
        <v>0.37060273</v>
      </c>
      <c r="L41" s="20" t="n">
        <v>0.24856213</v>
      </c>
      <c r="M41" s="18" t="n">
        <v>0</v>
      </c>
      <c r="N41" s="20" t="n">
        <v>0</v>
      </c>
      <c r="O41" s="18" t="n">
        <v>0</v>
      </c>
      <c r="P41" s="20" t="n">
        <v>0</v>
      </c>
      <c r="Q41" s="18" t="n">
        <v>0.22749074</v>
      </c>
      <c r="R41" s="20" t="n">
        <v>0.23589035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(10113.0/B46*100)</f>
        <v/>
      </c>
      <c r="D46" s="19" t="n">
        <v>1960</v>
      </c>
      <c r="E46" s="18" t="n">
        <v>53.3518794</v>
      </c>
      <c r="F46" s="20" t="n">
        <v>1.40725736</v>
      </c>
      <c r="G46" s="18" t="n">
        <v>42.17500711</v>
      </c>
      <c r="H46" s="20" t="n">
        <v>1.55170905</v>
      </c>
      <c r="I46" s="18" t="n">
        <v>0</v>
      </c>
      <c r="J46" s="20" t="n">
        <v>0</v>
      </c>
      <c r="K46" s="18" t="n">
        <v>2.40479156</v>
      </c>
      <c r="L46" s="20" t="n">
        <v>0.5968531</v>
      </c>
      <c r="M46" s="18" t="n">
        <v>0</v>
      </c>
      <c r="N46" s="20" t="n">
        <v>0</v>
      </c>
      <c r="O46" s="18" t="n">
        <v>0</v>
      </c>
      <c r="P46" s="20" t="n">
        <v>0</v>
      </c>
      <c r="Q46" s="18" t="n">
        <v>2.06832193</v>
      </c>
      <c r="R46" s="20" t="n">
        <v>0.4701482</v>
      </c>
    </row>
    <row r="47" spans="1:18">
      <c r="A47" s="15" t="s">
        <v>606</v>
      </c>
      <c r="B47" s="17" t="n">
        <v>2823</v>
      </c>
      <c r="C47" s="18">
        <f>(2233.0/B47*100)</f>
        <v/>
      </c>
      <c r="D47" s="19" t="n">
        <v>590</v>
      </c>
      <c r="E47" s="18" t="n">
        <v>45.97781377</v>
      </c>
      <c r="F47" s="20" t="n">
        <v>1.79734882</v>
      </c>
      <c r="G47" s="18" t="n">
        <v>50.52567365</v>
      </c>
      <c r="H47" s="20" t="n">
        <v>1.9252716</v>
      </c>
      <c r="I47" s="18" t="n">
        <v>0</v>
      </c>
      <c r="J47" s="20" t="n">
        <v>0</v>
      </c>
      <c r="K47" s="18" t="n">
        <v>1.85539962</v>
      </c>
      <c r="L47" s="20" t="n">
        <v>0.62155374</v>
      </c>
      <c r="M47" s="18" t="n">
        <v>0</v>
      </c>
      <c r="N47" s="20" t="n">
        <v>0</v>
      </c>
      <c r="O47" s="18" t="n">
        <v>0</v>
      </c>
      <c r="P47" s="20" t="n">
        <v>0</v>
      </c>
      <c r="Q47" s="18" t="n">
        <v>1.64111296</v>
      </c>
      <c r="R47" s="20" t="n">
        <v>0.5375421</v>
      </c>
    </row>
    <row r="48" spans="1:18">
      <c r="A48" s="15" t="s">
        <v>607</v>
      </c>
      <c r="B48" s="17" t="n">
        <v>4682</v>
      </c>
      <c r="C48" s="18">
        <f>(3656.0/B48*100)</f>
        <v/>
      </c>
      <c r="D48" s="19" t="n">
        <v>1026</v>
      </c>
      <c r="E48" s="18" t="n">
        <v>43.36279061</v>
      </c>
      <c r="F48" s="20" t="n">
        <v>2.18094846</v>
      </c>
      <c r="G48" s="18" t="n">
        <v>55.31713921</v>
      </c>
      <c r="H48" s="20" t="n">
        <v>2.18045125</v>
      </c>
      <c r="I48" s="18" t="n">
        <v>0</v>
      </c>
      <c r="J48" s="20" t="n">
        <v>0</v>
      </c>
      <c r="K48" s="18" t="n">
        <v>0.85693332</v>
      </c>
      <c r="L48" s="20" t="n">
        <v>0.48352783</v>
      </c>
      <c r="M48" s="18" t="n">
        <v>0</v>
      </c>
      <c r="N48" s="20" t="n">
        <v>0</v>
      </c>
      <c r="O48" s="18" t="n">
        <v>0</v>
      </c>
      <c r="P48" s="20" t="n">
        <v>0</v>
      </c>
      <c r="Q48" s="18" t="n">
        <v>0.46313686</v>
      </c>
      <c r="R48" s="20" t="n">
        <v>0.25340698</v>
      </c>
    </row>
    <row r="49" spans="1:18">
      <c r="A49" s="15" t="s">
        <v>608</v>
      </c>
      <c r="B49" s="17" t="n">
        <v>6158</v>
      </c>
      <c r="C49" s="18">
        <f>(4883.0/B49*100)</f>
        <v/>
      </c>
      <c r="D49" s="19" t="n">
        <v>1275</v>
      </c>
      <c r="E49" s="18" t="n">
        <v>53.98748064</v>
      </c>
      <c r="F49" s="20" t="n">
        <v>1.90688482</v>
      </c>
      <c r="G49" s="18" t="n">
        <v>41.44466756</v>
      </c>
      <c r="H49" s="20" t="n">
        <v>1.82251468</v>
      </c>
      <c r="I49" s="18" t="n">
        <v>0</v>
      </c>
      <c r="J49" s="20" t="n">
        <v>0</v>
      </c>
      <c r="K49" s="18" t="n">
        <v>2.97875214</v>
      </c>
      <c r="L49" s="20" t="n">
        <v>0.57748071</v>
      </c>
      <c r="M49" s="18" t="n">
        <v>0</v>
      </c>
      <c r="N49" s="20" t="n">
        <v>0</v>
      </c>
      <c r="O49" s="18" t="n">
        <v>0</v>
      </c>
      <c r="P49" s="20" t="n">
        <v>0</v>
      </c>
      <c r="Q49" s="18" t="n">
        <v>1.58909967</v>
      </c>
      <c r="R49" s="20" t="n">
        <v>0.44854947</v>
      </c>
    </row>
    <row r="50" spans="1:18">
      <c r="A50" s="15" t="s">
        <v>609</v>
      </c>
      <c r="B50" s="17" t="n">
        <v>3494</v>
      </c>
      <c r="C50" s="18">
        <f>(2845.0/B50*100)</f>
        <v/>
      </c>
      <c r="D50" s="19" t="n">
        <v>649</v>
      </c>
      <c r="E50" s="18" t="n">
        <v>57.45596895</v>
      </c>
      <c r="F50" s="20" t="n">
        <v>2.04530787</v>
      </c>
      <c r="G50" s="18" t="n">
        <v>41.17431471</v>
      </c>
      <c r="H50" s="20" t="n">
        <v>2.05107302</v>
      </c>
      <c r="I50" s="18" t="n">
        <v>0</v>
      </c>
      <c r="J50" s="20" t="n">
        <v>0</v>
      </c>
      <c r="K50" s="18" t="n">
        <v>0.24312417</v>
      </c>
      <c r="L50" s="20" t="n">
        <v>0.14989939</v>
      </c>
      <c r="M50" s="18" t="n">
        <v>0</v>
      </c>
      <c r="N50" s="20" t="n">
        <v>0</v>
      </c>
      <c r="O50" s="18" t="n">
        <v>0</v>
      </c>
      <c r="P50" s="20" t="n">
        <v>0</v>
      </c>
      <c r="Q50" s="18" t="n">
        <v>1.12659217</v>
      </c>
      <c r="R50" s="20" t="n">
        <v>0.34645645</v>
      </c>
    </row>
    <row r="51" spans="1:18">
      <c r="A51" s="15" t="s">
        <v>610</v>
      </c>
      <c r="B51" s="17" t="n">
        <v>3013</v>
      </c>
      <c r="C51" s="18">
        <f>(2343.0/B51*100)</f>
        <v/>
      </c>
      <c r="D51" s="19" t="n">
        <v>670</v>
      </c>
      <c r="E51" s="18" t="n">
        <v>47.11510289</v>
      </c>
      <c r="F51" s="20" t="n">
        <v>1.99289654</v>
      </c>
      <c r="G51" s="18" t="n">
        <v>52.3770587</v>
      </c>
      <c r="H51" s="20" t="n">
        <v>1.97057653</v>
      </c>
      <c r="I51" s="18" t="n">
        <v>0</v>
      </c>
      <c r="J51" s="20" t="n">
        <v>0</v>
      </c>
      <c r="K51" s="18" t="n">
        <v>0.16739337</v>
      </c>
      <c r="L51" s="20" t="n">
        <v>0.14414363</v>
      </c>
      <c r="M51" s="18" t="n">
        <v>0</v>
      </c>
      <c r="N51" s="20" t="n">
        <v>0</v>
      </c>
      <c r="O51" s="18" t="n">
        <v>0</v>
      </c>
      <c r="P51" s="20" t="n">
        <v>0</v>
      </c>
      <c r="Q51" s="18" t="n">
        <v>0.34044504</v>
      </c>
      <c r="R51" s="20" t="n">
        <v>0.23264875</v>
      </c>
    </row>
    <row r="52" spans="1:18">
      <c r="A52" s="15" t="s">
        <v>611</v>
      </c>
      <c r="B52" s="17" t="n">
        <v>2760</v>
      </c>
      <c r="C52" s="18">
        <f>(2146.0/B52*100)</f>
        <v/>
      </c>
      <c r="D52" s="19" t="n">
        <v>614</v>
      </c>
      <c r="E52" s="18" t="n">
        <v>50.13513843</v>
      </c>
      <c r="F52" s="20" t="n">
        <v>1.88280867</v>
      </c>
      <c r="G52" s="18" t="n">
        <v>48.02971488</v>
      </c>
      <c r="H52" s="20" t="n">
        <v>1.93029619</v>
      </c>
      <c r="I52" s="18" t="n">
        <v>0</v>
      </c>
      <c r="J52" s="20" t="n">
        <v>0</v>
      </c>
      <c r="K52" s="18" t="n">
        <v>0.48946286</v>
      </c>
      <c r="L52" s="20" t="n">
        <v>0.29459673</v>
      </c>
      <c r="M52" s="18" t="n">
        <v>0</v>
      </c>
      <c r="N52" s="20" t="n">
        <v>0</v>
      </c>
      <c r="O52" s="18" t="n">
        <v>0</v>
      </c>
      <c r="P52" s="20" t="n">
        <v>0</v>
      </c>
      <c r="Q52" s="18" t="n">
        <v>1.34568383</v>
      </c>
      <c r="R52" s="20" t="n">
        <v>0.5577335</v>
      </c>
    </row>
    <row r="53" spans="1:18">
      <c r="A53" s="15" t="s">
        <v>612</v>
      </c>
      <c r="B53" s="17" t="n">
        <v>2474</v>
      </c>
      <c r="C53" s="18">
        <f>(1955.0/B53*100)</f>
        <v/>
      </c>
      <c r="D53" s="19" t="n">
        <v>519</v>
      </c>
      <c r="E53" s="18" t="n">
        <v>43.9334706</v>
      </c>
      <c r="F53" s="20" t="n">
        <v>2.35430706</v>
      </c>
      <c r="G53" s="18" t="n">
        <v>36.87564559</v>
      </c>
      <c r="H53" s="20" t="n">
        <v>2.06972039</v>
      </c>
      <c r="I53" s="18" t="n">
        <v>0</v>
      </c>
      <c r="J53" s="20" t="n">
        <v>0</v>
      </c>
      <c r="K53" s="18" t="n">
        <v>15.55007255</v>
      </c>
      <c r="L53" s="20" t="n">
        <v>2.00642688</v>
      </c>
      <c r="M53" s="18" t="n">
        <v>0</v>
      </c>
      <c r="N53" s="20" t="n">
        <v>0</v>
      </c>
      <c r="O53" s="18" t="n">
        <v>0</v>
      </c>
      <c r="P53" s="20" t="n">
        <v>0</v>
      </c>
      <c r="Q53" s="18" t="n">
        <v>3.64081127</v>
      </c>
      <c r="R53" s="20" t="n">
        <v>0.99426921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(2083.0/B55*100)</f>
        <v/>
      </c>
      <c r="D55" s="19" t="n">
        <v>592</v>
      </c>
      <c r="E55" s="18" t="n">
        <v>42.70327323</v>
      </c>
      <c r="F55" s="20" t="n">
        <v>2.27856846</v>
      </c>
      <c r="G55" s="18" t="n">
        <v>56.77703845</v>
      </c>
      <c r="H55" s="20" t="n">
        <v>2.20076483</v>
      </c>
      <c r="I55" s="18" t="n">
        <v>0</v>
      </c>
      <c r="J55" s="20" t="n">
        <v>0</v>
      </c>
      <c r="K55" s="18" t="n">
        <v>0.51968832</v>
      </c>
      <c r="L55" s="20" t="n">
        <v>0.36212892</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(2491.0/B61*100)</f>
        <v/>
      </c>
      <c r="D61" s="19" t="n">
        <v>710</v>
      </c>
      <c r="E61" s="18" t="n">
        <v>47.76120162</v>
      </c>
      <c r="F61" s="20" t="n">
        <v>2.17256835</v>
      </c>
      <c r="G61" s="18" t="n">
        <v>51.2843345</v>
      </c>
      <c r="H61" s="20" t="n">
        <v>2.082535</v>
      </c>
      <c r="I61" s="18" t="n">
        <v>0</v>
      </c>
      <c r="J61" s="20" t="n">
        <v>0</v>
      </c>
      <c r="K61" s="18" t="n">
        <v>0.2163571</v>
      </c>
      <c r="L61" s="20" t="n">
        <v>0.1904221</v>
      </c>
      <c r="M61" s="18" t="n">
        <v>0</v>
      </c>
      <c r="N61" s="20" t="n">
        <v>0</v>
      </c>
      <c r="O61" s="18" t="n">
        <v>0</v>
      </c>
      <c r="P61" s="20" t="n">
        <v>0</v>
      </c>
      <c r="Q61" s="18" t="n">
        <v>0.73810678</v>
      </c>
      <c r="R61" s="20" t="n">
        <v>0.35054103</v>
      </c>
    </row>
    <row r="62" spans="1:18">
      <c r="A62" s="15" t="s">
        <v>622</v>
      </c>
      <c r="B62" s="17" t="n">
        <v>2230</v>
      </c>
      <c r="C62" s="18">
        <f>(1747.0/B62*100)</f>
        <v/>
      </c>
      <c r="D62" s="19" t="n">
        <v>483</v>
      </c>
      <c r="E62" s="18" t="n">
        <v>39.09729741</v>
      </c>
      <c r="F62" s="20" t="n">
        <v>2.34820618</v>
      </c>
      <c r="G62" s="18" t="n">
        <v>60.69077904</v>
      </c>
      <c r="H62" s="20" t="n">
        <v>2.37758864</v>
      </c>
      <c r="I62" s="18" t="n">
        <v>0</v>
      </c>
      <c r="J62" s="20" t="n">
        <v>0</v>
      </c>
      <c r="K62" s="18" t="n">
        <v>0</v>
      </c>
      <c r="L62" s="20" t="n">
        <v>0</v>
      </c>
      <c r="M62" s="18" t="n">
        <v>0</v>
      </c>
      <c r="N62" s="20" t="n">
        <v>0</v>
      </c>
      <c r="O62" s="18" t="n">
        <v>0</v>
      </c>
      <c r="P62" s="20" t="n">
        <v>0</v>
      </c>
      <c r="Q62" s="18" t="n">
        <v>0.21192355</v>
      </c>
      <c r="R62" s="20" t="n">
        <v>0.20991595</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(2212.0/B67*100)</f>
        <v/>
      </c>
      <c r="D67" s="19" t="n">
        <v>559</v>
      </c>
      <c r="E67" s="18" t="n">
        <v>48.3780572</v>
      </c>
      <c r="F67" s="20" t="n">
        <v>2.20173424</v>
      </c>
      <c r="G67" s="18" t="n">
        <v>48.03004717</v>
      </c>
      <c r="H67" s="20" t="n">
        <v>2.23161843</v>
      </c>
      <c r="I67" s="18" t="n">
        <v>0</v>
      </c>
      <c r="J67" s="20" t="n">
        <v>0</v>
      </c>
      <c r="K67" s="18" t="n">
        <v>1.45846806</v>
      </c>
      <c r="L67" s="20" t="n">
        <v>0.59408493</v>
      </c>
      <c r="M67" s="18" t="n">
        <v>0</v>
      </c>
      <c r="N67" s="20" t="n">
        <v>0</v>
      </c>
      <c r="O67" s="18" t="n">
        <v>0</v>
      </c>
      <c r="P67" s="20" t="n">
        <v>0</v>
      </c>
      <c r="Q67" s="18" t="n">
        <v>2.13342758</v>
      </c>
      <c r="R67" s="20" t="n">
        <v>0.5709966400000001</v>
      </c>
    </row>
    <row r="68" spans="1:18">
      <c r="A68" s="15" t="s">
        <v>628</v>
      </c>
      <c r="B68" s="17" t="n">
        <v>3460</v>
      </c>
      <c r="C68" s="18">
        <f>(2846.0/B68*100)</f>
        <v/>
      </c>
      <c r="D68" s="19" t="n">
        <v>614</v>
      </c>
      <c r="E68" s="18" t="n">
        <v>57.94851262</v>
      </c>
      <c r="F68" s="20" t="n">
        <v>2.02847476</v>
      </c>
      <c r="G68" s="18" t="n">
        <v>40.36032949</v>
      </c>
      <c r="H68" s="20" t="n">
        <v>1.9935392</v>
      </c>
      <c r="I68" s="18" t="n">
        <v>0</v>
      </c>
      <c r="J68" s="20" t="n">
        <v>0</v>
      </c>
      <c r="K68" s="18" t="n">
        <v>0.6122054</v>
      </c>
      <c r="L68" s="20" t="n">
        <v>0.30496204</v>
      </c>
      <c r="M68" s="18" t="n">
        <v>0</v>
      </c>
      <c r="N68" s="20" t="n">
        <v>0</v>
      </c>
      <c r="O68" s="18" t="n">
        <v>0</v>
      </c>
      <c r="P68" s="20" t="n">
        <v>0</v>
      </c>
      <c r="Q68" s="18" t="n">
        <v>1.07895249</v>
      </c>
      <c r="R68" s="20" t="n">
        <v>0.39203942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(4721.0/B70*100)</f>
        <v/>
      </c>
      <c r="D70" s="19" t="n">
        <v>1313</v>
      </c>
      <c r="E70" s="18" t="n">
        <v>49.88572272</v>
      </c>
      <c r="F70" s="20" t="n">
        <v>1.33341387</v>
      </c>
      <c r="G70" s="18" t="n">
        <v>45.54485268</v>
      </c>
      <c r="H70" s="20" t="n">
        <v>1.3128644</v>
      </c>
      <c r="I70" s="18" t="n">
        <v>0</v>
      </c>
      <c r="J70" s="20" t="n">
        <v>0</v>
      </c>
      <c r="K70" s="18" t="n">
        <v>3.34217843</v>
      </c>
      <c r="L70" s="20" t="n">
        <v>0.54255193</v>
      </c>
      <c r="M70" s="18" t="n">
        <v>0</v>
      </c>
      <c r="N70" s="20" t="n">
        <v>0</v>
      </c>
      <c r="O70" s="18" t="n">
        <v>0</v>
      </c>
      <c r="P70" s="20" t="n">
        <v>0</v>
      </c>
      <c r="Q70" s="18" t="n">
        <v>1.22724616</v>
      </c>
      <c r="R70" s="20" t="n">
        <v>0.25803673</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(2472.0/B72*100)</f>
        <v/>
      </c>
      <c r="D72" s="19" t="n">
        <v>635</v>
      </c>
      <c r="E72" s="18" t="n">
        <v>53.04665691</v>
      </c>
      <c r="F72" s="20" t="n">
        <v>2.23145157</v>
      </c>
      <c r="G72" s="18" t="n">
        <v>45.88198681</v>
      </c>
      <c r="H72" s="20" t="n">
        <v>2.16600815</v>
      </c>
      <c r="I72" s="18" t="n">
        <v>0</v>
      </c>
      <c r="J72" s="20" t="n">
        <v>0</v>
      </c>
      <c r="K72" s="18" t="n">
        <v>0.21102308</v>
      </c>
      <c r="L72" s="20" t="n">
        <v>0.20324316</v>
      </c>
      <c r="M72" s="18" t="n">
        <v>0</v>
      </c>
      <c r="N72" s="20" t="n">
        <v>0</v>
      </c>
      <c r="O72" s="18" t="n">
        <v>0</v>
      </c>
      <c r="P72" s="20" t="n">
        <v>0</v>
      </c>
      <c r="Q72" s="18" t="n">
        <v>0.8603332</v>
      </c>
      <c r="R72" s="20" t="n">
        <v>0.2985342</v>
      </c>
    </row>
    <row r="73" spans="1:18">
      <c r="A73" s="15" t="s">
        <v>633</v>
      </c>
      <c r="B73" s="17" t="n">
        <v>2973</v>
      </c>
      <c r="C73" s="18">
        <f>(2312.0/B73*100)</f>
        <v/>
      </c>
      <c r="D73" s="19" t="n">
        <v>661</v>
      </c>
      <c r="E73" s="18" t="n">
        <v>35.6793424</v>
      </c>
      <c r="F73" s="20" t="n">
        <v>1.87748184</v>
      </c>
      <c r="G73" s="18" t="n">
        <v>63.30598836</v>
      </c>
      <c r="H73" s="20" t="n">
        <v>1.85148634</v>
      </c>
      <c r="I73" s="18" t="n">
        <v>0</v>
      </c>
      <c r="J73" s="20" t="n">
        <v>0</v>
      </c>
      <c r="K73" s="18" t="n">
        <v>0.34549687</v>
      </c>
      <c r="L73" s="20" t="n">
        <v>0.24380546</v>
      </c>
      <c r="M73" s="18" t="n">
        <v>0</v>
      </c>
      <c r="N73" s="20" t="n">
        <v>0</v>
      </c>
      <c r="O73" s="18" t="n">
        <v>0</v>
      </c>
      <c r="P73" s="20" t="n">
        <v>0</v>
      </c>
      <c r="Q73" s="18" t="n">
        <v>0.66917237</v>
      </c>
      <c r="R73" s="20" t="n">
        <v>0.29204817</v>
      </c>
    </row>
    <row r="74" spans="1:18">
      <c r="A74" s="15" t="s">
        <v>634</v>
      </c>
      <c r="B74" s="17" t="n">
        <v>3819</v>
      </c>
      <c r="C74" s="18">
        <f>(2929.0/B74*100)</f>
        <v/>
      </c>
      <c r="D74" s="19" t="n">
        <v>890</v>
      </c>
      <c r="E74" s="18" t="n">
        <v>47.26200842</v>
      </c>
      <c r="F74" s="20" t="n">
        <v>1.63408467</v>
      </c>
      <c r="G74" s="18" t="n">
        <v>52.32085947</v>
      </c>
      <c r="H74" s="20" t="n">
        <v>1.70174811</v>
      </c>
      <c r="I74" s="18" t="n">
        <v>0</v>
      </c>
      <c r="J74" s="20" t="n">
        <v>0</v>
      </c>
      <c r="K74" s="18" t="n">
        <v>0.17365327</v>
      </c>
      <c r="L74" s="20" t="n">
        <v>0.24762652</v>
      </c>
      <c r="M74" s="18" t="n">
        <v>0</v>
      </c>
      <c r="N74" s="20" t="n">
        <v>0</v>
      </c>
      <c r="O74" s="18" t="n">
        <v>0</v>
      </c>
      <c r="P74" s="20" t="n">
        <v>0</v>
      </c>
      <c r="Q74" s="18" t="n">
        <v>0.24347884</v>
      </c>
      <c r="R74" s="20" t="n">
        <v>0.18638293</v>
      </c>
    </row>
    <row r="75" spans="1:18">
      <c r="A75" s="15" t="s">
        <v>635</v>
      </c>
      <c r="B75" s="17" t="n">
        <v>4652</v>
      </c>
      <c r="C75" s="18">
        <f>(3649.0/B75*100)</f>
        <v/>
      </c>
      <c r="D75" s="19" t="n">
        <v>1003</v>
      </c>
      <c r="E75" s="18" t="n">
        <v>48.98018197</v>
      </c>
      <c r="F75" s="20" t="n">
        <v>2.13445367</v>
      </c>
      <c r="G75" s="18" t="n">
        <v>49.30682938</v>
      </c>
      <c r="H75" s="20" t="n">
        <v>2.26727793</v>
      </c>
      <c r="I75" s="18" t="n">
        <v>0</v>
      </c>
      <c r="J75" s="20" t="n">
        <v>0</v>
      </c>
      <c r="K75" s="18" t="n">
        <v>0.14143489</v>
      </c>
      <c r="L75" s="20" t="n">
        <v>0.13873553</v>
      </c>
      <c r="M75" s="18" t="n">
        <v>0</v>
      </c>
      <c r="N75" s="20" t="n">
        <v>0</v>
      </c>
      <c r="O75" s="18" t="n">
        <v>0</v>
      </c>
      <c r="P75" s="20" t="n">
        <v>0</v>
      </c>
      <c r="Q75" s="18" t="n">
        <v>1.57155376</v>
      </c>
      <c r="R75" s="20" t="n">
        <v>0.53263068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(2365.0/B77*100)</f>
        <v/>
      </c>
      <c r="D77" s="19" t="n">
        <v>604</v>
      </c>
      <c r="E77" s="18" t="n">
        <v>57.01407188</v>
      </c>
      <c r="F77" s="20" t="n">
        <v>2.07359553</v>
      </c>
      <c r="G77" s="18" t="n">
        <v>34.05801103</v>
      </c>
      <c r="H77" s="20" t="n">
        <v>1.67069778</v>
      </c>
      <c r="I77" s="18" t="n">
        <v>0</v>
      </c>
      <c r="J77" s="20" t="n">
        <v>0</v>
      </c>
      <c r="K77" s="18" t="n">
        <v>6.10730624</v>
      </c>
      <c r="L77" s="20" t="n">
        <v>1.21789531</v>
      </c>
      <c r="M77" s="18" t="n">
        <v>0</v>
      </c>
      <c r="N77" s="20" t="n">
        <v>0</v>
      </c>
      <c r="O77" s="18" t="n">
        <v>0</v>
      </c>
      <c r="P77" s="20" t="n">
        <v>0</v>
      </c>
      <c r="Q77" s="18" t="n">
        <v>2.82061085</v>
      </c>
      <c r="R77" s="20" t="n">
        <v>0.6524758000000001</v>
      </c>
    </row>
    <row r="78" spans="1:18">
      <c r="A78" s="15" t="s">
        <v>638</v>
      </c>
      <c r="B78" s="17" t="n">
        <v>7115</v>
      </c>
      <c r="C78" s="18">
        <f>(5547.0/B78*100)</f>
        <v/>
      </c>
      <c r="D78" s="19" t="n">
        <v>1568</v>
      </c>
      <c r="E78" s="18" t="n">
        <v>47.02508677</v>
      </c>
      <c r="F78" s="20" t="n">
        <v>1.67886084</v>
      </c>
      <c r="G78" s="18" t="n">
        <v>51.19646367</v>
      </c>
      <c r="H78" s="20" t="n">
        <v>1.7642659</v>
      </c>
      <c r="I78" s="18" t="n">
        <v>0</v>
      </c>
      <c r="J78" s="20" t="n">
        <v>0</v>
      </c>
      <c r="K78" s="18" t="n">
        <v>0.92513493</v>
      </c>
      <c r="L78" s="20" t="n">
        <v>0.30082439</v>
      </c>
      <c r="M78" s="18" t="n">
        <v>0</v>
      </c>
      <c r="N78" s="20" t="n">
        <v>0</v>
      </c>
      <c r="O78" s="18" t="n">
        <v>0</v>
      </c>
      <c r="P78" s="20" t="n">
        <v>0</v>
      </c>
      <c r="Q78" s="18" t="n">
        <v>0.85331463</v>
      </c>
      <c r="R78" s="20" t="n">
        <v>0.30033661</v>
      </c>
    </row>
    <row r="79" spans="1:18">
      <c r="A79" s="15" t="s">
        <v>639</v>
      </c>
      <c r="B79" s="17" t="n">
        <v>3154</v>
      </c>
      <c r="C79" s="18">
        <f>(2523.0/B79*100)</f>
        <v/>
      </c>
      <c r="D79" s="19" t="n">
        <v>631</v>
      </c>
      <c r="E79" s="18" t="n">
        <v>52.9680359</v>
      </c>
      <c r="F79" s="20" t="n">
        <v>1.9566197</v>
      </c>
      <c r="G79" s="18" t="n">
        <v>42.62543928</v>
      </c>
      <c r="H79" s="20" t="n">
        <v>1.81172841</v>
      </c>
      <c r="I79" s="18" t="n">
        <v>0</v>
      </c>
      <c r="J79" s="20" t="n">
        <v>0</v>
      </c>
      <c r="K79" s="18" t="n">
        <v>1.96190203</v>
      </c>
      <c r="L79" s="20" t="n">
        <v>0.49231307</v>
      </c>
      <c r="M79" s="18" t="n">
        <v>0</v>
      </c>
      <c r="N79" s="20" t="n">
        <v>0</v>
      </c>
      <c r="O79" s="18" t="n">
        <v>0</v>
      </c>
      <c r="P79" s="20" t="n">
        <v>0</v>
      </c>
      <c r="Q79" s="18" t="n">
        <v>2.44462278</v>
      </c>
      <c r="R79" s="20" t="n">
        <v>0.78994731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(12502.0/B82*100)</f>
        <v/>
      </c>
      <c r="D82" s="19" t="n">
        <v>3459</v>
      </c>
      <c r="E82" s="18" t="n">
        <v>43.1955087</v>
      </c>
      <c r="F82" s="20" t="n">
        <v>1.27844548</v>
      </c>
      <c r="G82" s="18" t="n">
        <v>54.9072489</v>
      </c>
      <c r="H82" s="20" t="n">
        <v>1.28447983</v>
      </c>
      <c r="I82" s="18" t="n">
        <v>0</v>
      </c>
      <c r="J82" s="20" t="n">
        <v>0</v>
      </c>
      <c r="K82" s="18" t="n">
        <v>0.64502859</v>
      </c>
      <c r="L82" s="20" t="n">
        <v>0.20215632</v>
      </c>
      <c r="M82" s="18" t="n">
        <v>0</v>
      </c>
      <c r="N82" s="20" t="n">
        <v>0</v>
      </c>
      <c r="O82" s="18" t="n">
        <v>0</v>
      </c>
      <c r="P82" s="20" t="n">
        <v>0</v>
      </c>
      <c r="Q82" s="18" t="n">
        <v>1.25221381</v>
      </c>
      <c r="R82" s="20" t="n">
        <v>0.35851072</v>
      </c>
    </row>
    <row r="83" spans="1:18">
      <c r="A83" s="15" t="s">
        <v>643</v>
      </c>
      <c r="B83" s="17" t="n">
        <v>808</v>
      </c>
      <c r="C83" s="18">
        <f>(650.0/B83*100)</f>
        <v/>
      </c>
      <c r="D83" s="19" t="n">
        <v>158</v>
      </c>
      <c r="E83" s="18" t="n">
        <v>42.82191354</v>
      </c>
      <c r="F83" s="20" t="n">
        <v>4.27538135</v>
      </c>
      <c r="G83" s="18" t="n">
        <v>56.61245158</v>
      </c>
      <c r="H83" s="20" t="n">
        <v>4.42379156</v>
      </c>
      <c r="I83" s="18" t="n">
        <v>0</v>
      </c>
      <c r="J83" s="20" t="n">
        <v>0</v>
      </c>
      <c r="K83" s="18" t="n">
        <v>0</v>
      </c>
      <c r="L83" s="20" t="n">
        <v>0</v>
      </c>
      <c r="M83" s="18" t="n">
        <v>0</v>
      </c>
      <c r="N83" s="20" t="n">
        <v>0</v>
      </c>
      <c r="O83" s="18" t="n">
        <v>0</v>
      </c>
      <c r="P83" s="20" t="n">
        <v>0</v>
      </c>
      <c r="Q83" s="18" t="n">
        <v>0.56563488</v>
      </c>
      <c r="R83" s="20" t="n">
        <v>0.53735704</v>
      </c>
    </row>
    <row r="84" spans="1:18">
      <c r="A84" s="23" t="s">
        <v>644</v>
      </c>
      <c r="B84" s="24" t="n">
        <v>938</v>
      </c>
      <c r="C84" s="25">
        <f>(744.0/B84*100)</f>
        <v/>
      </c>
      <c r="D84" s="19" t="n">
        <v>194</v>
      </c>
      <c r="E84" s="18" t="n">
        <v>37.16637726</v>
      </c>
      <c r="F84" s="20" t="n">
        <v>4.8840288</v>
      </c>
      <c r="G84" s="18" t="n">
        <v>62.27194212</v>
      </c>
      <c r="H84" s="20" t="n">
        <v>4.92995682</v>
      </c>
      <c r="I84" s="18" t="n">
        <v>0</v>
      </c>
      <c r="J84" s="20" t="n">
        <v>0</v>
      </c>
      <c r="K84" s="18" t="n">
        <v>0.56168063</v>
      </c>
      <c r="L84" s="20" t="n">
        <v>0.56204699</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(5646.0/B7*100)</f>
        <v/>
      </c>
      <c r="D7" s="19" t="n">
        <v>1517</v>
      </c>
      <c r="E7" s="18" t="n">
        <v>33.84694237</v>
      </c>
      <c r="F7" s="20" t="n">
        <v>1.53572244</v>
      </c>
      <c r="G7" s="18" t="n">
        <v>64.17707469</v>
      </c>
      <c r="H7" s="20" t="n">
        <v>1.62554063</v>
      </c>
      <c r="I7" s="18" t="n">
        <v>0</v>
      </c>
      <c r="J7" s="20" t="n">
        <v>0</v>
      </c>
      <c r="K7" s="18" t="n">
        <v>0.89854991</v>
      </c>
      <c r="L7" s="20" t="n">
        <v>0.308547</v>
      </c>
      <c r="M7" s="18" t="n">
        <v>0</v>
      </c>
      <c r="N7" s="20" t="n">
        <v>0</v>
      </c>
      <c r="O7" s="18" t="n">
        <v>0</v>
      </c>
      <c r="P7" s="20" t="n">
        <v>0</v>
      </c>
      <c r="Q7" s="18" t="n">
        <v>1.07743303</v>
      </c>
      <c r="R7" s="20" t="n">
        <v>0.32467285</v>
      </c>
    </row>
    <row r="8" spans="1:18">
      <c r="A8" s="15" t="s">
        <v>566</v>
      </c>
      <c r="B8" s="17" t="n">
        <v>3443</v>
      </c>
      <c r="C8" s="18">
        <f>(2682.0/B8*100)</f>
        <v/>
      </c>
      <c r="D8" s="19" t="n">
        <v>761</v>
      </c>
      <c r="E8" s="18" t="n">
        <v>41.2603145</v>
      </c>
      <c r="F8" s="20" t="n">
        <v>2.01279903</v>
      </c>
      <c r="G8" s="18" t="n">
        <v>56.83721459</v>
      </c>
      <c r="H8" s="20" t="n">
        <v>2.10908013</v>
      </c>
      <c r="I8" s="18" t="n">
        <v>0</v>
      </c>
      <c r="J8" s="20" t="n">
        <v>0</v>
      </c>
      <c r="K8" s="18" t="n">
        <v>0.57435497</v>
      </c>
      <c r="L8" s="20" t="n">
        <v>0.30513861</v>
      </c>
      <c r="M8" s="18" t="n">
        <v>0</v>
      </c>
      <c r="N8" s="20" t="n">
        <v>0</v>
      </c>
      <c r="O8" s="18" t="n">
        <v>0</v>
      </c>
      <c r="P8" s="20" t="n">
        <v>0</v>
      </c>
      <c r="Q8" s="18" t="n">
        <v>1.32811593</v>
      </c>
      <c r="R8" s="20" t="n">
        <v>0.53365872</v>
      </c>
    </row>
    <row r="9" spans="1:18">
      <c r="A9" s="15" t="s">
        <v>567</v>
      </c>
      <c r="B9" s="17" t="n">
        <v>4752</v>
      </c>
      <c r="C9" s="18">
        <f>(3785.0/B9*100)</f>
        <v/>
      </c>
      <c r="D9" s="19" t="n">
        <v>967</v>
      </c>
      <c r="E9" s="18" t="n">
        <v>40.73783188</v>
      </c>
      <c r="F9" s="20" t="n">
        <v>1.41951591</v>
      </c>
      <c r="G9" s="18" t="n">
        <v>55.7347137</v>
      </c>
      <c r="H9" s="20" t="n">
        <v>1.51258992</v>
      </c>
      <c r="I9" s="18" t="n">
        <v>0</v>
      </c>
      <c r="J9" s="20" t="n">
        <v>0</v>
      </c>
      <c r="K9" s="18" t="n">
        <v>1.35608028</v>
      </c>
      <c r="L9" s="20" t="n">
        <v>0.38901561</v>
      </c>
      <c r="M9" s="18" t="n">
        <v>0</v>
      </c>
      <c r="N9" s="20" t="n">
        <v>0</v>
      </c>
      <c r="O9" s="18" t="n">
        <v>0</v>
      </c>
      <c r="P9" s="20" t="n">
        <v>0</v>
      </c>
      <c r="Q9" s="18" t="n">
        <v>2.17137414</v>
      </c>
      <c r="R9" s="20" t="n">
        <v>0.45732595</v>
      </c>
    </row>
    <row r="10" spans="1:18">
      <c r="A10" s="15" t="s">
        <v>568</v>
      </c>
      <c r="B10" s="17" t="n">
        <v>10022</v>
      </c>
      <c r="C10" s="18">
        <f>(7846.0/B10*100)</f>
        <v/>
      </c>
      <c r="D10" s="19" t="n">
        <v>2176</v>
      </c>
      <c r="E10" s="18" t="n">
        <v>34.90534815</v>
      </c>
      <c r="F10" s="20" t="n">
        <v>1.67985067</v>
      </c>
      <c r="G10" s="18" t="n">
        <v>63.7440987</v>
      </c>
      <c r="H10" s="20" t="n">
        <v>1.5987614</v>
      </c>
      <c r="I10" s="18" t="n">
        <v>0</v>
      </c>
      <c r="J10" s="20" t="n">
        <v>0</v>
      </c>
      <c r="K10" s="18" t="n">
        <v>0.63935768</v>
      </c>
      <c r="L10" s="20" t="n">
        <v>0.2283098</v>
      </c>
      <c r="M10" s="18" t="n">
        <v>0</v>
      </c>
      <c r="N10" s="20" t="n">
        <v>0</v>
      </c>
      <c r="O10" s="18" t="n">
        <v>0</v>
      </c>
      <c r="P10" s="20" t="n">
        <v>0</v>
      </c>
      <c r="Q10" s="18" t="n">
        <v>0.71119548</v>
      </c>
      <c r="R10" s="20" t="n">
        <v>0.25940657</v>
      </c>
    </row>
    <row r="11" spans="1:18">
      <c r="A11" s="15" t="s">
        <v>569</v>
      </c>
      <c r="B11" s="17" t="n">
        <v>3500</v>
      </c>
      <c r="C11" s="18">
        <f>(2744.0/B11*100)</f>
        <v/>
      </c>
      <c r="D11" s="19" t="n">
        <v>756</v>
      </c>
      <c r="E11" s="18" t="n">
        <v>44.91504756</v>
      </c>
      <c r="F11" s="20" t="n">
        <v>1.9729324</v>
      </c>
      <c r="G11" s="18" t="n">
        <v>49.60113826</v>
      </c>
      <c r="H11" s="20" t="n">
        <v>2.16564697</v>
      </c>
      <c r="I11" s="18" t="n">
        <v>0</v>
      </c>
      <c r="J11" s="20" t="n">
        <v>0</v>
      </c>
      <c r="K11" s="18" t="n">
        <v>3.07197476</v>
      </c>
      <c r="L11" s="20" t="n">
        <v>0.86470258</v>
      </c>
      <c r="M11" s="18" t="n">
        <v>0</v>
      </c>
      <c r="N11" s="20" t="n">
        <v>0</v>
      </c>
      <c r="O11" s="18" t="n">
        <v>0</v>
      </c>
      <c r="P11" s="20" t="n">
        <v>0</v>
      </c>
      <c r="Q11" s="18" t="n">
        <v>2.41183943</v>
      </c>
      <c r="R11" s="20" t="n">
        <v>0.6127332599999999</v>
      </c>
    </row>
    <row r="12" spans="1:18">
      <c r="A12" s="15" t="s">
        <v>570</v>
      </c>
      <c r="B12" s="17" t="n">
        <v>3422</v>
      </c>
      <c r="C12" s="18">
        <f>(2702.0/B12*100)</f>
        <v/>
      </c>
      <c r="D12" s="19" t="n">
        <v>720</v>
      </c>
      <c r="E12" s="18" t="n">
        <v>45.77575476</v>
      </c>
      <c r="F12" s="20" t="n">
        <v>2.34486133</v>
      </c>
      <c r="G12" s="18" t="n">
        <v>52.27796081</v>
      </c>
      <c r="H12" s="20" t="n">
        <v>2.27416216</v>
      </c>
      <c r="I12" s="18" t="n">
        <v>0</v>
      </c>
      <c r="J12" s="20" t="n">
        <v>0</v>
      </c>
      <c r="K12" s="18" t="n">
        <v>1.08188301</v>
      </c>
      <c r="L12" s="20" t="n">
        <v>0.35486913</v>
      </c>
      <c r="M12" s="18" t="n">
        <v>0</v>
      </c>
      <c r="N12" s="20" t="n">
        <v>0</v>
      </c>
      <c r="O12" s="18" t="n">
        <v>0</v>
      </c>
      <c r="P12" s="20" t="n">
        <v>0</v>
      </c>
      <c r="Q12" s="18" t="n">
        <v>0.86440142</v>
      </c>
      <c r="R12" s="20" t="n">
        <v>0.38539066</v>
      </c>
    </row>
    <row r="13" spans="1:18">
      <c r="A13" s="15" t="s">
        <v>571</v>
      </c>
      <c r="B13" s="17" t="n">
        <v>3602</v>
      </c>
      <c r="C13" s="18">
        <f>(2864.0/B13*100)</f>
        <v/>
      </c>
      <c r="D13" s="19" t="n">
        <v>738</v>
      </c>
      <c r="E13" s="18" t="n">
        <v>42.70502282</v>
      </c>
      <c r="F13" s="20" t="n">
        <v>1.98292193</v>
      </c>
      <c r="G13" s="18" t="n">
        <v>54.85176193</v>
      </c>
      <c r="H13" s="20" t="n">
        <v>1.90628548</v>
      </c>
      <c r="I13" s="18" t="n">
        <v>0</v>
      </c>
      <c r="J13" s="20" t="n">
        <v>0</v>
      </c>
      <c r="K13" s="18" t="n">
        <v>1.42056525</v>
      </c>
      <c r="L13" s="20" t="n">
        <v>0.61122022</v>
      </c>
      <c r="M13" s="18" t="n">
        <v>0</v>
      </c>
      <c r="N13" s="20" t="n">
        <v>0</v>
      </c>
      <c r="O13" s="18" t="n">
        <v>0</v>
      </c>
      <c r="P13" s="20" t="n">
        <v>0</v>
      </c>
      <c r="Q13" s="18" t="n">
        <v>1.02265</v>
      </c>
      <c r="R13" s="20" t="n">
        <v>0.70654192</v>
      </c>
    </row>
    <row r="14" spans="1:18">
      <c r="A14" s="15" t="s">
        <v>572</v>
      </c>
      <c r="B14" s="17" t="n">
        <v>2788</v>
      </c>
      <c r="C14" s="18">
        <f>(2189.0/B14*100)</f>
        <v/>
      </c>
      <c r="D14" s="19" t="n">
        <v>599</v>
      </c>
      <c r="E14" s="18" t="n">
        <v>36.9406055</v>
      </c>
      <c r="F14" s="20" t="n">
        <v>2.26420568</v>
      </c>
      <c r="G14" s="18" t="n">
        <v>62.26150443</v>
      </c>
      <c r="H14" s="20" t="n">
        <v>2.2353998</v>
      </c>
      <c r="I14" s="18" t="n">
        <v>0</v>
      </c>
      <c r="J14" s="20" t="n">
        <v>0</v>
      </c>
      <c r="K14" s="18" t="n">
        <v>0.5132168</v>
      </c>
      <c r="L14" s="20" t="n">
        <v>0.40166197</v>
      </c>
      <c r="M14" s="18" t="n">
        <v>0</v>
      </c>
      <c r="N14" s="20" t="n">
        <v>0</v>
      </c>
      <c r="O14" s="18" t="n">
        <v>0</v>
      </c>
      <c r="P14" s="20" t="n">
        <v>0</v>
      </c>
      <c r="Q14" s="18" t="n">
        <v>0.28467327</v>
      </c>
      <c r="R14" s="20" t="n">
        <v>0.20439157</v>
      </c>
    </row>
    <row r="15" spans="1:18">
      <c r="A15" s="15" t="s">
        <v>573</v>
      </c>
      <c r="B15" s="17" t="n">
        <v>2863</v>
      </c>
      <c r="C15" s="18">
        <f>(2224.0/B15*100)</f>
        <v/>
      </c>
      <c r="D15" s="19" t="n">
        <v>639</v>
      </c>
      <c r="E15" s="18" t="n">
        <v>30.29882033</v>
      </c>
      <c r="F15" s="20" t="n">
        <v>2.04356018</v>
      </c>
      <c r="G15" s="18" t="n">
        <v>68.19074186</v>
      </c>
      <c r="H15" s="20" t="n">
        <v>1.96367119</v>
      </c>
      <c r="I15" s="18" t="n">
        <v>0</v>
      </c>
      <c r="J15" s="20" t="n">
        <v>0</v>
      </c>
      <c r="K15" s="18" t="n">
        <v>0.60452622</v>
      </c>
      <c r="L15" s="20" t="n">
        <v>0.32491609</v>
      </c>
      <c r="M15" s="18" t="n">
        <v>0</v>
      </c>
      <c r="N15" s="20" t="n">
        <v>0</v>
      </c>
      <c r="O15" s="18" t="n">
        <v>0</v>
      </c>
      <c r="P15" s="20" t="n">
        <v>0</v>
      </c>
      <c r="Q15" s="18" t="n">
        <v>0.90591159</v>
      </c>
      <c r="R15" s="20" t="n">
        <v>0.38289844</v>
      </c>
    </row>
    <row r="16" spans="1:18">
      <c r="A16" s="15" t="s">
        <v>574</v>
      </c>
      <c r="B16" s="17" t="n">
        <v>3111</v>
      </c>
      <c r="C16" s="18">
        <f>(2433.0/B16*100)</f>
        <v/>
      </c>
      <c r="D16" s="19" t="n">
        <v>678</v>
      </c>
      <c r="E16" s="18" t="n">
        <v>41.73077388</v>
      </c>
      <c r="F16" s="20" t="n">
        <v>2.15271023</v>
      </c>
      <c r="G16" s="18" t="n">
        <v>54.80012157</v>
      </c>
      <c r="H16" s="20" t="n">
        <v>2.26562575</v>
      </c>
      <c r="I16" s="18" t="n">
        <v>0</v>
      </c>
      <c r="J16" s="20" t="n">
        <v>0</v>
      </c>
      <c r="K16" s="18" t="n">
        <v>1.26477709</v>
      </c>
      <c r="L16" s="20" t="n">
        <v>0.49556657</v>
      </c>
      <c r="M16" s="18" t="n">
        <v>0</v>
      </c>
      <c r="N16" s="20" t="n">
        <v>0</v>
      </c>
      <c r="O16" s="18" t="n">
        <v>0</v>
      </c>
      <c r="P16" s="20" t="n">
        <v>0</v>
      </c>
      <c r="Q16" s="18" t="n">
        <v>2.20432746</v>
      </c>
      <c r="R16" s="20" t="n">
        <v>0.61974107</v>
      </c>
    </row>
    <row r="17" spans="1:18">
      <c r="A17" s="15" t="s">
        <v>575</v>
      </c>
      <c r="B17" s="17" t="n">
        <v>3197</v>
      </c>
      <c r="C17" s="18">
        <f>(2563.0/B17*100)</f>
        <v/>
      </c>
      <c r="D17" s="19" t="n">
        <v>634</v>
      </c>
      <c r="E17" s="18" t="n">
        <v>36.72214865</v>
      </c>
      <c r="F17" s="20" t="n">
        <v>2.25117729</v>
      </c>
      <c r="G17" s="18" t="n">
        <v>60.32396729</v>
      </c>
      <c r="H17" s="20" t="n">
        <v>2.20486995</v>
      </c>
      <c r="I17" s="18" t="n">
        <v>0</v>
      </c>
      <c r="J17" s="20" t="n">
        <v>0</v>
      </c>
      <c r="K17" s="18" t="n">
        <v>0.68773763</v>
      </c>
      <c r="L17" s="20" t="n">
        <v>0.36043847</v>
      </c>
      <c r="M17" s="18" t="n">
        <v>0</v>
      </c>
      <c r="N17" s="20" t="n">
        <v>0</v>
      </c>
      <c r="O17" s="18" t="n">
        <v>0</v>
      </c>
      <c r="P17" s="20" t="n">
        <v>0</v>
      </c>
      <c r="Q17" s="18" t="n">
        <v>2.26614644</v>
      </c>
      <c r="R17" s="20" t="n">
        <v>0.62796165</v>
      </c>
    </row>
    <row r="18" spans="1:18">
      <c r="A18" s="15" t="s">
        <v>576</v>
      </c>
      <c r="B18" s="17" t="n">
        <v>2706</v>
      </c>
      <c r="C18" s="18">
        <f>(2115.0/B18*100)</f>
        <v/>
      </c>
      <c r="D18" s="19" t="n">
        <v>591</v>
      </c>
      <c r="E18" s="18" t="n">
        <v>54.93669807</v>
      </c>
      <c r="F18" s="20" t="n">
        <v>2.01689023</v>
      </c>
      <c r="G18" s="18" t="n">
        <v>42.89210075</v>
      </c>
      <c r="H18" s="20" t="n">
        <v>1.88701015</v>
      </c>
      <c r="I18" s="18" t="n">
        <v>0</v>
      </c>
      <c r="J18" s="20" t="n">
        <v>0</v>
      </c>
      <c r="K18" s="18" t="n">
        <v>2.03380122</v>
      </c>
      <c r="L18" s="20" t="n">
        <v>0.69747421</v>
      </c>
      <c r="M18" s="18" t="n">
        <v>0</v>
      </c>
      <c r="N18" s="20" t="n">
        <v>0</v>
      </c>
      <c r="O18" s="18" t="n">
        <v>0</v>
      </c>
      <c r="P18" s="20" t="n">
        <v>0</v>
      </c>
      <c r="Q18" s="18" t="n">
        <v>0.13739995</v>
      </c>
      <c r="R18" s="20" t="n">
        <v>0.13652251</v>
      </c>
    </row>
    <row r="19" spans="1:18">
      <c r="A19" s="15" t="s">
        <v>577</v>
      </c>
      <c r="B19" s="17" t="n">
        <v>2850</v>
      </c>
      <c r="C19" s="18">
        <f>(2259.0/B19*100)</f>
        <v/>
      </c>
      <c r="D19" s="19" t="n">
        <v>591</v>
      </c>
      <c r="E19" s="18" t="n">
        <v>50.14696861</v>
      </c>
      <c r="F19" s="20" t="n">
        <v>2.2581434</v>
      </c>
      <c r="G19" s="18" t="n">
        <v>49.03255293</v>
      </c>
      <c r="H19" s="20" t="n">
        <v>2.17917372</v>
      </c>
      <c r="I19" s="18" t="n">
        <v>0</v>
      </c>
      <c r="J19" s="20" t="n">
        <v>0</v>
      </c>
      <c r="K19" s="18" t="n">
        <v>0.37036132</v>
      </c>
      <c r="L19" s="20" t="n">
        <v>0.26477247</v>
      </c>
      <c r="M19" s="18" t="n">
        <v>0</v>
      </c>
      <c r="N19" s="20" t="n">
        <v>0</v>
      </c>
      <c r="O19" s="18" t="n">
        <v>0</v>
      </c>
      <c r="P19" s="20" t="n">
        <v>0</v>
      </c>
      <c r="Q19" s="18" t="n">
        <v>0.45011713</v>
      </c>
      <c r="R19" s="20" t="n">
        <v>0.25874185</v>
      </c>
    </row>
    <row r="20" spans="1:18">
      <c r="A20" s="15" t="s">
        <v>578</v>
      </c>
      <c r="B20" s="17" t="n">
        <v>1741</v>
      </c>
      <c r="C20" s="18">
        <f>(1385.0/B20*100)</f>
        <v/>
      </c>
      <c r="D20" s="19" t="n">
        <v>356</v>
      </c>
      <c r="E20" s="18" t="n">
        <v>39.78943563</v>
      </c>
      <c r="F20" s="20" t="n">
        <v>2.54618503</v>
      </c>
      <c r="G20" s="18" t="n">
        <v>58.21511814</v>
      </c>
      <c r="H20" s="20" t="n">
        <v>2.47665925</v>
      </c>
      <c r="I20" s="18" t="n">
        <v>0</v>
      </c>
      <c r="J20" s="20" t="n">
        <v>0</v>
      </c>
      <c r="K20" s="18" t="n">
        <v>0.8779871299999999</v>
      </c>
      <c r="L20" s="20" t="n">
        <v>0.5079553999999999</v>
      </c>
      <c r="M20" s="18" t="n">
        <v>0</v>
      </c>
      <c r="N20" s="20" t="n">
        <v>0</v>
      </c>
      <c r="O20" s="18" t="n">
        <v>0</v>
      </c>
      <c r="P20" s="20" t="n">
        <v>0</v>
      </c>
      <c r="Q20" s="18" t="n">
        <v>1.1174591</v>
      </c>
      <c r="R20" s="20" t="n">
        <v>0.55640954</v>
      </c>
    </row>
    <row r="21" spans="1:18">
      <c r="A21" s="15" t="s">
        <v>579</v>
      </c>
      <c r="B21" s="17" t="n">
        <v>2833</v>
      </c>
      <c r="C21" s="18">
        <f>(2218.0/B21*100)</f>
        <v/>
      </c>
      <c r="D21" s="19" t="n">
        <v>615</v>
      </c>
      <c r="E21" s="18" t="n">
        <v>43.72076298</v>
      </c>
      <c r="F21" s="20" t="n">
        <v>1.99930167</v>
      </c>
      <c r="G21" s="18" t="n">
        <v>54.79570043</v>
      </c>
      <c r="H21" s="20" t="n">
        <v>1.97622104</v>
      </c>
      <c r="I21" s="18" t="n">
        <v>0</v>
      </c>
      <c r="J21" s="20" t="n">
        <v>0</v>
      </c>
      <c r="K21" s="18" t="n">
        <v>0.34144005</v>
      </c>
      <c r="L21" s="20" t="n">
        <v>0.23054075</v>
      </c>
      <c r="M21" s="18" t="n">
        <v>0</v>
      </c>
      <c r="N21" s="20" t="n">
        <v>0</v>
      </c>
      <c r="O21" s="18" t="n">
        <v>0</v>
      </c>
      <c r="P21" s="20" t="n">
        <v>0</v>
      </c>
      <c r="Q21" s="18" t="n">
        <v>1.14209654</v>
      </c>
      <c r="R21" s="20" t="n">
        <v>0.52659509</v>
      </c>
    </row>
    <row r="22" spans="1:18">
      <c r="A22" s="15" t="s">
        <v>580</v>
      </c>
      <c r="B22" s="17" t="n">
        <v>3667</v>
      </c>
      <c r="C22" s="18">
        <f>(2889.0/B22*100)</f>
        <v/>
      </c>
      <c r="D22" s="19" t="n">
        <v>778</v>
      </c>
      <c r="E22" s="18" t="n">
        <v>39.39831378</v>
      </c>
      <c r="F22" s="20" t="n">
        <v>2.17886078</v>
      </c>
      <c r="G22" s="18" t="n">
        <v>56.54340966</v>
      </c>
      <c r="H22" s="20" t="n">
        <v>2.25890695</v>
      </c>
      <c r="I22" s="18" t="n">
        <v>0</v>
      </c>
      <c r="J22" s="20" t="n">
        <v>0</v>
      </c>
      <c r="K22" s="18" t="n">
        <v>2.28101135</v>
      </c>
      <c r="L22" s="20" t="n">
        <v>0.6323716</v>
      </c>
      <c r="M22" s="18" t="n">
        <v>0</v>
      </c>
      <c r="N22" s="20" t="n">
        <v>0</v>
      </c>
      <c r="O22" s="18" t="n">
        <v>0</v>
      </c>
      <c r="P22" s="20" t="n">
        <v>0</v>
      </c>
      <c r="Q22" s="18" t="n">
        <v>1.77726521</v>
      </c>
      <c r="R22" s="20" t="n">
        <v>0.56262832</v>
      </c>
    </row>
    <row r="23" spans="1:18">
      <c r="A23" s="15" t="s">
        <v>581</v>
      </c>
      <c r="B23" s="17" t="n">
        <v>5792</v>
      </c>
      <c r="C23" s="18">
        <f>(4522.0/B23*100)</f>
        <v/>
      </c>
      <c r="D23" s="19" t="n">
        <v>1270</v>
      </c>
      <c r="E23" s="18" t="n">
        <v>42.07130765</v>
      </c>
      <c r="F23" s="20" t="n">
        <v>2.02679092</v>
      </c>
      <c r="G23" s="18" t="n">
        <v>53.70923975</v>
      </c>
      <c r="H23" s="20" t="n">
        <v>1.96586794</v>
      </c>
      <c r="I23" s="18" t="n">
        <v>0</v>
      </c>
      <c r="J23" s="20" t="n">
        <v>0</v>
      </c>
      <c r="K23" s="18" t="n">
        <v>1.51189322</v>
      </c>
      <c r="L23" s="20" t="n">
        <v>0.72770793</v>
      </c>
      <c r="M23" s="18" t="n">
        <v>0</v>
      </c>
      <c r="N23" s="20" t="n">
        <v>0</v>
      </c>
      <c r="O23" s="18" t="n">
        <v>0</v>
      </c>
      <c r="P23" s="20" t="n">
        <v>0</v>
      </c>
      <c r="Q23" s="18" t="n">
        <v>2.70755938</v>
      </c>
      <c r="R23" s="20" t="n">
        <v>0.71889344</v>
      </c>
    </row>
    <row r="24" spans="1:18">
      <c r="A24" s="15" t="s">
        <v>582</v>
      </c>
      <c r="B24" s="17" t="n">
        <v>3309</v>
      </c>
      <c r="C24" s="18">
        <f>(2572.0/B24*100)</f>
        <v/>
      </c>
      <c r="D24" s="19" t="n">
        <v>737</v>
      </c>
      <c r="E24" s="18" t="n">
        <v>36.30991376</v>
      </c>
      <c r="F24" s="20" t="n">
        <v>1.85062604</v>
      </c>
      <c r="G24" s="18" t="n">
        <v>62.19178372</v>
      </c>
      <c r="H24" s="20" t="n">
        <v>1.77937679</v>
      </c>
      <c r="I24" s="18" t="n">
        <v>0</v>
      </c>
      <c r="J24" s="20" t="n">
        <v>0</v>
      </c>
      <c r="K24" s="18" t="n">
        <v>0.12286724</v>
      </c>
      <c r="L24" s="20" t="n">
        <v>0.1223458</v>
      </c>
      <c r="M24" s="18" t="n">
        <v>0</v>
      </c>
      <c r="N24" s="20" t="n">
        <v>0</v>
      </c>
      <c r="O24" s="18" t="n">
        <v>0</v>
      </c>
      <c r="P24" s="20" t="n">
        <v>0</v>
      </c>
      <c r="Q24" s="18" t="n">
        <v>1.37543528</v>
      </c>
      <c r="R24" s="20" t="n">
        <v>0.43553479</v>
      </c>
    </row>
    <row r="25" spans="1:18">
      <c r="A25" s="15" t="s">
        <v>583</v>
      </c>
      <c r="B25" s="17" t="n">
        <v>2669</v>
      </c>
      <c r="C25" s="18">
        <f>(2075.0/B25*100)</f>
        <v/>
      </c>
      <c r="D25" s="19" t="n">
        <v>594</v>
      </c>
      <c r="E25" s="18" t="n">
        <v>43.32216198</v>
      </c>
      <c r="F25" s="20" t="n">
        <v>2.379824</v>
      </c>
      <c r="G25" s="18" t="n">
        <v>56.14401496</v>
      </c>
      <c r="H25" s="20" t="n">
        <v>2.40339242</v>
      </c>
      <c r="I25" s="18" t="n">
        <v>0</v>
      </c>
      <c r="J25" s="20" t="n">
        <v>0</v>
      </c>
      <c r="K25" s="18" t="n">
        <v>0</v>
      </c>
      <c r="L25" s="20" t="n">
        <v>0</v>
      </c>
      <c r="M25" s="18" t="n">
        <v>0</v>
      </c>
      <c r="N25" s="20" t="n">
        <v>0</v>
      </c>
      <c r="O25" s="18" t="n">
        <v>0</v>
      </c>
      <c r="P25" s="20" t="n">
        <v>0</v>
      </c>
      <c r="Q25" s="18" t="n">
        <v>0.53382306</v>
      </c>
      <c r="R25" s="20" t="n">
        <v>0.17819774</v>
      </c>
    </row>
    <row r="26" spans="1:18">
      <c r="A26" s="15" t="s">
        <v>584</v>
      </c>
      <c r="B26" s="17" t="n">
        <v>2419</v>
      </c>
      <c r="C26" s="18">
        <f>(1896.0/B26*100)</f>
        <v/>
      </c>
      <c r="D26" s="19" t="n">
        <v>523</v>
      </c>
      <c r="E26" s="18" t="n">
        <v>43.8197152</v>
      </c>
      <c r="F26" s="20" t="n">
        <v>2.10863468</v>
      </c>
      <c r="G26" s="18" t="n">
        <v>55.31852006</v>
      </c>
      <c r="H26" s="20" t="n">
        <v>2.1167055</v>
      </c>
      <c r="I26" s="18" t="n">
        <v>0</v>
      </c>
      <c r="J26" s="20" t="n">
        <v>0</v>
      </c>
      <c r="K26" s="18" t="n">
        <v>0</v>
      </c>
      <c r="L26" s="20" t="n">
        <v>0</v>
      </c>
      <c r="M26" s="18" t="n">
        <v>0</v>
      </c>
      <c r="N26" s="20" t="n">
        <v>0</v>
      </c>
      <c r="O26" s="18" t="n">
        <v>0</v>
      </c>
      <c r="P26" s="20" t="n">
        <v>0</v>
      </c>
      <c r="Q26" s="18" t="n">
        <v>0.86176473</v>
      </c>
      <c r="R26" s="20" t="n">
        <v>0.39004086</v>
      </c>
    </row>
    <row r="27" spans="1:18">
      <c r="A27" s="15" t="s">
        <v>585</v>
      </c>
      <c r="B27" s="17" t="n">
        <v>2683</v>
      </c>
      <c r="C27" s="18">
        <f>(2138.0/B27*100)</f>
        <v/>
      </c>
      <c r="D27" s="19" t="n">
        <v>545</v>
      </c>
      <c r="E27" s="18" t="n">
        <v>48.21506984</v>
      </c>
      <c r="F27" s="20" t="n">
        <v>1.95255936</v>
      </c>
      <c r="G27" s="18" t="n">
        <v>49.93264735</v>
      </c>
      <c r="H27" s="20" t="n">
        <v>1.83144733</v>
      </c>
      <c r="I27" s="18" t="n">
        <v>0</v>
      </c>
      <c r="J27" s="20" t="n">
        <v>0</v>
      </c>
      <c r="K27" s="18" t="n">
        <v>0.57565383</v>
      </c>
      <c r="L27" s="20" t="n">
        <v>0.3300416</v>
      </c>
      <c r="M27" s="18" t="n">
        <v>0</v>
      </c>
      <c r="N27" s="20" t="n">
        <v>0</v>
      </c>
      <c r="O27" s="18" t="n">
        <v>0</v>
      </c>
      <c r="P27" s="20" t="n">
        <v>0</v>
      </c>
      <c r="Q27" s="18" t="n">
        <v>1.27662897</v>
      </c>
      <c r="R27" s="20" t="n">
        <v>0.47666038</v>
      </c>
    </row>
    <row r="28" spans="1:18">
      <c r="A28" s="15" t="s">
        <v>586</v>
      </c>
      <c r="B28" s="17" t="n">
        <v>3803</v>
      </c>
      <c r="C28" s="18">
        <f>(3079.0/B28*100)</f>
        <v/>
      </c>
      <c r="D28" s="19" t="n">
        <v>724</v>
      </c>
      <c r="E28" s="18" t="n">
        <v>60.16204185</v>
      </c>
      <c r="F28" s="20" t="n">
        <v>2.29055289</v>
      </c>
      <c r="G28" s="18" t="n">
        <v>36.33920918</v>
      </c>
      <c r="H28" s="20" t="n">
        <v>2.42496945</v>
      </c>
      <c r="I28" s="18" t="n">
        <v>0</v>
      </c>
      <c r="J28" s="20" t="n">
        <v>0</v>
      </c>
      <c r="K28" s="18" t="n">
        <v>2.34699181</v>
      </c>
      <c r="L28" s="20" t="n">
        <v>1.05404647</v>
      </c>
      <c r="M28" s="18" t="n">
        <v>0</v>
      </c>
      <c r="N28" s="20" t="n">
        <v>0</v>
      </c>
      <c r="O28" s="18" t="n">
        <v>0</v>
      </c>
      <c r="P28" s="20" t="n">
        <v>0</v>
      </c>
      <c r="Q28" s="18" t="n">
        <v>1.15175716</v>
      </c>
      <c r="R28" s="20" t="n">
        <v>0.42862809</v>
      </c>
    </row>
    <row r="29" spans="1:18">
      <c r="A29" s="15" t="s">
        <v>587</v>
      </c>
      <c r="B29" s="17" t="n">
        <v>2700</v>
      </c>
      <c r="C29" s="18">
        <f>(2127.0/B29*100)</f>
        <v/>
      </c>
      <c r="D29" s="19" t="n">
        <v>573</v>
      </c>
      <c r="E29" s="18" t="n">
        <v>33.34062262</v>
      </c>
      <c r="F29" s="20" t="n">
        <v>2.07595856</v>
      </c>
      <c r="G29" s="18" t="n">
        <v>65.9890412</v>
      </c>
      <c r="H29" s="20" t="n">
        <v>2.06583875</v>
      </c>
      <c r="I29" s="18" t="n">
        <v>0</v>
      </c>
      <c r="J29" s="20" t="n">
        <v>0</v>
      </c>
      <c r="K29" s="18" t="n">
        <v>0</v>
      </c>
      <c r="L29" s="20" t="n">
        <v>0</v>
      </c>
      <c r="M29" s="18" t="n">
        <v>0</v>
      </c>
      <c r="N29" s="20" t="n">
        <v>0</v>
      </c>
      <c r="O29" s="18" t="n">
        <v>0</v>
      </c>
      <c r="P29" s="20" t="n">
        <v>0</v>
      </c>
      <c r="Q29" s="18" t="n">
        <v>0.67033617</v>
      </c>
      <c r="R29" s="20" t="n">
        <v>0.34333599</v>
      </c>
    </row>
    <row r="30" spans="1:18">
      <c r="A30" s="15" t="s">
        <v>588</v>
      </c>
      <c r="B30" s="17" t="n">
        <v>2257</v>
      </c>
      <c r="C30" s="18">
        <f>(1796.0/B30*100)</f>
        <v/>
      </c>
      <c r="D30" s="19" t="n">
        <v>461</v>
      </c>
      <c r="E30" s="18" t="n">
        <v>28.66986013</v>
      </c>
      <c r="F30" s="20" t="n">
        <v>2.4745203</v>
      </c>
      <c r="G30" s="18" t="n">
        <v>69.01615138</v>
      </c>
      <c r="H30" s="20" t="n">
        <v>2.54176702</v>
      </c>
      <c r="I30" s="18" t="n">
        <v>0</v>
      </c>
      <c r="J30" s="20" t="n">
        <v>0</v>
      </c>
      <c r="K30" s="18" t="n">
        <v>0.64260871</v>
      </c>
      <c r="L30" s="20" t="n">
        <v>0.40128847</v>
      </c>
      <c r="M30" s="18" t="n">
        <v>0</v>
      </c>
      <c r="N30" s="20" t="n">
        <v>0</v>
      </c>
      <c r="O30" s="18" t="n">
        <v>0</v>
      </c>
      <c r="P30" s="20" t="n">
        <v>0</v>
      </c>
      <c r="Q30" s="18" t="n">
        <v>1.67137978</v>
      </c>
      <c r="R30" s="20" t="n">
        <v>0.57338928</v>
      </c>
    </row>
    <row r="31" spans="1:18">
      <c r="A31" s="15" t="s">
        <v>589</v>
      </c>
      <c r="B31" s="17" t="n">
        <v>2706</v>
      </c>
      <c r="C31" s="18">
        <f>(2142.0/B31*100)</f>
        <v/>
      </c>
      <c r="D31" s="19" t="n">
        <v>564</v>
      </c>
      <c r="E31" s="18" t="n">
        <v>41.29714266</v>
      </c>
      <c r="F31" s="20" t="n">
        <v>1.97803747</v>
      </c>
      <c r="G31" s="18" t="n">
        <v>55.73654167</v>
      </c>
      <c r="H31" s="20" t="n">
        <v>1.98376058</v>
      </c>
      <c r="I31" s="18" t="n">
        <v>0</v>
      </c>
      <c r="J31" s="20" t="n">
        <v>0</v>
      </c>
      <c r="K31" s="18" t="n">
        <v>1.38249982</v>
      </c>
      <c r="L31" s="20" t="n">
        <v>0.52899658</v>
      </c>
      <c r="M31" s="18" t="n">
        <v>0</v>
      </c>
      <c r="N31" s="20" t="n">
        <v>0</v>
      </c>
      <c r="O31" s="18" t="n">
        <v>0</v>
      </c>
      <c r="P31" s="20" t="n">
        <v>0</v>
      </c>
      <c r="Q31" s="18" t="n">
        <v>1.58381586</v>
      </c>
      <c r="R31" s="20" t="n">
        <v>0.57089926</v>
      </c>
    </row>
    <row r="32" spans="1:18">
      <c r="A32" s="15" t="s">
        <v>590</v>
      </c>
      <c r="B32" s="17" t="n">
        <v>2209</v>
      </c>
      <c r="C32" s="18">
        <f>(1691.0/B32*100)</f>
        <v/>
      </c>
      <c r="D32" s="19" t="n">
        <v>518</v>
      </c>
      <c r="E32" s="18" t="n">
        <v>39.61209289</v>
      </c>
      <c r="F32" s="20" t="n">
        <v>2.25475137</v>
      </c>
      <c r="G32" s="18" t="n">
        <v>59.63434974</v>
      </c>
      <c r="H32" s="20" t="n">
        <v>2.24558045</v>
      </c>
      <c r="I32" s="18" t="n">
        <v>0</v>
      </c>
      <c r="J32" s="20" t="n">
        <v>0</v>
      </c>
      <c r="K32" s="18" t="n">
        <v>0.19208932</v>
      </c>
      <c r="L32" s="20" t="n">
        <v>0.17837921</v>
      </c>
      <c r="M32" s="18" t="n">
        <v>0</v>
      </c>
      <c r="N32" s="20" t="n">
        <v>0</v>
      </c>
      <c r="O32" s="18" t="n">
        <v>0</v>
      </c>
      <c r="P32" s="20" t="n">
        <v>0</v>
      </c>
      <c r="Q32" s="18" t="n">
        <v>0.56146805</v>
      </c>
      <c r="R32" s="20" t="n">
        <v>0.31807356</v>
      </c>
    </row>
    <row r="33" spans="1:18">
      <c r="A33" s="15" t="s">
        <v>591</v>
      </c>
      <c r="B33" s="17" t="n">
        <v>3651</v>
      </c>
      <c r="C33" s="18">
        <f>(2863.0/B33*100)</f>
        <v/>
      </c>
      <c r="D33" s="19" t="n">
        <v>788</v>
      </c>
      <c r="E33" s="18" t="n">
        <v>49.08262345</v>
      </c>
      <c r="F33" s="20" t="n">
        <v>2.31060935</v>
      </c>
      <c r="G33" s="18" t="n">
        <v>47.96040876</v>
      </c>
      <c r="H33" s="20" t="n">
        <v>2.36790456</v>
      </c>
      <c r="I33" s="18" t="n">
        <v>0</v>
      </c>
      <c r="J33" s="20" t="n">
        <v>0</v>
      </c>
      <c r="K33" s="18" t="n">
        <v>1.74090294</v>
      </c>
      <c r="L33" s="20" t="n">
        <v>0.66451023</v>
      </c>
      <c r="M33" s="18" t="n">
        <v>0</v>
      </c>
      <c r="N33" s="20" t="n">
        <v>0</v>
      </c>
      <c r="O33" s="18" t="n">
        <v>0</v>
      </c>
      <c r="P33" s="20" t="n">
        <v>0</v>
      </c>
      <c r="Q33" s="18" t="n">
        <v>1.21606486</v>
      </c>
      <c r="R33" s="20" t="n">
        <v>0.42011084</v>
      </c>
    </row>
    <row r="34" spans="1:18">
      <c r="A34" s="15" t="s">
        <v>592</v>
      </c>
      <c r="B34" s="17" t="n">
        <v>3035</v>
      </c>
      <c r="C34" s="18">
        <f>(2435.0/B34*100)</f>
        <v/>
      </c>
      <c r="D34" s="19" t="n">
        <v>600</v>
      </c>
      <c r="E34" s="18" t="n">
        <v>49.61272042</v>
      </c>
      <c r="F34" s="20" t="n">
        <v>2.3879058</v>
      </c>
      <c r="G34" s="18" t="n">
        <v>48.71891252</v>
      </c>
      <c r="H34" s="20" t="n">
        <v>2.45119025</v>
      </c>
      <c r="I34" s="18" t="n">
        <v>0</v>
      </c>
      <c r="J34" s="20" t="n">
        <v>0</v>
      </c>
      <c r="K34" s="18" t="n">
        <v>0.35829023</v>
      </c>
      <c r="L34" s="20" t="n">
        <v>0.2047135</v>
      </c>
      <c r="M34" s="18" t="n">
        <v>0</v>
      </c>
      <c r="N34" s="20" t="n">
        <v>0</v>
      </c>
      <c r="O34" s="18" t="n">
        <v>0</v>
      </c>
      <c r="P34" s="20" t="n">
        <v>0</v>
      </c>
      <c r="Q34" s="18" t="n">
        <v>1.31007682</v>
      </c>
      <c r="R34" s="20" t="n">
        <v>0.63730598</v>
      </c>
    </row>
    <row r="35" spans="1:18">
      <c r="A35" s="15" t="s">
        <v>593</v>
      </c>
      <c r="B35" s="17" t="n">
        <v>2901</v>
      </c>
      <c r="C35" s="18">
        <f>(2285.0/B35*100)</f>
        <v/>
      </c>
      <c r="D35" s="19" t="n">
        <v>616</v>
      </c>
      <c r="E35" s="18" t="n">
        <v>35.62313023</v>
      </c>
      <c r="F35" s="20" t="n">
        <v>2.26188446</v>
      </c>
      <c r="G35" s="18" t="n">
        <v>63.13228757</v>
      </c>
      <c r="H35" s="20" t="n">
        <v>2.34435557</v>
      </c>
      <c r="I35" s="18" t="n">
        <v>0</v>
      </c>
      <c r="J35" s="20" t="n">
        <v>0</v>
      </c>
      <c r="K35" s="18" t="n">
        <v>0.65221032</v>
      </c>
      <c r="L35" s="20" t="n">
        <v>0.4110839</v>
      </c>
      <c r="M35" s="18" t="n">
        <v>0</v>
      </c>
      <c r="N35" s="20" t="n">
        <v>0</v>
      </c>
      <c r="O35" s="18" t="n">
        <v>0</v>
      </c>
      <c r="P35" s="20" t="n">
        <v>0</v>
      </c>
      <c r="Q35" s="18" t="n">
        <v>0.59237188</v>
      </c>
      <c r="R35" s="20" t="n">
        <v>0.28867335</v>
      </c>
    </row>
    <row r="36" spans="1:18">
      <c r="A36" s="15" t="s">
        <v>594</v>
      </c>
      <c r="B36" s="17" t="n">
        <v>3404</v>
      </c>
      <c r="C36" s="18">
        <f>(2646.0/B36*100)</f>
        <v/>
      </c>
      <c r="D36" s="19" t="n">
        <v>758</v>
      </c>
      <c r="E36" s="18" t="n">
        <v>45.93972555</v>
      </c>
      <c r="F36" s="20" t="n">
        <v>1.98508402</v>
      </c>
      <c r="G36" s="18" t="n">
        <v>52.00183309</v>
      </c>
      <c r="H36" s="20" t="n">
        <v>2.03459606</v>
      </c>
      <c r="I36" s="18" t="n">
        <v>0</v>
      </c>
      <c r="J36" s="20" t="n">
        <v>0</v>
      </c>
      <c r="K36" s="18" t="n">
        <v>0.85794504</v>
      </c>
      <c r="L36" s="20" t="n">
        <v>0.369463</v>
      </c>
      <c r="M36" s="18" t="n">
        <v>0</v>
      </c>
      <c r="N36" s="20" t="n">
        <v>0</v>
      </c>
      <c r="O36" s="18" t="n">
        <v>0</v>
      </c>
      <c r="P36" s="20" t="n">
        <v>0</v>
      </c>
      <c r="Q36" s="18" t="n">
        <v>1.20049633</v>
      </c>
      <c r="R36" s="20" t="n">
        <v>0.38824979</v>
      </c>
    </row>
    <row r="37" spans="1:18">
      <c r="A37" s="15" t="s">
        <v>595</v>
      </c>
      <c r="B37" s="17" t="n">
        <v>2731</v>
      </c>
      <c r="C37" s="18">
        <f>(2158.0/B37*100)</f>
        <v/>
      </c>
      <c r="D37" s="19" t="n">
        <v>573</v>
      </c>
      <c r="E37" s="18" t="n">
        <v>41.27862695</v>
      </c>
      <c r="F37" s="20" t="n">
        <v>2.06920591</v>
      </c>
      <c r="G37" s="18" t="n">
        <v>53.79419722</v>
      </c>
      <c r="H37" s="20" t="n">
        <v>2.08530325</v>
      </c>
      <c r="I37" s="18" t="n">
        <v>0</v>
      </c>
      <c r="J37" s="20" t="n">
        <v>0</v>
      </c>
      <c r="K37" s="18" t="n">
        <v>1.64610516</v>
      </c>
      <c r="L37" s="20" t="n">
        <v>0.65445367</v>
      </c>
      <c r="M37" s="18" t="n">
        <v>0</v>
      </c>
      <c r="N37" s="20" t="n">
        <v>0</v>
      </c>
      <c r="O37" s="18" t="n">
        <v>0</v>
      </c>
      <c r="P37" s="20" t="n">
        <v>0</v>
      </c>
      <c r="Q37" s="18" t="n">
        <v>3.28107066</v>
      </c>
      <c r="R37" s="20" t="n">
        <v>0.77751317</v>
      </c>
    </row>
    <row r="38" spans="1:18">
      <c r="A38" s="15" t="s">
        <v>596</v>
      </c>
      <c r="B38" s="17" t="n">
        <v>2807</v>
      </c>
      <c r="C38" s="18">
        <f>(2190.0/B38*100)</f>
        <v/>
      </c>
      <c r="D38" s="19" t="n">
        <v>617</v>
      </c>
      <c r="E38" s="18" t="n">
        <v>41.41485218</v>
      </c>
      <c r="F38" s="20" t="n">
        <v>2.20449842</v>
      </c>
      <c r="G38" s="18" t="n">
        <v>56.70636556</v>
      </c>
      <c r="H38" s="20" t="n">
        <v>2.27912664</v>
      </c>
      <c r="I38" s="18" t="n">
        <v>0</v>
      </c>
      <c r="J38" s="20" t="n">
        <v>0</v>
      </c>
      <c r="K38" s="18" t="n">
        <v>0.80209871</v>
      </c>
      <c r="L38" s="20" t="n">
        <v>0.41699521</v>
      </c>
      <c r="M38" s="18" t="n">
        <v>0</v>
      </c>
      <c r="N38" s="20" t="n">
        <v>0</v>
      </c>
      <c r="O38" s="18" t="n">
        <v>0</v>
      </c>
      <c r="P38" s="20" t="n">
        <v>0</v>
      </c>
      <c r="Q38" s="18" t="n">
        <v>1.07668354</v>
      </c>
      <c r="R38" s="20" t="n">
        <v>0.53059103</v>
      </c>
    </row>
    <row r="39" spans="1:18">
      <c r="A39" s="15" t="s">
        <v>597</v>
      </c>
      <c r="B39" s="17" t="n">
        <v>2938</v>
      </c>
      <c r="C39" s="18">
        <f>(2258.0/B39*100)</f>
        <v/>
      </c>
      <c r="D39" s="19" t="n">
        <v>680</v>
      </c>
      <c r="E39" s="18" t="n">
        <v>48.8279979</v>
      </c>
      <c r="F39" s="20" t="n">
        <v>1.97006988</v>
      </c>
      <c r="G39" s="18" t="n">
        <v>49.92511639</v>
      </c>
      <c r="H39" s="20" t="n">
        <v>2.0038143</v>
      </c>
      <c r="I39" s="18" t="n">
        <v>0</v>
      </c>
      <c r="J39" s="20" t="n">
        <v>0</v>
      </c>
      <c r="K39" s="18" t="n">
        <v>0.21987074</v>
      </c>
      <c r="L39" s="20" t="n">
        <v>0.17808009</v>
      </c>
      <c r="M39" s="18" t="n">
        <v>0</v>
      </c>
      <c r="N39" s="20" t="n">
        <v>0</v>
      </c>
      <c r="O39" s="18" t="n">
        <v>0</v>
      </c>
      <c r="P39" s="20" t="n">
        <v>0</v>
      </c>
      <c r="Q39" s="18" t="n">
        <v>1.02701497</v>
      </c>
      <c r="R39" s="20" t="n">
        <v>0.32694023</v>
      </c>
    </row>
    <row r="40" spans="1:18">
      <c r="A40" s="15" t="s">
        <v>598</v>
      </c>
      <c r="B40" s="17" t="n">
        <v>6922</v>
      </c>
      <c r="C40" s="18">
        <f>(5391.0/B40*100)</f>
        <v/>
      </c>
      <c r="D40" s="19" t="n">
        <v>1531</v>
      </c>
      <c r="E40" s="18" t="n">
        <v>41.64980928</v>
      </c>
      <c r="F40" s="20" t="n">
        <v>1.97102193</v>
      </c>
      <c r="G40" s="18" t="n">
        <v>56.03907827</v>
      </c>
      <c r="H40" s="20" t="n">
        <v>1.82757532</v>
      </c>
      <c r="I40" s="18" t="n">
        <v>0</v>
      </c>
      <c r="J40" s="20" t="n">
        <v>0</v>
      </c>
      <c r="K40" s="18" t="n">
        <v>1.24169654</v>
      </c>
      <c r="L40" s="20" t="n">
        <v>0.46945093</v>
      </c>
      <c r="M40" s="18" t="n">
        <v>0</v>
      </c>
      <c r="N40" s="20" t="n">
        <v>0</v>
      </c>
      <c r="O40" s="18" t="n">
        <v>0</v>
      </c>
      <c r="P40" s="20" t="n">
        <v>0</v>
      </c>
      <c r="Q40" s="18" t="n">
        <v>1.06941591</v>
      </c>
      <c r="R40" s="20" t="n">
        <v>0.42355702</v>
      </c>
    </row>
    <row r="41" spans="1:18">
      <c r="A41" s="15" t="s">
        <v>599</v>
      </c>
      <c r="B41" s="17" t="n">
        <v>2854</v>
      </c>
      <c r="C41" s="18">
        <f>(2252.0/B41*100)</f>
        <v/>
      </c>
      <c r="D41" s="19" t="n">
        <v>602</v>
      </c>
      <c r="E41" s="18" t="n">
        <v>38.87298922</v>
      </c>
      <c r="F41" s="20" t="n">
        <v>1.95491695</v>
      </c>
      <c r="G41" s="18" t="n">
        <v>60.75505652</v>
      </c>
      <c r="H41" s="20" t="n">
        <v>1.99477127</v>
      </c>
      <c r="I41" s="18" t="n">
        <v>0</v>
      </c>
      <c r="J41" s="20" t="n">
        <v>0</v>
      </c>
      <c r="K41" s="18" t="n">
        <v>0.37195425</v>
      </c>
      <c r="L41" s="20" t="n">
        <v>0.24947901</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(10154.0/B46*100)</f>
        <v/>
      </c>
      <c r="D46" s="19" t="n">
        <v>1919</v>
      </c>
      <c r="E46" s="18" t="n">
        <v>63.31935245</v>
      </c>
      <c r="F46" s="20" t="n">
        <v>1.59458611</v>
      </c>
      <c r="G46" s="18" t="n">
        <v>30.77716724</v>
      </c>
      <c r="H46" s="20" t="n">
        <v>1.44277536</v>
      </c>
      <c r="I46" s="18" t="n">
        <v>0</v>
      </c>
      <c r="J46" s="20" t="n">
        <v>0</v>
      </c>
      <c r="K46" s="18" t="n">
        <v>2.81777331</v>
      </c>
      <c r="L46" s="20" t="n">
        <v>0.59152377</v>
      </c>
      <c r="M46" s="18" t="n">
        <v>0</v>
      </c>
      <c r="N46" s="20" t="n">
        <v>0</v>
      </c>
      <c r="O46" s="18" t="n">
        <v>0</v>
      </c>
      <c r="P46" s="20" t="n">
        <v>0</v>
      </c>
      <c r="Q46" s="18" t="n">
        <v>3.085707</v>
      </c>
      <c r="R46" s="20" t="n">
        <v>0.58477469</v>
      </c>
    </row>
    <row r="47" spans="1:18">
      <c r="A47" s="15" t="s">
        <v>606</v>
      </c>
      <c r="B47" s="17" t="n">
        <v>2823</v>
      </c>
      <c r="C47" s="18">
        <f>(2234.0/B47*100)</f>
        <v/>
      </c>
      <c r="D47" s="19" t="n">
        <v>589</v>
      </c>
      <c r="E47" s="18" t="n">
        <v>48.92960448</v>
      </c>
      <c r="F47" s="20" t="n">
        <v>2.41145415</v>
      </c>
      <c r="G47" s="18" t="n">
        <v>47.39062387</v>
      </c>
      <c r="H47" s="20" t="n">
        <v>2.53587259</v>
      </c>
      <c r="I47" s="18" t="n">
        <v>0</v>
      </c>
      <c r="J47" s="20" t="n">
        <v>0</v>
      </c>
      <c r="K47" s="18" t="n">
        <v>2.49565521</v>
      </c>
      <c r="L47" s="20" t="n">
        <v>0.7096309</v>
      </c>
      <c r="M47" s="18" t="n">
        <v>0</v>
      </c>
      <c r="N47" s="20" t="n">
        <v>0</v>
      </c>
      <c r="O47" s="18" t="n">
        <v>0</v>
      </c>
      <c r="P47" s="20" t="n">
        <v>0</v>
      </c>
      <c r="Q47" s="18" t="n">
        <v>1.18411644</v>
      </c>
      <c r="R47" s="20" t="n">
        <v>0.47475064</v>
      </c>
    </row>
    <row r="48" spans="1:18">
      <c r="A48" s="15" t="s">
        <v>607</v>
      </c>
      <c r="B48" s="17" t="n">
        <v>4682</v>
      </c>
      <c r="C48" s="18">
        <f>(3658.0/B48*100)</f>
        <v/>
      </c>
      <c r="D48" s="19" t="n">
        <v>1024</v>
      </c>
      <c r="E48" s="18" t="n">
        <v>36.68595906</v>
      </c>
      <c r="F48" s="20" t="n">
        <v>2.35824965</v>
      </c>
      <c r="G48" s="18" t="n">
        <v>61.87918826</v>
      </c>
      <c r="H48" s="20" t="n">
        <v>2.42870086</v>
      </c>
      <c r="I48" s="18" t="n">
        <v>0</v>
      </c>
      <c r="J48" s="20" t="n">
        <v>0</v>
      </c>
      <c r="K48" s="18" t="n">
        <v>1.03086811</v>
      </c>
      <c r="L48" s="20" t="n">
        <v>0.51371795</v>
      </c>
      <c r="M48" s="18" t="n">
        <v>0</v>
      </c>
      <c r="N48" s="20" t="n">
        <v>0</v>
      </c>
      <c r="O48" s="18" t="n">
        <v>0</v>
      </c>
      <c r="P48" s="20" t="n">
        <v>0</v>
      </c>
      <c r="Q48" s="18" t="n">
        <v>0.40398457</v>
      </c>
      <c r="R48" s="20" t="n">
        <v>0.2511164</v>
      </c>
    </row>
    <row r="49" spans="1:18">
      <c r="A49" s="15" t="s">
        <v>608</v>
      </c>
      <c r="B49" s="17" t="n">
        <v>6158</v>
      </c>
      <c r="C49" s="18">
        <f>(4888.0/B49*100)</f>
        <v/>
      </c>
      <c r="D49" s="19" t="n">
        <v>1270</v>
      </c>
      <c r="E49" s="18" t="n">
        <v>53.9697949</v>
      </c>
      <c r="F49" s="20" t="n">
        <v>1.96980604</v>
      </c>
      <c r="G49" s="18" t="n">
        <v>40.78725426</v>
      </c>
      <c r="H49" s="20" t="n">
        <v>2.13271672</v>
      </c>
      <c r="I49" s="18" t="n">
        <v>0</v>
      </c>
      <c r="J49" s="20" t="n">
        <v>0</v>
      </c>
      <c r="K49" s="18" t="n">
        <v>3.30304484</v>
      </c>
      <c r="L49" s="20" t="n">
        <v>0.62650888</v>
      </c>
      <c r="M49" s="18" t="n">
        <v>0</v>
      </c>
      <c r="N49" s="20" t="n">
        <v>0</v>
      </c>
      <c r="O49" s="18" t="n">
        <v>0</v>
      </c>
      <c r="P49" s="20" t="n">
        <v>0</v>
      </c>
      <c r="Q49" s="18" t="n">
        <v>1.93990601</v>
      </c>
      <c r="R49" s="20" t="n">
        <v>0.5065715</v>
      </c>
    </row>
    <row r="50" spans="1:18">
      <c r="A50" s="15" t="s">
        <v>609</v>
      </c>
      <c r="B50" s="17" t="n">
        <v>3494</v>
      </c>
      <c r="C50" s="18">
        <f>(2849.0/B50*100)</f>
        <v/>
      </c>
      <c r="D50" s="19" t="n">
        <v>645</v>
      </c>
      <c r="E50" s="18" t="n">
        <v>52.93506848</v>
      </c>
      <c r="F50" s="20" t="n">
        <v>1.8445003</v>
      </c>
      <c r="G50" s="18" t="n">
        <v>44.91985497</v>
      </c>
      <c r="H50" s="20" t="n">
        <v>1.7994807</v>
      </c>
      <c r="I50" s="18" t="n">
        <v>0</v>
      </c>
      <c r="J50" s="20" t="n">
        <v>0</v>
      </c>
      <c r="K50" s="18" t="n">
        <v>0.33167271</v>
      </c>
      <c r="L50" s="20" t="n">
        <v>0.17601145</v>
      </c>
      <c r="M50" s="18" t="n">
        <v>0</v>
      </c>
      <c r="N50" s="20" t="n">
        <v>0</v>
      </c>
      <c r="O50" s="18" t="n">
        <v>0</v>
      </c>
      <c r="P50" s="20" t="n">
        <v>0</v>
      </c>
      <c r="Q50" s="18" t="n">
        <v>1.81340385</v>
      </c>
      <c r="R50" s="20" t="n">
        <v>0.56394285</v>
      </c>
    </row>
    <row r="51" spans="1:18">
      <c r="A51" s="15" t="s">
        <v>610</v>
      </c>
      <c r="B51" s="17" t="n">
        <v>3013</v>
      </c>
      <c r="C51" s="18">
        <f>(2345.0/B51*100)</f>
        <v/>
      </c>
      <c r="D51" s="19" t="n">
        <v>668</v>
      </c>
      <c r="E51" s="18" t="n">
        <v>46.43016643</v>
      </c>
      <c r="F51" s="20" t="n">
        <v>1.99728877</v>
      </c>
      <c r="G51" s="18" t="n">
        <v>52.75681467</v>
      </c>
      <c r="H51" s="20" t="n">
        <v>2.01845382</v>
      </c>
      <c r="I51" s="18" t="n">
        <v>0</v>
      </c>
      <c r="J51" s="20" t="n">
        <v>0</v>
      </c>
      <c r="K51" s="18" t="n">
        <v>0.16787503</v>
      </c>
      <c r="L51" s="20" t="n">
        <v>0.14456064</v>
      </c>
      <c r="M51" s="18" t="n">
        <v>0</v>
      </c>
      <c r="N51" s="20" t="n">
        <v>0</v>
      </c>
      <c r="O51" s="18" t="n">
        <v>0</v>
      </c>
      <c r="P51" s="20" t="n">
        <v>0</v>
      </c>
      <c r="Q51" s="18" t="n">
        <v>0.64514387</v>
      </c>
      <c r="R51" s="20" t="n">
        <v>0.31383151</v>
      </c>
    </row>
    <row r="52" spans="1:18">
      <c r="A52" s="15" t="s">
        <v>611</v>
      </c>
      <c r="B52" s="17" t="n">
        <v>2760</v>
      </c>
      <c r="C52" s="18">
        <f>(2148.0/B52*100)</f>
        <v/>
      </c>
      <c r="D52" s="19" t="n">
        <v>612</v>
      </c>
      <c r="E52" s="18" t="n">
        <v>63.05128869</v>
      </c>
      <c r="F52" s="20" t="n">
        <v>1.99627664</v>
      </c>
      <c r="G52" s="18" t="n">
        <v>35.85747478</v>
      </c>
      <c r="H52" s="20" t="n">
        <v>1.97874248</v>
      </c>
      <c r="I52" s="18" t="n">
        <v>0</v>
      </c>
      <c r="J52" s="20" t="n">
        <v>0</v>
      </c>
      <c r="K52" s="18" t="n">
        <v>0.68967843</v>
      </c>
      <c r="L52" s="20" t="n">
        <v>0.35287701</v>
      </c>
      <c r="M52" s="18" t="n">
        <v>0</v>
      </c>
      <c r="N52" s="20" t="n">
        <v>0</v>
      </c>
      <c r="O52" s="18" t="n">
        <v>0</v>
      </c>
      <c r="P52" s="20" t="n">
        <v>0</v>
      </c>
      <c r="Q52" s="18" t="n">
        <v>0.4015581</v>
      </c>
      <c r="R52" s="20" t="n">
        <v>0.28504956</v>
      </c>
    </row>
    <row r="53" spans="1:18">
      <c r="A53" s="15" t="s">
        <v>612</v>
      </c>
      <c r="B53" s="17" t="n">
        <v>2474</v>
      </c>
      <c r="C53" s="18">
        <f>(1955.0/B53*100)</f>
        <v/>
      </c>
      <c r="D53" s="19" t="n">
        <v>519</v>
      </c>
      <c r="E53" s="18" t="n">
        <v>45.10609291</v>
      </c>
      <c r="F53" s="20" t="n">
        <v>2.26419922</v>
      </c>
      <c r="G53" s="18" t="n">
        <v>35.07946809</v>
      </c>
      <c r="H53" s="20" t="n">
        <v>2.26171031</v>
      </c>
      <c r="I53" s="18" t="n">
        <v>0</v>
      </c>
      <c r="J53" s="20" t="n">
        <v>0</v>
      </c>
      <c r="K53" s="18" t="n">
        <v>16.46695754</v>
      </c>
      <c r="L53" s="20" t="n">
        <v>2.1346476</v>
      </c>
      <c r="M53" s="18" t="n">
        <v>0</v>
      </c>
      <c r="N53" s="20" t="n">
        <v>0</v>
      </c>
      <c r="O53" s="18" t="n">
        <v>0</v>
      </c>
      <c r="P53" s="20" t="n">
        <v>0</v>
      </c>
      <c r="Q53" s="18" t="n">
        <v>3.34748146</v>
      </c>
      <c r="R53" s="20" t="n">
        <v>1.07881027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(2083.0/B55*100)</f>
        <v/>
      </c>
      <c r="D55" s="19" t="n">
        <v>592</v>
      </c>
      <c r="E55" s="18" t="n">
        <v>38.25520205</v>
      </c>
      <c r="F55" s="20" t="n">
        <v>2.03594218</v>
      </c>
      <c r="G55" s="18" t="n">
        <v>61.22510963</v>
      </c>
      <c r="H55" s="20" t="n">
        <v>2.09388229</v>
      </c>
      <c r="I55" s="18" t="n">
        <v>0</v>
      </c>
      <c r="J55" s="20" t="n">
        <v>0</v>
      </c>
      <c r="K55" s="18" t="n">
        <v>0.51968832</v>
      </c>
      <c r="L55" s="20" t="n">
        <v>0.36212892</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(2493.0/B61*100)</f>
        <v/>
      </c>
      <c r="D61" s="19" t="n">
        <v>708</v>
      </c>
      <c r="E61" s="18" t="n">
        <v>41.54809804</v>
      </c>
      <c r="F61" s="20" t="n">
        <v>2.10852359</v>
      </c>
      <c r="G61" s="18" t="n">
        <v>57.63729638</v>
      </c>
      <c r="H61" s="20" t="n">
        <v>2.05758407</v>
      </c>
      <c r="I61" s="18" t="n">
        <v>0</v>
      </c>
      <c r="J61" s="20" t="n">
        <v>0</v>
      </c>
      <c r="K61" s="18" t="n">
        <v>0.2165019</v>
      </c>
      <c r="L61" s="20" t="n">
        <v>0.19054898</v>
      </c>
      <c r="M61" s="18" t="n">
        <v>0</v>
      </c>
      <c r="N61" s="20" t="n">
        <v>0</v>
      </c>
      <c r="O61" s="18" t="n">
        <v>0</v>
      </c>
      <c r="P61" s="20" t="n">
        <v>0</v>
      </c>
      <c r="Q61" s="18" t="n">
        <v>0.59810368</v>
      </c>
      <c r="R61" s="20" t="n">
        <v>0.27374112</v>
      </c>
    </row>
    <row r="62" spans="1:18">
      <c r="A62" s="15" t="s">
        <v>622</v>
      </c>
      <c r="B62" s="17" t="n">
        <v>2230</v>
      </c>
      <c r="C62" s="18">
        <f>(1752.0/B62*100)</f>
        <v/>
      </c>
      <c r="D62" s="19" t="n">
        <v>478</v>
      </c>
      <c r="E62" s="18" t="n">
        <v>41.60115634</v>
      </c>
      <c r="F62" s="20" t="n">
        <v>2.16991373</v>
      </c>
      <c r="G62" s="18" t="n">
        <v>57.97688938</v>
      </c>
      <c r="H62" s="20" t="n">
        <v>2.22398071</v>
      </c>
      <c r="I62" s="18" t="n">
        <v>0</v>
      </c>
      <c r="J62" s="20" t="n">
        <v>0</v>
      </c>
      <c r="K62" s="18" t="n">
        <v>0</v>
      </c>
      <c r="L62" s="20" t="n">
        <v>0</v>
      </c>
      <c r="M62" s="18" t="n">
        <v>0</v>
      </c>
      <c r="N62" s="20" t="n">
        <v>0</v>
      </c>
      <c r="O62" s="18" t="n">
        <v>0</v>
      </c>
      <c r="P62" s="20" t="n">
        <v>0</v>
      </c>
      <c r="Q62" s="18" t="n">
        <v>0.42195427</v>
      </c>
      <c r="R62" s="20" t="n">
        <v>0.29279487</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(2215.0/B67*100)</f>
        <v/>
      </c>
      <c r="D67" s="19" t="n">
        <v>556</v>
      </c>
      <c r="E67" s="18" t="n">
        <v>54.37914459</v>
      </c>
      <c r="F67" s="20" t="n">
        <v>2.25437282</v>
      </c>
      <c r="G67" s="18" t="n">
        <v>41.0819482</v>
      </c>
      <c r="H67" s="20" t="n">
        <v>2.13884835</v>
      </c>
      <c r="I67" s="18" t="n">
        <v>0</v>
      </c>
      <c r="J67" s="20" t="n">
        <v>0</v>
      </c>
      <c r="K67" s="18" t="n">
        <v>1.86845857</v>
      </c>
      <c r="L67" s="20" t="n">
        <v>0.66167813</v>
      </c>
      <c r="M67" s="18" t="n">
        <v>0</v>
      </c>
      <c r="N67" s="20" t="n">
        <v>0</v>
      </c>
      <c r="O67" s="18" t="n">
        <v>0</v>
      </c>
      <c r="P67" s="20" t="n">
        <v>0</v>
      </c>
      <c r="Q67" s="18" t="n">
        <v>2.67044864</v>
      </c>
      <c r="R67" s="20" t="n">
        <v>0.60321728</v>
      </c>
    </row>
    <row r="68" spans="1:18">
      <c r="A68" s="15" t="s">
        <v>628</v>
      </c>
      <c r="B68" s="17" t="n">
        <v>3460</v>
      </c>
      <c r="C68" s="18">
        <f>(2854.0/B68*100)</f>
        <v/>
      </c>
      <c r="D68" s="19" t="n">
        <v>606</v>
      </c>
      <c r="E68" s="18" t="n">
        <v>63.73579858</v>
      </c>
      <c r="F68" s="20" t="n">
        <v>2.24535523</v>
      </c>
      <c r="G68" s="18" t="n">
        <v>34.56187319</v>
      </c>
      <c r="H68" s="20" t="n">
        <v>2.14396276</v>
      </c>
      <c r="I68" s="18" t="n">
        <v>0</v>
      </c>
      <c r="J68" s="20" t="n">
        <v>0</v>
      </c>
      <c r="K68" s="18" t="n">
        <v>0.6200084300000001</v>
      </c>
      <c r="L68" s="20" t="n">
        <v>0.3087736</v>
      </c>
      <c r="M68" s="18" t="n">
        <v>0</v>
      </c>
      <c r="N68" s="20" t="n">
        <v>0</v>
      </c>
      <c r="O68" s="18" t="n">
        <v>0</v>
      </c>
      <c r="P68" s="20" t="n">
        <v>0</v>
      </c>
      <c r="Q68" s="18" t="n">
        <v>1.0823198</v>
      </c>
      <c r="R68" s="20" t="n">
        <v>0.42905039</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(4721.0/B70*100)</f>
        <v/>
      </c>
      <c r="D70" s="19" t="n">
        <v>1313</v>
      </c>
      <c r="E70" s="18" t="n">
        <v>51.59178825</v>
      </c>
      <c r="F70" s="20" t="n">
        <v>1.28927162</v>
      </c>
      <c r="G70" s="18" t="n">
        <v>43.00267846</v>
      </c>
      <c r="H70" s="20" t="n">
        <v>1.21252534</v>
      </c>
      <c r="I70" s="18" t="n">
        <v>0</v>
      </c>
      <c r="J70" s="20" t="n">
        <v>0</v>
      </c>
      <c r="K70" s="18" t="n">
        <v>3.34217843</v>
      </c>
      <c r="L70" s="20" t="n">
        <v>0.54255193</v>
      </c>
      <c r="M70" s="18" t="n">
        <v>0</v>
      </c>
      <c r="N70" s="20" t="n">
        <v>0</v>
      </c>
      <c r="O70" s="18" t="n">
        <v>0</v>
      </c>
      <c r="P70" s="20" t="n">
        <v>0</v>
      </c>
      <c r="Q70" s="18" t="n">
        <v>2.06335486</v>
      </c>
      <c r="R70" s="20" t="n">
        <v>0.41866221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(2475.0/B72*100)</f>
        <v/>
      </c>
      <c r="D72" s="19" t="n">
        <v>632</v>
      </c>
      <c r="E72" s="18" t="n">
        <v>53.99116338</v>
      </c>
      <c r="F72" s="20" t="n">
        <v>1.89666993</v>
      </c>
      <c r="G72" s="18" t="n">
        <v>45.45071616</v>
      </c>
      <c r="H72" s="20" t="n">
        <v>1.9135578</v>
      </c>
      <c r="I72" s="18" t="n">
        <v>0</v>
      </c>
      <c r="J72" s="20" t="n">
        <v>0</v>
      </c>
      <c r="K72" s="18" t="n">
        <v>0.35706661</v>
      </c>
      <c r="L72" s="20" t="n">
        <v>0.24715323</v>
      </c>
      <c r="M72" s="18" t="n">
        <v>0</v>
      </c>
      <c r="N72" s="20" t="n">
        <v>0</v>
      </c>
      <c r="O72" s="18" t="n">
        <v>0</v>
      </c>
      <c r="P72" s="20" t="n">
        <v>0</v>
      </c>
      <c r="Q72" s="18" t="n">
        <v>0.20105385</v>
      </c>
      <c r="R72" s="20" t="n">
        <v>0.12712982</v>
      </c>
    </row>
    <row r="73" spans="1:18">
      <c r="A73" s="15" t="s">
        <v>633</v>
      </c>
      <c r="B73" s="17" t="n">
        <v>2973</v>
      </c>
      <c r="C73" s="18">
        <f>(2313.0/B73*100)</f>
        <v/>
      </c>
      <c r="D73" s="19" t="n">
        <v>660</v>
      </c>
      <c r="E73" s="18" t="n">
        <v>31.93645188</v>
      </c>
      <c r="F73" s="20" t="n">
        <v>1.77013592</v>
      </c>
      <c r="G73" s="18" t="n">
        <v>67.31516967</v>
      </c>
      <c r="H73" s="20" t="n">
        <v>1.72040994</v>
      </c>
      <c r="I73" s="18" t="n">
        <v>0</v>
      </c>
      <c r="J73" s="20" t="n">
        <v>0</v>
      </c>
      <c r="K73" s="18" t="n">
        <v>0.34623918</v>
      </c>
      <c r="L73" s="20" t="n">
        <v>0.24432231</v>
      </c>
      <c r="M73" s="18" t="n">
        <v>0</v>
      </c>
      <c r="N73" s="20" t="n">
        <v>0</v>
      </c>
      <c r="O73" s="18" t="n">
        <v>0</v>
      </c>
      <c r="P73" s="20" t="n">
        <v>0</v>
      </c>
      <c r="Q73" s="18" t="n">
        <v>0.40213926</v>
      </c>
      <c r="R73" s="20" t="n">
        <v>0.23488908</v>
      </c>
    </row>
    <row r="74" spans="1:18">
      <c r="A74" s="15" t="s">
        <v>634</v>
      </c>
      <c r="B74" s="17" t="n">
        <v>3819</v>
      </c>
      <c r="C74" s="18">
        <f>(2930.0/B74*100)</f>
        <v/>
      </c>
      <c r="D74" s="19" t="n">
        <v>889</v>
      </c>
      <c r="E74" s="18" t="n">
        <v>41.84578301</v>
      </c>
      <c r="F74" s="20" t="n">
        <v>1.59655892</v>
      </c>
      <c r="G74" s="18" t="n">
        <v>57.50512992</v>
      </c>
      <c r="H74" s="20" t="n">
        <v>1.58828546</v>
      </c>
      <c r="I74" s="18" t="n">
        <v>0</v>
      </c>
      <c r="J74" s="20" t="n">
        <v>0</v>
      </c>
      <c r="K74" s="18" t="n">
        <v>0.17370743</v>
      </c>
      <c r="L74" s="20" t="n">
        <v>0.24770458</v>
      </c>
      <c r="M74" s="18" t="n">
        <v>0</v>
      </c>
      <c r="N74" s="20" t="n">
        <v>0</v>
      </c>
      <c r="O74" s="18" t="n">
        <v>0</v>
      </c>
      <c r="P74" s="20" t="n">
        <v>0</v>
      </c>
      <c r="Q74" s="18" t="n">
        <v>0.47537964</v>
      </c>
      <c r="R74" s="20" t="n">
        <v>0.29423362</v>
      </c>
    </row>
    <row r="75" spans="1:18">
      <c r="A75" s="15" t="s">
        <v>635</v>
      </c>
      <c r="B75" s="17" t="n">
        <v>4652</v>
      </c>
      <c r="C75" s="18">
        <f>(3659.0/B75*100)</f>
        <v/>
      </c>
      <c r="D75" s="19" t="n">
        <v>993</v>
      </c>
      <c r="E75" s="18" t="n">
        <v>67.65634845</v>
      </c>
      <c r="F75" s="20" t="n">
        <v>2.20881409</v>
      </c>
      <c r="G75" s="18" t="n">
        <v>31.25797845</v>
      </c>
      <c r="H75" s="20" t="n">
        <v>2.19477272</v>
      </c>
      <c r="I75" s="18" t="n">
        <v>0</v>
      </c>
      <c r="J75" s="20" t="n">
        <v>0</v>
      </c>
      <c r="K75" s="18" t="n">
        <v>0.14319465</v>
      </c>
      <c r="L75" s="20" t="n">
        <v>0.14038863</v>
      </c>
      <c r="M75" s="18" t="n">
        <v>0</v>
      </c>
      <c r="N75" s="20" t="n">
        <v>0</v>
      </c>
      <c r="O75" s="18" t="n">
        <v>0</v>
      </c>
      <c r="P75" s="20" t="n">
        <v>0</v>
      </c>
      <c r="Q75" s="18" t="n">
        <v>0.94247845</v>
      </c>
      <c r="R75" s="20" t="n">
        <v>0.30110379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(2371.0/B77*100)</f>
        <v/>
      </c>
      <c r="D77" s="19" t="n">
        <v>598</v>
      </c>
      <c r="E77" s="18" t="n">
        <v>56.2850384</v>
      </c>
      <c r="F77" s="20" t="n">
        <v>2.15874598</v>
      </c>
      <c r="G77" s="18" t="n">
        <v>34.28274202</v>
      </c>
      <c r="H77" s="20" t="n">
        <v>1.81277498</v>
      </c>
      <c r="I77" s="18" t="n">
        <v>0</v>
      </c>
      <c r="J77" s="20" t="n">
        <v>0</v>
      </c>
      <c r="K77" s="18" t="n">
        <v>6.70473847</v>
      </c>
      <c r="L77" s="20" t="n">
        <v>1.20398494</v>
      </c>
      <c r="M77" s="18" t="n">
        <v>0</v>
      </c>
      <c r="N77" s="20" t="n">
        <v>0</v>
      </c>
      <c r="O77" s="18" t="n">
        <v>0</v>
      </c>
      <c r="P77" s="20" t="n">
        <v>0</v>
      </c>
      <c r="Q77" s="18" t="n">
        <v>2.72748111</v>
      </c>
      <c r="R77" s="20" t="n">
        <v>0.63731299</v>
      </c>
    </row>
    <row r="78" spans="1:18">
      <c r="A78" s="15" t="s">
        <v>638</v>
      </c>
      <c r="B78" s="17" t="n">
        <v>7115</v>
      </c>
      <c r="C78" s="18">
        <f>(5548.0/B78*100)</f>
        <v/>
      </c>
      <c r="D78" s="19" t="n">
        <v>1567</v>
      </c>
      <c r="E78" s="18" t="n">
        <v>53.79322157</v>
      </c>
      <c r="F78" s="20" t="n">
        <v>1.39779583</v>
      </c>
      <c r="G78" s="18" t="n">
        <v>44.26289547</v>
      </c>
      <c r="H78" s="20" t="n">
        <v>1.38565968</v>
      </c>
      <c r="I78" s="18" t="n">
        <v>0</v>
      </c>
      <c r="J78" s="20" t="n">
        <v>0</v>
      </c>
      <c r="K78" s="18" t="n">
        <v>1.11643431</v>
      </c>
      <c r="L78" s="20" t="n">
        <v>0.36632179</v>
      </c>
      <c r="M78" s="18" t="n">
        <v>0</v>
      </c>
      <c r="N78" s="20" t="n">
        <v>0</v>
      </c>
      <c r="O78" s="18" t="n">
        <v>0</v>
      </c>
      <c r="P78" s="20" t="n">
        <v>0</v>
      </c>
      <c r="Q78" s="18" t="n">
        <v>0.82744865</v>
      </c>
      <c r="R78" s="20" t="n">
        <v>0.24064592</v>
      </c>
    </row>
    <row r="79" spans="1:18">
      <c r="A79" s="15" t="s">
        <v>639</v>
      </c>
      <c r="B79" s="17" t="n">
        <v>3154</v>
      </c>
      <c r="C79" s="18">
        <f>(2525.0/B79*100)</f>
        <v/>
      </c>
      <c r="D79" s="19" t="n">
        <v>629</v>
      </c>
      <c r="E79" s="18" t="n">
        <v>42.07713017</v>
      </c>
      <c r="F79" s="20" t="n">
        <v>2.38960336</v>
      </c>
      <c r="G79" s="18" t="n">
        <v>52.07076158</v>
      </c>
      <c r="H79" s="20" t="n">
        <v>2.25425345</v>
      </c>
      <c r="I79" s="18" t="n">
        <v>0</v>
      </c>
      <c r="J79" s="20" t="n">
        <v>0</v>
      </c>
      <c r="K79" s="18" t="n">
        <v>2.50007129</v>
      </c>
      <c r="L79" s="20" t="n">
        <v>0.69738561</v>
      </c>
      <c r="M79" s="18" t="n">
        <v>0</v>
      </c>
      <c r="N79" s="20" t="n">
        <v>0</v>
      </c>
      <c r="O79" s="18" t="n">
        <v>0</v>
      </c>
      <c r="P79" s="20" t="n">
        <v>0</v>
      </c>
      <c r="Q79" s="18" t="n">
        <v>3.35203697</v>
      </c>
      <c r="R79" s="20" t="n">
        <v>0.88084038</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(12515.0/B82*100)</f>
        <v/>
      </c>
      <c r="D82" s="19" t="n">
        <v>3446</v>
      </c>
      <c r="E82" s="18" t="n">
        <v>42.58379096</v>
      </c>
      <c r="F82" s="20" t="n">
        <v>1.30627109</v>
      </c>
      <c r="G82" s="18" t="n">
        <v>55.39176606</v>
      </c>
      <c r="H82" s="20" t="n">
        <v>1.28484063</v>
      </c>
      <c r="I82" s="18" t="n">
        <v>0</v>
      </c>
      <c r="J82" s="20" t="n">
        <v>0</v>
      </c>
      <c r="K82" s="18" t="n">
        <v>0.68176226</v>
      </c>
      <c r="L82" s="20" t="n">
        <v>0.20595152</v>
      </c>
      <c r="M82" s="18" t="n">
        <v>0</v>
      </c>
      <c r="N82" s="20" t="n">
        <v>0</v>
      </c>
      <c r="O82" s="18" t="n">
        <v>0</v>
      </c>
      <c r="P82" s="20" t="n">
        <v>0</v>
      </c>
      <c r="Q82" s="18" t="n">
        <v>1.34268072</v>
      </c>
      <c r="R82" s="20" t="n">
        <v>0.30265885</v>
      </c>
    </row>
    <row r="83" spans="1:18">
      <c r="A83" s="15" t="s">
        <v>643</v>
      </c>
      <c r="B83" s="17" t="n">
        <v>808</v>
      </c>
      <c r="C83" s="18">
        <f>(650.0/B83*100)</f>
        <v/>
      </c>
      <c r="D83" s="19" t="n">
        <v>158</v>
      </c>
      <c r="E83" s="18" t="n">
        <v>39.12335823</v>
      </c>
      <c r="F83" s="20" t="n">
        <v>3.77123214</v>
      </c>
      <c r="G83" s="18" t="n">
        <v>60.87664177</v>
      </c>
      <c r="H83" s="20" t="n">
        <v>3.77123214</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(744.0/B84*100)</f>
        <v/>
      </c>
      <c r="D84" s="19" t="n">
        <v>194</v>
      </c>
      <c r="E84" s="18" t="n">
        <v>44.04311041</v>
      </c>
      <c r="F84" s="20" t="n">
        <v>3.73946544</v>
      </c>
      <c r="G84" s="18" t="n">
        <v>54.45984726</v>
      </c>
      <c r="H84" s="20" t="n">
        <v>4.02285699</v>
      </c>
      <c r="I84" s="18" t="n">
        <v>0</v>
      </c>
      <c r="J84" s="20" t="n">
        <v>0</v>
      </c>
      <c r="K84" s="18" t="n">
        <v>0.56168063</v>
      </c>
      <c r="L84" s="20" t="n">
        <v>0.56204699</v>
      </c>
      <c r="M84" s="18" t="n">
        <v>0</v>
      </c>
      <c r="N84" s="20" t="n">
        <v>0</v>
      </c>
      <c r="O84" s="18" t="n">
        <v>0</v>
      </c>
      <c r="P84" s="20" t="n">
        <v>0</v>
      </c>
      <c r="Q84" s="18" t="n">
        <v>0.9353617</v>
      </c>
      <c r="R84" s="20" t="n">
        <v>0.66940524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(5662.0/B7*100)</f>
        <v/>
      </c>
      <c r="D7" s="19" t="n">
        <v>1501</v>
      </c>
      <c r="E7" s="18" t="n">
        <v>16.70707576</v>
      </c>
      <c r="F7" s="20" t="n">
        <v>1.16243104</v>
      </c>
      <c r="G7" s="18" t="n">
        <v>81.81127669999999</v>
      </c>
      <c r="H7" s="20" t="n">
        <v>1.14239016</v>
      </c>
      <c r="I7" s="18" t="n">
        <v>0</v>
      </c>
      <c r="J7" s="20" t="n">
        <v>0</v>
      </c>
      <c r="K7" s="18" t="n">
        <v>1.14037665</v>
      </c>
      <c r="L7" s="20" t="n">
        <v>0.32606005</v>
      </c>
      <c r="M7" s="18" t="n">
        <v>0</v>
      </c>
      <c r="N7" s="20" t="n">
        <v>0</v>
      </c>
      <c r="O7" s="18" t="n">
        <v>0</v>
      </c>
      <c r="P7" s="20" t="n">
        <v>0</v>
      </c>
      <c r="Q7" s="18" t="n">
        <v>0.3412709</v>
      </c>
      <c r="R7" s="20" t="n">
        <v>0.16968844</v>
      </c>
    </row>
    <row r="8" spans="1:18">
      <c r="A8" s="15" t="s">
        <v>566</v>
      </c>
      <c r="B8" s="17" t="n">
        <v>3443</v>
      </c>
      <c r="C8" s="18">
        <f>(2682.0/B8*100)</f>
        <v/>
      </c>
      <c r="D8" s="19" t="n">
        <v>761</v>
      </c>
      <c r="E8" s="18" t="n">
        <v>16.04287002</v>
      </c>
      <c r="F8" s="20" t="n">
        <v>1.43470288</v>
      </c>
      <c r="G8" s="18" t="n">
        <v>83.07171596000001</v>
      </c>
      <c r="H8" s="20" t="n">
        <v>1.53247083</v>
      </c>
      <c r="I8" s="18" t="n">
        <v>0</v>
      </c>
      <c r="J8" s="20" t="n">
        <v>0</v>
      </c>
      <c r="K8" s="18" t="n">
        <v>0.7470830000000001</v>
      </c>
      <c r="L8" s="20" t="n">
        <v>0.3291772</v>
      </c>
      <c r="M8" s="18" t="n">
        <v>0</v>
      </c>
      <c r="N8" s="20" t="n">
        <v>0</v>
      </c>
      <c r="O8" s="18" t="n">
        <v>0</v>
      </c>
      <c r="P8" s="20" t="n">
        <v>0</v>
      </c>
      <c r="Q8" s="18" t="n">
        <v>0.13833102</v>
      </c>
      <c r="R8" s="20" t="n">
        <v>0.11921583</v>
      </c>
    </row>
    <row r="9" spans="1:18">
      <c r="A9" s="15" t="s">
        <v>567</v>
      </c>
      <c r="B9" s="17" t="n">
        <v>4752</v>
      </c>
      <c r="C9" s="18">
        <f>(3802.0/B9*100)</f>
        <v/>
      </c>
      <c r="D9" s="19" t="n">
        <v>950</v>
      </c>
      <c r="E9" s="18" t="n">
        <v>18.89280101</v>
      </c>
      <c r="F9" s="20" t="n">
        <v>1.38041992</v>
      </c>
      <c r="G9" s="18" t="n">
        <v>78.47252714</v>
      </c>
      <c r="H9" s="20" t="n">
        <v>1.56852746</v>
      </c>
      <c r="I9" s="18" t="n">
        <v>0</v>
      </c>
      <c r="J9" s="20" t="n">
        <v>0</v>
      </c>
      <c r="K9" s="18" t="n">
        <v>1.92491493</v>
      </c>
      <c r="L9" s="20" t="n">
        <v>0.47601349</v>
      </c>
      <c r="M9" s="18" t="n">
        <v>0</v>
      </c>
      <c r="N9" s="20" t="n">
        <v>0</v>
      </c>
      <c r="O9" s="18" t="n">
        <v>0</v>
      </c>
      <c r="P9" s="20" t="n">
        <v>0</v>
      </c>
      <c r="Q9" s="18" t="n">
        <v>0.70975693</v>
      </c>
      <c r="R9" s="20" t="n">
        <v>0.28133514</v>
      </c>
    </row>
    <row r="10" spans="1:18">
      <c r="A10" s="15" t="s">
        <v>568</v>
      </c>
      <c r="B10" s="17" t="n">
        <v>10022</v>
      </c>
      <c r="C10" s="18">
        <f>(7848.0/B10*100)</f>
        <v/>
      </c>
      <c r="D10" s="19" t="n">
        <v>2174</v>
      </c>
      <c r="E10" s="18" t="n">
        <v>13.91984312</v>
      </c>
      <c r="F10" s="20" t="n">
        <v>1.17296275</v>
      </c>
      <c r="G10" s="18" t="n">
        <v>84.90208102</v>
      </c>
      <c r="H10" s="20" t="n">
        <v>1.23188621</v>
      </c>
      <c r="I10" s="18" t="n">
        <v>0</v>
      </c>
      <c r="J10" s="20" t="n">
        <v>0</v>
      </c>
      <c r="K10" s="18" t="n">
        <v>1.02068604</v>
      </c>
      <c r="L10" s="20" t="n">
        <v>0.29716502</v>
      </c>
      <c r="M10" s="18" t="n">
        <v>0</v>
      </c>
      <c r="N10" s="20" t="n">
        <v>0</v>
      </c>
      <c r="O10" s="18" t="n">
        <v>0</v>
      </c>
      <c r="P10" s="20" t="n">
        <v>0</v>
      </c>
      <c r="Q10" s="18" t="n">
        <v>0.15738982</v>
      </c>
      <c r="R10" s="20" t="n">
        <v>0.10004978</v>
      </c>
    </row>
    <row r="11" spans="1:18">
      <c r="A11" s="15" t="s">
        <v>569</v>
      </c>
      <c r="B11" s="17" t="n">
        <v>3500</v>
      </c>
      <c r="C11" s="18">
        <f>(2754.0/B11*100)</f>
        <v/>
      </c>
      <c r="D11" s="19" t="n">
        <v>746</v>
      </c>
      <c r="E11" s="18" t="n">
        <v>25.86624922</v>
      </c>
      <c r="F11" s="20" t="n">
        <v>1.83334051</v>
      </c>
      <c r="G11" s="18" t="n">
        <v>69.27001417</v>
      </c>
      <c r="H11" s="20" t="n">
        <v>2.02205658</v>
      </c>
      <c r="I11" s="18" t="n">
        <v>0</v>
      </c>
      <c r="J11" s="20" t="n">
        <v>0</v>
      </c>
      <c r="K11" s="18" t="n">
        <v>3.56648997</v>
      </c>
      <c r="L11" s="20" t="n">
        <v>0.9143925000000001</v>
      </c>
      <c r="M11" s="18" t="n">
        <v>0</v>
      </c>
      <c r="N11" s="20" t="n">
        <v>0</v>
      </c>
      <c r="O11" s="18" t="n">
        <v>0</v>
      </c>
      <c r="P11" s="20" t="n">
        <v>0</v>
      </c>
      <c r="Q11" s="18" t="n">
        <v>1.29724665</v>
      </c>
      <c r="R11" s="20" t="n">
        <v>0.44175069</v>
      </c>
    </row>
    <row r="12" spans="1:18">
      <c r="A12" s="15" t="s">
        <v>570</v>
      </c>
      <c r="B12" s="17" t="n">
        <v>3422</v>
      </c>
      <c r="C12" s="18">
        <f>(2706.0/B12*100)</f>
        <v/>
      </c>
      <c r="D12" s="19" t="n">
        <v>716</v>
      </c>
      <c r="E12" s="18" t="n">
        <v>19.33568625</v>
      </c>
      <c r="F12" s="20" t="n">
        <v>1.87807542</v>
      </c>
      <c r="G12" s="18" t="n">
        <v>78.38006362</v>
      </c>
      <c r="H12" s="20" t="n">
        <v>1.92595173</v>
      </c>
      <c r="I12" s="18" t="n">
        <v>0</v>
      </c>
      <c r="J12" s="20" t="n">
        <v>0</v>
      </c>
      <c r="K12" s="18" t="n">
        <v>1.41990651</v>
      </c>
      <c r="L12" s="20" t="n">
        <v>0.41177043</v>
      </c>
      <c r="M12" s="18" t="n">
        <v>0</v>
      </c>
      <c r="N12" s="20" t="n">
        <v>0</v>
      </c>
      <c r="O12" s="18" t="n">
        <v>0</v>
      </c>
      <c r="P12" s="20" t="n">
        <v>0</v>
      </c>
      <c r="Q12" s="18" t="n">
        <v>0.86434362</v>
      </c>
      <c r="R12" s="20" t="n">
        <v>0.48955066</v>
      </c>
    </row>
    <row r="13" spans="1:18">
      <c r="A13" s="15" t="s">
        <v>571</v>
      </c>
      <c r="B13" s="17" t="n">
        <v>3602</v>
      </c>
      <c r="C13" s="18">
        <f>(2871.0/B13*100)</f>
        <v/>
      </c>
      <c r="D13" s="19" t="n">
        <v>731</v>
      </c>
      <c r="E13" s="18" t="n">
        <v>12.10973285</v>
      </c>
      <c r="F13" s="20" t="n">
        <v>1.31898205</v>
      </c>
      <c r="G13" s="18" t="n">
        <v>86.18458124999999</v>
      </c>
      <c r="H13" s="20" t="n">
        <v>1.44602498</v>
      </c>
      <c r="I13" s="18" t="n">
        <v>0</v>
      </c>
      <c r="J13" s="20" t="n">
        <v>0</v>
      </c>
      <c r="K13" s="18" t="n">
        <v>1.53617849</v>
      </c>
      <c r="L13" s="20" t="n">
        <v>0.62410807</v>
      </c>
      <c r="M13" s="18" t="n">
        <v>0</v>
      </c>
      <c r="N13" s="20" t="n">
        <v>0</v>
      </c>
      <c r="O13" s="18" t="n">
        <v>0</v>
      </c>
      <c r="P13" s="20" t="n">
        <v>0</v>
      </c>
      <c r="Q13" s="18" t="n">
        <v>0.16950741</v>
      </c>
      <c r="R13" s="20" t="n">
        <v>0.14730683</v>
      </c>
    </row>
    <row r="14" spans="1:18">
      <c r="A14" s="15" t="s">
        <v>572</v>
      </c>
      <c r="B14" s="17" t="n">
        <v>2788</v>
      </c>
      <c r="C14" s="18">
        <f>(2194.0/B14*100)</f>
        <v/>
      </c>
      <c r="D14" s="19" t="n">
        <v>594</v>
      </c>
      <c r="E14" s="18" t="n">
        <v>8.15356888</v>
      </c>
      <c r="F14" s="20" t="n">
        <v>1.30202304</v>
      </c>
      <c r="G14" s="18" t="n">
        <v>90.92396309</v>
      </c>
      <c r="H14" s="20" t="n">
        <v>1.40950274</v>
      </c>
      <c r="I14" s="18" t="n">
        <v>0</v>
      </c>
      <c r="J14" s="20" t="n">
        <v>0</v>
      </c>
      <c r="K14" s="18" t="n">
        <v>0.7904103099999999</v>
      </c>
      <c r="L14" s="20" t="n">
        <v>0.45134929</v>
      </c>
      <c r="M14" s="18" t="n">
        <v>0</v>
      </c>
      <c r="N14" s="20" t="n">
        <v>0</v>
      </c>
      <c r="O14" s="18" t="n">
        <v>0</v>
      </c>
      <c r="P14" s="20" t="n">
        <v>0</v>
      </c>
      <c r="Q14" s="18" t="n">
        <v>0.13205772</v>
      </c>
      <c r="R14" s="20" t="n">
        <v>0.14001281</v>
      </c>
    </row>
    <row r="15" spans="1:18">
      <c r="A15" s="15" t="s">
        <v>573</v>
      </c>
      <c r="B15" s="17" t="n">
        <v>2863</v>
      </c>
      <c r="C15" s="18">
        <f>(2228.0/B15*100)</f>
        <v/>
      </c>
      <c r="D15" s="19" t="n">
        <v>635</v>
      </c>
      <c r="E15" s="18" t="n">
        <v>9.758940300000001</v>
      </c>
      <c r="F15" s="20" t="n">
        <v>1.52856489</v>
      </c>
      <c r="G15" s="18" t="n">
        <v>89.63263474</v>
      </c>
      <c r="H15" s="20" t="n">
        <v>1.42175533</v>
      </c>
      <c r="I15" s="18" t="n">
        <v>0</v>
      </c>
      <c r="J15" s="20" t="n">
        <v>0</v>
      </c>
      <c r="K15" s="18" t="n">
        <v>0.60842496</v>
      </c>
      <c r="L15" s="20" t="n">
        <v>0.32698108</v>
      </c>
      <c r="M15" s="18" t="n">
        <v>0</v>
      </c>
      <c r="N15" s="20" t="n">
        <v>0</v>
      </c>
      <c r="O15" s="18" t="n">
        <v>0</v>
      </c>
      <c r="P15" s="20" t="n">
        <v>0</v>
      </c>
      <c r="Q15" s="18" t="n">
        <v>0</v>
      </c>
      <c r="R15" s="20" t="n">
        <v>0</v>
      </c>
    </row>
    <row r="16" spans="1:18">
      <c r="A16" s="15" t="s">
        <v>574</v>
      </c>
      <c r="B16" s="17" t="n">
        <v>3111</v>
      </c>
      <c r="C16" s="18">
        <f>(2442.0/B16*100)</f>
        <v/>
      </c>
      <c r="D16" s="19" t="n">
        <v>669</v>
      </c>
      <c r="E16" s="18" t="n">
        <v>15.56447827</v>
      </c>
      <c r="F16" s="20" t="n">
        <v>1.57931478</v>
      </c>
      <c r="G16" s="18" t="n">
        <v>82.06339805</v>
      </c>
      <c r="H16" s="20" t="n">
        <v>1.79072062</v>
      </c>
      <c r="I16" s="18" t="n">
        <v>0</v>
      </c>
      <c r="J16" s="20" t="n">
        <v>0</v>
      </c>
      <c r="K16" s="18" t="n">
        <v>1.75653855</v>
      </c>
      <c r="L16" s="20" t="n">
        <v>0.6374398</v>
      </c>
      <c r="M16" s="18" t="n">
        <v>0</v>
      </c>
      <c r="N16" s="20" t="n">
        <v>0</v>
      </c>
      <c r="O16" s="18" t="n">
        <v>0</v>
      </c>
      <c r="P16" s="20" t="n">
        <v>0</v>
      </c>
      <c r="Q16" s="18" t="n">
        <v>0.61558513</v>
      </c>
      <c r="R16" s="20" t="n">
        <v>0.26619767</v>
      </c>
    </row>
    <row r="17" spans="1:18">
      <c r="A17" s="15" t="s">
        <v>575</v>
      </c>
      <c r="B17" s="17" t="n">
        <v>3197</v>
      </c>
      <c r="C17" s="18">
        <f>(2567.0/B17*100)</f>
        <v/>
      </c>
      <c r="D17" s="19" t="n">
        <v>630</v>
      </c>
      <c r="E17" s="18" t="n">
        <v>13.5126991</v>
      </c>
      <c r="F17" s="20" t="n">
        <v>1.32382467</v>
      </c>
      <c r="G17" s="18" t="n">
        <v>85.00429206</v>
      </c>
      <c r="H17" s="20" t="n">
        <v>1.37346599</v>
      </c>
      <c r="I17" s="18" t="n">
        <v>0</v>
      </c>
      <c r="J17" s="20" t="n">
        <v>0</v>
      </c>
      <c r="K17" s="18" t="n">
        <v>0.99552685</v>
      </c>
      <c r="L17" s="20" t="n">
        <v>0.4265473</v>
      </c>
      <c r="M17" s="18" t="n">
        <v>0</v>
      </c>
      <c r="N17" s="20" t="n">
        <v>0</v>
      </c>
      <c r="O17" s="18" t="n">
        <v>0</v>
      </c>
      <c r="P17" s="20" t="n">
        <v>0</v>
      </c>
      <c r="Q17" s="18" t="n">
        <v>0.48748199</v>
      </c>
      <c r="R17" s="20" t="n">
        <v>0.18486557</v>
      </c>
    </row>
    <row r="18" spans="1:18">
      <c r="A18" s="15" t="s">
        <v>576</v>
      </c>
      <c r="B18" s="17" t="n">
        <v>2706</v>
      </c>
      <c r="C18" s="18">
        <f>(2117.0/B18*100)</f>
        <v/>
      </c>
      <c r="D18" s="19" t="n">
        <v>589</v>
      </c>
      <c r="E18" s="18" t="n">
        <v>20.81692564</v>
      </c>
      <c r="F18" s="20" t="n">
        <v>2.12614575</v>
      </c>
      <c r="G18" s="18" t="n">
        <v>75.24032599</v>
      </c>
      <c r="H18" s="20" t="n">
        <v>2.34090286</v>
      </c>
      <c r="I18" s="18" t="n">
        <v>0</v>
      </c>
      <c r="J18" s="20" t="n">
        <v>0</v>
      </c>
      <c r="K18" s="18" t="n">
        <v>2.77302809</v>
      </c>
      <c r="L18" s="20" t="n">
        <v>0.82225568</v>
      </c>
      <c r="M18" s="18" t="n">
        <v>0</v>
      </c>
      <c r="N18" s="20" t="n">
        <v>0</v>
      </c>
      <c r="O18" s="18" t="n">
        <v>0</v>
      </c>
      <c r="P18" s="20" t="n">
        <v>0</v>
      </c>
      <c r="Q18" s="18" t="n">
        <v>1.16972028</v>
      </c>
      <c r="R18" s="20" t="n">
        <v>0.54552746</v>
      </c>
    </row>
    <row r="19" spans="1:18">
      <c r="A19" s="15" t="s">
        <v>577</v>
      </c>
      <c r="B19" s="17" t="n">
        <v>2850</v>
      </c>
      <c r="C19" s="18">
        <f>(2266.0/B19*100)</f>
        <v/>
      </c>
      <c r="D19" s="19" t="n">
        <v>584</v>
      </c>
      <c r="E19" s="18" t="n">
        <v>17.92396612</v>
      </c>
      <c r="F19" s="20" t="n">
        <v>1.62416352</v>
      </c>
      <c r="G19" s="18" t="n">
        <v>80.89914115000001</v>
      </c>
      <c r="H19" s="20" t="n">
        <v>1.64063273</v>
      </c>
      <c r="I19" s="18" t="n">
        <v>0</v>
      </c>
      <c r="J19" s="20" t="n">
        <v>0</v>
      </c>
      <c r="K19" s="18" t="n">
        <v>1.00926883</v>
      </c>
      <c r="L19" s="20" t="n">
        <v>0.57225915</v>
      </c>
      <c r="M19" s="18" t="n">
        <v>0</v>
      </c>
      <c r="N19" s="20" t="n">
        <v>0</v>
      </c>
      <c r="O19" s="18" t="n">
        <v>0</v>
      </c>
      <c r="P19" s="20" t="n">
        <v>0</v>
      </c>
      <c r="Q19" s="18" t="n">
        <v>0.16762391</v>
      </c>
      <c r="R19" s="20" t="n">
        <v>0.15684395</v>
      </c>
    </row>
    <row r="20" spans="1:18">
      <c r="A20" s="15" t="s">
        <v>578</v>
      </c>
      <c r="B20" s="17" t="n">
        <v>1741</v>
      </c>
      <c r="C20" s="18">
        <f>(1387.0/B20*100)</f>
        <v/>
      </c>
      <c r="D20" s="19" t="n">
        <v>354</v>
      </c>
      <c r="E20" s="18" t="n">
        <v>23.03766412</v>
      </c>
      <c r="F20" s="20" t="n">
        <v>2.33618409</v>
      </c>
      <c r="G20" s="18" t="n">
        <v>75.83179833</v>
      </c>
      <c r="H20" s="20" t="n">
        <v>2.4408314</v>
      </c>
      <c r="I20" s="18" t="n">
        <v>0</v>
      </c>
      <c r="J20" s="20" t="n">
        <v>0</v>
      </c>
      <c r="K20" s="18" t="n">
        <v>0.88255929</v>
      </c>
      <c r="L20" s="20" t="n">
        <v>0.51066351</v>
      </c>
      <c r="M20" s="18" t="n">
        <v>0</v>
      </c>
      <c r="N20" s="20" t="n">
        <v>0</v>
      </c>
      <c r="O20" s="18" t="n">
        <v>0</v>
      </c>
      <c r="P20" s="20" t="n">
        <v>0</v>
      </c>
      <c r="Q20" s="18" t="n">
        <v>0.24797826</v>
      </c>
      <c r="R20" s="20" t="n">
        <v>0.24943663</v>
      </c>
    </row>
    <row r="21" spans="1:18">
      <c r="A21" s="15" t="s">
        <v>579</v>
      </c>
      <c r="B21" s="17" t="n">
        <v>2833</v>
      </c>
      <c r="C21" s="18">
        <f>(2221.0/B21*100)</f>
        <v/>
      </c>
      <c r="D21" s="19" t="n">
        <v>612</v>
      </c>
      <c r="E21" s="18" t="n">
        <v>17.04709899</v>
      </c>
      <c r="F21" s="20" t="n">
        <v>1.73242064</v>
      </c>
      <c r="G21" s="18" t="n">
        <v>81.95087535</v>
      </c>
      <c r="H21" s="20" t="n">
        <v>1.69941268</v>
      </c>
      <c r="I21" s="18" t="n">
        <v>0</v>
      </c>
      <c r="J21" s="20" t="n">
        <v>0</v>
      </c>
      <c r="K21" s="18" t="n">
        <v>0.59920967</v>
      </c>
      <c r="L21" s="20" t="n">
        <v>0.29463371</v>
      </c>
      <c r="M21" s="18" t="n">
        <v>0</v>
      </c>
      <c r="N21" s="20" t="n">
        <v>0</v>
      </c>
      <c r="O21" s="18" t="n">
        <v>0</v>
      </c>
      <c r="P21" s="20" t="n">
        <v>0</v>
      </c>
      <c r="Q21" s="18" t="n">
        <v>0.40281599</v>
      </c>
      <c r="R21" s="20" t="n">
        <v>0.28142686</v>
      </c>
    </row>
    <row r="22" spans="1:18">
      <c r="A22" s="15" t="s">
        <v>580</v>
      </c>
      <c r="B22" s="17" t="n">
        <v>3667</v>
      </c>
      <c r="C22" s="18">
        <f>(2902.0/B22*100)</f>
        <v/>
      </c>
      <c r="D22" s="19" t="n">
        <v>765</v>
      </c>
      <c r="E22" s="18" t="n">
        <v>35.74004087</v>
      </c>
      <c r="F22" s="20" t="n">
        <v>1.81242155</v>
      </c>
      <c r="G22" s="18" t="n">
        <v>60.69801377</v>
      </c>
      <c r="H22" s="20" t="n">
        <v>1.78032611</v>
      </c>
      <c r="I22" s="18" t="n">
        <v>0</v>
      </c>
      <c r="J22" s="20" t="n">
        <v>0</v>
      </c>
      <c r="K22" s="18" t="n">
        <v>2.68118204</v>
      </c>
      <c r="L22" s="20" t="n">
        <v>0.653707</v>
      </c>
      <c r="M22" s="18" t="n">
        <v>0</v>
      </c>
      <c r="N22" s="20" t="n">
        <v>0</v>
      </c>
      <c r="O22" s="18" t="n">
        <v>0</v>
      </c>
      <c r="P22" s="20" t="n">
        <v>0</v>
      </c>
      <c r="Q22" s="18" t="n">
        <v>0.88076332</v>
      </c>
      <c r="R22" s="20" t="n">
        <v>0.30487372</v>
      </c>
    </row>
    <row r="23" spans="1:18">
      <c r="A23" s="15" t="s">
        <v>581</v>
      </c>
      <c r="B23" s="17" t="n">
        <v>5792</v>
      </c>
      <c r="C23" s="18">
        <f>(4533.0/B23*100)</f>
        <v/>
      </c>
      <c r="D23" s="19" t="n">
        <v>1259</v>
      </c>
      <c r="E23" s="18" t="n">
        <v>12.87260304</v>
      </c>
      <c r="F23" s="20" t="n">
        <v>1.46329358</v>
      </c>
      <c r="G23" s="18" t="n">
        <v>83.89926259000001</v>
      </c>
      <c r="H23" s="20" t="n">
        <v>1.71664014</v>
      </c>
      <c r="I23" s="18" t="n">
        <v>0</v>
      </c>
      <c r="J23" s="20" t="n">
        <v>0</v>
      </c>
      <c r="K23" s="18" t="n">
        <v>2.36115181</v>
      </c>
      <c r="L23" s="20" t="n">
        <v>0.74390625</v>
      </c>
      <c r="M23" s="18" t="n">
        <v>0</v>
      </c>
      <c r="N23" s="20" t="n">
        <v>0</v>
      </c>
      <c r="O23" s="18" t="n">
        <v>0</v>
      </c>
      <c r="P23" s="20" t="n">
        <v>0</v>
      </c>
      <c r="Q23" s="18" t="n">
        <v>0.86698256</v>
      </c>
      <c r="R23" s="20" t="n">
        <v>0.37726112</v>
      </c>
    </row>
    <row r="24" spans="1:18">
      <c r="A24" s="15" t="s">
        <v>582</v>
      </c>
      <c r="B24" s="17" t="n">
        <v>3309</v>
      </c>
      <c r="C24" s="18">
        <f>(2575.0/B24*100)</f>
        <v/>
      </c>
      <c r="D24" s="19" t="n">
        <v>734</v>
      </c>
      <c r="E24" s="18" t="n">
        <v>7.77967836</v>
      </c>
      <c r="F24" s="20" t="n">
        <v>1.09070611</v>
      </c>
      <c r="G24" s="18" t="n">
        <v>91.8146866</v>
      </c>
      <c r="H24" s="20" t="n">
        <v>1.11243923</v>
      </c>
      <c r="I24" s="18" t="n">
        <v>0</v>
      </c>
      <c r="J24" s="20" t="n">
        <v>0</v>
      </c>
      <c r="K24" s="18" t="n">
        <v>0.26024973</v>
      </c>
      <c r="L24" s="20" t="n">
        <v>0.18476549</v>
      </c>
      <c r="M24" s="18" t="n">
        <v>0</v>
      </c>
      <c r="N24" s="20" t="n">
        <v>0</v>
      </c>
      <c r="O24" s="18" t="n">
        <v>0</v>
      </c>
      <c r="P24" s="20" t="n">
        <v>0</v>
      </c>
      <c r="Q24" s="18" t="n">
        <v>0.14538532</v>
      </c>
      <c r="R24" s="20" t="n">
        <v>0.12755232</v>
      </c>
    </row>
    <row r="25" spans="1:18">
      <c r="A25" s="15" t="s">
        <v>583</v>
      </c>
      <c r="B25" s="17" t="n">
        <v>2669</v>
      </c>
      <c r="C25" s="18">
        <f>(2075.0/B25*100)</f>
        <v/>
      </c>
      <c r="D25" s="19" t="n">
        <v>594</v>
      </c>
      <c r="E25" s="18" t="n">
        <v>8.3402925</v>
      </c>
      <c r="F25" s="20" t="n">
        <v>1.20071293</v>
      </c>
      <c r="G25" s="18" t="n">
        <v>91.6597075</v>
      </c>
      <c r="H25" s="20" t="n">
        <v>1.20071293</v>
      </c>
      <c r="I25" s="18" t="n">
        <v>0</v>
      </c>
      <c r="J25" s="20" t="n">
        <v>0</v>
      </c>
      <c r="K25" s="18" t="n">
        <v>0</v>
      </c>
      <c r="L25" s="20" t="n">
        <v>0</v>
      </c>
      <c r="M25" s="18" t="n">
        <v>0</v>
      </c>
      <c r="N25" s="20" t="n">
        <v>0</v>
      </c>
      <c r="O25" s="18" t="n">
        <v>0</v>
      </c>
      <c r="P25" s="20" t="n">
        <v>0</v>
      </c>
      <c r="Q25" s="18" t="n">
        <v>0</v>
      </c>
      <c r="R25" s="20" t="n">
        <v>0</v>
      </c>
    </row>
    <row r="26" spans="1:18">
      <c r="A26" s="15" t="s">
        <v>584</v>
      </c>
      <c r="B26" s="17" t="n">
        <v>2419</v>
      </c>
      <c r="C26" s="18">
        <f>(1898.0/B26*100)</f>
        <v/>
      </c>
      <c r="D26" s="19" t="n">
        <v>521</v>
      </c>
      <c r="E26" s="18" t="n">
        <v>17.41721807</v>
      </c>
      <c r="F26" s="20" t="n">
        <v>1.93092812</v>
      </c>
      <c r="G26" s="18" t="n">
        <v>82.43851644</v>
      </c>
      <c r="H26" s="20" t="n">
        <v>1.92996975</v>
      </c>
      <c r="I26" s="18" t="n">
        <v>0</v>
      </c>
      <c r="J26" s="20" t="n">
        <v>0</v>
      </c>
      <c r="K26" s="18" t="n">
        <v>0</v>
      </c>
      <c r="L26" s="20" t="n">
        <v>0</v>
      </c>
      <c r="M26" s="18" t="n">
        <v>0</v>
      </c>
      <c r="N26" s="20" t="n">
        <v>0</v>
      </c>
      <c r="O26" s="18" t="n">
        <v>0</v>
      </c>
      <c r="P26" s="20" t="n">
        <v>0</v>
      </c>
      <c r="Q26" s="18" t="n">
        <v>0.14426549</v>
      </c>
      <c r="R26" s="20" t="n">
        <v>0.14380708</v>
      </c>
    </row>
    <row r="27" spans="1:18">
      <c r="A27" s="15" t="s">
        <v>585</v>
      </c>
      <c r="B27" s="17" t="n">
        <v>2683</v>
      </c>
      <c r="C27" s="18">
        <f>(2144.0/B27*100)</f>
        <v/>
      </c>
      <c r="D27" s="19" t="n">
        <v>539</v>
      </c>
      <c r="E27" s="18" t="n">
        <v>19.11808203</v>
      </c>
      <c r="F27" s="20" t="n">
        <v>1.63352555</v>
      </c>
      <c r="G27" s="18" t="n">
        <v>78.65897744999999</v>
      </c>
      <c r="H27" s="20" t="n">
        <v>1.79023421</v>
      </c>
      <c r="I27" s="18" t="n">
        <v>0</v>
      </c>
      <c r="J27" s="20" t="n">
        <v>0</v>
      </c>
      <c r="K27" s="18" t="n">
        <v>1.30968225</v>
      </c>
      <c r="L27" s="20" t="n">
        <v>0.48847268</v>
      </c>
      <c r="M27" s="18" t="n">
        <v>0</v>
      </c>
      <c r="N27" s="20" t="n">
        <v>0</v>
      </c>
      <c r="O27" s="18" t="n">
        <v>0</v>
      </c>
      <c r="P27" s="20" t="n">
        <v>0</v>
      </c>
      <c r="Q27" s="18" t="n">
        <v>0.91325826</v>
      </c>
      <c r="R27" s="20" t="n">
        <v>0.41196024</v>
      </c>
    </row>
    <row r="28" spans="1:18">
      <c r="A28" s="15" t="s">
        <v>586</v>
      </c>
      <c r="B28" s="17" t="n">
        <v>3803</v>
      </c>
      <c r="C28" s="18">
        <f>(3097.0/B28*100)</f>
        <v/>
      </c>
      <c r="D28" s="19" t="n">
        <v>706</v>
      </c>
      <c r="E28" s="18" t="n">
        <v>33.30868638</v>
      </c>
      <c r="F28" s="20" t="n">
        <v>1.79583849</v>
      </c>
      <c r="G28" s="18" t="n">
        <v>62.39801898</v>
      </c>
      <c r="H28" s="20" t="n">
        <v>1.96291751</v>
      </c>
      <c r="I28" s="18" t="n">
        <v>0</v>
      </c>
      <c r="J28" s="20" t="n">
        <v>0</v>
      </c>
      <c r="K28" s="18" t="n">
        <v>2.54487108</v>
      </c>
      <c r="L28" s="20" t="n">
        <v>1.10234383</v>
      </c>
      <c r="M28" s="18" t="n">
        <v>0</v>
      </c>
      <c r="N28" s="20" t="n">
        <v>0</v>
      </c>
      <c r="O28" s="18" t="n">
        <v>0</v>
      </c>
      <c r="P28" s="20" t="n">
        <v>0</v>
      </c>
      <c r="Q28" s="18" t="n">
        <v>1.74842355</v>
      </c>
      <c r="R28" s="20" t="n">
        <v>0.64454782</v>
      </c>
    </row>
    <row r="29" spans="1:18">
      <c r="A29" s="15" t="s">
        <v>587</v>
      </c>
      <c r="B29" s="17" t="n">
        <v>2700</v>
      </c>
      <c r="C29" s="18">
        <f>(2127.0/B29*100)</f>
        <v/>
      </c>
      <c r="D29" s="19" t="n">
        <v>573</v>
      </c>
      <c r="E29" s="18" t="n">
        <v>17.47096063</v>
      </c>
      <c r="F29" s="20" t="n">
        <v>1.62749502</v>
      </c>
      <c r="G29" s="18" t="n">
        <v>82.37257700000001</v>
      </c>
      <c r="H29" s="20" t="n">
        <v>1.63200521</v>
      </c>
      <c r="I29" s="18" t="n">
        <v>0</v>
      </c>
      <c r="J29" s="20" t="n">
        <v>0</v>
      </c>
      <c r="K29" s="18" t="n">
        <v>0.15646237</v>
      </c>
      <c r="L29" s="20" t="n">
        <v>0.14745982</v>
      </c>
      <c r="M29" s="18" t="n">
        <v>0</v>
      </c>
      <c r="N29" s="20" t="n">
        <v>0</v>
      </c>
      <c r="O29" s="18" t="n">
        <v>0</v>
      </c>
      <c r="P29" s="20" t="n">
        <v>0</v>
      </c>
      <c r="Q29" s="18" t="n">
        <v>0</v>
      </c>
      <c r="R29" s="20" t="n">
        <v>0</v>
      </c>
    </row>
    <row r="30" spans="1:18">
      <c r="A30" s="15" t="s">
        <v>588</v>
      </c>
      <c r="B30" s="17" t="n">
        <v>2257</v>
      </c>
      <c r="C30" s="18">
        <f>(1800.0/B30*100)</f>
        <v/>
      </c>
      <c r="D30" s="19" t="n">
        <v>457</v>
      </c>
      <c r="E30" s="18" t="n">
        <v>15.58074471</v>
      </c>
      <c r="F30" s="20" t="n">
        <v>1.89373459</v>
      </c>
      <c r="G30" s="18" t="n">
        <v>82.48034303999999</v>
      </c>
      <c r="H30" s="20" t="n">
        <v>1.88703758</v>
      </c>
      <c r="I30" s="18" t="n">
        <v>0</v>
      </c>
      <c r="J30" s="20" t="n">
        <v>0</v>
      </c>
      <c r="K30" s="18" t="n">
        <v>0.8507794400000001</v>
      </c>
      <c r="L30" s="20" t="n">
        <v>0.45514736</v>
      </c>
      <c r="M30" s="18" t="n">
        <v>0</v>
      </c>
      <c r="N30" s="20" t="n">
        <v>0</v>
      </c>
      <c r="O30" s="18" t="n">
        <v>0</v>
      </c>
      <c r="P30" s="20" t="n">
        <v>0</v>
      </c>
      <c r="Q30" s="18" t="n">
        <v>1.08813282</v>
      </c>
      <c r="R30" s="20" t="n">
        <v>0.65969909</v>
      </c>
    </row>
    <row r="31" spans="1:18">
      <c r="A31" s="15" t="s">
        <v>589</v>
      </c>
      <c r="B31" s="17" t="n">
        <v>2706</v>
      </c>
      <c r="C31" s="18">
        <f>(2146.0/B31*100)</f>
        <v/>
      </c>
      <c r="D31" s="19" t="n">
        <v>560</v>
      </c>
      <c r="E31" s="18" t="n">
        <v>21.91830785</v>
      </c>
      <c r="F31" s="20" t="n">
        <v>1.93344251</v>
      </c>
      <c r="G31" s="18" t="n">
        <v>75.76504783</v>
      </c>
      <c r="H31" s="20" t="n">
        <v>1.83281071</v>
      </c>
      <c r="I31" s="18" t="n">
        <v>0</v>
      </c>
      <c r="J31" s="20" t="n">
        <v>0</v>
      </c>
      <c r="K31" s="18" t="n">
        <v>2.31664433</v>
      </c>
      <c r="L31" s="20" t="n">
        <v>0.74253766</v>
      </c>
      <c r="M31" s="18" t="n">
        <v>0</v>
      </c>
      <c r="N31" s="20" t="n">
        <v>0</v>
      </c>
      <c r="O31" s="18" t="n">
        <v>0</v>
      </c>
      <c r="P31" s="20" t="n">
        <v>0</v>
      </c>
      <c r="Q31" s="18" t="n">
        <v>0</v>
      </c>
      <c r="R31" s="20" t="n">
        <v>0</v>
      </c>
    </row>
    <row r="32" spans="1:18">
      <c r="A32" s="15" t="s">
        <v>590</v>
      </c>
      <c r="B32" s="17" t="n">
        <v>2209</v>
      </c>
      <c r="C32" s="18">
        <f>(1694.0/B32*100)</f>
        <v/>
      </c>
      <c r="D32" s="19" t="n">
        <v>515</v>
      </c>
      <c r="E32" s="18" t="n">
        <v>10.15237843</v>
      </c>
      <c r="F32" s="20" t="n">
        <v>1.35164491</v>
      </c>
      <c r="G32" s="18" t="n">
        <v>89.65417352</v>
      </c>
      <c r="H32" s="20" t="n">
        <v>1.3650325</v>
      </c>
      <c r="I32" s="18" t="n">
        <v>0</v>
      </c>
      <c r="J32" s="20" t="n">
        <v>0</v>
      </c>
      <c r="K32" s="18" t="n">
        <v>0.19344805</v>
      </c>
      <c r="L32" s="20" t="n">
        <v>0.17964325</v>
      </c>
      <c r="M32" s="18" t="n">
        <v>0</v>
      </c>
      <c r="N32" s="20" t="n">
        <v>0</v>
      </c>
      <c r="O32" s="18" t="n">
        <v>0</v>
      </c>
      <c r="P32" s="20" t="n">
        <v>0</v>
      </c>
      <c r="Q32" s="18" t="n">
        <v>0</v>
      </c>
      <c r="R32" s="20" t="n">
        <v>0</v>
      </c>
    </row>
    <row r="33" spans="1:18">
      <c r="A33" s="15" t="s">
        <v>591</v>
      </c>
      <c r="B33" s="17" t="n">
        <v>3651</v>
      </c>
      <c r="C33" s="18">
        <f>(2876.0/B33*100)</f>
        <v/>
      </c>
      <c r="D33" s="19" t="n">
        <v>775</v>
      </c>
      <c r="E33" s="18" t="n">
        <v>17.41678483</v>
      </c>
      <c r="F33" s="20" t="n">
        <v>1.7588631</v>
      </c>
      <c r="G33" s="18" t="n">
        <v>80.57343715</v>
      </c>
      <c r="H33" s="20" t="n">
        <v>1.84727301</v>
      </c>
      <c r="I33" s="18" t="n">
        <v>0</v>
      </c>
      <c r="J33" s="20" t="n">
        <v>0</v>
      </c>
      <c r="K33" s="18" t="n">
        <v>1.99988059</v>
      </c>
      <c r="L33" s="20" t="n">
        <v>0.6982261</v>
      </c>
      <c r="M33" s="18" t="n">
        <v>0</v>
      </c>
      <c r="N33" s="20" t="n">
        <v>0</v>
      </c>
      <c r="O33" s="18" t="n">
        <v>0</v>
      </c>
      <c r="P33" s="20" t="n">
        <v>0</v>
      </c>
      <c r="Q33" s="18" t="n">
        <v>0.00989743</v>
      </c>
      <c r="R33" s="20" t="n">
        <v>0.00991272</v>
      </c>
    </row>
    <row r="34" spans="1:18">
      <c r="A34" s="15" t="s">
        <v>592</v>
      </c>
      <c r="B34" s="17" t="n">
        <v>3035</v>
      </c>
      <c r="C34" s="18">
        <f>(2446.0/B34*100)</f>
        <v/>
      </c>
      <c r="D34" s="19" t="n">
        <v>589</v>
      </c>
      <c r="E34" s="18" t="n">
        <v>22.59914279</v>
      </c>
      <c r="F34" s="20" t="n">
        <v>1.83292099</v>
      </c>
      <c r="G34" s="18" t="n">
        <v>76.08642764</v>
      </c>
      <c r="H34" s="20" t="n">
        <v>1.82218714</v>
      </c>
      <c r="I34" s="18" t="n">
        <v>0</v>
      </c>
      <c r="J34" s="20" t="n">
        <v>0</v>
      </c>
      <c r="K34" s="18" t="n">
        <v>0.74385472</v>
      </c>
      <c r="L34" s="20" t="n">
        <v>0.36905905</v>
      </c>
      <c r="M34" s="18" t="n">
        <v>0</v>
      </c>
      <c r="N34" s="20" t="n">
        <v>0</v>
      </c>
      <c r="O34" s="18" t="n">
        <v>0</v>
      </c>
      <c r="P34" s="20" t="n">
        <v>0</v>
      </c>
      <c r="Q34" s="18" t="n">
        <v>0.57057485</v>
      </c>
      <c r="R34" s="20" t="n">
        <v>0.25333005</v>
      </c>
    </row>
    <row r="35" spans="1:18">
      <c r="A35" s="15" t="s">
        <v>593</v>
      </c>
      <c r="B35" s="17" t="n">
        <v>2901</v>
      </c>
      <c r="C35" s="18">
        <f>(2287.0/B35*100)</f>
        <v/>
      </c>
      <c r="D35" s="19" t="n">
        <v>614</v>
      </c>
      <c r="E35" s="18" t="n">
        <v>14.60647064</v>
      </c>
      <c r="F35" s="20" t="n">
        <v>1.56137717</v>
      </c>
      <c r="G35" s="18" t="n">
        <v>84.19410471</v>
      </c>
      <c r="H35" s="20" t="n">
        <v>1.64420166</v>
      </c>
      <c r="I35" s="18" t="n">
        <v>0</v>
      </c>
      <c r="J35" s="20" t="n">
        <v>0</v>
      </c>
      <c r="K35" s="18" t="n">
        <v>1.05203992</v>
      </c>
      <c r="L35" s="20" t="n">
        <v>0.58427238</v>
      </c>
      <c r="M35" s="18" t="n">
        <v>0</v>
      </c>
      <c r="N35" s="20" t="n">
        <v>0</v>
      </c>
      <c r="O35" s="18" t="n">
        <v>0</v>
      </c>
      <c r="P35" s="20" t="n">
        <v>0</v>
      </c>
      <c r="Q35" s="18" t="n">
        <v>0.14738474</v>
      </c>
      <c r="R35" s="20" t="n">
        <v>0.14847896</v>
      </c>
    </row>
    <row r="36" spans="1:18">
      <c r="A36" s="15" t="s">
        <v>594</v>
      </c>
      <c r="B36" s="17" t="n">
        <v>3404</v>
      </c>
      <c r="C36" s="18">
        <f>(2658.0/B36*100)</f>
        <v/>
      </c>
      <c r="D36" s="19" t="n">
        <v>746</v>
      </c>
      <c r="E36" s="18" t="n">
        <v>17.96197238</v>
      </c>
      <c r="F36" s="20" t="n">
        <v>1.57007923</v>
      </c>
      <c r="G36" s="18" t="n">
        <v>80.73817108999999</v>
      </c>
      <c r="H36" s="20" t="n">
        <v>1.53110439</v>
      </c>
      <c r="I36" s="18" t="n">
        <v>0</v>
      </c>
      <c r="J36" s="20" t="n">
        <v>0</v>
      </c>
      <c r="K36" s="18" t="n">
        <v>1.14976755</v>
      </c>
      <c r="L36" s="20" t="n">
        <v>0.4194212</v>
      </c>
      <c r="M36" s="18" t="n">
        <v>0</v>
      </c>
      <c r="N36" s="20" t="n">
        <v>0</v>
      </c>
      <c r="O36" s="18" t="n">
        <v>0</v>
      </c>
      <c r="P36" s="20" t="n">
        <v>0</v>
      </c>
      <c r="Q36" s="18" t="n">
        <v>0.15008898</v>
      </c>
      <c r="R36" s="20" t="n">
        <v>0.15640664</v>
      </c>
    </row>
    <row r="37" spans="1:18">
      <c r="A37" s="15" t="s">
        <v>595</v>
      </c>
      <c r="B37" s="17" t="n">
        <v>2731</v>
      </c>
      <c r="C37" s="18">
        <f>(2164.0/B37*100)</f>
        <v/>
      </c>
      <c r="D37" s="19" t="n">
        <v>567</v>
      </c>
      <c r="E37" s="18" t="n">
        <v>28.57128563</v>
      </c>
      <c r="F37" s="20" t="n">
        <v>1.85243535</v>
      </c>
      <c r="G37" s="18" t="n">
        <v>68.22307187</v>
      </c>
      <c r="H37" s="20" t="n">
        <v>2.00338506</v>
      </c>
      <c r="I37" s="18" t="n">
        <v>0</v>
      </c>
      <c r="J37" s="20" t="n">
        <v>0</v>
      </c>
      <c r="K37" s="18" t="n">
        <v>2.6158929</v>
      </c>
      <c r="L37" s="20" t="n">
        <v>0.72196179</v>
      </c>
      <c r="M37" s="18" t="n">
        <v>0</v>
      </c>
      <c r="N37" s="20" t="n">
        <v>0</v>
      </c>
      <c r="O37" s="18" t="n">
        <v>0</v>
      </c>
      <c r="P37" s="20" t="n">
        <v>0</v>
      </c>
      <c r="Q37" s="18" t="n">
        <v>0.5897496</v>
      </c>
      <c r="R37" s="20" t="n">
        <v>0.32318903</v>
      </c>
    </row>
    <row r="38" spans="1:18">
      <c r="A38" s="15" t="s">
        <v>596</v>
      </c>
      <c r="B38" s="17" t="n">
        <v>2807</v>
      </c>
      <c r="C38" s="18">
        <f>(2197.0/B38*100)</f>
        <v/>
      </c>
      <c r="D38" s="19" t="n">
        <v>610</v>
      </c>
      <c r="E38" s="18" t="n">
        <v>17.89718027</v>
      </c>
      <c r="F38" s="20" t="n">
        <v>1.61082118</v>
      </c>
      <c r="G38" s="18" t="n">
        <v>80.72785254</v>
      </c>
      <c r="H38" s="20" t="n">
        <v>1.63074546</v>
      </c>
      <c r="I38" s="18" t="n">
        <v>0</v>
      </c>
      <c r="J38" s="20" t="n">
        <v>0</v>
      </c>
      <c r="K38" s="18" t="n">
        <v>1.37496719</v>
      </c>
      <c r="L38" s="20" t="n">
        <v>0.52435954</v>
      </c>
      <c r="M38" s="18" t="n">
        <v>0</v>
      </c>
      <c r="N38" s="20" t="n">
        <v>0</v>
      </c>
      <c r="O38" s="18" t="n">
        <v>0</v>
      </c>
      <c r="P38" s="20" t="n">
        <v>0</v>
      </c>
      <c r="Q38" s="18" t="n">
        <v>0</v>
      </c>
      <c r="R38" s="20" t="n">
        <v>0</v>
      </c>
    </row>
    <row r="39" spans="1:18">
      <c r="A39" s="15" t="s">
        <v>597</v>
      </c>
      <c r="B39" s="17" t="n">
        <v>2938</v>
      </c>
      <c r="C39" s="18">
        <f>(2259.0/B39*100)</f>
        <v/>
      </c>
      <c r="D39" s="19" t="n">
        <v>679</v>
      </c>
      <c r="E39" s="18" t="n">
        <v>38.44148981</v>
      </c>
      <c r="F39" s="20" t="n">
        <v>1.68071869</v>
      </c>
      <c r="G39" s="18" t="n">
        <v>60.10878186</v>
      </c>
      <c r="H39" s="20" t="n">
        <v>1.82171036</v>
      </c>
      <c r="I39" s="18" t="n">
        <v>0</v>
      </c>
      <c r="J39" s="20" t="n">
        <v>0</v>
      </c>
      <c r="K39" s="18" t="n">
        <v>0.3202899</v>
      </c>
      <c r="L39" s="20" t="n">
        <v>0.20321918</v>
      </c>
      <c r="M39" s="18" t="n">
        <v>0</v>
      </c>
      <c r="N39" s="20" t="n">
        <v>0</v>
      </c>
      <c r="O39" s="18" t="n">
        <v>0</v>
      </c>
      <c r="P39" s="20" t="n">
        <v>0</v>
      </c>
      <c r="Q39" s="18" t="n">
        <v>1.12943842</v>
      </c>
      <c r="R39" s="20" t="n">
        <v>0.40969661</v>
      </c>
    </row>
    <row r="40" spans="1:18">
      <c r="A40" s="15" t="s">
        <v>598</v>
      </c>
      <c r="B40" s="17" t="n">
        <v>6922</v>
      </c>
      <c r="C40" s="18">
        <f>(5396.0/B40*100)</f>
        <v/>
      </c>
      <c r="D40" s="19" t="n">
        <v>1526</v>
      </c>
      <c r="E40" s="18" t="n">
        <v>16.87040926</v>
      </c>
      <c r="F40" s="20" t="n">
        <v>1.43256059</v>
      </c>
      <c r="G40" s="18" t="n">
        <v>81.36115343</v>
      </c>
      <c r="H40" s="20" t="n">
        <v>1.38086873</v>
      </c>
      <c r="I40" s="18" t="n">
        <v>0</v>
      </c>
      <c r="J40" s="20" t="n">
        <v>0</v>
      </c>
      <c r="K40" s="18" t="n">
        <v>1.58511414</v>
      </c>
      <c r="L40" s="20" t="n">
        <v>0.51818766</v>
      </c>
      <c r="M40" s="18" t="n">
        <v>0</v>
      </c>
      <c r="N40" s="20" t="n">
        <v>0</v>
      </c>
      <c r="O40" s="18" t="n">
        <v>0</v>
      </c>
      <c r="P40" s="20" t="n">
        <v>0</v>
      </c>
      <c r="Q40" s="18" t="n">
        <v>0.18332317</v>
      </c>
      <c r="R40" s="20" t="n">
        <v>0.10097108</v>
      </c>
    </row>
    <row r="41" spans="1:18">
      <c r="A41" s="15" t="s">
        <v>599</v>
      </c>
      <c r="B41" s="17" t="n">
        <v>2854</v>
      </c>
      <c r="C41" s="18">
        <f>(2257.0/B41*100)</f>
        <v/>
      </c>
      <c r="D41" s="19" t="n">
        <v>597</v>
      </c>
      <c r="E41" s="18" t="n">
        <v>21.39728185</v>
      </c>
      <c r="F41" s="20" t="n">
        <v>1.75893086</v>
      </c>
      <c r="G41" s="18" t="n">
        <v>77.59955196999999</v>
      </c>
      <c r="H41" s="20" t="n">
        <v>1.78030583</v>
      </c>
      <c r="I41" s="18" t="n">
        <v>0</v>
      </c>
      <c r="J41" s="20" t="n">
        <v>0</v>
      </c>
      <c r="K41" s="18" t="n">
        <v>0.56107894</v>
      </c>
      <c r="L41" s="20" t="n">
        <v>0.31991466</v>
      </c>
      <c r="M41" s="18" t="n">
        <v>0</v>
      </c>
      <c r="N41" s="20" t="n">
        <v>0</v>
      </c>
      <c r="O41" s="18" t="n">
        <v>0</v>
      </c>
      <c r="P41" s="20" t="n">
        <v>0</v>
      </c>
      <c r="Q41" s="18" t="n">
        <v>0.44208723</v>
      </c>
      <c r="R41" s="20" t="n">
        <v>0.2277248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(10241.0/B46*100)</f>
        <v/>
      </c>
      <c r="D46" s="19" t="n">
        <v>1832</v>
      </c>
      <c r="E46" s="18" t="n">
        <v>30.46649774</v>
      </c>
      <c r="F46" s="20" t="n">
        <v>1.58732046</v>
      </c>
      <c r="G46" s="18" t="n">
        <v>61.60964812</v>
      </c>
      <c r="H46" s="20" t="n">
        <v>1.58036645</v>
      </c>
      <c r="I46" s="18" t="n">
        <v>0</v>
      </c>
      <c r="J46" s="20" t="n">
        <v>0</v>
      </c>
      <c r="K46" s="18" t="n">
        <v>4.00241058</v>
      </c>
      <c r="L46" s="20" t="n">
        <v>0.78970788</v>
      </c>
      <c r="M46" s="18" t="n">
        <v>0</v>
      </c>
      <c r="N46" s="20" t="n">
        <v>0</v>
      </c>
      <c r="O46" s="18" t="n">
        <v>0</v>
      </c>
      <c r="P46" s="20" t="n">
        <v>0</v>
      </c>
      <c r="Q46" s="18" t="n">
        <v>3.92144356</v>
      </c>
      <c r="R46" s="20" t="n">
        <v>0.57032594</v>
      </c>
    </row>
    <row r="47" spans="1:18">
      <c r="A47" s="15" t="s">
        <v>606</v>
      </c>
      <c r="B47" s="17" t="n">
        <v>2823</v>
      </c>
      <c r="C47" s="18">
        <f>(2239.0/B47*100)</f>
        <v/>
      </c>
      <c r="D47" s="19" t="n">
        <v>584</v>
      </c>
      <c r="E47" s="18" t="n">
        <v>23.33626051</v>
      </c>
      <c r="F47" s="20" t="n">
        <v>2.1137777</v>
      </c>
      <c r="G47" s="18" t="n">
        <v>72.93905051</v>
      </c>
      <c r="H47" s="20" t="n">
        <v>2.36094379</v>
      </c>
      <c r="I47" s="18" t="n">
        <v>0</v>
      </c>
      <c r="J47" s="20" t="n">
        <v>0</v>
      </c>
      <c r="K47" s="18" t="n">
        <v>2.68306678</v>
      </c>
      <c r="L47" s="20" t="n">
        <v>0.73665766</v>
      </c>
      <c r="M47" s="18" t="n">
        <v>0</v>
      </c>
      <c r="N47" s="20" t="n">
        <v>0</v>
      </c>
      <c r="O47" s="18" t="n">
        <v>0</v>
      </c>
      <c r="P47" s="20" t="n">
        <v>0</v>
      </c>
      <c r="Q47" s="18" t="n">
        <v>1.0416222</v>
      </c>
      <c r="R47" s="20" t="n">
        <v>0.43715032</v>
      </c>
    </row>
    <row r="48" spans="1:18">
      <c r="A48" s="15" t="s">
        <v>607</v>
      </c>
      <c r="B48" s="17" t="n">
        <v>4682</v>
      </c>
      <c r="C48" s="18">
        <f>(3659.0/B48*100)</f>
        <v/>
      </c>
      <c r="D48" s="19" t="n">
        <v>1023</v>
      </c>
      <c r="E48" s="18" t="n">
        <v>36.30803243</v>
      </c>
      <c r="F48" s="20" t="n">
        <v>1.99273753</v>
      </c>
      <c r="G48" s="18" t="n">
        <v>61.93945028</v>
      </c>
      <c r="H48" s="20" t="n">
        <v>1.93272132</v>
      </c>
      <c r="I48" s="18" t="n">
        <v>0</v>
      </c>
      <c r="J48" s="20" t="n">
        <v>0</v>
      </c>
      <c r="K48" s="18" t="n">
        <v>1.32577251</v>
      </c>
      <c r="L48" s="20" t="n">
        <v>0.55464235</v>
      </c>
      <c r="M48" s="18" t="n">
        <v>0</v>
      </c>
      <c r="N48" s="20" t="n">
        <v>0</v>
      </c>
      <c r="O48" s="18" t="n">
        <v>0</v>
      </c>
      <c r="P48" s="20" t="n">
        <v>0</v>
      </c>
      <c r="Q48" s="18" t="n">
        <v>0.42674478</v>
      </c>
      <c r="R48" s="20" t="n">
        <v>0.24929709</v>
      </c>
    </row>
    <row r="49" spans="1:18">
      <c r="A49" s="15" t="s">
        <v>608</v>
      </c>
      <c r="B49" s="17" t="n">
        <v>6158</v>
      </c>
      <c r="C49" s="18">
        <f>(4906.0/B49*100)</f>
        <v/>
      </c>
      <c r="D49" s="19" t="n">
        <v>1252</v>
      </c>
      <c r="E49" s="18" t="n">
        <v>38.53785259</v>
      </c>
      <c r="F49" s="20" t="n">
        <v>2.07382552</v>
      </c>
      <c r="G49" s="18" t="n">
        <v>56.56486519</v>
      </c>
      <c r="H49" s="20" t="n">
        <v>2.08760416</v>
      </c>
      <c r="I49" s="18" t="n">
        <v>0</v>
      </c>
      <c r="J49" s="20" t="n">
        <v>0</v>
      </c>
      <c r="K49" s="18" t="n">
        <v>3.38047649</v>
      </c>
      <c r="L49" s="20" t="n">
        <v>0.63192046</v>
      </c>
      <c r="M49" s="18" t="n">
        <v>0</v>
      </c>
      <c r="N49" s="20" t="n">
        <v>0</v>
      </c>
      <c r="O49" s="18" t="n">
        <v>0</v>
      </c>
      <c r="P49" s="20" t="n">
        <v>0</v>
      </c>
      <c r="Q49" s="18" t="n">
        <v>1.51680573</v>
      </c>
      <c r="R49" s="20" t="n">
        <v>0.53818731</v>
      </c>
    </row>
    <row r="50" spans="1:18">
      <c r="A50" s="15" t="s">
        <v>609</v>
      </c>
      <c r="B50" s="17" t="n">
        <v>3494</v>
      </c>
      <c r="C50" s="18">
        <f>(2863.0/B50*100)</f>
        <v/>
      </c>
      <c r="D50" s="19" t="n">
        <v>631</v>
      </c>
      <c r="E50" s="18" t="n">
        <v>33.88312587</v>
      </c>
      <c r="F50" s="20" t="n">
        <v>2.07241145</v>
      </c>
      <c r="G50" s="18" t="n">
        <v>64.2608063</v>
      </c>
      <c r="H50" s="20" t="n">
        <v>2.08434476</v>
      </c>
      <c r="I50" s="18" t="n">
        <v>0</v>
      </c>
      <c r="J50" s="20" t="n">
        <v>0</v>
      </c>
      <c r="K50" s="18" t="n">
        <v>0.60993274</v>
      </c>
      <c r="L50" s="20" t="n">
        <v>0.27758644</v>
      </c>
      <c r="M50" s="18" t="n">
        <v>0</v>
      </c>
      <c r="N50" s="20" t="n">
        <v>0</v>
      </c>
      <c r="O50" s="18" t="n">
        <v>0</v>
      </c>
      <c r="P50" s="20" t="n">
        <v>0</v>
      </c>
      <c r="Q50" s="18" t="n">
        <v>1.24613509</v>
      </c>
      <c r="R50" s="20" t="n">
        <v>0.49630337</v>
      </c>
    </row>
    <row r="51" spans="1:18">
      <c r="A51" s="15" t="s">
        <v>610</v>
      </c>
      <c r="B51" s="17" t="n">
        <v>3013</v>
      </c>
      <c r="C51" s="18">
        <f>(2352.0/B51*100)</f>
        <v/>
      </c>
      <c r="D51" s="19" t="n">
        <v>661</v>
      </c>
      <c r="E51" s="18" t="n">
        <v>23.72198728</v>
      </c>
      <c r="F51" s="20" t="n">
        <v>1.71600574</v>
      </c>
      <c r="G51" s="18" t="n">
        <v>74.91621849000001</v>
      </c>
      <c r="H51" s="20" t="n">
        <v>1.74874183</v>
      </c>
      <c r="I51" s="18" t="n">
        <v>0</v>
      </c>
      <c r="J51" s="20" t="n">
        <v>0</v>
      </c>
      <c r="K51" s="18" t="n">
        <v>0.31862616</v>
      </c>
      <c r="L51" s="20" t="n">
        <v>0.20843041</v>
      </c>
      <c r="M51" s="18" t="n">
        <v>0</v>
      </c>
      <c r="N51" s="20" t="n">
        <v>0</v>
      </c>
      <c r="O51" s="18" t="n">
        <v>0</v>
      </c>
      <c r="P51" s="20" t="n">
        <v>0</v>
      </c>
      <c r="Q51" s="18" t="n">
        <v>1.04316807</v>
      </c>
      <c r="R51" s="20" t="n">
        <v>0.50631568</v>
      </c>
    </row>
    <row r="52" spans="1:18">
      <c r="A52" s="15" t="s">
        <v>611</v>
      </c>
      <c r="B52" s="17" t="n">
        <v>2760</v>
      </c>
      <c r="C52" s="18">
        <f>(2153.0/B52*100)</f>
        <v/>
      </c>
      <c r="D52" s="19" t="n">
        <v>607</v>
      </c>
      <c r="E52" s="18" t="n">
        <v>29.18706839</v>
      </c>
      <c r="F52" s="20" t="n">
        <v>1.69842444</v>
      </c>
      <c r="G52" s="18" t="n">
        <v>69.05302549</v>
      </c>
      <c r="H52" s="20" t="n">
        <v>1.74698673</v>
      </c>
      <c r="I52" s="18" t="n">
        <v>0</v>
      </c>
      <c r="J52" s="20" t="n">
        <v>0</v>
      </c>
      <c r="K52" s="18" t="n">
        <v>1.19635038</v>
      </c>
      <c r="L52" s="20" t="n">
        <v>0.46267004</v>
      </c>
      <c r="M52" s="18" t="n">
        <v>0</v>
      </c>
      <c r="N52" s="20" t="n">
        <v>0</v>
      </c>
      <c r="O52" s="18" t="n">
        <v>0</v>
      </c>
      <c r="P52" s="20" t="n">
        <v>0</v>
      </c>
      <c r="Q52" s="18" t="n">
        <v>0.56355574</v>
      </c>
      <c r="R52" s="20" t="n">
        <v>0.28477119</v>
      </c>
    </row>
    <row r="53" spans="1:18">
      <c r="A53" s="15" t="s">
        <v>612</v>
      </c>
      <c r="B53" s="17" t="n">
        <v>2474</v>
      </c>
      <c r="C53" s="18">
        <f>(1955.0/B53*100)</f>
        <v/>
      </c>
      <c r="D53" s="19" t="n">
        <v>519</v>
      </c>
      <c r="E53" s="18" t="n">
        <v>35.75239844</v>
      </c>
      <c r="F53" s="20" t="n">
        <v>2.29111636</v>
      </c>
      <c r="G53" s="18" t="n">
        <v>33.54322988</v>
      </c>
      <c r="H53" s="20" t="n">
        <v>2.33518457</v>
      </c>
      <c r="I53" s="18" t="n">
        <v>0</v>
      </c>
      <c r="J53" s="20" t="n">
        <v>0</v>
      </c>
      <c r="K53" s="18" t="n">
        <v>19.56881259</v>
      </c>
      <c r="L53" s="20" t="n">
        <v>2.30766786</v>
      </c>
      <c r="M53" s="18" t="n">
        <v>0</v>
      </c>
      <c r="N53" s="20" t="n">
        <v>0</v>
      </c>
      <c r="O53" s="18" t="n">
        <v>0</v>
      </c>
      <c r="P53" s="20" t="n">
        <v>0</v>
      </c>
      <c r="Q53" s="18" t="n">
        <v>11.13555908</v>
      </c>
      <c r="R53" s="20" t="n">
        <v>1.50923141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(2084.0/B55*100)</f>
        <v/>
      </c>
      <c r="D55" s="19" t="n">
        <v>591</v>
      </c>
      <c r="E55" s="18" t="n">
        <v>9.939098830000001</v>
      </c>
      <c r="F55" s="20" t="n">
        <v>1.24373719</v>
      </c>
      <c r="G55" s="18" t="n">
        <v>89.42535472</v>
      </c>
      <c r="H55" s="20" t="n">
        <v>1.31300649</v>
      </c>
      <c r="I55" s="18" t="n">
        <v>0</v>
      </c>
      <c r="J55" s="20" t="n">
        <v>0</v>
      </c>
      <c r="K55" s="18" t="n">
        <v>0.52054824</v>
      </c>
      <c r="L55" s="20" t="n">
        <v>0.36269834</v>
      </c>
      <c r="M55" s="18" t="n">
        <v>0</v>
      </c>
      <c r="N55" s="20" t="n">
        <v>0</v>
      </c>
      <c r="O55" s="18" t="n">
        <v>0</v>
      </c>
      <c r="P55" s="20" t="n">
        <v>0</v>
      </c>
      <c r="Q55" s="18" t="n">
        <v>0.11499821</v>
      </c>
      <c r="R55" s="20" t="n">
        <v>0.11303131</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(2497.0/B61*100)</f>
        <v/>
      </c>
      <c r="D61" s="19" t="n">
        <v>704</v>
      </c>
      <c r="E61" s="18" t="n">
        <v>23.28624531</v>
      </c>
      <c r="F61" s="20" t="n">
        <v>1.90509787</v>
      </c>
      <c r="G61" s="18" t="n">
        <v>75.78829475000001</v>
      </c>
      <c r="H61" s="20" t="n">
        <v>1.95197391</v>
      </c>
      <c r="I61" s="18" t="n">
        <v>0</v>
      </c>
      <c r="J61" s="20" t="n">
        <v>0</v>
      </c>
      <c r="K61" s="18" t="n">
        <v>0.53527051</v>
      </c>
      <c r="L61" s="20" t="n">
        <v>0.30323539</v>
      </c>
      <c r="M61" s="18" t="n">
        <v>0</v>
      </c>
      <c r="N61" s="20" t="n">
        <v>0</v>
      </c>
      <c r="O61" s="18" t="n">
        <v>0</v>
      </c>
      <c r="P61" s="20" t="n">
        <v>0</v>
      </c>
      <c r="Q61" s="18" t="n">
        <v>0.39018944</v>
      </c>
      <c r="R61" s="20" t="n">
        <v>0.23706893</v>
      </c>
    </row>
    <row r="62" spans="1:18">
      <c r="A62" s="15" t="s">
        <v>622</v>
      </c>
      <c r="B62" s="17" t="n">
        <v>2230</v>
      </c>
      <c r="C62" s="18">
        <f>(1758.0/B62*100)</f>
        <v/>
      </c>
      <c r="D62" s="19" t="n">
        <v>472</v>
      </c>
      <c r="E62" s="18" t="n">
        <v>10.61450001</v>
      </c>
      <c r="F62" s="20" t="n">
        <v>1.40500129</v>
      </c>
      <c r="G62" s="18" t="n">
        <v>89.38549999</v>
      </c>
      <c r="H62" s="20" t="n">
        <v>1.40500129</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(2217.0/B67*100)</f>
        <v/>
      </c>
      <c r="D67" s="19" t="n">
        <v>554</v>
      </c>
      <c r="E67" s="18" t="n">
        <v>21.80410329</v>
      </c>
      <c r="F67" s="20" t="n">
        <v>1.83567003</v>
      </c>
      <c r="G67" s="18" t="n">
        <v>73.35810189999999</v>
      </c>
      <c r="H67" s="20" t="n">
        <v>1.7411769</v>
      </c>
      <c r="I67" s="18" t="n">
        <v>0</v>
      </c>
      <c r="J67" s="20" t="n">
        <v>0</v>
      </c>
      <c r="K67" s="18" t="n">
        <v>2.58271241</v>
      </c>
      <c r="L67" s="20" t="n">
        <v>0.74919966</v>
      </c>
      <c r="M67" s="18" t="n">
        <v>0</v>
      </c>
      <c r="N67" s="20" t="n">
        <v>0</v>
      </c>
      <c r="O67" s="18" t="n">
        <v>0</v>
      </c>
      <c r="P67" s="20" t="n">
        <v>0</v>
      </c>
      <c r="Q67" s="18" t="n">
        <v>2.25508239</v>
      </c>
      <c r="R67" s="20" t="n">
        <v>0.582013</v>
      </c>
    </row>
    <row r="68" spans="1:18">
      <c r="A68" s="15" t="s">
        <v>628</v>
      </c>
      <c r="B68" s="17" t="n">
        <v>3460</v>
      </c>
      <c r="C68" s="18">
        <f>(2874.0/B68*100)</f>
        <v/>
      </c>
      <c r="D68" s="19" t="n">
        <v>586</v>
      </c>
      <c r="E68" s="18" t="n">
        <v>38.88121843</v>
      </c>
      <c r="F68" s="20" t="n">
        <v>1.96606351</v>
      </c>
      <c r="G68" s="18" t="n">
        <v>57.56873573</v>
      </c>
      <c r="H68" s="20" t="n">
        <v>1.97477784</v>
      </c>
      <c r="I68" s="18" t="n">
        <v>0</v>
      </c>
      <c r="J68" s="20" t="n">
        <v>0</v>
      </c>
      <c r="K68" s="18" t="n">
        <v>0.64056165</v>
      </c>
      <c r="L68" s="20" t="n">
        <v>0.31849568</v>
      </c>
      <c r="M68" s="18" t="n">
        <v>0</v>
      </c>
      <c r="N68" s="20" t="n">
        <v>0</v>
      </c>
      <c r="O68" s="18" t="n">
        <v>0</v>
      </c>
      <c r="P68" s="20" t="n">
        <v>0</v>
      </c>
      <c r="Q68" s="18" t="n">
        <v>2.90948418</v>
      </c>
      <c r="R68" s="20" t="n">
        <v>0.64943991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(4722.0/B70*100)</f>
        <v/>
      </c>
      <c r="D70" s="19" t="n">
        <v>1312</v>
      </c>
      <c r="E70" s="18" t="n">
        <v>32.69809109</v>
      </c>
      <c r="F70" s="20" t="n">
        <v>1.29339883</v>
      </c>
      <c r="G70" s="18" t="n">
        <v>62.33716993</v>
      </c>
      <c r="H70" s="20" t="n">
        <v>1.30400005</v>
      </c>
      <c r="I70" s="18" t="n">
        <v>0</v>
      </c>
      <c r="J70" s="20" t="n">
        <v>0</v>
      </c>
      <c r="K70" s="18" t="n">
        <v>3.89881249</v>
      </c>
      <c r="L70" s="20" t="n">
        <v>0.60319612</v>
      </c>
      <c r="M70" s="18" t="n">
        <v>0</v>
      </c>
      <c r="N70" s="20" t="n">
        <v>0</v>
      </c>
      <c r="O70" s="18" t="n">
        <v>0</v>
      </c>
      <c r="P70" s="20" t="n">
        <v>0</v>
      </c>
      <c r="Q70" s="18" t="n">
        <v>1.0659265</v>
      </c>
      <c r="R70" s="20" t="n">
        <v>0.28569996</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(2483.0/B72*100)</f>
        <v/>
      </c>
      <c r="D72" s="19" t="n">
        <v>624</v>
      </c>
      <c r="E72" s="18" t="n">
        <v>13.62081941</v>
      </c>
      <c r="F72" s="20" t="n">
        <v>1.16482466</v>
      </c>
      <c r="G72" s="18" t="n">
        <v>84.62433416</v>
      </c>
      <c r="H72" s="20" t="n">
        <v>1.34307105</v>
      </c>
      <c r="I72" s="18" t="n">
        <v>0</v>
      </c>
      <c r="J72" s="20" t="n">
        <v>0</v>
      </c>
      <c r="K72" s="18" t="n">
        <v>0.78150897</v>
      </c>
      <c r="L72" s="20" t="n">
        <v>0.31926548</v>
      </c>
      <c r="M72" s="18" t="n">
        <v>0</v>
      </c>
      <c r="N72" s="20" t="n">
        <v>0</v>
      </c>
      <c r="O72" s="18" t="n">
        <v>0</v>
      </c>
      <c r="P72" s="20" t="n">
        <v>0</v>
      </c>
      <c r="Q72" s="18" t="n">
        <v>0.97333745</v>
      </c>
      <c r="R72" s="20" t="n">
        <v>0.49266082</v>
      </c>
    </row>
    <row r="73" spans="1:18">
      <c r="A73" s="15" t="s">
        <v>633</v>
      </c>
      <c r="B73" s="17" t="n">
        <v>2973</v>
      </c>
      <c r="C73" s="18">
        <f>(2314.0/B73*100)</f>
        <v/>
      </c>
      <c r="D73" s="19" t="n">
        <v>659</v>
      </c>
      <c r="E73" s="18" t="n">
        <v>11.11785373</v>
      </c>
      <c r="F73" s="20" t="n">
        <v>1.3041621</v>
      </c>
      <c r="G73" s="18" t="n">
        <v>88.24244559</v>
      </c>
      <c r="H73" s="20" t="n">
        <v>1.30051461</v>
      </c>
      <c r="I73" s="18" t="n">
        <v>0</v>
      </c>
      <c r="J73" s="20" t="n">
        <v>0</v>
      </c>
      <c r="K73" s="18" t="n">
        <v>0.34672855</v>
      </c>
      <c r="L73" s="20" t="n">
        <v>0.24466875</v>
      </c>
      <c r="M73" s="18" t="n">
        <v>0</v>
      </c>
      <c r="N73" s="20" t="n">
        <v>0</v>
      </c>
      <c r="O73" s="18" t="n">
        <v>0</v>
      </c>
      <c r="P73" s="20" t="n">
        <v>0</v>
      </c>
      <c r="Q73" s="18" t="n">
        <v>0.29297213</v>
      </c>
      <c r="R73" s="20" t="n">
        <v>0.20336375</v>
      </c>
    </row>
    <row r="74" spans="1:18">
      <c r="A74" s="15" t="s">
        <v>634</v>
      </c>
      <c r="B74" s="17" t="n">
        <v>3819</v>
      </c>
      <c r="C74" s="18">
        <f>(2933.0/B74*100)</f>
        <v/>
      </c>
      <c r="D74" s="19" t="n">
        <v>886</v>
      </c>
      <c r="E74" s="18" t="n">
        <v>13.85881922</v>
      </c>
      <c r="F74" s="20" t="n">
        <v>1.01155132</v>
      </c>
      <c r="G74" s="18" t="n">
        <v>85.96698196</v>
      </c>
      <c r="H74" s="20" t="n">
        <v>1.00551562</v>
      </c>
      <c r="I74" s="18" t="n">
        <v>0</v>
      </c>
      <c r="J74" s="20" t="n">
        <v>0</v>
      </c>
      <c r="K74" s="18" t="n">
        <v>0.17419882</v>
      </c>
      <c r="L74" s="20" t="n">
        <v>0.24841018</v>
      </c>
      <c r="M74" s="18" t="n">
        <v>0</v>
      </c>
      <c r="N74" s="20" t="n">
        <v>0</v>
      </c>
      <c r="O74" s="18" t="n">
        <v>0</v>
      </c>
      <c r="P74" s="20" t="n">
        <v>0</v>
      </c>
      <c r="Q74" s="18" t="n">
        <v>0</v>
      </c>
      <c r="R74" s="20" t="n">
        <v>0</v>
      </c>
    </row>
    <row r="75" spans="1:18">
      <c r="A75" s="15" t="s">
        <v>635</v>
      </c>
      <c r="B75" s="17" t="n">
        <v>4652</v>
      </c>
      <c r="C75" s="18">
        <f>(3676.0/B75*100)</f>
        <v/>
      </c>
      <c r="D75" s="19" t="n">
        <v>976</v>
      </c>
      <c r="E75" s="18" t="n">
        <v>28.13865823</v>
      </c>
      <c r="F75" s="20" t="n">
        <v>1.61104389</v>
      </c>
      <c r="G75" s="18" t="n">
        <v>71.26389327</v>
      </c>
      <c r="H75" s="20" t="n">
        <v>1.63580717</v>
      </c>
      <c r="I75" s="18" t="n">
        <v>0</v>
      </c>
      <c r="J75" s="20" t="n">
        <v>0</v>
      </c>
      <c r="K75" s="18" t="n">
        <v>0.14602458</v>
      </c>
      <c r="L75" s="20" t="n">
        <v>0.1430937</v>
      </c>
      <c r="M75" s="18" t="n">
        <v>0</v>
      </c>
      <c r="N75" s="20" t="n">
        <v>0</v>
      </c>
      <c r="O75" s="18" t="n">
        <v>0</v>
      </c>
      <c r="P75" s="20" t="n">
        <v>0</v>
      </c>
      <c r="Q75" s="18" t="n">
        <v>0.45142392</v>
      </c>
      <c r="R75" s="20" t="n">
        <v>0.25701651</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(2387.0/B77*100)</f>
        <v/>
      </c>
      <c r="D77" s="19" t="n">
        <v>582</v>
      </c>
      <c r="E77" s="18" t="n">
        <v>34.64394438</v>
      </c>
      <c r="F77" s="20" t="n">
        <v>1.9556039</v>
      </c>
      <c r="G77" s="18" t="n">
        <v>54.26343591</v>
      </c>
      <c r="H77" s="20" t="n">
        <v>2.2321253</v>
      </c>
      <c r="I77" s="18" t="n">
        <v>0</v>
      </c>
      <c r="J77" s="20" t="n">
        <v>0</v>
      </c>
      <c r="K77" s="18" t="n">
        <v>8.346272150000001</v>
      </c>
      <c r="L77" s="20" t="n">
        <v>1.32931796</v>
      </c>
      <c r="M77" s="18" t="n">
        <v>0</v>
      </c>
      <c r="N77" s="20" t="n">
        <v>0</v>
      </c>
      <c r="O77" s="18" t="n">
        <v>0</v>
      </c>
      <c r="P77" s="20" t="n">
        <v>0</v>
      </c>
      <c r="Q77" s="18" t="n">
        <v>2.74634756</v>
      </c>
      <c r="R77" s="20" t="n">
        <v>0.70199366</v>
      </c>
    </row>
    <row r="78" spans="1:18">
      <c r="A78" s="15" t="s">
        <v>638</v>
      </c>
      <c r="B78" s="17" t="n">
        <v>7115</v>
      </c>
      <c r="C78" s="18">
        <f>(5551.0/B78*100)</f>
        <v/>
      </c>
      <c r="D78" s="19" t="n">
        <v>1564</v>
      </c>
      <c r="E78" s="18" t="n">
        <v>25.81027146</v>
      </c>
      <c r="F78" s="20" t="n">
        <v>1.39394935</v>
      </c>
      <c r="G78" s="18" t="n">
        <v>71.90524566000001</v>
      </c>
      <c r="H78" s="20" t="n">
        <v>1.43960378</v>
      </c>
      <c r="I78" s="18" t="n">
        <v>0</v>
      </c>
      <c r="J78" s="20" t="n">
        <v>0</v>
      </c>
      <c r="K78" s="18" t="n">
        <v>1.94455734</v>
      </c>
      <c r="L78" s="20" t="n">
        <v>0.52271084</v>
      </c>
      <c r="M78" s="18" t="n">
        <v>0</v>
      </c>
      <c r="N78" s="20" t="n">
        <v>0</v>
      </c>
      <c r="O78" s="18" t="n">
        <v>0</v>
      </c>
      <c r="P78" s="20" t="n">
        <v>0</v>
      </c>
      <c r="Q78" s="18" t="n">
        <v>0.33992554</v>
      </c>
      <c r="R78" s="20" t="n">
        <v>0.14512209</v>
      </c>
    </row>
    <row r="79" spans="1:18">
      <c r="A79" s="15" t="s">
        <v>639</v>
      </c>
      <c r="B79" s="17" t="n">
        <v>3154</v>
      </c>
      <c r="C79" s="18">
        <f>(2530.0/B79*100)</f>
        <v/>
      </c>
      <c r="D79" s="19" t="n">
        <v>624</v>
      </c>
      <c r="E79" s="18" t="n">
        <v>18.99381291</v>
      </c>
      <c r="F79" s="20" t="n">
        <v>1.69183971</v>
      </c>
      <c r="G79" s="18" t="n">
        <v>76.15270232</v>
      </c>
      <c r="H79" s="20" t="n">
        <v>1.85794548</v>
      </c>
      <c r="I79" s="18" t="n">
        <v>0</v>
      </c>
      <c r="J79" s="20" t="n">
        <v>0</v>
      </c>
      <c r="K79" s="18" t="n">
        <v>3.06242877</v>
      </c>
      <c r="L79" s="20" t="n">
        <v>0.81548837</v>
      </c>
      <c r="M79" s="18" t="n">
        <v>0</v>
      </c>
      <c r="N79" s="20" t="n">
        <v>0</v>
      </c>
      <c r="O79" s="18" t="n">
        <v>0</v>
      </c>
      <c r="P79" s="20" t="n">
        <v>0</v>
      </c>
      <c r="Q79" s="18" t="n">
        <v>1.791056</v>
      </c>
      <c r="R79" s="20" t="n">
        <v>0.5455166299999999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(12553.0/B82*100)</f>
        <v/>
      </c>
      <c r="D82" s="19" t="n">
        <v>3408</v>
      </c>
      <c r="E82" s="18" t="n">
        <v>16.14273711</v>
      </c>
      <c r="F82" s="20" t="n">
        <v>0.87373365</v>
      </c>
      <c r="G82" s="18" t="n">
        <v>82.75075443</v>
      </c>
      <c r="H82" s="20" t="n">
        <v>0.88901157</v>
      </c>
      <c r="I82" s="18" t="n">
        <v>0</v>
      </c>
      <c r="J82" s="20" t="n">
        <v>0</v>
      </c>
      <c r="K82" s="18" t="n">
        <v>0.8079522</v>
      </c>
      <c r="L82" s="20" t="n">
        <v>0.22617884</v>
      </c>
      <c r="M82" s="18" t="n">
        <v>0</v>
      </c>
      <c r="N82" s="20" t="n">
        <v>0</v>
      </c>
      <c r="O82" s="18" t="n">
        <v>0</v>
      </c>
      <c r="P82" s="20" t="n">
        <v>0</v>
      </c>
      <c r="Q82" s="18" t="n">
        <v>0.29855626</v>
      </c>
      <c r="R82" s="20" t="n">
        <v>0.13614123</v>
      </c>
    </row>
    <row r="83" spans="1:18">
      <c r="A83" s="15" t="s">
        <v>643</v>
      </c>
      <c r="B83" s="17" t="n">
        <v>808</v>
      </c>
      <c r="C83" s="18">
        <f>(652.0/B83*100)</f>
        <v/>
      </c>
      <c r="D83" s="19" t="n">
        <v>156</v>
      </c>
      <c r="E83" s="18" t="n">
        <v>13.49125981</v>
      </c>
      <c r="F83" s="20" t="n">
        <v>3.06076557</v>
      </c>
      <c r="G83" s="18" t="n">
        <v>86.50874019</v>
      </c>
      <c r="H83" s="20" t="n">
        <v>3.06076557</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(746.0/B84*100)</f>
        <v/>
      </c>
      <c r="D84" s="19" t="n">
        <v>192</v>
      </c>
      <c r="E84" s="18" t="n">
        <v>21.82827403</v>
      </c>
      <c r="F84" s="20" t="n">
        <v>2.92334646</v>
      </c>
      <c r="G84" s="18" t="n">
        <v>77.60400697</v>
      </c>
      <c r="H84" s="20" t="n">
        <v>2.96985648</v>
      </c>
      <c r="I84" s="18" t="n">
        <v>0</v>
      </c>
      <c r="J84" s="20" t="n">
        <v>0</v>
      </c>
      <c r="K84" s="18" t="n">
        <v>0.567719</v>
      </c>
      <c r="L84" s="20" t="n">
        <v>0.56799424</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(5671.0/B7*100)</f>
        <v/>
      </c>
      <c r="D7" s="19" t="n">
        <v>1492</v>
      </c>
      <c r="E7" s="18" t="n">
        <v>67.57240124</v>
      </c>
      <c r="F7" s="20" t="n">
        <v>1.55341809</v>
      </c>
      <c r="G7" s="18" t="n">
        <v>30.66723137</v>
      </c>
      <c r="H7" s="20" t="n">
        <v>1.49404385</v>
      </c>
      <c r="I7" s="18" t="n">
        <v>0</v>
      </c>
      <c r="J7" s="20" t="n">
        <v>0</v>
      </c>
      <c r="K7" s="18" t="n">
        <v>1.38013204</v>
      </c>
      <c r="L7" s="20" t="n">
        <v>0.36769564</v>
      </c>
      <c r="M7" s="18" t="n">
        <v>0</v>
      </c>
      <c r="N7" s="20" t="n">
        <v>0</v>
      </c>
      <c r="O7" s="18" t="n">
        <v>0</v>
      </c>
      <c r="P7" s="20" t="n">
        <v>0</v>
      </c>
      <c r="Q7" s="18" t="n">
        <v>0.38023535</v>
      </c>
      <c r="R7" s="20" t="n">
        <v>0.14283206</v>
      </c>
    </row>
    <row r="8" spans="1:18">
      <c r="A8" s="15" t="s">
        <v>566</v>
      </c>
      <c r="B8" s="17" t="n">
        <v>3443</v>
      </c>
      <c r="C8" s="18">
        <f>(2688.0/B8*100)</f>
        <v/>
      </c>
      <c r="D8" s="19" t="n">
        <v>755</v>
      </c>
      <c r="E8" s="18" t="n">
        <v>48.44851138</v>
      </c>
      <c r="F8" s="20" t="n">
        <v>2.06600746</v>
      </c>
      <c r="G8" s="18" t="n">
        <v>50.00927636</v>
      </c>
      <c r="H8" s="20" t="n">
        <v>2.13940397</v>
      </c>
      <c r="I8" s="18" t="n">
        <v>0</v>
      </c>
      <c r="J8" s="20" t="n">
        <v>0</v>
      </c>
      <c r="K8" s="18" t="n">
        <v>1.2636409</v>
      </c>
      <c r="L8" s="20" t="n">
        <v>0.46006862</v>
      </c>
      <c r="M8" s="18" t="n">
        <v>0</v>
      </c>
      <c r="N8" s="20" t="n">
        <v>0</v>
      </c>
      <c r="O8" s="18" t="n">
        <v>0</v>
      </c>
      <c r="P8" s="20" t="n">
        <v>0</v>
      </c>
      <c r="Q8" s="18" t="n">
        <v>0.27857136</v>
      </c>
      <c r="R8" s="20" t="n">
        <v>0.31177123</v>
      </c>
    </row>
    <row r="9" spans="1:18">
      <c r="A9" s="15" t="s">
        <v>567</v>
      </c>
      <c r="B9" s="17" t="n">
        <v>4752</v>
      </c>
      <c r="C9" s="18">
        <f>(3805.0/B9*100)</f>
        <v/>
      </c>
      <c r="D9" s="19" t="n">
        <v>947</v>
      </c>
      <c r="E9" s="18" t="n">
        <v>60.01441123</v>
      </c>
      <c r="F9" s="20" t="n">
        <v>1.73365805</v>
      </c>
      <c r="G9" s="18" t="n">
        <v>36.54600357</v>
      </c>
      <c r="H9" s="20" t="n">
        <v>1.80133282</v>
      </c>
      <c r="I9" s="18" t="n">
        <v>0</v>
      </c>
      <c r="J9" s="20" t="n">
        <v>0</v>
      </c>
      <c r="K9" s="18" t="n">
        <v>2.52054882</v>
      </c>
      <c r="L9" s="20" t="n">
        <v>0.53091688</v>
      </c>
      <c r="M9" s="18" t="n">
        <v>0</v>
      </c>
      <c r="N9" s="20" t="n">
        <v>0</v>
      </c>
      <c r="O9" s="18" t="n">
        <v>0</v>
      </c>
      <c r="P9" s="20" t="n">
        <v>0</v>
      </c>
      <c r="Q9" s="18" t="n">
        <v>0.91903639</v>
      </c>
      <c r="R9" s="20" t="n">
        <v>0.27690492</v>
      </c>
    </row>
    <row r="10" spans="1:18">
      <c r="A10" s="15" t="s">
        <v>568</v>
      </c>
      <c r="B10" s="17" t="n">
        <v>10022</v>
      </c>
      <c r="C10" s="18">
        <f>(7854.0/B10*100)</f>
        <v/>
      </c>
      <c r="D10" s="19" t="n">
        <v>2168</v>
      </c>
      <c r="E10" s="18" t="n">
        <v>62.60399555</v>
      </c>
      <c r="F10" s="20" t="n">
        <v>1.48362295</v>
      </c>
      <c r="G10" s="18" t="n">
        <v>35.51164396</v>
      </c>
      <c r="H10" s="20" t="n">
        <v>1.46930166</v>
      </c>
      <c r="I10" s="18" t="n">
        <v>0</v>
      </c>
      <c r="J10" s="20" t="n">
        <v>0</v>
      </c>
      <c r="K10" s="18" t="n">
        <v>1.42133712</v>
      </c>
      <c r="L10" s="20" t="n">
        <v>0.39693008</v>
      </c>
      <c r="M10" s="18" t="n">
        <v>0</v>
      </c>
      <c r="N10" s="20" t="n">
        <v>0</v>
      </c>
      <c r="O10" s="18" t="n">
        <v>0</v>
      </c>
      <c r="P10" s="20" t="n">
        <v>0</v>
      </c>
      <c r="Q10" s="18" t="n">
        <v>0.46302336</v>
      </c>
      <c r="R10" s="20" t="n">
        <v>0.17856207</v>
      </c>
    </row>
    <row r="11" spans="1:18">
      <c r="A11" s="15" t="s">
        <v>569</v>
      </c>
      <c r="B11" s="17" t="n">
        <v>3500</v>
      </c>
      <c r="C11" s="18">
        <f>(2762.0/B11*100)</f>
        <v/>
      </c>
      <c r="D11" s="19" t="n">
        <v>738</v>
      </c>
      <c r="E11" s="18" t="n">
        <v>71.75053062000001</v>
      </c>
      <c r="F11" s="20" t="n">
        <v>1.7966586</v>
      </c>
      <c r="G11" s="18" t="n">
        <v>21.82345399</v>
      </c>
      <c r="H11" s="20" t="n">
        <v>1.62704029</v>
      </c>
      <c r="I11" s="18" t="n">
        <v>0</v>
      </c>
      <c r="J11" s="20" t="n">
        <v>0</v>
      </c>
      <c r="K11" s="18" t="n">
        <v>5.31039546</v>
      </c>
      <c r="L11" s="20" t="n">
        <v>0.99768676</v>
      </c>
      <c r="M11" s="18" t="n">
        <v>0</v>
      </c>
      <c r="N11" s="20" t="n">
        <v>0</v>
      </c>
      <c r="O11" s="18" t="n">
        <v>0</v>
      </c>
      <c r="P11" s="20" t="n">
        <v>0</v>
      </c>
      <c r="Q11" s="18" t="n">
        <v>1.11561992</v>
      </c>
      <c r="R11" s="20" t="n">
        <v>0.48200864</v>
      </c>
    </row>
    <row r="12" spans="1:18">
      <c r="A12" s="15" t="s">
        <v>570</v>
      </c>
      <c r="B12" s="17" t="n">
        <v>3422</v>
      </c>
      <c r="C12" s="18">
        <f>(2707.0/B12*100)</f>
        <v/>
      </c>
      <c r="D12" s="19" t="n">
        <v>715</v>
      </c>
      <c r="E12" s="18" t="n">
        <v>57.93568858</v>
      </c>
      <c r="F12" s="20" t="n">
        <v>1.86529571</v>
      </c>
      <c r="G12" s="18" t="n">
        <v>38.75107305</v>
      </c>
      <c r="H12" s="20" t="n">
        <v>1.78364798</v>
      </c>
      <c r="I12" s="18" t="n">
        <v>0</v>
      </c>
      <c r="J12" s="20" t="n">
        <v>0</v>
      </c>
      <c r="K12" s="18" t="n">
        <v>1.55681758</v>
      </c>
      <c r="L12" s="20" t="n">
        <v>0.42363273</v>
      </c>
      <c r="M12" s="18" t="n">
        <v>0</v>
      </c>
      <c r="N12" s="20" t="n">
        <v>0</v>
      </c>
      <c r="O12" s="18" t="n">
        <v>0</v>
      </c>
      <c r="P12" s="20" t="n">
        <v>0</v>
      </c>
      <c r="Q12" s="18" t="n">
        <v>1.7564208</v>
      </c>
      <c r="R12" s="20" t="n">
        <v>0.65322902</v>
      </c>
    </row>
    <row r="13" spans="1:18">
      <c r="A13" s="15" t="s">
        <v>571</v>
      </c>
      <c r="B13" s="17" t="n">
        <v>3602</v>
      </c>
      <c r="C13" s="18">
        <f>(2875.0/B13*100)</f>
        <v/>
      </c>
      <c r="D13" s="19" t="n">
        <v>727</v>
      </c>
      <c r="E13" s="18" t="n">
        <v>61.54526216</v>
      </c>
      <c r="F13" s="20" t="n">
        <v>2.32609429</v>
      </c>
      <c r="G13" s="18" t="n">
        <v>36.23094956</v>
      </c>
      <c r="H13" s="20" t="n">
        <v>2.26936571</v>
      </c>
      <c r="I13" s="18" t="n">
        <v>0</v>
      </c>
      <c r="J13" s="20" t="n">
        <v>0</v>
      </c>
      <c r="K13" s="18" t="n">
        <v>1.76940794</v>
      </c>
      <c r="L13" s="20" t="n">
        <v>0.64844935</v>
      </c>
      <c r="M13" s="18" t="n">
        <v>0</v>
      </c>
      <c r="N13" s="20" t="n">
        <v>0</v>
      </c>
      <c r="O13" s="18" t="n">
        <v>0</v>
      </c>
      <c r="P13" s="20" t="n">
        <v>0</v>
      </c>
      <c r="Q13" s="18" t="n">
        <v>0.45438034</v>
      </c>
      <c r="R13" s="20" t="n">
        <v>0.27052571</v>
      </c>
    </row>
    <row r="14" spans="1:18">
      <c r="A14" s="15" t="s">
        <v>572</v>
      </c>
      <c r="B14" s="17" t="n">
        <v>2788</v>
      </c>
      <c r="C14" s="18">
        <f>(2196.0/B14*100)</f>
        <v/>
      </c>
      <c r="D14" s="19" t="n">
        <v>592</v>
      </c>
      <c r="E14" s="18" t="n">
        <v>56.00668152</v>
      </c>
      <c r="F14" s="20" t="n">
        <v>2.30894147</v>
      </c>
      <c r="G14" s="18" t="n">
        <v>42.91189847</v>
      </c>
      <c r="H14" s="20" t="n">
        <v>2.22990249</v>
      </c>
      <c r="I14" s="18" t="n">
        <v>0</v>
      </c>
      <c r="J14" s="20" t="n">
        <v>0</v>
      </c>
      <c r="K14" s="18" t="n">
        <v>0.79255178</v>
      </c>
      <c r="L14" s="20" t="n">
        <v>0.45256597</v>
      </c>
      <c r="M14" s="18" t="n">
        <v>0</v>
      </c>
      <c r="N14" s="20" t="n">
        <v>0</v>
      </c>
      <c r="O14" s="18" t="n">
        <v>0</v>
      </c>
      <c r="P14" s="20" t="n">
        <v>0</v>
      </c>
      <c r="Q14" s="18" t="n">
        <v>0.28886823</v>
      </c>
      <c r="R14" s="20" t="n">
        <v>0.20594522</v>
      </c>
    </row>
    <row r="15" spans="1:18">
      <c r="A15" s="15" t="s">
        <v>573</v>
      </c>
      <c r="B15" s="17" t="n">
        <v>2863</v>
      </c>
      <c r="C15" s="18">
        <f>(2231.0/B15*100)</f>
        <v/>
      </c>
      <c r="D15" s="19" t="n">
        <v>632</v>
      </c>
      <c r="E15" s="18" t="n">
        <v>62.31045203</v>
      </c>
      <c r="F15" s="20" t="n">
        <v>1.94791464</v>
      </c>
      <c r="G15" s="18" t="n">
        <v>36.6116114</v>
      </c>
      <c r="H15" s="20" t="n">
        <v>1.8707437</v>
      </c>
      <c r="I15" s="18" t="n">
        <v>0</v>
      </c>
      <c r="J15" s="20" t="n">
        <v>0</v>
      </c>
      <c r="K15" s="18" t="n">
        <v>0.79490648</v>
      </c>
      <c r="L15" s="20" t="n">
        <v>0.3801245</v>
      </c>
      <c r="M15" s="18" t="n">
        <v>0</v>
      </c>
      <c r="N15" s="20" t="n">
        <v>0</v>
      </c>
      <c r="O15" s="18" t="n">
        <v>0</v>
      </c>
      <c r="P15" s="20" t="n">
        <v>0</v>
      </c>
      <c r="Q15" s="18" t="n">
        <v>0.28303009</v>
      </c>
      <c r="R15" s="20" t="n">
        <v>0.2833588</v>
      </c>
    </row>
    <row r="16" spans="1:18">
      <c r="A16" s="15" t="s">
        <v>574</v>
      </c>
      <c r="B16" s="17" t="n">
        <v>3111</v>
      </c>
      <c r="C16" s="18">
        <f>(2445.0/B16*100)</f>
        <v/>
      </c>
      <c r="D16" s="19" t="n">
        <v>666</v>
      </c>
      <c r="E16" s="18" t="n">
        <v>57.71999341</v>
      </c>
      <c r="F16" s="20" t="n">
        <v>1.90076014</v>
      </c>
      <c r="G16" s="18" t="n">
        <v>38.40437989</v>
      </c>
      <c r="H16" s="20" t="n">
        <v>1.76036263</v>
      </c>
      <c r="I16" s="18" t="n">
        <v>0</v>
      </c>
      <c r="J16" s="20" t="n">
        <v>0</v>
      </c>
      <c r="K16" s="18" t="n">
        <v>2.48841338</v>
      </c>
      <c r="L16" s="20" t="n">
        <v>0.78850427</v>
      </c>
      <c r="M16" s="18" t="n">
        <v>0</v>
      </c>
      <c r="N16" s="20" t="n">
        <v>0</v>
      </c>
      <c r="O16" s="18" t="n">
        <v>0</v>
      </c>
      <c r="P16" s="20" t="n">
        <v>0</v>
      </c>
      <c r="Q16" s="18" t="n">
        <v>1.38721331</v>
      </c>
      <c r="R16" s="20" t="n">
        <v>0.42767406</v>
      </c>
    </row>
    <row r="17" spans="1:18">
      <c r="A17" s="15" t="s">
        <v>575</v>
      </c>
      <c r="B17" s="17" t="n">
        <v>3197</v>
      </c>
      <c r="C17" s="18">
        <f>(2570.0/B17*100)</f>
        <v/>
      </c>
      <c r="D17" s="19" t="n">
        <v>627</v>
      </c>
      <c r="E17" s="18" t="n">
        <v>52.15796269</v>
      </c>
      <c r="F17" s="20" t="n">
        <v>1.88864167</v>
      </c>
      <c r="G17" s="18" t="n">
        <v>45.42387898</v>
      </c>
      <c r="H17" s="20" t="n">
        <v>1.94391772</v>
      </c>
      <c r="I17" s="18" t="n">
        <v>0</v>
      </c>
      <c r="J17" s="20" t="n">
        <v>0</v>
      </c>
      <c r="K17" s="18" t="n">
        <v>1.61447923</v>
      </c>
      <c r="L17" s="20" t="n">
        <v>0.52702334</v>
      </c>
      <c r="M17" s="18" t="n">
        <v>0</v>
      </c>
      <c r="N17" s="20" t="n">
        <v>0</v>
      </c>
      <c r="O17" s="18" t="n">
        <v>0</v>
      </c>
      <c r="P17" s="20" t="n">
        <v>0</v>
      </c>
      <c r="Q17" s="18" t="n">
        <v>0.80367909</v>
      </c>
      <c r="R17" s="20" t="n">
        <v>0.43984332</v>
      </c>
    </row>
    <row r="18" spans="1:18">
      <c r="A18" s="15" t="s">
        <v>576</v>
      </c>
      <c r="B18" s="17" t="n">
        <v>2706</v>
      </c>
      <c r="C18" s="18">
        <f>(2119.0/B18*100)</f>
        <v/>
      </c>
      <c r="D18" s="19" t="n">
        <v>587</v>
      </c>
      <c r="E18" s="18" t="n">
        <v>69.85884596</v>
      </c>
      <c r="F18" s="20" t="n">
        <v>2.11043163</v>
      </c>
      <c r="G18" s="18" t="n">
        <v>26.14427102</v>
      </c>
      <c r="H18" s="20" t="n">
        <v>2.06560775</v>
      </c>
      <c r="I18" s="18" t="n">
        <v>0</v>
      </c>
      <c r="J18" s="20" t="n">
        <v>0</v>
      </c>
      <c r="K18" s="18" t="n">
        <v>2.93859193</v>
      </c>
      <c r="L18" s="20" t="n">
        <v>0.8416986</v>
      </c>
      <c r="M18" s="18" t="n">
        <v>0</v>
      </c>
      <c r="N18" s="20" t="n">
        <v>0</v>
      </c>
      <c r="O18" s="18" t="n">
        <v>0</v>
      </c>
      <c r="P18" s="20" t="n">
        <v>0</v>
      </c>
      <c r="Q18" s="18" t="n">
        <v>1.05829109</v>
      </c>
      <c r="R18" s="20" t="n">
        <v>0.71909318</v>
      </c>
    </row>
    <row r="19" spans="1:18">
      <c r="A19" s="15" t="s">
        <v>577</v>
      </c>
      <c r="B19" s="17" t="n">
        <v>2850</v>
      </c>
      <c r="C19" s="18">
        <f>(2272.0/B19*100)</f>
        <v/>
      </c>
      <c r="D19" s="19" t="n">
        <v>578</v>
      </c>
      <c r="E19" s="18" t="n">
        <v>59.43993964</v>
      </c>
      <c r="F19" s="20" t="n">
        <v>1.92819252</v>
      </c>
      <c r="G19" s="18" t="n">
        <v>39.01334314</v>
      </c>
      <c r="H19" s="20" t="n">
        <v>2.10172074</v>
      </c>
      <c r="I19" s="18" t="n">
        <v>0</v>
      </c>
      <c r="J19" s="20" t="n">
        <v>0</v>
      </c>
      <c r="K19" s="18" t="n">
        <v>1.17132931</v>
      </c>
      <c r="L19" s="20" t="n">
        <v>0.59799004</v>
      </c>
      <c r="M19" s="18" t="n">
        <v>0</v>
      </c>
      <c r="N19" s="20" t="n">
        <v>0</v>
      </c>
      <c r="O19" s="18" t="n">
        <v>0</v>
      </c>
      <c r="P19" s="20" t="n">
        <v>0</v>
      </c>
      <c r="Q19" s="18" t="n">
        <v>0.37538791</v>
      </c>
      <c r="R19" s="20" t="n">
        <v>0.30817092</v>
      </c>
    </row>
    <row r="20" spans="1:18">
      <c r="A20" s="15" t="s">
        <v>578</v>
      </c>
      <c r="B20" s="17" t="n">
        <v>1741</v>
      </c>
      <c r="C20" s="18">
        <f>(1389.0/B20*100)</f>
        <v/>
      </c>
      <c r="D20" s="19" t="n">
        <v>352</v>
      </c>
      <c r="E20" s="18" t="n">
        <v>77.21484249</v>
      </c>
      <c r="F20" s="20" t="n">
        <v>2.24410562</v>
      </c>
      <c r="G20" s="18" t="n">
        <v>19.86914983</v>
      </c>
      <c r="H20" s="20" t="n">
        <v>1.95327205</v>
      </c>
      <c r="I20" s="18" t="n">
        <v>0</v>
      </c>
      <c r="J20" s="20" t="n">
        <v>0</v>
      </c>
      <c r="K20" s="18" t="n">
        <v>1.46554127</v>
      </c>
      <c r="L20" s="20" t="n">
        <v>0.65775001</v>
      </c>
      <c r="M20" s="18" t="n">
        <v>0</v>
      </c>
      <c r="N20" s="20" t="n">
        <v>0</v>
      </c>
      <c r="O20" s="18" t="n">
        <v>0</v>
      </c>
      <c r="P20" s="20" t="n">
        <v>0</v>
      </c>
      <c r="Q20" s="18" t="n">
        <v>1.4504664</v>
      </c>
      <c r="R20" s="20" t="n">
        <v>0.6619102100000001</v>
      </c>
    </row>
    <row r="21" spans="1:18">
      <c r="A21" s="15" t="s">
        <v>579</v>
      </c>
      <c r="B21" s="17" t="n">
        <v>2833</v>
      </c>
      <c r="C21" s="18">
        <f>(2223.0/B21*100)</f>
        <v/>
      </c>
      <c r="D21" s="19" t="n">
        <v>610</v>
      </c>
      <c r="E21" s="18" t="n">
        <v>77.61480336</v>
      </c>
      <c r="F21" s="20" t="n">
        <v>1.91450841</v>
      </c>
      <c r="G21" s="18" t="n">
        <v>21.3940137</v>
      </c>
      <c r="H21" s="20" t="n">
        <v>1.87013542</v>
      </c>
      <c r="I21" s="18" t="n">
        <v>0</v>
      </c>
      <c r="J21" s="20" t="n">
        <v>0</v>
      </c>
      <c r="K21" s="18" t="n">
        <v>0.85482495</v>
      </c>
      <c r="L21" s="20" t="n">
        <v>0.34194959</v>
      </c>
      <c r="M21" s="18" t="n">
        <v>0</v>
      </c>
      <c r="N21" s="20" t="n">
        <v>0</v>
      </c>
      <c r="O21" s="18" t="n">
        <v>0</v>
      </c>
      <c r="P21" s="20" t="n">
        <v>0</v>
      </c>
      <c r="Q21" s="18" t="n">
        <v>0.13635799</v>
      </c>
      <c r="R21" s="20" t="n">
        <v>0.13712751</v>
      </c>
    </row>
    <row r="22" spans="1:18">
      <c r="A22" s="15" t="s">
        <v>580</v>
      </c>
      <c r="B22" s="17" t="n">
        <v>3667</v>
      </c>
      <c r="C22" s="18">
        <f>(2907.0/B22*100)</f>
        <v/>
      </c>
      <c r="D22" s="19" t="n">
        <v>760</v>
      </c>
      <c r="E22" s="18" t="n">
        <v>76.32479669999999</v>
      </c>
      <c r="F22" s="20" t="n">
        <v>1.83392293</v>
      </c>
      <c r="G22" s="18" t="n">
        <v>20.04696491</v>
      </c>
      <c r="H22" s="20" t="n">
        <v>1.730782</v>
      </c>
      <c r="I22" s="18" t="n">
        <v>0</v>
      </c>
      <c r="J22" s="20" t="n">
        <v>0</v>
      </c>
      <c r="K22" s="18" t="n">
        <v>2.85371195</v>
      </c>
      <c r="L22" s="20" t="n">
        <v>0.67190035</v>
      </c>
      <c r="M22" s="18" t="n">
        <v>0</v>
      </c>
      <c r="N22" s="20" t="n">
        <v>0</v>
      </c>
      <c r="O22" s="18" t="n">
        <v>0</v>
      </c>
      <c r="P22" s="20" t="n">
        <v>0</v>
      </c>
      <c r="Q22" s="18" t="n">
        <v>0.77452644</v>
      </c>
      <c r="R22" s="20" t="n">
        <v>0.31909967</v>
      </c>
    </row>
    <row r="23" spans="1:18">
      <c r="A23" s="15" t="s">
        <v>581</v>
      </c>
      <c r="B23" s="17" t="n">
        <v>5792</v>
      </c>
      <c r="C23" s="18">
        <f>(4542.0/B23*100)</f>
        <v/>
      </c>
      <c r="D23" s="19" t="n">
        <v>1250</v>
      </c>
      <c r="E23" s="18" t="n">
        <v>66.60345513</v>
      </c>
      <c r="F23" s="20" t="n">
        <v>2.03752602</v>
      </c>
      <c r="G23" s="18" t="n">
        <v>29.30400501</v>
      </c>
      <c r="H23" s="20" t="n">
        <v>1.80381826</v>
      </c>
      <c r="I23" s="18" t="n">
        <v>0</v>
      </c>
      <c r="J23" s="20" t="n">
        <v>0</v>
      </c>
      <c r="K23" s="18" t="n">
        <v>3.02503723</v>
      </c>
      <c r="L23" s="20" t="n">
        <v>0.8745118200000001</v>
      </c>
      <c r="M23" s="18" t="n">
        <v>0</v>
      </c>
      <c r="N23" s="20" t="n">
        <v>0</v>
      </c>
      <c r="O23" s="18" t="n">
        <v>0</v>
      </c>
      <c r="P23" s="20" t="n">
        <v>0</v>
      </c>
      <c r="Q23" s="18" t="n">
        <v>1.06750263</v>
      </c>
      <c r="R23" s="20" t="n">
        <v>0.45363155</v>
      </c>
    </row>
    <row r="24" spans="1:18">
      <c r="A24" s="15" t="s">
        <v>582</v>
      </c>
      <c r="B24" s="17" t="n">
        <v>3309</v>
      </c>
      <c r="C24" s="18">
        <f>(2582.0/B24*100)</f>
        <v/>
      </c>
      <c r="D24" s="19" t="n">
        <v>727</v>
      </c>
      <c r="E24" s="18" t="n">
        <v>50.72603426</v>
      </c>
      <c r="F24" s="20" t="n">
        <v>1.90762765</v>
      </c>
      <c r="G24" s="18" t="n">
        <v>48.41039765</v>
      </c>
      <c r="H24" s="20" t="n">
        <v>1.90020401</v>
      </c>
      <c r="I24" s="18" t="n">
        <v>0</v>
      </c>
      <c r="J24" s="20" t="n">
        <v>0</v>
      </c>
      <c r="K24" s="18" t="n">
        <v>0.26284427</v>
      </c>
      <c r="L24" s="20" t="n">
        <v>0.18656711</v>
      </c>
      <c r="M24" s="18" t="n">
        <v>0</v>
      </c>
      <c r="N24" s="20" t="n">
        <v>0</v>
      </c>
      <c r="O24" s="18" t="n">
        <v>0</v>
      </c>
      <c r="P24" s="20" t="n">
        <v>0</v>
      </c>
      <c r="Q24" s="18" t="n">
        <v>0.60072382</v>
      </c>
      <c r="R24" s="20" t="n">
        <v>0.29932215</v>
      </c>
    </row>
    <row r="25" spans="1:18">
      <c r="A25" s="15" t="s">
        <v>583</v>
      </c>
      <c r="B25" s="17" t="n">
        <v>2669</v>
      </c>
      <c r="C25" s="18">
        <f>(2075.0/B25*100)</f>
        <v/>
      </c>
      <c r="D25" s="19" t="n">
        <v>594</v>
      </c>
      <c r="E25" s="18" t="n">
        <v>73.99570921999999</v>
      </c>
      <c r="F25" s="20" t="n">
        <v>1.70871949</v>
      </c>
      <c r="G25" s="18" t="n">
        <v>25.98151406</v>
      </c>
      <c r="H25" s="20" t="n">
        <v>1.70608541</v>
      </c>
      <c r="I25" s="18" t="n">
        <v>0</v>
      </c>
      <c r="J25" s="20" t="n">
        <v>0</v>
      </c>
      <c r="K25" s="18" t="n">
        <v>0</v>
      </c>
      <c r="L25" s="20" t="n">
        <v>0</v>
      </c>
      <c r="M25" s="18" t="n">
        <v>0</v>
      </c>
      <c r="N25" s="20" t="n">
        <v>0</v>
      </c>
      <c r="O25" s="18" t="n">
        <v>0</v>
      </c>
      <c r="P25" s="20" t="n">
        <v>0</v>
      </c>
      <c r="Q25" s="18" t="n">
        <v>0.02277672</v>
      </c>
      <c r="R25" s="20" t="n">
        <v>0.02311608</v>
      </c>
    </row>
    <row r="26" spans="1:18">
      <c r="A26" s="15" t="s">
        <v>584</v>
      </c>
      <c r="B26" s="17" t="n">
        <v>2419</v>
      </c>
      <c r="C26" s="18">
        <f>(1899.0/B26*100)</f>
        <v/>
      </c>
      <c r="D26" s="19" t="n">
        <v>520</v>
      </c>
      <c r="E26" s="18" t="n">
        <v>63.08671976</v>
      </c>
      <c r="F26" s="20" t="n">
        <v>2.30980642</v>
      </c>
      <c r="G26" s="18" t="n">
        <v>36.5163237</v>
      </c>
      <c r="H26" s="20" t="n">
        <v>2.34440248</v>
      </c>
      <c r="I26" s="18" t="n">
        <v>0</v>
      </c>
      <c r="J26" s="20" t="n">
        <v>0</v>
      </c>
      <c r="K26" s="18" t="n">
        <v>0</v>
      </c>
      <c r="L26" s="20" t="n">
        <v>0</v>
      </c>
      <c r="M26" s="18" t="n">
        <v>0</v>
      </c>
      <c r="N26" s="20" t="n">
        <v>0</v>
      </c>
      <c r="O26" s="18" t="n">
        <v>0</v>
      </c>
      <c r="P26" s="20" t="n">
        <v>0</v>
      </c>
      <c r="Q26" s="18" t="n">
        <v>0.39695655</v>
      </c>
      <c r="R26" s="20" t="n">
        <v>0.29720925</v>
      </c>
    </row>
    <row r="27" spans="1:18">
      <c r="A27" s="15" t="s">
        <v>585</v>
      </c>
      <c r="B27" s="17" t="n">
        <v>2683</v>
      </c>
      <c r="C27" s="18">
        <f>(2152.0/B27*100)</f>
        <v/>
      </c>
      <c r="D27" s="19" t="n">
        <v>531</v>
      </c>
      <c r="E27" s="18" t="n">
        <v>61.13412558</v>
      </c>
      <c r="F27" s="20" t="n">
        <v>2.17349882</v>
      </c>
      <c r="G27" s="18" t="n">
        <v>36.80415369</v>
      </c>
      <c r="H27" s="20" t="n">
        <v>2.1394693</v>
      </c>
      <c r="I27" s="18" t="n">
        <v>0</v>
      </c>
      <c r="J27" s="20" t="n">
        <v>0</v>
      </c>
      <c r="K27" s="18" t="n">
        <v>1.88073086</v>
      </c>
      <c r="L27" s="20" t="n">
        <v>0.58611592</v>
      </c>
      <c r="M27" s="18" t="n">
        <v>0</v>
      </c>
      <c r="N27" s="20" t="n">
        <v>0</v>
      </c>
      <c r="O27" s="18" t="n">
        <v>0</v>
      </c>
      <c r="P27" s="20" t="n">
        <v>0</v>
      </c>
      <c r="Q27" s="18" t="n">
        <v>0.18098987</v>
      </c>
      <c r="R27" s="20" t="n">
        <v>0.17970456</v>
      </c>
    </row>
    <row r="28" spans="1:18">
      <c r="A28" s="15" t="s">
        <v>586</v>
      </c>
      <c r="B28" s="17" t="n">
        <v>3803</v>
      </c>
      <c r="C28" s="18">
        <f>(3111.0/B28*100)</f>
        <v/>
      </c>
      <c r="D28" s="19" t="n">
        <v>692</v>
      </c>
      <c r="E28" s="18" t="n">
        <v>73.21428423</v>
      </c>
      <c r="F28" s="20" t="n">
        <v>2.30930911</v>
      </c>
      <c r="G28" s="18" t="n">
        <v>23.25604537</v>
      </c>
      <c r="H28" s="20" t="n">
        <v>2.02954611</v>
      </c>
      <c r="I28" s="18" t="n">
        <v>0</v>
      </c>
      <c r="J28" s="20" t="n">
        <v>0</v>
      </c>
      <c r="K28" s="18" t="n">
        <v>3.0065865</v>
      </c>
      <c r="L28" s="20" t="n">
        <v>1.14299939</v>
      </c>
      <c r="M28" s="18" t="n">
        <v>0</v>
      </c>
      <c r="N28" s="20" t="n">
        <v>0</v>
      </c>
      <c r="O28" s="18" t="n">
        <v>0</v>
      </c>
      <c r="P28" s="20" t="n">
        <v>0</v>
      </c>
      <c r="Q28" s="18" t="n">
        <v>0.52308389</v>
      </c>
      <c r="R28" s="20" t="n">
        <v>0.31010043</v>
      </c>
    </row>
    <row r="29" spans="1:18">
      <c r="A29" s="15" t="s">
        <v>587</v>
      </c>
      <c r="B29" s="17" t="n">
        <v>2700</v>
      </c>
      <c r="C29" s="18">
        <f>(2127.0/B29*100)</f>
        <v/>
      </c>
      <c r="D29" s="19" t="n">
        <v>573</v>
      </c>
      <c r="E29" s="18" t="n">
        <v>64.95296945</v>
      </c>
      <c r="F29" s="20" t="n">
        <v>1.80048109</v>
      </c>
      <c r="G29" s="18" t="n">
        <v>34.05998024</v>
      </c>
      <c r="H29" s="20" t="n">
        <v>1.82977285</v>
      </c>
      <c r="I29" s="18" t="n">
        <v>0</v>
      </c>
      <c r="J29" s="20" t="n">
        <v>0</v>
      </c>
      <c r="K29" s="18" t="n">
        <v>0.28482292</v>
      </c>
      <c r="L29" s="20" t="n">
        <v>0.19660979</v>
      </c>
      <c r="M29" s="18" t="n">
        <v>0</v>
      </c>
      <c r="N29" s="20" t="n">
        <v>0</v>
      </c>
      <c r="O29" s="18" t="n">
        <v>0</v>
      </c>
      <c r="P29" s="20" t="n">
        <v>0</v>
      </c>
      <c r="Q29" s="18" t="n">
        <v>0.70222739</v>
      </c>
      <c r="R29" s="20" t="n">
        <v>0.37045037</v>
      </c>
    </row>
    <row r="30" spans="1:18">
      <c r="A30" s="15" t="s">
        <v>588</v>
      </c>
      <c r="B30" s="17" t="n">
        <v>2257</v>
      </c>
      <c r="C30" s="18">
        <f>(1802.0/B30*100)</f>
        <v/>
      </c>
      <c r="D30" s="19" t="n">
        <v>455</v>
      </c>
      <c r="E30" s="18" t="n">
        <v>68.62488491000001</v>
      </c>
      <c r="F30" s="20" t="n">
        <v>1.82987892</v>
      </c>
      <c r="G30" s="18" t="n">
        <v>28.8124341</v>
      </c>
      <c r="H30" s="20" t="n">
        <v>1.89651581</v>
      </c>
      <c r="I30" s="18" t="n">
        <v>0</v>
      </c>
      <c r="J30" s="20" t="n">
        <v>0</v>
      </c>
      <c r="K30" s="18" t="n">
        <v>1.49499048</v>
      </c>
      <c r="L30" s="20" t="n">
        <v>0.70877018</v>
      </c>
      <c r="M30" s="18" t="n">
        <v>0</v>
      </c>
      <c r="N30" s="20" t="n">
        <v>0</v>
      </c>
      <c r="O30" s="18" t="n">
        <v>0</v>
      </c>
      <c r="P30" s="20" t="n">
        <v>0</v>
      </c>
      <c r="Q30" s="18" t="n">
        <v>1.06769051</v>
      </c>
      <c r="R30" s="20" t="n">
        <v>0.48960128</v>
      </c>
    </row>
    <row r="31" spans="1:18">
      <c r="A31" s="15" t="s">
        <v>589</v>
      </c>
      <c r="B31" s="17" t="n">
        <v>2706</v>
      </c>
      <c r="C31" s="18">
        <f>(2147.0/B31*100)</f>
        <v/>
      </c>
      <c r="D31" s="19" t="n">
        <v>559</v>
      </c>
      <c r="E31" s="18" t="n">
        <v>63.22611421</v>
      </c>
      <c r="F31" s="20" t="n">
        <v>1.90205356</v>
      </c>
      <c r="G31" s="18" t="n">
        <v>33.76675513</v>
      </c>
      <c r="H31" s="20" t="n">
        <v>1.82382264</v>
      </c>
      <c r="I31" s="18" t="n">
        <v>0</v>
      </c>
      <c r="J31" s="20" t="n">
        <v>0</v>
      </c>
      <c r="K31" s="18" t="n">
        <v>2.48867554</v>
      </c>
      <c r="L31" s="20" t="n">
        <v>0.76353053</v>
      </c>
      <c r="M31" s="18" t="n">
        <v>0</v>
      </c>
      <c r="N31" s="20" t="n">
        <v>0</v>
      </c>
      <c r="O31" s="18" t="n">
        <v>0</v>
      </c>
      <c r="P31" s="20" t="n">
        <v>0</v>
      </c>
      <c r="Q31" s="18" t="n">
        <v>0.51845511</v>
      </c>
      <c r="R31" s="20" t="n">
        <v>0.30809551</v>
      </c>
    </row>
    <row r="32" spans="1:18">
      <c r="A32" s="15" t="s">
        <v>590</v>
      </c>
      <c r="B32" s="17" t="n">
        <v>2209</v>
      </c>
      <c r="C32" s="18">
        <f>(1696.0/B32*100)</f>
        <v/>
      </c>
      <c r="D32" s="19" t="n">
        <v>513</v>
      </c>
      <c r="E32" s="18" t="n">
        <v>61.48191946</v>
      </c>
      <c r="F32" s="20" t="n">
        <v>2.31674369</v>
      </c>
      <c r="G32" s="18" t="n">
        <v>37.9686547</v>
      </c>
      <c r="H32" s="20" t="n">
        <v>2.34376669</v>
      </c>
      <c r="I32" s="18" t="n">
        <v>0</v>
      </c>
      <c r="J32" s="20" t="n">
        <v>0</v>
      </c>
      <c r="K32" s="18" t="n">
        <v>0.36846207</v>
      </c>
      <c r="L32" s="20" t="n">
        <v>0.24703218</v>
      </c>
      <c r="M32" s="18" t="n">
        <v>0</v>
      </c>
      <c r="N32" s="20" t="n">
        <v>0</v>
      </c>
      <c r="O32" s="18" t="n">
        <v>0</v>
      </c>
      <c r="P32" s="20" t="n">
        <v>0</v>
      </c>
      <c r="Q32" s="18" t="n">
        <v>0.18096376</v>
      </c>
      <c r="R32" s="20" t="n">
        <v>0.17896718</v>
      </c>
    </row>
    <row r="33" spans="1:18">
      <c r="A33" s="15" t="s">
        <v>591</v>
      </c>
      <c r="B33" s="17" t="n">
        <v>3651</v>
      </c>
      <c r="C33" s="18">
        <f>(2889.0/B33*100)</f>
        <v/>
      </c>
      <c r="D33" s="19" t="n">
        <v>762</v>
      </c>
      <c r="E33" s="18" t="n">
        <v>70.93639284</v>
      </c>
      <c r="F33" s="20" t="n">
        <v>2.20029979</v>
      </c>
      <c r="G33" s="18" t="n">
        <v>25.69877531</v>
      </c>
      <c r="H33" s="20" t="n">
        <v>1.97223698</v>
      </c>
      <c r="I33" s="18" t="n">
        <v>0</v>
      </c>
      <c r="J33" s="20" t="n">
        <v>0</v>
      </c>
      <c r="K33" s="18" t="n">
        <v>2.19283915</v>
      </c>
      <c r="L33" s="20" t="n">
        <v>0.73951426</v>
      </c>
      <c r="M33" s="18" t="n">
        <v>0</v>
      </c>
      <c r="N33" s="20" t="n">
        <v>0</v>
      </c>
      <c r="O33" s="18" t="n">
        <v>0</v>
      </c>
      <c r="P33" s="20" t="n">
        <v>0</v>
      </c>
      <c r="Q33" s="18" t="n">
        <v>1.1719927</v>
      </c>
      <c r="R33" s="20" t="n">
        <v>0.47435417</v>
      </c>
    </row>
    <row r="34" spans="1:18">
      <c r="A34" s="15" t="s">
        <v>592</v>
      </c>
      <c r="B34" s="17" t="n">
        <v>3035</v>
      </c>
      <c r="C34" s="18">
        <f>(2446.0/B34*100)</f>
        <v/>
      </c>
      <c r="D34" s="19" t="n">
        <v>589</v>
      </c>
      <c r="E34" s="18" t="n">
        <v>62.62525438</v>
      </c>
      <c r="F34" s="20" t="n">
        <v>2.05431045</v>
      </c>
      <c r="G34" s="18" t="n">
        <v>35.71478985</v>
      </c>
      <c r="H34" s="20" t="n">
        <v>1.98602863</v>
      </c>
      <c r="I34" s="18" t="n">
        <v>0</v>
      </c>
      <c r="J34" s="20" t="n">
        <v>0</v>
      </c>
      <c r="K34" s="18" t="n">
        <v>1.18534184</v>
      </c>
      <c r="L34" s="20" t="n">
        <v>0.48986111</v>
      </c>
      <c r="M34" s="18" t="n">
        <v>0</v>
      </c>
      <c r="N34" s="20" t="n">
        <v>0</v>
      </c>
      <c r="O34" s="18" t="n">
        <v>0</v>
      </c>
      <c r="P34" s="20" t="n">
        <v>0</v>
      </c>
      <c r="Q34" s="18" t="n">
        <v>0.47461393</v>
      </c>
      <c r="R34" s="20" t="n">
        <v>0.32605263</v>
      </c>
    </row>
    <row r="35" spans="1:18">
      <c r="A35" s="15" t="s">
        <v>593</v>
      </c>
      <c r="B35" s="17" t="n">
        <v>2901</v>
      </c>
      <c r="C35" s="18">
        <f>(2287.0/B35*100)</f>
        <v/>
      </c>
      <c r="D35" s="19" t="n">
        <v>614</v>
      </c>
      <c r="E35" s="18" t="n">
        <v>64.58305516999999</v>
      </c>
      <c r="F35" s="20" t="n">
        <v>2.44501541</v>
      </c>
      <c r="G35" s="18" t="n">
        <v>33.75132548</v>
      </c>
      <c r="H35" s="20" t="n">
        <v>2.39850278</v>
      </c>
      <c r="I35" s="18" t="n">
        <v>0</v>
      </c>
      <c r="J35" s="20" t="n">
        <v>0</v>
      </c>
      <c r="K35" s="18" t="n">
        <v>1.14400939</v>
      </c>
      <c r="L35" s="20" t="n">
        <v>0.5926476899999999</v>
      </c>
      <c r="M35" s="18" t="n">
        <v>0</v>
      </c>
      <c r="N35" s="20" t="n">
        <v>0</v>
      </c>
      <c r="O35" s="18" t="n">
        <v>0</v>
      </c>
      <c r="P35" s="20" t="n">
        <v>0</v>
      </c>
      <c r="Q35" s="18" t="n">
        <v>0.52160997</v>
      </c>
      <c r="R35" s="20" t="n">
        <v>0.28117114</v>
      </c>
    </row>
    <row r="36" spans="1:18">
      <c r="A36" s="15" t="s">
        <v>594</v>
      </c>
      <c r="B36" s="17" t="n">
        <v>3404</v>
      </c>
      <c r="C36" s="18">
        <f>(2662.0/B36*100)</f>
        <v/>
      </c>
      <c r="D36" s="19" t="n">
        <v>742</v>
      </c>
      <c r="E36" s="18" t="n">
        <v>63.70466302</v>
      </c>
      <c r="F36" s="20" t="n">
        <v>1.91879567</v>
      </c>
      <c r="G36" s="18" t="n">
        <v>34.78300508</v>
      </c>
      <c r="H36" s="20" t="n">
        <v>1.90411041</v>
      </c>
      <c r="I36" s="18" t="n">
        <v>0</v>
      </c>
      <c r="J36" s="20" t="n">
        <v>0</v>
      </c>
      <c r="K36" s="18" t="n">
        <v>1.43315336</v>
      </c>
      <c r="L36" s="20" t="n">
        <v>0.46187584</v>
      </c>
      <c r="M36" s="18" t="n">
        <v>0</v>
      </c>
      <c r="N36" s="20" t="n">
        <v>0</v>
      </c>
      <c r="O36" s="18" t="n">
        <v>0</v>
      </c>
      <c r="P36" s="20" t="n">
        <v>0</v>
      </c>
      <c r="Q36" s="18" t="n">
        <v>0.07917854000000001</v>
      </c>
      <c r="R36" s="20" t="n">
        <v>0.0728805</v>
      </c>
    </row>
    <row r="37" spans="1:18">
      <c r="A37" s="15" t="s">
        <v>595</v>
      </c>
      <c r="B37" s="17" t="n">
        <v>2731</v>
      </c>
      <c r="C37" s="18">
        <f>(2167.0/B37*100)</f>
        <v/>
      </c>
      <c r="D37" s="19" t="n">
        <v>564</v>
      </c>
      <c r="E37" s="18" t="n">
        <v>64.5043786</v>
      </c>
      <c r="F37" s="20" t="n">
        <v>2.22431946</v>
      </c>
      <c r="G37" s="18" t="n">
        <v>30.23638841</v>
      </c>
      <c r="H37" s="20" t="n">
        <v>2.0334505</v>
      </c>
      <c r="I37" s="18" t="n">
        <v>0</v>
      </c>
      <c r="J37" s="20" t="n">
        <v>0</v>
      </c>
      <c r="K37" s="18" t="n">
        <v>4.16551085</v>
      </c>
      <c r="L37" s="20" t="n">
        <v>0.86739044</v>
      </c>
      <c r="M37" s="18" t="n">
        <v>0</v>
      </c>
      <c r="N37" s="20" t="n">
        <v>0</v>
      </c>
      <c r="O37" s="18" t="n">
        <v>0</v>
      </c>
      <c r="P37" s="20" t="n">
        <v>0</v>
      </c>
      <c r="Q37" s="18" t="n">
        <v>1.09372214</v>
      </c>
      <c r="R37" s="20" t="n">
        <v>0.4313744</v>
      </c>
    </row>
    <row r="38" spans="1:18">
      <c r="A38" s="15" t="s">
        <v>596</v>
      </c>
      <c r="B38" s="17" t="n">
        <v>2807</v>
      </c>
      <c r="C38" s="18">
        <f>(2199.0/B38*100)</f>
        <v/>
      </c>
      <c r="D38" s="19" t="n">
        <v>608</v>
      </c>
      <c r="E38" s="18" t="n">
        <v>52.21419078</v>
      </c>
      <c r="F38" s="20" t="n">
        <v>2.46684682</v>
      </c>
      <c r="G38" s="18" t="n">
        <v>45.13495803</v>
      </c>
      <c r="H38" s="20" t="n">
        <v>2.64710411</v>
      </c>
      <c r="I38" s="18" t="n">
        <v>0</v>
      </c>
      <c r="J38" s="20" t="n">
        <v>0</v>
      </c>
      <c r="K38" s="18" t="n">
        <v>1.91454241</v>
      </c>
      <c r="L38" s="20" t="n">
        <v>0.6026984</v>
      </c>
      <c r="M38" s="18" t="n">
        <v>0</v>
      </c>
      <c r="N38" s="20" t="n">
        <v>0</v>
      </c>
      <c r="O38" s="18" t="n">
        <v>0</v>
      </c>
      <c r="P38" s="20" t="n">
        <v>0</v>
      </c>
      <c r="Q38" s="18" t="n">
        <v>0.73630878</v>
      </c>
      <c r="R38" s="20" t="n">
        <v>0.28708771</v>
      </c>
    </row>
    <row r="39" spans="1:18">
      <c r="A39" s="15" t="s">
        <v>597</v>
      </c>
      <c r="B39" s="17" t="n">
        <v>2938</v>
      </c>
      <c r="C39" s="18">
        <f>(2259.0/B39*100)</f>
        <v/>
      </c>
      <c r="D39" s="19" t="n">
        <v>679</v>
      </c>
      <c r="E39" s="18" t="n">
        <v>78.28741470999999</v>
      </c>
      <c r="F39" s="20" t="n">
        <v>1.63519105</v>
      </c>
      <c r="G39" s="18" t="n">
        <v>20.56115792</v>
      </c>
      <c r="H39" s="20" t="n">
        <v>1.60468469</v>
      </c>
      <c r="I39" s="18" t="n">
        <v>0</v>
      </c>
      <c r="J39" s="20" t="n">
        <v>0</v>
      </c>
      <c r="K39" s="18" t="n">
        <v>0.57555239</v>
      </c>
      <c r="L39" s="20" t="n">
        <v>0.24191724</v>
      </c>
      <c r="M39" s="18" t="n">
        <v>0</v>
      </c>
      <c r="N39" s="20" t="n">
        <v>0</v>
      </c>
      <c r="O39" s="18" t="n">
        <v>0</v>
      </c>
      <c r="P39" s="20" t="n">
        <v>0</v>
      </c>
      <c r="Q39" s="18" t="n">
        <v>0.57587498</v>
      </c>
      <c r="R39" s="20" t="n">
        <v>0.25367641</v>
      </c>
    </row>
    <row r="40" spans="1:18">
      <c r="A40" s="15" t="s">
        <v>598</v>
      </c>
      <c r="B40" s="17" t="n">
        <v>6922</v>
      </c>
      <c r="C40" s="18">
        <f>(5396.0/B40*100)</f>
        <v/>
      </c>
      <c r="D40" s="19" t="n">
        <v>1526</v>
      </c>
      <c r="E40" s="18" t="n">
        <v>71.95246467</v>
      </c>
      <c r="F40" s="20" t="n">
        <v>1.77229479</v>
      </c>
      <c r="G40" s="18" t="n">
        <v>25.01391011</v>
      </c>
      <c r="H40" s="20" t="n">
        <v>1.64268664</v>
      </c>
      <c r="I40" s="18" t="n">
        <v>0</v>
      </c>
      <c r="J40" s="20" t="n">
        <v>0</v>
      </c>
      <c r="K40" s="18" t="n">
        <v>2.28844678</v>
      </c>
      <c r="L40" s="20" t="n">
        <v>0.64889433</v>
      </c>
      <c r="M40" s="18" t="n">
        <v>0</v>
      </c>
      <c r="N40" s="20" t="n">
        <v>0</v>
      </c>
      <c r="O40" s="18" t="n">
        <v>0</v>
      </c>
      <c r="P40" s="20" t="n">
        <v>0</v>
      </c>
      <c r="Q40" s="18" t="n">
        <v>0.74517844</v>
      </c>
      <c r="R40" s="20" t="n">
        <v>0.31157235</v>
      </c>
    </row>
    <row r="41" spans="1:18">
      <c r="A41" s="15" t="s">
        <v>599</v>
      </c>
      <c r="B41" s="17" t="n">
        <v>2854</v>
      </c>
      <c r="C41" s="18">
        <f>(2259.0/B41*100)</f>
        <v/>
      </c>
      <c r="D41" s="19" t="n">
        <v>595</v>
      </c>
      <c r="E41" s="18" t="n">
        <v>69.57565237999999</v>
      </c>
      <c r="F41" s="20" t="n">
        <v>1.7072404</v>
      </c>
      <c r="G41" s="18" t="n">
        <v>29.54488959</v>
      </c>
      <c r="H41" s="20" t="n">
        <v>1.68549347</v>
      </c>
      <c r="I41" s="18" t="n">
        <v>0</v>
      </c>
      <c r="J41" s="20" t="n">
        <v>0</v>
      </c>
      <c r="K41" s="18" t="n">
        <v>0.72861027</v>
      </c>
      <c r="L41" s="20" t="n">
        <v>0.35504978</v>
      </c>
      <c r="M41" s="18" t="n">
        <v>0</v>
      </c>
      <c r="N41" s="20" t="n">
        <v>0</v>
      </c>
      <c r="O41" s="18" t="n">
        <v>0</v>
      </c>
      <c r="P41" s="20" t="n">
        <v>0</v>
      </c>
      <c r="Q41" s="18" t="n">
        <v>0.15084776</v>
      </c>
      <c r="R41" s="20" t="n">
        <v>0.14737702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(10271.0/B46*100)</f>
        <v/>
      </c>
      <c r="D46" s="19" t="n">
        <v>1802</v>
      </c>
      <c r="E46" s="18" t="n">
        <v>67.48507446000001</v>
      </c>
      <c r="F46" s="20" t="n">
        <v>1.70976906</v>
      </c>
      <c r="G46" s="18" t="n">
        <v>26.99080631</v>
      </c>
      <c r="H46" s="20" t="n">
        <v>1.67157173</v>
      </c>
      <c r="I46" s="18" t="n">
        <v>0</v>
      </c>
      <c r="J46" s="20" t="n">
        <v>0</v>
      </c>
      <c r="K46" s="18" t="n">
        <v>4.50620541</v>
      </c>
      <c r="L46" s="20" t="n">
        <v>0.8865814</v>
      </c>
      <c r="M46" s="18" t="n">
        <v>0</v>
      </c>
      <c r="N46" s="20" t="n">
        <v>0</v>
      </c>
      <c r="O46" s="18" t="n">
        <v>0</v>
      </c>
      <c r="P46" s="20" t="n">
        <v>0</v>
      </c>
      <c r="Q46" s="18" t="n">
        <v>1.01791382</v>
      </c>
      <c r="R46" s="20" t="n">
        <v>0.25480743</v>
      </c>
    </row>
    <row r="47" spans="1:18">
      <c r="A47" s="15" t="s">
        <v>606</v>
      </c>
      <c r="B47" s="17" t="n">
        <v>2823</v>
      </c>
      <c r="C47" s="18">
        <f>(2241.0/B47*100)</f>
        <v/>
      </c>
      <c r="D47" s="19" t="n">
        <v>582</v>
      </c>
      <c r="E47" s="18" t="n">
        <v>64.95978792</v>
      </c>
      <c r="F47" s="20" t="n">
        <v>1.8984208</v>
      </c>
      <c r="G47" s="18" t="n">
        <v>31.50222098</v>
      </c>
      <c r="H47" s="20" t="n">
        <v>1.84913034</v>
      </c>
      <c r="I47" s="18" t="n">
        <v>0</v>
      </c>
      <c r="J47" s="20" t="n">
        <v>0</v>
      </c>
      <c r="K47" s="18" t="n">
        <v>3.20553379</v>
      </c>
      <c r="L47" s="20" t="n">
        <v>0.87055468</v>
      </c>
      <c r="M47" s="18" t="n">
        <v>0</v>
      </c>
      <c r="N47" s="20" t="n">
        <v>0</v>
      </c>
      <c r="O47" s="18" t="n">
        <v>0</v>
      </c>
      <c r="P47" s="20" t="n">
        <v>0</v>
      </c>
      <c r="Q47" s="18" t="n">
        <v>0.33245732</v>
      </c>
      <c r="R47" s="20" t="n">
        <v>0.20536301</v>
      </c>
    </row>
    <row r="48" spans="1:18">
      <c r="A48" s="15" t="s">
        <v>607</v>
      </c>
      <c r="B48" s="17" t="n">
        <v>4682</v>
      </c>
      <c r="C48" s="18">
        <f>(3662.0/B48*100)</f>
        <v/>
      </c>
      <c r="D48" s="19" t="n">
        <v>1020</v>
      </c>
      <c r="E48" s="18" t="n">
        <v>74.03438258</v>
      </c>
      <c r="F48" s="20" t="n">
        <v>1.50284436</v>
      </c>
      <c r="G48" s="18" t="n">
        <v>24.44044526</v>
      </c>
      <c r="H48" s="20" t="n">
        <v>1.55262202</v>
      </c>
      <c r="I48" s="18" t="n">
        <v>0</v>
      </c>
      <c r="J48" s="20" t="n">
        <v>0</v>
      </c>
      <c r="K48" s="18" t="n">
        <v>1.37778755</v>
      </c>
      <c r="L48" s="20" t="n">
        <v>0.5589409400000001</v>
      </c>
      <c r="M48" s="18" t="n">
        <v>0</v>
      </c>
      <c r="N48" s="20" t="n">
        <v>0</v>
      </c>
      <c r="O48" s="18" t="n">
        <v>0</v>
      </c>
      <c r="P48" s="20" t="n">
        <v>0</v>
      </c>
      <c r="Q48" s="18" t="n">
        <v>0.14738461</v>
      </c>
      <c r="R48" s="20" t="n">
        <v>0.14783603</v>
      </c>
    </row>
    <row r="49" spans="1:18">
      <c r="A49" s="15" t="s">
        <v>608</v>
      </c>
      <c r="B49" s="17" t="n">
        <v>6158</v>
      </c>
      <c r="C49" s="18">
        <f>(4911.0/B49*100)</f>
        <v/>
      </c>
      <c r="D49" s="19" t="n">
        <v>1247</v>
      </c>
      <c r="E49" s="18" t="n">
        <v>74.3185917</v>
      </c>
      <c r="F49" s="20" t="n">
        <v>1.70166194</v>
      </c>
      <c r="G49" s="18" t="n">
        <v>20.87175798</v>
      </c>
      <c r="H49" s="20" t="n">
        <v>1.68557487</v>
      </c>
      <c r="I49" s="18" t="n">
        <v>0</v>
      </c>
      <c r="J49" s="20" t="n">
        <v>0</v>
      </c>
      <c r="K49" s="18" t="n">
        <v>4.01277819</v>
      </c>
      <c r="L49" s="20" t="n">
        <v>0.76517865</v>
      </c>
      <c r="M49" s="18" t="n">
        <v>0</v>
      </c>
      <c r="N49" s="20" t="n">
        <v>0</v>
      </c>
      <c r="O49" s="18" t="n">
        <v>0</v>
      </c>
      <c r="P49" s="20" t="n">
        <v>0</v>
      </c>
      <c r="Q49" s="18" t="n">
        <v>0.79687213</v>
      </c>
      <c r="R49" s="20" t="n">
        <v>0.30689344</v>
      </c>
    </row>
    <row r="50" spans="1:18">
      <c r="A50" s="15" t="s">
        <v>609</v>
      </c>
      <c r="B50" s="17" t="n">
        <v>3494</v>
      </c>
      <c r="C50" s="18">
        <f>(2871.0/B50*100)</f>
        <v/>
      </c>
      <c r="D50" s="19" t="n">
        <v>623</v>
      </c>
      <c r="E50" s="18" t="n">
        <v>72.94577786000001</v>
      </c>
      <c r="F50" s="20" t="n">
        <v>2.02562663</v>
      </c>
      <c r="G50" s="18" t="n">
        <v>25.52527878</v>
      </c>
      <c r="H50" s="20" t="n">
        <v>2.10780503</v>
      </c>
      <c r="I50" s="18" t="n">
        <v>0</v>
      </c>
      <c r="J50" s="20" t="n">
        <v>0</v>
      </c>
      <c r="K50" s="18" t="n">
        <v>0.905408</v>
      </c>
      <c r="L50" s="20" t="n">
        <v>0.3317697</v>
      </c>
      <c r="M50" s="18" t="n">
        <v>0</v>
      </c>
      <c r="N50" s="20" t="n">
        <v>0</v>
      </c>
      <c r="O50" s="18" t="n">
        <v>0</v>
      </c>
      <c r="P50" s="20" t="n">
        <v>0</v>
      </c>
      <c r="Q50" s="18" t="n">
        <v>0.62353536</v>
      </c>
      <c r="R50" s="20" t="n">
        <v>0.39565726</v>
      </c>
    </row>
    <row r="51" spans="1:18">
      <c r="A51" s="15" t="s">
        <v>610</v>
      </c>
      <c r="B51" s="17" t="n">
        <v>3013</v>
      </c>
      <c r="C51" s="18">
        <f>(2354.0/B51*100)</f>
        <v/>
      </c>
      <c r="D51" s="19" t="n">
        <v>659</v>
      </c>
      <c r="E51" s="18" t="n">
        <v>65.11613923</v>
      </c>
      <c r="F51" s="20" t="n">
        <v>2.23689822</v>
      </c>
      <c r="G51" s="18" t="n">
        <v>33.47134534</v>
      </c>
      <c r="H51" s="20" t="n">
        <v>2.2383812</v>
      </c>
      <c r="I51" s="18" t="n">
        <v>0</v>
      </c>
      <c r="J51" s="20" t="n">
        <v>0</v>
      </c>
      <c r="K51" s="18" t="n">
        <v>0.48191485</v>
      </c>
      <c r="L51" s="20" t="n">
        <v>0.26422255</v>
      </c>
      <c r="M51" s="18" t="n">
        <v>0</v>
      </c>
      <c r="N51" s="20" t="n">
        <v>0</v>
      </c>
      <c r="O51" s="18" t="n">
        <v>0</v>
      </c>
      <c r="P51" s="20" t="n">
        <v>0</v>
      </c>
      <c r="Q51" s="18" t="n">
        <v>0.93060058</v>
      </c>
      <c r="R51" s="20" t="n">
        <v>0.41171332</v>
      </c>
    </row>
    <row r="52" spans="1:18">
      <c r="A52" s="15" t="s">
        <v>611</v>
      </c>
      <c r="B52" s="17" t="n">
        <v>2760</v>
      </c>
      <c r="C52" s="18">
        <f>(2157.0/B52*100)</f>
        <v/>
      </c>
      <c r="D52" s="19" t="n">
        <v>603</v>
      </c>
      <c r="E52" s="18" t="n">
        <v>74.89168669999999</v>
      </c>
      <c r="F52" s="20" t="n">
        <v>1.65787975</v>
      </c>
      <c r="G52" s="18" t="n">
        <v>23.10486817</v>
      </c>
      <c r="H52" s="20" t="n">
        <v>1.54550015</v>
      </c>
      <c r="I52" s="18" t="n">
        <v>0</v>
      </c>
      <c r="J52" s="20" t="n">
        <v>0</v>
      </c>
      <c r="K52" s="18" t="n">
        <v>1.74829872</v>
      </c>
      <c r="L52" s="20" t="n">
        <v>0.50480373</v>
      </c>
      <c r="M52" s="18" t="n">
        <v>0</v>
      </c>
      <c r="N52" s="20" t="n">
        <v>0</v>
      </c>
      <c r="O52" s="18" t="n">
        <v>0</v>
      </c>
      <c r="P52" s="20" t="n">
        <v>0</v>
      </c>
      <c r="Q52" s="18" t="n">
        <v>0.25514641</v>
      </c>
      <c r="R52" s="20" t="n">
        <v>0.18069461</v>
      </c>
    </row>
    <row r="53" spans="1:18">
      <c r="A53" s="15" t="s">
        <v>612</v>
      </c>
      <c r="B53" s="17" t="n">
        <v>2474</v>
      </c>
      <c r="C53" s="18">
        <f>(1955.0/B53*100)</f>
        <v/>
      </c>
      <c r="D53" s="19" t="n">
        <v>519</v>
      </c>
      <c r="E53" s="18" t="n">
        <v>68.42241045</v>
      </c>
      <c r="F53" s="20" t="n">
        <v>2.74667145</v>
      </c>
      <c r="G53" s="18" t="n">
        <v>7.71542766</v>
      </c>
      <c r="H53" s="20" t="n">
        <v>1.33664884</v>
      </c>
      <c r="I53" s="18" t="n">
        <v>0</v>
      </c>
      <c r="J53" s="20" t="n">
        <v>0</v>
      </c>
      <c r="K53" s="18" t="n">
        <v>22.07434042</v>
      </c>
      <c r="L53" s="20" t="n">
        <v>2.31039094</v>
      </c>
      <c r="M53" s="18" t="n">
        <v>0</v>
      </c>
      <c r="N53" s="20" t="n">
        <v>0</v>
      </c>
      <c r="O53" s="18" t="n">
        <v>0</v>
      </c>
      <c r="P53" s="20" t="n">
        <v>0</v>
      </c>
      <c r="Q53" s="18" t="n">
        <v>1.78782146</v>
      </c>
      <c r="R53" s="20" t="n">
        <v>0.77587717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(2085.0/B55*100)</f>
        <v/>
      </c>
      <c r="D55" s="19" t="n">
        <v>590</v>
      </c>
      <c r="E55" s="18" t="n">
        <v>69.56144385</v>
      </c>
      <c r="F55" s="20" t="n">
        <v>1.89091605</v>
      </c>
      <c r="G55" s="18" t="n">
        <v>29.91709233</v>
      </c>
      <c r="H55" s="20" t="n">
        <v>1.81832991</v>
      </c>
      <c r="I55" s="18" t="n">
        <v>0</v>
      </c>
      <c r="J55" s="20" t="n">
        <v>0</v>
      </c>
      <c r="K55" s="18" t="n">
        <v>0.52146382</v>
      </c>
      <c r="L55" s="20" t="n">
        <v>0.3633404</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(2498.0/B61*100)</f>
        <v/>
      </c>
      <c r="D61" s="19" t="n">
        <v>703</v>
      </c>
      <c r="E61" s="18" t="n">
        <v>59.17039439</v>
      </c>
      <c r="F61" s="20" t="n">
        <v>2.26112263</v>
      </c>
      <c r="G61" s="18" t="n">
        <v>39.39766788</v>
      </c>
      <c r="H61" s="20" t="n">
        <v>2.29500257</v>
      </c>
      <c r="I61" s="18" t="n">
        <v>0</v>
      </c>
      <c r="J61" s="20" t="n">
        <v>0</v>
      </c>
      <c r="K61" s="18" t="n">
        <v>0.72936437</v>
      </c>
      <c r="L61" s="20" t="n">
        <v>0.36303987</v>
      </c>
      <c r="M61" s="18" t="n">
        <v>0</v>
      </c>
      <c r="N61" s="20" t="n">
        <v>0</v>
      </c>
      <c r="O61" s="18" t="n">
        <v>0</v>
      </c>
      <c r="P61" s="20" t="n">
        <v>0</v>
      </c>
      <c r="Q61" s="18" t="n">
        <v>0.70257336</v>
      </c>
      <c r="R61" s="20" t="n">
        <v>0.333138</v>
      </c>
    </row>
    <row r="62" spans="1:18">
      <c r="A62" s="15" t="s">
        <v>622</v>
      </c>
      <c r="B62" s="17" t="n">
        <v>2230</v>
      </c>
      <c r="C62" s="18">
        <f>(1762.0/B62*100)</f>
        <v/>
      </c>
      <c r="D62" s="19" t="n">
        <v>468</v>
      </c>
      <c r="E62" s="18" t="n">
        <v>58.64469131</v>
      </c>
      <c r="F62" s="20" t="n">
        <v>2.27849855</v>
      </c>
      <c r="G62" s="18" t="n">
        <v>41.14302387</v>
      </c>
      <c r="H62" s="20" t="n">
        <v>2.25021353</v>
      </c>
      <c r="I62" s="18" t="n">
        <v>0</v>
      </c>
      <c r="J62" s="20" t="n">
        <v>0</v>
      </c>
      <c r="K62" s="18" t="n">
        <v>0.21228483</v>
      </c>
      <c r="L62" s="20" t="n">
        <v>0.21108774</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(2217.0/B67*100)</f>
        <v/>
      </c>
      <c r="D67" s="19" t="n">
        <v>554</v>
      </c>
      <c r="E67" s="18" t="n">
        <v>69.06898242</v>
      </c>
      <c r="F67" s="20" t="n">
        <v>2.23868591</v>
      </c>
      <c r="G67" s="18" t="n">
        <v>26.19298773</v>
      </c>
      <c r="H67" s="20" t="n">
        <v>2.01977326</v>
      </c>
      <c r="I67" s="18" t="n">
        <v>0</v>
      </c>
      <c r="J67" s="20" t="n">
        <v>0</v>
      </c>
      <c r="K67" s="18" t="n">
        <v>3.47024728</v>
      </c>
      <c r="L67" s="20" t="n">
        <v>0.8815381799999999</v>
      </c>
      <c r="M67" s="18" t="n">
        <v>0</v>
      </c>
      <c r="N67" s="20" t="n">
        <v>0</v>
      </c>
      <c r="O67" s="18" t="n">
        <v>0</v>
      </c>
      <c r="P67" s="20" t="n">
        <v>0</v>
      </c>
      <c r="Q67" s="18" t="n">
        <v>1.26778257</v>
      </c>
      <c r="R67" s="20" t="n">
        <v>0.4788072</v>
      </c>
    </row>
    <row r="68" spans="1:18">
      <c r="A68" s="15" t="s">
        <v>628</v>
      </c>
      <c r="B68" s="17" t="n">
        <v>3460</v>
      </c>
      <c r="C68" s="18">
        <f>(2892.0/B68*100)</f>
        <v/>
      </c>
      <c r="D68" s="19" t="n">
        <v>568</v>
      </c>
      <c r="E68" s="18" t="n">
        <v>88.05812606000001</v>
      </c>
      <c r="F68" s="20" t="n">
        <v>1.44690867</v>
      </c>
      <c r="G68" s="18" t="n">
        <v>10.44678006</v>
      </c>
      <c r="H68" s="20" t="n">
        <v>1.45306718</v>
      </c>
      <c r="I68" s="18" t="n">
        <v>0</v>
      </c>
      <c r="J68" s="20" t="n">
        <v>0</v>
      </c>
      <c r="K68" s="18" t="n">
        <v>0.81849357</v>
      </c>
      <c r="L68" s="20" t="n">
        <v>0.36289365</v>
      </c>
      <c r="M68" s="18" t="n">
        <v>0</v>
      </c>
      <c r="N68" s="20" t="n">
        <v>0</v>
      </c>
      <c r="O68" s="18" t="n">
        <v>0</v>
      </c>
      <c r="P68" s="20" t="n">
        <v>0</v>
      </c>
      <c r="Q68" s="18" t="n">
        <v>0.67660032</v>
      </c>
      <c r="R68" s="20" t="n">
        <v>0.40864249</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(4722.0/B70*100)</f>
        <v/>
      </c>
      <c r="D70" s="19" t="n">
        <v>1312</v>
      </c>
      <c r="E70" s="18" t="n">
        <v>76.07020135</v>
      </c>
      <c r="F70" s="20" t="n">
        <v>1.21582806</v>
      </c>
      <c r="G70" s="18" t="n">
        <v>18.36261383</v>
      </c>
      <c r="H70" s="20" t="n">
        <v>1.0241385</v>
      </c>
      <c r="I70" s="18" t="n">
        <v>0</v>
      </c>
      <c r="J70" s="20" t="n">
        <v>0</v>
      </c>
      <c r="K70" s="18" t="n">
        <v>4.71365762</v>
      </c>
      <c r="L70" s="20" t="n">
        <v>0.63173714</v>
      </c>
      <c r="M70" s="18" t="n">
        <v>0</v>
      </c>
      <c r="N70" s="20" t="n">
        <v>0</v>
      </c>
      <c r="O70" s="18" t="n">
        <v>0</v>
      </c>
      <c r="P70" s="20" t="n">
        <v>0</v>
      </c>
      <c r="Q70" s="18" t="n">
        <v>0.8535272</v>
      </c>
      <c r="R70" s="20" t="n">
        <v>0.25983794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(2485.0/B72*100)</f>
        <v/>
      </c>
      <c r="D72" s="19" t="n">
        <v>622</v>
      </c>
      <c r="E72" s="18" t="n">
        <v>73.24487033</v>
      </c>
      <c r="F72" s="20" t="n">
        <v>2.17845</v>
      </c>
      <c r="G72" s="18" t="n">
        <v>25.03615056</v>
      </c>
      <c r="H72" s="20" t="n">
        <v>2.21933172</v>
      </c>
      <c r="I72" s="18" t="n">
        <v>0</v>
      </c>
      <c r="J72" s="20" t="n">
        <v>0</v>
      </c>
      <c r="K72" s="18" t="n">
        <v>1.12426928</v>
      </c>
      <c r="L72" s="20" t="n">
        <v>0.37084862</v>
      </c>
      <c r="M72" s="18" t="n">
        <v>0</v>
      </c>
      <c r="N72" s="20" t="n">
        <v>0</v>
      </c>
      <c r="O72" s="18" t="n">
        <v>0</v>
      </c>
      <c r="P72" s="20" t="n">
        <v>0</v>
      </c>
      <c r="Q72" s="18" t="n">
        <v>0.59470983</v>
      </c>
      <c r="R72" s="20" t="n">
        <v>0.30151105</v>
      </c>
    </row>
    <row r="73" spans="1:18">
      <c r="A73" s="15" t="s">
        <v>633</v>
      </c>
      <c r="B73" s="17" t="n">
        <v>2973</v>
      </c>
      <c r="C73" s="18">
        <f>(2318.0/B73*100)</f>
        <v/>
      </c>
      <c r="D73" s="19" t="n">
        <v>655</v>
      </c>
      <c r="E73" s="18" t="n">
        <v>64.41536157</v>
      </c>
      <c r="F73" s="20" t="n">
        <v>1.88599089</v>
      </c>
      <c r="G73" s="18" t="n">
        <v>34.96138382</v>
      </c>
      <c r="H73" s="20" t="n">
        <v>1.89088329</v>
      </c>
      <c r="I73" s="18" t="n">
        <v>0</v>
      </c>
      <c r="J73" s="20" t="n">
        <v>0</v>
      </c>
      <c r="K73" s="18" t="n">
        <v>0.34836776</v>
      </c>
      <c r="L73" s="20" t="n">
        <v>0.24578633</v>
      </c>
      <c r="M73" s="18" t="n">
        <v>0</v>
      </c>
      <c r="N73" s="20" t="n">
        <v>0</v>
      </c>
      <c r="O73" s="18" t="n">
        <v>0</v>
      </c>
      <c r="P73" s="20" t="n">
        <v>0</v>
      </c>
      <c r="Q73" s="18" t="n">
        <v>0.27488685</v>
      </c>
      <c r="R73" s="20" t="n">
        <v>0.19672728</v>
      </c>
    </row>
    <row r="74" spans="1:18">
      <c r="A74" s="15" t="s">
        <v>634</v>
      </c>
      <c r="B74" s="17" t="n">
        <v>3819</v>
      </c>
      <c r="C74" s="18">
        <f>(2933.0/B74*100)</f>
        <v/>
      </c>
      <c r="D74" s="19" t="n">
        <v>886</v>
      </c>
      <c r="E74" s="18" t="n">
        <v>68.83685857</v>
      </c>
      <c r="F74" s="20" t="n">
        <v>1.61876739</v>
      </c>
      <c r="G74" s="18" t="n">
        <v>30.89409692</v>
      </c>
      <c r="H74" s="20" t="n">
        <v>1.5854455</v>
      </c>
      <c r="I74" s="18" t="n">
        <v>0</v>
      </c>
      <c r="J74" s="20" t="n">
        <v>0</v>
      </c>
      <c r="K74" s="18" t="n">
        <v>0.17419882</v>
      </c>
      <c r="L74" s="20" t="n">
        <v>0.24841018</v>
      </c>
      <c r="M74" s="18" t="n">
        <v>0</v>
      </c>
      <c r="N74" s="20" t="n">
        <v>0</v>
      </c>
      <c r="O74" s="18" t="n">
        <v>0</v>
      </c>
      <c r="P74" s="20" t="n">
        <v>0</v>
      </c>
      <c r="Q74" s="18" t="n">
        <v>0.09484569</v>
      </c>
      <c r="R74" s="20" t="n">
        <v>0.09569134999999999</v>
      </c>
    </row>
    <row r="75" spans="1:18">
      <c r="A75" s="15" t="s">
        <v>635</v>
      </c>
      <c r="B75" s="17" t="n">
        <v>4652</v>
      </c>
      <c r="C75" s="18">
        <f>(3688.0/B75*100)</f>
        <v/>
      </c>
      <c r="D75" s="19" t="n">
        <v>964</v>
      </c>
      <c r="E75" s="18" t="n">
        <v>67.74045538999999</v>
      </c>
      <c r="F75" s="20" t="n">
        <v>1.8459449</v>
      </c>
      <c r="G75" s="18" t="n">
        <v>31.94230713</v>
      </c>
      <c r="H75" s="20" t="n">
        <v>1.8082242</v>
      </c>
      <c r="I75" s="18" t="n">
        <v>0</v>
      </c>
      <c r="J75" s="20" t="n">
        <v>0</v>
      </c>
      <c r="K75" s="18" t="n">
        <v>0.147714</v>
      </c>
      <c r="L75" s="20" t="n">
        <v>0.14474449</v>
      </c>
      <c r="M75" s="18" t="n">
        <v>0</v>
      </c>
      <c r="N75" s="20" t="n">
        <v>0</v>
      </c>
      <c r="O75" s="18" t="n">
        <v>0</v>
      </c>
      <c r="P75" s="20" t="n">
        <v>0</v>
      </c>
      <c r="Q75" s="18" t="n">
        <v>0.16952347</v>
      </c>
      <c r="R75" s="20" t="n">
        <v>0.16606063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(2389.0/B77*100)</f>
        <v/>
      </c>
      <c r="D77" s="19" t="n">
        <v>580</v>
      </c>
      <c r="E77" s="18" t="n">
        <v>67.23923637999999</v>
      </c>
      <c r="F77" s="20" t="n">
        <v>2.20862998</v>
      </c>
      <c r="G77" s="18" t="n">
        <v>22.56448283</v>
      </c>
      <c r="H77" s="20" t="n">
        <v>1.84793251</v>
      </c>
      <c r="I77" s="18" t="n">
        <v>0</v>
      </c>
      <c r="J77" s="20" t="n">
        <v>0</v>
      </c>
      <c r="K77" s="18" t="n">
        <v>8.985615749999999</v>
      </c>
      <c r="L77" s="20" t="n">
        <v>1.36565645</v>
      </c>
      <c r="M77" s="18" t="n">
        <v>0</v>
      </c>
      <c r="N77" s="20" t="n">
        <v>0</v>
      </c>
      <c r="O77" s="18" t="n">
        <v>0</v>
      </c>
      <c r="P77" s="20" t="n">
        <v>0</v>
      </c>
      <c r="Q77" s="18" t="n">
        <v>1.21066504</v>
      </c>
      <c r="R77" s="20" t="n">
        <v>0.46611999</v>
      </c>
    </row>
    <row r="78" spans="1:18">
      <c r="A78" s="15" t="s">
        <v>638</v>
      </c>
      <c r="B78" s="17" t="n">
        <v>7115</v>
      </c>
      <c r="C78" s="18">
        <f>(5553.0/B78*100)</f>
        <v/>
      </c>
      <c r="D78" s="19" t="n">
        <v>1562</v>
      </c>
      <c r="E78" s="18" t="n">
        <v>72.51932282999999</v>
      </c>
      <c r="F78" s="20" t="n">
        <v>1.48548574</v>
      </c>
      <c r="G78" s="18" t="n">
        <v>24.56450068</v>
      </c>
      <c r="H78" s="20" t="n">
        <v>1.50629014</v>
      </c>
      <c r="I78" s="18" t="n">
        <v>0</v>
      </c>
      <c r="J78" s="20" t="n">
        <v>0</v>
      </c>
      <c r="K78" s="18" t="n">
        <v>2.07004875</v>
      </c>
      <c r="L78" s="20" t="n">
        <v>0.50644744</v>
      </c>
      <c r="M78" s="18" t="n">
        <v>0</v>
      </c>
      <c r="N78" s="20" t="n">
        <v>0</v>
      </c>
      <c r="O78" s="18" t="n">
        <v>0</v>
      </c>
      <c r="P78" s="20" t="n">
        <v>0</v>
      </c>
      <c r="Q78" s="18" t="n">
        <v>0.84612774</v>
      </c>
      <c r="R78" s="20" t="n">
        <v>0.33906946</v>
      </c>
    </row>
    <row r="79" spans="1:18">
      <c r="A79" s="15" t="s">
        <v>639</v>
      </c>
      <c r="B79" s="17" t="n">
        <v>3154</v>
      </c>
      <c r="C79" s="18">
        <f>(2535.0/B79*100)</f>
        <v/>
      </c>
      <c r="D79" s="19" t="n">
        <v>619</v>
      </c>
      <c r="E79" s="18" t="n">
        <v>70.87986045</v>
      </c>
      <c r="F79" s="20" t="n">
        <v>1.84167644</v>
      </c>
      <c r="G79" s="18" t="n">
        <v>24.00752087</v>
      </c>
      <c r="H79" s="20" t="n">
        <v>1.60225975</v>
      </c>
      <c r="I79" s="18" t="n">
        <v>0</v>
      </c>
      <c r="J79" s="20" t="n">
        <v>0</v>
      </c>
      <c r="K79" s="18" t="n">
        <v>3.73806282</v>
      </c>
      <c r="L79" s="20" t="n">
        <v>0.89067241</v>
      </c>
      <c r="M79" s="18" t="n">
        <v>0</v>
      </c>
      <c r="N79" s="20" t="n">
        <v>0</v>
      </c>
      <c r="O79" s="18" t="n">
        <v>0</v>
      </c>
      <c r="P79" s="20" t="n">
        <v>0</v>
      </c>
      <c r="Q79" s="18" t="n">
        <v>1.37455587</v>
      </c>
      <c r="R79" s="20" t="n">
        <v>0.66604188</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(12565.0/B82*100)</f>
        <v/>
      </c>
      <c r="D82" s="19" t="n">
        <v>3396</v>
      </c>
      <c r="E82" s="18" t="n">
        <v>63.11696229</v>
      </c>
      <c r="F82" s="20" t="n">
        <v>1.18963741</v>
      </c>
      <c r="G82" s="18" t="n">
        <v>34.98832259</v>
      </c>
      <c r="H82" s="20" t="n">
        <v>1.19429396</v>
      </c>
      <c r="I82" s="18" t="n">
        <v>0</v>
      </c>
      <c r="J82" s="20" t="n">
        <v>0</v>
      </c>
      <c r="K82" s="18" t="n">
        <v>1.25737718</v>
      </c>
      <c r="L82" s="20" t="n">
        <v>0.28077544</v>
      </c>
      <c r="M82" s="18" t="n">
        <v>0</v>
      </c>
      <c r="N82" s="20" t="n">
        <v>0</v>
      </c>
      <c r="O82" s="18" t="n">
        <v>0</v>
      </c>
      <c r="P82" s="20" t="n">
        <v>0</v>
      </c>
      <c r="Q82" s="18" t="n">
        <v>0.63733794</v>
      </c>
      <c r="R82" s="20" t="n">
        <v>0.1666993</v>
      </c>
    </row>
    <row r="83" spans="1:18">
      <c r="A83" s="15" t="s">
        <v>643</v>
      </c>
      <c r="B83" s="17" t="n">
        <v>808</v>
      </c>
      <c r="C83" s="18">
        <f>(652.0/B83*100)</f>
        <v/>
      </c>
      <c r="D83" s="19" t="n">
        <v>156</v>
      </c>
      <c r="E83" s="18" t="n">
        <v>60.16875389</v>
      </c>
      <c r="F83" s="20" t="n">
        <v>3.81491256</v>
      </c>
      <c r="G83" s="18" t="n">
        <v>39.32728009</v>
      </c>
      <c r="H83" s="20" t="n">
        <v>3.88229615</v>
      </c>
      <c r="I83" s="18" t="n">
        <v>0</v>
      </c>
      <c r="J83" s="20" t="n">
        <v>0</v>
      </c>
      <c r="K83" s="18" t="n">
        <v>0</v>
      </c>
      <c r="L83" s="20" t="n">
        <v>0</v>
      </c>
      <c r="M83" s="18" t="n">
        <v>0</v>
      </c>
      <c r="N83" s="20" t="n">
        <v>0</v>
      </c>
      <c r="O83" s="18" t="n">
        <v>0</v>
      </c>
      <c r="P83" s="20" t="n">
        <v>0</v>
      </c>
      <c r="Q83" s="18" t="n">
        <v>0.50396602</v>
      </c>
      <c r="R83" s="20" t="n">
        <v>0.5023659</v>
      </c>
    </row>
    <row r="84" spans="1:18">
      <c r="A84" s="23" t="s">
        <v>644</v>
      </c>
      <c r="B84" s="24" t="n">
        <v>938</v>
      </c>
      <c r="C84" s="25">
        <f>(746.0/B84*100)</f>
        <v/>
      </c>
      <c r="D84" s="19" t="n">
        <v>192</v>
      </c>
      <c r="E84" s="18" t="n">
        <v>70.90109699</v>
      </c>
      <c r="F84" s="20" t="n">
        <v>3.11437248</v>
      </c>
      <c r="G84" s="18" t="n">
        <v>27.3463597</v>
      </c>
      <c r="H84" s="20" t="n">
        <v>3.08742948</v>
      </c>
      <c r="I84" s="18" t="n">
        <v>0</v>
      </c>
      <c r="J84" s="20" t="n">
        <v>0</v>
      </c>
      <c r="K84" s="18" t="n">
        <v>0.567719</v>
      </c>
      <c r="L84" s="20" t="n">
        <v>0.56799424</v>
      </c>
      <c r="M84" s="18" t="n">
        <v>0</v>
      </c>
      <c r="N84" s="20" t="n">
        <v>0</v>
      </c>
      <c r="O84" s="18" t="n">
        <v>0</v>
      </c>
      <c r="P84" s="20" t="n">
        <v>0</v>
      </c>
      <c r="Q84" s="18" t="n">
        <v>1.1848243</v>
      </c>
      <c r="R84" s="20" t="n">
        <v>0.8932611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(5691.0/B7*100)</f>
        <v/>
      </c>
      <c r="D7" s="19" t="n">
        <v>1472</v>
      </c>
      <c r="E7" s="18" t="n">
        <v>52.43122958</v>
      </c>
      <c r="F7" s="20" t="n">
        <v>1.54629621</v>
      </c>
      <c r="G7" s="18" t="n">
        <v>30.790065</v>
      </c>
      <c r="H7" s="20" t="n">
        <v>1.49267294</v>
      </c>
      <c r="I7" s="18" t="n">
        <v>0</v>
      </c>
      <c r="J7" s="20" t="n">
        <v>0</v>
      </c>
      <c r="K7" s="18" t="n">
        <v>2.0928373</v>
      </c>
      <c r="L7" s="20" t="n">
        <v>0.43911738</v>
      </c>
      <c r="M7" s="18" t="n">
        <v>0.00684834</v>
      </c>
      <c r="N7" s="20" t="n">
        <v>0.00685021</v>
      </c>
      <c r="O7" s="18" t="n">
        <v>0</v>
      </c>
      <c r="P7" s="20" t="n">
        <v>0</v>
      </c>
      <c r="Q7" s="18" t="n">
        <v>14.67901977</v>
      </c>
      <c r="R7" s="20" t="n">
        <v>1.04824117</v>
      </c>
    </row>
    <row r="8" spans="1:18">
      <c r="A8" s="15" t="s">
        <v>566</v>
      </c>
      <c r="B8" s="17" t="n">
        <v>3443</v>
      </c>
      <c r="C8" s="18">
        <f>(2693.0/B8*100)</f>
        <v/>
      </c>
      <c r="D8" s="19" t="n">
        <v>750</v>
      </c>
      <c r="E8" s="18" t="n">
        <v>41.73886377</v>
      </c>
      <c r="F8" s="20" t="n">
        <v>2.05509382</v>
      </c>
      <c r="G8" s="18" t="n">
        <v>25.56685612</v>
      </c>
      <c r="H8" s="20" t="n">
        <v>1.72628493</v>
      </c>
      <c r="I8" s="18" t="n">
        <v>0</v>
      </c>
      <c r="J8" s="20" t="n">
        <v>0</v>
      </c>
      <c r="K8" s="18" t="n">
        <v>2.10008351</v>
      </c>
      <c r="L8" s="20" t="n">
        <v>0.61581708</v>
      </c>
      <c r="M8" s="18" t="n">
        <v>0</v>
      </c>
      <c r="N8" s="20" t="n">
        <v>0</v>
      </c>
      <c r="O8" s="18" t="n">
        <v>0</v>
      </c>
      <c r="P8" s="20" t="n">
        <v>0</v>
      </c>
      <c r="Q8" s="18" t="n">
        <v>30.5941966</v>
      </c>
      <c r="R8" s="20" t="n">
        <v>1.98791809</v>
      </c>
    </row>
    <row r="9" spans="1:18">
      <c r="A9" s="15" t="s">
        <v>567</v>
      </c>
      <c r="B9" s="17" t="n">
        <v>4752</v>
      </c>
      <c r="C9" s="18">
        <f>(3828.0/B9*100)</f>
        <v/>
      </c>
      <c r="D9" s="19" t="n">
        <v>924</v>
      </c>
      <c r="E9" s="18" t="n">
        <v>46.80138728</v>
      </c>
      <c r="F9" s="20" t="n">
        <v>1.89297399</v>
      </c>
      <c r="G9" s="18" t="n">
        <v>23.96159176</v>
      </c>
      <c r="H9" s="20" t="n">
        <v>1.53968874</v>
      </c>
      <c r="I9" s="18" t="n">
        <v>0</v>
      </c>
      <c r="J9" s="20" t="n">
        <v>0</v>
      </c>
      <c r="K9" s="18" t="n">
        <v>4.75758471</v>
      </c>
      <c r="L9" s="20" t="n">
        <v>0.64104744</v>
      </c>
      <c r="M9" s="18" t="n">
        <v>0.48799643</v>
      </c>
      <c r="N9" s="20" t="n">
        <v>0.29560725</v>
      </c>
      <c r="O9" s="18" t="n">
        <v>0</v>
      </c>
      <c r="P9" s="20" t="n">
        <v>0</v>
      </c>
      <c r="Q9" s="18" t="n">
        <v>23.99143982</v>
      </c>
      <c r="R9" s="20" t="n">
        <v>1.85045812</v>
      </c>
    </row>
    <row r="10" spans="1:18">
      <c r="A10" s="15" t="s">
        <v>568</v>
      </c>
      <c r="B10" s="17" t="n">
        <v>10022</v>
      </c>
      <c r="C10" s="18">
        <f>(7866.0/B10*100)</f>
        <v/>
      </c>
      <c r="D10" s="19" t="n">
        <v>2156</v>
      </c>
      <c r="E10" s="18" t="n">
        <v>51.72916333</v>
      </c>
      <c r="F10" s="20" t="n">
        <v>1.46752733</v>
      </c>
      <c r="G10" s="18" t="n">
        <v>35.5128738</v>
      </c>
      <c r="H10" s="20" t="n">
        <v>1.28076311</v>
      </c>
      <c r="I10" s="18" t="n">
        <v>0</v>
      </c>
      <c r="J10" s="20" t="n">
        <v>0</v>
      </c>
      <c r="K10" s="18" t="n">
        <v>1.87957606</v>
      </c>
      <c r="L10" s="20" t="n">
        <v>0.5418023</v>
      </c>
      <c r="M10" s="18" t="n">
        <v>0</v>
      </c>
      <c r="N10" s="20" t="n">
        <v>0</v>
      </c>
      <c r="O10" s="18" t="n">
        <v>0</v>
      </c>
      <c r="P10" s="20" t="n">
        <v>0</v>
      </c>
      <c r="Q10" s="18" t="n">
        <v>10.8783868</v>
      </c>
      <c r="R10" s="20" t="n">
        <v>0.97336327</v>
      </c>
    </row>
    <row r="11" spans="1:18">
      <c r="A11" s="15" t="s">
        <v>569</v>
      </c>
      <c r="B11" s="17" t="n">
        <v>3500</v>
      </c>
      <c r="C11" s="18">
        <f>(2773.0/B11*100)</f>
        <v/>
      </c>
      <c r="D11" s="19" t="n">
        <v>727</v>
      </c>
      <c r="E11" s="18" t="n">
        <v>57.1211556</v>
      </c>
      <c r="F11" s="20" t="n">
        <v>2.12681233</v>
      </c>
      <c r="G11" s="18" t="n">
        <v>10.28614372</v>
      </c>
      <c r="H11" s="20" t="n">
        <v>1.6320574</v>
      </c>
      <c r="I11" s="18" t="n">
        <v>0</v>
      </c>
      <c r="J11" s="20" t="n">
        <v>0</v>
      </c>
      <c r="K11" s="18" t="n">
        <v>7.69903594</v>
      </c>
      <c r="L11" s="20" t="n">
        <v>1.02529545</v>
      </c>
      <c r="M11" s="18" t="n">
        <v>0</v>
      </c>
      <c r="N11" s="20" t="n">
        <v>0</v>
      </c>
      <c r="O11" s="18" t="n">
        <v>0</v>
      </c>
      <c r="P11" s="20" t="n">
        <v>0</v>
      </c>
      <c r="Q11" s="18" t="n">
        <v>24.89366475</v>
      </c>
      <c r="R11" s="20" t="n">
        <v>1.94716792</v>
      </c>
    </row>
    <row r="12" spans="1:18">
      <c r="A12" s="15" t="s">
        <v>570</v>
      </c>
      <c r="B12" s="17" t="n">
        <v>3422</v>
      </c>
      <c r="C12" s="18">
        <f>(2720.0/B12*100)</f>
        <v/>
      </c>
      <c r="D12" s="19" t="n">
        <v>702</v>
      </c>
      <c r="E12" s="18" t="n">
        <v>34.79391095</v>
      </c>
      <c r="F12" s="20" t="n">
        <v>2.09965052</v>
      </c>
      <c r="G12" s="18" t="n">
        <v>24.7724506</v>
      </c>
      <c r="H12" s="20" t="n">
        <v>1.96740454</v>
      </c>
      <c r="I12" s="18" t="n">
        <v>0</v>
      </c>
      <c r="J12" s="20" t="n">
        <v>0</v>
      </c>
      <c r="K12" s="18" t="n">
        <v>2.21418021</v>
      </c>
      <c r="L12" s="20" t="n">
        <v>0.48489589</v>
      </c>
      <c r="M12" s="18" t="n">
        <v>0</v>
      </c>
      <c r="N12" s="20" t="n">
        <v>0</v>
      </c>
      <c r="O12" s="18" t="n">
        <v>0</v>
      </c>
      <c r="P12" s="20" t="n">
        <v>0</v>
      </c>
      <c r="Q12" s="18" t="n">
        <v>38.21945824</v>
      </c>
      <c r="R12" s="20" t="n">
        <v>2.07849848</v>
      </c>
    </row>
    <row r="13" spans="1:18">
      <c r="A13" s="15" t="s">
        <v>571</v>
      </c>
      <c r="B13" s="17" t="n">
        <v>3602</v>
      </c>
      <c r="C13" s="18">
        <f>(2879.0/B13*100)</f>
        <v/>
      </c>
      <c r="D13" s="19" t="n">
        <v>723</v>
      </c>
      <c r="E13" s="18" t="n">
        <v>60.16096349</v>
      </c>
      <c r="F13" s="20" t="n">
        <v>1.84014572</v>
      </c>
      <c r="G13" s="18" t="n">
        <v>14.84199396</v>
      </c>
      <c r="H13" s="20" t="n">
        <v>1.52172503</v>
      </c>
      <c r="I13" s="18" t="n">
        <v>0</v>
      </c>
      <c r="J13" s="20" t="n">
        <v>0</v>
      </c>
      <c r="K13" s="18" t="n">
        <v>3.16747628</v>
      </c>
      <c r="L13" s="20" t="n">
        <v>1.04500078</v>
      </c>
      <c r="M13" s="18" t="n">
        <v>0</v>
      </c>
      <c r="N13" s="20" t="n">
        <v>0</v>
      </c>
      <c r="O13" s="18" t="n">
        <v>0</v>
      </c>
      <c r="P13" s="20" t="n">
        <v>0</v>
      </c>
      <c r="Q13" s="18" t="n">
        <v>21.82956627</v>
      </c>
      <c r="R13" s="20" t="n">
        <v>1.55027484</v>
      </c>
    </row>
    <row r="14" spans="1:18">
      <c r="A14" s="15" t="s">
        <v>572</v>
      </c>
      <c r="B14" s="17" t="n">
        <v>2788</v>
      </c>
      <c r="C14" s="18">
        <f>(2198.0/B14*100)</f>
        <v/>
      </c>
      <c r="D14" s="19" t="n">
        <v>590</v>
      </c>
      <c r="E14" s="18" t="n">
        <v>44.9608687</v>
      </c>
      <c r="F14" s="20" t="n">
        <v>2.14899865</v>
      </c>
      <c r="G14" s="18" t="n">
        <v>31.48606077</v>
      </c>
      <c r="H14" s="20" t="n">
        <v>2.03520972</v>
      </c>
      <c r="I14" s="18" t="n">
        <v>0</v>
      </c>
      <c r="J14" s="20" t="n">
        <v>0</v>
      </c>
      <c r="K14" s="18" t="n">
        <v>0.99196087</v>
      </c>
      <c r="L14" s="20" t="n">
        <v>0.49362067</v>
      </c>
      <c r="M14" s="18" t="n">
        <v>0</v>
      </c>
      <c r="N14" s="20" t="n">
        <v>0</v>
      </c>
      <c r="O14" s="18" t="n">
        <v>0</v>
      </c>
      <c r="P14" s="20" t="n">
        <v>0</v>
      </c>
      <c r="Q14" s="18" t="n">
        <v>22.56110966</v>
      </c>
      <c r="R14" s="20" t="n">
        <v>1.8765873</v>
      </c>
    </row>
    <row r="15" spans="1:18">
      <c r="A15" s="15" t="s">
        <v>573</v>
      </c>
      <c r="B15" s="17" t="n">
        <v>2863</v>
      </c>
      <c r="C15" s="18">
        <f>(2237.0/B15*100)</f>
        <v/>
      </c>
      <c r="D15" s="19" t="n">
        <v>626</v>
      </c>
      <c r="E15" s="18" t="n">
        <v>51.87767052</v>
      </c>
      <c r="F15" s="20" t="n">
        <v>2.13960805</v>
      </c>
      <c r="G15" s="18" t="n">
        <v>25.34766783</v>
      </c>
      <c r="H15" s="20" t="n">
        <v>1.84210123</v>
      </c>
      <c r="I15" s="18" t="n">
        <v>0</v>
      </c>
      <c r="J15" s="20" t="n">
        <v>0</v>
      </c>
      <c r="K15" s="18" t="n">
        <v>1.246071</v>
      </c>
      <c r="L15" s="20" t="n">
        <v>0.46194144</v>
      </c>
      <c r="M15" s="18" t="n">
        <v>0</v>
      </c>
      <c r="N15" s="20" t="n">
        <v>0</v>
      </c>
      <c r="O15" s="18" t="n">
        <v>0</v>
      </c>
      <c r="P15" s="20" t="n">
        <v>0</v>
      </c>
      <c r="Q15" s="18" t="n">
        <v>21.52859065</v>
      </c>
      <c r="R15" s="20" t="n">
        <v>1.79429858</v>
      </c>
    </row>
    <row r="16" spans="1:18">
      <c r="A16" s="15" t="s">
        <v>574</v>
      </c>
      <c r="B16" s="17" t="n">
        <v>3111</v>
      </c>
      <c r="C16" s="18">
        <f>(2451.0/B16*100)</f>
        <v/>
      </c>
      <c r="D16" s="19" t="n">
        <v>660</v>
      </c>
      <c r="E16" s="18" t="n">
        <v>39.85893703</v>
      </c>
      <c r="F16" s="20" t="n">
        <v>1.81724276</v>
      </c>
      <c r="G16" s="18" t="n">
        <v>23.65378979</v>
      </c>
      <c r="H16" s="20" t="n">
        <v>1.4430533</v>
      </c>
      <c r="I16" s="18" t="n">
        <v>0</v>
      </c>
      <c r="J16" s="20" t="n">
        <v>0</v>
      </c>
      <c r="K16" s="18" t="n">
        <v>3.86263892</v>
      </c>
      <c r="L16" s="20" t="n">
        <v>1.13215808</v>
      </c>
      <c r="M16" s="18" t="n">
        <v>0</v>
      </c>
      <c r="N16" s="20" t="n">
        <v>0</v>
      </c>
      <c r="O16" s="18" t="n">
        <v>0</v>
      </c>
      <c r="P16" s="20" t="n">
        <v>0</v>
      </c>
      <c r="Q16" s="18" t="n">
        <v>32.62463426</v>
      </c>
      <c r="R16" s="20" t="n">
        <v>1.86512216</v>
      </c>
    </row>
    <row r="17" spans="1:18">
      <c r="A17" s="15" t="s">
        <v>575</v>
      </c>
      <c r="B17" s="17" t="n">
        <v>3197</v>
      </c>
      <c r="C17" s="18">
        <f>(2579.0/B17*100)</f>
        <v/>
      </c>
      <c r="D17" s="19" t="n">
        <v>618</v>
      </c>
      <c r="E17" s="18" t="n">
        <v>45.29354132</v>
      </c>
      <c r="F17" s="20" t="n">
        <v>2.27902413</v>
      </c>
      <c r="G17" s="18" t="n">
        <v>19.94327735</v>
      </c>
      <c r="H17" s="20" t="n">
        <v>1.79347286</v>
      </c>
      <c r="I17" s="18" t="n">
        <v>0</v>
      </c>
      <c r="J17" s="20" t="n">
        <v>0</v>
      </c>
      <c r="K17" s="18" t="n">
        <v>2.98120619</v>
      </c>
      <c r="L17" s="20" t="n">
        <v>0.68958788</v>
      </c>
      <c r="M17" s="18" t="n">
        <v>0</v>
      </c>
      <c r="N17" s="20" t="n">
        <v>0</v>
      </c>
      <c r="O17" s="18" t="n">
        <v>0</v>
      </c>
      <c r="P17" s="20" t="n">
        <v>0</v>
      </c>
      <c r="Q17" s="18" t="n">
        <v>31.78197514</v>
      </c>
      <c r="R17" s="20" t="n">
        <v>1.89669977</v>
      </c>
    </row>
    <row r="18" spans="1:18">
      <c r="A18" s="15" t="s">
        <v>576</v>
      </c>
      <c r="B18" s="17" t="n">
        <v>2706</v>
      </c>
      <c r="C18" s="18">
        <f>(2120.0/B18*100)</f>
        <v/>
      </c>
      <c r="D18" s="19" t="n">
        <v>586</v>
      </c>
      <c r="E18" s="18" t="n">
        <v>48.40771241</v>
      </c>
      <c r="F18" s="20" t="n">
        <v>2.23872268</v>
      </c>
      <c r="G18" s="18" t="n">
        <v>22.00660878</v>
      </c>
      <c r="H18" s="20" t="n">
        <v>1.84355497</v>
      </c>
      <c r="I18" s="18" t="n">
        <v>0</v>
      </c>
      <c r="J18" s="20" t="n">
        <v>0</v>
      </c>
      <c r="K18" s="18" t="n">
        <v>4.26228672</v>
      </c>
      <c r="L18" s="20" t="n">
        <v>1.01325573</v>
      </c>
      <c r="M18" s="18" t="n">
        <v>0</v>
      </c>
      <c r="N18" s="20" t="n">
        <v>0</v>
      </c>
      <c r="O18" s="18" t="n">
        <v>0</v>
      </c>
      <c r="P18" s="20" t="n">
        <v>0</v>
      </c>
      <c r="Q18" s="18" t="n">
        <v>25.32339208</v>
      </c>
      <c r="R18" s="20" t="n">
        <v>1.84031005</v>
      </c>
    </row>
    <row r="19" spans="1:18">
      <c r="A19" s="15" t="s">
        <v>577</v>
      </c>
      <c r="B19" s="17" t="n">
        <v>2850</v>
      </c>
      <c r="C19" s="18">
        <f>(2279.0/B19*100)</f>
        <v/>
      </c>
      <c r="D19" s="19" t="n">
        <v>571</v>
      </c>
      <c r="E19" s="18" t="n">
        <v>37.5628699</v>
      </c>
      <c r="F19" s="20" t="n">
        <v>2.13962065</v>
      </c>
      <c r="G19" s="18" t="n">
        <v>20.498728</v>
      </c>
      <c r="H19" s="20" t="n">
        <v>1.54945104</v>
      </c>
      <c r="I19" s="18" t="n">
        <v>0</v>
      </c>
      <c r="J19" s="20" t="n">
        <v>0</v>
      </c>
      <c r="K19" s="18" t="n">
        <v>2.44090565</v>
      </c>
      <c r="L19" s="20" t="n">
        <v>0.92660177</v>
      </c>
      <c r="M19" s="18" t="n">
        <v>0</v>
      </c>
      <c r="N19" s="20" t="n">
        <v>0</v>
      </c>
      <c r="O19" s="18" t="n">
        <v>0</v>
      </c>
      <c r="P19" s="20" t="n">
        <v>0</v>
      </c>
      <c r="Q19" s="18" t="n">
        <v>39.49749645</v>
      </c>
      <c r="R19" s="20" t="n">
        <v>2.26142118</v>
      </c>
    </row>
    <row r="20" spans="1:18">
      <c r="A20" s="15" t="s">
        <v>578</v>
      </c>
      <c r="B20" s="17" t="n">
        <v>1741</v>
      </c>
      <c r="C20" s="18">
        <f>(1389.0/B20*100)</f>
        <v/>
      </c>
      <c r="D20" s="19" t="n">
        <v>352</v>
      </c>
      <c r="E20" s="18" t="n">
        <v>53.28866813</v>
      </c>
      <c r="F20" s="20" t="n">
        <v>2.77817143</v>
      </c>
      <c r="G20" s="18" t="n">
        <v>15.92759988</v>
      </c>
      <c r="H20" s="20" t="n">
        <v>1.94755973</v>
      </c>
      <c r="I20" s="18" t="n">
        <v>0</v>
      </c>
      <c r="J20" s="20" t="n">
        <v>0</v>
      </c>
      <c r="K20" s="18" t="n">
        <v>3.45661979</v>
      </c>
      <c r="L20" s="20" t="n">
        <v>1.15533975</v>
      </c>
      <c r="M20" s="18" t="n">
        <v>0.87759707</v>
      </c>
      <c r="N20" s="20" t="n">
        <v>0.12661668</v>
      </c>
      <c r="O20" s="18" t="n">
        <v>0</v>
      </c>
      <c r="P20" s="20" t="n">
        <v>0</v>
      </c>
      <c r="Q20" s="18" t="n">
        <v>26.44951513</v>
      </c>
      <c r="R20" s="20" t="n">
        <v>2.49399838</v>
      </c>
    </row>
    <row r="21" spans="1:18">
      <c r="A21" s="15" t="s">
        <v>579</v>
      </c>
      <c r="B21" s="17" t="n">
        <v>2833</v>
      </c>
      <c r="C21" s="18">
        <f>(2227.0/B21*100)</f>
        <v/>
      </c>
      <c r="D21" s="19" t="n">
        <v>606</v>
      </c>
      <c r="E21" s="18" t="n">
        <v>60.1289596</v>
      </c>
      <c r="F21" s="20" t="n">
        <v>2.12002846</v>
      </c>
      <c r="G21" s="18" t="n">
        <v>21.33023541</v>
      </c>
      <c r="H21" s="20" t="n">
        <v>1.49696548</v>
      </c>
      <c r="I21" s="18" t="n">
        <v>0</v>
      </c>
      <c r="J21" s="20" t="n">
        <v>0</v>
      </c>
      <c r="K21" s="18" t="n">
        <v>1.20624667</v>
      </c>
      <c r="L21" s="20" t="n">
        <v>0.51506336</v>
      </c>
      <c r="M21" s="18" t="n">
        <v>0</v>
      </c>
      <c r="N21" s="20" t="n">
        <v>0</v>
      </c>
      <c r="O21" s="18" t="n">
        <v>0</v>
      </c>
      <c r="P21" s="20" t="n">
        <v>0</v>
      </c>
      <c r="Q21" s="18" t="n">
        <v>17.33455832</v>
      </c>
      <c r="R21" s="20" t="n">
        <v>1.60565423</v>
      </c>
    </row>
    <row r="22" spans="1:18">
      <c r="A22" s="15" t="s">
        <v>580</v>
      </c>
      <c r="B22" s="17" t="n">
        <v>3667</v>
      </c>
      <c r="C22" s="18">
        <f>(2915.0/B22*100)</f>
        <v/>
      </c>
      <c r="D22" s="19" t="n">
        <v>752</v>
      </c>
      <c r="E22" s="18" t="n">
        <v>49.05629794</v>
      </c>
      <c r="F22" s="20" t="n">
        <v>1.91989403</v>
      </c>
      <c r="G22" s="18" t="n">
        <v>17.51911832</v>
      </c>
      <c r="H22" s="20" t="n">
        <v>1.5964742</v>
      </c>
      <c r="I22" s="18" t="n">
        <v>0</v>
      </c>
      <c r="J22" s="20" t="n">
        <v>0</v>
      </c>
      <c r="K22" s="18" t="n">
        <v>4.6023273</v>
      </c>
      <c r="L22" s="20" t="n">
        <v>0.86087967</v>
      </c>
      <c r="M22" s="18" t="n">
        <v>0.22528702</v>
      </c>
      <c r="N22" s="20" t="n">
        <v>0.22439334</v>
      </c>
      <c r="O22" s="18" t="n">
        <v>0</v>
      </c>
      <c r="P22" s="20" t="n">
        <v>0</v>
      </c>
      <c r="Q22" s="18" t="n">
        <v>28.59696943</v>
      </c>
      <c r="R22" s="20" t="n">
        <v>1.70057464</v>
      </c>
    </row>
    <row r="23" spans="1:18">
      <c r="A23" s="15" t="s">
        <v>581</v>
      </c>
      <c r="B23" s="17" t="n">
        <v>5792</v>
      </c>
      <c r="C23" s="18">
        <f>(4554.0/B23*100)</f>
        <v/>
      </c>
      <c r="D23" s="19" t="n">
        <v>1238</v>
      </c>
      <c r="E23" s="18" t="n">
        <v>48.16511189</v>
      </c>
      <c r="F23" s="20" t="n">
        <v>2.12533125</v>
      </c>
      <c r="G23" s="18" t="n">
        <v>14.20650016</v>
      </c>
      <c r="H23" s="20" t="n">
        <v>1.29804481</v>
      </c>
      <c r="I23" s="18" t="n">
        <v>0</v>
      </c>
      <c r="J23" s="20" t="n">
        <v>0</v>
      </c>
      <c r="K23" s="18" t="n">
        <v>4.25316764</v>
      </c>
      <c r="L23" s="20" t="n">
        <v>0.95809936</v>
      </c>
      <c r="M23" s="18" t="n">
        <v>0.09790704</v>
      </c>
      <c r="N23" s="20" t="n">
        <v>0.09791527999999999</v>
      </c>
      <c r="O23" s="18" t="n">
        <v>0</v>
      </c>
      <c r="P23" s="20" t="n">
        <v>0</v>
      </c>
      <c r="Q23" s="18" t="n">
        <v>33.27731326</v>
      </c>
      <c r="R23" s="20" t="n">
        <v>1.91435199</v>
      </c>
    </row>
    <row r="24" spans="1:18">
      <c r="A24" s="15" t="s">
        <v>582</v>
      </c>
      <c r="B24" s="17" t="n">
        <v>3309</v>
      </c>
      <c r="C24" s="18">
        <f>(2593.0/B24*100)</f>
        <v/>
      </c>
      <c r="D24" s="19" t="n">
        <v>716</v>
      </c>
      <c r="E24" s="18" t="n">
        <v>54.35825371</v>
      </c>
      <c r="F24" s="20" t="n">
        <v>1.89009247</v>
      </c>
      <c r="G24" s="18" t="n">
        <v>35.45538861</v>
      </c>
      <c r="H24" s="20" t="n">
        <v>1.83794897</v>
      </c>
      <c r="I24" s="18" t="n">
        <v>0</v>
      </c>
      <c r="J24" s="20" t="n">
        <v>0</v>
      </c>
      <c r="K24" s="18" t="n">
        <v>0.48459844</v>
      </c>
      <c r="L24" s="20" t="n">
        <v>0.24954236</v>
      </c>
      <c r="M24" s="18" t="n">
        <v>0</v>
      </c>
      <c r="N24" s="20" t="n">
        <v>0</v>
      </c>
      <c r="O24" s="18" t="n">
        <v>0</v>
      </c>
      <c r="P24" s="20" t="n">
        <v>0</v>
      </c>
      <c r="Q24" s="18" t="n">
        <v>9.701759239999999</v>
      </c>
      <c r="R24" s="20" t="n">
        <v>1.11154645</v>
      </c>
    </row>
    <row r="25" spans="1:18">
      <c r="A25" s="15" t="s">
        <v>583</v>
      </c>
      <c r="B25" s="17" t="n">
        <v>2669</v>
      </c>
      <c r="C25" s="18">
        <f>(2075.0/B25*100)</f>
        <v/>
      </c>
      <c r="D25" s="19" t="n">
        <v>594</v>
      </c>
      <c r="E25" s="18" t="n">
        <v>52.77669332</v>
      </c>
      <c r="F25" s="20" t="n">
        <v>2.32611433</v>
      </c>
      <c r="G25" s="18" t="n">
        <v>34.95234406</v>
      </c>
      <c r="H25" s="20" t="n">
        <v>2.18028322</v>
      </c>
      <c r="I25" s="18" t="n">
        <v>0</v>
      </c>
      <c r="J25" s="20" t="n">
        <v>0</v>
      </c>
      <c r="K25" s="18" t="n">
        <v>0.48856474</v>
      </c>
      <c r="L25" s="20" t="n">
        <v>0.37316862</v>
      </c>
      <c r="M25" s="18" t="n">
        <v>0</v>
      </c>
      <c r="N25" s="20" t="n">
        <v>0</v>
      </c>
      <c r="O25" s="18" t="n">
        <v>0</v>
      </c>
      <c r="P25" s="20" t="n">
        <v>0</v>
      </c>
      <c r="Q25" s="18" t="n">
        <v>11.78239788</v>
      </c>
      <c r="R25" s="20" t="n">
        <v>1.40300075</v>
      </c>
    </row>
    <row r="26" spans="1:18">
      <c r="A26" s="15" t="s">
        <v>584</v>
      </c>
      <c r="B26" s="17" t="n">
        <v>2419</v>
      </c>
      <c r="C26" s="18">
        <f>(1903.0/B26*100)</f>
        <v/>
      </c>
      <c r="D26" s="19" t="n">
        <v>516</v>
      </c>
      <c r="E26" s="18" t="n">
        <v>52.27142374</v>
      </c>
      <c r="F26" s="20" t="n">
        <v>2.48468909</v>
      </c>
      <c r="G26" s="18" t="n">
        <v>23.12706192</v>
      </c>
      <c r="H26" s="20" t="n">
        <v>1.55893334</v>
      </c>
      <c r="I26" s="18" t="n">
        <v>0</v>
      </c>
      <c r="J26" s="20" t="n">
        <v>0</v>
      </c>
      <c r="K26" s="18" t="n">
        <v>0.67736674</v>
      </c>
      <c r="L26" s="20" t="n">
        <v>0.41859237</v>
      </c>
      <c r="M26" s="18" t="n">
        <v>0</v>
      </c>
      <c r="N26" s="20" t="n">
        <v>0</v>
      </c>
      <c r="O26" s="18" t="n">
        <v>0</v>
      </c>
      <c r="P26" s="20" t="n">
        <v>0</v>
      </c>
      <c r="Q26" s="18" t="n">
        <v>23.9241476</v>
      </c>
      <c r="R26" s="20" t="n">
        <v>2.18182769</v>
      </c>
    </row>
    <row r="27" spans="1:18">
      <c r="A27" s="15" t="s">
        <v>585</v>
      </c>
      <c r="B27" s="17" t="n">
        <v>2683</v>
      </c>
      <c r="C27" s="18">
        <f>(2165.0/B27*100)</f>
        <v/>
      </c>
      <c r="D27" s="19" t="n">
        <v>518</v>
      </c>
      <c r="E27" s="18" t="n">
        <v>49.20568128</v>
      </c>
      <c r="F27" s="20" t="n">
        <v>2.24509504</v>
      </c>
      <c r="G27" s="18" t="n">
        <v>13.91665059</v>
      </c>
      <c r="H27" s="20" t="n">
        <v>1.23323658</v>
      </c>
      <c r="I27" s="18" t="n">
        <v>0</v>
      </c>
      <c r="J27" s="20" t="n">
        <v>0</v>
      </c>
      <c r="K27" s="18" t="n">
        <v>3.86906415</v>
      </c>
      <c r="L27" s="20" t="n">
        <v>0.81551215</v>
      </c>
      <c r="M27" s="18" t="n">
        <v>0</v>
      </c>
      <c r="N27" s="20" t="n">
        <v>0</v>
      </c>
      <c r="O27" s="18" t="n">
        <v>0</v>
      </c>
      <c r="P27" s="20" t="n">
        <v>0</v>
      </c>
      <c r="Q27" s="18" t="n">
        <v>33.00860398</v>
      </c>
      <c r="R27" s="20" t="n">
        <v>2.09772559</v>
      </c>
    </row>
    <row r="28" spans="1:18">
      <c r="A28" s="15" t="s">
        <v>586</v>
      </c>
      <c r="B28" s="17" t="n">
        <v>3803</v>
      </c>
      <c r="C28" s="18">
        <f>(3135.0/B28*100)</f>
        <v/>
      </c>
      <c r="D28" s="19" t="n">
        <v>668</v>
      </c>
      <c r="E28" s="18" t="n">
        <v>80.58444898</v>
      </c>
      <c r="F28" s="20" t="n">
        <v>1.72650041</v>
      </c>
      <c r="G28" s="18" t="n">
        <v>9.30632198</v>
      </c>
      <c r="H28" s="20" t="n">
        <v>1.24149411</v>
      </c>
      <c r="I28" s="18" t="n">
        <v>0</v>
      </c>
      <c r="J28" s="20" t="n">
        <v>0</v>
      </c>
      <c r="K28" s="18" t="n">
        <v>3.79518686</v>
      </c>
      <c r="L28" s="20" t="n">
        <v>1.20271635</v>
      </c>
      <c r="M28" s="18" t="n">
        <v>0.2897465</v>
      </c>
      <c r="N28" s="20" t="n">
        <v>0.28899516</v>
      </c>
      <c r="O28" s="18" t="n">
        <v>0</v>
      </c>
      <c r="P28" s="20" t="n">
        <v>0</v>
      </c>
      <c r="Q28" s="18" t="n">
        <v>6.02429569</v>
      </c>
      <c r="R28" s="20" t="n">
        <v>1.02243629</v>
      </c>
    </row>
    <row r="29" spans="1:18">
      <c r="A29" s="15" t="s">
        <v>587</v>
      </c>
      <c r="B29" s="17" t="n">
        <v>2700</v>
      </c>
      <c r="C29" s="18">
        <f>(2127.0/B29*100)</f>
        <v/>
      </c>
      <c r="D29" s="19" t="n">
        <v>573</v>
      </c>
      <c r="E29" s="18" t="n">
        <v>61.02899183</v>
      </c>
      <c r="F29" s="20" t="n">
        <v>1.99571365</v>
      </c>
      <c r="G29" s="18" t="n">
        <v>28.07141675</v>
      </c>
      <c r="H29" s="20" t="n">
        <v>1.87760536</v>
      </c>
      <c r="I29" s="18" t="n">
        <v>0</v>
      </c>
      <c r="J29" s="20" t="n">
        <v>0</v>
      </c>
      <c r="K29" s="18" t="n">
        <v>0.82174749</v>
      </c>
      <c r="L29" s="20" t="n">
        <v>0.40833829</v>
      </c>
      <c r="M29" s="18" t="n">
        <v>0</v>
      </c>
      <c r="N29" s="20" t="n">
        <v>0</v>
      </c>
      <c r="O29" s="18" t="n">
        <v>0</v>
      </c>
      <c r="P29" s="20" t="n">
        <v>0</v>
      </c>
      <c r="Q29" s="18" t="n">
        <v>10.07784394</v>
      </c>
      <c r="R29" s="20" t="n">
        <v>1.38925398</v>
      </c>
    </row>
    <row r="30" spans="1:18">
      <c r="A30" s="15" t="s">
        <v>588</v>
      </c>
      <c r="B30" s="17" t="n">
        <v>2257</v>
      </c>
      <c r="C30" s="18">
        <f>(1813.0/B30*100)</f>
        <v/>
      </c>
      <c r="D30" s="19" t="n">
        <v>444</v>
      </c>
      <c r="E30" s="18" t="n">
        <v>51.03430992</v>
      </c>
      <c r="F30" s="20" t="n">
        <v>2.27654212</v>
      </c>
      <c r="G30" s="18" t="n">
        <v>22.32468556</v>
      </c>
      <c r="H30" s="20" t="n">
        <v>1.92181181</v>
      </c>
      <c r="I30" s="18" t="n">
        <v>0</v>
      </c>
      <c r="J30" s="20" t="n">
        <v>0</v>
      </c>
      <c r="K30" s="18" t="n">
        <v>3.77825273</v>
      </c>
      <c r="L30" s="20" t="n">
        <v>0.99805865</v>
      </c>
      <c r="M30" s="18" t="n">
        <v>0.24390814</v>
      </c>
      <c r="N30" s="20" t="n">
        <v>0.24819585</v>
      </c>
      <c r="O30" s="18" t="n">
        <v>0</v>
      </c>
      <c r="P30" s="20" t="n">
        <v>0</v>
      </c>
      <c r="Q30" s="18" t="n">
        <v>22.61884366</v>
      </c>
      <c r="R30" s="20" t="n">
        <v>1.63498497</v>
      </c>
    </row>
    <row r="31" spans="1:18">
      <c r="A31" s="15" t="s">
        <v>589</v>
      </c>
      <c r="B31" s="17" t="n">
        <v>2706</v>
      </c>
      <c r="C31" s="18">
        <f>(2151.0/B31*100)</f>
        <v/>
      </c>
      <c r="D31" s="19" t="n">
        <v>555</v>
      </c>
      <c r="E31" s="18" t="n">
        <v>51.96476692</v>
      </c>
      <c r="F31" s="20" t="n">
        <v>2.13031888</v>
      </c>
      <c r="G31" s="18" t="n">
        <v>16.37112896</v>
      </c>
      <c r="H31" s="20" t="n">
        <v>1.44186182</v>
      </c>
      <c r="I31" s="18" t="n">
        <v>0</v>
      </c>
      <c r="J31" s="20" t="n">
        <v>0</v>
      </c>
      <c r="K31" s="18" t="n">
        <v>5.02376984</v>
      </c>
      <c r="L31" s="20" t="n">
        <v>0.9959888</v>
      </c>
      <c r="M31" s="18" t="n">
        <v>0.17710464</v>
      </c>
      <c r="N31" s="20" t="n">
        <v>0.16109217</v>
      </c>
      <c r="O31" s="18" t="n">
        <v>0</v>
      </c>
      <c r="P31" s="20" t="n">
        <v>0</v>
      </c>
      <c r="Q31" s="18" t="n">
        <v>26.46322964</v>
      </c>
      <c r="R31" s="20" t="n">
        <v>2.13288827</v>
      </c>
    </row>
    <row r="32" spans="1:18">
      <c r="A32" s="15" t="s">
        <v>590</v>
      </c>
      <c r="B32" s="17" t="n">
        <v>2209</v>
      </c>
      <c r="C32" s="18">
        <f>(1699.0/B32*100)</f>
        <v/>
      </c>
      <c r="D32" s="19" t="n">
        <v>510</v>
      </c>
      <c r="E32" s="18" t="n">
        <v>44.25954884</v>
      </c>
      <c r="F32" s="20" t="n">
        <v>2.23678045</v>
      </c>
      <c r="G32" s="18" t="n">
        <v>25.17101836</v>
      </c>
      <c r="H32" s="20" t="n">
        <v>2.26443054</v>
      </c>
      <c r="I32" s="18" t="n">
        <v>0</v>
      </c>
      <c r="J32" s="20" t="n">
        <v>0</v>
      </c>
      <c r="K32" s="18" t="n">
        <v>0.54259328</v>
      </c>
      <c r="L32" s="20" t="n">
        <v>0.30159748</v>
      </c>
      <c r="M32" s="18" t="n">
        <v>0</v>
      </c>
      <c r="N32" s="20" t="n">
        <v>0</v>
      </c>
      <c r="O32" s="18" t="n">
        <v>0</v>
      </c>
      <c r="P32" s="20" t="n">
        <v>0</v>
      </c>
      <c r="Q32" s="18" t="n">
        <v>30.02683952</v>
      </c>
      <c r="R32" s="20" t="n">
        <v>2.11553252</v>
      </c>
    </row>
    <row r="33" spans="1:18">
      <c r="A33" s="15" t="s">
        <v>591</v>
      </c>
      <c r="B33" s="17" t="n">
        <v>3651</v>
      </c>
      <c r="C33" s="18">
        <f>(2907.0/B33*100)</f>
        <v/>
      </c>
      <c r="D33" s="19" t="n">
        <v>744</v>
      </c>
      <c r="E33" s="18" t="n">
        <v>52.71049111</v>
      </c>
      <c r="F33" s="20" t="n">
        <v>2.4198725</v>
      </c>
      <c r="G33" s="18" t="n">
        <v>12.92488797</v>
      </c>
      <c r="H33" s="20" t="n">
        <v>1.42602912</v>
      </c>
      <c r="I33" s="18" t="n">
        <v>0</v>
      </c>
      <c r="J33" s="20" t="n">
        <v>0</v>
      </c>
      <c r="K33" s="18" t="n">
        <v>2.91902927</v>
      </c>
      <c r="L33" s="20" t="n">
        <v>0.81686046</v>
      </c>
      <c r="M33" s="18" t="n">
        <v>0</v>
      </c>
      <c r="N33" s="20" t="n">
        <v>0</v>
      </c>
      <c r="O33" s="18" t="n">
        <v>0</v>
      </c>
      <c r="P33" s="20" t="n">
        <v>0</v>
      </c>
      <c r="Q33" s="18" t="n">
        <v>31.44559166</v>
      </c>
      <c r="R33" s="20" t="n">
        <v>2.25451565</v>
      </c>
    </row>
    <row r="34" spans="1:18">
      <c r="A34" s="15" t="s">
        <v>592</v>
      </c>
      <c r="B34" s="17" t="n">
        <v>3035</v>
      </c>
      <c r="C34" s="18">
        <f>(2451.0/B34*100)</f>
        <v/>
      </c>
      <c r="D34" s="19" t="n">
        <v>584</v>
      </c>
      <c r="E34" s="18" t="n">
        <v>48.30456048</v>
      </c>
      <c r="F34" s="20" t="n">
        <v>1.98240893</v>
      </c>
      <c r="G34" s="18" t="n">
        <v>9.848723120000001</v>
      </c>
      <c r="H34" s="20" t="n">
        <v>1.35208297</v>
      </c>
      <c r="I34" s="18" t="n">
        <v>0</v>
      </c>
      <c r="J34" s="20" t="n">
        <v>0</v>
      </c>
      <c r="K34" s="18" t="n">
        <v>2.12781617</v>
      </c>
      <c r="L34" s="20" t="n">
        <v>0.68283671</v>
      </c>
      <c r="M34" s="18" t="n">
        <v>0.15033404</v>
      </c>
      <c r="N34" s="20" t="n">
        <v>0.15218299</v>
      </c>
      <c r="O34" s="18" t="n">
        <v>0</v>
      </c>
      <c r="P34" s="20" t="n">
        <v>0</v>
      </c>
      <c r="Q34" s="18" t="n">
        <v>39.56856619</v>
      </c>
      <c r="R34" s="20" t="n">
        <v>2.12027411</v>
      </c>
    </row>
    <row r="35" spans="1:18">
      <c r="A35" s="15" t="s">
        <v>593</v>
      </c>
      <c r="B35" s="17" t="n">
        <v>2901</v>
      </c>
      <c r="C35" s="18">
        <f>(2291.0/B35*100)</f>
        <v/>
      </c>
      <c r="D35" s="19" t="n">
        <v>610</v>
      </c>
      <c r="E35" s="18" t="n">
        <v>44.42712081</v>
      </c>
      <c r="F35" s="20" t="n">
        <v>2.39669959</v>
      </c>
      <c r="G35" s="18" t="n">
        <v>22.74958981</v>
      </c>
      <c r="H35" s="20" t="n">
        <v>2.11162872</v>
      </c>
      <c r="I35" s="18" t="n">
        <v>0</v>
      </c>
      <c r="J35" s="20" t="n">
        <v>0</v>
      </c>
      <c r="K35" s="18" t="n">
        <v>1.29758466</v>
      </c>
      <c r="L35" s="20" t="n">
        <v>0.5620361699999999</v>
      </c>
      <c r="M35" s="18" t="n">
        <v>0</v>
      </c>
      <c r="N35" s="20" t="n">
        <v>0</v>
      </c>
      <c r="O35" s="18" t="n">
        <v>0</v>
      </c>
      <c r="P35" s="20" t="n">
        <v>0</v>
      </c>
      <c r="Q35" s="18" t="n">
        <v>31.52570471</v>
      </c>
      <c r="R35" s="20" t="n">
        <v>2.26783931</v>
      </c>
    </row>
    <row r="36" spans="1:18">
      <c r="A36" s="15" t="s">
        <v>594</v>
      </c>
      <c r="B36" s="17" t="n">
        <v>3404</v>
      </c>
      <c r="C36" s="18">
        <f>(2680.0/B36*100)</f>
        <v/>
      </c>
      <c r="D36" s="19" t="n">
        <v>724</v>
      </c>
      <c r="E36" s="18" t="n">
        <v>50.51115496</v>
      </c>
      <c r="F36" s="20" t="n">
        <v>1.79337127</v>
      </c>
      <c r="G36" s="18" t="n">
        <v>25.7971923</v>
      </c>
      <c r="H36" s="20" t="n">
        <v>1.39996767</v>
      </c>
      <c r="I36" s="18" t="n">
        <v>0</v>
      </c>
      <c r="J36" s="20" t="n">
        <v>0</v>
      </c>
      <c r="K36" s="18" t="n">
        <v>2.18855407</v>
      </c>
      <c r="L36" s="20" t="n">
        <v>0.45829299</v>
      </c>
      <c r="M36" s="18" t="n">
        <v>0</v>
      </c>
      <c r="N36" s="20" t="n">
        <v>0</v>
      </c>
      <c r="O36" s="18" t="n">
        <v>0</v>
      </c>
      <c r="P36" s="20" t="n">
        <v>0</v>
      </c>
      <c r="Q36" s="18" t="n">
        <v>21.50309866</v>
      </c>
      <c r="R36" s="20" t="n">
        <v>1.51697453</v>
      </c>
    </row>
    <row r="37" spans="1:18">
      <c r="A37" s="15" t="s">
        <v>595</v>
      </c>
      <c r="B37" s="17" t="n">
        <v>2731</v>
      </c>
      <c r="C37" s="18">
        <f>(2176.0/B37*100)</f>
        <v/>
      </c>
      <c r="D37" s="19" t="n">
        <v>555</v>
      </c>
      <c r="E37" s="18" t="n">
        <v>41.53880397</v>
      </c>
      <c r="F37" s="20" t="n">
        <v>2.09571443</v>
      </c>
      <c r="G37" s="18" t="n">
        <v>17.57174701</v>
      </c>
      <c r="H37" s="20" t="n">
        <v>1.79191135</v>
      </c>
      <c r="I37" s="18" t="n">
        <v>0</v>
      </c>
      <c r="J37" s="20" t="n">
        <v>0</v>
      </c>
      <c r="K37" s="18" t="n">
        <v>6.06878183</v>
      </c>
      <c r="L37" s="20" t="n">
        <v>1.01975895</v>
      </c>
      <c r="M37" s="18" t="n">
        <v>0</v>
      </c>
      <c r="N37" s="20" t="n">
        <v>0</v>
      </c>
      <c r="O37" s="18" t="n">
        <v>0</v>
      </c>
      <c r="P37" s="20" t="n">
        <v>0</v>
      </c>
      <c r="Q37" s="18" t="n">
        <v>34.82066719</v>
      </c>
      <c r="R37" s="20" t="n">
        <v>2.59431639</v>
      </c>
    </row>
    <row r="38" spans="1:18">
      <c r="A38" s="15" t="s">
        <v>596</v>
      </c>
      <c r="B38" s="17" t="n">
        <v>2807</v>
      </c>
      <c r="C38" s="18">
        <f>(2204.0/B38*100)</f>
        <v/>
      </c>
      <c r="D38" s="19" t="n">
        <v>603</v>
      </c>
      <c r="E38" s="18" t="n">
        <v>48.39400206</v>
      </c>
      <c r="F38" s="20" t="n">
        <v>2.17252831</v>
      </c>
      <c r="G38" s="18" t="n">
        <v>23.40457781</v>
      </c>
      <c r="H38" s="20" t="n">
        <v>1.78431901</v>
      </c>
      <c r="I38" s="18" t="n">
        <v>0</v>
      </c>
      <c r="J38" s="20" t="n">
        <v>0</v>
      </c>
      <c r="K38" s="18" t="n">
        <v>2.62090456</v>
      </c>
      <c r="L38" s="20" t="n">
        <v>0.65977515</v>
      </c>
      <c r="M38" s="18" t="n">
        <v>2.01643527</v>
      </c>
      <c r="N38" s="20" t="n">
        <v>0.90908398</v>
      </c>
      <c r="O38" s="18" t="n">
        <v>0</v>
      </c>
      <c r="P38" s="20" t="n">
        <v>0</v>
      </c>
      <c r="Q38" s="18" t="n">
        <v>23.5640803</v>
      </c>
      <c r="R38" s="20" t="n">
        <v>2.27560072</v>
      </c>
    </row>
    <row r="39" spans="1:18">
      <c r="A39" s="15" t="s">
        <v>597</v>
      </c>
      <c r="B39" s="17" t="n">
        <v>2938</v>
      </c>
      <c r="C39" s="18">
        <f>(2259.0/B39*100)</f>
        <v/>
      </c>
      <c r="D39" s="19" t="n">
        <v>679</v>
      </c>
      <c r="E39" s="18" t="n">
        <v>60.50258982</v>
      </c>
      <c r="F39" s="20" t="n">
        <v>1.79232495</v>
      </c>
      <c r="G39" s="18" t="n">
        <v>12.4721616</v>
      </c>
      <c r="H39" s="20" t="n">
        <v>1.81613281</v>
      </c>
      <c r="I39" s="18" t="n">
        <v>0</v>
      </c>
      <c r="J39" s="20" t="n">
        <v>0</v>
      </c>
      <c r="K39" s="18" t="n">
        <v>1.89967607</v>
      </c>
      <c r="L39" s="20" t="n">
        <v>0.57376228</v>
      </c>
      <c r="M39" s="18" t="n">
        <v>0</v>
      </c>
      <c r="N39" s="20" t="n">
        <v>0</v>
      </c>
      <c r="O39" s="18" t="n">
        <v>0</v>
      </c>
      <c r="P39" s="20" t="n">
        <v>0</v>
      </c>
      <c r="Q39" s="18" t="n">
        <v>25.12557251</v>
      </c>
      <c r="R39" s="20" t="n">
        <v>1.70534384</v>
      </c>
    </row>
    <row r="40" spans="1:18">
      <c r="A40" s="15" t="s">
        <v>598</v>
      </c>
      <c r="B40" s="17" t="n">
        <v>6922</v>
      </c>
      <c r="C40" s="18">
        <f>(5402.0/B40*100)</f>
        <v/>
      </c>
      <c r="D40" s="19" t="n">
        <v>1520</v>
      </c>
      <c r="E40" s="18" t="n">
        <v>47.07915909</v>
      </c>
      <c r="F40" s="20" t="n">
        <v>1.76266277</v>
      </c>
      <c r="G40" s="18" t="n">
        <v>28.69581292</v>
      </c>
      <c r="H40" s="20" t="n">
        <v>1.65886371</v>
      </c>
      <c r="I40" s="18" t="n">
        <v>0</v>
      </c>
      <c r="J40" s="20" t="n">
        <v>0</v>
      </c>
      <c r="K40" s="18" t="n">
        <v>3.55183056</v>
      </c>
      <c r="L40" s="20" t="n">
        <v>0.72125621</v>
      </c>
      <c r="M40" s="18" t="n">
        <v>0</v>
      </c>
      <c r="N40" s="20" t="n">
        <v>0</v>
      </c>
      <c r="O40" s="18" t="n">
        <v>0</v>
      </c>
      <c r="P40" s="20" t="n">
        <v>0</v>
      </c>
      <c r="Q40" s="18" t="n">
        <v>20.67319743</v>
      </c>
      <c r="R40" s="20" t="n">
        <v>1.4431027</v>
      </c>
    </row>
    <row r="41" spans="1:18">
      <c r="A41" s="15" t="s">
        <v>599</v>
      </c>
      <c r="B41" s="17" t="n">
        <v>2854</v>
      </c>
      <c r="C41" s="18">
        <f>(2270.0/B41*100)</f>
        <v/>
      </c>
      <c r="D41" s="19" t="n">
        <v>584</v>
      </c>
      <c r="E41" s="18" t="n">
        <v>51.38101296</v>
      </c>
      <c r="F41" s="20" t="n">
        <v>2.25344924</v>
      </c>
      <c r="G41" s="18" t="n">
        <v>40.0076581</v>
      </c>
      <c r="H41" s="20" t="n">
        <v>2.22650003</v>
      </c>
      <c r="I41" s="18" t="n">
        <v>0</v>
      </c>
      <c r="J41" s="20" t="n">
        <v>0</v>
      </c>
      <c r="K41" s="18" t="n">
        <v>0.89299403</v>
      </c>
      <c r="L41" s="20" t="n">
        <v>0.39089969</v>
      </c>
      <c r="M41" s="18" t="n">
        <v>0</v>
      </c>
      <c r="N41" s="20" t="n">
        <v>0</v>
      </c>
      <c r="O41" s="18" t="n">
        <v>0</v>
      </c>
      <c r="P41" s="20" t="n">
        <v>0</v>
      </c>
      <c r="Q41" s="18" t="n">
        <v>7.7183349</v>
      </c>
      <c r="R41" s="20" t="n">
        <v>1.24261725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(10413.0/B46*100)</f>
        <v/>
      </c>
      <c r="D46" s="19" t="n">
        <v>1660</v>
      </c>
      <c r="E46" s="18" t="n">
        <v>53.93760756</v>
      </c>
      <c r="F46" s="20" t="n">
        <v>1.62854262</v>
      </c>
      <c r="G46" s="18" t="n">
        <v>14.08182416</v>
      </c>
      <c r="H46" s="20" t="n">
        <v>1.19127262</v>
      </c>
      <c r="I46" s="18" t="n">
        <v>0</v>
      </c>
      <c r="J46" s="20" t="n">
        <v>0</v>
      </c>
      <c r="K46" s="18" t="n">
        <v>7.107627</v>
      </c>
      <c r="L46" s="20" t="n">
        <v>0.9405587399999999</v>
      </c>
      <c r="M46" s="18" t="n">
        <v>0.3362801</v>
      </c>
      <c r="N46" s="20" t="n">
        <v>0.17259523</v>
      </c>
      <c r="O46" s="18" t="n">
        <v>0</v>
      </c>
      <c r="P46" s="20" t="n">
        <v>0</v>
      </c>
      <c r="Q46" s="18" t="n">
        <v>24.53666118</v>
      </c>
      <c r="R46" s="20" t="n">
        <v>1.44775765</v>
      </c>
    </row>
    <row r="47" spans="1:18">
      <c r="A47" s="15" t="s">
        <v>606</v>
      </c>
      <c r="B47" s="17" t="n">
        <v>2823</v>
      </c>
      <c r="C47" s="18">
        <f>(2252.0/B47*100)</f>
        <v/>
      </c>
      <c r="D47" s="19" t="n">
        <v>571</v>
      </c>
      <c r="E47" s="18" t="n">
        <v>32.58215298</v>
      </c>
      <c r="F47" s="20" t="n">
        <v>2.04645095</v>
      </c>
      <c r="G47" s="18" t="n">
        <v>25.20429642</v>
      </c>
      <c r="H47" s="20" t="n">
        <v>1.79294458</v>
      </c>
      <c r="I47" s="18" t="n">
        <v>0</v>
      </c>
      <c r="J47" s="20" t="n">
        <v>0</v>
      </c>
      <c r="K47" s="18" t="n">
        <v>3.92011196</v>
      </c>
      <c r="L47" s="20" t="n">
        <v>0.94679844</v>
      </c>
      <c r="M47" s="18" t="n">
        <v>0</v>
      </c>
      <c r="N47" s="20" t="n">
        <v>0</v>
      </c>
      <c r="O47" s="18" t="n">
        <v>0</v>
      </c>
      <c r="P47" s="20" t="n">
        <v>0</v>
      </c>
      <c r="Q47" s="18" t="n">
        <v>38.29343863</v>
      </c>
      <c r="R47" s="20" t="n">
        <v>2.24780038</v>
      </c>
    </row>
    <row r="48" spans="1:18">
      <c r="A48" s="15" t="s">
        <v>607</v>
      </c>
      <c r="B48" s="17" t="n">
        <v>4682</v>
      </c>
      <c r="C48" s="18">
        <f>(3667.0/B48*100)</f>
        <v/>
      </c>
      <c r="D48" s="19" t="n">
        <v>1015</v>
      </c>
      <c r="E48" s="18" t="n">
        <v>54.84489458</v>
      </c>
      <c r="F48" s="20" t="n">
        <v>1.91462608</v>
      </c>
      <c r="G48" s="18" t="n">
        <v>32.47230995</v>
      </c>
      <c r="H48" s="20" t="n">
        <v>1.61963244</v>
      </c>
      <c r="I48" s="18" t="n">
        <v>0</v>
      </c>
      <c r="J48" s="20" t="n">
        <v>0</v>
      </c>
      <c r="K48" s="18" t="n">
        <v>1.38607411</v>
      </c>
      <c r="L48" s="20" t="n">
        <v>0.56222887</v>
      </c>
      <c r="M48" s="18" t="n">
        <v>0</v>
      </c>
      <c r="N48" s="20" t="n">
        <v>0</v>
      </c>
      <c r="O48" s="18" t="n">
        <v>0</v>
      </c>
      <c r="P48" s="20" t="n">
        <v>0</v>
      </c>
      <c r="Q48" s="18" t="n">
        <v>11.29672136</v>
      </c>
      <c r="R48" s="20" t="n">
        <v>1.35595221</v>
      </c>
    </row>
    <row r="49" spans="1:18">
      <c r="A49" s="15" t="s">
        <v>608</v>
      </c>
      <c r="B49" s="17" t="n">
        <v>6158</v>
      </c>
      <c r="C49" s="18">
        <f>(4935.0/B49*100)</f>
        <v/>
      </c>
      <c r="D49" s="19" t="n">
        <v>1223</v>
      </c>
      <c r="E49" s="18" t="n">
        <v>69.03680120999999</v>
      </c>
      <c r="F49" s="20" t="n">
        <v>1.91712599</v>
      </c>
      <c r="G49" s="18" t="n">
        <v>14.101572</v>
      </c>
      <c r="H49" s="20" t="n">
        <v>1.38657799</v>
      </c>
      <c r="I49" s="18" t="n">
        <v>0</v>
      </c>
      <c r="J49" s="20" t="n">
        <v>0</v>
      </c>
      <c r="K49" s="18" t="n">
        <v>6.435176</v>
      </c>
      <c r="L49" s="20" t="n">
        <v>1.06819741</v>
      </c>
      <c r="M49" s="18" t="n">
        <v>0.1766132</v>
      </c>
      <c r="N49" s="20" t="n">
        <v>0.08611342</v>
      </c>
      <c r="O49" s="18" t="n">
        <v>0</v>
      </c>
      <c r="P49" s="20" t="n">
        <v>0</v>
      </c>
      <c r="Q49" s="18" t="n">
        <v>10.24983759</v>
      </c>
      <c r="R49" s="20" t="n">
        <v>1.09419354</v>
      </c>
    </row>
    <row r="50" spans="1:18">
      <c r="A50" s="15" t="s">
        <v>609</v>
      </c>
      <c r="B50" s="17" t="n">
        <v>3494</v>
      </c>
      <c r="C50" s="18">
        <f>(2898.0/B50*100)</f>
        <v/>
      </c>
      <c r="D50" s="19" t="n">
        <v>596</v>
      </c>
      <c r="E50" s="18" t="n">
        <v>75.20401618</v>
      </c>
      <c r="F50" s="20" t="n">
        <v>1.83295852</v>
      </c>
      <c r="G50" s="18" t="n">
        <v>8.412661890000001</v>
      </c>
      <c r="H50" s="20" t="n">
        <v>1.11163988</v>
      </c>
      <c r="I50" s="18" t="n">
        <v>0</v>
      </c>
      <c r="J50" s="20" t="n">
        <v>0</v>
      </c>
      <c r="K50" s="18" t="n">
        <v>2.98994873</v>
      </c>
      <c r="L50" s="20" t="n">
        <v>0.83409944</v>
      </c>
      <c r="M50" s="18" t="n">
        <v>0</v>
      </c>
      <c r="N50" s="20" t="n">
        <v>0</v>
      </c>
      <c r="O50" s="18" t="n">
        <v>0</v>
      </c>
      <c r="P50" s="20" t="n">
        <v>0</v>
      </c>
      <c r="Q50" s="18" t="n">
        <v>13.39337321</v>
      </c>
      <c r="R50" s="20" t="n">
        <v>1.18456927</v>
      </c>
    </row>
    <row r="51" spans="1:18">
      <c r="A51" s="15" t="s">
        <v>610</v>
      </c>
      <c r="B51" s="17" t="n">
        <v>3013</v>
      </c>
      <c r="C51" s="18">
        <f>(2360.0/B51*100)</f>
        <v/>
      </c>
      <c r="D51" s="19" t="n">
        <v>653</v>
      </c>
      <c r="E51" s="18" t="n">
        <v>38.10400748</v>
      </c>
      <c r="F51" s="20" t="n">
        <v>1.7682438</v>
      </c>
      <c r="G51" s="18" t="n">
        <v>21.92392762</v>
      </c>
      <c r="H51" s="20" t="n">
        <v>1.51868129</v>
      </c>
      <c r="I51" s="18" t="n">
        <v>0</v>
      </c>
      <c r="J51" s="20" t="n">
        <v>0</v>
      </c>
      <c r="K51" s="18" t="n">
        <v>2.00476914</v>
      </c>
      <c r="L51" s="20" t="n">
        <v>0.70979278</v>
      </c>
      <c r="M51" s="18" t="n">
        <v>0</v>
      </c>
      <c r="N51" s="20" t="n">
        <v>0</v>
      </c>
      <c r="O51" s="18" t="n">
        <v>0</v>
      </c>
      <c r="P51" s="20" t="n">
        <v>0</v>
      </c>
      <c r="Q51" s="18" t="n">
        <v>37.96729576</v>
      </c>
      <c r="R51" s="20" t="n">
        <v>1.97871823</v>
      </c>
    </row>
    <row r="52" spans="1:18">
      <c r="A52" s="15" t="s">
        <v>611</v>
      </c>
      <c r="B52" s="17" t="n">
        <v>2760</v>
      </c>
      <c r="C52" s="18">
        <f>(2161.0/B52*100)</f>
        <v/>
      </c>
      <c r="D52" s="19" t="n">
        <v>599</v>
      </c>
      <c r="E52" s="18" t="n">
        <v>52.83954709</v>
      </c>
      <c r="F52" s="20" t="n">
        <v>1.98896925</v>
      </c>
      <c r="G52" s="18" t="n">
        <v>8.26078425</v>
      </c>
      <c r="H52" s="20" t="n">
        <v>1.04077327</v>
      </c>
      <c r="I52" s="18" t="n">
        <v>0</v>
      </c>
      <c r="J52" s="20" t="n">
        <v>0</v>
      </c>
      <c r="K52" s="18" t="n">
        <v>2.71874869</v>
      </c>
      <c r="L52" s="20" t="n">
        <v>0.63561411</v>
      </c>
      <c r="M52" s="18" t="n">
        <v>0</v>
      </c>
      <c r="N52" s="20" t="n">
        <v>0</v>
      </c>
      <c r="O52" s="18" t="n">
        <v>0</v>
      </c>
      <c r="P52" s="20" t="n">
        <v>0</v>
      </c>
      <c r="Q52" s="18" t="n">
        <v>36.18091996</v>
      </c>
      <c r="R52" s="20" t="n">
        <v>2.04647207</v>
      </c>
    </row>
    <row r="53" spans="1:18">
      <c r="A53" s="15" t="s">
        <v>612</v>
      </c>
      <c r="B53" s="17" t="n">
        <v>2474</v>
      </c>
      <c r="C53" s="18">
        <f>(1958.0/B53*100)</f>
        <v/>
      </c>
      <c r="D53" s="19" t="n">
        <v>516</v>
      </c>
      <c r="E53" s="18" t="n">
        <v>45.59449457</v>
      </c>
      <c r="F53" s="20" t="n">
        <v>2.44851119</v>
      </c>
      <c r="G53" s="18" t="n">
        <v>7.76339782</v>
      </c>
      <c r="H53" s="20" t="n">
        <v>1.28677956</v>
      </c>
      <c r="I53" s="18" t="n">
        <v>0</v>
      </c>
      <c r="J53" s="20" t="n">
        <v>0</v>
      </c>
      <c r="K53" s="18" t="n">
        <v>29.30332381</v>
      </c>
      <c r="L53" s="20" t="n">
        <v>2.52845417</v>
      </c>
      <c r="M53" s="18" t="n">
        <v>1.08015185</v>
      </c>
      <c r="N53" s="20" t="n">
        <v>1.18585979</v>
      </c>
      <c r="O53" s="18" t="n">
        <v>0</v>
      </c>
      <c r="P53" s="20" t="n">
        <v>0</v>
      </c>
      <c r="Q53" s="18" t="n">
        <v>16.25863195</v>
      </c>
      <c r="R53" s="20" t="n">
        <v>1.83688114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(2094.0/B55*100)</f>
        <v/>
      </c>
      <c r="D55" s="19" t="n">
        <v>581</v>
      </c>
      <c r="E55" s="18" t="n">
        <v>64.78389856</v>
      </c>
      <c r="F55" s="20" t="n">
        <v>2.34381947</v>
      </c>
      <c r="G55" s="18" t="n">
        <v>30.11045517</v>
      </c>
      <c r="H55" s="20" t="n">
        <v>2.16383329</v>
      </c>
      <c r="I55" s="18" t="n">
        <v>0</v>
      </c>
      <c r="J55" s="20" t="n">
        <v>0</v>
      </c>
      <c r="K55" s="18" t="n">
        <v>0.70062155</v>
      </c>
      <c r="L55" s="20" t="n">
        <v>0.40320056</v>
      </c>
      <c r="M55" s="18" t="n">
        <v>0</v>
      </c>
      <c r="N55" s="20" t="n">
        <v>0</v>
      </c>
      <c r="O55" s="18" t="n">
        <v>0</v>
      </c>
      <c r="P55" s="20" t="n">
        <v>0</v>
      </c>
      <c r="Q55" s="18" t="n">
        <v>4.40502472</v>
      </c>
      <c r="R55" s="20" t="n">
        <v>0.9113988200000001</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(2506.0/B61*100)</f>
        <v/>
      </c>
      <c r="D61" s="19" t="n">
        <v>695</v>
      </c>
      <c r="E61" s="18" t="n">
        <v>42.4445968</v>
      </c>
      <c r="F61" s="20" t="n">
        <v>2.08670504</v>
      </c>
      <c r="G61" s="18" t="n">
        <v>26.69676103</v>
      </c>
      <c r="H61" s="20" t="n">
        <v>2.24639193</v>
      </c>
      <c r="I61" s="18" t="n">
        <v>0</v>
      </c>
      <c r="J61" s="20" t="n">
        <v>0</v>
      </c>
      <c r="K61" s="18" t="n">
        <v>1.52866258</v>
      </c>
      <c r="L61" s="20" t="n">
        <v>0.49691991</v>
      </c>
      <c r="M61" s="18" t="n">
        <v>0</v>
      </c>
      <c r="N61" s="20" t="n">
        <v>0</v>
      </c>
      <c r="O61" s="18" t="n">
        <v>0</v>
      </c>
      <c r="P61" s="20" t="n">
        <v>0</v>
      </c>
      <c r="Q61" s="18" t="n">
        <v>29.3299796</v>
      </c>
      <c r="R61" s="20" t="n">
        <v>2.2307805</v>
      </c>
    </row>
    <row r="62" spans="1:18">
      <c r="A62" s="15" t="s">
        <v>622</v>
      </c>
      <c r="B62" s="17" t="n">
        <v>2230</v>
      </c>
      <c r="C62" s="18">
        <f>(1783.0/B62*100)</f>
        <v/>
      </c>
      <c r="D62" s="19" t="n">
        <v>447</v>
      </c>
      <c r="E62" s="18" t="n">
        <v>62.37373783</v>
      </c>
      <c r="F62" s="20" t="n">
        <v>2.41348559</v>
      </c>
      <c r="G62" s="18" t="n">
        <v>31.99400222</v>
      </c>
      <c r="H62" s="20" t="n">
        <v>2.46070785</v>
      </c>
      <c r="I62" s="18" t="n">
        <v>0</v>
      </c>
      <c r="J62" s="20" t="n">
        <v>0</v>
      </c>
      <c r="K62" s="18" t="n">
        <v>0.22224853</v>
      </c>
      <c r="L62" s="20" t="n">
        <v>0.22119593</v>
      </c>
      <c r="M62" s="18" t="n">
        <v>0</v>
      </c>
      <c r="N62" s="20" t="n">
        <v>0</v>
      </c>
      <c r="O62" s="18" t="n">
        <v>0</v>
      </c>
      <c r="P62" s="20" t="n">
        <v>0</v>
      </c>
      <c r="Q62" s="18" t="n">
        <v>5.41001142</v>
      </c>
      <c r="R62" s="20" t="n">
        <v>0.9846838999999999</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(2223.0/B67*100)</f>
        <v/>
      </c>
      <c r="D67" s="19" t="n">
        <v>548</v>
      </c>
      <c r="E67" s="18" t="n">
        <v>25.58337996</v>
      </c>
      <c r="F67" s="20" t="n">
        <v>1.71324885</v>
      </c>
      <c r="G67" s="18" t="n">
        <v>11.07099958</v>
      </c>
      <c r="H67" s="20" t="n">
        <v>1.33616951</v>
      </c>
      <c r="I67" s="18" t="n">
        <v>0</v>
      </c>
      <c r="J67" s="20" t="n">
        <v>0</v>
      </c>
      <c r="K67" s="18" t="n">
        <v>7.80148927</v>
      </c>
      <c r="L67" s="20" t="n">
        <v>1.15867704</v>
      </c>
      <c r="M67" s="18" t="n">
        <v>0.16867079</v>
      </c>
      <c r="N67" s="20" t="n">
        <v>0.16886624</v>
      </c>
      <c r="O67" s="18" t="n">
        <v>0</v>
      </c>
      <c r="P67" s="20" t="n">
        <v>0</v>
      </c>
      <c r="Q67" s="18" t="n">
        <v>55.37546039</v>
      </c>
      <c r="R67" s="20" t="n">
        <v>2.13021654</v>
      </c>
    </row>
    <row r="68" spans="1:18">
      <c r="A68" s="15" t="s">
        <v>628</v>
      </c>
      <c r="B68" s="17" t="n">
        <v>3460</v>
      </c>
      <c r="C68" s="18">
        <f>(2929.0/B68*100)</f>
        <v/>
      </c>
      <c r="D68" s="19" t="n">
        <v>531</v>
      </c>
      <c r="E68" s="18" t="n">
        <v>72.25048863000001</v>
      </c>
      <c r="F68" s="20" t="n">
        <v>2.48690738</v>
      </c>
      <c r="G68" s="18" t="n">
        <v>6.55652875</v>
      </c>
      <c r="H68" s="20" t="n">
        <v>1.20231501</v>
      </c>
      <c r="I68" s="18" t="n">
        <v>0</v>
      </c>
      <c r="J68" s="20" t="n">
        <v>0</v>
      </c>
      <c r="K68" s="18" t="n">
        <v>2.70776064</v>
      </c>
      <c r="L68" s="20" t="n">
        <v>0.72642042</v>
      </c>
      <c r="M68" s="18" t="n">
        <v>0.57125903</v>
      </c>
      <c r="N68" s="20" t="n">
        <v>0.32961899</v>
      </c>
      <c r="O68" s="18" t="n">
        <v>0</v>
      </c>
      <c r="P68" s="20" t="n">
        <v>0</v>
      </c>
      <c r="Q68" s="18" t="n">
        <v>17.91396294</v>
      </c>
      <c r="R68" s="20" t="n">
        <v>2.03185107</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(4723.0/B70*100)</f>
        <v/>
      </c>
      <c r="D70" s="19" t="n">
        <v>1311</v>
      </c>
      <c r="E70" s="18" t="n">
        <v>62.97801182</v>
      </c>
      <c r="F70" s="20" t="n">
        <v>1.24073666</v>
      </c>
      <c r="G70" s="18" t="n">
        <v>12.08632734</v>
      </c>
      <c r="H70" s="20" t="n">
        <v>0.7353204</v>
      </c>
      <c r="I70" s="18" t="n">
        <v>0</v>
      </c>
      <c r="J70" s="20" t="n">
        <v>0</v>
      </c>
      <c r="K70" s="18" t="n">
        <v>7.14648369</v>
      </c>
      <c r="L70" s="20" t="n">
        <v>0.71412708</v>
      </c>
      <c r="M70" s="18" t="n">
        <v>0</v>
      </c>
      <c r="N70" s="20" t="n">
        <v>0</v>
      </c>
      <c r="O70" s="18" t="n">
        <v>0</v>
      </c>
      <c r="P70" s="20" t="n">
        <v>0</v>
      </c>
      <c r="Q70" s="18" t="n">
        <v>17.78917714</v>
      </c>
      <c r="R70" s="20" t="n">
        <v>1.07635922</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(2495.0/B72*100)</f>
        <v/>
      </c>
      <c r="D72" s="19" t="n">
        <v>612</v>
      </c>
      <c r="E72" s="18" t="n">
        <v>32.83926692</v>
      </c>
      <c r="F72" s="20" t="n">
        <v>2.30838867</v>
      </c>
      <c r="G72" s="18" t="n">
        <v>29.73767374</v>
      </c>
      <c r="H72" s="20" t="n">
        <v>2.58311133</v>
      </c>
      <c r="I72" s="18" t="n">
        <v>0</v>
      </c>
      <c r="J72" s="20" t="n">
        <v>0</v>
      </c>
      <c r="K72" s="18" t="n">
        <v>1.92105151</v>
      </c>
      <c r="L72" s="20" t="n">
        <v>0.7066782700000001</v>
      </c>
      <c r="M72" s="18" t="n">
        <v>0.07324192</v>
      </c>
      <c r="N72" s="20" t="n">
        <v>0.07347149</v>
      </c>
      <c r="O72" s="18" t="n">
        <v>0</v>
      </c>
      <c r="P72" s="20" t="n">
        <v>0</v>
      </c>
      <c r="Q72" s="18" t="n">
        <v>35.42876591</v>
      </c>
      <c r="R72" s="20" t="n">
        <v>1.77378758</v>
      </c>
    </row>
    <row r="73" spans="1:18">
      <c r="A73" s="15" t="s">
        <v>633</v>
      </c>
      <c r="B73" s="17" t="n">
        <v>2973</v>
      </c>
      <c r="C73" s="18">
        <f>(2319.0/B73*100)</f>
        <v/>
      </c>
      <c r="D73" s="19" t="n">
        <v>654</v>
      </c>
      <c r="E73" s="18" t="n">
        <v>65.5536805</v>
      </c>
      <c r="F73" s="20" t="n">
        <v>2.00991209</v>
      </c>
      <c r="G73" s="18" t="n">
        <v>25.82046629</v>
      </c>
      <c r="H73" s="20" t="n">
        <v>1.72931398</v>
      </c>
      <c r="I73" s="18" t="n">
        <v>0</v>
      </c>
      <c r="J73" s="20" t="n">
        <v>0</v>
      </c>
      <c r="K73" s="18" t="n">
        <v>0.56480686</v>
      </c>
      <c r="L73" s="20" t="n">
        <v>0.29188461</v>
      </c>
      <c r="M73" s="18" t="n">
        <v>0</v>
      </c>
      <c r="N73" s="20" t="n">
        <v>0</v>
      </c>
      <c r="O73" s="18" t="n">
        <v>0</v>
      </c>
      <c r="P73" s="20" t="n">
        <v>0</v>
      </c>
      <c r="Q73" s="18" t="n">
        <v>8.06104635</v>
      </c>
      <c r="R73" s="20" t="n">
        <v>1.09141272</v>
      </c>
    </row>
    <row r="74" spans="1:18">
      <c r="A74" s="15" t="s">
        <v>634</v>
      </c>
      <c r="B74" s="17" t="n">
        <v>3819</v>
      </c>
      <c r="C74" s="18">
        <f>(2934.0/B74*100)</f>
        <v/>
      </c>
      <c r="D74" s="19" t="n">
        <v>885</v>
      </c>
      <c r="E74" s="18" t="n">
        <v>60.53260997</v>
      </c>
      <c r="F74" s="20" t="n">
        <v>1.35450175</v>
      </c>
      <c r="G74" s="18" t="n">
        <v>30.42634941</v>
      </c>
      <c r="H74" s="20" t="n">
        <v>1.33049078</v>
      </c>
      <c r="I74" s="18" t="n">
        <v>0</v>
      </c>
      <c r="J74" s="20" t="n">
        <v>0</v>
      </c>
      <c r="K74" s="18" t="n">
        <v>0.17434854</v>
      </c>
      <c r="L74" s="20" t="n">
        <v>0.24862563</v>
      </c>
      <c r="M74" s="18" t="n">
        <v>0</v>
      </c>
      <c r="N74" s="20" t="n">
        <v>0</v>
      </c>
      <c r="O74" s="18" t="n">
        <v>0</v>
      </c>
      <c r="P74" s="20" t="n">
        <v>0</v>
      </c>
      <c r="Q74" s="18" t="n">
        <v>8.86669208</v>
      </c>
      <c r="R74" s="20" t="n">
        <v>1.02989322</v>
      </c>
    </row>
    <row r="75" spans="1:18">
      <c r="A75" s="15" t="s">
        <v>635</v>
      </c>
      <c r="B75" s="17" t="n">
        <v>4652</v>
      </c>
      <c r="C75" s="18">
        <f>(3708.0/B75*100)</f>
        <v/>
      </c>
      <c r="D75" s="19" t="n">
        <v>944</v>
      </c>
      <c r="E75" s="18" t="n">
        <v>69.75597439000001</v>
      </c>
      <c r="F75" s="20" t="n">
        <v>1.82174546</v>
      </c>
      <c r="G75" s="18" t="n">
        <v>24.2630189</v>
      </c>
      <c r="H75" s="20" t="n">
        <v>1.61982791</v>
      </c>
      <c r="I75" s="18" t="n">
        <v>0</v>
      </c>
      <c r="J75" s="20" t="n">
        <v>0</v>
      </c>
      <c r="K75" s="18" t="n">
        <v>0.61260485</v>
      </c>
      <c r="L75" s="20" t="n">
        <v>0.30264363</v>
      </c>
      <c r="M75" s="18" t="n">
        <v>0.39771781</v>
      </c>
      <c r="N75" s="20" t="n">
        <v>0.28430085</v>
      </c>
      <c r="O75" s="18" t="n">
        <v>0</v>
      </c>
      <c r="P75" s="20" t="n">
        <v>0</v>
      </c>
      <c r="Q75" s="18" t="n">
        <v>4.97068405</v>
      </c>
      <c r="R75" s="20" t="n">
        <v>0.8924468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(2402.0/B77*100)</f>
        <v/>
      </c>
      <c r="D77" s="19" t="n">
        <v>567</v>
      </c>
      <c r="E77" s="18" t="n">
        <v>37.71534082</v>
      </c>
      <c r="F77" s="20" t="n">
        <v>2.40440457</v>
      </c>
      <c r="G77" s="18" t="n">
        <v>8.89312908</v>
      </c>
      <c r="H77" s="20" t="n">
        <v>1.26499092</v>
      </c>
      <c r="I77" s="18" t="n">
        <v>0</v>
      </c>
      <c r="J77" s="20" t="n">
        <v>0</v>
      </c>
      <c r="K77" s="18" t="n">
        <v>12.48677752</v>
      </c>
      <c r="L77" s="20" t="n">
        <v>1.62376473</v>
      </c>
      <c r="M77" s="18" t="n">
        <v>0.40923623</v>
      </c>
      <c r="N77" s="20" t="n">
        <v>0.29517634</v>
      </c>
      <c r="O77" s="18" t="n">
        <v>0</v>
      </c>
      <c r="P77" s="20" t="n">
        <v>0</v>
      </c>
      <c r="Q77" s="18" t="n">
        <v>40.49551635</v>
      </c>
      <c r="R77" s="20" t="n">
        <v>2.21544855</v>
      </c>
    </row>
    <row r="78" spans="1:18">
      <c r="A78" s="15" t="s">
        <v>638</v>
      </c>
      <c r="B78" s="17" t="n">
        <v>7115</v>
      </c>
      <c r="C78" s="18">
        <f>(5555.0/B78*100)</f>
        <v/>
      </c>
      <c r="D78" s="19" t="n">
        <v>1560</v>
      </c>
      <c r="E78" s="18" t="n">
        <v>66.73307699999999</v>
      </c>
      <c r="F78" s="20" t="n">
        <v>1.36039859</v>
      </c>
      <c r="G78" s="18" t="n">
        <v>18.91195065</v>
      </c>
      <c r="H78" s="20" t="n">
        <v>1.49974419</v>
      </c>
      <c r="I78" s="18" t="n">
        <v>0</v>
      </c>
      <c r="J78" s="20" t="n">
        <v>0</v>
      </c>
      <c r="K78" s="18" t="n">
        <v>2.46119325</v>
      </c>
      <c r="L78" s="20" t="n">
        <v>0.5150002</v>
      </c>
      <c r="M78" s="18" t="n">
        <v>0.14681691</v>
      </c>
      <c r="N78" s="20" t="n">
        <v>0.1083513</v>
      </c>
      <c r="O78" s="18" t="n">
        <v>0</v>
      </c>
      <c r="P78" s="20" t="n">
        <v>0</v>
      </c>
      <c r="Q78" s="18" t="n">
        <v>11.74696219</v>
      </c>
      <c r="R78" s="20" t="n">
        <v>0.99717139</v>
      </c>
    </row>
    <row r="79" spans="1:18">
      <c r="A79" s="15" t="s">
        <v>639</v>
      </c>
      <c r="B79" s="17" t="n">
        <v>3154</v>
      </c>
      <c r="C79" s="18">
        <f>(2541.0/B79*100)</f>
        <v/>
      </c>
      <c r="D79" s="19" t="n">
        <v>613</v>
      </c>
      <c r="E79" s="18" t="n">
        <v>37.45089784</v>
      </c>
      <c r="F79" s="20" t="n">
        <v>2.13592073</v>
      </c>
      <c r="G79" s="18" t="n">
        <v>17.66638377</v>
      </c>
      <c r="H79" s="20" t="n">
        <v>1.5949896</v>
      </c>
      <c r="I79" s="18" t="n">
        <v>0</v>
      </c>
      <c r="J79" s="20" t="n">
        <v>0</v>
      </c>
      <c r="K79" s="18" t="n">
        <v>6.36578865</v>
      </c>
      <c r="L79" s="20" t="n">
        <v>1.0421209</v>
      </c>
      <c r="M79" s="18" t="n">
        <v>0</v>
      </c>
      <c r="N79" s="20" t="n">
        <v>0</v>
      </c>
      <c r="O79" s="18" t="n">
        <v>0</v>
      </c>
      <c r="P79" s="20" t="n">
        <v>0</v>
      </c>
      <c r="Q79" s="18" t="n">
        <v>38.51692974</v>
      </c>
      <c r="R79" s="20" t="n">
        <v>2.25222347</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(12631.0/B82*100)</f>
        <v/>
      </c>
      <c r="D82" s="19" t="n">
        <v>3330</v>
      </c>
      <c r="E82" s="18" t="n">
        <v>51.07640855</v>
      </c>
      <c r="F82" s="20" t="n">
        <v>1.3131345</v>
      </c>
      <c r="G82" s="18" t="n">
        <v>27.2280969</v>
      </c>
      <c r="H82" s="20" t="n">
        <v>1.26928637</v>
      </c>
      <c r="I82" s="18" t="n">
        <v>0</v>
      </c>
      <c r="J82" s="20" t="n">
        <v>0</v>
      </c>
      <c r="K82" s="18" t="n">
        <v>2.13744415</v>
      </c>
      <c r="L82" s="20" t="n">
        <v>0.28809203</v>
      </c>
      <c r="M82" s="18" t="n">
        <v>0</v>
      </c>
      <c r="N82" s="20" t="n">
        <v>0</v>
      </c>
      <c r="O82" s="18" t="n">
        <v>0</v>
      </c>
      <c r="P82" s="20" t="n">
        <v>0</v>
      </c>
      <c r="Q82" s="18" t="n">
        <v>19.5580504</v>
      </c>
      <c r="R82" s="20" t="n">
        <v>1.02881061</v>
      </c>
    </row>
    <row r="83" spans="1:18">
      <c r="A83" s="15" t="s">
        <v>643</v>
      </c>
      <c r="B83" s="17" t="n">
        <v>808</v>
      </c>
      <c r="C83" s="18">
        <f>(653.0/B83*100)</f>
        <v/>
      </c>
      <c r="D83" s="19" t="n">
        <v>155</v>
      </c>
      <c r="E83" s="18" t="n">
        <v>49.75081139</v>
      </c>
      <c r="F83" s="20" t="n">
        <v>4.28954086</v>
      </c>
      <c r="G83" s="18" t="n">
        <v>45.09006539</v>
      </c>
      <c r="H83" s="20" t="n">
        <v>4.86553616</v>
      </c>
      <c r="I83" s="18" t="n">
        <v>0</v>
      </c>
      <c r="J83" s="20" t="n">
        <v>0</v>
      </c>
      <c r="K83" s="18" t="n">
        <v>0</v>
      </c>
      <c r="L83" s="20" t="n">
        <v>0</v>
      </c>
      <c r="M83" s="18" t="n">
        <v>0</v>
      </c>
      <c r="N83" s="20" t="n">
        <v>0</v>
      </c>
      <c r="O83" s="18" t="n">
        <v>0</v>
      </c>
      <c r="P83" s="20" t="n">
        <v>0</v>
      </c>
      <c r="Q83" s="18" t="n">
        <v>5.15912323</v>
      </c>
      <c r="R83" s="20" t="n">
        <v>1.53992651</v>
      </c>
    </row>
    <row r="84" spans="1:18">
      <c r="A84" s="23" t="s">
        <v>644</v>
      </c>
      <c r="B84" s="24" t="n">
        <v>938</v>
      </c>
      <c r="C84" s="25">
        <f>(750.0/B84*100)</f>
        <v/>
      </c>
      <c r="D84" s="19" t="n">
        <v>188</v>
      </c>
      <c r="E84" s="18" t="n">
        <v>57.97199661</v>
      </c>
      <c r="F84" s="20" t="n">
        <v>3.10565634</v>
      </c>
      <c r="G84" s="18" t="n">
        <v>34.40483237</v>
      </c>
      <c r="H84" s="20" t="n">
        <v>3.23007479</v>
      </c>
      <c r="I84" s="18" t="n">
        <v>0</v>
      </c>
      <c r="J84" s="20" t="n">
        <v>0</v>
      </c>
      <c r="K84" s="18" t="n">
        <v>1.50582308</v>
      </c>
      <c r="L84" s="20" t="n">
        <v>0.90168372</v>
      </c>
      <c r="M84" s="18" t="n">
        <v>0</v>
      </c>
      <c r="N84" s="20" t="n">
        <v>0</v>
      </c>
      <c r="O84" s="18" t="n">
        <v>0</v>
      </c>
      <c r="P84" s="20" t="n">
        <v>0</v>
      </c>
      <c r="Q84" s="18" t="n">
        <v>6.11734795</v>
      </c>
      <c r="R84" s="20" t="n">
        <v>1.80459708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(5692.0/B7*100)</f>
        <v/>
      </c>
      <c r="D7" s="19" t="n">
        <v>1471</v>
      </c>
      <c r="E7" s="18" t="n">
        <v>31.62433284</v>
      </c>
      <c r="F7" s="20" t="n">
        <v>1.6454732</v>
      </c>
      <c r="G7" s="18" t="n">
        <v>65.64490703</v>
      </c>
      <c r="H7" s="20" t="n">
        <v>1.55462395</v>
      </c>
      <c r="I7" s="18" t="n">
        <v>0</v>
      </c>
      <c r="J7" s="20" t="n">
        <v>0</v>
      </c>
      <c r="K7" s="18" t="n">
        <v>2.73076013</v>
      </c>
      <c r="L7" s="20" t="n">
        <v>0.47318994</v>
      </c>
      <c r="M7" s="18" t="n">
        <v>0</v>
      </c>
      <c r="N7" s="20" t="n">
        <v>0</v>
      </c>
      <c r="O7" s="18" t="n">
        <v>0</v>
      </c>
      <c r="P7" s="20" t="n">
        <v>0</v>
      </c>
      <c r="Q7" s="18" t="n">
        <v>0</v>
      </c>
      <c r="R7" s="20" t="n">
        <v>0</v>
      </c>
    </row>
    <row r="8" spans="1:18">
      <c r="A8" s="15" t="s">
        <v>566</v>
      </c>
      <c r="B8" s="17" t="n">
        <v>3443</v>
      </c>
      <c r="C8" s="18">
        <f>(2692.0/B8*100)</f>
        <v/>
      </c>
      <c r="D8" s="19" t="n">
        <v>751</v>
      </c>
      <c r="E8" s="18" t="n">
        <v>17.54322341</v>
      </c>
      <c r="F8" s="20" t="n">
        <v>1.53913621</v>
      </c>
      <c r="G8" s="18" t="n">
        <v>80.26506779</v>
      </c>
      <c r="H8" s="20" t="n">
        <v>1.71472187</v>
      </c>
      <c r="I8" s="18" t="n">
        <v>0</v>
      </c>
      <c r="J8" s="20" t="n">
        <v>0</v>
      </c>
      <c r="K8" s="18" t="n">
        <v>2.19170879</v>
      </c>
      <c r="L8" s="20" t="n">
        <v>0.6193736</v>
      </c>
      <c r="M8" s="18" t="n">
        <v>0</v>
      </c>
      <c r="N8" s="20" t="n">
        <v>0</v>
      </c>
      <c r="O8" s="18" t="n">
        <v>0</v>
      </c>
      <c r="P8" s="20" t="n">
        <v>0</v>
      </c>
      <c r="Q8" s="18" t="n">
        <v>0</v>
      </c>
      <c r="R8" s="20" t="n">
        <v>0</v>
      </c>
    </row>
    <row r="9" spans="1:18">
      <c r="A9" s="15" t="s">
        <v>567</v>
      </c>
      <c r="B9" s="17" t="n">
        <v>4752</v>
      </c>
      <c r="C9" s="18">
        <f>(3828.0/B9*100)</f>
        <v/>
      </c>
      <c r="D9" s="19" t="n">
        <v>924</v>
      </c>
      <c r="E9" s="18" t="n">
        <v>22.64755229</v>
      </c>
      <c r="F9" s="20" t="n">
        <v>1.5348715</v>
      </c>
      <c r="G9" s="18" t="n">
        <v>72.39667480999999</v>
      </c>
      <c r="H9" s="20" t="n">
        <v>1.5721958</v>
      </c>
      <c r="I9" s="18" t="n">
        <v>0</v>
      </c>
      <c r="J9" s="20" t="n">
        <v>0</v>
      </c>
      <c r="K9" s="18" t="n">
        <v>4.9557729</v>
      </c>
      <c r="L9" s="20" t="n">
        <v>0.6651529900000001</v>
      </c>
      <c r="M9" s="18" t="n">
        <v>0</v>
      </c>
      <c r="N9" s="20" t="n">
        <v>0</v>
      </c>
      <c r="O9" s="18" t="n">
        <v>0</v>
      </c>
      <c r="P9" s="20" t="n">
        <v>0</v>
      </c>
      <c r="Q9" s="18" t="n">
        <v>0</v>
      </c>
      <c r="R9" s="20" t="n">
        <v>0</v>
      </c>
    </row>
    <row r="10" spans="1:18">
      <c r="A10" s="15" t="s">
        <v>568</v>
      </c>
      <c r="B10" s="17" t="n">
        <v>10022</v>
      </c>
      <c r="C10" s="18">
        <f>(7865.0/B10*100)</f>
        <v/>
      </c>
      <c r="D10" s="19" t="n">
        <v>2157</v>
      </c>
      <c r="E10" s="18" t="n">
        <v>26.92051291</v>
      </c>
      <c r="F10" s="20" t="n">
        <v>1.3260871</v>
      </c>
      <c r="G10" s="18" t="n">
        <v>70.92095166</v>
      </c>
      <c r="H10" s="20" t="n">
        <v>1.38111768</v>
      </c>
      <c r="I10" s="18" t="n">
        <v>0</v>
      </c>
      <c r="J10" s="20" t="n">
        <v>0</v>
      </c>
      <c r="K10" s="18" t="n">
        <v>2.15853543</v>
      </c>
      <c r="L10" s="20" t="n">
        <v>0.54930044</v>
      </c>
      <c r="M10" s="18" t="n">
        <v>0</v>
      </c>
      <c r="N10" s="20" t="n">
        <v>0</v>
      </c>
      <c r="O10" s="18" t="n">
        <v>0</v>
      </c>
      <c r="P10" s="20" t="n">
        <v>0</v>
      </c>
      <c r="Q10" s="18" t="n">
        <v>0</v>
      </c>
      <c r="R10" s="20" t="n">
        <v>0</v>
      </c>
    </row>
    <row r="11" spans="1:18">
      <c r="A11" s="15" t="s">
        <v>569</v>
      </c>
      <c r="B11" s="17" t="n">
        <v>3500</v>
      </c>
      <c r="C11" s="18">
        <f>(2773.0/B11*100)</f>
        <v/>
      </c>
      <c r="D11" s="19" t="n">
        <v>727</v>
      </c>
      <c r="E11" s="18" t="n">
        <v>33.91469647</v>
      </c>
      <c r="F11" s="20" t="n">
        <v>2.36332054</v>
      </c>
      <c r="G11" s="18" t="n">
        <v>57.65926313</v>
      </c>
      <c r="H11" s="20" t="n">
        <v>2.3049791</v>
      </c>
      <c r="I11" s="18" t="n">
        <v>0</v>
      </c>
      <c r="J11" s="20" t="n">
        <v>0</v>
      </c>
      <c r="K11" s="18" t="n">
        <v>8.4260404</v>
      </c>
      <c r="L11" s="20" t="n">
        <v>1.12777677</v>
      </c>
      <c r="M11" s="18" t="n">
        <v>0</v>
      </c>
      <c r="N11" s="20" t="n">
        <v>0</v>
      </c>
      <c r="O11" s="18" t="n">
        <v>0</v>
      </c>
      <c r="P11" s="20" t="n">
        <v>0</v>
      </c>
      <c r="Q11" s="18" t="n">
        <v>0</v>
      </c>
      <c r="R11" s="20" t="n">
        <v>0</v>
      </c>
    </row>
    <row r="12" spans="1:18">
      <c r="A12" s="15" t="s">
        <v>570</v>
      </c>
      <c r="B12" s="17" t="n">
        <v>3422</v>
      </c>
      <c r="C12" s="18">
        <f>(2719.0/B12*100)</f>
        <v/>
      </c>
      <c r="D12" s="19" t="n">
        <v>703</v>
      </c>
      <c r="E12" s="18" t="n">
        <v>28.0657</v>
      </c>
      <c r="F12" s="20" t="n">
        <v>2.27420228</v>
      </c>
      <c r="G12" s="18" t="n">
        <v>69.72273188</v>
      </c>
      <c r="H12" s="20" t="n">
        <v>2.33695734</v>
      </c>
      <c r="I12" s="18" t="n">
        <v>0</v>
      </c>
      <c r="J12" s="20" t="n">
        <v>0</v>
      </c>
      <c r="K12" s="18" t="n">
        <v>2.21156812</v>
      </c>
      <c r="L12" s="20" t="n">
        <v>0.4843077</v>
      </c>
      <c r="M12" s="18" t="n">
        <v>0</v>
      </c>
      <c r="N12" s="20" t="n">
        <v>0</v>
      </c>
      <c r="O12" s="18" t="n">
        <v>0</v>
      </c>
      <c r="P12" s="20" t="n">
        <v>0</v>
      </c>
      <c r="Q12" s="18" t="n">
        <v>0</v>
      </c>
      <c r="R12" s="20" t="n">
        <v>0</v>
      </c>
    </row>
    <row r="13" spans="1:18">
      <c r="A13" s="15" t="s">
        <v>571</v>
      </c>
      <c r="B13" s="17" t="n">
        <v>3602</v>
      </c>
      <c r="C13" s="18">
        <f>(2880.0/B13*100)</f>
        <v/>
      </c>
      <c r="D13" s="19" t="n">
        <v>722</v>
      </c>
      <c r="E13" s="18" t="n">
        <v>22.52921701</v>
      </c>
      <c r="F13" s="20" t="n">
        <v>1.79076215</v>
      </c>
      <c r="G13" s="18" t="n">
        <v>74.28253397</v>
      </c>
      <c r="H13" s="20" t="n">
        <v>2.02001746</v>
      </c>
      <c r="I13" s="18" t="n">
        <v>0</v>
      </c>
      <c r="J13" s="20" t="n">
        <v>0</v>
      </c>
      <c r="K13" s="18" t="n">
        <v>3.18824902</v>
      </c>
      <c r="L13" s="20" t="n">
        <v>1.04644728</v>
      </c>
      <c r="M13" s="18" t="n">
        <v>0</v>
      </c>
      <c r="N13" s="20" t="n">
        <v>0</v>
      </c>
      <c r="O13" s="18" t="n">
        <v>0</v>
      </c>
      <c r="P13" s="20" t="n">
        <v>0</v>
      </c>
      <c r="Q13" s="18" t="n">
        <v>0</v>
      </c>
      <c r="R13" s="20" t="n">
        <v>0</v>
      </c>
    </row>
    <row r="14" spans="1:18">
      <c r="A14" s="15" t="s">
        <v>572</v>
      </c>
      <c r="B14" s="17" t="n">
        <v>2788</v>
      </c>
      <c r="C14" s="18">
        <f>(2198.0/B14*100)</f>
        <v/>
      </c>
      <c r="D14" s="19" t="n">
        <v>590</v>
      </c>
      <c r="E14" s="18" t="n">
        <v>16.5670746</v>
      </c>
      <c r="F14" s="20" t="n">
        <v>1.95602232</v>
      </c>
      <c r="G14" s="18" t="n">
        <v>82.16906133000001</v>
      </c>
      <c r="H14" s="20" t="n">
        <v>2.06412842</v>
      </c>
      <c r="I14" s="18" t="n">
        <v>0</v>
      </c>
      <c r="J14" s="20" t="n">
        <v>0</v>
      </c>
      <c r="K14" s="18" t="n">
        <v>1.26386407</v>
      </c>
      <c r="L14" s="20" t="n">
        <v>0.53339744</v>
      </c>
      <c r="M14" s="18" t="n">
        <v>0</v>
      </c>
      <c r="N14" s="20" t="n">
        <v>0</v>
      </c>
      <c r="O14" s="18" t="n">
        <v>0</v>
      </c>
      <c r="P14" s="20" t="n">
        <v>0</v>
      </c>
      <c r="Q14" s="18" t="n">
        <v>0</v>
      </c>
      <c r="R14" s="20" t="n">
        <v>0</v>
      </c>
    </row>
    <row r="15" spans="1:18">
      <c r="A15" s="15" t="s">
        <v>573</v>
      </c>
      <c r="B15" s="17" t="n">
        <v>2863</v>
      </c>
      <c r="C15" s="18">
        <f>(2237.0/B15*100)</f>
        <v/>
      </c>
      <c r="D15" s="19" t="n">
        <v>626</v>
      </c>
      <c r="E15" s="18" t="n">
        <v>17.23557053</v>
      </c>
      <c r="F15" s="20" t="n">
        <v>1.43444122</v>
      </c>
      <c r="G15" s="18" t="n">
        <v>80.93569875</v>
      </c>
      <c r="H15" s="20" t="n">
        <v>1.59373337</v>
      </c>
      <c r="I15" s="18" t="n">
        <v>0</v>
      </c>
      <c r="J15" s="20" t="n">
        <v>0</v>
      </c>
      <c r="K15" s="18" t="n">
        <v>1.82873072</v>
      </c>
      <c r="L15" s="20" t="n">
        <v>0.53157055</v>
      </c>
      <c r="M15" s="18" t="n">
        <v>0</v>
      </c>
      <c r="N15" s="20" t="n">
        <v>0</v>
      </c>
      <c r="O15" s="18" t="n">
        <v>0</v>
      </c>
      <c r="P15" s="20" t="n">
        <v>0</v>
      </c>
      <c r="Q15" s="18" t="n">
        <v>0</v>
      </c>
      <c r="R15" s="20" t="n">
        <v>0</v>
      </c>
    </row>
    <row r="16" spans="1:18">
      <c r="A16" s="15" t="s">
        <v>574</v>
      </c>
      <c r="B16" s="17" t="n">
        <v>3111</v>
      </c>
      <c r="C16" s="18">
        <f>(2450.0/B16*100)</f>
        <v/>
      </c>
      <c r="D16" s="19" t="n">
        <v>661</v>
      </c>
      <c r="E16" s="18" t="n">
        <v>23.71472748</v>
      </c>
      <c r="F16" s="20" t="n">
        <v>1.81813768</v>
      </c>
      <c r="G16" s="18" t="n">
        <v>71.98411399</v>
      </c>
      <c r="H16" s="20" t="n">
        <v>2.01493802</v>
      </c>
      <c r="I16" s="18" t="n">
        <v>0</v>
      </c>
      <c r="J16" s="20" t="n">
        <v>0</v>
      </c>
      <c r="K16" s="18" t="n">
        <v>4.30115852</v>
      </c>
      <c r="L16" s="20" t="n">
        <v>1.15662079</v>
      </c>
      <c r="M16" s="18" t="n">
        <v>0</v>
      </c>
      <c r="N16" s="20" t="n">
        <v>0</v>
      </c>
      <c r="O16" s="18" t="n">
        <v>0</v>
      </c>
      <c r="P16" s="20" t="n">
        <v>0</v>
      </c>
      <c r="Q16" s="18" t="n">
        <v>0</v>
      </c>
      <c r="R16" s="20" t="n">
        <v>0</v>
      </c>
    </row>
    <row r="17" spans="1:18">
      <c r="A17" s="15" t="s">
        <v>575</v>
      </c>
      <c r="B17" s="17" t="n">
        <v>3197</v>
      </c>
      <c r="C17" s="18">
        <f>(2578.0/B17*100)</f>
        <v/>
      </c>
      <c r="D17" s="19" t="n">
        <v>619</v>
      </c>
      <c r="E17" s="18" t="n">
        <v>22.09968597</v>
      </c>
      <c r="F17" s="20" t="n">
        <v>1.74377178</v>
      </c>
      <c r="G17" s="18" t="n">
        <v>73.93747853000001</v>
      </c>
      <c r="H17" s="20" t="n">
        <v>1.81227586</v>
      </c>
      <c r="I17" s="18" t="n">
        <v>0</v>
      </c>
      <c r="J17" s="20" t="n">
        <v>0</v>
      </c>
      <c r="K17" s="18" t="n">
        <v>3.9628355</v>
      </c>
      <c r="L17" s="20" t="n">
        <v>0.84990203</v>
      </c>
      <c r="M17" s="18" t="n">
        <v>0</v>
      </c>
      <c r="N17" s="20" t="n">
        <v>0</v>
      </c>
      <c r="O17" s="18" t="n">
        <v>0</v>
      </c>
      <c r="P17" s="20" t="n">
        <v>0</v>
      </c>
      <c r="Q17" s="18" t="n">
        <v>0</v>
      </c>
      <c r="R17" s="20" t="n">
        <v>0</v>
      </c>
    </row>
    <row r="18" spans="1:18">
      <c r="A18" s="15" t="s">
        <v>576</v>
      </c>
      <c r="B18" s="17" t="n">
        <v>2706</v>
      </c>
      <c r="C18" s="18">
        <f>(2120.0/B18*100)</f>
        <v/>
      </c>
      <c r="D18" s="19" t="n">
        <v>586</v>
      </c>
      <c r="E18" s="18" t="n">
        <v>31.92246618</v>
      </c>
      <c r="F18" s="20" t="n">
        <v>2.18243553</v>
      </c>
      <c r="G18" s="18" t="n">
        <v>63.48801288</v>
      </c>
      <c r="H18" s="20" t="n">
        <v>2.22989882</v>
      </c>
      <c r="I18" s="18" t="n">
        <v>0</v>
      </c>
      <c r="J18" s="20" t="n">
        <v>0</v>
      </c>
      <c r="K18" s="18" t="n">
        <v>4.58952094</v>
      </c>
      <c r="L18" s="20" t="n">
        <v>1.08377352</v>
      </c>
      <c r="M18" s="18" t="n">
        <v>0</v>
      </c>
      <c r="N18" s="20" t="n">
        <v>0</v>
      </c>
      <c r="O18" s="18" t="n">
        <v>0</v>
      </c>
      <c r="P18" s="20" t="n">
        <v>0</v>
      </c>
      <c r="Q18" s="18" t="n">
        <v>0</v>
      </c>
      <c r="R18" s="20" t="n">
        <v>0</v>
      </c>
    </row>
    <row r="19" spans="1:18">
      <c r="A19" s="15" t="s">
        <v>577</v>
      </c>
      <c r="B19" s="17" t="n">
        <v>2850</v>
      </c>
      <c r="C19" s="18">
        <f>(2279.0/B19*100)</f>
        <v/>
      </c>
      <c r="D19" s="19" t="n">
        <v>571</v>
      </c>
      <c r="E19" s="18" t="n">
        <v>36.92198698</v>
      </c>
      <c r="F19" s="20" t="n">
        <v>2.11653451</v>
      </c>
      <c r="G19" s="18" t="n">
        <v>60.47350926</v>
      </c>
      <c r="H19" s="20" t="n">
        <v>2.10164542</v>
      </c>
      <c r="I19" s="18" t="n">
        <v>0</v>
      </c>
      <c r="J19" s="20" t="n">
        <v>0</v>
      </c>
      <c r="K19" s="18" t="n">
        <v>2.60450376</v>
      </c>
      <c r="L19" s="20" t="n">
        <v>0.94134797</v>
      </c>
      <c r="M19" s="18" t="n">
        <v>0</v>
      </c>
      <c r="N19" s="20" t="n">
        <v>0</v>
      </c>
      <c r="O19" s="18" t="n">
        <v>0</v>
      </c>
      <c r="P19" s="20" t="n">
        <v>0</v>
      </c>
      <c r="Q19" s="18" t="n">
        <v>0</v>
      </c>
      <c r="R19" s="20" t="n">
        <v>0</v>
      </c>
    </row>
    <row r="20" spans="1:18">
      <c r="A20" s="15" t="s">
        <v>578</v>
      </c>
      <c r="B20" s="17" t="n">
        <v>1741</v>
      </c>
      <c r="C20" s="18">
        <f>(1389.0/B20*100)</f>
        <v/>
      </c>
      <c r="D20" s="19" t="n">
        <v>352</v>
      </c>
      <c r="E20" s="18" t="n">
        <v>27.63343085</v>
      </c>
      <c r="F20" s="20" t="n">
        <v>2.24820748</v>
      </c>
      <c r="G20" s="18" t="n">
        <v>67.72163437</v>
      </c>
      <c r="H20" s="20" t="n">
        <v>2.52448019</v>
      </c>
      <c r="I20" s="18" t="n">
        <v>0</v>
      </c>
      <c r="J20" s="20" t="n">
        <v>0</v>
      </c>
      <c r="K20" s="18" t="n">
        <v>4.64493478</v>
      </c>
      <c r="L20" s="20" t="n">
        <v>1.27960037</v>
      </c>
      <c r="M20" s="18" t="n">
        <v>0</v>
      </c>
      <c r="N20" s="20" t="n">
        <v>0</v>
      </c>
      <c r="O20" s="18" t="n">
        <v>0</v>
      </c>
      <c r="P20" s="20" t="n">
        <v>0</v>
      </c>
      <c r="Q20" s="18" t="n">
        <v>0</v>
      </c>
      <c r="R20" s="20" t="n">
        <v>0</v>
      </c>
    </row>
    <row r="21" spans="1:18">
      <c r="A21" s="15" t="s">
        <v>579</v>
      </c>
      <c r="B21" s="17" t="n">
        <v>2833</v>
      </c>
      <c r="C21" s="18">
        <f>(2227.0/B21*100)</f>
        <v/>
      </c>
      <c r="D21" s="19" t="n">
        <v>606</v>
      </c>
      <c r="E21" s="18" t="n">
        <v>30.47795654</v>
      </c>
      <c r="F21" s="20" t="n">
        <v>2.13162212</v>
      </c>
      <c r="G21" s="18" t="n">
        <v>67.99996382</v>
      </c>
      <c r="H21" s="20" t="n">
        <v>2.09848462</v>
      </c>
      <c r="I21" s="18" t="n">
        <v>0</v>
      </c>
      <c r="J21" s="20" t="n">
        <v>0</v>
      </c>
      <c r="K21" s="18" t="n">
        <v>1.52207964</v>
      </c>
      <c r="L21" s="20" t="n">
        <v>0.60450438</v>
      </c>
      <c r="M21" s="18" t="n">
        <v>0</v>
      </c>
      <c r="N21" s="20" t="n">
        <v>0</v>
      </c>
      <c r="O21" s="18" t="n">
        <v>0</v>
      </c>
      <c r="P21" s="20" t="n">
        <v>0</v>
      </c>
      <c r="Q21" s="18" t="n">
        <v>0</v>
      </c>
      <c r="R21" s="20" t="n">
        <v>0</v>
      </c>
    </row>
    <row r="22" spans="1:18">
      <c r="A22" s="15" t="s">
        <v>580</v>
      </c>
      <c r="B22" s="17" t="n">
        <v>3667</v>
      </c>
      <c r="C22" s="18">
        <f>(2913.0/B22*100)</f>
        <v/>
      </c>
      <c r="D22" s="19" t="n">
        <v>754</v>
      </c>
      <c r="E22" s="18" t="n">
        <v>35.69524769</v>
      </c>
      <c r="F22" s="20" t="n">
        <v>2.01035951</v>
      </c>
      <c r="G22" s="18" t="n">
        <v>59.229341</v>
      </c>
      <c r="H22" s="20" t="n">
        <v>1.98649232</v>
      </c>
      <c r="I22" s="18" t="n">
        <v>0</v>
      </c>
      <c r="J22" s="20" t="n">
        <v>0</v>
      </c>
      <c r="K22" s="18" t="n">
        <v>5.07541131</v>
      </c>
      <c r="L22" s="20" t="n">
        <v>0.84618223</v>
      </c>
      <c r="M22" s="18" t="n">
        <v>0</v>
      </c>
      <c r="N22" s="20" t="n">
        <v>0</v>
      </c>
      <c r="O22" s="18" t="n">
        <v>0</v>
      </c>
      <c r="P22" s="20" t="n">
        <v>0</v>
      </c>
      <c r="Q22" s="18" t="n">
        <v>0</v>
      </c>
      <c r="R22" s="20" t="n">
        <v>0</v>
      </c>
    </row>
    <row r="23" spans="1:18">
      <c r="A23" s="15" t="s">
        <v>581</v>
      </c>
      <c r="B23" s="17" t="n">
        <v>5792</v>
      </c>
      <c r="C23" s="18">
        <f>(4553.0/B23*100)</f>
        <v/>
      </c>
      <c r="D23" s="19" t="n">
        <v>1239</v>
      </c>
      <c r="E23" s="18" t="n">
        <v>31.47679198</v>
      </c>
      <c r="F23" s="20" t="n">
        <v>1.67693363</v>
      </c>
      <c r="G23" s="18" t="n">
        <v>63.12325402</v>
      </c>
      <c r="H23" s="20" t="n">
        <v>1.92781189</v>
      </c>
      <c r="I23" s="18" t="n">
        <v>0</v>
      </c>
      <c r="J23" s="20" t="n">
        <v>0</v>
      </c>
      <c r="K23" s="18" t="n">
        <v>5.399954</v>
      </c>
      <c r="L23" s="20" t="n">
        <v>1.0527396</v>
      </c>
      <c r="M23" s="18" t="n">
        <v>0</v>
      </c>
      <c r="N23" s="20" t="n">
        <v>0</v>
      </c>
      <c r="O23" s="18" t="n">
        <v>0</v>
      </c>
      <c r="P23" s="20" t="n">
        <v>0</v>
      </c>
      <c r="Q23" s="18" t="n">
        <v>0</v>
      </c>
      <c r="R23" s="20" t="n">
        <v>0</v>
      </c>
    </row>
    <row r="24" spans="1:18">
      <c r="A24" s="15" t="s">
        <v>582</v>
      </c>
      <c r="B24" s="17" t="n">
        <v>3309</v>
      </c>
      <c r="C24" s="18">
        <f>(2593.0/B24*100)</f>
        <v/>
      </c>
      <c r="D24" s="19" t="n">
        <v>716</v>
      </c>
      <c r="E24" s="18" t="n">
        <v>9.42584972</v>
      </c>
      <c r="F24" s="20" t="n">
        <v>1.34871045</v>
      </c>
      <c r="G24" s="18" t="n">
        <v>89.82768027</v>
      </c>
      <c r="H24" s="20" t="n">
        <v>1.39024419</v>
      </c>
      <c r="I24" s="18" t="n">
        <v>0</v>
      </c>
      <c r="J24" s="20" t="n">
        <v>0</v>
      </c>
      <c r="K24" s="18" t="n">
        <v>0.74647001</v>
      </c>
      <c r="L24" s="20" t="n">
        <v>0.3094084</v>
      </c>
      <c r="M24" s="18" t="n">
        <v>0</v>
      </c>
      <c r="N24" s="20" t="n">
        <v>0</v>
      </c>
      <c r="O24" s="18" t="n">
        <v>0</v>
      </c>
      <c r="P24" s="20" t="n">
        <v>0</v>
      </c>
      <c r="Q24" s="18" t="n">
        <v>0</v>
      </c>
      <c r="R24" s="20" t="n">
        <v>0</v>
      </c>
    </row>
    <row r="25" spans="1:18">
      <c r="A25" s="15" t="s">
        <v>583</v>
      </c>
      <c r="B25" s="17" t="n">
        <v>2669</v>
      </c>
      <c r="C25" s="18">
        <f>(2075.0/B25*100)</f>
        <v/>
      </c>
      <c r="D25" s="19" t="n">
        <v>594</v>
      </c>
      <c r="E25" s="18" t="n">
        <v>13.15413734</v>
      </c>
      <c r="F25" s="20" t="n">
        <v>1.44691647</v>
      </c>
      <c r="G25" s="18" t="n">
        <v>86.35729791</v>
      </c>
      <c r="H25" s="20" t="n">
        <v>1.32600072</v>
      </c>
      <c r="I25" s="18" t="n">
        <v>0</v>
      </c>
      <c r="J25" s="20" t="n">
        <v>0</v>
      </c>
      <c r="K25" s="18" t="n">
        <v>0.48856474</v>
      </c>
      <c r="L25" s="20" t="n">
        <v>0.37316862</v>
      </c>
      <c r="M25" s="18" t="n">
        <v>0</v>
      </c>
      <c r="N25" s="20" t="n">
        <v>0</v>
      </c>
      <c r="O25" s="18" t="n">
        <v>0</v>
      </c>
      <c r="P25" s="20" t="n">
        <v>0</v>
      </c>
      <c r="Q25" s="18" t="n">
        <v>0</v>
      </c>
      <c r="R25" s="20" t="n">
        <v>0</v>
      </c>
    </row>
    <row r="26" spans="1:18">
      <c r="A26" s="15" t="s">
        <v>584</v>
      </c>
      <c r="B26" s="17" t="n">
        <v>2419</v>
      </c>
      <c r="C26" s="18">
        <f>(1903.0/B26*100)</f>
        <v/>
      </c>
      <c r="D26" s="19" t="n">
        <v>516</v>
      </c>
      <c r="E26" s="18" t="n">
        <v>26.5706179</v>
      </c>
      <c r="F26" s="20" t="n">
        <v>2.22985567</v>
      </c>
      <c r="G26" s="18" t="n">
        <v>72.7519997</v>
      </c>
      <c r="H26" s="20" t="n">
        <v>2.28875585</v>
      </c>
      <c r="I26" s="18" t="n">
        <v>0</v>
      </c>
      <c r="J26" s="20" t="n">
        <v>0</v>
      </c>
      <c r="K26" s="18" t="n">
        <v>0.6773824000000001</v>
      </c>
      <c r="L26" s="20" t="n">
        <v>0.41874132</v>
      </c>
      <c r="M26" s="18" t="n">
        <v>0</v>
      </c>
      <c r="N26" s="20" t="n">
        <v>0</v>
      </c>
      <c r="O26" s="18" t="n">
        <v>0</v>
      </c>
      <c r="P26" s="20" t="n">
        <v>0</v>
      </c>
      <c r="Q26" s="18" t="n">
        <v>0</v>
      </c>
      <c r="R26" s="20" t="n">
        <v>0</v>
      </c>
    </row>
    <row r="27" spans="1:18">
      <c r="A27" s="15" t="s">
        <v>585</v>
      </c>
      <c r="B27" s="17" t="n">
        <v>2683</v>
      </c>
      <c r="C27" s="18">
        <f>(2165.0/B27*100)</f>
        <v/>
      </c>
      <c r="D27" s="19" t="n">
        <v>518</v>
      </c>
      <c r="E27" s="18" t="n">
        <v>24.77593176</v>
      </c>
      <c r="F27" s="20" t="n">
        <v>2.11307578</v>
      </c>
      <c r="G27" s="18" t="n">
        <v>70.41215575</v>
      </c>
      <c r="H27" s="20" t="n">
        <v>2.26946007</v>
      </c>
      <c r="I27" s="18" t="n">
        <v>0</v>
      </c>
      <c r="J27" s="20" t="n">
        <v>0</v>
      </c>
      <c r="K27" s="18" t="n">
        <v>4.81191249</v>
      </c>
      <c r="L27" s="20" t="n">
        <v>0.91527881</v>
      </c>
      <c r="M27" s="18" t="n">
        <v>0</v>
      </c>
      <c r="N27" s="20" t="n">
        <v>0</v>
      </c>
      <c r="O27" s="18" t="n">
        <v>0</v>
      </c>
      <c r="P27" s="20" t="n">
        <v>0</v>
      </c>
      <c r="Q27" s="18" t="n">
        <v>0</v>
      </c>
      <c r="R27" s="20" t="n">
        <v>0</v>
      </c>
    </row>
    <row r="28" spans="1:18">
      <c r="A28" s="15" t="s">
        <v>586</v>
      </c>
      <c r="B28" s="17" t="n">
        <v>3803</v>
      </c>
      <c r="C28" s="18">
        <f>(3135.0/B28*100)</f>
        <v/>
      </c>
      <c r="D28" s="19" t="n">
        <v>668</v>
      </c>
      <c r="E28" s="18" t="n">
        <v>28.06027858</v>
      </c>
      <c r="F28" s="20" t="n">
        <v>1.89720289</v>
      </c>
      <c r="G28" s="18" t="n">
        <v>65.65232746</v>
      </c>
      <c r="H28" s="20" t="n">
        <v>2.02062764</v>
      </c>
      <c r="I28" s="18" t="n">
        <v>0</v>
      </c>
      <c r="J28" s="20" t="n">
        <v>0</v>
      </c>
      <c r="K28" s="18" t="n">
        <v>6.28739396</v>
      </c>
      <c r="L28" s="20" t="n">
        <v>1.35138985</v>
      </c>
      <c r="M28" s="18" t="n">
        <v>0</v>
      </c>
      <c r="N28" s="20" t="n">
        <v>0</v>
      </c>
      <c r="O28" s="18" t="n">
        <v>0</v>
      </c>
      <c r="P28" s="20" t="n">
        <v>0</v>
      </c>
      <c r="Q28" s="18" t="n">
        <v>0</v>
      </c>
      <c r="R28" s="20" t="n">
        <v>0</v>
      </c>
    </row>
    <row r="29" spans="1:18">
      <c r="A29" s="15" t="s">
        <v>587</v>
      </c>
      <c r="B29" s="17" t="n">
        <v>2700</v>
      </c>
      <c r="C29" s="18">
        <f>(2127.0/B29*100)</f>
        <v/>
      </c>
      <c r="D29" s="19" t="n">
        <v>573</v>
      </c>
      <c r="E29" s="18" t="n">
        <v>23.66561294</v>
      </c>
      <c r="F29" s="20" t="n">
        <v>2.08699295</v>
      </c>
      <c r="G29" s="18" t="n">
        <v>75.51263957</v>
      </c>
      <c r="H29" s="20" t="n">
        <v>2.131718</v>
      </c>
      <c r="I29" s="18" t="n">
        <v>0</v>
      </c>
      <c r="J29" s="20" t="n">
        <v>0</v>
      </c>
      <c r="K29" s="18" t="n">
        <v>0.82174749</v>
      </c>
      <c r="L29" s="20" t="n">
        <v>0.40833829</v>
      </c>
      <c r="M29" s="18" t="n">
        <v>0</v>
      </c>
      <c r="N29" s="20" t="n">
        <v>0</v>
      </c>
      <c r="O29" s="18" t="n">
        <v>0</v>
      </c>
      <c r="P29" s="20" t="n">
        <v>0</v>
      </c>
      <c r="Q29" s="18" t="n">
        <v>0</v>
      </c>
      <c r="R29" s="20" t="n">
        <v>0</v>
      </c>
    </row>
    <row r="30" spans="1:18">
      <c r="A30" s="15" t="s">
        <v>588</v>
      </c>
      <c r="B30" s="17" t="n">
        <v>2257</v>
      </c>
      <c r="C30" s="18">
        <f>(1812.0/B30*100)</f>
        <v/>
      </c>
      <c r="D30" s="19" t="n">
        <v>445</v>
      </c>
      <c r="E30" s="18" t="n">
        <v>26.79022593</v>
      </c>
      <c r="F30" s="20" t="n">
        <v>2.26413652</v>
      </c>
      <c r="G30" s="18" t="n">
        <v>69.03929085</v>
      </c>
      <c r="H30" s="20" t="n">
        <v>2.3085203</v>
      </c>
      <c r="I30" s="18" t="n">
        <v>0</v>
      </c>
      <c r="J30" s="20" t="n">
        <v>0</v>
      </c>
      <c r="K30" s="18" t="n">
        <v>4.17048321</v>
      </c>
      <c r="L30" s="20" t="n">
        <v>1.11013385</v>
      </c>
      <c r="M30" s="18" t="n">
        <v>0</v>
      </c>
      <c r="N30" s="20" t="n">
        <v>0</v>
      </c>
      <c r="O30" s="18" t="n">
        <v>0</v>
      </c>
      <c r="P30" s="20" t="n">
        <v>0</v>
      </c>
      <c r="Q30" s="18" t="n">
        <v>0</v>
      </c>
      <c r="R30" s="20" t="n">
        <v>0</v>
      </c>
    </row>
    <row r="31" spans="1:18">
      <c r="A31" s="15" t="s">
        <v>589</v>
      </c>
      <c r="B31" s="17" t="n">
        <v>2706</v>
      </c>
      <c r="C31" s="18">
        <f>(2151.0/B31*100)</f>
        <v/>
      </c>
      <c r="D31" s="19" t="n">
        <v>555</v>
      </c>
      <c r="E31" s="18" t="n">
        <v>27.8154721</v>
      </c>
      <c r="F31" s="20" t="n">
        <v>2.12425451</v>
      </c>
      <c r="G31" s="18" t="n">
        <v>66.15922005</v>
      </c>
      <c r="H31" s="20" t="n">
        <v>2.25511971</v>
      </c>
      <c r="I31" s="18" t="n">
        <v>0</v>
      </c>
      <c r="J31" s="20" t="n">
        <v>0</v>
      </c>
      <c r="K31" s="18" t="n">
        <v>6.02530784</v>
      </c>
      <c r="L31" s="20" t="n">
        <v>1.11537988</v>
      </c>
      <c r="M31" s="18" t="n">
        <v>0</v>
      </c>
      <c r="N31" s="20" t="n">
        <v>0</v>
      </c>
      <c r="O31" s="18" t="n">
        <v>0</v>
      </c>
      <c r="P31" s="20" t="n">
        <v>0</v>
      </c>
      <c r="Q31" s="18" t="n">
        <v>0</v>
      </c>
      <c r="R31" s="20" t="n">
        <v>0</v>
      </c>
    </row>
    <row r="32" spans="1:18">
      <c r="A32" s="15" t="s">
        <v>590</v>
      </c>
      <c r="B32" s="17" t="n">
        <v>2209</v>
      </c>
      <c r="C32" s="18">
        <f>(1699.0/B32*100)</f>
        <v/>
      </c>
      <c r="D32" s="19" t="n">
        <v>510</v>
      </c>
      <c r="E32" s="18" t="n">
        <v>29.71910686</v>
      </c>
      <c r="F32" s="20" t="n">
        <v>2.18155783</v>
      </c>
      <c r="G32" s="18" t="n">
        <v>69.56437907999999</v>
      </c>
      <c r="H32" s="20" t="n">
        <v>2.15226592</v>
      </c>
      <c r="I32" s="18" t="n">
        <v>0</v>
      </c>
      <c r="J32" s="20" t="n">
        <v>0</v>
      </c>
      <c r="K32" s="18" t="n">
        <v>0.71651406</v>
      </c>
      <c r="L32" s="20" t="n">
        <v>0.34736204</v>
      </c>
      <c r="M32" s="18" t="n">
        <v>0</v>
      </c>
      <c r="N32" s="20" t="n">
        <v>0</v>
      </c>
      <c r="O32" s="18" t="n">
        <v>0</v>
      </c>
      <c r="P32" s="20" t="n">
        <v>0</v>
      </c>
      <c r="Q32" s="18" t="n">
        <v>0</v>
      </c>
      <c r="R32" s="20" t="n">
        <v>0</v>
      </c>
    </row>
    <row r="33" spans="1:18">
      <c r="A33" s="15" t="s">
        <v>591</v>
      </c>
      <c r="B33" s="17" t="n">
        <v>3651</v>
      </c>
      <c r="C33" s="18">
        <f>(2906.0/B33*100)</f>
        <v/>
      </c>
      <c r="D33" s="19" t="n">
        <v>745</v>
      </c>
      <c r="E33" s="18" t="n">
        <v>21.16716246</v>
      </c>
      <c r="F33" s="20" t="n">
        <v>1.75766262</v>
      </c>
      <c r="G33" s="18" t="n">
        <v>75.54468308</v>
      </c>
      <c r="H33" s="20" t="n">
        <v>1.80656657</v>
      </c>
      <c r="I33" s="18" t="n">
        <v>0</v>
      </c>
      <c r="J33" s="20" t="n">
        <v>0</v>
      </c>
      <c r="K33" s="18" t="n">
        <v>3.28815446</v>
      </c>
      <c r="L33" s="20" t="n">
        <v>0.84925031</v>
      </c>
      <c r="M33" s="18" t="n">
        <v>0</v>
      </c>
      <c r="N33" s="20" t="n">
        <v>0</v>
      </c>
      <c r="O33" s="18" t="n">
        <v>0</v>
      </c>
      <c r="P33" s="20" t="n">
        <v>0</v>
      </c>
      <c r="Q33" s="18" t="n">
        <v>0</v>
      </c>
      <c r="R33" s="20" t="n">
        <v>0</v>
      </c>
    </row>
    <row r="34" spans="1:18">
      <c r="A34" s="15" t="s">
        <v>592</v>
      </c>
      <c r="B34" s="17" t="n">
        <v>3035</v>
      </c>
      <c r="C34" s="18">
        <f>(2451.0/B34*100)</f>
        <v/>
      </c>
      <c r="D34" s="19" t="n">
        <v>584</v>
      </c>
      <c r="E34" s="18" t="n">
        <v>33.26498253</v>
      </c>
      <c r="F34" s="20" t="n">
        <v>2.31994476</v>
      </c>
      <c r="G34" s="18" t="n">
        <v>64.45245164000001</v>
      </c>
      <c r="H34" s="20" t="n">
        <v>2.38285696</v>
      </c>
      <c r="I34" s="18" t="n">
        <v>0</v>
      </c>
      <c r="J34" s="20" t="n">
        <v>0</v>
      </c>
      <c r="K34" s="18" t="n">
        <v>2.28256583</v>
      </c>
      <c r="L34" s="20" t="n">
        <v>0.76345825</v>
      </c>
      <c r="M34" s="18" t="n">
        <v>0</v>
      </c>
      <c r="N34" s="20" t="n">
        <v>0</v>
      </c>
      <c r="O34" s="18" t="n">
        <v>0</v>
      </c>
      <c r="P34" s="20" t="n">
        <v>0</v>
      </c>
      <c r="Q34" s="18" t="n">
        <v>0</v>
      </c>
      <c r="R34" s="20" t="n">
        <v>0</v>
      </c>
    </row>
    <row r="35" spans="1:18">
      <c r="A35" s="15" t="s">
        <v>593</v>
      </c>
      <c r="B35" s="17" t="n">
        <v>2901</v>
      </c>
      <c r="C35" s="18">
        <f>(2291.0/B35*100)</f>
        <v/>
      </c>
      <c r="D35" s="19" t="n">
        <v>610</v>
      </c>
      <c r="E35" s="18" t="n">
        <v>22.80267781</v>
      </c>
      <c r="F35" s="20" t="n">
        <v>1.84791715</v>
      </c>
      <c r="G35" s="18" t="n">
        <v>75.89973753</v>
      </c>
      <c r="H35" s="20" t="n">
        <v>1.86188263</v>
      </c>
      <c r="I35" s="18" t="n">
        <v>0</v>
      </c>
      <c r="J35" s="20" t="n">
        <v>0</v>
      </c>
      <c r="K35" s="18" t="n">
        <v>1.29758466</v>
      </c>
      <c r="L35" s="20" t="n">
        <v>0.5620361699999999</v>
      </c>
      <c r="M35" s="18" t="n">
        <v>0</v>
      </c>
      <c r="N35" s="20" t="n">
        <v>0</v>
      </c>
      <c r="O35" s="18" t="n">
        <v>0</v>
      </c>
      <c r="P35" s="20" t="n">
        <v>0</v>
      </c>
      <c r="Q35" s="18" t="n">
        <v>0</v>
      </c>
      <c r="R35" s="20" t="n">
        <v>0</v>
      </c>
    </row>
    <row r="36" spans="1:18">
      <c r="A36" s="15" t="s">
        <v>594</v>
      </c>
      <c r="B36" s="17" t="n">
        <v>3404</v>
      </c>
      <c r="C36" s="18">
        <f>(2679.0/B36*100)</f>
        <v/>
      </c>
      <c r="D36" s="19" t="n">
        <v>725</v>
      </c>
      <c r="E36" s="18" t="n">
        <v>29.17797262</v>
      </c>
      <c r="F36" s="20" t="n">
        <v>1.90971916</v>
      </c>
      <c r="G36" s="18" t="n">
        <v>68.31063252</v>
      </c>
      <c r="H36" s="20" t="n">
        <v>1.94562891</v>
      </c>
      <c r="I36" s="18" t="n">
        <v>0</v>
      </c>
      <c r="J36" s="20" t="n">
        <v>0</v>
      </c>
      <c r="K36" s="18" t="n">
        <v>2.51139486</v>
      </c>
      <c r="L36" s="20" t="n">
        <v>0.49372881</v>
      </c>
      <c r="M36" s="18" t="n">
        <v>0</v>
      </c>
      <c r="N36" s="20" t="n">
        <v>0</v>
      </c>
      <c r="O36" s="18" t="n">
        <v>0</v>
      </c>
      <c r="P36" s="20" t="n">
        <v>0</v>
      </c>
      <c r="Q36" s="18" t="n">
        <v>0</v>
      </c>
      <c r="R36" s="20" t="n">
        <v>0</v>
      </c>
    </row>
    <row r="37" spans="1:18">
      <c r="A37" s="15" t="s">
        <v>595</v>
      </c>
      <c r="B37" s="17" t="n">
        <v>2731</v>
      </c>
      <c r="C37" s="18">
        <f>(2174.0/B37*100)</f>
        <v/>
      </c>
      <c r="D37" s="19" t="n">
        <v>557</v>
      </c>
      <c r="E37" s="18" t="n">
        <v>27.50347646</v>
      </c>
      <c r="F37" s="20" t="n">
        <v>2.1444304</v>
      </c>
      <c r="G37" s="18" t="n">
        <v>65.48209583000001</v>
      </c>
      <c r="H37" s="20" t="n">
        <v>1.97304558</v>
      </c>
      <c r="I37" s="18" t="n">
        <v>0</v>
      </c>
      <c r="J37" s="20" t="n">
        <v>0</v>
      </c>
      <c r="K37" s="18" t="n">
        <v>7.01442772</v>
      </c>
      <c r="L37" s="20" t="n">
        <v>1.32721598</v>
      </c>
      <c r="M37" s="18" t="n">
        <v>0</v>
      </c>
      <c r="N37" s="20" t="n">
        <v>0</v>
      </c>
      <c r="O37" s="18" t="n">
        <v>0</v>
      </c>
      <c r="P37" s="20" t="n">
        <v>0</v>
      </c>
      <c r="Q37" s="18" t="n">
        <v>0</v>
      </c>
      <c r="R37" s="20" t="n">
        <v>0</v>
      </c>
    </row>
    <row r="38" spans="1:18">
      <c r="A38" s="15" t="s">
        <v>596</v>
      </c>
      <c r="B38" s="17" t="n">
        <v>2807</v>
      </c>
      <c r="C38" s="18">
        <f>(2204.0/B38*100)</f>
        <v/>
      </c>
      <c r="D38" s="19" t="n">
        <v>603</v>
      </c>
      <c r="E38" s="18" t="n">
        <v>24.95325212</v>
      </c>
      <c r="F38" s="20" t="n">
        <v>2.1565885</v>
      </c>
      <c r="G38" s="18" t="n">
        <v>71.73847026</v>
      </c>
      <c r="H38" s="20" t="n">
        <v>2.44858382</v>
      </c>
      <c r="I38" s="18" t="n">
        <v>0</v>
      </c>
      <c r="J38" s="20" t="n">
        <v>0</v>
      </c>
      <c r="K38" s="18" t="n">
        <v>3.30827762</v>
      </c>
      <c r="L38" s="20" t="n">
        <v>0.79232478</v>
      </c>
      <c r="M38" s="18" t="n">
        <v>0</v>
      </c>
      <c r="N38" s="20" t="n">
        <v>0</v>
      </c>
      <c r="O38" s="18" t="n">
        <v>0</v>
      </c>
      <c r="P38" s="20" t="n">
        <v>0</v>
      </c>
      <c r="Q38" s="18" t="n">
        <v>0</v>
      </c>
      <c r="R38" s="20" t="n">
        <v>0</v>
      </c>
    </row>
    <row r="39" spans="1:18">
      <c r="A39" s="15" t="s">
        <v>597</v>
      </c>
      <c r="B39" s="17" t="n">
        <v>2938</v>
      </c>
      <c r="C39" s="18">
        <f>(2259.0/B39*100)</f>
        <v/>
      </c>
      <c r="D39" s="19" t="n">
        <v>679</v>
      </c>
      <c r="E39" s="18" t="n">
        <v>49.27282248</v>
      </c>
      <c r="F39" s="20" t="n">
        <v>1.70865647</v>
      </c>
      <c r="G39" s="18" t="n">
        <v>48.49241359</v>
      </c>
      <c r="H39" s="20" t="n">
        <v>1.84658334</v>
      </c>
      <c r="I39" s="18" t="n">
        <v>0</v>
      </c>
      <c r="J39" s="20" t="n">
        <v>0</v>
      </c>
      <c r="K39" s="18" t="n">
        <v>2.23476393</v>
      </c>
      <c r="L39" s="20" t="n">
        <v>0.59694444</v>
      </c>
      <c r="M39" s="18" t="n">
        <v>0</v>
      </c>
      <c r="N39" s="20" t="n">
        <v>0</v>
      </c>
      <c r="O39" s="18" t="n">
        <v>0</v>
      </c>
      <c r="P39" s="20" t="n">
        <v>0</v>
      </c>
      <c r="Q39" s="18" t="n">
        <v>0</v>
      </c>
      <c r="R39" s="20" t="n">
        <v>0</v>
      </c>
    </row>
    <row r="40" spans="1:18">
      <c r="A40" s="15" t="s">
        <v>598</v>
      </c>
      <c r="B40" s="17" t="n">
        <v>6922</v>
      </c>
      <c r="C40" s="18">
        <f>(5402.0/B40*100)</f>
        <v/>
      </c>
      <c r="D40" s="19" t="n">
        <v>1520</v>
      </c>
      <c r="E40" s="18" t="n">
        <v>28.72168344</v>
      </c>
      <c r="F40" s="20" t="n">
        <v>1.7335711</v>
      </c>
      <c r="G40" s="18" t="n">
        <v>67.72648599</v>
      </c>
      <c r="H40" s="20" t="n">
        <v>1.74714287</v>
      </c>
      <c r="I40" s="18" t="n">
        <v>0</v>
      </c>
      <c r="J40" s="20" t="n">
        <v>0</v>
      </c>
      <c r="K40" s="18" t="n">
        <v>3.55183056</v>
      </c>
      <c r="L40" s="20" t="n">
        <v>0.72125621</v>
      </c>
      <c r="M40" s="18" t="n">
        <v>0</v>
      </c>
      <c r="N40" s="20" t="n">
        <v>0</v>
      </c>
      <c r="O40" s="18" t="n">
        <v>0</v>
      </c>
      <c r="P40" s="20" t="n">
        <v>0</v>
      </c>
      <c r="Q40" s="18" t="n">
        <v>0</v>
      </c>
      <c r="R40" s="20" t="n">
        <v>0</v>
      </c>
    </row>
    <row r="41" spans="1:18">
      <c r="A41" s="15" t="s">
        <v>599</v>
      </c>
      <c r="B41" s="17" t="n">
        <v>2854</v>
      </c>
      <c r="C41" s="18">
        <f>(2270.0/B41*100)</f>
        <v/>
      </c>
      <c r="D41" s="19" t="n">
        <v>584</v>
      </c>
      <c r="E41" s="18" t="n">
        <v>34.38382069</v>
      </c>
      <c r="F41" s="20" t="n">
        <v>2.32677982</v>
      </c>
      <c r="G41" s="18" t="n">
        <v>64.48769405</v>
      </c>
      <c r="H41" s="20" t="n">
        <v>2.29545747</v>
      </c>
      <c r="I41" s="18" t="n">
        <v>0</v>
      </c>
      <c r="J41" s="20" t="n">
        <v>0</v>
      </c>
      <c r="K41" s="18" t="n">
        <v>1.12848526</v>
      </c>
      <c r="L41" s="20" t="n">
        <v>0.38955124</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(10411.0/B46*100)</f>
        <v/>
      </c>
      <c r="D46" s="19" t="n">
        <v>1662</v>
      </c>
      <c r="E46" s="18" t="n">
        <v>41.86432096</v>
      </c>
      <c r="F46" s="20" t="n">
        <v>1.53257602</v>
      </c>
      <c r="G46" s="18" t="n">
        <v>48.57282908</v>
      </c>
      <c r="H46" s="20" t="n">
        <v>1.70014611</v>
      </c>
      <c r="I46" s="18" t="n">
        <v>0</v>
      </c>
      <c r="J46" s="20" t="n">
        <v>0</v>
      </c>
      <c r="K46" s="18" t="n">
        <v>9.562849959999999</v>
      </c>
      <c r="L46" s="20" t="n">
        <v>1.02317499</v>
      </c>
      <c r="M46" s="18" t="n">
        <v>0</v>
      </c>
      <c r="N46" s="20" t="n">
        <v>0</v>
      </c>
      <c r="O46" s="18" t="n">
        <v>0</v>
      </c>
      <c r="P46" s="20" t="n">
        <v>0</v>
      </c>
      <c r="Q46" s="18" t="n">
        <v>0</v>
      </c>
      <c r="R46" s="20" t="n">
        <v>0</v>
      </c>
    </row>
    <row r="47" spans="1:18">
      <c r="A47" s="15" t="s">
        <v>606</v>
      </c>
      <c r="B47" s="17" t="n">
        <v>2823</v>
      </c>
      <c r="C47" s="18">
        <f>(2253.0/B47*100)</f>
        <v/>
      </c>
      <c r="D47" s="19" t="n">
        <v>570</v>
      </c>
      <c r="E47" s="18" t="n">
        <v>31.07473854</v>
      </c>
      <c r="F47" s="20" t="n">
        <v>1.99825434</v>
      </c>
      <c r="G47" s="18" t="n">
        <v>64.29730185</v>
      </c>
      <c r="H47" s="20" t="n">
        <v>2.21313267</v>
      </c>
      <c r="I47" s="18" t="n">
        <v>0</v>
      </c>
      <c r="J47" s="20" t="n">
        <v>0</v>
      </c>
      <c r="K47" s="18" t="n">
        <v>4.62795961</v>
      </c>
      <c r="L47" s="20" t="n">
        <v>1.06570029</v>
      </c>
      <c r="M47" s="18" t="n">
        <v>0</v>
      </c>
      <c r="N47" s="20" t="n">
        <v>0</v>
      </c>
      <c r="O47" s="18" t="n">
        <v>0</v>
      </c>
      <c r="P47" s="20" t="n">
        <v>0</v>
      </c>
      <c r="Q47" s="18" t="n">
        <v>0</v>
      </c>
      <c r="R47" s="20" t="n">
        <v>0</v>
      </c>
    </row>
    <row r="48" spans="1:18">
      <c r="A48" s="15" t="s">
        <v>607</v>
      </c>
      <c r="B48" s="17" t="n">
        <v>4682</v>
      </c>
      <c r="C48" s="18">
        <f>(3668.0/B48*100)</f>
        <v/>
      </c>
      <c r="D48" s="19" t="n">
        <v>1014</v>
      </c>
      <c r="E48" s="18" t="n">
        <v>14.63804507</v>
      </c>
      <c r="F48" s="20" t="n">
        <v>1.52676934</v>
      </c>
      <c r="G48" s="18" t="n">
        <v>83.80367409</v>
      </c>
      <c r="H48" s="20" t="n">
        <v>1.51987278</v>
      </c>
      <c r="I48" s="18" t="n">
        <v>0</v>
      </c>
      <c r="J48" s="20" t="n">
        <v>0</v>
      </c>
      <c r="K48" s="18" t="n">
        <v>1.55828084</v>
      </c>
      <c r="L48" s="20" t="n">
        <v>0.5862760299999999</v>
      </c>
      <c r="M48" s="18" t="n">
        <v>0</v>
      </c>
      <c r="N48" s="20" t="n">
        <v>0</v>
      </c>
      <c r="O48" s="18" t="n">
        <v>0</v>
      </c>
      <c r="P48" s="20" t="n">
        <v>0</v>
      </c>
      <c r="Q48" s="18" t="n">
        <v>0</v>
      </c>
      <c r="R48" s="20" t="n">
        <v>0</v>
      </c>
    </row>
    <row r="49" spans="1:18">
      <c r="A49" s="15" t="s">
        <v>608</v>
      </c>
      <c r="B49" s="17" t="n">
        <v>6158</v>
      </c>
      <c r="C49" s="18">
        <f>(4933.0/B49*100)</f>
        <v/>
      </c>
      <c r="D49" s="19" t="n">
        <v>1225</v>
      </c>
      <c r="E49" s="18" t="n">
        <v>43.14681399</v>
      </c>
      <c r="F49" s="20" t="n">
        <v>2.12042389</v>
      </c>
      <c r="G49" s="18" t="n">
        <v>48.7164499</v>
      </c>
      <c r="H49" s="20" t="n">
        <v>2.08652445</v>
      </c>
      <c r="I49" s="18" t="n">
        <v>0</v>
      </c>
      <c r="J49" s="20" t="n">
        <v>0</v>
      </c>
      <c r="K49" s="18" t="n">
        <v>8.136736109999999</v>
      </c>
      <c r="L49" s="20" t="n">
        <v>1.32615223</v>
      </c>
      <c r="M49" s="18" t="n">
        <v>0</v>
      </c>
      <c r="N49" s="20" t="n">
        <v>0</v>
      </c>
      <c r="O49" s="18" t="n">
        <v>0</v>
      </c>
      <c r="P49" s="20" t="n">
        <v>0</v>
      </c>
      <c r="Q49" s="18" t="n">
        <v>0</v>
      </c>
      <c r="R49" s="20" t="n">
        <v>0</v>
      </c>
    </row>
    <row r="50" spans="1:18">
      <c r="A50" s="15" t="s">
        <v>609</v>
      </c>
      <c r="B50" s="17" t="n">
        <v>3494</v>
      </c>
      <c r="C50" s="18">
        <f>(2899.0/B50*100)</f>
        <v/>
      </c>
      <c r="D50" s="19" t="n">
        <v>595</v>
      </c>
      <c r="E50" s="18" t="n">
        <v>46.89587321</v>
      </c>
      <c r="F50" s="20" t="n">
        <v>2.47588229</v>
      </c>
      <c r="G50" s="18" t="n">
        <v>49.27285913</v>
      </c>
      <c r="H50" s="20" t="n">
        <v>2.4414364</v>
      </c>
      <c r="I50" s="18" t="n">
        <v>0</v>
      </c>
      <c r="J50" s="20" t="n">
        <v>0</v>
      </c>
      <c r="K50" s="18" t="n">
        <v>3.83126766</v>
      </c>
      <c r="L50" s="20" t="n">
        <v>1.04627274</v>
      </c>
      <c r="M50" s="18" t="n">
        <v>0</v>
      </c>
      <c r="N50" s="20" t="n">
        <v>0</v>
      </c>
      <c r="O50" s="18" t="n">
        <v>0</v>
      </c>
      <c r="P50" s="20" t="n">
        <v>0</v>
      </c>
      <c r="Q50" s="18" t="n">
        <v>0</v>
      </c>
      <c r="R50" s="20" t="n">
        <v>0</v>
      </c>
    </row>
    <row r="51" spans="1:18">
      <c r="A51" s="15" t="s">
        <v>610</v>
      </c>
      <c r="B51" s="17" t="n">
        <v>3013</v>
      </c>
      <c r="C51" s="18">
        <f>(2360.0/B51*100)</f>
        <v/>
      </c>
      <c r="D51" s="19" t="n">
        <v>653</v>
      </c>
      <c r="E51" s="18" t="n">
        <v>28.16126703</v>
      </c>
      <c r="F51" s="20" t="n">
        <v>1.95733542</v>
      </c>
      <c r="G51" s="18" t="n">
        <v>69.37969479</v>
      </c>
      <c r="H51" s="20" t="n">
        <v>2.01981434</v>
      </c>
      <c r="I51" s="18" t="n">
        <v>0</v>
      </c>
      <c r="J51" s="20" t="n">
        <v>0</v>
      </c>
      <c r="K51" s="18" t="n">
        <v>2.45903818</v>
      </c>
      <c r="L51" s="20" t="n">
        <v>0.86791507</v>
      </c>
      <c r="M51" s="18" t="n">
        <v>0</v>
      </c>
      <c r="N51" s="20" t="n">
        <v>0</v>
      </c>
      <c r="O51" s="18" t="n">
        <v>0</v>
      </c>
      <c r="P51" s="20" t="n">
        <v>0</v>
      </c>
      <c r="Q51" s="18" t="n">
        <v>0</v>
      </c>
      <c r="R51" s="20" t="n">
        <v>0</v>
      </c>
    </row>
    <row r="52" spans="1:18">
      <c r="A52" s="15" t="s">
        <v>611</v>
      </c>
      <c r="B52" s="17" t="n">
        <v>2760</v>
      </c>
      <c r="C52" s="18">
        <f>(2160.0/B52*100)</f>
        <v/>
      </c>
      <c r="D52" s="19" t="n">
        <v>600</v>
      </c>
      <c r="E52" s="18" t="n">
        <v>52.64179134</v>
      </c>
      <c r="F52" s="20" t="n">
        <v>2.12456737</v>
      </c>
      <c r="G52" s="18" t="n">
        <v>44.33556482</v>
      </c>
      <c r="H52" s="20" t="n">
        <v>2.1088894</v>
      </c>
      <c r="I52" s="18" t="n">
        <v>0</v>
      </c>
      <c r="J52" s="20" t="n">
        <v>0</v>
      </c>
      <c r="K52" s="18" t="n">
        <v>3.02264384</v>
      </c>
      <c r="L52" s="20" t="n">
        <v>0.6723327099999999</v>
      </c>
      <c r="M52" s="18" t="n">
        <v>0</v>
      </c>
      <c r="N52" s="20" t="n">
        <v>0</v>
      </c>
      <c r="O52" s="18" t="n">
        <v>0</v>
      </c>
      <c r="P52" s="20" t="n">
        <v>0</v>
      </c>
      <c r="Q52" s="18" t="n">
        <v>0</v>
      </c>
      <c r="R52" s="20" t="n">
        <v>0</v>
      </c>
    </row>
    <row r="53" spans="1:18">
      <c r="A53" s="15" t="s">
        <v>612</v>
      </c>
      <c r="B53" s="17" t="n">
        <v>2474</v>
      </c>
      <c r="C53" s="18">
        <f>(1958.0/B53*100)</f>
        <v/>
      </c>
      <c r="D53" s="19" t="n">
        <v>516</v>
      </c>
      <c r="E53" s="18" t="n">
        <v>39.75176367</v>
      </c>
      <c r="F53" s="20" t="n">
        <v>2.55758221</v>
      </c>
      <c r="G53" s="18" t="n">
        <v>24.43818836</v>
      </c>
      <c r="H53" s="20" t="n">
        <v>2.09103774</v>
      </c>
      <c r="I53" s="18" t="n">
        <v>0</v>
      </c>
      <c r="J53" s="20" t="n">
        <v>0</v>
      </c>
      <c r="K53" s="18" t="n">
        <v>35.81004798</v>
      </c>
      <c r="L53" s="20" t="n">
        <v>2.50993641</v>
      </c>
      <c r="M53" s="18" t="n">
        <v>0</v>
      </c>
      <c r="N53" s="20" t="n">
        <v>0</v>
      </c>
      <c r="O53" s="18" t="n">
        <v>0</v>
      </c>
      <c r="P53" s="20" t="n">
        <v>0</v>
      </c>
      <c r="Q53" s="18" t="n">
        <v>0</v>
      </c>
      <c r="R53" s="20" t="n">
        <v>0</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(2092.0/B55*100)</f>
        <v/>
      </c>
      <c r="D55" s="19" t="n">
        <v>583</v>
      </c>
      <c r="E55" s="18" t="n">
        <v>14.01676331</v>
      </c>
      <c r="F55" s="20" t="n">
        <v>1.51236127</v>
      </c>
      <c r="G55" s="18" t="n">
        <v>85.28487593</v>
      </c>
      <c r="H55" s="20" t="n">
        <v>1.56626035</v>
      </c>
      <c r="I55" s="18" t="n">
        <v>0</v>
      </c>
      <c r="J55" s="20" t="n">
        <v>0</v>
      </c>
      <c r="K55" s="18" t="n">
        <v>0.69836076</v>
      </c>
      <c r="L55" s="20" t="n">
        <v>0.40191764</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(2506.0/B61*100)</f>
        <v/>
      </c>
      <c r="D61" s="19" t="n">
        <v>695</v>
      </c>
      <c r="E61" s="18" t="n">
        <v>24.36964215</v>
      </c>
      <c r="F61" s="20" t="n">
        <v>1.71573177</v>
      </c>
      <c r="G61" s="18" t="n">
        <v>74.10251138</v>
      </c>
      <c r="H61" s="20" t="n">
        <v>1.73955149</v>
      </c>
      <c r="I61" s="18" t="n">
        <v>0</v>
      </c>
      <c r="J61" s="20" t="n">
        <v>0</v>
      </c>
      <c r="K61" s="18" t="n">
        <v>1.52784647</v>
      </c>
      <c r="L61" s="20" t="n">
        <v>0.49668581</v>
      </c>
      <c r="M61" s="18" t="n">
        <v>0</v>
      </c>
      <c r="N61" s="20" t="n">
        <v>0</v>
      </c>
      <c r="O61" s="18" t="n">
        <v>0</v>
      </c>
      <c r="P61" s="20" t="n">
        <v>0</v>
      </c>
      <c r="Q61" s="18" t="n">
        <v>0</v>
      </c>
      <c r="R61" s="20" t="n">
        <v>0</v>
      </c>
    </row>
    <row r="62" spans="1:18">
      <c r="A62" s="15" t="s">
        <v>622</v>
      </c>
      <c r="B62" s="17" t="n">
        <v>2230</v>
      </c>
      <c r="C62" s="18">
        <f>(1781.0/B62*100)</f>
        <v/>
      </c>
      <c r="D62" s="19" t="n">
        <v>449</v>
      </c>
      <c r="E62" s="18" t="n">
        <v>13.87304398</v>
      </c>
      <c r="F62" s="20" t="n">
        <v>1.68693211</v>
      </c>
      <c r="G62" s="18" t="n">
        <v>85.90569101</v>
      </c>
      <c r="H62" s="20" t="n">
        <v>1.69501841</v>
      </c>
      <c r="I62" s="18" t="n">
        <v>0</v>
      </c>
      <c r="J62" s="20" t="n">
        <v>0</v>
      </c>
      <c r="K62" s="18" t="n">
        <v>0.22126501</v>
      </c>
      <c r="L62" s="20" t="n">
        <v>0.2202088</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(2223.0/B67*100)</f>
        <v/>
      </c>
      <c r="D67" s="19" t="n">
        <v>548</v>
      </c>
      <c r="E67" s="18" t="n">
        <v>34.95944583</v>
      </c>
      <c r="F67" s="20" t="n">
        <v>2.24168897</v>
      </c>
      <c r="G67" s="18" t="n">
        <v>56.38706114</v>
      </c>
      <c r="H67" s="20" t="n">
        <v>2.12657605</v>
      </c>
      <c r="I67" s="18" t="n">
        <v>0</v>
      </c>
      <c r="J67" s="20" t="n">
        <v>0</v>
      </c>
      <c r="K67" s="18" t="n">
        <v>8.65349303</v>
      </c>
      <c r="L67" s="20" t="n">
        <v>1.22756389</v>
      </c>
      <c r="M67" s="18" t="n">
        <v>0</v>
      </c>
      <c r="N67" s="20" t="n">
        <v>0</v>
      </c>
      <c r="O67" s="18" t="n">
        <v>0</v>
      </c>
      <c r="P67" s="20" t="n">
        <v>0</v>
      </c>
      <c r="Q67" s="18" t="n">
        <v>0</v>
      </c>
      <c r="R67" s="20" t="n">
        <v>0</v>
      </c>
    </row>
    <row r="68" spans="1:18">
      <c r="A68" s="15" t="s">
        <v>628</v>
      </c>
      <c r="B68" s="17" t="n">
        <v>3460</v>
      </c>
      <c r="C68" s="18">
        <f>(2928.0/B68*100)</f>
        <v/>
      </c>
      <c r="D68" s="19" t="n">
        <v>532</v>
      </c>
      <c r="E68" s="18" t="n">
        <v>50.93871166</v>
      </c>
      <c r="F68" s="20" t="n">
        <v>2.59701167</v>
      </c>
      <c r="G68" s="18" t="n">
        <v>44.42862879</v>
      </c>
      <c r="H68" s="20" t="n">
        <v>2.56511867</v>
      </c>
      <c r="I68" s="18" t="n">
        <v>0</v>
      </c>
      <c r="J68" s="20" t="n">
        <v>0</v>
      </c>
      <c r="K68" s="18" t="n">
        <v>4.63265955</v>
      </c>
      <c r="L68" s="20" t="n">
        <v>0.86774924</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(4724.0/B70*100)</f>
        <v/>
      </c>
      <c r="D70" s="19" t="n">
        <v>1310</v>
      </c>
      <c r="E70" s="18" t="n">
        <v>42.70354552</v>
      </c>
      <c r="F70" s="20" t="n">
        <v>1.33673107</v>
      </c>
      <c r="G70" s="18" t="n">
        <v>49.29302339</v>
      </c>
      <c r="H70" s="20" t="n">
        <v>1.41296846</v>
      </c>
      <c r="I70" s="18" t="n">
        <v>0</v>
      </c>
      <c r="J70" s="20" t="n">
        <v>0</v>
      </c>
      <c r="K70" s="18" t="n">
        <v>8.0034311</v>
      </c>
      <c r="L70" s="20" t="n">
        <v>0.73698918</v>
      </c>
      <c r="M70" s="18" t="n">
        <v>0</v>
      </c>
      <c r="N70" s="20" t="n">
        <v>0</v>
      </c>
      <c r="O70" s="18" t="n">
        <v>0</v>
      </c>
      <c r="P70" s="20" t="n">
        <v>0</v>
      </c>
      <c r="Q70" s="18" t="n">
        <v>0</v>
      </c>
      <c r="R70" s="20" t="n">
        <v>0</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(2495.0/B72*100)</f>
        <v/>
      </c>
      <c r="D72" s="19" t="n">
        <v>612</v>
      </c>
      <c r="E72" s="18" t="n">
        <v>28.90086949</v>
      </c>
      <c r="F72" s="20" t="n">
        <v>1.67643109</v>
      </c>
      <c r="G72" s="18" t="n">
        <v>68.99751277999999</v>
      </c>
      <c r="H72" s="20" t="n">
        <v>1.90671635</v>
      </c>
      <c r="I72" s="18" t="n">
        <v>0</v>
      </c>
      <c r="J72" s="20" t="n">
        <v>0</v>
      </c>
      <c r="K72" s="18" t="n">
        <v>2.10161773</v>
      </c>
      <c r="L72" s="20" t="n">
        <v>0.72231159</v>
      </c>
      <c r="M72" s="18" t="n">
        <v>0</v>
      </c>
      <c r="N72" s="20" t="n">
        <v>0</v>
      </c>
      <c r="O72" s="18" t="n">
        <v>0</v>
      </c>
      <c r="P72" s="20" t="n">
        <v>0</v>
      </c>
      <c r="Q72" s="18" t="n">
        <v>0</v>
      </c>
      <c r="R72" s="20" t="n">
        <v>0</v>
      </c>
    </row>
    <row r="73" spans="1:18">
      <c r="A73" s="15" t="s">
        <v>633</v>
      </c>
      <c r="B73" s="17" t="n">
        <v>2973</v>
      </c>
      <c r="C73" s="18">
        <f>(2319.0/B73*100)</f>
        <v/>
      </c>
      <c r="D73" s="19" t="n">
        <v>654</v>
      </c>
      <c r="E73" s="18" t="n">
        <v>19.33802902</v>
      </c>
      <c r="F73" s="20" t="n">
        <v>1.47058106</v>
      </c>
      <c r="G73" s="18" t="n">
        <v>79.97809374000001</v>
      </c>
      <c r="H73" s="20" t="n">
        <v>1.46096594</v>
      </c>
      <c r="I73" s="18" t="n">
        <v>0</v>
      </c>
      <c r="J73" s="20" t="n">
        <v>0</v>
      </c>
      <c r="K73" s="18" t="n">
        <v>0.6838772400000001</v>
      </c>
      <c r="L73" s="20" t="n">
        <v>0.31048061</v>
      </c>
      <c r="M73" s="18" t="n">
        <v>0</v>
      </c>
      <c r="N73" s="20" t="n">
        <v>0</v>
      </c>
      <c r="O73" s="18" t="n">
        <v>0</v>
      </c>
      <c r="P73" s="20" t="n">
        <v>0</v>
      </c>
      <c r="Q73" s="18" t="n">
        <v>0</v>
      </c>
      <c r="R73" s="20" t="n">
        <v>0</v>
      </c>
    </row>
    <row r="74" spans="1:18">
      <c r="A74" s="15" t="s">
        <v>634</v>
      </c>
      <c r="B74" s="17" t="n">
        <v>3819</v>
      </c>
      <c r="C74" s="18">
        <f>(2933.0/B74*100)</f>
        <v/>
      </c>
      <c r="D74" s="19" t="n">
        <v>886</v>
      </c>
      <c r="E74" s="18" t="n">
        <v>14.9771842</v>
      </c>
      <c r="F74" s="20" t="n">
        <v>1.49268813</v>
      </c>
      <c r="G74" s="18" t="n">
        <v>84.84861699</v>
      </c>
      <c r="H74" s="20" t="n">
        <v>1.44903765</v>
      </c>
      <c r="I74" s="18" t="n">
        <v>0</v>
      </c>
      <c r="J74" s="20" t="n">
        <v>0</v>
      </c>
      <c r="K74" s="18" t="n">
        <v>0.17419882</v>
      </c>
      <c r="L74" s="20" t="n">
        <v>0.24841018</v>
      </c>
      <c r="M74" s="18" t="n">
        <v>0</v>
      </c>
      <c r="N74" s="20" t="n">
        <v>0</v>
      </c>
      <c r="O74" s="18" t="n">
        <v>0</v>
      </c>
      <c r="P74" s="20" t="n">
        <v>0</v>
      </c>
      <c r="Q74" s="18" t="n">
        <v>0</v>
      </c>
      <c r="R74" s="20" t="n">
        <v>0</v>
      </c>
    </row>
    <row r="75" spans="1:18">
      <c r="A75" s="15" t="s">
        <v>635</v>
      </c>
      <c r="B75" s="17" t="n">
        <v>4652</v>
      </c>
      <c r="C75" s="18">
        <f>(3709.0/B75*100)</f>
        <v/>
      </c>
      <c r="D75" s="19" t="n">
        <v>943</v>
      </c>
      <c r="E75" s="18" t="n">
        <v>39.70856855</v>
      </c>
      <c r="F75" s="20" t="n">
        <v>1.90578083</v>
      </c>
      <c r="G75" s="18" t="n">
        <v>59.20336866</v>
      </c>
      <c r="H75" s="20" t="n">
        <v>1.87021902</v>
      </c>
      <c r="I75" s="18" t="n">
        <v>0</v>
      </c>
      <c r="J75" s="20" t="n">
        <v>0</v>
      </c>
      <c r="K75" s="18" t="n">
        <v>1.08806279</v>
      </c>
      <c r="L75" s="20" t="n">
        <v>0.40968058</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(2399.0/B77*100)</f>
        <v/>
      </c>
      <c r="D77" s="19" t="n">
        <v>570</v>
      </c>
      <c r="E77" s="18" t="n">
        <v>39.04224413</v>
      </c>
      <c r="F77" s="20" t="n">
        <v>1.99663172</v>
      </c>
      <c r="G77" s="18" t="n">
        <v>47.30936764</v>
      </c>
      <c r="H77" s="20" t="n">
        <v>2.09100253</v>
      </c>
      <c r="I77" s="18" t="n">
        <v>0</v>
      </c>
      <c r="J77" s="20" t="n">
        <v>0</v>
      </c>
      <c r="K77" s="18" t="n">
        <v>13.64838824</v>
      </c>
      <c r="L77" s="20" t="n">
        <v>1.68375829</v>
      </c>
      <c r="M77" s="18" t="n">
        <v>0</v>
      </c>
      <c r="N77" s="20" t="n">
        <v>0</v>
      </c>
      <c r="O77" s="18" t="n">
        <v>0</v>
      </c>
      <c r="P77" s="20" t="n">
        <v>0</v>
      </c>
      <c r="Q77" s="18" t="n">
        <v>0</v>
      </c>
      <c r="R77" s="20" t="n">
        <v>0</v>
      </c>
    </row>
    <row r="78" spans="1:18">
      <c r="A78" s="15" t="s">
        <v>638</v>
      </c>
      <c r="B78" s="17" t="n">
        <v>7115</v>
      </c>
      <c r="C78" s="18">
        <f>(5557.0/B78*100)</f>
        <v/>
      </c>
      <c r="D78" s="19" t="n">
        <v>1558</v>
      </c>
      <c r="E78" s="18" t="n">
        <v>37.4276205</v>
      </c>
      <c r="F78" s="20" t="n">
        <v>1.93150454</v>
      </c>
      <c r="G78" s="18" t="n">
        <v>59.80518047</v>
      </c>
      <c r="H78" s="20" t="n">
        <v>1.98380059</v>
      </c>
      <c r="I78" s="18" t="n">
        <v>0</v>
      </c>
      <c r="J78" s="20" t="n">
        <v>0</v>
      </c>
      <c r="K78" s="18" t="n">
        <v>2.76719903</v>
      </c>
      <c r="L78" s="20" t="n">
        <v>0.5469593</v>
      </c>
      <c r="M78" s="18" t="n">
        <v>0</v>
      </c>
      <c r="N78" s="20" t="n">
        <v>0</v>
      </c>
      <c r="O78" s="18" t="n">
        <v>0</v>
      </c>
      <c r="P78" s="20" t="n">
        <v>0</v>
      </c>
      <c r="Q78" s="18" t="n">
        <v>0</v>
      </c>
      <c r="R78" s="20" t="n">
        <v>0</v>
      </c>
    </row>
    <row r="79" spans="1:18">
      <c r="A79" s="15" t="s">
        <v>639</v>
      </c>
      <c r="B79" s="17" t="n">
        <v>3154</v>
      </c>
      <c r="C79" s="18">
        <f>(2541.0/B79*100)</f>
        <v/>
      </c>
      <c r="D79" s="19" t="n">
        <v>613</v>
      </c>
      <c r="E79" s="18" t="n">
        <v>36.68628388</v>
      </c>
      <c r="F79" s="20" t="n">
        <v>2.22188626</v>
      </c>
      <c r="G79" s="18" t="n">
        <v>56.20059672</v>
      </c>
      <c r="H79" s="20" t="n">
        <v>2.40571601</v>
      </c>
      <c r="I79" s="18" t="n">
        <v>0</v>
      </c>
      <c r="J79" s="20" t="n">
        <v>0</v>
      </c>
      <c r="K79" s="18" t="n">
        <v>7.1131194</v>
      </c>
      <c r="L79" s="20" t="n">
        <v>1.06010459</v>
      </c>
      <c r="M79" s="18" t="n">
        <v>0</v>
      </c>
      <c r="N79" s="20" t="n">
        <v>0</v>
      </c>
      <c r="O79" s="18" t="n">
        <v>0</v>
      </c>
      <c r="P79" s="20" t="n">
        <v>0</v>
      </c>
      <c r="Q79" s="18" t="n">
        <v>0</v>
      </c>
      <c r="R79" s="20" t="n">
        <v>0</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(12626.0/B82*100)</f>
        <v/>
      </c>
      <c r="D82" s="19" t="n">
        <v>3335</v>
      </c>
      <c r="E82" s="18" t="n">
        <v>28.74371796</v>
      </c>
      <c r="F82" s="20" t="n">
        <v>1.11315935</v>
      </c>
      <c r="G82" s="18" t="n">
        <v>68.8004868</v>
      </c>
      <c r="H82" s="20" t="n">
        <v>1.18956283</v>
      </c>
      <c r="I82" s="18" t="n">
        <v>0</v>
      </c>
      <c r="J82" s="20" t="n">
        <v>0</v>
      </c>
      <c r="K82" s="18" t="n">
        <v>2.45579524</v>
      </c>
      <c r="L82" s="20" t="n">
        <v>0.2965742</v>
      </c>
      <c r="M82" s="18" t="n">
        <v>0</v>
      </c>
      <c r="N82" s="20" t="n">
        <v>0</v>
      </c>
      <c r="O82" s="18" t="n">
        <v>0</v>
      </c>
      <c r="P82" s="20" t="n">
        <v>0</v>
      </c>
      <c r="Q82" s="18" t="n">
        <v>0</v>
      </c>
      <c r="R82" s="20" t="n">
        <v>0</v>
      </c>
    </row>
    <row r="83" spans="1:18">
      <c r="A83" s="15" t="s">
        <v>643</v>
      </c>
      <c r="B83" s="17" t="n">
        <v>808</v>
      </c>
      <c r="C83" s="18">
        <f>(653.0/B83*100)</f>
        <v/>
      </c>
      <c r="D83" s="19" t="n">
        <v>155</v>
      </c>
      <c r="E83" s="18" t="n">
        <v>20.25164915</v>
      </c>
      <c r="F83" s="20" t="n">
        <v>3.39322982</v>
      </c>
      <c r="G83" s="18" t="n">
        <v>79.74835084999999</v>
      </c>
      <c r="H83" s="20" t="n">
        <v>3.39322982</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(750.0/B84*100)</f>
        <v/>
      </c>
      <c r="D84" s="19" t="n">
        <v>188</v>
      </c>
      <c r="E84" s="18" t="n">
        <v>38.35744626</v>
      </c>
      <c r="F84" s="20" t="n">
        <v>3.37758916</v>
      </c>
      <c r="G84" s="18" t="n">
        <v>60.13673066</v>
      </c>
      <c r="H84" s="20" t="n">
        <v>3.27601546</v>
      </c>
      <c r="I84" s="18" t="n">
        <v>0</v>
      </c>
      <c r="J84" s="20" t="n">
        <v>0</v>
      </c>
      <c r="K84" s="18" t="n">
        <v>1.50582308</v>
      </c>
      <c r="L84" s="20" t="n">
        <v>0.90168372</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(5558.0/B7*100)</f>
        <v/>
      </c>
      <c r="D7" s="19" t="n">
        <v>1605</v>
      </c>
      <c r="E7" s="18" t="n">
        <v>10.36835593</v>
      </c>
      <c r="F7" s="20" t="n">
        <v>0.96112478</v>
      </c>
      <c r="G7" s="18" t="n">
        <v>85.67187169</v>
      </c>
      <c r="H7" s="20" t="n">
        <v>1.09424858</v>
      </c>
      <c r="I7" s="18" t="n">
        <v>0</v>
      </c>
      <c r="J7" s="20" t="n">
        <v>0</v>
      </c>
      <c r="K7" s="18" t="n">
        <v>0.2732605</v>
      </c>
      <c r="L7" s="20" t="n">
        <v>0.14212209</v>
      </c>
      <c r="M7" s="18" t="n">
        <v>0</v>
      </c>
      <c r="N7" s="20" t="n">
        <v>0</v>
      </c>
      <c r="O7" s="18" t="n">
        <v>0</v>
      </c>
      <c r="P7" s="20" t="n">
        <v>0</v>
      </c>
      <c r="Q7" s="18" t="n">
        <v>3.68651188</v>
      </c>
      <c r="R7" s="20" t="n">
        <v>0.46161303</v>
      </c>
    </row>
    <row r="8" spans="1:18">
      <c r="A8" s="15" t="s">
        <v>566</v>
      </c>
      <c r="B8" s="17" t="n">
        <v>3443</v>
      </c>
      <c r="C8" s="18">
        <f>(2653.0/B8*100)</f>
        <v/>
      </c>
      <c r="D8" s="19" t="n">
        <v>790</v>
      </c>
      <c r="E8" s="18" t="n">
        <v>14.61562445</v>
      </c>
      <c r="F8" s="20" t="n">
        <v>1.62682412</v>
      </c>
      <c r="G8" s="18" t="n">
        <v>81.3578054</v>
      </c>
      <c r="H8" s="20" t="n">
        <v>1.84121664</v>
      </c>
      <c r="I8" s="18" t="n">
        <v>0</v>
      </c>
      <c r="J8" s="20" t="n">
        <v>0</v>
      </c>
      <c r="K8" s="18" t="n">
        <v>0.16848637</v>
      </c>
      <c r="L8" s="20" t="n">
        <v>0.16661571</v>
      </c>
      <c r="M8" s="18" t="n">
        <v>0</v>
      </c>
      <c r="N8" s="20" t="n">
        <v>0</v>
      </c>
      <c r="O8" s="18" t="n">
        <v>0</v>
      </c>
      <c r="P8" s="20" t="n">
        <v>0</v>
      </c>
      <c r="Q8" s="18" t="n">
        <v>3.85808377</v>
      </c>
      <c r="R8" s="20" t="n">
        <v>0.82418968</v>
      </c>
    </row>
    <row r="9" spans="1:18">
      <c r="A9" s="15" t="s">
        <v>567</v>
      </c>
      <c r="B9" s="17" t="n">
        <v>4752</v>
      </c>
      <c r="C9" s="18">
        <f>(3722.0/B9*100)</f>
        <v/>
      </c>
      <c r="D9" s="19" t="n">
        <v>1030</v>
      </c>
      <c r="E9" s="18" t="n">
        <v>14.3799844</v>
      </c>
      <c r="F9" s="20" t="n">
        <v>1.2767635</v>
      </c>
      <c r="G9" s="18" t="n">
        <v>82.76819690000001</v>
      </c>
      <c r="H9" s="20" t="n">
        <v>1.37338217</v>
      </c>
      <c r="I9" s="18" t="n">
        <v>0</v>
      </c>
      <c r="J9" s="20" t="n">
        <v>0</v>
      </c>
      <c r="K9" s="18" t="n">
        <v>0.08325708</v>
      </c>
      <c r="L9" s="20" t="n">
        <v>0.08694983000000001</v>
      </c>
      <c r="M9" s="18" t="n">
        <v>0</v>
      </c>
      <c r="N9" s="20" t="n">
        <v>0</v>
      </c>
      <c r="O9" s="18" t="n">
        <v>0</v>
      </c>
      <c r="P9" s="20" t="n">
        <v>0</v>
      </c>
      <c r="Q9" s="18" t="n">
        <v>2.76856162</v>
      </c>
      <c r="R9" s="20" t="n">
        <v>0.5945780000000001</v>
      </c>
    </row>
    <row r="10" spans="1:18">
      <c r="A10" s="15" t="s">
        <v>568</v>
      </c>
      <c r="B10" s="17" t="n">
        <v>10022</v>
      </c>
      <c r="C10" s="18">
        <f>(7798.0/B10*100)</f>
        <v/>
      </c>
      <c r="D10" s="19" t="n">
        <v>2224</v>
      </c>
      <c r="E10" s="18" t="n">
        <v>6.58472477</v>
      </c>
      <c r="F10" s="20" t="n">
        <v>0.80726754</v>
      </c>
      <c r="G10" s="18" t="n">
        <v>89.4253702</v>
      </c>
      <c r="H10" s="20" t="n">
        <v>1.05090082</v>
      </c>
      <c r="I10" s="18" t="n">
        <v>0</v>
      </c>
      <c r="J10" s="20" t="n">
        <v>0</v>
      </c>
      <c r="K10" s="18" t="n">
        <v>0.25591732</v>
      </c>
      <c r="L10" s="20" t="n">
        <v>0.1996662</v>
      </c>
      <c r="M10" s="18" t="n">
        <v>0</v>
      </c>
      <c r="N10" s="20" t="n">
        <v>0</v>
      </c>
      <c r="O10" s="18" t="n">
        <v>0</v>
      </c>
      <c r="P10" s="20" t="n">
        <v>0</v>
      </c>
      <c r="Q10" s="18" t="n">
        <v>3.73398771</v>
      </c>
      <c r="R10" s="20" t="n">
        <v>0.51782264</v>
      </c>
    </row>
    <row r="11" spans="1:18">
      <c r="A11" s="15" t="s">
        <v>569</v>
      </c>
      <c r="B11" s="17" t="n">
        <v>3500</v>
      </c>
      <c r="C11" s="18">
        <f>(2746.0/B11*100)</f>
        <v/>
      </c>
      <c r="D11" s="19" t="n">
        <v>754</v>
      </c>
      <c r="E11" s="18" t="n">
        <v>16.79552693</v>
      </c>
      <c r="F11" s="20" t="n">
        <v>1.79758815</v>
      </c>
      <c r="G11" s="18" t="n">
        <v>75.56815489</v>
      </c>
      <c r="H11" s="20" t="n">
        <v>1.97835918</v>
      </c>
      <c r="I11" s="18" t="n">
        <v>0</v>
      </c>
      <c r="J11" s="20" t="n">
        <v>0</v>
      </c>
      <c r="K11" s="18" t="n">
        <v>0.1383425</v>
      </c>
      <c r="L11" s="20" t="n">
        <v>0.13941711</v>
      </c>
      <c r="M11" s="18" t="n">
        <v>0</v>
      </c>
      <c r="N11" s="20" t="n">
        <v>0</v>
      </c>
      <c r="O11" s="18" t="n">
        <v>0</v>
      </c>
      <c r="P11" s="20" t="n">
        <v>0</v>
      </c>
      <c r="Q11" s="18" t="n">
        <v>7.49797569</v>
      </c>
      <c r="R11" s="20" t="n">
        <v>1.03815462</v>
      </c>
    </row>
    <row r="12" spans="1:18">
      <c r="A12" s="15" t="s">
        <v>570</v>
      </c>
      <c r="B12" s="17" t="n">
        <v>3422</v>
      </c>
      <c r="C12" s="18">
        <f>(2679.0/B12*100)</f>
        <v/>
      </c>
      <c r="D12" s="19" t="n">
        <v>743</v>
      </c>
      <c r="E12" s="18" t="n">
        <v>25.02221848</v>
      </c>
      <c r="F12" s="20" t="n">
        <v>1.61978344</v>
      </c>
      <c r="G12" s="18" t="n">
        <v>74.31939425</v>
      </c>
      <c r="H12" s="20" t="n">
        <v>1.68775869</v>
      </c>
      <c r="I12" s="18" t="n">
        <v>0</v>
      </c>
      <c r="J12" s="20" t="n">
        <v>0</v>
      </c>
      <c r="K12" s="18" t="n">
        <v>0</v>
      </c>
      <c r="L12" s="20" t="n">
        <v>0</v>
      </c>
      <c r="M12" s="18" t="n">
        <v>0</v>
      </c>
      <c r="N12" s="20" t="n">
        <v>0</v>
      </c>
      <c r="O12" s="18" t="n">
        <v>0</v>
      </c>
      <c r="P12" s="20" t="n">
        <v>0</v>
      </c>
      <c r="Q12" s="18" t="n">
        <v>0.65838728</v>
      </c>
      <c r="R12" s="20" t="n">
        <v>0.28050707</v>
      </c>
    </row>
    <row r="13" spans="1:18">
      <c r="A13" s="15" t="s">
        <v>571</v>
      </c>
      <c r="B13" s="17" t="n">
        <v>3602</v>
      </c>
      <c r="C13" s="18">
        <f>(2794.0/B13*100)</f>
        <v/>
      </c>
      <c r="D13" s="19" t="n">
        <v>808</v>
      </c>
      <c r="E13" s="18" t="n">
        <v>15.22047027</v>
      </c>
      <c r="F13" s="20" t="n">
        <v>1.50173251</v>
      </c>
      <c r="G13" s="18" t="n">
        <v>81.19197742</v>
      </c>
      <c r="H13" s="20" t="n">
        <v>1.80094866</v>
      </c>
      <c r="I13" s="18" t="n">
        <v>0</v>
      </c>
      <c r="J13" s="20" t="n">
        <v>0</v>
      </c>
      <c r="K13" s="18" t="n">
        <v>0.25943795</v>
      </c>
      <c r="L13" s="20" t="n">
        <v>0.25248598</v>
      </c>
      <c r="M13" s="18" t="n">
        <v>0</v>
      </c>
      <c r="N13" s="20" t="n">
        <v>0</v>
      </c>
      <c r="O13" s="18" t="n">
        <v>0</v>
      </c>
      <c r="P13" s="20" t="n">
        <v>0</v>
      </c>
      <c r="Q13" s="18" t="n">
        <v>3.32811436</v>
      </c>
      <c r="R13" s="20" t="n">
        <v>0.8709519999999999</v>
      </c>
    </row>
    <row r="14" spans="1:18">
      <c r="A14" s="15" t="s">
        <v>572</v>
      </c>
      <c r="B14" s="17" t="n">
        <v>2788</v>
      </c>
      <c r="C14" s="18">
        <f>(2135.0/B14*100)</f>
        <v/>
      </c>
      <c r="D14" s="19" t="n">
        <v>653</v>
      </c>
      <c r="E14" s="18" t="n">
        <v>9.413998579999999</v>
      </c>
      <c r="F14" s="20" t="n">
        <v>1.22052768</v>
      </c>
      <c r="G14" s="18" t="n">
        <v>89.68437157</v>
      </c>
      <c r="H14" s="20" t="n">
        <v>1.26188386</v>
      </c>
      <c r="I14" s="18" t="n">
        <v>0</v>
      </c>
      <c r="J14" s="20" t="n">
        <v>0</v>
      </c>
      <c r="K14" s="18" t="n">
        <v>0.12500111</v>
      </c>
      <c r="L14" s="20" t="n">
        <v>0.11139343</v>
      </c>
      <c r="M14" s="18" t="n">
        <v>0</v>
      </c>
      <c r="N14" s="20" t="n">
        <v>0</v>
      </c>
      <c r="O14" s="18" t="n">
        <v>0</v>
      </c>
      <c r="P14" s="20" t="n">
        <v>0</v>
      </c>
      <c r="Q14" s="18" t="n">
        <v>0.77662875</v>
      </c>
      <c r="R14" s="20" t="n">
        <v>0.32296588</v>
      </c>
    </row>
    <row r="15" spans="1:18">
      <c r="A15" s="15" t="s">
        <v>573</v>
      </c>
      <c r="B15" s="17" t="n">
        <v>2863</v>
      </c>
      <c r="C15" s="18">
        <f>(2251.0/B15*100)</f>
        <v/>
      </c>
      <c r="D15" s="19" t="n">
        <v>612</v>
      </c>
      <c r="E15" s="18" t="n">
        <v>13.96923743</v>
      </c>
      <c r="F15" s="20" t="n">
        <v>1.47342994</v>
      </c>
      <c r="G15" s="18" t="n">
        <v>85.6022818</v>
      </c>
      <c r="H15" s="20" t="n">
        <v>1.51221041</v>
      </c>
      <c r="I15" s="18" t="n">
        <v>0</v>
      </c>
      <c r="J15" s="20" t="n">
        <v>0</v>
      </c>
      <c r="K15" s="18" t="n">
        <v>0</v>
      </c>
      <c r="L15" s="20" t="n">
        <v>0</v>
      </c>
      <c r="M15" s="18" t="n">
        <v>0</v>
      </c>
      <c r="N15" s="20" t="n">
        <v>0</v>
      </c>
      <c r="O15" s="18" t="n">
        <v>0</v>
      </c>
      <c r="P15" s="20" t="n">
        <v>0</v>
      </c>
      <c r="Q15" s="18" t="n">
        <v>0.42848078</v>
      </c>
      <c r="R15" s="20" t="n">
        <v>0.24456065</v>
      </c>
    </row>
    <row r="16" spans="1:18">
      <c r="A16" s="15" t="s">
        <v>574</v>
      </c>
      <c r="B16" s="17" t="n">
        <v>3111</v>
      </c>
      <c r="C16" s="18">
        <f>(2385.0/B16*100)</f>
        <v/>
      </c>
      <c r="D16" s="19" t="n">
        <v>726</v>
      </c>
      <c r="E16" s="18" t="n">
        <v>12.61970832</v>
      </c>
      <c r="F16" s="20" t="n">
        <v>1.20633849</v>
      </c>
      <c r="G16" s="18" t="n">
        <v>80.61714596</v>
      </c>
      <c r="H16" s="20" t="n">
        <v>1.68402724</v>
      </c>
      <c r="I16" s="18" t="n">
        <v>0</v>
      </c>
      <c r="J16" s="20" t="n">
        <v>0</v>
      </c>
      <c r="K16" s="18" t="n">
        <v>0.44786026</v>
      </c>
      <c r="L16" s="20" t="n">
        <v>0.25548841</v>
      </c>
      <c r="M16" s="18" t="n">
        <v>0</v>
      </c>
      <c r="N16" s="20" t="n">
        <v>0</v>
      </c>
      <c r="O16" s="18" t="n">
        <v>0</v>
      </c>
      <c r="P16" s="20" t="n">
        <v>0</v>
      </c>
      <c r="Q16" s="18" t="n">
        <v>6.31528545</v>
      </c>
      <c r="R16" s="20" t="n">
        <v>1.02371625</v>
      </c>
    </row>
    <row r="17" spans="1:18">
      <c r="A17" s="15" t="s">
        <v>575</v>
      </c>
      <c r="B17" s="17" t="n">
        <v>3197</v>
      </c>
      <c r="C17" s="18">
        <f>(2487.0/B17*100)</f>
        <v/>
      </c>
      <c r="D17" s="19" t="n">
        <v>710</v>
      </c>
      <c r="E17" s="18" t="n">
        <v>14.63741723</v>
      </c>
      <c r="F17" s="20" t="n">
        <v>1.32567627</v>
      </c>
      <c r="G17" s="18" t="n">
        <v>82.80646862</v>
      </c>
      <c r="H17" s="20" t="n">
        <v>1.54263884</v>
      </c>
      <c r="I17" s="18" t="n">
        <v>0</v>
      </c>
      <c r="J17" s="20" t="n">
        <v>0</v>
      </c>
      <c r="K17" s="18" t="n">
        <v>0</v>
      </c>
      <c r="L17" s="20" t="n">
        <v>0</v>
      </c>
      <c r="M17" s="18" t="n">
        <v>0</v>
      </c>
      <c r="N17" s="20" t="n">
        <v>0</v>
      </c>
      <c r="O17" s="18" t="n">
        <v>0</v>
      </c>
      <c r="P17" s="20" t="n">
        <v>0</v>
      </c>
      <c r="Q17" s="18" t="n">
        <v>2.55611416</v>
      </c>
      <c r="R17" s="20" t="n">
        <v>0.71375824</v>
      </c>
    </row>
    <row r="18" spans="1:18">
      <c r="A18" s="15" t="s">
        <v>576</v>
      </c>
      <c r="B18" s="17" t="n">
        <v>2706</v>
      </c>
      <c r="C18" s="18">
        <f>(2083.0/B18*100)</f>
        <v/>
      </c>
      <c r="D18" s="19" t="n">
        <v>623</v>
      </c>
      <c r="E18" s="18" t="n">
        <v>17.99960188</v>
      </c>
      <c r="F18" s="20" t="n">
        <v>1.72461712</v>
      </c>
      <c r="G18" s="18" t="n">
        <v>77.36596195</v>
      </c>
      <c r="H18" s="20" t="n">
        <v>2.14323604</v>
      </c>
      <c r="I18" s="18" t="n">
        <v>0</v>
      </c>
      <c r="J18" s="20" t="n">
        <v>0</v>
      </c>
      <c r="K18" s="18" t="n">
        <v>0</v>
      </c>
      <c r="L18" s="20" t="n">
        <v>0</v>
      </c>
      <c r="M18" s="18" t="n">
        <v>0</v>
      </c>
      <c r="N18" s="20" t="n">
        <v>0</v>
      </c>
      <c r="O18" s="18" t="n">
        <v>0</v>
      </c>
      <c r="P18" s="20" t="n">
        <v>0</v>
      </c>
      <c r="Q18" s="18" t="n">
        <v>4.63443617</v>
      </c>
      <c r="R18" s="20" t="n">
        <v>0.84850503</v>
      </c>
    </row>
    <row r="19" spans="1:18">
      <c r="A19" s="15" t="s">
        <v>577</v>
      </c>
      <c r="B19" s="17" t="n">
        <v>2850</v>
      </c>
      <c r="C19" s="18">
        <f>(2232.0/B19*100)</f>
        <v/>
      </c>
      <c r="D19" s="19" t="n">
        <v>618</v>
      </c>
      <c r="E19" s="18" t="n">
        <v>18.96542899</v>
      </c>
      <c r="F19" s="20" t="n">
        <v>2.04089232</v>
      </c>
      <c r="G19" s="18" t="n">
        <v>77.38211074</v>
      </c>
      <c r="H19" s="20" t="n">
        <v>2.29111545</v>
      </c>
      <c r="I19" s="18" t="n">
        <v>0</v>
      </c>
      <c r="J19" s="20" t="n">
        <v>0</v>
      </c>
      <c r="K19" s="18" t="n">
        <v>0</v>
      </c>
      <c r="L19" s="20" t="n">
        <v>0</v>
      </c>
      <c r="M19" s="18" t="n">
        <v>0</v>
      </c>
      <c r="N19" s="20" t="n">
        <v>0</v>
      </c>
      <c r="O19" s="18" t="n">
        <v>0</v>
      </c>
      <c r="P19" s="20" t="n">
        <v>0</v>
      </c>
      <c r="Q19" s="18" t="n">
        <v>3.65246027</v>
      </c>
      <c r="R19" s="20" t="n">
        <v>0.89797428</v>
      </c>
    </row>
    <row r="20" spans="1:18">
      <c r="A20" s="15" t="s">
        <v>578</v>
      </c>
      <c r="B20" s="17" t="n">
        <v>1741</v>
      </c>
      <c r="C20" s="18">
        <f>(1342.0/B20*100)</f>
        <v/>
      </c>
      <c r="D20" s="19" t="n">
        <v>399</v>
      </c>
      <c r="E20" s="18" t="n">
        <v>16.05406827</v>
      </c>
      <c r="F20" s="20" t="n">
        <v>2.04268308</v>
      </c>
      <c r="G20" s="18" t="n">
        <v>79.56080113</v>
      </c>
      <c r="H20" s="20" t="n">
        <v>2.18887789</v>
      </c>
      <c r="I20" s="18" t="n">
        <v>0</v>
      </c>
      <c r="J20" s="20" t="n">
        <v>0</v>
      </c>
      <c r="K20" s="18" t="n">
        <v>0</v>
      </c>
      <c r="L20" s="20" t="n">
        <v>0</v>
      </c>
      <c r="M20" s="18" t="n">
        <v>0</v>
      </c>
      <c r="N20" s="20" t="n">
        <v>0</v>
      </c>
      <c r="O20" s="18" t="n">
        <v>0</v>
      </c>
      <c r="P20" s="20" t="n">
        <v>0</v>
      </c>
      <c r="Q20" s="18" t="n">
        <v>4.3851306</v>
      </c>
      <c r="R20" s="20" t="n">
        <v>1.01798582</v>
      </c>
    </row>
    <row r="21" spans="1:18">
      <c r="A21" s="15" t="s">
        <v>579</v>
      </c>
      <c r="B21" s="17" t="n">
        <v>2833</v>
      </c>
      <c r="C21" s="18">
        <f>(2215.0/B21*100)</f>
        <v/>
      </c>
      <c r="D21" s="19" t="n">
        <v>618</v>
      </c>
      <c r="E21" s="18" t="n">
        <v>13.7543299</v>
      </c>
      <c r="F21" s="20" t="n">
        <v>1.2741676</v>
      </c>
      <c r="G21" s="18" t="n">
        <v>83.7943252</v>
      </c>
      <c r="H21" s="20" t="n">
        <v>1.32387141</v>
      </c>
      <c r="I21" s="18" t="n">
        <v>0</v>
      </c>
      <c r="J21" s="20" t="n">
        <v>0</v>
      </c>
      <c r="K21" s="18" t="n">
        <v>0</v>
      </c>
      <c r="L21" s="20" t="n">
        <v>0</v>
      </c>
      <c r="M21" s="18" t="n">
        <v>0</v>
      </c>
      <c r="N21" s="20" t="n">
        <v>0</v>
      </c>
      <c r="O21" s="18" t="n">
        <v>0</v>
      </c>
      <c r="P21" s="20" t="n">
        <v>0</v>
      </c>
      <c r="Q21" s="18" t="n">
        <v>2.4513449</v>
      </c>
      <c r="R21" s="20" t="n">
        <v>0.52194464</v>
      </c>
    </row>
    <row r="22" spans="1:18">
      <c r="A22" s="15" t="s">
        <v>580</v>
      </c>
      <c r="B22" s="17" t="n">
        <v>3667</v>
      </c>
      <c r="C22" s="18">
        <f>(2965.0/B22*100)</f>
        <v/>
      </c>
      <c r="D22" s="19" t="n">
        <v>702</v>
      </c>
      <c r="E22" s="18" t="n">
        <v>16.18393486</v>
      </c>
      <c r="F22" s="20" t="n">
        <v>1.41904753</v>
      </c>
      <c r="G22" s="18" t="n">
        <v>79.17508764999999</v>
      </c>
      <c r="H22" s="20" t="n">
        <v>1.64138709</v>
      </c>
      <c r="I22" s="18" t="n">
        <v>0</v>
      </c>
      <c r="J22" s="20" t="n">
        <v>0</v>
      </c>
      <c r="K22" s="18" t="n">
        <v>0.12196993</v>
      </c>
      <c r="L22" s="20" t="n">
        <v>0.12266151</v>
      </c>
      <c r="M22" s="18" t="n">
        <v>0</v>
      </c>
      <c r="N22" s="20" t="n">
        <v>0</v>
      </c>
      <c r="O22" s="18" t="n">
        <v>0</v>
      </c>
      <c r="P22" s="20" t="n">
        <v>0</v>
      </c>
      <c r="Q22" s="18" t="n">
        <v>4.51900756</v>
      </c>
      <c r="R22" s="20" t="n">
        <v>0.7285653</v>
      </c>
    </row>
    <row r="23" spans="1:18">
      <c r="A23" s="15" t="s">
        <v>581</v>
      </c>
      <c r="B23" s="17" t="n">
        <v>5792</v>
      </c>
      <c r="C23" s="18">
        <f>(4510.0/B23*100)</f>
        <v/>
      </c>
      <c r="D23" s="19" t="n">
        <v>1282</v>
      </c>
      <c r="E23" s="18" t="n">
        <v>16.14415474</v>
      </c>
      <c r="F23" s="20" t="n">
        <v>1.81816446</v>
      </c>
      <c r="G23" s="18" t="n">
        <v>80.18231148</v>
      </c>
      <c r="H23" s="20" t="n">
        <v>1.93633783</v>
      </c>
      <c r="I23" s="18" t="n">
        <v>0</v>
      </c>
      <c r="J23" s="20" t="n">
        <v>0</v>
      </c>
      <c r="K23" s="18" t="n">
        <v>0.22107246</v>
      </c>
      <c r="L23" s="20" t="n">
        <v>0.18201742</v>
      </c>
      <c r="M23" s="18" t="n">
        <v>0</v>
      </c>
      <c r="N23" s="20" t="n">
        <v>0</v>
      </c>
      <c r="O23" s="18" t="n">
        <v>0</v>
      </c>
      <c r="P23" s="20" t="n">
        <v>0</v>
      </c>
      <c r="Q23" s="18" t="n">
        <v>3.45246132</v>
      </c>
      <c r="R23" s="20" t="n">
        <v>1.00125401</v>
      </c>
    </row>
    <row r="24" spans="1:18">
      <c r="A24" s="15" t="s">
        <v>582</v>
      </c>
      <c r="B24" s="17" t="n">
        <v>3309</v>
      </c>
      <c r="C24" s="18">
        <f>(2605.0/B24*100)</f>
        <v/>
      </c>
      <c r="D24" s="19" t="n">
        <v>704</v>
      </c>
      <c r="E24" s="18" t="n">
        <v>10.75791552</v>
      </c>
      <c r="F24" s="20" t="n">
        <v>1.20190773</v>
      </c>
      <c r="G24" s="18" t="n">
        <v>87.27067461999999</v>
      </c>
      <c r="H24" s="20" t="n">
        <v>1.26760084</v>
      </c>
      <c r="I24" s="18" t="n">
        <v>0</v>
      </c>
      <c r="J24" s="20" t="n">
        <v>0</v>
      </c>
      <c r="K24" s="18" t="n">
        <v>0</v>
      </c>
      <c r="L24" s="20" t="n">
        <v>0</v>
      </c>
      <c r="M24" s="18" t="n">
        <v>0</v>
      </c>
      <c r="N24" s="20" t="n">
        <v>0</v>
      </c>
      <c r="O24" s="18" t="n">
        <v>0</v>
      </c>
      <c r="P24" s="20" t="n">
        <v>0</v>
      </c>
      <c r="Q24" s="18" t="n">
        <v>1.97140985</v>
      </c>
      <c r="R24" s="20" t="n">
        <v>0.57478576</v>
      </c>
    </row>
    <row r="25" spans="1:18">
      <c r="A25" s="15" t="s">
        <v>583</v>
      </c>
      <c r="B25" s="17" t="n">
        <v>2669</v>
      </c>
      <c r="C25" s="18">
        <f>(2048.0/B25*100)</f>
        <v/>
      </c>
      <c r="D25" s="19" t="n">
        <v>621</v>
      </c>
      <c r="E25" s="18" t="n">
        <v>17.32527273</v>
      </c>
      <c r="F25" s="20" t="n">
        <v>1.70444519</v>
      </c>
      <c r="G25" s="18" t="n">
        <v>81.79154156</v>
      </c>
      <c r="H25" s="20" t="n">
        <v>1.66952832</v>
      </c>
      <c r="I25" s="18" t="n">
        <v>0</v>
      </c>
      <c r="J25" s="20" t="n">
        <v>0</v>
      </c>
      <c r="K25" s="18" t="n">
        <v>0</v>
      </c>
      <c r="L25" s="20" t="n">
        <v>0</v>
      </c>
      <c r="M25" s="18" t="n">
        <v>0</v>
      </c>
      <c r="N25" s="20" t="n">
        <v>0</v>
      </c>
      <c r="O25" s="18" t="n">
        <v>0</v>
      </c>
      <c r="P25" s="20" t="n">
        <v>0</v>
      </c>
      <c r="Q25" s="18" t="n">
        <v>0.8831857</v>
      </c>
      <c r="R25" s="20" t="n">
        <v>0.36511842</v>
      </c>
    </row>
    <row r="26" spans="1:18">
      <c r="A26" s="15" t="s">
        <v>584</v>
      </c>
      <c r="B26" s="17" t="n">
        <v>2419</v>
      </c>
      <c r="C26" s="18">
        <f>(1882.0/B26*100)</f>
        <v/>
      </c>
      <c r="D26" s="19" t="n">
        <v>537</v>
      </c>
      <c r="E26" s="18" t="n">
        <v>13.14185039</v>
      </c>
      <c r="F26" s="20" t="n">
        <v>1.56399244</v>
      </c>
      <c r="G26" s="18" t="n">
        <v>85.73571501000001</v>
      </c>
      <c r="H26" s="20" t="n">
        <v>1.58864141</v>
      </c>
      <c r="I26" s="18" t="n">
        <v>0</v>
      </c>
      <c r="J26" s="20" t="n">
        <v>0</v>
      </c>
      <c r="K26" s="18" t="n">
        <v>0</v>
      </c>
      <c r="L26" s="20" t="n">
        <v>0</v>
      </c>
      <c r="M26" s="18" t="n">
        <v>0</v>
      </c>
      <c r="N26" s="20" t="n">
        <v>0</v>
      </c>
      <c r="O26" s="18" t="n">
        <v>0</v>
      </c>
      <c r="P26" s="20" t="n">
        <v>0</v>
      </c>
      <c r="Q26" s="18" t="n">
        <v>1.1224346</v>
      </c>
      <c r="R26" s="20" t="n">
        <v>0.43063398</v>
      </c>
    </row>
    <row r="27" spans="1:18">
      <c r="A27" s="15" t="s">
        <v>585</v>
      </c>
      <c r="B27" s="17" t="n">
        <v>2683</v>
      </c>
      <c r="C27" s="18">
        <f>(2087.0/B27*100)</f>
        <v/>
      </c>
      <c r="D27" s="19" t="n">
        <v>596</v>
      </c>
      <c r="E27" s="18" t="n">
        <v>17.22136906</v>
      </c>
      <c r="F27" s="20" t="n">
        <v>1.53729816</v>
      </c>
      <c r="G27" s="18" t="n">
        <v>79.88698448</v>
      </c>
      <c r="H27" s="20" t="n">
        <v>1.70909045</v>
      </c>
      <c r="I27" s="18" t="n">
        <v>0</v>
      </c>
      <c r="J27" s="20" t="n">
        <v>0</v>
      </c>
      <c r="K27" s="18" t="n">
        <v>0</v>
      </c>
      <c r="L27" s="20" t="n">
        <v>0</v>
      </c>
      <c r="M27" s="18" t="n">
        <v>0</v>
      </c>
      <c r="N27" s="20" t="n">
        <v>0</v>
      </c>
      <c r="O27" s="18" t="n">
        <v>0</v>
      </c>
      <c r="P27" s="20" t="n">
        <v>0</v>
      </c>
      <c r="Q27" s="18" t="n">
        <v>2.89164645</v>
      </c>
      <c r="R27" s="20" t="n">
        <v>0.77729142</v>
      </c>
    </row>
    <row r="28" spans="1:18">
      <c r="A28" s="15" t="s">
        <v>586</v>
      </c>
      <c r="B28" s="17" t="n">
        <v>3803</v>
      </c>
      <c r="C28" s="18">
        <f>(2958.0/B28*100)</f>
        <v/>
      </c>
      <c r="D28" s="19" t="n">
        <v>845</v>
      </c>
      <c r="E28" s="18" t="n">
        <v>23.13045272</v>
      </c>
      <c r="F28" s="20" t="n">
        <v>1.70267499</v>
      </c>
      <c r="G28" s="18" t="n">
        <v>71.00356382</v>
      </c>
      <c r="H28" s="20" t="n">
        <v>2.09684192</v>
      </c>
      <c r="I28" s="18" t="n">
        <v>0</v>
      </c>
      <c r="J28" s="20" t="n">
        <v>0</v>
      </c>
      <c r="K28" s="18" t="n">
        <v>0.27133356</v>
      </c>
      <c r="L28" s="20" t="n">
        <v>0.21439852</v>
      </c>
      <c r="M28" s="18" t="n">
        <v>0</v>
      </c>
      <c r="N28" s="20" t="n">
        <v>0</v>
      </c>
      <c r="O28" s="18" t="n">
        <v>0</v>
      </c>
      <c r="P28" s="20" t="n">
        <v>0</v>
      </c>
      <c r="Q28" s="18" t="n">
        <v>5.5946499</v>
      </c>
      <c r="R28" s="20" t="n">
        <v>1.04819283</v>
      </c>
    </row>
    <row r="29" spans="1:18">
      <c r="A29" s="15" t="s">
        <v>587</v>
      </c>
      <c r="B29" s="17" t="n">
        <v>2700</v>
      </c>
      <c r="C29" s="18">
        <f>(2142.0/B29*100)</f>
        <v/>
      </c>
      <c r="D29" s="19" t="n">
        <v>558</v>
      </c>
      <c r="E29" s="18" t="n">
        <v>14.96257995</v>
      </c>
      <c r="F29" s="20" t="n">
        <v>1.30067819</v>
      </c>
      <c r="G29" s="18" t="n">
        <v>82.15133561</v>
      </c>
      <c r="H29" s="20" t="n">
        <v>1.29488774</v>
      </c>
      <c r="I29" s="18" t="n">
        <v>0</v>
      </c>
      <c r="J29" s="20" t="n">
        <v>0</v>
      </c>
      <c r="K29" s="18" t="n">
        <v>0</v>
      </c>
      <c r="L29" s="20" t="n">
        <v>0</v>
      </c>
      <c r="M29" s="18" t="n">
        <v>0</v>
      </c>
      <c r="N29" s="20" t="n">
        <v>0</v>
      </c>
      <c r="O29" s="18" t="n">
        <v>0</v>
      </c>
      <c r="P29" s="20" t="n">
        <v>0</v>
      </c>
      <c r="Q29" s="18" t="n">
        <v>2.88608445</v>
      </c>
      <c r="R29" s="20" t="n">
        <v>0.81874724</v>
      </c>
    </row>
    <row r="30" spans="1:18">
      <c r="A30" s="15" t="s">
        <v>588</v>
      </c>
      <c r="B30" s="17" t="n">
        <v>2257</v>
      </c>
      <c r="C30" s="18">
        <f>(1769.0/B30*100)</f>
        <v/>
      </c>
      <c r="D30" s="19" t="n">
        <v>488</v>
      </c>
      <c r="E30" s="18" t="n">
        <v>11.59833219</v>
      </c>
      <c r="F30" s="20" t="n">
        <v>1.55426953</v>
      </c>
      <c r="G30" s="18" t="n">
        <v>83.29681487000001</v>
      </c>
      <c r="H30" s="20" t="n">
        <v>1.84042882</v>
      </c>
      <c r="I30" s="18" t="n">
        <v>0</v>
      </c>
      <c r="J30" s="20" t="n">
        <v>0</v>
      </c>
      <c r="K30" s="18" t="n">
        <v>0</v>
      </c>
      <c r="L30" s="20" t="n">
        <v>0</v>
      </c>
      <c r="M30" s="18" t="n">
        <v>0</v>
      </c>
      <c r="N30" s="20" t="n">
        <v>0</v>
      </c>
      <c r="O30" s="18" t="n">
        <v>0</v>
      </c>
      <c r="P30" s="20" t="n">
        <v>0</v>
      </c>
      <c r="Q30" s="18" t="n">
        <v>5.10485295</v>
      </c>
      <c r="R30" s="20" t="n">
        <v>0.91163819</v>
      </c>
    </row>
    <row r="31" spans="1:18">
      <c r="A31" s="15" t="s">
        <v>589</v>
      </c>
      <c r="B31" s="17" t="n">
        <v>2706</v>
      </c>
      <c r="C31" s="18">
        <f>(2068.0/B31*100)</f>
        <v/>
      </c>
      <c r="D31" s="19" t="n">
        <v>638</v>
      </c>
      <c r="E31" s="18" t="n">
        <v>9.463008650000001</v>
      </c>
      <c r="F31" s="20" t="n">
        <v>1.33807493</v>
      </c>
      <c r="G31" s="18" t="n">
        <v>86.85690248</v>
      </c>
      <c r="H31" s="20" t="n">
        <v>1.39986136</v>
      </c>
      <c r="I31" s="18" t="n">
        <v>0</v>
      </c>
      <c r="J31" s="20" t="n">
        <v>0</v>
      </c>
      <c r="K31" s="18" t="n">
        <v>0</v>
      </c>
      <c r="L31" s="20" t="n">
        <v>0</v>
      </c>
      <c r="M31" s="18" t="n">
        <v>0</v>
      </c>
      <c r="N31" s="20" t="n">
        <v>0</v>
      </c>
      <c r="O31" s="18" t="n">
        <v>0</v>
      </c>
      <c r="P31" s="20" t="n">
        <v>0</v>
      </c>
      <c r="Q31" s="18" t="n">
        <v>3.68008888</v>
      </c>
      <c r="R31" s="20" t="n">
        <v>0.80756865</v>
      </c>
    </row>
    <row r="32" spans="1:18">
      <c r="A32" s="15" t="s">
        <v>590</v>
      </c>
      <c r="B32" s="17" t="n">
        <v>2209</v>
      </c>
      <c r="C32" s="18">
        <f>(1699.0/B32*100)</f>
        <v/>
      </c>
      <c r="D32" s="19" t="n">
        <v>510</v>
      </c>
      <c r="E32" s="18" t="n">
        <v>20.01723904</v>
      </c>
      <c r="F32" s="20" t="n">
        <v>1.62633674</v>
      </c>
      <c r="G32" s="18" t="n">
        <v>78.23110806</v>
      </c>
      <c r="H32" s="20" t="n">
        <v>1.71795951</v>
      </c>
      <c r="I32" s="18" t="n">
        <v>0</v>
      </c>
      <c r="J32" s="20" t="n">
        <v>0</v>
      </c>
      <c r="K32" s="18" t="n">
        <v>0</v>
      </c>
      <c r="L32" s="20" t="n">
        <v>0</v>
      </c>
      <c r="M32" s="18" t="n">
        <v>0</v>
      </c>
      <c r="N32" s="20" t="n">
        <v>0</v>
      </c>
      <c r="O32" s="18" t="n">
        <v>0</v>
      </c>
      <c r="P32" s="20" t="n">
        <v>0</v>
      </c>
      <c r="Q32" s="18" t="n">
        <v>1.7516529</v>
      </c>
      <c r="R32" s="20" t="n">
        <v>0.72313375</v>
      </c>
    </row>
    <row r="33" spans="1:18">
      <c r="A33" s="15" t="s">
        <v>591</v>
      </c>
      <c r="B33" s="17" t="n">
        <v>3651</v>
      </c>
      <c r="C33" s="18">
        <f>(2817.0/B33*100)</f>
        <v/>
      </c>
      <c r="D33" s="19" t="n">
        <v>834</v>
      </c>
      <c r="E33" s="18" t="n">
        <v>15.12900026</v>
      </c>
      <c r="F33" s="20" t="n">
        <v>1.44197074</v>
      </c>
      <c r="G33" s="18" t="n">
        <v>81.97517411</v>
      </c>
      <c r="H33" s="20" t="n">
        <v>1.61130111</v>
      </c>
      <c r="I33" s="18" t="n">
        <v>0</v>
      </c>
      <c r="J33" s="20" t="n">
        <v>0</v>
      </c>
      <c r="K33" s="18" t="n">
        <v>0</v>
      </c>
      <c r="L33" s="20" t="n">
        <v>0</v>
      </c>
      <c r="M33" s="18" t="n">
        <v>0</v>
      </c>
      <c r="N33" s="20" t="n">
        <v>0</v>
      </c>
      <c r="O33" s="18" t="n">
        <v>0</v>
      </c>
      <c r="P33" s="20" t="n">
        <v>0</v>
      </c>
      <c r="Q33" s="18" t="n">
        <v>2.89582563</v>
      </c>
      <c r="R33" s="20" t="n">
        <v>0.70638269</v>
      </c>
    </row>
    <row r="34" spans="1:18">
      <c r="A34" s="15" t="s">
        <v>592</v>
      </c>
      <c r="B34" s="17" t="n">
        <v>3035</v>
      </c>
      <c r="C34" s="18">
        <f>(2411.0/B34*100)</f>
        <v/>
      </c>
      <c r="D34" s="19" t="n">
        <v>624</v>
      </c>
      <c r="E34" s="18" t="n">
        <v>31.34734152</v>
      </c>
      <c r="F34" s="20" t="n">
        <v>2.314781</v>
      </c>
      <c r="G34" s="18" t="n">
        <v>65.62784910000001</v>
      </c>
      <c r="H34" s="20" t="n">
        <v>2.54826098</v>
      </c>
      <c r="I34" s="18" t="n">
        <v>0</v>
      </c>
      <c r="J34" s="20" t="n">
        <v>0</v>
      </c>
      <c r="K34" s="18" t="n">
        <v>0.13859685</v>
      </c>
      <c r="L34" s="20" t="n">
        <v>0.14441316</v>
      </c>
      <c r="M34" s="18" t="n">
        <v>0</v>
      </c>
      <c r="N34" s="20" t="n">
        <v>0</v>
      </c>
      <c r="O34" s="18" t="n">
        <v>0</v>
      </c>
      <c r="P34" s="20" t="n">
        <v>0</v>
      </c>
      <c r="Q34" s="18" t="n">
        <v>2.88621253</v>
      </c>
      <c r="R34" s="20" t="n">
        <v>0.7458410599999999</v>
      </c>
    </row>
    <row r="35" spans="1:18">
      <c r="A35" s="15" t="s">
        <v>593</v>
      </c>
      <c r="B35" s="17" t="n">
        <v>2901</v>
      </c>
      <c r="C35" s="18">
        <f>(2274.0/B35*100)</f>
        <v/>
      </c>
      <c r="D35" s="19" t="n">
        <v>627</v>
      </c>
      <c r="E35" s="18" t="n">
        <v>5.00176744</v>
      </c>
      <c r="F35" s="20" t="n">
        <v>0.97518723</v>
      </c>
      <c r="G35" s="18" t="n">
        <v>92.39084354000001</v>
      </c>
      <c r="H35" s="20" t="n">
        <v>1.23158386</v>
      </c>
      <c r="I35" s="18" t="n">
        <v>0</v>
      </c>
      <c r="J35" s="20" t="n">
        <v>0</v>
      </c>
      <c r="K35" s="18" t="n">
        <v>0</v>
      </c>
      <c r="L35" s="20" t="n">
        <v>0</v>
      </c>
      <c r="M35" s="18" t="n">
        <v>0</v>
      </c>
      <c r="N35" s="20" t="n">
        <v>0</v>
      </c>
      <c r="O35" s="18" t="n">
        <v>0</v>
      </c>
      <c r="P35" s="20" t="n">
        <v>0</v>
      </c>
      <c r="Q35" s="18" t="n">
        <v>2.60738902</v>
      </c>
      <c r="R35" s="20" t="n">
        <v>0.76543845</v>
      </c>
    </row>
    <row r="36" spans="1:18">
      <c r="A36" s="15" t="s">
        <v>594</v>
      </c>
      <c r="B36" s="17" t="n">
        <v>3404</v>
      </c>
      <c r="C36" s="18">
        <f>(2658.0/B36*100)</f>
        <v/>
      </c>
      <c r="D36" s="19" t="n">
        <v>746</v>
      </c>
      <c r="E36" s="18" t="n">
        <v>11.91617969</v>
      </c>
      <c r="F36" s="20" t="n">
        <v>1.16664461</v>
      </c>
      <c r="G36" s="18" t="n">
        <v>84.64571526</v>
      </c>
      <c r="H36" s="20" t="n">
        <v>1.46228898</v>
      </c>
      <c r="I36" s="18" t="n">
        <v>0</v>
      </c>
      <c r="J36" s="20" t="n">
        <v>0</v>
      </c>
      <c r="K36" s="18" t="n">
        <v>0</v>
      </c>
      <c r="L36" s="20" t="n">
        <v>0</v>
      </c>
      <c r="M36" s="18" t="n">
        <v>0</v>
      </c>
      <c r="N36" s="20" t="n">
        <v>0</v>
      </c>
      <c r="O36" s="18" t="n">
        <v>0</v>
      </c>
      <c r="P36" s="20" t="n">
        <v>0</v>
      </c>
      <c r="Q36" s="18" t="n">
        <v>3.43810505</v>
      </c>
      <c r="R36" s="20" t="n">
        <v>0.77329938</v>
      </c>
    </row>
    <row r="37" spans="1:18">
      <c r="A37" s="15" t="s">
        <v>595</v>
      </c>
      <c r="B37" s="17" t="n">
        <v>2731</v>
      </c>
      <c r="C37" s="18">
        <f>(2146.0/B37*100)</f>
        <v/>
      </c>
      <c r="D37" s="19" t="n">
        <v>585</v>
      </c>
      <c r="E37" s="18" t="n">
        <v>18.68934934</v>
      </c>
      <c r="F37" s="20" t="n">
        <v>1.74393095</v>
      </c>
      <c r="G37" s="18" t="n">
        <v>78.50246266000001</v>
      </c>
      <c r="H37" s="20" t="n">
        <v>1.81082128</v>
      </c>
      <c r="I37" s="18" t="n">
        <v>0</v>
      </c>
      <c r="J37" s="20" t="n">
        <v>0</v>
      </c>
      <c r="K37" s="18" t="n">
        <v>0.19525079</v>
      </c>
      <c r="L37" s="20" t="n">
        <v>0.19457528</v>
      </c>
      <c r="M37" s="18" t="n">
        <v>0</v>
      </c>
      <c r="N37" s="20" t="n">
        <v>0</v>
      </c>
      <c r="O37" s="18" t="n">
        <v>0</v>
      </c>
      <c r="P37" s="20" t="n">
        <v>0</v>
      </c>
      <c r="Q37" s="18" t="n">
        <v>2.61293721</v>
      </c>
      <c r="R37" s="20" t="n">
        <v>0.6501428299999999</v>
      </c>
    </row>
    <row r="38" spans="1:18">
      <c r="A38" s="15" t="s">
        <v>596</v>
      </c>
      <c r="B38" s="17" t="n">
        <v>2807</v>
      </c>
      <c r="C38" s="18">
        <f>(2184.0/B38*100)</f>
        <v/>
      </c>
      <c r="D38" s="19" t="n">
        <v>623</v>
      </c>
      <c r="E38" s="18" t="n">
        <v>13.40875628</v>
      </c>
      <c r="F38" s="20" t="n">
        <v>1.82341321</v>
      </c>
      <c r="G38" s="18" t="n">
        <v>83.33567597</v>
      </c>
      <c r="H38" s="20" t="n">
        <v>1.85256945</v>
      </c>
      <c r="I38" s="18" t="n">
        <v>0</v>
      </c>
      <c r="J38" s="20" t="n">
        <v>0</v>
      </c>
      <c r="K38" s="18" t="n">
        <v>0.14710634</v>
      </c>
      <c r="L38" s="20" t="n">
        <v>0.1190694</v>
      </c>
      <c r="M38" s="18" t="n">
        <v>0</v>
      </c>
      <c r="N38" s="20" t="n">
        <v>0</v>
      </c>
      <c r="O38" s="18" t="n">
        <v>0</v>
      </c>
      <c r="P38" s="20" t="n">
        <v>0</v>
      </c>
      <c r="Q38" s="18" t="n">
        <v>3.1084614</v>
      </c>
      <c r="R38" s="20" t="n">
        <v>1.06124548</v>
      </c>
    </row>
    <row r="39" spans="1:18">
      <c r="A39" s="15" t="s">
        <v>597</v>
      </c>
      <c r="B39" s="17" t="n">
        <v>2938</v>
      </c>
      <c r="C39" s="18">
        <f>(2309.0/B39*100)</f>
        <v/>
      </c>
      <c r="D39" s="19" t="n">
        <v>629</v>
      </c>
      <c r="E39" s="18" t="n">
        <v>26.02829883</v>
      </c>
      <c r="F39" s="20" t="n">
        <v>1.84925036</v>
      </c>
      <c r="G39" s="18" t="n">
        <v>70.04558240999999</v>
      </c>
      <c r="H39" s="20" t="n">
        <v>2.23616231</v>
      </c>
      <c r="I39" s="18" t="n">
        <v>0</v>
      </c>
      <c r="J39" s="20" t="n">
        <v>0</v>
      </c>
      <c r="K39" s="18" t="n">
        <v>0</v>
      </c>
      <c r="L39" s="20" t="n">
        <v>0</v>
      </c>
      <c r="M39" s="18" t="n">
        <v>0</v>
      </c>
      <c r="N39" s="20" t="n">
        <v>0</v>
      </c>
      <c r="O39" s="18" t="n">
        <v>0</v>
      </c>
      <c r="P39" s="20" t="n">
        <v>0</v>
      </c>
      <c r="Q39" s="18" t="n">
        <v>3.92611876</v>
      </c>
      <c r="R39" s="20" t="n">
        <v>1.04798676</v>
      </c>
    </row>
    <row r="40" spans="1:18">
      <c r="A40" s="15" t="s">
        <v>598</v>
      </c>
      <c r="B40" s="17" t="n">
        <v>6922</v>
      </c>
      <c r="C40" s="18">
        <f>(5327.0/B40*100)</f>
        <v/>
      </c>
      <c r="D40" s="19" t="n">
        <v>1595</v>
      </c>
      <c r="E40" s="18" t="n">
        <v>9.604104299999999</v>
      </c>
      <c r="F40" s="20" t="n">
        <v>1.08932578</v>
      </c>
      <c r="G40" s="18" t="n">
        <v>87.9922569</v>
      </c>
      <c r="H40" s="20" t="n">
        <v>1.28116621</v>
      </c>
      <c r="I40" s="18" t="n">
        <v>0</v>
      </c>
      <c r="J40" s="20" t="n">
        <v>0</v>
      </c>
      <c r="K40" s="18" t="n">
        <v>0</v>
      </c>
      <c r="L40" s="20" t="n">
        <v>0</v>
      </c>
      <c r="M40" s="18" t="n">
        <v>0</v>
      </c>
      <c r="N40" s="20" t="n">
        <v>0</v>
      </c>
      <c r="O40" s="18" t="n">
        <v>0</v>
      </c>
      <c r="P40" s="20" t="n">
        <v>0</v>
      </c>
      <c r="Q40" s="18" t="n">
        <v>2.4036388</v>
      </c>
      <c r="R40" s="20" t="n">
        <v>0.5457639</v>
      </c>
    </row>
    <row r="41" spans="1:18">
      <c r="A41" s="15" t="s">
        <v>599</v>
      </c>
      <c r="B41" s="17" t="n">
        <v>2854</v>
      </c>
      <c r="C41" s="18">
        <f>(2202.0/B41*100)</f>
        <v/>
      </c>
      <c r="D41" s="19" t="n">
        <v>652</v>
      </c>
      <c r="E41" s="18" t="n">
        <v>10.09728642</v>
      </c>
      <c r="F41" s="20" t="n">
        <v>1.25049399</v>
      </c>
      <c r="G41" s="18" t="n">
        <v>85.16731206</v>
      </c>
      <c r="H41" s="20" t="n">
        <v>1.47741971</v>
      </c>
      <c r="I41" s="18" t="n">
        <v>0</v>
      </c>
      <c r="J41" s="20" t="n">
        <v>0</v>
      </c>
      <c r="K41" s="18" t="n">
        <v>0.15382121</v>
      </c>
      <c r="L41" s="20" t="n">
        <v>0.14877652</v>
      </c>
      <c r="M41" s="18" t="n">
        <v>0</v>
      </c>
      <c r="N41" s="20" t="n">
        <v>0</v>
      </c>
      <c r="O41" s="18" t="n">
        <v>0</v>
      </c>
      <c r="P41" s="20" t="n">
        <v>0</v>
      </c>
      <c r="Q41" s="18" t="n">
        <v>4.58158031</v>
      </c>
      <c r="R41" s="20" t="n">
        <v>0.91512179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(9719.0/B46*100)</f>
        <v/>
      </c>
      <c r="D46" s="19" t="n">
        <v>2354</v>
      </c>
      <c r="E46" s="18" t="n">
        <v>30.76346408</v>
      </c>
      <c r="F46" s="20" t="n">
        <v>1.24597195</v>
      </c>
      <c r="G46" s="18" t="n">
        <v>57.93037182</v>
      </c>
      <c r="H46" s="20" t="n">
        <v>1.43183049</v>
      </c>
      <c r="I46" s="18" t="n">
        <v>0</v>
      </c>
      <c r="J46" s="20" t="n">
        <v>0</v>
      </c>
      <c r="K46" s="18" t="n">
        <v>0.48795927</v>
      </c>
      <c r="L46" s="20" t="n">
        <v>0.24887975</v>
      </c>
      <c r="M46" s="18" t="n">
        <v>0</v>
      </c>
      <c r="N46" s="20" t="n">
        <v>0</v>
      </c>
      <c r="O46" s="18" t="n">
        <v>0</v>
      </c>
      <c r="P46" s="20" t="n">
        <v>0</v>
      </c>
      <c r="Q46" s="18" t="n">
        <v>10.81820482</v>
      </c>
      <c r="R46" s="20" t="n">
        <v>0.8652867</v>
      </c>
    </row>
    <row r="47" spans="1:18">
      <c r="A47" s="15" t="s">
        <v>606</v>
      </c>
      <c r="B47" s="17" t="n">
        <v>2823</v>
      </c>
      <c r="C47" s="18">
        <f>(2190.0/B47*100)</f>
        <v/>
      </c>
      <c r="D47" s="19" t="n">
        <v>633</v>
      </c>
      <c r="E47" s="18" t="n">
        <v>31.44627778</v>
      </c>
      <c r="F47" s="20" t="n">
        <v>2.32430384</v>
      </c>
      <c r="G47" s="18" t="n">
        <v>65.09948036</v>
      </c>
      <c r="H47" s="20" t="n">
        <v>2.42700928</v>
      </c>
      <c r="I47" s="18" t="n">
        <v>0</v>
      </c>
      <c r="J47" s="20" t="n">
        <v>0</v>
      </c>
      <c r="K47" s="18" t="n">
        <v>0.14771207</v>
      </c>
      <c r="L47" s="20" t="n">
        <v>0.14830081</v>
      </c>
      <c r="M47" s="18" t="n">
        <v>0</v>
      </c>
      <c r="N47" s="20" t="n">
        <v>0</v>
      </c>
      <c r="O47" s="18" t="n">
        <v>0</v>
      </c>
      <c r="P47" s="20" t="n">
        <v>0</v>
      </c>
      <c r="Q47" s="18" t="n">
        <v>3.3065298</v>
      </c>
      <c r="R47" s="20" t="n">
        <v>0.66903437</v>
      </c>
    </row>
    <row r="48" spans="1:18">
      <c r="A48" s="15" t="s">
        <v>607</v>
      </c>
      <c r="B48" s="17" t="n">
        <v>4682</v>
      </c>
      <c r="C48" s="18">
        <f>(3628.0/B48*100)</f>
        <v/>
      </c>
      <c r="D48" s="19" t="n">
        <v>1054</v>
      </c>
      <c r="E48" s="18" t="n">
        <v>11.31622534</v>
      </c>
      <c r="F48" s="20" t="n">
        <v>1.47464494</v>
      </c>
      <c r="G48" s="18" t="n">
        <v>85.36847561</v>
      </c>
      <c r="H48" s="20" t="n">
        <v>1.59651765</v>
      </c>
      <c r="I48" s="18" t="n">
        <v>0</v>
      </c>
      <c r="J48" s="20" t="n">
        <v>0</v>
      </c>
      <c r="K48" s="18" t="n">
        <v>0.17051214</v>
      </c>
      <c r="L48" s="20" t="n">
        <v>0.16962148</v>
      </c>
      <c r="M48" s="18" t="n">
        <v>0</v>
      </c>
      <c r="N48" s="20" t="n">
        <v>0</v>
      </c>
      <c r="O48" s="18" t="n">
        <v>0</v>
      </c>
      <c r="P48" s="20" t="n">
        <v>0</v>
      </c>
      <c r="Q48" s="18" t="n">
        <v>3.1447869</v>
      </c>
      <c r="R48" s="20" t="n">
        <v>0.73432583</v>
      </c>
    </row>
    <row r="49" spans="1:18">
      <c r="A49" s="15" t="s">
        <v>608</v>
      </c>
      <c r="B49" s="17" t="n">
        <v>6158</v>
      </c>
      <c r="C49" s="18">
        <f>(4800.0/B49*100)</f>
        <v/>
      </c>
      <c r="D49" s="19" t="n">
        <v>1358</v>
      </c>
      <c r="E49" s="18" t="n">
        <v>31.83058827</v>
      </c>
      <c r="F49" s="20" t="n">
        <v>1.70259423</v>
      </c>
      <c r="G49" s="18" t="n">
        <v>61.87090257</v>
      </c>
      <c r="H49" s="20" t="n">
        <v>1.73086205</v>
      </c>
      <c r="I49" s="18" t="n">
        <v>0</v>
      </c>
      <c r="J49" s="20" t="n">
        <v>0</v>
      </c>
      <c r="K49" s="18" t="n">
        <v>0.11788316</v>
      </c>
      <c r="L49" s="20" t="n">
        <v>0.10150018</v>
      </c>
      <c r="M49" s="18" t="n">
        <v>0</v>
      </c>
      <c r="N49" s="20" t="n">
        <v>0</v>
      </c>
      <c r="O49" s="18" t="n">
        <v>0</v>
      </c>
      <c r="P49" s="20" t="n">
        <v>0</v>
      </c>
      <c r="Q49" s="18" t="n">
        <v>6.180626</v>
      </c>
      <c r="R49" s="20" t="n">
        <v>1.07180158</v>
      </c>
    </row>
    <row r="50" spans="1:18">
      <c r="A50" s="15" t="s">
        <v>609</v>
      </c>
      <c r="B50" s="17" t="n">
        <v>3494</v>
      </c>
      <c r="C50" s="18">
        <f>(2842.0/B50*100)</f>
        <v/>
      </c>
      <c r="D50" s="19" t="n">
        <v>652</v>
      </c>
      <c r="E50" s="18" t="n">
        <v>29.12350828</v>
      </c>
      <c r="F50" s="20" t="n">
        <v>1.9121665</v>
      </c>
      <c r="G50" s="18" t="n">
        <v>64.04941516</v>
      </c>
      <c r="H50" s="20" t="n">
        <v>2.0309139</v>
      </c>
      <c r="I50" s="18" t="n">
        <v>0</v>
      </c>
      <c r="J50" s="20" t="n">
        <v>0</v>
      </c>
      <c r="K50" s="18" t="n">
        <v>0.14713657</v>
      </c>
      <c r="L50" s="20" t="n">
        <v>0.14643649</v>
      </c>
      <c r="M50" s="18" t="n">
        <v>0</v>
      </c>
      <c r="N50" s="20" t="n">
        <v>0</v>
      </c>
      <c r="O50" s="18" t="n">
        <v>0</v>
      </c>
      <c r="P50" s="20" t="n">
        <v>0</v>
      </c>
      <c r="Q50" s="18" t="n">
        <v>6.67993998</v>
      </c>
      <c r="R50" s="20" t="n">
        <v>1.12905658</v>
      </c>
    </row>
    <row r="51" spans="1:18">
      <c r="A51" s="15" t="s">
        <v>610</v>
      </c>
      <c r="B51" s="17" t="n">
        <v>3013</v>
      </c>
      <c r="C51" s="18">
        <f>(2319.0/B51*100)</f>
        <v/>
      </c>
      <c r="D51" s="19" t="n">
        <v>694</v>
      </c>
      <c r="E51" s="18" t="n">
        <v>21.13303445</v>
      </c>
      <c r="F51" s="20" t="n">
        <v>1.63200767</v>
      </c>
      <c r="G51" s="18" t="n">
        <v>77.649641</v>
      </c>
      <c r="H51" s="20" t="n">
        <v>1.58948902</v>
      </c>
      <c r="I51" s="18" t="n">
        <v>0</v>
      </c>
      <c r="J51" s="20" t="n">
        <v>0</v>
      </c>
      <c r="K51" s="18" t="n">
        <v>0</v>
      </c>
      <c r="L51" s="20" t="n">
        <v>0</v>
      </c>
      <c r="M51" s="18" t="n">
        <v>0</v>
      </c>
      <c r="N51" s="20" t="n">
        <v>0</v>
      </c>
      <c r="O51" s="18" t="n">
        <v>0</v>
      </c>
      <c r="P51" s="20" t="n">
        <v>0</v>
      </c>
      <c r="Q51" s="18" t="n">
        <v>1.21732454</v>
      </c>
      <c r="R51" s="20" t="n">
        <v>0.42766833</v>
      </c>
    </row>
    <row r="52" spans="1:18">
      <c r="A52" s="15" t="s">
        <v>611</v>
      </c>
      <c r="B52" s="17" t="n">
        <v>2760</v>
      </c>
      <c r="C52" s="18">
        <f>(2114.0/B52*100)</f>
        <v/>
      </c>
      <c r="D52" s="19" t="n">
        <v>646</v>
      </c>
      <c r="E52" s="18" t="n">
        <v>18.43991349</v>
      </c>
      <c r="F52" s="20" t="n">
        <v>1.66743456</v>
      </c>
      <c r="G52" s="18" t="n">
        <v>74.90023519</v>
      </c>
      <c r="H52" s="20" t="n">
        <v>1.78762239</v>
      </c>
      <c r="I52" s="18" t="n">
        <v>0</v>
      </c>
      <c r="J52" s="20" t="n">
        <v>0</v>
      </c>
      <c r="K52" s="18" t="n">
        <v>0</v>
      </c>
      <c r="L52" s="20" t="n">
        <v>0</v>
      </c>
      <c r="M52" s="18" t="n">
        <v>0</v>
      </c>
      <c r="N52" s="20" t="n">
        <v>0</v>
      </c>
      <c r="O52" s="18" t="n">
        <v>0</v>
      </c>
      <c r="P52" s="20" t="n">
        <v>0</v>
      </c>
      <c r="Q52" s="18" t="n">
        <v>6.65985132</v>
      </c>
      <c r="R52" s="20" t="n">
        <v>0.95647536</v>
      </c>
    </row>
    <row r="53" spans="1:18">
      <c r="A53" s="15" t="s">
        <v>612</v>
      </c>
      <c r="B53" s="17" t="n">
        <v>2474</v>
      </c>
      <c r="C53" s="18">
        <f>(1937.0/B53*100)</f>
        <v/>
      </c>
      <c r="D53" s="19" t="n">
        <v>537</v>
      </c>
      <c r="E53" s="18" t="n">
        <v>44.50355613</v>
      </c>
      <c r="F53" s="20" t="n">
        <v>2.4256759</v>
      </c>
      <c r="G53" s="18" t="n">
        <v>41.0720421</v>
      </c>
      <c r="H53" s="20" t="n">
        <v>2.56946037</v>
      </c>
      <c r="I53" s="18" t="n">
        <v>0</v>
      </c>
      <c r="J53" s="20" t="n">
        <v>0</v>
      </c>
      <c r="K53" s="18" t="n">
        <v>4.22191571</v>
      </c>
      <c r="L53" s="20" t="n">
        <v>0.97614245</v>
      </c>
      <c r="M53" s="18" t="n">
        <v>0</v>
      </c>
      <c r="N53" s="20" t="n">
        <v>0</v>
      </c>
      <c r="O53" s="18" t="n">
        <v>0</v>
      </c>
      <c r="P53" s="20" t="n">
        <v>0</v>
      </c>
      <c r="Q53" s="18" t="n">
        <v>10.20248606</v>
      </c>
      <c r="R53" s="20" t="n">
        <v>1.53647594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(2117.0/B55*100)</f>
        <v/>
      </c>
      <c r="D55" s="19" t="n">
        <v>558</v>
      </c>
      <c r="E55" s="18" t="n">
        <v>8.413960830000001</v>
      </c>
      <c r="F55" s="20" t="n">
        <v>1.32936031</v>
      </c>
      <c r="G55" s="18" t="n">
        <v>86.12808747</v>
      </c>
      <c r="H55" s="20" t="n">
        <v>1.46478824</v>
      </c>
      <c r="I55" s="18" t="n">
        <v>0</v>
      </c>
      <c r="J55" s="20" t="n">
        <v>0</v>
      </c>
      <c r="K55" s="18" t="n">
        <v>0.16105058</v>
      </c>
      <c r="L55" s="20" t="n">
        <v>0.16535867</v>
      </c>
      <c r="M55" s="18" t="n">
        <v>0</v>
      </c>
      <c r="N55" s="20" t="n">
        <v>0</v>
      </c>
      <c r="O55" s="18" t="n">
        <v>0</v>
      </c>
      <c r="P55" s="20" t="n">
        <v>0</v>
      </c>
      <c r="Q55" s="18" t="n">
        <v>5.29690112</v>
      </c>
      <c r="R55" s="20" t="n">
        <v>1.00634438</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(2490.0/B61*100)</f>
        <v/>
      </c>
      <c r="D61" s="19" t="n">
        <v>711</v>
      </c>
      <c r="E61" s="18" t="n">
        <v>11.96925655</v>
      </c>
      <c r="F61" s="20" t="n">
        <v>1.32943805</v>
      </c>
      <c r="G61" s="18" t="n">
        <v>86.29545518</v>
      </c>
      <c r="H61" s="20" t="n">
        <v>1.37910714</v>
      </c>
      <c r="I61" s="18" t="n">
        <v>0</v>
      </c>
      <c r="J61" s="20" t="n">
        <v>0</v>
      </c>
      <c r="K61" s="18" t="n">
        <v>0</v>
      </c>
      <c r="L61" s="20" t="n">
        <v>0</v>
      </c>
      <c r="M61" s="18" t="n">
        <v>0</v>
      </c>
      <c r="N61" s="20" t="n">
        <v>0</v>
      </c>
      <c r="O61" s="18" t="n">
        <v>0</v>
      </c>
      <c r="P61" s="20" t="n">
        <v>0</v>
      </c>
      <c r="Q61" s="18" t="n">
        <v>1.73528827</v>
      </c>
      <c r="R61" s="20" t="n">
        <v>0.51804963</v>
      </c>
    </row>
    <row r="62" spans="1:18">
      <c r="A62" s="15" t="s">
        <v>622</v>
      </c>
      <c r="B62" s="17" t="n">
        <v>2230</v>
      </c>
      <c r="C62" s="18">
        <f>(1754.0/B62*100)</f>
        <v/>
      </c>
      <c r="D62" s="19" t="n">
        <v>476</v>
      </c>
      <c r="E62" s="18" t="n">
        <v>11.18525747</v>
      </c>
      <c r="F62" s="20" t="n">
        <v>1.44070252</v>
      </c>
      <c r="G62" s="18" t="n">
        <v>87.14701241</v>
      </c>
      <c r="H62" s="20" t="n">
        <v>1.68099258</v>
      </c>
      <c r="I62" s="18" t="n">
        <v>0</v>
      </c>
      <c r="J62" s="20" t="n">
        <v>0</v>
      </c>
      <c r="K62" s="18" t="n">
        <v>0</v>
      </c>
      <c r="L62" s="20" t="n">
        <v>0</v>
      </c>
      <c r="M62" s="18" t="n">
        <v>0</v>
      </c>
      <c r="N62" s="20" t="n">
        <v>0</v>
      </c>
      <c r="O62" s="18" t="n">
        <v>0</v>
      </c>
      <c r="P62" s="20" t="n">
        <v>0</v>
      </c>
      <c r="Q62" s="18" t="n">
        <v>1.66773012</v>
      </c>
      <c r="R62" s="20" t="n">
        <v>0.70667391</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(2161.0/B67*100)</f>
        <v/>
      </c>
      <c r="D67" s="19" t="n">
        <v>610</v>
      </c>
      <c r="E67" s="18" t="n">
        <v>23.74111813</v>
      </c>
      <c r="F67" s="20" t="n">
        <v>1.64653941</v>
      </c>
      <c r="G67" s="18" t="n">
        <v>71.26699671</v>
      </c>
      <c r="H67" s="20" t="n">
        <v>1.66712024</v>
      </c>
      <c r="I67" s="18" t="n">
        <v>0</v>
      </c>
      <c r="J67" s="20" t="n">
        <v>0</v>
      </c>
      <c r="K67" s="18" t="n">
        <v>0</v>
      </c>
      <c r="L67" s="20" t="n">
        <v>0</v>
      </c>
      <c r="M67" s="18" t="n">
        <v>0</v>
      </c>
      <c r="N67" s="20" t="n">
        <v>0</v>
      </c>
      <c r="O67" s="18" t="n">
        <v>0</v>
      </c>
      <c r="P67" s="20" t="n">
        <v>0</v>
      </c>
      <c r="Q67" s="18" t="n">
        <v>4.99188516</v>
      </c>
      <c r="R67" s="20" t="n">
        <v>0.89430829</v>
      </c>
    </row>
    <row r="68" spans="1:18">
      <c r="A68" s="15" t="s">
        <v>628</v>
      </c>
      <c r="B68" s="17" t="n">
        <v>3460</v>
      </c>
      <c r="C68" s="18">
        <f>(2725.0/B68*100)</f>
        <v/>
      </c>
      <c r="D68" s="19" t="n">
        <v>735</v>
      </c>
      <c r="E68" s="18" t="n">
        <v>29.85885729</v>
      </c>
      <c r="F68" s="20" t="n">
        <v>1.93192751</v>
      </c>
      <c r="G68" s="18" t="n">
        <v>58.6964949</v>
      </c>
      <c r="H68" s="20" t="n">
        <v>2.03246977</v>
      </c>
      <c r="I68" s="18" t="n">
        <v>0</v>
      </c>
      <c r="J68" s="20" t="n">
        <v>0</v>
      </c>
      <c r="K68" s="18" t="n">
        <v>0</v>
      </c>
      <c r="L68" s="20" t="n">
        <v>0</v>
      </c>
      <c r="M68" s="18" t="n">
        <v>0</v>
      </c>
      <c r="N68" s="20" t="n">
        <v>0</v>
      </c>
      <c r="O68" s="18" t="n">
        <v>0</v>
      </c>
      <c r="P68" s="20" t="n">
        <v>0</v>
      </c>
      <c r="Q68" s="18" t="n">
        <v>11.4446478</v>
      </c>
      <c r="R68" s="20" t="n">
        <v>1.1329106</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(4683.0/B70*100)</f>
        <v/>
      </c>
      <c r="D70" s="19" t="n">
        <v>1351</v>
      </c>
      <c r="E70" s="18" t="n">
        <v>18.78082234</v>
      </c>
      <c r="F70" s="20" t="n">
        <v>0.9810446</v>
      </c>
      <c r="G70" s="18" t="n">
        <v>75.03354698</v>
      </c>
      <c r="H70" s="20" t="n">
        <v>1.12829083</v>
      </c>
      <c r="I70" s="18" t="n">
        <v>0</v>
      </c>
      <c r="J70" s="20" t="n">
        <v>0</v>
      </c>
      <c r="K70" s="18" t="n">
        <v>0.29161879</v>
      </c>
      <c r="L70" s="20" t="n">
        <v>0.14586203</v>
      </c>
      <c r="M70" s="18" t="n">
        <v>0</v>
      </c>
      <c r="N70" s="20" t="n">
        <v>0</v>
      </c>
      <c r="O70" s="18" t="n">
        <v>0</v>
      </c>
      <c r="P70" s="20" t="n">
        <v>0</v>
      </c>
      <c r="Q70" s="18" t="n">
        <v>5.89401188</v>
      </c>
      <c r="R70" s="20" t="n">
        <v>0.69860109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(2402.0/B72*100)</f>
        <v/>
      </c>
      <c r="D72" s="19" t="n">
        <v>705</v>
      </c>
      <c r="E72" s="18" t="n">
        <v>17.21748908</v>
      </c>
      <c r="F72" s="20" t="n">
        <v>1.82481593</v>
      </c>
      <c r="G72" s="18" t="n">
        <v>78.66256758999999</v>
      </c>
      <c r="H72" s="20" t="n">
        <v>2.17786153</v>
      </c>
      <c r="I72" s="18" t="n">
        <v>0</v>
      </c>
      <c r="J72" s="20" t="n">
        <v>0</v>
      </c>
      <c r="K72" s="18" t="n">
        <v>0.12195132</v>
      </c>
      <c r="L72" s="20" t="n">
        <v>0.12341587</v>
      </c>
      <c r="M72" s="18" t="n">
        <v>0</v>
      </c>
      <c r="N72" s="20" t="n">
        <v>0</v>
      </c>
      <c r="O72" s="18" t="n">
        <v>0</v>
      </c>
      <c r="P72" s="20" t="n">
        <v>0</v>
      </c>
      <c r="Q72" s="18" t="n">
        <v>3.99799201</v>
      </c>
      <c r="R72" s="20" t="n">
        <v>0.81560215</v>
      </c>
    </row>
    <row r="73" spans="1:18">
      <c r="A73" s="15" t="s">
        <v>633</v>
      </c>
      <c r="B73" s="17" t="n">
        <v>2973</v>
      </c>
      <c r="C73" s="18">
        <f>(2318.0/B73*100)</f>
        <v/>
      </c>
      <c r="D73" s="19" t="n">
        <v>655</v>
      </c>
      <c r="E73" s="18" t="n">
        <v>5.76050242</v>
      </c>
      <c r="F73" s="20" t="n">
        <v>1.03781314</v>
      </c>
      <c r="G73" s="18" t="n">
        <v>92.94533389</v>
      </c>
      <c r="H73" s="20" t="n">
        <v>1.149108</v>
      </c>
      <c r="I73" s="18" t="n">
        <v>0</v>
      </c>
      <c r="J73" s="20" t="n">
        <v>0</v>
      </c>
      <c r="K73" s="18" t="n">
        <v>0</v>
      </c>
      <c r="L73" s="20" t="n">
        <v>0</v>
      </c>
      <c r="M73" s="18" t="n">
        <v>0</v>
      </c>
      <c r="N73" s="20" t="n">
        <v>0</v>
      </c>
      <c r="O73" s="18" t="n">
        <v>0</v>
      </c>
      <c r="P73" s="20" t="n">
        <v>0</v>
      </c>
      <c r="Q73" s="18" t="n">
        <v>1.29416369</v>
      </c>
      <c r="R73" s="20" t="n">
        <v>0.41498906</v>
      </c>
    </row>
    <row r="74" spans="1:18">
      <c r="A74" s="15" t="s">
        <v>634</v>
      </c>
      <c r="B74" s="17" t="n">
        <v>3819</v>
      </c>
      <c r="C74" s="18">
        <f>(3002.0/B74*100)</f>
        <v/>
      </c>
      <c r="D74" s="19" t="n">
        <v>817</v>
      </c>
      <c r="E74" s="18" t="n">
        <v>6.53349755</v>
      </c>
      <c r="F74" s="20" t="n">
        <v>0.96935519</v>
      </c>
      <c r="G74" s="18" t="n">
        <v>91.01117225</v>
      </c>
      <c r="H74" s="20" t="n">
        <v>1.08797292</v>
      </c>
      <c r="I74" s="18" t="n">
        <v>0</v>
      </c>
      <c r="J74" s="20" t="n">
        <v>0</v>
      </c>
      <c r="K74" s="18" t="n">
        <v>0</v>
      </c>
      <c r="L74" s="20" t="n">
        <v>0</v>
      </c>
      <c r="M74" s="18" t="n">
        <v>0</v>
      </c>
      <c r="N74" s="20" t="n">
        <v>0</v>
      </c>
      <c r="O74" s="18" t="n">
        <v>0</v>
      </c>
      <c r="P74" s="20" t="n">
        <v>0</v>
      </c>
      <c r="Q74" s="18" t="n">
        <v>2.4553302</v>
      </c>
      <c r="R74" s="20" t="n">
        <v>0.57288328</v>
      </c>
    </row>
    <row r="75" spans="1:18">
      <c r="A75" s="15" t="s">
        <v>635</v>
      </c>
      <c r="B75" s="17" t="n">
        <v>4652</v>
      </c>
      <c r="C75" s="18">
        <f>(3645.0/B75*100)</f>
        <v/>
      </c>
      <c r="D75" s="19" t="n">
        <v>1007</v>
      </c>
      <c r="E75" s="18" t="n">
        <v>9.95818491</v>
      </c>
      <c r="F75" s="20" t="n">
        <v>1.20295118</v>
      </c>
      <c r="G75" s="18" t="n">
        <v>76.36410628</v>
      </c>
      <c r="H75" s="20" t="n">
        <v>1.84195575</v>
      </c>
      <c r="I75" s="18" t="n">
        <v>0</v>
      </c>
      <c r="J75" s="20" t="n">
        <v>0</v>
      </c>
      <c r="K75" s="18" t="n">
        <v>0</v>
      </c>
      <c r="L75" s="20" t="n">
        <v>0</v>
      </c>
      <c r="M75" s="18" t="n">
        <v>0</v>
      </c>
      <c r="N75" s="20" t="n">
        <v>0</v>
      </c>
      <c r="O75" s="18" t="n">
        <v>0</v>
      </c>
      <c r="P75" s="20" t="n">
        <v>0</v>
      </c>
      <c r="Q75" s="18" t="n">
        <v>13.67770881</v>
      </c>
      <c r="R75" s="20" t="n">
        <v>1.29878033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(2381.0/B77*100)</f>
        <v/>
      </c>
      <c r="D77" s="19" t="n">
        <v>588</v>
      </c>
      <c r="E77" s="18" t="n">
        <v>28.52569912</v>
      </c>
      <c r="F77" s="20" t="n">
        <v>1.68888634</v>
      </c>
      <c r="G77" s="18" t="n">
        <v>63.61076155</v>
      </c>
      <c r="H77" s="20" t="n">
        <v>1.84529413</v>
      </c>
      <c r="I77" s="18" t="n">
        <v>0</v>
      </c>
      <c r="J77" s="20" t="n">
        <v>0</v>
      </c>
      <c r="K77" s="18" t="n">
        <v>1.26252049</v>
      </c>
      <c r="L77" s="20" t="n">
        <v>0.49225804</v>
      </c>
      <c r="M77" s="18" t="n">
        <v>0</v>
      </c>
      <c r="N77" s="20" t="n">
        <v>0</v>
      </c>
      <c r="O77" s="18" t="n">
        <v>0</v>
      </c>
      <c r="P77" s="20" t="n">
        <v>0</v>
      </c>
      <c r="Q77" s="18" t="n">
        <v>6.60101883</v>
      </c>
      <c r="R77" s="20" t="n">
        <v>1.08437313</v>
      </c>
    </row>
    <row r="78" spans="1:18">
      <c r="A78" s="15" t="s">
        <v>638</v>
      </c>
      <c r="B78" s="17" t="n">
        <v>7115</v>
      </c>
      <c r="C78" s="18">
        <f>(5600.0/B78*100)</f>
        <v/>
      </c>
      <c r="D78" s="19" t="n">
        <v>1515</v>
      </c>
      <c r="E78" s="18" t="n">
        <v>18.50071826</v>
      </c>
      <c r="F78" s="20" t="n">
        <v>1.19941375</v>
      </c>
      <c r="G78" s="18" t="n">
        <v>77.00024955000001</v>
      </c>
      <c r="H78" s="20" t="n">
        <v>1.37943196</v>
      </c>
      <c r="I78" s="18" t="n">
        <v>0</v>
      </c>
      <c r="J78" s="20" t="n">
        <v>0</v>
      </c>
      <c r="K78" s="18" t="n">
        <v>0.16004991</v>
      </c>
      <c r="L78" s="20" t="n">
        <v>0.10635588</v>
      </c>
      <c r="M78" s="18" t="n">
        <v>0</v>
      </c>
      <c r="N78" s="20" t="n">
        <v>0</v>
      </c>
      <c r="O78" s="18" t="n">
        <v>0</v>
      </c>
      <c r="P78" s="20" t="n">
        <v>0</v>
      </c>
      <c r="Q78" s="18" t="n">
        <v>4.33898227</v>
      </c>
      <c r="R78" s="20" t="n">
        <v>0.57280741</v>
      </c>
    </row>
    <row r="79" spans="1:18">
      <c r="A79" s="15" t="s">
        <v>639</v>
      </c>
      <c r="B79" s="17" t="n">
        <v>3154</v>
      </c>
      <c r="C79" s="18">
        <f>(2440.0/B79*100)</f>
        <v/>
      </c>
      <c r="D79" s="19" t="n">
        <v>714</v>
      </c>
      <c r="E79" s="18" t="n">
        <v>21.30816849</v>
      </c>
      <c r="F79" s="20" t="n">
        <v>1.60960394</v>
      </c>
      <c r="G79" s="18" t="n">
        <v>74.20850047</v>
      </c>
      <c r="H79" s="20" t="n">
        <v>1.65644903</v>
      </c>
      <c r="I79" s="18" t="n">
        <v>0</v>
      </c>
      <c r="J79" s="20" t="n">
        <v>0</v>
      </c>
      <c r="K79" s="18" t="n">
        <v>0</v>
      </c>
      <c r="L79" s="20" t="n">
        <v>0</v>
      </c>
      <c r="M79" s="18" t="n">
        <v>0</v>
      </c>
      <c r="N79" s="20" t="n">
        <v>0</v>
      </c>
      <c r="O79" s="18" t="n">
        <v>0</v>
      </c>
      <c r="P79" s="20" t="n">
        <v>0</v>
      </c>
      <c r="Q79" s="18" t="n">
        <v>4.48333104</v>
      </c>
      <c r="R79" s="20" t="n">
        <v>0.69861685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(12484.0/B82*100)</f>
        <v/>
      </c>
      <c r="D82" s="19" t="n">
        <v>3477</v>
      </c>
      <c r="E82" s="18" t="n">
        <v>13.66300915</v>
      </c>
      <c r="F82" s="20" t="n">
        <v>0.87151675</v>
      </c>
      <c r="G82" s="18" t="n">
        <v>83.07273696999999</v>
      </c>
      <c r="H82" s="20" t="n">
        <v>0.96515298</v>
      </c>
      <c r="I82" s="18" t="n">
        <v>0</v>
      </c>
      <c r="J82" s="20" t="n">
        <v>0</v>
      </c>
      <c r="K82" s="18" t="n">
        <v>0.08576799</v>
      </c>
      <c r="L82" s="20" t="n">
        <v>0.05807897</v>
      </c>
      <c r="M82" s="18" t="n">
        <v>0</v>
      </c>
      <c r="N82" s="20" t="n">
        <v>0</v>
      </c>
      <c r="O82" s="18" t="n">
        <v>0</v>
      </c>
      <c r="P82" s="20" t="n">
        <v>0</v>
      </c>
      <c r="Q82" s="18" t="n">
        <v>3.17848589</v>
      </c>
      <c r="R82" s="20" t="n">
        <v>0.45463565</v>
      </c>
    </row>
    <row r="83" spans="1:18">
      <c r="A83" s="15" t="s">
        <v>643</v>
      </c>
      <c r="B83" s="17" t="n">
        <v>808</v>
      </c>
      <c r="C83" s="18">
        <f>(641.0/B83*100)</f>
        <v/>
      </c>
      <c r="D83" s="19" t="n">
        <v>167</v>
      </c>
      <c r="E83" s="18" t="n">
        <v>5.16443417</v>
      </c>
      <c r="F83" s="20" t="n">
        <v>1.84363814</v>
      </c>
      <c r="G83" s="18" t="n">
        <v>91.60754616</v>
      </c>
      <c r="H83" s="20" t="n">
        <v>2.73609725</v>
      </c>
      <c r="I83" s="18" t="n">
        <v>0</v>
      </c>
      <c r="J83" s="20" t="n">
        <v>0</v>
      </c>
      <c r="K83" s="18" t="n">
        <v>0</v>
      </c>
      <c r="L83" s="20" t="n">
        <v>0</v>
      </c>
      <c r="M83" s="18" t="n">
        <v>0</v>
      </c>
      <c r="N83" s="20" t="n">
        <v>0</v>
      </c>
      <c r="O83" s="18" t="n">
        <v>0</v>
      </c>
      <c r="P83" s="20" t="n">
        <v>0</v>
      </c>
      <c r="Q83" s="18" t="n">
        <v>3.22801967</v>
      </c>
      <c r="R83" s="20" t="n">
        <v>1.49265525</v>
      </c>
    </row>
    <row r="84" spans="1:18">
      <c r="A84" s="23" t="s">
        <v>644</v>
      </c>
      <c r="B84" s="24" t="n">
        <v>938</v>
      </c>
      <c r="C84" s="25">
        <f>(763.0/B84*100)</f>
        <v/>
      </c>
      <c r="D84" s="19" t="n">
        <v>175</v>
      </c>
      <c r="E84" s="18" t="n">
        <v>2.0262397</v>
      </c>
      <c r="F84" s="20" t="n">
        <v>0.99820536</v>
      </c>
      <c r="G84" s="18" t="n">
        <v>94.45079631999999</v>
      </c>
      <c r="H84" s="20" t="n">
        <v>1.69639445</v>
      </c>
      <c r="I84" s="18" t="n">
        <v>0</v>
      </c>
      <c r="J84" s="20" t="n">
        <v>0</v>
      </c>
      <c r="K84" s="18" t="n">
        <v>0</v>
      </c>
      <c r="L84" s="20" t="n">
        <v>0</v>
      </c>
      <c r="M84" s="18" t="n">
        <v>0</v>
      </c>
      <c r="N84" s="20" t="n">
        <v>0</v>
      </c>
      <c r="O84" s="18" t="n">
        <v>0</v>
      </c>
      <c r="P84" s="20" t="n">
        <v>0</v>
      </c>
      <c r="Q84" s="18" t="n">
        <v>3.52296398</v>
      </c>
      <c r="R84" s="20" t="n">
        <v>1.37806179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(5560.0/B7*100)</f>
        <v/>
      </c>
      <c r="D7" s="19" t="n">
        <v>1603</v>
      </c>
      <c r="E7" s="18" t="n">
        <v>41.44953343</v>
      </c>
      <c r="F7" s="20" t="n">
        <v>1.48665468</v>
      </c>
      <c r="G7" s="18" t="n">
        <v>55.82102197</v>
      </c>
      <c r="H7" s="20" t="n">
        <v>1.54327159</v>
      </c>
      <c r="I7" s="18" t="n">
        <v>0</v>
      </c>
      <c r="J7" s="20" t="n">
        <v>0</v>
      </c>
      <c r="K7" s="18" t="n">
        <v>0.27362033</v>
      </c>
      <c r="L7" s="20" t="n">
        <v>0.14232525</v>
      </c>
      <c r="M7" s="18" t="n">
        <v>0</v>
      </c>
      <c r="N7" s="20" t="n">
        <v>0</v>
      </c>
      <c r="O7" s="18" t="n">
        <v>0</v>
      </c>
      <c r="P7" s="20" t="n">
        <v>0</v>
      </c>
      <c r="Q7" s="18" t="n">
        <v>2.45582428</v>
      </c>
      <c r="R7" s="20" t="n">
        <v>0.41081215</v>
      </c>
    </row>
    <row r="8" spans="1:18">
      <c r="A8" s="15" t="s">
        <v>566</v>
      </c>
      <c r="B8" s="17" t="n">
        <v>3443</v>
      </c>
      <c r="C8" s="18">
        <f>(2653.0/B8*100)</f>
        <v/>
      </c>
      <c r="D8" s="19" t="n">
        <v>790</v>
      </c>
      <c r="E8" s="18" t="n">
        <v>65.85071938999999</v>
      </c>
      <c r="F8" s="20" t="n">
        <v>2.0445157</v>
      </c>
      <c r="G8" s="18" t="n">
        <v>31.82514756</v>
      </c>
      <c r="H8" s="20" t="n">
        <v>2.07136358</v>
      </c>
      <c r="I8" s="18" t="n">
        <v>0</v>
      </c>
      <c r="J8" s="20" t="n">
        <v>0</v>
      </c>
      <c r="K8" s="18" t="n">
        <v>0.16848637</v>
      </c>
      <c r="L8" s="20" t="n">
        <v>0.16661571</v>
      </c>
      <c r="M8" s="18" t="n">
        <v>0</v>
      </c>
      <c r="N8" s="20" t="n">
        <v>0</v>
      </c>
      <c r="O8" s="18" t="n">
        <v>0</v>
      </c>
      <c r="P8" s="20" t="n">
        <v>0</v>
      </c>
      <c r="Q8" s="18" t="n">
        <v>2.15564668</v>
      </c>
      <c r="R8" s="20" t="n">
        <v>0.58468332</v>
      </c>
    </row>
    <row r="9" spans="1:18">
      <c r="A9" s="15" t="s">
        <v>567</v>
      </c>
      <c r="B9" s="17" t="n">
        <v>4752</v>
      </c>
      <c r="C9" s="18">
        <f>(3722.0/B9*100)</f>
        <v/>
      </c>
      <c r="D9" s="19" t="n">
        <v>1030</v>
      </c>
      <c r="E9" s="18" t="n">
        <v>40.11645776</v>
      </c>
      <c r="F9" s="20" t="n">
        <v>1.74403644</v>
      </c>
      <c r="G9" s="18" t="n">
        <v>58.46239063</v>
      </c>
      <c r="H9" s="20" t="n">
        <v>1.75350928</v>
      </c>
      <c r="I9" s="18" t="n">
        <v>0</v>
      </c>
      <c r="J9" s="20" t="n">
        <v>0</v>
      </c>
      <c r="K9" s="18" t="n">
        <v>0.08325708</v>
      </c>
      <c r="L9" s="20" t="n">
        <v>0.08694983000000001</v>
      </c>
      <c r="M9" s="18" t="n">
        <v>0</v>
      </c>
      <c r="N9" s="20" t="n">
        <v>0</v>
      </c>
      <c r="O9" s="18" t="n">
        <v>0</v>
      </c>
      <c r="P9" s="20" t="n">
        <v>0</v>
      </c>
      <c r="Q9" s="18" t="n">
        <v>1.33789453</v>
      </c>
      <c r="R9" s="20" t="n">
        <v>0.42271483</v>
      </c>
    </row>
    <row r="10" spans="1:18">
      <c r="A10" s="15" t="s">
        <v>568</v>
      </c>
      <c r="B10" s="17" t="n">
        <v>10022</v>
      </c>
      <c r="C10" s="18">
        <f>(7798.0/B10*100)</f>
        <v/>
      </c>
      <c r="D10" s="19" t="n">
        <v>2224</v>
      </c>
      <c r="E10" s="18" t="n">
        <v>36.26863413</v>
      </c>
      <c r="F10" s="20" t="n">
        <v>1.40868019</v>
      </c>
      <c r="G10" s="18" t="n">
        <v>61.33620659</v>
      </c>
      <c r="H10" s="20" t="n">
        <v>1.41678449</v>
      </c>
      <c r="I10" s="18" t="n">
        <v>0</v>
      </c>
      <c r="J10" s="20" t="n">
        <v>0</v>
      </c>
      <c r="K10" s="18" t="n">
        <v>0.25591732</v>
      </c>
      <c r="L10" s="20" t="n">
        <v>0.1996662</v>
      </c>
      <c r="M10" s="18" t="n">
        <v>0</v>
      </c>
      <c r="N10" s="20" t="n">
        <v>0</v>
      </c>
      <c r="O10" s="18" t="n">
        <v>0</v>
      </c>
      <c r="P10" s="20" t="n">
        <v>0</v>
      </c>
      <c r="Q10" s="18" t="n">
        <v>2.13924196</v>
      </c>
      <c r="R10" s="20" t="n">
        <v>0.38932914</v>
      </c>
    </row>
    <row r="11" spans="1:18">
      <c r="A11" s="15" t="s">
        <v>569</v>
      </c>
      <c r="B11" s="17" t="n">
        <v>3500</v>
      </c>
      <c r="C11" s="18">
        <f>(2747.0/B11*100)</f>
        <v/>
      </c>
      <c r="D11" s="19" t="n">
        <v>753</v>
      </c>
      <c r="E11" s="18" t="n">
        <v>64.75079425</v>
      </c>
      <c r="F11" s="20" t="n">
        <v>1.96426542</v>
      </c>
      <c r="G11" s="18" t="n">
        <v>31.97147585</v>
      </c>
      <c r="H11" s="20" t="n">
        <v>1.96285971</v>
      </c>
      <c r="I11" s="18" t="n">
        <v>0</v>
      </c>
      <c r="J11" s="20" t="n">
        <v>0</v>
      </c>
      <c r="K11" s="18" t="n">
        <v>0.13865947</v>
      </c>
      <c r="L11" s="20" t="n">
        <v>0.13973531</v>
      </c>
      <c r="M11" s="18" t="n">
        <v>0</v>
      </c>
      <c r="N11" s="20" t="n">
        <v>0</v>
      </c>
      <c r="O11" s="18" t="n">
        <v>0</v>
      </c>
      <c r="P11" s="20" t="n">
        <v>0</v>
      </c>
      <c r="Q11" s="18" t="n">
        <v>3.13907042</v>
      </c>
      <c r="R11" s="20" t="n">
        <v>0.75215529</v>
      </c>
    </row>
    <row r="12" spans="1:18">
      <c r="A12" s="15" t="s">
        <v>570</v>
      </c>
      <c r="B12" s="17" t="n">
        <v>3422</v>
      </c>
      <c r="C12" s="18">
        <f>(2680.0/B12*100)</f>
        <v/>
      </c>
      <c r="D12" s="19" t="n">
        <v>742</v>
      </c>
      <c r="E12" s="18" t="n">
        <v>64.10543164000001</v>
      </c>
      <c r="F12" s="20" t="n">
        <v>2.04084781</v>
      </c>
      <c r="G12" s="18" t="n">
        <v>35.23531817</v>
      </c>
      <c r="H12" s="20" t="n">
        <v>2.08740627</v>
      </c>
      <c r="I12" s="18" t="n">
        <v>0</v>
      </c>
      <c r="J12" s="20" t="n">
        <v>0</v>
      </c>
      <c r="K12" s="18" t="n">
        <v>0</v>
      </c>
      <c r="L12" s="20" t="n">
        <v>0</v>
      </c>
      <c r="M12" s="18" t="n">
        <v>0</v>
      </c>
      <c r="N12" s="20" t="n">
        <v>0</v>
      </c>
      <c r="O12" s="18" t="n">
        <v>0</v>
      </c>
      <c r="P12" s="20" t="n">
        <v>0</v>
      </c>
      <c r="Q12" s="18" t="n">
        <v>0.6592502</v>
      </c>
      <c r="R12" s="20" t="n">
        <v>0.28091759</v>
      </c>
    </row>
    <row r="13" spans="1:18">
      <c r="A13" s="15" t="s">
        <v>571</v>
      </c>
      <c r="B13" s="17" t="n">
        <v>3602</v>
      </c>
      <c r="C13" s="18">
        <f>(2794.0/B13*100)</f>
        <v/>
      </c>
      <c r="D13" s="19" t="n">
        <v>808</v>
      </c>
      <c r="E13" s="18" t="n">
        <v>56.46818323</v>
      </c>
      <c r="F13" s="20" t="n">
        <v>1.80307061</v>
      </c>
      <c r="G13" s="18" t="n">
        <v>40.90171483</v>
      </c>
      <c r="H13" s="20" t="n">
        <v>1.9117996</v>
      </c>
      <c r="I13" s="18" t="n">
        <v>0</v>
      </c>
      <c r="J13" s="20" t="n">
        <v>0</v>
      </c>
      <c r="K13" s="18" t="n">
        <v>0.25943795</v>
      </c>
      <c r="L13" s="20" t="n">
        <v>0.25248598</v>
      </c>
      <c r="M13" s="18" t="n">
        <v>0</v>
      </c>
      <c r="N13" s="20" t="n">
        <v>0</v>
      </c>
      <c r="O13" s="18" t="n">
        <v>0</v>
      </c>
      <c r="P13" s="20" t="n">
        <v>0</v>
      </c>
      <c r="Q13" s="18" t="n">
        <v>2.37066399</v>
      </c>
      <c r="R13" s="20" t="n">
        <v>0.80876052</v>
      </c>
    </row>
    <row r="14" spans="1:18">
      <c r="A14" s="15" t="s">
        <v>572</v>
      </c>
      <c r="B14" s="17" t="n">
        <v>2788</v>
      </c>
      <c r="C14" s="18">
        <f>(2135.0/B14*100)</f>
        <v/>
      </c>
      <c r="D14" s="19" t="n">
        <v>653</v>
      </c>
      <c r="E14" s="18" t="n">
        <v>47.77383768</v>
      </c>
      <c r="F14" s="20" t="n">
        <v>2.23786116</v>
      </c>
      <c r="G14" s="18" t="n">
        <v>51.20125933</v>
      </c>
      <c r="H14" s="20" t="n">
        <v>2.23389088</v>
      </c>
      <c r="I14" s="18" t="n">
        <v>0</v>
      </c>
      <c r="J14" s="20" t="n">
        <v>0</v>
      </c>
      <c r="K14" s="18" t="n">
        <v>0.12500111</v>
      </c>
      <c r="L14" s="20" t="n">
        <v>0.11139343</v>
      </c>
      <c r="M14" s="18" t="n">
        <v>0</v>
      </c>
      <c r="N14" s="20" t="n">
        <v>0</v>
      </c>
      <c r="O14" s="18" t="n">
        <v>0</v>
      </c>
      <c r="P14" s="20" t="n">
        <v>0</v>
      </c>
      <c r="Q14" s="18" t="n">
        <v>0.89990189</v>
      </c>
      <c r="R14" s="20" t="n">
        <v>0.46436869</v>
      </c>
    </row>
    <row r="15" spans="1:18">
      <c r="A15" s="15" t="s">
        <v>573</v>
      </c>
      <c r="B15" s="17" t="n">
        <v>2863</v>
      </c>
      <c r="C15" s="18">
        <f>(2251.0/B15*100)</f>
        <v/>
      </c>
      <c r="D15" s="19" t="n">
        <v>612</v>
      </c>
      <c r="E15" s="18" t="n">
        <v>54.08756286</v>
      </c>
      <c r="F15" s="20" t="n">
        <v>2.03670042</v>
      </c>
      <c r="G15" s="18" t="n">
        <v>45.48395636</v>
      </c>
      <c r="H15" s="20" t="n">
        <v>2.0663031</v>
      </c>
      <c r="I15" s="18" t="n">
        <v>0</v>
      </c>
      <c r="J15" s="20" t="n">
        <v>0</v>
      </c>
      <c r="K15" s="18" t="n">
        <v>0</v>
      </c>
      <c r="L15" s="20" t="n">
        <v>0</v>
      </c>
      <c r="M15" s="18" t="n">
        <v>0</v>
      </c>
      <c r="N15" s="20" t="n">
        <v>0</v>
      </c>
      <c r="O15" s="18" t="n">
        <v>0</v>
      </c>
      <c r="P15" s="20" t="n">
        <v>0</v>
      </c>
      <c r="Q15" s="18" t="n">
        <v>0.42848078</v>
      </c>
      <c r="R15" s="20" t="n">
        <v>0.24456065</v>
      </c>
    </row>
    <row r="16" spans="1:18">
      <c r="A16" s="15" t="s">
        <v>574</v>
      </c>
      <c r="B16" s="17" t="n">
        <v>3111</v>
      </c>
      <c r="C16" s="18">
        <f>(2385.0/B16*100)</f>
        <v/>
      </c>
      <c r="D16" s="19" t="n">
        <v>726</v>
      </c>
      <c r="E16" s="18" t="n">
        <v>49.57007209</v>
      </c>
      <c r="F16" s="20" t="n">
        <v>2.0200934</v>
      </c>
      <c r="G16" s="18" t="n">
        <v>46.0303325</v>
      </c>
      <c r="H16" s="20" t="n">
        <v>1.95471718</v>
      </c>
      <c r="I16" s="18" t="n">
        <v>0</v>
      </c>
      <c r="J16" s="20" t="n">
        <v>0</v>
      </c>
      <c r="K16" s="18" t="n">
        <v>0.44786026</v>
      </c>
      <c r="L16" s="20" t="n">
        <v>0.25548841</v>
      </c>
      <c r="M16" s="18" t="n">
        <v>0</v>
      </c>
      <c r="N16" s="20" t="n">
        <v>0</v>
      </c>
      <c r="O16" s="18" t="n">
        <v>0</v>
      </c>
      <c r="P16" s="20" t="n">
        <v>0</v>
      </c>
      <c r="Q16" s="18" t="n">
        <v>3.95173515</v>
      </c>
      <c r="R16" s="20" t="n">
        <v>0.77394363</v>
      </c>
    </row>
    <row r="17" spans="1:18">
      <c r="A17" s="15" t="s">
        <v>575</v>
      </c>
      <c r="B17" s="17" t="n">
        <v>3197</v>
      </c>
      <c r="C17" s="18">
        <f>(2487.0/B17*100)</f>
        <v/>
      </c>
      <c r="D17" s="19" t="n">
        <v>710</v>
      </c>
      <c r="E17" s="18" t="n">
        <v>63.5745233</v>
      </c>
      <c r="F17" s="20" t="n">
        <v>1.97021568</v>
      </c>
      <c r="G17" s="18" t="n">
        <v>34.0278974</v>
      </c>
      <c r="H17" s="20" t="n">
        <v>1.99228025</v>
      </c>
      <c r="I17" s="18" t="n">
        <v>0</v>
      </c>
      <c r="J17" s="20" t="n">
        <v>0</v>
      </c>
      <c r="K17" s="18" t="n">
        <v>0</v>
      </c>
      <c r="L17" s="20" t="n">
        <v>0</v>
      </c>
      <c r="M17" s="18" t="n">
        <v>0</v>
      </c>
      <c r="N17" s="20" t="n">
        <v>0</v>
      </c>
      <c r="O17" s="18" t="n">
        <v>0</v>
      </c>
      <c r="P17" s="20" t="n">
        <v>0</v>
      </c>
      <c r="Q17" s="18" t="n">
        <v>2.39757929</v>
      </c>
      <c r="R17" s="20" t="n">
        <v>0.6907522</v>
      </c>
    </row>
    <row r="18" spans="1:18">
      <c r="A18" s="15" t="s">
        <v>576</v>
      </c>
      <c r="B18" s="17" t="n">
        <v>2706</v>
      </c>
      <c r="C18" s="18">
        <f>(2083.0/B18*100)</f>
        <v/>
      </c>
      <c r="D18" s="19" t="n">
        <v>623</v>
      </c>
      <c r="E18" s="18" t="n">
        <v>68.92743849</v>
      </c>
      <c r="F18" s="20" t="n">
        <v>1.85632615</v>
      </c>
      <c r="G18" s="18" t="n">
        <v>27.98286778</v>
      </c>
      <c r="H18" s="20" t="n">
        <v>1.94836357</v>
      </c>
      <c r="I18" s="18" t="n">
        <v>0</v>
      </c>
      <c r="J18" s="20" t="n">
        <v>0</v>
      </c>
      <c r="K18" s="18" t="n">
        <v>0</v>
      </c>
      <c r="L18" s="20" t="n">
        <v>0</v>
      </c>
      <c r="M18" s="18" t="n">
        <v>0</v>
      </c>
      <c r="N18" s="20" t="n">
        <v>0</v>
      </c>
      <c r="O18" s="18" t="n">
        <v>0</v>
      </c>
      <c r="P18" s="20" t="n">
        <v>0</v>
      </c>
      <c r="Q18" s="18" t="n">
        <v>3.08969373</v>
      </c>
      <c r="R18" s="20" t="n">
        <v>0.82711267</v>
      </c>
    </row>
    <row r="19" spans="1:18">
      <c r="A19" s="15" t="s">
        <v>577</v>
      </c>
      <c r="B19" s="17" t="n">
        <v>2850</v>
      </c>
      <c r="C19" s="18">
        <f>(2232.0/B19*100)</f>
        <v/>
      </c>
      <c r="D19" s="19" t="n">
        <v>618</v>
      </c>
      <c r="E19" s="18" t="n">
        <v>50.41910634</v>
      </c>
      <c r="F19" s="20" t="n">
        <v>2.25435945</v>
      </c>
      <c r="G19" s="18" t="n">
        <v>48.03440679</v>
      </c>
      <c r="H19" s="20" t="n">
        <v>2.35283445</v>
      </c>
      <c r="I19" s="18" t="n">
        <v>0</v>
      </c>
      <c r="J19" s="20" t="n">
        <v>0</v>
      </c>
      <c r="K19" s="18" t="n">
        <v>0</v>
      </c>
      <c r="L19" s="20" t="n">
        <v>0</v>
      </c>
      <c r="M19" s="18" t="n">
        <v>0</v>
      </c>
      <c r="N19" s="20" t="n">
        <v>0</v>
      </c>
      <c r="O19" s="18" t="n">
        <v>0</v>
      </c>
      <c r="P19" s="20" t="n">
        <v>0</v>
      </c>
      <c r="Q19" s="18" t="n">
        <v>1.54648688</v>
      </c>
      <c r="R19" s="20" t="n">
        <v>0.5684582</v>
      </c>
    </row>
    <row r="20" spans="1:18">
      <c r="A20" s="15" t="s">
        <v>578</v>
      </c>
      <c r="B20" s="17" t="n">
        <v>1741</v>
      </c>
      <c r="C20" s="18">
        <f>(1342.0/B20*100)</f>
        <v/>
      </c>
      <c r="D20" s="19" t="n">
        <v>399</v>
      </c>
      <c r="E20" s="18" t="n">
        <v>51.0819543</v>
      </c>
      <c r="F20" s="20" t="n">
        <v>2.47560178</v>
      </c>
      <c r="G20" s="18" t="n">
        <v>46.68456947</v>
      </c>
      <c r="H20" s="20" t="n">
        <v>2.58322269</v>
      </c>
      <c r="I20" s="18" t="n">
        <v>0</v>
      </c>
      <c r="J20" s="20" t="n">
        <v>0</v>
      </c>
      <c r="K20" s="18" t="n">
        <v>0</v>
      </c>
      <c r="L20" s="20" t="n">
        <v>0</v>
      </c>
      <c r="M20" s="18" t="n">
        <v>0</v>
      </c>
      <c r="N20" s="20" t="n">
        <v>0</v>
      </c>
      <c r="O20" s="18" t="n">
        <v>0</v>
      </c>
      <c r="P20" s="20" t="n">
        <v>0</v>
      </c>
      <c r="Q20" s="18" t="n">
        <v>2.23347623</v>
      </c>
      <c r="R20" s="20" t="n">
        <v>0.73852123</v>
      </c>
    </row>
    <row r="21" spans="1:18">
      <c r="A21" s="15" t="s">
        <v>579</v>
      </c>
      <c r="B21" s="17" t="n">
        <v>2833</v>
      </c>
      <c r="C21" s="18">
        <f>(2215.0/B21*100)</f>
        <v/>
      </c>
      <c r="D21" s="19" t="n">
        <v>618</v>
      </c>
      <c r="E21" s="18" t="n">
        <v>52.58799144</v>
      </c>
      <c r="F21" s="20" t="n">
        <v>2.04909384</v>
      </c>
      <c r="G21" s="18" t="n">
        <v>46.33053343</v>
      </c>
      <c r="H21" s="20" t="n">
        <v>2.04326612</v>
      </c>
      <c r="I21" s="18" t="n">
        <v>0</v>
      </c>
      <c r="J21" s="20" t="n">
        <v>0</v>
      </c>
      <c r="K21" s="18" t="n">
        <v>0</v>
      </c>
      <c r="L21" s="20" t="n">
        <v>0</v>
      </c>
      <c r="M21" s="18" t="n">
        <v>0</v>
      </c>
      <c r="N21" s="20" t="n">
        <v>0</v>
      </c>
      <c r="O21" s="18" t="n">
        <v>0</v>
      </c>
      <c r="P21" s="20" t="n">
        <v>0</v>
      </c>
      <c r="Q21" s="18" t="n">
        <v>1.08147513</v>
      </c>
      <c r="R21" s="20" t="n">
        <v>0.35204072</v>
      </c>
    </row>
    <row r="22" spans="1:18">
      <c r="A22" s="15" t="s">
        <v>580</v>
      </c>
      <c r="B22" s="17" t="n">
        <v>3667</v>
      </c>
      <c r="C22" s="18">
        <f>(2965.0/B22*100)</f>
        <v/>
      </c>
      <c r="D22" s="19" t="n">
        <v>702</v>
      </c>
      <c r="E22" s="18" t="n">
        <v>45.22003083</v>
      </c>
      <c r="F22" s="20" t="n">
        <v>2.41421103</v>
      </c>
      <c r="G22" s="18" t="n">
        <v>51.26190839</v>
      </c>
      <c r="H22" s="20" t="n">
        <v>2.54635527</v>
      </c>
      <c r="I22" s="18" t="n">
        <v>0</v>
      </c>
      <c r="J22" s="20" t="n">
        <v>0</v>
      </c>
      <c r="K22" s="18" t="n">
        <v>0.12196993</v>
      </c>
      <c r="L22" s="20" t="n">
        <v>0.12266151</v>
      </c>
      <c r="M22" s="18" t="n">
        <v>0</v>
      </c>
      <c r="N22" s="20" t="n">
        <v>0</v>
      </c>
      <c r="O22" s="18" t="n">
        <v>0</v>
      </c>
      <c r="P22" s="20" t="n">
        <v>0</v>
      </c>
      <c r="Q22" s="18" t="n">
        <v>3.39609085</v>
      </c>
      <c r="R22" s="20" t="n">
        <v>0.60912806</v>
      </c>
    </row>
    <row r="23" spans="1:18">
      <c r="A23" s="15" t="s">
        <v>581</v>
      </c>
      <c r="B23" s="17" t="n">
        <v>5792</v>
      </c>
      <c r="C23" s="18">
        <f>(4510.0/B23*100)</f>
        <v/>
      </c>
      <c r="D23" s="19" t="n">
        <v>1282</v>
      </c>
      <c r="E23" s="18" t="n">
        <v>62.84486724</v>
      </c>
      <c r="F23" s="20" t="n">
        <v>1.93491273</v>
      </c>
      <c r="G23" s="18" t="n">
        <v>34.81534417</v>
      </c>
      <c r="H23" s="20" t="n">
        <v>1.82930868</v>
      </c>
      <c r="I23" s="18" t="n">
        <v>0</v>
      </c>
      <c r="J23" s="20" t="n">
        <v>0</v>
      </c>
      <c r="K23" s="18" t="n">
        <v>0.22107246</v>
      </c>
      <c r="L23" s="20" t="n">
        <v>0.18201742</v>
      </c>
      <c r="M23" s="18" t="n">
        <v>0</v>
      </c>
      <c r="N23" s="20" t="n">
        <v>0</v>
      </c>
      <c r="O23" s="18" t="n">
        <v>0</v>
      </c>
      <c r="P23" s="20" t="n">
        <v>0</v>
      </c>
      <c r="Q23" s="18" t="n">
        <v>2.11871613</v>
      </c>
      <c r="R23" s="20" t="n">
        <v>0.74613591</v>
      </c>
    </row>
    <row r="24" spans="1:18">
      <c r="A24" s="15" t="s">
        <v>582</v>
      </c>
      <c r="B24" s="17" t="n">
        <v>3309</v>
      </c>
      <c r="C24" s="18">
        <f>(2605.0/B24*100)</f>
        <v/>
      </c>
      <c r="D24" s="19" t="n">
        <v>704</v>
      </c>
      <c r="E24" s="18" t="n">
        <v>24.43681415</v>
      </c>
      <c r="F24" s="20" t="n">
        <v>1.99733837</v>
      </c>
      <c r="G24" s="18" t="n">
        <v>73.7437637</v>
      </c>
      <c r="H24" s="20" t="n">
        <v>2.00215324</v>
      </c>
      <c r="I24" s="18" t="n">
        <v>0</v>
      </c>
      <c r="J24" s="20" t="n">
        <v>0</v>
      </c>
      <c r="K24" s="18" t="n">
        <v>0</v>
      </c>
      <c r="L24" s="20" t="n">
        <v>0</v>
      </c>
      <c r="M24" s="18" t="n">
        <v>0</v>
      </c>
      <c r="N24" s="20" t="n">
        <v>0</v>
      </c>
      <c r="O24" s="18" t="n">
        <v>0</v>
      </c>
      <c r="P24" s="20" t="n">
        <v>0</v>
      </c>
      <c r="Q24" s="18" t="n">
        <v>1.81942215</v>
      </c>
      <c r="R24" s="20" t="n">
        <v>0.55148813</v>
      </c>
    </row>
    <row r="25" spans="1:18">
      <c r="A25" s="15" t="s">
        <v>583</v>
      </c>
      <c r="B25" s="17" t="n">
        <v>2669</v>
      </c>
      <c r="C25" s="18">
        <f>(2048.0/B25*100)</f>
        <v/>
      </c>
      <c r="D25" s="19" t="n">
        <v>621</v>
      </c>
      <c r="E25" s="18" t="n">
        <v>40.87911493</v>
      </c>
      <c r="F25" s="20" t="n">
        <v>2.21934672</v>
      </c>
      <c r="G25" s="18" t="n">
        <v>58.66854897</v>
      </c>
      <c r="H25" s="20" t="n">
        <v>2.29496273</v>
      </c>
      <c r="I25" s="18" t="n">
        <v>0</v>
      </c>
      <c r="J25" s="20" t="n">
        <v>0</v>
      </c>
      <c r="K25" s="18" t="n">
        <v>0</v>
      </c>
      <c r="L25" s="20" t="n">
        <v>0</v>
      </c>
      <c r="M25" s="18" t="n">
        <v>0</v>
      </c>
      <c r="N25" s="20" t="n">
        <v>0</v>
      </c>
      <c r="O25" s="18" t="n">
        <v>0</v>
      </c>
      <c r="P25" s="20" t="n">
        <v>0</v>
      </c>
      <c r="Q25" s="18" t="n">
        <v>0.45233609</v>
      </c>
      <c r="R25" s="20" t="n">
        <v>0.26766286</v>
      </c>
    </row>
    <row r="26" spans="1:18">
      <c r="A26" s="15" t="s">
        <v>584</v>
      </c>
      <c r="B26" s="17" t="n">
        <v>2419</v>
      </c>
      <c r="C26" s="18">
        <f>(1882.0/B26*100)</f>
        <v/>
      </c>
      <c r="D26" s="19" t="n">
        <v>537</v>
      </c>
      <c r="E26" s="18" t="n">
        <v>51.95843684</v>
      </c>
      <c r="F26" s="20" t="n">
        <v>2.46833546</v>
      </c>
      <c r="G26" s="18" t="n">
        <v>47.55116803</v>
      </c>
      <c r="H26" s="20" t="n">
        <v>2.48720446</v>
      </c>
      <c r="I26" s="18" t="n">
        <v>0</v>
      </c>
      <c r="J26" s="20" t="n">
        <v>0</v>
      </c>
      <c r="K26" s="18" t="n">
        <v>0</v>
      </c>
      <c r="L26" s="20" t="n">
        <v>0</v>
      </c>
      <c r="M26" s="18" t="n">
        <v>0</v>
      </c>
      <c r="N26" s="20" t="n">
        <v>0</v>
      </c>
      <c r="O26" s="18" t="n">
        <v>0</v>
      </c>
      <c r="P26" s="20" t="n">
        <v>0</v>
      </c>
      <c r="Q26" s="18" t="n">
        <v>0.49039513</v>
      </c>
      <c r="R26" s="20" t="n">
        <v>0.28664528</v>
      </c>
    </row>
    <row r="27" spans="1:18">
      <c r="A27" s="15" t="s">
        <v>585</v>
      </c>
      <c r="B27" s="17" t="n">
        <v>2683</v>
      </c>
      <c r="C27" s="18">
        <f>(2087.0/B27*100)</f>
        <v/>
      </c>
      <c r="D27" s="19" t="n">
        <v>596</v>
      </c>
      <c r="E27" s="18" t="n">
        <v>59.20869133</v>
      </c>
      <c r="F27" s="20" t="n">
        <v>1.99566054</v>
      </c>
      <c r="G27" s="18" t="n">
        <v>38.9063379</v>
      </c>
      <c r="H27" s="20" t="n">
        <v>2.03605271</v>
      </c>
      <c r="I27" s="18" t="n">
        <v>0</v>
      </c>
      <c r="J27" s="20" t="n">
        <v>0</v>
      </c>
      <c r="K27" s="18" t="n">
        <v>0</v>
      </c>
      <c r="L27" s="20" t="n">
        <v>0</v>
      </c>
      <c r="M27" s="18" t="n">
        <v>0</v>
      </c>
      <c r="N27" s="20" t="n">
        <v>0</v>
      </c>
      <c r="O27" s="18" t="n">
        <v>0</v>
      </c>
      <c r="P27" s="20" t="n">
        <v>0</v>
      </c>
      <c r="Q27" s="18" t="n">
        <v>1.88497077</v>
      </c>
      <c r="R27" s="20" t="n">
        <v>0.65129842</v>
      </c>
    </row>
    <row r="28" spans="1:18">
      <c r="A28" s="15" t="s">
        <v>586</v>
      </c>
      <c r="B28" s="17" t="n">
        <v>3803</v>
      </c>
      <c r="C28" s="18">
        <f>(2958.0/B28*100)</f>
        <v/>
      </c>
      <c r="D28" s="19" t="n">
        <v>845</v>
      </c>
      <c r="E28" s="18" t="n">
        <v>86.59918620000001</v>
      </c>
      <c r="F28" s="20" t="n">
        <v>1.28297766</v>
      </c>
      <c r="G28" s="18" t="n">
        <v>11.35894593</v>
      </c>
      <c r="H28" s="20" t="n">
        <v>1.34223366</v>
      </c>
      <c r="I28" s="18" t="n">
        <v>0</v>
      </c>
      <c r="J28" s="20" t="n">
        <v>0</v>
      </c>
      <c r="K28" s="18" t="n">
        <v>0.27133356</v>
      </c>
      <c r="L28" s="20" t="n">
        <v>0.21439852</v>
      </c>
      <c r="M28" s="18" t="n">
        <v>0</v>
      </c>
      <c r="N28" s="20" t="n">
        <v>0</v>
      </c>
      <c r="O28" s="18" t="n">
        <v>0</v>
      </c>
      <c r="P28" s="20" t="n">
        <v>0</v>
      </c>
      <c r="Q28" s="18" t="n">
        <v>1.77053431</v>
      </c>
      <c r="R28" s="20" t="n">
        <v>0.60348732</v>
      </c>
    </row>
    <row r="29" spans="1:18">
      <c r="A29" s="15" t="s">
        <v>587</v>
      </c>
      <c r="B29" s="17" t="n">
        <v>2700</v>
      </c>
      <c r="C29" s="18">
        <f>(2142.0/B29*100)</f>
        <v/>
      </c>
      <c r="D29" s="19" t="n">
        <v>558</v>
      </c>
      <c r="E29" s="18" t="n">
        <v>43.72292142</v>
      </c>
      <c r="F29" s="20" t="n">
        <v>2.59554942</v>
      </c>
      <c r="G29" s="18" t="n">
        <v>54.18603139</v>
      </c>
      <c r="H29" s="20" t="n">
        <v>2.50264242</v>
      </c>
      <c r="I29" s="18" t="n">
        <v>0</v>
      </c>
      <c r="J29" s="20" t="n">
        <v>0</v>
      </c>
      <c r="K29" s="18" t="n">
        <v>0</v>
      </c>
      <c r="L29" s="20" t="n">
        <v>0</v>
      </c>
      <c r="M29" s="18" t="n">
        <v>0</v>
      </c>
      <c r="N29" s="20" t="n">
        <v>0</v>
      </c>
      <c r="O29" s="18" t="n">
        <v>0</v>
      </c>
      <c r="P29" s="20" t="n">
        <v>0</v>
      </c>
      <c r="Q29" s="18" t="n">
        <v>2.09104718</v>
      </c>
      <c r="R29" s="20" t="n">
        <v>0.57867435</v>
      </c>
    </row>
    <row r="30" spans="1:18">
      <c r="A30" s="15" t="s">
        <v>588</v>
      </c>
      <c r="B30" s="17" t="n">
        <v>2257</v>
      </c>
      <c r="C30" s="18">
        <f>(1770.0/B30*100)</f>
        <v/>
      </c>
      <c r="D30" s="19" t="n">
        <v>487</v>
      </c>
      <c r="E30" s="18" t="n">
        <v>42.33119423</v>
      </c>
      <c r="F30" s="20" t="n">
        <v>2.57864058</v>
      </c>
      <c r="G30" s="18" t="n">
        <v>55.64172184</v>
      </c>
      <c r="H30" s="20" t="n">
        <v>2.48433258</v>
      </c>
      <c r="I30" s="18" t="n">
        <v>0</v>
      </c>
      <c r="J30" s="20" t="n">
        <v>0</v>
      </c>
      <c r="K30" s="18" t="n">
        <v>0</v>
      </c>
      <c r="L30" s="20" t="n">
        <v>0</v>
      </c>
      <c r="M30" s="18" t="n">
        <v>0</v>
      </c>
      <c r="N30" s="20" t="n">
        <v>0</v>
      </c>
      <c r="O30" s="18" t="n">
        <v>0</v>
      </c>
      <c r="P30" s="20" t="n">
        <v>0</v>
      </c>
      <c r="Q30" s="18" t="n">
        <v>2.02708393</v>
      </c>
      <c r="R30" s="20" t="n">
        <v>0.67557986</v>
      </c>
    </row>
    <row r="31" spans="1:18">
      <c r="A31" s="15" t="s">
        <v>589</v>
      </c>
      <c r="B31" s="17" t="n">
        <v>2706</v>
      </c>
      <c r="C31" s="18">
        <f>(2068.0/B31*100)</f>
        <v/>
      </c>
      <c r="D31" s="19" t="n">
        <v>638</v>
      </c>
      <c r="E31" s="18" t="n">
        <v>53.43979117</v>
      </c>
      <c r="F31" s="20" t="n">
        <v>1.74239704</v>
      </c>
      <c r="G31" s="18" t="n">
        <v>45.49894582</v>
      </c>
      <c r="H31" s="20" t="n">
        <v>1.74722064</v>
      </c>
      <c r="I31" s="18" t="n">
        <v>0</v>
      </c>
      <c r="J31" s="20" t="n">
        <v>0</v>
      </c>
      <c r="K31" s="18" t="n">
        <v>0</v>
      </c>
      <c r="L31" s="20" t="n">
        <v>0</v>
      </c>
      <c r="M31" s="18" t="n">
        <v>0</v>
      </c>
      <c r="N31" s="20" t="n">
        <v>0</v>
      </c>
      <c r="O31" s="18" t="n">
        <v>0</v>
      </c>
      <c r="P31" s="20" t="n">
        <v>0</v>
      </c>
      <c r="Q31" s="18" t="n">
        <v>1.06126301</v>
      </c>
      <c r="R31" s="20" t="n">
        <v>0.52130809</v>
      </c>
    </row>
    <row r="32" spans="1:18">
      <c r="A32" s="15" t="s">
        <v>590</v>
      </c>
      <c r="B32" s="17" t="n">
        <v>2209</v>
      </c>
      <c r="C32" s="18">
        <f>(1700.0/B32*100)</f>
        <v/>
      </c>
      <c r="D32" s="19" t="n">
        <v>509</v>
      </c>
      <c r="E32" s="18" t="n">
        <v>55.10745738</v>
      </c>
      <c r="F32" s="20" t="n">
        <v>2.25398047</v>
      </c>
      <c r="G32" s="18" t="n">
        <v>43.98484627</v>
      </c>
      <c r="H32" s="20" t="n">
        <v>2.1919386</v>
      </c>
      <c r="I32" s="18" t="n">
        <v>0</v>
      </c>
      <c r="J32" s="20" t="n">
        <v>0</v>
      </c>
      <c r="K32" s="18" t="n">
        <v>0</v>
      </c>
      <c r="L32" s="20" t="n">
        <v>0</v>
      </c>
      <c r="M32" s="18" t="n">
        <v>0</v>
      </c>
      <c r="N32" s="20" t="n">
        <v>0</v>
      </c>
      <c r="O32" s="18" t="n">
        <v>0</v>
      </c>
      <c r="P32" s="20" t="n">
        <v>0</v>
      </c>
      <c r="Q32" s="18" t="n">
        <v>0.90769635</v>
      </c>
      <c r="R32" s="20" t="n">
        <v>0.40113558</v>
      </c>
    </row>
    <row r="33" spans="1:18">
      <c r="A33" s="15" t="s">
        <v>591</v>
      </c>
      <c r="B33" s="17" t="n">
        <v>3651</v>
      </c>
      <c r="C33" s="18">
        <f>(2817.0/B33*100)</f>
        <v/>
      </c>
      <c r="D33" s="19" t="n">
        <v>834</v>
      </c>
      <c r="E33" s="18" t="n">
        <v>51.48865459</v>
      </c>
      <c r="F33" s="20" t="n">
        <v>2.15879836</v>
      </c>
      <c r="G33" s="18" t="n">
        <v>47.46237057</v>
      </c>
      <c r="H33" s="20" t="n">
        <v>2.25202114</v>
      </c>
      <c r="I33" s="18" t="n">
        <v>0</v>
      </c>
      <c r="J33" s="20" t="n">
        <v>0</v>
      </c>
      <c r="K33" s="18" t="n">
        <v>0</v>
      </c>
      <c r="L33" s="20" t="n">
        <v>0</v>
      </c>
      <c r="M33" s="18" t="n">
        <v>0</v>
      </c>
      <c r="N33" s="20" t="n">
        <v>0</v>
      </c>
      <c r="O33" s="18" t="n">
        <v>0</v>
      </c>
      <c r="P33" s="20" t="n">
        <v>0</v>
      </c>
      <c r="Q33" s="18" t="n">
        <v>1.04897485</v>
      </c>
      <c r="R33" s="20" t="n">
        <v>0.43144935</v>
      </c>
    </row>
    <row r="34" spans="1:18">
      <c r="A34" s="15" t="s">
        <v>592</v>
      </c>
      <c r="B34" s="17" t="n">
        <v>3035</v>
      </c>
      <c r="C34" s="18">
        <f>(2411.0/B34*100)</f>
        <v/>
      </c>
      <c r="D34" s="19" t="n">
        <v>624</v>
      </c>
      <c r="E34" s="18" t="n">
        <v>64.69377896</v>
      </c>
      <c r="F34" s="20" t="n">
        <v>1.97970796</v>
      </c>
      <c r="G34" s="18" t="n">
        <v>33.03898886</v>
      </c>
      <c r="H34" s="20" t="n">
        <v>1.89517174</v>
      </c>
      <c r="I34" s="18" t="n">
        <v>0</v>
      </c>
      <c r="J34" s="20" t="n">
        <v>0</v>
      </c>
      <c r="K34" s="18" t="n">
        <v>0.13859685</v>
      </c>
      <c r="L34" s="20" t="n">
        <v>0.14441316</v>
      </c>
      <c r="M34" s="18" t="n">
        <v>0</v>
      </c>
      <c r="N34" s="20" t="n">
        <v>0</v>
      </c>
      <c r="O34" s="18" t="n">
        <v>0</v>
      </c>
      <c r="P34" s="20" t="n">
        <v>0</v>
      </c>
      <c r="Q34" s="18" t="n">
        <v>2.12863533</v>
      </c>
      <c r="R34" s="20" t="n">
        <v>0.66204924</v>
      </c>
    </row>
    <row r="35" spans="1:18">
      <c r="A35" s="15" t="s">
        <v>593</v>
      </c>
      <c r="B35" s="17" t="n">
        <v>2901</v>
      </c>
      <c r="C35" s="18">
        <f>(2274.0/B35*100)</f>
        <v/>
      </c>
      <c r="D35" s="19" t="n">
        <v>627</v>
      </c>
      <c r="E35" s="18" t="n">
        <v>51.41061949</v>
      </c>
      <c r="F35" s="20" t="n">
        <v>2.27374069</v>
      </c>
      <c r="G35" s="18" t="n">
        <v>47.86872271</v>
      </c>
      <c r="H35" s="20" t="n">
        <v>2.29261321</v>
      </c>
      <c r="I35" s="18" t="n">
        <v>0</v>
      </c>
      <c r="J35" s="20" t="n">
        <v>0</v>
      </c>
      <c r="K35" s="18" t="n">
        <v>0</v>
      </c>
      <c r="L35" s="20" t="n">
        <v>0</v>
      </c>
      <c r="M35" s="18" t="n">
        <v>0</v>
      </c>
      <c r="N35" s="20" t="n">
        <v>0</v>
      </c>
      <c r="O35" s="18" t="n">
        <v>0</v>
      </c>
      <c r="P35" s="20" t="n">
        <v>0</v>
      </c>
      <c r="Q35" s="18" t="n">
        <v>0.7206578</v>
      </c>
      <c r="R35" s="20" t="n">
        <v>0.31693816</v>
      </c>
    </row>
    <row r="36" spans="1:18">
      <c r="A36" s="15" t="s">
        <v>594</v>
      </c>
      <c r="B36" s="17" t="n">
        <v>3404</v>
      </c>
      <c r="C36" s="18">
        <f>(2658.0/B36*100)</f>
        <v/>
      </c>
      <c r="D36" s="19" t="n">
        <v>746</v>
      </c>
      <c r="E36" s="18" t="n">
        <v>49.49165876</v>
      </c>
      <c r="F36" s="20" t="n">
        <v>1.76330329</v>
      </c>
      <c r="G36" s="18" t="n">
        <v>49.52788606</v>
      </c>
      <c r="H36" s="20" t="n">
        <v>1.72639116</v>
      </c>
      <c r="I36" s="18" t="n">
        <v>0</v>
      </c>
      <c r="J36" s="20" t="n">
        <v>0</v>
      </c>
      <c r="K36" s="18" t="n">
        <v>0</v>
      </c>
      <c r="L36" s="20" t="n">
        <v>0</v>
      </c>
      <c r="M36" s="18" t="n">
        <v>0</v>
      </c>
      <c r="N36" s="20" t="n">
        <v>0</v>
      </c>
      <c r="O36" s="18" t="n">
        <v>0</v>
      </c>
      <c r="P36" s="20" t="n">
        <v>0</v>
      </c>
      <c r="Q36" s="18" t="n">
        <v>0.98045518</v>
      </c>
      <c r="R36" s="20" t="n">
        <v>0.48840244</v>
      </c>
    </row>
    <row r="37" spans="1:18">
      <c r="A37" s="15" t="s">
        <v>595</v>
      </c>
      <c r="B37" s="17" t="n">
        <v>2731</v>
      </c>
      <c r="C37" s="18">
        <f>(2146.0/B37*100)</f>
        <v/>
      </c>
      <c r="D37" s="19" t="n">
        <v>585</v>
      </c>
      <c r="E37" s="18" t="n">
        <v>56.08836164</v>
      </c>
      <c r="F37" s="20" t="n">
        <v>2.27625812</v>
      </c>
      <c r="G37" s="18" t="n">
        <v>41.66519466</v>
      </c>
      <c r="H37" s="20" t="n">
        <v>2.18117658</v>
      </c>
      <c r="I37" s="18" t="n">
        <v>0</v>
      </c>
      <c r="J37" s="20" t="n">
        <v>0</v>
      </c>
      <c r="K37" s="18" t="n">
        <v>0.19525079</v>
      </c>
      <c r="L37" s="20" t="n">
        <v>0.19457528</v>
      </c>
      <c r="M37" s="18" t="n">
        <v>0</v>
      </c>
      <c r="N37" s="20" t="n">
        <v>0</v>
      </c>
      <c r="O37" s="18" t="n">
        <v>0</v>
      </c>
      <c r="P37" s="20" t="n">
        <v>0</v>
      </c>
      <c r="Q37" s="18" t="n">
        <v>2.05119291</v>
      </c>
      <c r="R37" s="20" t="n">
        <v>0.6411405100000001</v>
      </c>
    </row>
    <row r="38" spans="1:18">
      <c r="A38" s="15" t="s">
        <v>596</v>
      </c>
      <c r="B38" s="17" t="n">
        <v>2807</v>
      </c>
      <c r="C38" s="18">
        <f>(2183.0/B38*100)</f>
        <v/>
      </c>
      <c r="D38" s="19" t="n">
        <v>624</v>
      </c>
      <c r="E38" s="18" t="n">
        <v>53.9153797</v>
      </c>
      <c r="F38" s="20" t="n">
        <v>2.84506271</v>
      </c>
      <c r="G38" s="18" t="n">
        <v>44.13861387</v>
      </c>
      <c r="H38" s="20" t="n">
        <v>2.82430596</v>
      </c>
      <c r="I38" s="18" t="n">
        <v>0</v>
      </c>
      <c r="J38" s="20" t="n">
        <v>0</v>
      </c>
      <c r="K38" s="18" t="n">
        <v>0.14682372</v>
      </c>
      <c r="L38" s="20" t="n">
        <v>0.11883321</v>
      </c>
      <c r="M38" s="18" t="n">
        <v>0</v>
      </c>
      <c r="N38" s="20" t="n">
        <v>0</v>
      </c>
      <c r="O38" s="18" t="n">
        <v>0</v>
      </c>
      <c r="P38" s="20" t="n">
        <v>0</v>
      </c>
      <c r="Q38" s="18" t="n">
        <v>1.79918272</v>
      </c>
      <c r="R38" s="20" t="n">
        <v>0.7126386</v>
      </c>
    </row>
    <row r="39" spans="1:18">
      <c r="A39" s="15" t="s">
        <v>597</v>
      </c>
      <c r="B39" s="17" t="n">
        <v>2938</v>
      </c>
      <c r="C39" s="18">
        <f>(2309.0/B39*100)</f>
        <v/>
      </c>
      <c r="D39" s="19" t="n">
        <v>629</v>
      </c>
      <c r="E39" s="18" t="n">
        <v>76.49664371</v>
      </c>
      <c r="F39" s="20" t="n">
        <v>2.49831781</v>
      </c>
      <c r="G39" s="18" t="n">
        <v>21.6812941</v>
      </c>
      <c r="H39" s="20" t="n">
        <v>2.548862</v>
      </c>
      <c r="I39" s="18" t="n">
        <v>0</v>
      </c>
      <c r="J39" s="20" t="n">
        <v>0</v>
      </c>
      <c r="K39" s="18" t="n">
        <v>0</v>
      </c>
      <c r="L39" s="20" t="n">
        <v>0</v>
      </c>
      <c r="M39" s="18" t="n">
        <v>0</v>
      </c>
      <c r="N39" s="20" t="n">
        <v>0</v>
      </c>
      <c r="O39" s="18" t="n">
        <v>0</v>
      </c>
      <c r="P39" s="20" t="n">
        <v>0</v>
      </c>
      <c r="Q39" s="18" t="n">
        <v>1.82206219</v>
      </c>
      <c r="R39" s="20" t="n">
        <v>0.70203095</v>
      </c>
    </row>
    <row r="40" spans="1:18">
      <c r="A40" s="15" t="s">
        <v>598</v>
      </c>
      <c r="B40" s="17" t="n">
        <v>6922</v>
      </c>
      <c r="C40" s="18">
        <f>(5327.0/B40*100)</f>
        <v/>
      </c>
      <c r="D40" s="19" t="n">
        <v>1595</v>
      </c>
      <c r="E40" s="18" t="n">
        <v>35.69708602</v>
      </c>
      <c r="F40" s="20" t="n">
        <v>1.75551712</v>
      </c>
      <c r="G40" s="18" t="n">
        <v>63.08771439</v>
      </c>
      <c r="H40" s="20" t="n">
        <v>1.68373516</v>
      </c>
      <c r="I40" s="18" t="n">
        <v>0</v>
      </c>
      <c r="J40" s="20" t="n">
        <v>0</v>
      </c>
      <c r="K40" s="18" t="n">
        <v>0</v>
      </c>
      <c r="L40" s="20" t="n">
        <v>0</v>
      </c>
      <c r="M40" s="18" t="n">
        <v>0</v>
      </c>
      <c r="N40" s="20" t="n">
        <v>0</v>
      </c>
      <c r="O40" s="18" t="n">
        <v>0</v>
      </c>
      <c r="P40" s="20" t="n">
        <v>0</v>
      </c>
      <c r="Q40" s="18" t="n">
        <v>1.21519958</v>
      </c>
      <c r="R40" s="20" t="n">
        <v>0.41364719</v>
      </c>
    </row>
    <row r="41" spans="1:18">
      <c r="A41" s="15" t="s">
        <v>599</v>
      </c>
      <c r="B41" s="17" t="n">
        <v>2854</v>
      </c>
      <c r="C41" s="18">
        <f>(2202.0/B41*100)</f>
        <v/>
      </c>
      <c r="D41" s="19" t="n">
        <v>652</v>
      </c>
      <c r="E41" s="18" t="n">
        <v>34.76862278</v>
      </c>
      <c r="F41" s="20" t="n">
        <v>1.79428288</v>
      </c>
      <c r="G41" s="18" t="n">
        <v>62.40749505</v>
      </c>
      <c r="H41" s="20" t="n">
        <v>2.01670707</v>
      </c>
      <c r="I41" s="18" t="n">
        <v>0</v>
      </c>
      <c r="J41" s="20" t="n">
        <v>0</v>
      </c>
      <c r="K41" s="18" t="n">
        <v>0.15382121</v>
      </c>
      <c r="L41" s="20" t="n">
        <v>0.14877652</v>
      </c>
      <c r="M41" s="18" t="n">
        <v>0</v>
      </c>
      <c r="N41" s="20" t="n">
        <v>0</v>
      </c>
      <c r="O41" s="18" t="n">
        <v>0</v>
      </c>
      <c r="P41" s="20" t="n">
        <v>0</v>
      </c>
      <c r="Q41" s="18" t="n">
        <v>2.67006097</v>
      </c>
      <c r="R41" s="20" t="n">
        <v>0.71448011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(9733.0/B46*100)</f>
        <v/>
      </c>
      <c r="D46" s="19" t="n">
        <v>2340</v>
      </c>
      <c r="E46" s="18" t="n">
        <v>75.25897839</v>
      </c>
      <c r="F46" s="20" t="n">
        <v>1.17648645</v>
      </c>
      <c r="G46" s="18" t="n">
        <v>18.96697978</v>
      </c>
      <c r="H46" s="20" t="n">
        <v>1.15505929</v>
      </c>
      <c r="I46" s="18" t="n">
        <v>0</v>
      </c>
      <c r="J46" s="20" t="n">
        <v>0</v>
      </c>
      <c r="K46" s="18" t="n">
        <v>0.4914399</v>
      </c>
      <c r="L46" s="20" t="n">
        <v>0.25045528</v>
      </c>
      <c r="M46" s="18" t="n">
        <v>0</v>
      </c>
      <c r="N46" s="20" t="n">
        <v>0</v>
      </c>
      <c r="O46" s="18" t="n">
        <v>0</v>
      </c>
      <c r="P46" s="20" t="n">
        <v>0</v>
      </c>
      <c r="Q46" s="18" t="n">
        <v>5.28260193</v>
      </c>
      <c r="R46" s="20" t="n">
        <v>0.63872088</v>
      </c>
    </row>
    <row r="47" spans="1:18">
      <c r="A47" s="15" t="s">
        <v>606</v>
      </c>
      <c r="B47" s="17" t="n">
        <v>2823</v>
      </c>
      <c r="C47" s="18">
        <f>(2191.0/B47*100)</f>
        <v/>
      </c>
      <c r="D47" s="19" t="n">
        <v>632</v>
      </c>
      <c r="E47" s="18" t="n">
        <v>64.90218608000001</v>
      </c>
      <c r="F47" s="20" t="n">
        <v>1.86081105</v>
      </c>
      <c r="G47" s="18" t="n">
        <v>31.92127867</v>
      </c>
      <c r="H47" s="20" t="n">
        <v>1.97660025</v>
      </c>
      <c r="I47" s="18" t="n">
        <v>0</v>
      </c>
      <c r="J47" s="20" t="n">
        <v>0</v>
      </c>
      <c r="K47" s="18" t="n">
        <v>0.14794614</v>
      </c>
      <c r="L47" s="20" t="n">
        <v>0.1485355</v>
      </c>
      <c r="M47" s="18" t="n">
        <v>0</v>
      </c>
      <c r="N47" s="20" t="n">
        <v>0</v>
      </c>
      <c r="O47" s="18" t="n">
        <v>0</v>
      </c>
      <c r="P47" s="20" t="n">
        <v>0</v>
      </c>
      <c r="Q47" s="18" t="n">
        <v>3.02858911</v>
      </c>
      <c r="R47" s="20" t="n">
        <v>0.67667803</v>
      </c>
    </row>
    <row r="48" spans="1:18">
      <c r="A48" s="15" t="s">
        <v>607</v>
      </c>
      <c r="B48" s="17" t="n">
        <v>4682</v>
      </c>
      <c r="C48" s="18">
        <f>(3629.0/B48*100)</f>
        <v/>
      </c>
      <c r="D48" s="19" t="n">
        <v>1053</v>
      </c>
      <c r="E48" s="18" t="n">
        <v>44.56210848</v>
      </c>
      <c r="F48" s="20" t="n">
        <v>2.2184342</v>
      </c>
      <c r="G48" s="18" t="n">
        <v>53.04191086</v>
      </c>
      <c r="H48" s="20" t="n">
        <v>2.24875776</v>
      </c>
      <c r="I48" s="18" t="n">
        <v>0</v>
      </c>
      <c r="J48" s="20" t="n">
        <v>0</v>
      </c>
      <c r="K48" s="18" t="n">
        <v>0.17064178</v>
      </c>
      <c r="L48" s="20" t="n">
        <v>0.16975156</v>
      </c>
      <c r="M48" s="18" t="n">
        <v>0</v>
      </c>
      <c r="N48" s="20" t="n">
        <v>0</v>
      </c>
      <c r="O48" s="18" t="n">
        <v>0</v>
      </c>
      <c r="P48" s="20" t="n">
        <v>0</v>
      </c>
      <c r="Q48" s="18" t="n">
        <v>2.22533888</v>
      </c>
      <c r="R48" s="20" t="n">
        <v>0.5794058600000001</v>
      </c>
    </row>
    <row r="49" spans="1:18">
      <c r="A49" s="15" t="s">
        <v>608</v>
      </c>
      <c r="B49" s="17" t="n">
        <v>6158</v>
      </c>
      <c r="C49" s="18">
        <f>(4801.0/B49*100)</f>
        <v/>
      </c>
      <c r="D49" s="19" t="n">
        <v>1357</v>
      </c>
      <c r="E49" s="18" t="n">
        <v>79.45544964</v>
      </c>
      <c r="F49" s="20" t="n">
        <v>1.42154681</v>
      </c>
      <c r="G49" s="18" t="n">
        <v>17.15351683</v>
      </c>
      <c r="H49" s="20" t="n">
        <v>1.45094797</v>
      </c>
      <c r="I49" s="18" t="n">
        <v>0</v>
      </c>
      <c r="J49" s="20" t="n">
        <v>0</v>
      </c>
      <c r="K49" s="18" t="n">
        <v>0.11790428</v>
      </c>
      <c r="L49" s="20" t="n">
        <v>0.10151848</v>
      </c>
      <c r="M49" s="18" t="n">
        <v>0</v>
      </c>
      <c r="N49" s="20" t="n">
        <v>0</v>
      </c>
      <c r="O49" s="18" t="n">
        <v>0</v>
      </c>
      <c r="P49" s="20" t="n">
        <v>0</v>
      </c>
      <c r="Q49" s="18" t="n">
        <v>3.27312925</v>
      </c>
      <c r="R49" s="20" t="n">
        <v>0.66181963</v>
      </c>
    </row>
    <row r="50" spans="1:18">
      <c r="A50" s="15" t="s">
        <v>609</v>
      </c>
      <c r="B50" s="17" t="n">
        <v>3494</v>
      </c>
      <c r="C50" s="18">
        <f>(2842.0/B50*100)</f>
        <v/>
      </c>
      <c r="D50" s="19" t="n">
        <v>652</v>
      </c>
      <c r="E50" s="18" t="n">
        <v>87.54812466</v>
      </c>
      <c r="F50" s="20" t="n">
        <v>1.58523497</v>
      </c>
      <c r="G50" s="18" t="n">
        <v>8.489094209999999</v>
      </c>
      <c r="H50" s="20" t="n">
        <v>1.30368893</v>
      </c>
      <c r="I50" s="18" t="n">
        <v>0</v>
      </c>
      <c r="J50" s="20" t="n">
        <v>0</v>
      </c>
      <c r="K50" s="18" t="n">
        <v>0.14713657</v>
      </c>
      <c r="L50" s="20" t="n">
        <v>0.14643649</v>
      </c>
      <c r="M50" s="18" t="n">
        <v>0</v>
      </c>
      <c r="N50" s="20" t="n">
        <v>0</v>
      </c>
      <c r="O50" s="18" t="n">
        <v>0</v>
      </c>
      <c r="P50" s="20" t="n">
        <v>0</v>
      </c>
      <c r="Q50" s="18" t="n">
        <v>3.81564456</v>
      </c>
      <c r="R50" s="20" t="n">
        <v>0.8637390700000001</v>
      </c>
    </row>
    <row r="51" spans="1:18">
      <c r="A51" s="15" t="s">
        <v>610</v>
      </c>
      <c r="B51" s="17" t="n">
        <v>3013</v>
      </c>
      <c r="C51" s="18">
        <f>(2319.0/B51*100)</f>
        <v/>
      </c>
      <c r="D51" s="19" t="n">
        <v>694</v>
      </c>
      <c r="E51" s="18" t="n">
        <v>74.28034572999999</v>
      </c>
      <c r="F51" s="20" t="n">
        <v>1.65536467</v>
      </c>
      <c r="G51" s="18" t="n">
        <v>25.13842112</v>
      </c>
      <c r="H51" s="20" t="n">
        <v>1.55470444</v>
      </c>
      <c r="I51" s="18" t="n">
        <v>0</v>
      </c>
      <c r="J51" s="20" t="n">
        <v>0</v>
      </c>
      <c r="K51" s="18" t="n">
        <v>0</v>
      </c>
      <c r="L51" s="20" t="n">
        <v>0</v>
      </c>
      <c r="M51" s="18" t="n">
        <v>0</v>
      </c>
      <c r="N51" s="20" t="n">
        <v>0</v>
      </c>
      <c r="O51" s="18" t="n">
        <v>0</v>
      </c>
      <c r="P51" s="20" t="n">
        <v>0</v>
      </c>
      <c r="Q51" s="18" t="n">
        <v>0.58123315</v>
      </c>
      <c r="R51" s="20" t="n">
        <v>0.33783776</v>
      </c>
    </row>
    <row r="52" spans="1:18">
      <c r="A52" s="15" t="s">
        <v>611</v>
      </c>
      <c r="B52" s="17" t="n">
        <v>2760</v>
      </c>
      <c r="C52" s="18">
        <f>(2114.0/B52*100)</f>
        <v/>
      </c>
      <c r="D52" s="19" t="n">
        <v>646</v>
      </c>
      <c r="E52" s="18" t="n">
        <v>52.07462764</v>
      </c>
      <c r="F52" s="20" t="n">
        <v>1.69944967</v>
      </c>
      <c r="G52" s="18" t="n">
        <v>43.74643368</v>
      </c>
      <c r="H52" s="20" t="n">
        <v>1.70310798</v>
      </c>
      <c r="I52" s="18" t="n">
        <v>0</v>
      </c>
      <c r="J52" s="20" t="n">
        <v>0</v>
      </c>
      <c r="K52" s="18" t="n">
        <v>0</v>
      </c>
      <c r="L52" s="20" t="n">
        <v>0</v>
      </c>
      <c r="M52" s="18" t="n">
        <v>0</v>
      </c>
      <c r="N52" s="20" t="n">
        <v>0</v>
      </c>
      <c r="O52" s="18" t="n">
        <v>0</v>
      </c>
      <c r="P52" s="20" t="n">
        <v>0</v>
      </c>
      <c r="Q52" s="18" t="n">
        <v>4.17893868</v>
      </c>
      <c r="R52" s="20" t="n">
        <v>0.78589179</v>
      </c>
    </row>
    <row r="53" spans="1:18">
      <c r="A53" s="15" t="s">
        <v>612</v>
      </c>
      <c r="B53" s="17" t="n">
        <v>2474</v>
      </c>
      <c r="C53" s="18">
        <f>(1937.0/B53*100)</f>
        <v/>
      </c>
      <c r="D53" s="19" t="n">
        <v>537</v>
      </c>
      <c r="E53" s="18" t="n">
        <v>84.09446554</v>
      </c>
      <c r="F53" s="20" t="n">
        <v>1.62874151</v>
      </c>
      <c r="G53" s="18" t="n">
        <v>4.03988219</v>
      </c>
      <c r="H53" s="20" t="n">
        <v>0.79554848</v>
      </c>
      <c r="I53" s="18" t="n">
        <v>0</v>
      </c>
      <c r="J53" s="20" t="n">
        <v>0</v>
      </c>
      <c r="K53" s="18" t="n">
        <v>4.22191571</v>
      </c>
      <c r="L53" s="20" t="n">
        <v>0.97614245</v>
      </c>
      <c r="M53" s="18" t="n">
        <v>0</v>
      </c>
      <c r="N53" s="20" t="n">
        <v>0</v>
      </c>
      <c r="O53" s="18" t="n">
        <v>0</v>
      </c>
      <c r="P53" s="20" t="n">
        <v>0</v>
      </c>
      <c r="Q53" s="18" t="n">
        <v>7.64373656</v>
      </c>
      <c r="R53" s="20" t="n">
        <v>1.33360384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(2117.0/B55*100)</f>
        <v/>
      </c>
      <c r="D55" s="19" t="n">
        <v>558</v>
      </c>
      <c r="E55" s="18" t="n">
        <v>44.46533683</v>
      </c>
      <c r="F55" s="20" t="n">
        <v>2.85351995</v>
      </c>
      <c r="G55" s="18" t="n">
        <v>51.18998928</v>
      </c>
      <c r="H55" s="20" t="n">
        <v>2.67262254</v>
      </c>
      <c r="I55" s="18" t="n">
        <v>0</v>
      </c>
      <c r="J55" s="20" t="n">
        <v>0</v>
      </c>
      <c r="K55" s="18" t="n">
        <v>0.16105058</v>
      </c>
      <c r="L55" s="20" t="n">
        <v>0.16535867</v>
      </c>
      <c r="M55" s="18" t="n">
        <v>0</v>
      </c>
      <c r="N55" s="20" t="n">
        <v>0</v>
      </c>
      <c r="O55" s="18" t="n">
        <v>0</v>
      </c>
      <c r="P55" s="20" t="n">
        <v>0</v>
      </c>
      <c r="Q55" s="18" t="n">
        <v>4.18362331</v>
      </c>
      <c r="R55" s="20" t="n">
        <v>0.86415318</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(2491.0/B61*100)</f>
        <v/>
      </c>
      <c r="D61" s="19" t="n">
        <v>710</v>
      </c>
      <c r="E61" s="18" t="n">
        <v>68.11198625</v>
      </c>
      <c r="F61" s="20" t="n">
        <v>2.00303588</v>
      </c>
      <c r="G61" s="18" t="n">
        <v>31.00179176</v>
      </c>
      <c r="H61" s="20" t="n">
        <v>2.03121297</v>
      </c>
      <c r="I61" s="18" t="n">
        <v>0</v>
      </c>
      <c r="J61" s="20" t="n">
        <v>0</v>
      </c>
      <c r="K61" s="18" t="n">
        <v>0</v>
      </c>
      <c r="L61" s="20" t="n">
        <v>0</v>
      </c>
      <c r="M61" s="18" t="n">
        <v>0</v>
      </c>
      <c r="N61" s="20" t="n">
        <v>0</v>
      </c>
      <c r="O61" s="18" t="n">
        <v>0</v>
      </c>
      <c r="P61" s="20" t="n">
        <v>0</v>
      </c>
      <c r="Q61" s="18" t="n">
        <v>0.886222</v>
      </c>
      <c r="R61" s="20" t="n">
        <v>0.37265474</v>
      </c>
    </row>
    <row r="62" spans="1:18">
      <c r="A62" s="15" t="s">
        <v>622</v>
      </c>
      <c r="B62" s="17" t="n">
        <v>2230</v>
      </c>
      <c r="C62" s="18">
        <f>(1754.0/B62*100)</f>
        <v/>
      </c>
      <c r="D62" s="19" t="n">
        <v>476</v>
      </c>
      <c r="E62" s="18" t="n">
        <v>42.03639896</v>
      </c>
      <c r="F62" s="20" t="n">
        <v>2.19444841</v>
      </c>
      <c r="G62" s="18" t="n">
        <v>57.33820224</v>
      </c>
      <c r="H62" s="20" t="n">
        <v>2.1330206</v>
      </c>
      <c r="I62" s="18" t="n">
        <v>0</v>
      </c>
      <c r="J62" s="20" t="n">
        <v>0</v>
      </c>
      <c r="K62" s="18" t="n">
        <v>0</v>
      </c>
      <c r="L62" s="20" t="n">
        <v>0</v>
      </c>
      <c r="M62" s="18" t="n">
        <v>0</v>
      </c>
      <c r="N62" s="20" t="n">
        <v>0</v>
      </c>
      <c r="O62" s="18" t="n">
        <v>0</v>
      </c>
      <c r="P62" s="20" t="n">
        <v>0</v>
      </c>
      <c r="Q62" s="18" t="n">
        <v>0.6253988</v>
      </c>
      <c r="R62" s="20" t="n">
        <v>0.36624277</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(2162.0/B67*100)</f>
        <v/>
      </c>
      <c r="D67" s="19" t="n">
        <v>609</v>
      </c>
      <c r="E67" s="18" t="n">
        <v>77.85081282</v>
      </c>
      <c r="F67" s="20" t="n">
        <v>1.70463683</v>
      </c>
      <c r="G67" s="18" t="n">
        <v>18.71173538</v>
      </c>
      <c r="H67" s="20" t="n">
        <v>1.60227157</v>
      </c>
      <c r="I67" s="18" t="n">
        <v>0</v>
      </c>
      <c r="J67" s="20" t="n">
        <v>0</v>
      </c>
      <c r="K67" s="18" t="n">
        <v>0</v>
      </c>
      <c r="L67" s="20" t="n">
        <v>0</v>
      </c>
      <c r="M67" s="18" t="n">
        <v>0</v>
      </c>
      <c r="N67" s="20" t="n">
        <v>0</v>
      </c>
      <c r="O67" s="18" t="n">
        <v>0</v>
      </c>
      <c r="P67" s="20" t="n">
        <v>0</v>
      </c>
      <c r="Q67" s="18" t="n">
        <v>3.4374518</v>
      </c>
      <c r="R67" s="20" t="n">
        <v>0.59978283</v>
      </c>
    </row>
    <row r="68" spans="1:18">
      <c r="A68" s="15" t="s">
        <v>628</v>
      </c>
      <c r="B68" s="17" t="n">
        <v>3460</v>
      </c>
      <c r="C68" s="18">
        <f>(2726.0/B68*100)</f>
        <v/>
      </c>
      <c r="D68" s="19" t="n">
        <v>734</v>
      </c>
      <c r="E68" s="18" t="n">
        <v>78.60278895</v>
      </c>
      <c r="F68" s="20" t="n">
        <v>1.76396182</v>
      </c>
      <c r="G68" s="18" t="n">
        <v>14.74788802</v>
      </c>
      <c r="H68" s="20" t="n">
        <v>1.57396063</v>
      </c>
      <c r="I68" s="18" t="n">
        <v>0</v>
      </c>
      <c r="J68" s="20" t="n">
        <v>0</v>
      </c>
      <c r="K68" s="18" t="n">
        <v>0</v>
      </c>
      <c r="L68" s="20" t="n">
        <v>0</v>
      </c>
      <c r="M68" s="18" t="n">
        <v>0</v>
      </c>
      <c r="N68" s="20" t="n">
        <v>0</v>
      </c>
      <c r="O68" s="18" t="n">
        <v>0</v>
      </c>
      <c r="P68" s="20" t="n">
        <v>0</v>
      </c>
      <c r="Q68" s="18" t="n">
        <v>6.64932303</v>
      </c>
      <c r="R68" s="20" t="n">
        <v>0.87894423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(4683.0/B70*100)</f>
        <v/>
      </c>
      <c r="D70" s="19" t="n">
        <v>1351</v>
      </c>
      <c r="E70" s="18" t="n">
        <v>59.90087228</v>
      </c>
      <c r="F70" s="20" t="n">
        <v>1.50681953</v>
      </c>
      <c r="G70" s="18" t="n">
        <v>35.61559076</v>
      </c>
      <c r="H70" s="20" t="n">
        <v>1.49210567</v>
      </c>
      <c r="I70" s="18" t="n">
        <v>0</v>
      </c>
      <c r="J70" s="20" t="n">
        <v>0</v>
      </c>
      <c r="K70" s="18" t="n">
        <v>0.29161879</v>
      </c>
      <c r="L70" s="20" t="n">
        <v>0.14586203</v>
      </c>
      <c r="M70" s="18" t="n">
        <v>0</v>
      </c>
      <c r="N70" s="20" t="n">
        <v>0</v>
      </c>
      <c r="O70" s="18" t="n">
        <v>0</v>
      </c>
      <c r="P70" s="20" t="n">
        <v>0</v>
      </c>
      <c r="Q70" s="18" t="n">
        <v>4.19191817</v>
      </c>
      <c r="R70" s="20" t="n">
        <v>0.48807942</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(2402.0/B72*100)</f>
        <v/>
      </c>
      <c r="D72" s="19" t="n">
        <v>705</v>
      </c>
      <c r="E72" s="18" t="n">
        <v>65.71530362999999</v>
      </c>
      <c r="F72" s="20" t="n">
        <v>1.75379763</v>
      </c>
      <c r="G72" s="18" t="n">
        <v>31.63587207</v>
      </c>
      <c r="H72" s="20" t="n">
        <v>1.71178204</v>
      </c>
      <c r="I72" s="18" t="n">
        <v>0</v>
      </c>
      <c r="J72" s="20" t="n">
        <v>0</v>
      </c>
      <c r="K72" s="18" t="n">
        <v>0.12195132</v>
      </c>
      <c r="L72" s="20" t="n">
        <v>0.12341587</v>
      </c>
      <c r="M72" s="18" t="n">
        <v>0</v>
      </c>
      <c r="N72" s="20" t="n">
        <v>0</v>
      </c>
      <c r="O72" s="18" t="n">
        <v>0</v>
      </c>
      <c r="P72" s="20" t="n">
        <v>0</v>
      </c>
      <c r="Q72" s="18" t="n">
        <v>2.52687298</v>
      </c>
      <c r="R72" s="20" t="n">
        <v>0.58500191</v>
      </c>
    </row>
    <row r="73" spans="1:18">
      <c r="A73" s="15" t="s">
        <v>633</v>
      </c>
      <c r="B73" s="17" t="n">
        <v>2973</v>
      </c>
      <c r="C73" s="18">
        <f>(2318.0/B73*100)</f>
        <v/>
      </c>
      <c r="D73" s="19" t="n">
        <v>655</v>
      </c>
      <c r="E73" s="18" t="n">
        <v>20.79490295</v>
      </c>
      <c r="F73" s="20" t="n">
        <v>1.5550273</v>
      </c>
      <c r="G73" s="18" t="n">
        <v>78.46572306</v>
      </c>
      <c r="H73" s="20" t="n">
        <v>1.58508215</v>
      </c>
      <c r="I73" s="18" t="n">
        <v>0</v>
      </c>
      <c r="J73" s="20" t="n">
        <v>0</v>
      </c>
      <c r="K73" s="18" t="n">
        <v>0</v>
      </c>
      <c r="L73" s="20" t="n">
        <v>0</v>
      </c>
      <c r="M73" s="18" t="n">
        <v>0</v>
      </c>
      <c r="N73" s="20" t="n">
        <v>0</v>
      </c>
      <c r="O73" s="18" t="n">
        <v>0</v>
      </c>
      <c r="P73" s="20" t="n">
        <v>0</v>
      </c>
      <c r="Q73" s="18" t="n">
        <v>0.73937399</v>
      </c>
      <c r="R73" s="20" t="n">
        <v>0.30951536</v>
      </c>
    </row>
    <row r="74" spans="1:18">
      <c r="A74" s="15" t="s">
        <v>634</v>
      </c>
      <c r="B74" s="17" t="n">
        <v>3819</v>
      </c>
      <c r="C74" s="18">
        <f>(3002.0/B74*100)</f>
        <v/>
      </c>
      <c r="D74" s="19" t="n">
        <v>817</v>
      </c>
      <c r="E74" s="18" t="n">
        <v>29.37362129</v>
      </c>
      <c r="F74" s="20" t="n">
        <v>2.03694336</v>
      </c>
      <c r="G74" s="18" t="n">
        <v>68.57358105</v>
      </c>
      <c r="H74" s="20" t="n">
        <v>2.04222475</v>
      </c>
      <c r="I74" s="18" t="n">
        <v>0</v>
      </c>
      <c r="J74" s="20" t="n">
        <v>0</v>
      </c>
      <c r="K74" s="18" t="n">
        <v>0</v>
      </c>
      <c r="L74" s="20" t="n">
        <v>0</v>
      </c>
      <c r="M74" s="18" t="n">
        <v>0</v>
      </c>
      <c r="N74" s="20" t="n">
        <v>0</v>
      </c>
      <c r="O74" s="18" t="n">
        <v>0</v>
      </c>
      <c r="P74" s="20" t="n">
        <v>0</v>
      </c>
      <c r="Q74" s="18" t="n">
        <v>2.05279765</v>
      </c>
      <c r="R74" s="20" t="n">
        <v>0.51553741</v>
      </c>
    </row>
    <row r="75" spans="1:18">
      <c r="A75" s="15" t="s">
        <v>635</v>
      </c>
      <c r="B75" s="17" t="n">
        <v>4652</v>
      </c>
      <c r="C75" s="18">
        <f>(3646.0/B75*100)</f>
        <v/>
      </c>
      <c r="D75" s="19" t="n">
        <v>1006</v>
      </c>
      <c r="E75" s="18" t="n">
        <v>60.5299571</v>
      </c>
      <c r="F75" s="20" t="n">
        <v>1.89501981</v>
      </c>
      <c r="G75" s="18" t="n">
        <v>33.07154922</v>
      </c>
      <c r="H75" s="20" t="n">
        <v>1.95454605</v>
      </c>
      <c r="I75" s="18" t="n">
        <v>0</v>
      </c>
      <c r="J75" s="20" t="n">
        <v>0</v>
      </c>
      <c r="K75" s="18" t="n">
        <v>0</v>
      </c>
      <c r="L75" s="20" t="n">
        <v>0</v>
      </c>
      <c r="M75" s="18" t="n">
        <v>0</v>
      </c>
      <c r="N75" s="20" t="n">
        <v>0</v>
      </c>
      <c r="O75" s="18" t="n">
        <v>0</v>
      </c>
      <c r="P75" s="20" t="n">
        <v>0</v>
      </c>
      <c r="Q75" s="18" t="n">
        <v>6.39849368</v>
      </c>
      <c r="R75" s="20" t="n">
        <v>0.840272</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(2381.0/B77*100)</f>
        <v/>
      </c>
      <c r="D77" s="19" t="n">
        <v>588</v>
      </c>
      <c r="E77" s="18" t="n">
        <v>82.52054437</v>
      </c>
      <c r="F77" s="20" t="n">
        <v>1.82321668</v>
      </c>
      <c r="G77" s="18" t="n">
        <v>12.69201533</v>
      </c>
      <c r="H77" s="20" t="n">
        <v>1.71363624</v>
      </c>
      <c r="I77" s="18" t="n">
        <v>0</v>
      </c>
      <c r="J77" s="20" t="n">
        <v>0</v>
      </c>
      <c r="K77" s="18" t="n">
        <v>1.44871596</v>
      </c>
      <c r="L77" s="20" t="n">
        <v>0.52506837</v>
      </c>
      <c r="M77" s="18" t="n">
        <v>0</v>
      </c>
      <c r="N77" s="20" t="n">
        <v>0</v>
      </c>
      <c r="O77" s="18" t="n">
        <v>0</v>
      </c>
      <c r="P77" s="20" t="n">
        <v>0</v>
      </c>
      <c r="Q77" s="18" t="n">
        <v>3.33872435</v>
      </c>
      <c r="R77" s="20" t="n">
        <v>0.79604619</v>
      </c>
    </row>
    <row r="78" spans="1:18">
      <c r="A78" s="15" t="s">
        <v>638</v>
      </c>
      <c r="B78" s="17" t="n">
        <v>7115</v>
      </c>
      <c r="C78" s="18">
        <f>(5600.0/B78*100)</f>
        <v/>
      </c>
      <c r="D78" s="19" t="n">
        <v>1515</v>
      </c>
      <c r="E78" s="18" t="n">
        <v>58.77811639</v>
      </c>
      <c r="F78" s="20" t="n">
        <v>1.58462638</v>
      </c>
      <c r="G78" s="18" t="n">
        <v>38.64155798</v>
      </c>
      <c r="H78" s="20" t="n">
        <v>1.77837052</v>
      </c>
      <c r="I78" s="18" t="n">
        <v>0</v>
      </c>
      <c r="J78" s="20" t="n">
        <v>0</v>
      </c>
      <c r="K78" s="18" t="n">
        <v>0.16004991</v>
      </c>
      <c r="L78" s="20" t="n">
        <v>0.10635588</v>
      </c>
      <c r="M78" s="18" t="n">
        <v>0</v>
      </c>
      <c r="N78" s="20" t="n">
        <v>0</v>
      </c>
      <c r="O78" s="18" t="n">
        <v>0</v>
      </c>
      <c r="P78" s="20" t="n">
        <v>0</v>
      </c>
      <c r="Q78" s="18" t="n">
        <v>2.42027572</v>
      </c>
      <c r="R78" s="20" t="n">
        <v>0.4457947</v>
      </c>
    </row>
    <row r="79" spans="1:18">
      <c r="A79" s="15" t="s">
        <v>639</v>
      </c>
      <c r="B79" s="17" t="n">
        <v>3154</v>
      </c>
      <c r="C79" s="18">
        <f>(2441.0/B79*100)</f>
        <v/>
      </c>
      <c r="D79" s="19" t="n">
        <v>713</v>
      </c>
      <c r="E79" s="18" t="n">
        <v>70.73136481</v>
      </c>
      <c r="F79" s="20" t="n">
        <v>1.77395007</v>
      </c>
      <c r="G79" s="18" t="n">
        <v>27.16580232</v>
      </c>
      <c r="H79" s="20" t="n">
        <v>1.77121955</v>
      </c>
      <c r="I79" s="18" t="n">
        <v>0</v>
      </c>
      <c r="J79" s="20" t="n">
        <v>0</v>
      </c>
      <c r="K79" s="18" t="n">
        <v>0</v>
      </c>
      <c r="L79" s="20" t="n">
        <v>0</v>
      </c>
      <c r="M79" s="18" t="n">
        <v>0</v>
      </c>
      <c r="N79" s="20" t="n">
        <v>0</v>
      </c>
      <c r="O79" s="18" t="n">
        <v>0</v>
      </c>
      <c r="P79" s="20" t="n">
        <v>0</v>
      </c>
      <c r="Q79" s="18" t="n">
        <v>2.10283287</v>
      </c>
      <c r="R79" s="20" t="n">
        <v>0.6093842900000001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(12485.0/B82*100)</f>
        <v/>
      </c>
      <c r="D82" s="19" t="n">
        <v>3476</v>
      </c>
      <c r="E82" s="18" t="n">
        <v>48.69962431</v>
      </c>
      <c r="F82" s="20" t="n">
        <v>1.25058405</v>
      </c>
      <c r="G82" s="18" t="n">
        <v>49.68418284</v>
      </c>
      <c r="H82" s="20" t="n">
        <v>1.20269294</v>
      </c>
      <c r="I82" s="18" t="n">
        <v>0</v>
      </c>
      <c r="J82" s="20" t="n">
        <v>0</v>
      </c>
      <c r="K82" s="18" t="n">
        <v>0.08586858999999999</v>
      </c>
      <c r="L82" s="20" t="n">
        <v>0.05814507</v>
      </c>
      <c r="M82" s="18" t="n">
        <v>0</v>
      </c>
      <c r="N82" s="20" t="n">
        <v>0</v>
      </c>
      <c r="O82" s="18" t="n">
        <v>0</v>
      </c>
      <c r="P82" s="20" t="n">
        <v>0</v>
      </c>
      <c r="Q82" s="18" t="n">
        <v>1.53032426</v>
      </c>
      <c r="R82" s="20" t="n">
        <v>0.32062287</v>
      </c>
    </row>
    <row r="83" spans="1:18">
      <c r="A83" s="15" t="s">
        <v>643</v>
      </c>
      <c r="B83" s="17" t="n">
        <v>808</v>
      </c>
      <c r="C83" s="18">
        <f>(641.0/B83*100)</f>
        <v/>
      </c>
      <c r="D83" s="19" t="n">
        <v>167</v>
      </c>
      <c r="E83" s="18" t="n">
        <v>24.76130814</v>
      </c>
      <c r="F83" s="20" t="n">
        <v>4.38426752</v>
      </c>
      <c r="G83" s="18" t="n">
        <v>73.84832474</v>
      </c>
      <c r="H83" s="20" t="n">
        <v>4.72961135</v>
      </c>
      <c r="I83" s="18" t="n">
        <v>0</v>
      </c>
      <c r="J83" s="20" t="n">
        <v>0</v>
      </c>
      <c r="K83" s="18" t="n">
        <v>0</v>
      </c>
      <c r="L83" s="20" t="n">
        <v>0</v>
      </c>
      <c r="M83" s="18" t="n">
        <v>0</v>
      </c>
      <c r="N83" s="20" t="n">
        <v>0</v>
      </c>
      <c r="O83" s="18" t="n">
        <v>0</v>
      </c>
      <c r="P83" s="20" t="n">
        <v>0</v>
      </c>
      <c r="Q83" s="18" t="n">
        <v>1.39036712</v>
      </c>
      <c r="R83" s="20" t="n">
        <v>0.81410835</v>
      </c>
    </row>
    <row r="84" spans="1:18">
      <c r="A84" s="23" t="s">
        <v>644</v>
      </c>
      <c r="B84" s="24" t="n">
        <v>938</v>
      </c>
      <c r="C84" s="25">
        <f>(763.0/B84*100)</f>
        <v/>
      </c>
      <c r="D84" s="19" t="n">
        <v>175</v>
      </c>
      <c r="E84" s="18" t="n">
        <v>28.89885473</v>
      </c>
      <c r="F84" s="20" t="n">
        <v>4.24927425</v>
      </c>
      <c r="G84" s="18" t="n">
        <v>68.12800935999999</v>
      </c>
      <c r="H84" s="20" t="n">
        <v>4.01059959</v>
      </c>
      <c r="I84" s="18" t="n">
        <v>0</v>
      </c>
      <c r="J84" s="20" t="n">
        <v>0</v>
      </c>
      <c r="K84" s="18" t="n">
        <v>0</v>
      </c>
      <c r="L84" s="20" t="n">
        <v>0</v>
      </c>
      <c r="M84" s="18" t="n">
        <v>0</v>
      </c>
      <c r="N84" s="20" t="n">
        <v>0</v>
      </c>
      <c r="O84" s="18" t="n">
        <v>0</v>
      </c>
      <c r="P84" s="20" t="n">
        <v>0</v>
      </c>
      <c r="Q84" s="18" t="n">
        <v>2.97313591</v>
      </c>
      <c r="R84" s="20" t="n">
        <v>1.26402067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768</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(5560.0/B7*100)</f>
        <v/>
      </c>
      <c r="D7" s="19" t="n">
        <v>1603</v>
      </c>
      <c r="E7" s="18" t="n">
        <v>44.19529593</v>
      </c>
      <c r="F7" s="20" t="n">
        <v>1.64602754</v>
      </c>
      <c r="G7" s="18" t="n">
        <v>13.54511824</v>
      </c>
      <c r="H7" s="20" t="n">
        <v>0.97153353</v>
      </c>
      <c r="I7" s="18" t="n">
        <v>40.02983437</v>
      </c>
      <c r="J7" s="20" t="n">
        <v>1.52600301</v>
      </c>
      <c r="K7" s="18" t="n">
        <v>0</v>
      </c>
      <c r="L7" s="20" t="n">
        <v>0</v>
      </c>
      <c r="M7" s="18" t="n">
        <v>0.27378936</v>
      </c>
      <c r="N7" s="20" t="n">
        <v>0.14242066</v>
      </c>
      <c r="O7" s="18" t="n">
        <v>0.12236373</v>
      </c>
      <c r="P7" s="20" t="n">
        <v>0.09340973</v>
      </c>
      <c r="Q7" s="18" t="n">
        <v>0</v>
      </c>
      <c r="R7" s="20" t="n">
        <v>0</v>
      </c>
      <c r="S7" s="18" t="n">
        <v>1.83359836</v>
      </c>
      <c r="T7" s="20" t="n">
        <v>0.33260102</v>
      </c>
    </row>
    <row r="8" spans="1:20">
      <c r="A8" s="15" t="s">
        <v>566</v>
      </c>
      <c r="B8" s="17" t="n">
        <v>3443</v>
      </c>
      <c r="C8" s="18">
        <f>(2653.0/B8*100)</f>
        <v/>
      </c>
      <c r="D8" s="19" t="n">
        <v>790</v>
      </c>
      <c r="E8" s="18" t="n">
        <v>43.64985616</v>
      </c>
      <c r="F8" s="20" t="n">
        <v>1.83835494</v>
      </c>
      <c r="G8" s="18" t="n">
        <v>19.18263884</v>
      </c>
      <c r="H8" s="20" t="n">
        <v>1.30628021</v>
      </c>
      <c r="I8" s="18" t="n">
        <v>34.67297478</v>
      </c>
      <c r="J8" s="20" t="n">
        <v>1.87523887</v>
      </c>
      <c r="K8" s="18" t="n">
        <v>0</v>
      </c>
      <c r="L8" s="20" t="n">
        <v>0</v>
      </c>
      <c r="M8" s="18" t="n">
        <v>0.16848637</v>
      </c>
      <c r="N8" s="20" t="n">
        <v>0.16661571</v>
      </c>
      <c r="O8" s="18" t="n">
        <v>0</v>
      </c>
      <c r="P8" s="20" t="n">
        <v>0</v>
      </c>
      <c r="Q8" s="18" t="n">
        <v>0</v>
      </c>
      <c r="R8" s="20" t="n">
        <v>0</v>
      </c>
      <c r="S8" s="18" t="n">
        <v>2.32604385</v>
      </c>
      <c r="T8" s="20" t="n">
        <v>0.66305243</v>
      </c>
    </row>
    <row r="9" spans="1:20">
      <c r="A9" s="15" t="s">
        <v>567</v>
      </c>
      <c r="B9" s="17" t="n">
        <v>4752</v>
      </c>
      <c r="C9" s="18">
        <f>(3722.0/B9*100)</f>
        <v/>
      </c>
      <c r="D9" s="19" t="n">
        <v>1030</v>
      </c>
      <c r="E9" s="18" t="n">
        <v>39.04796519</v>
      </c>
      <c r="F9" s="20" t="n">
        <v>1.75134199</v>
      </c>
      <c r="G9" s="18" t="n">
        <v>15.15427519</v>
      </c>
      <c r="H9" s="20" t="n">
        <v>1.23573758</v>
      </c>
      <c r="I9" s="18" t="n">
        <v>43.64027475</v>
      </c>
      <c r="J9" s="20" t="n">
        <v>1.68674261</v>
      </c>
      <c r="K9" s="18" t="n">
        <v>0</v>
      </c>
      <c r="L9" s="20" t="n">
        <v>0</v>
      </c>
      <c r="M9" s="18" t="n">
        <v>0.08325708</v>
      </c>
      <c r="N9" s="20" t="n">
        <v>0.08694983000000001</v>
      </c>
      <c r="O9" s="18" t="n">
        <v>0.595372</v>
      </c>
      <c r="P9" s="20" t="n">
        <v>0.17253437</v>
      </c>
      <c r="Q9" s="18" t="n">
        <v>0</v>
      </c>
      <c r="R9" s="20" t="n">
        <v>0</v>
      </c>
      <c r="S9" s="18" t="n">
        <v>1.4788558</v>
      </c>
      <c r="T9" s="20" t="n">
        <v>0.45281526</v>
      </c>
    </row>
    <row r="10" spans="1:20">
      <c r="A10" s="15" t="s">
        <v>568</v>
      </c>
      <c r="B10" s="17" t="n">
        <v>10022</v>
      </c>
      <c r="C10" s="18">
        <f>(7800.0/B10*100)</f>
        <v/>
      </c>
      <c r="D10" s="19" t="n">
        <v>2222</v>
      </c>
      <c r="E10" s="18" t="n">
        <v>45.35503353</v>
      </c>
      <c r="F10" s="20" t="n">
        <v>1.34006799</v>
      </c>
      <c r="G10" s="18" t="n">
        <v>11.91857664</v>
      </c>
      <c r="H10" s="20" t="n">
        <v>0.95570411</v>
      </c>
      <c r="I10" s="18" t="n">
        <v>41.64838758</v>
      </c>
      <c r="J10" s="20" t="n">
        <v>1.3023496</v>
      </c>
      <c r="K10" s="18" t="n">
        <v>0</v>
      </c>
      <c r="L10" s="20" t="n">
        <v>0</v>
      </c>
      <c r="M10" s="18" t="n">
        <v>0.25595065</v>
      </c>
      <c r="N10" s="20" t="n">
        <v>0.19968966</v>
      </c>
      <c r="O10" s="18" t="n">
        <v>0.00451204</v>
      </c>
      <c r="P10" s="20" t="n">
        <v>0.00440901</v>
      </c>
      <c r="Q10" s="18" t="n">
        <v>0</v>
      </c>
      <c r="R10" s="20" t="n">
        <v>0</v>
      </c>
      <c r="S10" s="18" t="n">
        <v>0.8175395600000001</v>
      </c>
      <c r="T10" s="20" t="n">
        <v>0.25306976</v>
      </c>
    </row>
    <row r="11" spans="1:20">
      <c r="A11" s="15" t="s">
        <v>569</v>
      </c>
      <c r="B11" s="17" t="n">
        <v>3500</v>
      </c>
      <c r="C11" s="18">
        <f>(2750.0/B11*100)</f>
        <v/>
      </c>
      <c r="D11" s="19" t="n">
        <v>750</v>
      </c>
      <c r="E11" s="18" t="n">
        <v>49.34962726</v>
      </c>
      <c r="F11" s="20" t="n">
        <v>2.08224254</v>
      </c>
      <c r="G11" s="18" t="n">
        <v>21.67153334</v>
      </c>
      <c r="H11" s="20" t="n">
        <v>1.73700852</v>
      </c>
      <c r="I11" s="18" t="n">
        <v>25.10936079</v>
      </c>
      <c r="J11" s="20" t="n">
        <v>1.87193825</v>
      </c>
      <c r="K11" s="18" t="n">
        <v>0</v>
      </c>
      <c r="L11" s="20" t="n">
        <v>0</v>
      </c>
      <c r="M11" s="18" t="n">
        <v>0.13950289</v>
      </c>
      <c r="N11" s="20" t="n">
        <v>0.1405774</v>
      </c>
      <c r="O11" s="18" t="n">
        <v>0.0287325</v>
      </c>
      <c r="P11" s="20" t="n">
        <v>0.02899833</v>
      </c>
      <c r="Q11" s="18" t="n">
        <v>0</v>
      </c>
      <c r="R11" s="20" t="n">
        <v>0</v>
      </c>
      <c r="S11" s="18" t="n">
        <v>3.70124324</v>
      </c>
      <c r="T11" s="20" t="n">
        <v>0.74994618</v>
      </c>
    </row>
    <row r="12" spans="1:20">
      <c r="A12" s="15" t="s">
        <v>570</v>
      </c>
      <c r="B12" s="17" t="n">
        <v>3422</v>
      </c>
      <c r="C12" s="18">
        <f>(2680.0/B12*100)</f>
        <v/>
      </c>
      <c r="D12" s="19" t="n">
        <v>742</v>
      </c>
      <c r="E12" s="18" t="n">
        <v>38.22088464</v>
      </c>
      <c r="F12" s="20" t="n">
        <v>1.97231189</v>
      </c>
      <c r="G12" s="18" t="n">
        <v>24.44054221</v>
      </c>
      <c r="H12" s="20" t="n">
        <v>1.91850576</v>
      </c>
      <c r="I12" s="18" t="n">
        <v>36.18252447</v>
      </c>
      <c r="J12" s="20" t="n">
        <v>1.86065866</v>
      </c>
      <c r="K12" s="18" t="n">
        <v>0</v>
      </c>
      <c r="L12" s="20" t="n">
        <v>0</v>
      </c>
      <c r="M12" s="18" t="n">
        <v>0</v>
      </c>
      <c r="N12" s="20" t="n">
        <v>0</v>
      </c>
      <c r="O12" s="18" t="n">
        <v>0</v>
      </c>
      <c r="P12" s="20" t="n">
        <v>0</v>
      </c>
      <c r="Q12" s="18" t="n">
        <v>0</v>
      </c>
      <c r="R12" s="20" t="n">
        <v>0</v>
      </c>
      <c r="S12" s="18" t="n">
        <v>1.15604869</v>
      </c>
      <c r="T12" s="20" t="n">
        <v>0.42755644</v>
      </c>
    </row>
    <row r="13" spans="1:20">
      <c r="A13" s="15" t="s">
        <v>571</v>
      </c>
      <c r="B13" s="17" t="n">
        <v>3602</v>
      </c>
      <c r="C13" s="18">
        <f>(2796.0/B13*100)</f>
        <v/>
      </c>
      <c r="D13" s="19" t="n">
        <v>806</v>
      </c>
      <c r="E13" s="18" t="n">
        <v>39.41374674</v>
      </c>
      <c r="F13" s="20" t="n">
        <v>2.00868525</v>
      </c>
      <c r="G13" s="18" t="n">
        <v>17.37153925</v>
      </c>
      <c r="H13" s="20" t="n">
        <v>1.45148218</v>
      </c>
      <c r="I13" s="18" t="n">
        <v>41.38180783</v>
      </c>
      <c r="J13" s="20" t="n">
        <v>2.00340894</v>
      </c>
      <c r="K13" s="18" t="n">
        <v>0</v>
      </c>
      <c r="L13" s="20" t="n">
        <v>0</v>
      </c>
      <c r="M13" s="18" t="n">
        <v>0.25994145</v>
      </c>
      <c r="N13" s="20" t="n">
        <v>0.25313417</v>
      </c>
      <c r="O13" s="18" t="n">
        <v>0</v>
      </c>
      <c r="P13" s="20" t="n">
        <v>0</v>
      </c>
      <c r="Q13" s="18" t="n">
        <v>0</v>
      </c>
      <c r="R13" s="20" t="n">
        <v>0</v>
      </c>
      <c r="S13" s="18" t="n">
        <v>1.57296473</v>
      </c>
      <c r="T13" s="20" t="n">
        <v>0.71636533</v>
      </c>
    </row>
    <row r="14" spans="1:20">
      <c r="A14" s="15" t="s">
        <v>572</v>
      </c>
      <c r="B14" s="17" t="n">
        <v>2788</v>
      </c>
      <c r="C14" s="18">
        <f>(2135.0/B14*100)</f>
        <v/>
      </c>
      <c r="D14" s="19" t="n">
        <v>653</v>
      </c>
      <c r="E14" s="18" t="n">
        <v>40.23655155</v>
      </c>
      <c r="F14" s="20" t="n">
        <v>2.147689</v>
      </c>
      <c r="G14" s="18" t="n">
        <v>15.58398168</v>
      </c>
      <c r="H14" s="20" t="n">
        <v>1.45135152</v>
      </c>
      <c r="I14" s="18" t="n">
        <v>43.23319383</v>
      </c>
      <c r="J14" s="20" t="n">
        <v>1.88138574</v>
      </c>
      <c r="K14" s="18" t="n">
        <v>0</v>
      </c>
      <c r="L14" s="20" t="n">
        <v>0</v>
      </c>
      <c r="M14" s="18" t="n">
        <v>0.12500111</v>
      </c>
      <c r="N14" s="20" t="n">
        <v>0.11139343</v>
      </c>
      <c r="O14" s="18" t="n">
        <v>0</v>
      </c>
      <c r="P14" s="20" t="n">
        <v>0</v>
      </c>
      <c r="Q14" s="18" t="n">
        <v>0</v>
      </c>
      <c r="R14" s="20" t="n">
        <v>0</v>
      </c>
      <c r="S14" s="18" t="n">
        <v>0.82127182</v>
      </c>
      <c r="T14" s="20" t="n">
        <v>0.4711778</v>
      </c>
    </row>
    <row r="15" spans="1:20">
      <c r="A15" s="15" t="s">
        <v>573</v>
      </c>
      <c r="B15" s="17" t="n">
        <v>2863</v>
      </c>
      <c r="C15" s="18">
        <f>(2252.0/B15*100)</f>
        <v/>
      </c>
      <c r="D15" s="19" t="n">
        <v>611</v>
      </c>
      <c r="E15" s="18" t="n">
        <v>35.56183969</v>
      </c>
      <c r="F15" s="20" t="n">
        <v>2.13109382</v>
      </c>
      <c r="G15" s="18" t="n">
        <v>13.73556666</v>
      </c>
      <c r="H15" s="20" t="n">
        <v>1.42565741</v>
      </c>
      <c r="I15" s="18" t="n">
        <v>49.85341215</v>
      </c>
      <c r="J15" s="20" t="n">
        <v>2.21928421</v>
      </c>
      <c r="K15" s="18" t="n">
        <v>0</v>
      </c>
      <c r="L15" s="20" t="n">
        <v>0</v>
      </c>
      <c r="M15" s="18" t="n">
        <v>0</v>
      </c>
      <c r="N15" s="20" t="n">
        <v>0</v>
      </c>
      <c r="O15" s="18" t="n">
        <v>0</v>
      </c>
      <c r="P15" s="20" t="n">
        <v>0</v>
      </c>
      <c r="Q15" s="18" t="n">
        <v>0</v>
      </c>
      <c r="R15" s="20" t="n">
        <v>0</v>
      </c>
      <c r="S15" s="18" t="n">
        <v>0.8491815</v>
      </c>
      <c r="T15" s="20" t="n">
        <v>0.38812654</v>
      </c>
    </row>
    <row r="16" spans="1:20">
      <c r="A16" s="15" t="s">
        <v>574</v>
      </c>
      <c r="B16" s="17" t="n">
        <v>3111</v>
      </c>
      <c r="C16" s="18">
        <f>(2387.0/B16*100)</f>
        <v/>
      </c>
      <c r="D16" s="19" t="n">
        <v>724</v>
      </c>
      <c r="E16" s="18" t="n">
        <v>45.10514</v>
      </c>
      <c r="F16" s="20" t="n">
        <v>1.81128182</v>
      </c>
      <c r="G16" s="18" t="n">
        <v>13.34772318</v>
      </c>
      <c r="H16" s="20" t="n">
        <v>1.2244237</v>
      </c>
      <c r="I16" s="18" t="n">
        <v>38.15931222</v>
      </c>
      <c r="J16" s="20" t="n">
        <v>1.8422125</v>
      </c>
      <c r="K16" s="18" t="n">
        <v>0</v>
      </c>
      <c r="L16" s="20" t="n">
        <v>0</v>
      </c>
      <c r="M16" s="18" t="n">
        <v>0.44903229</v>
      </c>
      <c r="N16" s="20" t="n">
        <v>0.25613397</v>
      </c>
      <c r="O16" s="18" t="n">
        <v>0</v>
      </c>
      <c r="P16" s="20" t="n">
        <v>0</v>
      </c>
      <c r="Q16" s="18" t="n">
        <v>0</v>
      </c>
      <c r="R16" s="20" t="n">
        <v>0</v>
      </c>
      <c r="S16" s="18" t="n">
        <v>2.9387923</v>
      </c>
      <c r="T16" s="20" t="n">
        <v>0.57557454</v>
      </c>
    </row>
    <row r="17" spans="1:20">
      <c r="A17" s="15" t="s">
        <v>575</v>
      </c>
      <c r="B17" s="17" t="n">
        <v>3197</v>
      </c>
      <c r="C17" s="18">
        <f>(2487.0/B17*100)</f>
        <v/>
      </c>
      <c r="D17" s="19" t="n">
        <v>710</v>
      </c>
      <c r="E17" s="18" t="n">
        <v>43.553466</v>
      </c>
      <c r="F17" s="20" t="n">
        <v>2.04305046</v>
      </c>
      <c r="G17" s="18" t="n">
        <v>14.95202382</v>
      </c>
      <c r="H17" s="20" t="n">
        <v>1.5550665</v>
      </c>
      <c r="I17" s="18" t="n">
        <v>40.1680092</v>
      </c>
      <c r="J17" s="20" t="n">
        <v>1.71902169</v>
      </c>
      <c r="K17" s="18" t="n">
        <v>0</v>
      </c>
      <c r="L17" s="20" t="n">
        <v>0</v>
      </c>
      <c r="M17" s="18" t="n">
        <v>0</v>
      </c>
      <c r="N17" s="20" t="n">
        <v>0</v>
      </c>
      <c r="O17" s="18" t="n">
        <v>0</v>
      </c>
      <c r="P17" s="20" t="n">
        <v>0</v>
      </c>
      <c r="Q17" s="18" t="n">
        <v>0</v>
      </c>
      <c r="R17" s="20" t="n">
        <v>0</v>
      </c>
      <c r="S17" s="18" t="n">
        <v>1.32650097</v>
      </c>
      <c r="T17" s="20" t="n">
        <v>0.42429868</v>
      </c>
    </row>
    <row r="18" spans="1:20">
      <c r="A18" s="15" t="s">
        <v>576</v>
      </c>
      <c r="B18" s="17" t="n">
        <v>2706</v>
      </c>
      <c r="C18" s="18">
        <f>(2085.0/B18*100)</f>
        <v/>
      </c>
      <c r="D18" s="19" t="n">
        <v>621</v>
      </c>
      <c r="E18" s="18" t="n">
        <v>53.51445997</v>
      </c>
      <c r="F18" s="20" t="n">
        <v>1.9135448</v>
      </c>
      <c r="G18" s="18" t="n">
        <v>24.44804682</v>
      </c>
      <c r="H18" s="20" t="n">
        <v>1.63154869</v>
      </c>
      <c r="I18" s="18" t="n">
        <v>20.58156617</v>
      </c>
      <c r="J18" s="20" t="n">
        <v>1.93984348</v>
      </c>
      <c r="K18" s="18" t="n">
        <v>0</v>
      </c>
      <c r="L18" s="20" t="n">
        <v>0</v>
      </c>
      <c r="M18" s="18" t="n">
        <v>0</v>
      </c>
      <c r="N18" s="20" t="n">
        <v>0</v>
      </c>
      <c r="O18" s="18" t="n">
        <v>0</v>
      </c>
      <c r="P18" s="20" t="n">
        <v>0</v>
      </c>
      <c r="Q18" s="18" t="n">
        <v>0</v>
      </c>
      <c r="R18" s="20" t="n">
        <v>0</v>
      </c>
      <c r="S18" s="18" t="n">
        <v>1.45592704</v>
      </c>
      <c r="T18" s="20" t="n">
        <v>0.37136406</v>
      </c>
    </row>
    <row r="19" spans="1:20">
      <c r="A19" s="15" t="s">
        <v>577</v>
      </c>
      <c r="B19" s="17" t="n">
        <v>2850</v>
      </c>
      <c r="C19" s="18">
        <f>(2233.0/B19*100)</f>
        <v/>
      </c>
      <c r="D19" s="19" t="n">
        <v>617</v>
      </c>
      <c r="E19" s="18" t="n">
        <v>53.65484733</v>
      </c>
      <c r="F19" s="20" t="n">
        <v>2.2918091</v>
      </c>
      <c r="G19" s="18" t="n">
        <v>16.92023532</v>
      </c>
      <c r="H19" s="20" t="n">
        <v>1.75092185</v>
      </c>
      <c r="I19" s="18" t="n">
        <v>28.47015419</v>
      </c>
      <c r="J19" s="20" t="n">
        <v>2.28106095</v>
      </c>
      <c r="K19" s="18" t="n">
        <v>0</v>
      </c>
      <c r="L19" s="20" t="n">
        <v>0</v>
      </c>
      <c r="M19" s="18" t="n">
        <v>0</v>
      </c>
      <c r="N19" s="20" t="n">
        <v>0</v>
      </c>
      <c r="O19" s="18" t="n">
        <v>0</v>
      </c>
      <c r="P19" s="20" t="n">
        <v>0</v>
      </c>
      <c r="Q19" s="18" t="n">
        <v>0</v>
      </c>
      <c r="R19" s="20" t="n">
        <v>0</v>
      </c>
      <c r="S19" s="18" t="n">
        <v>0.95476315</v>
      </c>
      <c r="T19" s="20" t="n">
        <v>0.39019871</v>
      </c>
    </row>
    <row r="20" spans="1:20">
      <c r="A20" s="15" t="s">
        <v>578</v>
      </c>
      <c r="B20" s="17" t="n">
        <v>1741</v>
      </c>
      <c r="C20" s="18">
        <f>(1343.0/B20*100)</f>
        <v/>
      </c>
      <c r="D20" s="19" t="n">
        <v>398</v>
      </c>
      <c r="E20" s="18" t="n">
        <v>48.92896921</v>
      </c>
      <c r="F20" s="20" t="n">
        <v>2.45747977</v>
      </c>
      <c r="G20" s="18" t="n">
        <v>19.83198115</v>
      </c>
      <c r="H20" s="20" t="n">
        <v>2.09434287</v>
      </c>
      <c r="I20" s="18" t="n">
        <v>28.47370451</v>
      </c>
      <c r="J20" s="20" t="n">
        <v>2.14819344</v>
      </c>
      <c r="K20" s="18" t="n">
        <v>0</v>
      </c>
      <c r="L20" s="20" t="n">
        <v>0</v>
      </c>
      <c r="M20" s="18" t="n">
        <v>0</v>
      </c>
      <c r="N20" s="20" t="n">
        <v>0</v>
      </c>
      <c r="O20" s="18" t="n">
        <v>0.38831015</v>
      </c>
      <c r="P20" s="20" t="n">
        <v>0.37497589</v>
      </c>
      <c r="Q20" s="18" t="n">
        <v>0</v>
      </c>
      <c r="R20" s="20" t="n">
        <v>0</v>
      </c>
      <c r="S20" s="18" t="n">
        <v>2.37703498</v>
      </c>
      <c r="T20" s="20" t="n">
        <v>0.80686575</v>
      </c>
    </row>
    <row r="21" spans="1:20">
      <c r="A21" s="15" t="s">
        <v>579</v>
      </c>
      <c r="B21" s="17" t="n">
        <v>2833</v>
      </c>
      <c r="C21" s="18">
        <f>(2215.0/B21*100)</f>
        <v/>
      </c>
      <c r="D21" s="19" t="n">
        <v>618</v>
      </c>
      <c r="E21" s="18" t="n">
        <v>50.70798856</v>
      </c>
      <c r="F21" s="20" t="n">
        <v>1.91214656</v>
      </c>
      <c r="G21" s="18" t="n">
        <v>12.01164564</v>
      </c>
      <c r="H21" s="20" t="n">
        <v>1.13162692</v>
      </c>
      <c r="I21" s="18" t="n">
        <v>36.7761657</v>
      </c>
      <c r="J21" s="20" t="n">
        <v>1.87095826</v>
      </c>
      <c r="K21" s="18" t="n">
        <v>0</v>
      </c>
      <c r="L21" s="20" t="n">
        <v>0</v>
      </c>
      <c r="M21" s="18" t="n">
        <v>0</v>
      </c>
      <c r="N21" s="20" t="n">
        <v>0</v>
      </c>
      <c r="O21" s="18" t="n">
        <v>0</v>
      </c>
      <c r="P21" s="20" t="n">
        <v>0</v>
      </c>
      <c r="Q21" s="18" t="n">
        <v>0</v>
      </c>
      <c r="R21" s="20" t="n">
        <v>0</v>
      </c>
      <c r="S21" s="18" t="n">
        <v>0.5042001</v>
      </c>
      <c r="T21" s="20" t="n">
        <v>0.24217936</v>
      </c>
    </row>
    <row r="22" spans="1:20">
      <c r="A22" s="15" t="s">
        <v>580</v>
      </c>
      <c r="B22" s="17" t="n">
        <v>3667</v>
      </c>
      <c r="C22" s="18">
        <f>(2966.0/B22*100)</f>
        <v/>
      </c>
      <c r="D22" s="19" t="n">
        <v>701</v>
      </c>
      <c r="E22" s="18" t="n">
        <v>56.1255412</v>
      </c>
      <c r="F22" s="20" t="n">
        <v>2.15293635</v>
      </c>
      <c r="G22" s="18" t="n">
        <v>18.37018349</v>
      </c>
      <c r="H22" s="20" t="n">
        <v>1.40742387</v>
      </c>
      <c r="I22" s="18" t="n">
        <v>21.60229486</v>
      </c>
      <c r="J22" s="20" t="n">
        <v>1.873779</v>
      </c>
      <c r="K22" s="18" t="n">
        <v>0</v>
      </c>
      <c r="L22" s="20" t="n">
        <v>0</v>
      </c>
      <c r="M22" s="18" t="n">
        <v>0.12212613</v>
      </c>
      <c r="N22" s="20" t="n">
        <v>0.12281947</v>
      </c>
      <c r="O22" s="18" t="n">
        <v>0</v>
      </c>
      <c r="P22" s="20" t="n">
        <v>0</v>
      </c>
      <c r="Q22" s="18" t="n">
        <v>0</v>
      </c>
      <c r="R22" s="20" t="n">
        <v>0</v>
      </c>
      <c r="S22" s="18" t="n">
        <v>3.77985432</v>
      </c>
      <c r="T22" s="20" t="n">
        <v>0.87779755</v>
      </c>
    </row>
    <row r="23" spans="1:20">
      <c r="A23" s="15" t="s">
        <v>581</v>
      </c>
      <c r="B23" s="17" t="n">
        <v>5792</v>
      </c>
      <c r="C23" s="18">
        <f>(4511.0/B23*100)</f>
        <v/>
      </c>
      <c r="D23" s="19" t="n">
        <v>1281</v>
      </c>
      <c r="E23" s="18" t="n">
        <v>46.01223131</v>
      </c>
      <c r="F23" s="20" t="n">
        <v>2.20234954</v>
      </c>
      <c r="G23" s="18" t="n">
        <v>18.41871034</v>
      </c>
      <c r="H23" s="20" t="n">
        <v>1.74492409</v>
      </c>
      <c r="I23" s="18" t="n">
        <v>31.91021599</v>
      </c>
      <c r="J23" s="20" t="n">
        <v>1.96549807</v>
      </c>
      <c r="K23" s="18" t="n">
        <v>0</v>
      </c>
      <c r="L23" s="20" t="n">
        <v>0</v>
      </c>
      <c r="M23" s="18" t="n">
        <v>0.36752939</v>
      </c>
      <c r="N23" s="20" t="n">
        <v>0.32328726</v>
      </c>
      <c r="O23" s="18" t="n">
        <v>0</v>
      </c>
      <c r="P23" s="20" t="n">
        <v>0</v>
      </c>
      <c r="Q23" s="18" t="n">
        <v>0</v>
      </c>
      <c r="R23" s="20" t="n">
        <v>0</v>
      </c>
      <c r="S23" s="18" t="n">
        <v>3.29131298</v>
      </c>
      <c r="T23" s="20" t="n">
        <v>0.89489372</v>
      </c>
    </row>
    <row r="24" spans="1:20">
      <c r="A24" s="15" t="s">
        <v>582</v>
      </c>
      <c r="B24" s="17" t="n">
        <v>3309</v>
      </c>
      <c r="C24" s="18">
        <f>(2605.0/B24*100)</f>
        <v/>
      </c>
      <c r="D24" s="19" t="n">
        <v>704</v>
      </c>
      <c r="E24" s="18" t="n">
        <v>37.54834881</v>
      </c>
      <c r="F24" s="20" t="n">
        <v>2.1523534</v>
      </c>
      <c r="G24" s="18" t="n">
        <v>35.20706854</v>
      </c>
      <c r="H24" s="20" t="n">
        <v>1.82225981</v>
      </c>
      <c r="I24" s="18" t="n">
        <v>26.66261206</v>
      </c>
      <c r="J24" s="20" t="n">
        <v>1.80898848</v>
      </c>
      <c r="K24" s="18" t="n">
        <v>0</v>
      </c>
      <c r="L24" s="20" t="n">
        <v>0</v>
      </c>
      <c r="M24" s="18" t="n">
        <v>0</v>
      </c>
      <c r="N24" s="20" t="n">
        <v>0</v>
      </c>
      <c r="O24" s="18" t="n">
        <v>0</v>
      </c>
      <c r="P24" s="20" t="n">
        <v>0</v>
      </c>
      <c r="Q24" s="18" t="n">
        <v>0</v>
      </c>
      <c r="R24" s="20" t="n">
        <v>0</v>
      </c>
      <c r="S24" s="18" t="n">
        <v>0.58197059</v>
      </c>
      <c r="T24" s="20" t="n">
        <v>0.27893408</v>
      </c>
    </row>
    <row r="25" spans="1:20">
      <c r="A25" s="15" t="s">
        <v>583</v>
      </c>
      <c r="B25" s="17" t="n">
        <v>2669</v>
      </c>
      <c r="C25" s="18">
        <f>(2048.0/B25*100)</f>
        <v/>
      </c>
      <c r="D25" s="19" t="n">
        <v>621</v>
      </c>
      <c r="E25" s="18" t="n">
        <v>58.2950821</v>
      </c>
      <c r="F25" s="20" t="n">
        <v>1.85745238</v>
      </c>
      <c r="G25" s="18" t="n">
        <v>15.28751974</v>
      </c>
      <c r="H25" s="20" t="n">
        <v>1.34445006</v>
      </c>
      <c r="I25" s="18" t="n">
        <v>26.41739816</v>
      </c>
      <c r="J25" s="20" t="n">
        <v>1.82504922</v>
      </c>
      <c r="K25" s="18" t="n">
        <v>0</v>
      </c>
      <c r="L25" s="20" t="n">
        <v>0</v>
      </c>
      <c r="M25" s="18" t="n">
        <v>0</v>
      </c>
      <c r="N25" s="20" t="n">
        <v>0</v>
      </c>
      <c r="O25" s="18" t="n">
        <v>0</v>
      </c>
      <c r="P25" s="20" t="n">
        <v>0</v>
      </c>
      <c r="Q25" s="18" t="n">
        <v>0</v>
      </c>
      <c r="R25" s="20" t="n">
        <v>0</v>
      </c>
      <c r="S25" s="18" t="n">
        <v>0</v>
      </c>
      <c r="T25" s="20" t="n">
        <v>0</v>
      </c>
    </row>
    <row r="26" spans="1:20">
      <c r="A26" s="15" t="s">
        <v>584</v>
      </c>
      <c r="B26" s="17" t="n">
        <v>2419</v>
      </c>
      <c r="C26" s="18">
        <f>(1882.0/B26*100)</f>
        <v/>
      </c>
      <c r="D26" s="19" t="n">
        <v>537</v>
      </c>
      <c r="E26" s="18" t="n">
        <v>43.3620562</v>
      </c>
      <c r="F26" s="20" t="n">
        <v>2.24571036</v>
      </c>
      <c r="G26" s="18" t="n">
        <v>23.35379377</v>
      </c>
      <c r="H26" s="20" t="n">
        <v>1.99609928</v>
      </c>
      <c r="I26" s="18" t="n">
        <v>32.79362415</v>
      </c>
      <c r="J26" s="20" t="n">
        <v>1.89481455</v>
      </c>
      <c r="K26" s="18" t="n">
        <v>0</v>
      </c>
      <c r="L26" s="20" t="n">
        <v>0</v>
      </c>
      <c r="M26" s="18" t="n">
        <v>0</v>
      </c>
      <c r="N26" s="20" t="n">
        <v>0</v>
      </c>
      <c r="O26" s="18" t="n">
        <v>0.12865875</v>
      </c>
      <c r="P26" s="20" t="n">
        <v>0.13087073</v>
      </c>
      <c r="Q26" s="18" t="n">
        <v>0</v>
      </c>
      <c r="R26" s="20" t="n">
        <v>0</v>
      </c>
      <c r="S26" s="18" t="n">
        <v>0.36186714</v>
      </c>
      <c r="T26" s="20" t="n">
        <v>0.40177552</v>
      </c>
    </row>
    <row r="27" spans="1:20">
      <c r="A27" s="15" t="s">
        <v>585</v>
      </c>
      <c r="B27" s="17" t="n">
        <v>2683</v>
      </c>
      <c r="C27" s="18">
        <f>(2087.0/B27*100)</f>
        <v/>
      </c>
      <c r="D27" s="19" t="n">
        <v>596</v>
      </c>
      <c r="E27" s="18" t="n">
        <v>46.53004958</v>
      </c>
      <c r="F27" s="20" t="n">
        <v>1.91740764</v>
      </c>
      <c r="G27" s="18" t="n">
        <v>16.22224024</v>
      </c>
      <c r="H27" s="20" t="n">
        <v>1.42330352</v>
      </c>
      <c r="I27" s="18" t="n">
        <v>35.39957837</v>
      </c>
      <c r="J27" s="20" t="n">
        <v>1.73624885</v>
      </c>
      <c r="K27" s="18" t="n">
        <v>0</v>
      </c>
      <c r="L27" s="20" t="n">
        <v>0</v>
      </c>
      <c r="M27" s="18" t="n">
        <v>0</v>
      </c>
      <c r="N27" s="20" t="n">
        <v>0</v>
      </c>
      <c r="O27" s="18" t="n">
        <v>0</v>
      </c>
      <c r="P27" s="20" t="n">
        <v>0</v>
      </c>
      <c r="Q27" s="18" t="n">
        <v>0</v>
      </c>
      <c r="R27" s="20" t="n">
        <v>0</v>
      </c>
      <c r="S27" s="18" t="n">
        <v>1.84813181</v>
      </c>
      <c r="T27" s="20" t="n">
        <v>0.62202681</v>
      </c>
    </row>
    <row r="28" spans="1:20">
      <c r="A28" s="15" t="s">
        <v>586</v>
      </c>
      <c r="B28" s="17" t="n">
        <v>3803</v>
      </c>
      <c r="C28" s="18">
        <f>(2964.0/B28*100)</f>
        <v/>
      </c>
      <c r="D28" s="19" t="n">
        <v>839</v>
      </c>
      <c r="E28" s="18" t="n">
        <v>56.45680393</v>
      </c>
      <c r="F28" s="20" t="n">
        <v>1.89245885</v>
      </c>
      <c r="G28" s="18" t="n">
        <v>29.0394698</v>
      </c>
      <c r="H28" s="20" t="n">
        <v>1.73748156</v>
      </c>
      <c r="I28" s="18" t="n">
        <v>13.0269788</v>
      </c>
      <c r="J28" s="20" t="n">
        <v>1.35095316</v>
      </c>
      <c r="K28" s="18" t="n">
        <v>0</v>
      </c>
      <c r="L28" s="20" t="n">
        <v>0</v>
      </c>
      <c r="M28" s="18" t="n">
        <v>0.27356385</v>
      </c>
      <c r="N28" s="20" t="n">
        <v>0.21611881</v>
      </c>
      <c r="O28" s="18" t="n">
        <v>0.10634072</v>
      </c>
      <c r="P28" s="20" t="n">
        <v>0.1065815</v>
      </c>
      <c r="Q28" s="18" t="n">
        <v>0</v>
      </c>
      <c r="R28" s="20" t="n">
        <v>0</v>
      </c>
      <c r="S28" s="18" t="n">
        <v>1.09684291</v>
      </c>
      <c r="T28" s="20" t="n">
        <v>0.38337937</v>
      </c>
    </row>
    <row r="29" spans="1:20">
      <c r="A29" s="15" t="s">
        <v>587</v>
      </c>
      <c r="B29" s="17" t="n">
        <v>2700</v>
      </c>
      <c r="C29" s="18">
        <f>(2142.0/B29*100)</f>
        <v/>
      </c>
      <c r="D29" s="19" t="n">
        <v>558</v>
      </c>
      <c r="E29" s="18" t="n">
        <v>36.91133675</v>
      </c>
      <c r="F29" s="20" t="n">
        <v>2.04063638</v>
      </c>
      <c r="G29" s="18" t="n">
        <v>17.22440455</v>
      </c>
      <c r="H29" s="20" t="n">
        <v>1.68428188</v>
      </c>
      <c r="I29" s="18" t="n">
        <v>44.88361206</v>
      </c>
      <c r="J29" s="20" t="n">
        <v>2.31478666</v>
      </c>
      <c r="K29" s="18" t="n">
        <v>0</v>
      </c>
      <c r="L29" s="20" t="n">
        <v>0</v>
      </c>
      <c r="M29" s="18" t="n">
        <v>0</v>
      </c>
      <c r="N29" s="20" t="n">
        <v>0</v>
      </c>
      <c r="O29" s="18" t="n">
        <v>0</v>
      </c>
      <c r="P29" s="20" t="n">
        <v>0</v>
      </c>
      <c r="Q29" s="18" t="n">
        <v>0</v>
      </c>
      <c r="R29" s="20" t="n">
        <v>0</v>
      </c>
      <c r="S29" s="18" t="n">
        <v>0.98064663</v>
      </c>
      <c r="T29" s="20" t="n">
        <v>0.4645354</v>
      </c>
    </row>
    <row r="30" spans="1:20">
      <c r="A30" s="15" t="s">
        <v>588</v>
      </c>
      <c r="B30" s="17" t="n">
        <v>2257</v>
      </c>
      <c r="C30" s="18">
        <f>(1770.0/B30*100)</f>
        <v/>
      </c>
      <c r="D30" s="19" t="n">
        <v>487</v>
      </c>
      <c r="E30" s="18" t="n">
        <v>39.78260635</v>
      </c>
      <c r="F30" s="20" t="n">
        <v>2.04341223</v>
      </c>
      <c r="G30" s="18" t="n">
        <v>11.72822418</v>
      </c>
      <c r="H30" s="20" t="n">
        <v>1.18989187</v>
      </c>
      <c r="I30" s="18" t="n">
        <v>47.44889124</v>
      </c>
      <c r="J30" s="20" t="n">
        <v>2.30963624</v>
      </c>
      <c r="K30" s="18" t="n">
        <v>0</v>
      </c>
      <c r="L30" s="20" t="n">
        <v>0</v>
      </c>
      <c r="M30" s="18" t="n">
        <v>0</v>
      </c>
      <c r="N30" s="20" t="n">
        <v>0</v>
      </c>
      <c r="O30" s="18" t="n">
        <v>0</v>
      </c>
      <c r="P30" s="20" t="n">
        <v>0</v>
      </c>
      <c r="Q30" s="18" t="n">
        <v>0</v>
      </c>
      <c r="R30" s="20" t="n">
        <v>0</v>
      </c>
      <c r="S30" s="18" t="n">
        <v>1.04027824</v>
      </c>
      <c r="T30" s="20" t="n">
        <v>0.42699159</v>
      </c>
    </row>
    <row r="31" spans="1:20">
      <c r="A31" s="15" t="s">
        <v>589</v>
      </c>
      <c r="B31" s="17" t="n">
        <v>2706</v>
      </c>
      <c r="C31" s="18">
        <f>(2069.0/B31*100)</f>
        <v/>
      </c>
      <c r="D31" s="19" t="n">
        <v>637</v>
      </c>
      <c r="E31" s="18" t="n">
        <v>41.02479233</v>
      </c>
      <c r="F31" s="20" t="n">
        <v>1.82367211</v>
      </c>
      <c r="G31" s="18" t="n">
        <v>22.6910328</v>
      </c>
      <c r="H31" s="20" t="n">
        <v>1.75871236</v>
      </c>
      <c r="I31" s="18" t="n">
        <v>33.62839174</v>
      </c>
      <c r="J31" s="20" t="n">
        <v>1.71699029</v>
      </c>
      <c r="K31" s="18" t="n">
        <v>0</v>
      </c>
      <c r="L31" s="20" t="n">
        <v>0</v>
      </c>
      <c r="M31" s="18" t="n">
        <v>0</v>
      </c>
      <c r="N31" s="20" t="n">
        <v>0</v>
      </c>
      <c r="O31" s="18" t="n">
        <v>0</v>
      </c>
      <c r="P31" s="20" t="n">
        <v>0</v>
      </c>
      <c r="Q31" s="18" t="n">
        <v>0</v>
      </c>
      <c r="R31" s="20" t="n">
        <v>0</v>
      </c>
      <c r="S31" s="18" t="n">
        <v>2.65578313</v>
      </c>
      <c r="T31" s="20" t="n">
        <v>0.68613599</v>
      </c>
    </row>
    <row r="32" spans="1:20">
      <c r="A32" s="15" t="s">
        <v>590</v>
      </c>
      <c r="B32" s="17" t="n">
        <v>2209</v>
      </c>
      <c r="C32" s="18">
        <f>(1700.0/B32*100)</f>
        <v/>
      </c>
      <c r="D32" s="19" t="n">
        <v>509</v>
      </c>
      <c r="E32" s="18" t="n">
        <v>50.13818056</v>
      </c>
      <c r="F32" s="20" t="n">
        <v>2.27435756</v>
      </c>
      <c r="G32" s="18" t="n">
        <v>18.13245003</v>
      </c>
      <c r="H32" s="20" t="n">
        <v>1.77028333</v>
      </c>
      <c r="I32" s="18" t="n">
        <v>30.79973095</v>
      </c>
      <c r="J32" s="20" t="n">
        <v>2.36665925</v>
      </c>
      <c r="K32" s="18" t="n">
        <v>0</v>
      </c>
      <c r="L32" s="20" t="n">
        <v>0</v>
      </c>
      <c r="M32" s="18" t="n">
        <v>0</v>
      </c>
      <c r="N32" s="20" t="n">
        <v>0</v>
      </c>
      <c r="O32" s="18" t="n">
        <v>0</v>
      </c>
      <c r="P32" s="20" t="n">
        <v>0</v>
      </c>
      <c r="Q32" s="18" t="n">
        <v>0</v>
      </c>
      <c r="R32" s="20" t="n">
        <v>0</v>
      </c>
      <c r="S32" s="18" t="n">
        <v>0.9296384600000001</v>
      </c>
      <c r="T32" s="20" t="n">
        <v>0.41663312</v>
      </c>
    </row>
    <row r="33" spans="1:20">
      <c r="A33" s="15" t="s">
        <v>591</v>
      </c>
      <c r="B33" s="17" t="n">
        <v>3651</v>
      </c>
      <c r="C33" s="18">
        <f>(2821.0/B33*100)</f>
        <v/>
      </c>
      <c r="D33" s="19" t="n">
        <v>830</v>
      </c>
      <c r="E33" s="18" t="n">
        <v>45.21904825</v>
      </c>
      <c r="F33" s="20" t="n">
        <v>1.71844807</v>
      </c>
      <c r="G33" s="18" t="n">
        <v>17.04960405</v>
      </c>
      <c r="H33" s="20" t="n">
        <v>1.29548406</v>
      </c>
      <c r="I33" s="18" t="n">
        <v>36.98619745</v>
      </c>
      <c r="J33" s="20" t="n">
        <v>1.86796689</v>
      </c>
      <c r="K33" s="18" t="n">
        <v>0</v>
      </c>
      <c r="L33" s="20" t="n">
        <v>0</v>
      </c>
      <c r="M33" s="18" t="n">
        <v>0</v>
      </c>
      <c r="N33" s="20" t="n">
        <v>0</v>
      </c>
      <c r="O33" s="18" t="n">
        <v>0</v>
      </c>
      <c r="P33" s="20" t="n">
        <v>0</v>
      </c>
      <c r="Q33" s="18" t="n">
        <v>0</v>
      </c>
      <c r="R33" s="20" t="n">
        <v>0</v>
      </c>
      <c r="S33" s="18" t="n">
        <v>0.74515024</v>
      </c>
      <c r="T33" s="20" t="n">
        <v>0.25989541</v>
      </c>
    </row>
    <row r="34" spans="1:20">
      <c r="A34" s="15" t="s">
        <v>592</v>
      </c>
      <c r="B34" s="17" t="n">
        <v>3035</v>
      </c>
      <c r="C34" s="18">
        <f>(2413.0/B34*100)</f>
        <v/>
      </c>
      <c r="D34" s="19" t="n">
        <v>622</v>
      </c>
      <c r="E34" s="18" t="n">
        <v>47.27866585</v>
      </c>
      <c r="F34" s="20" t="n">
        <v>1.91731834</v>
      </c>
      <c r="G34" s="18" t="n">
        <v>25.12186468</v>
      </c>
      <c r="H34" s="20" t="n">
        <v>1.90137469</v>
      </c>
      <c r="I34" s="18" t="n">
        <v>25.36975216</v>
      </c>
      <c r="J34" s="20" t="n">
        <v>1.89216626</v>
      </c>
      <c r="K34" s="18" t="n">
        <v>0</v>
      </c>
      <c r="L34" s="20" t="n">
        <v>0</v>
      </c>
      <c r="M34" s="18" t="n">
        <v>0.13890862</v>
      </c>
      <c r="N34" s="20" t="n">
        <v>0.14473743</v>
      </c>
      <c r="O34" s="18" t="n">
        <v>0.41251003</v>
      </c>
      <c r="P34" s="20" t="n">
        <v>0.22067574</v>
      </c>
      <c r="Q34" s="18" t="n">
        <v>0</v>
      </c>
      <c r="R34" s="20" t="n">
        <v>0</v>
      </c>
      <c r="S34" s="18" t="n">
        <v>1.67829866</v>
      </c>
      <c r="T34" s="20" t="n">
        <v>0.63907572</v>
      </c>
    </row>
    <row r="35" spans="1:20">
      <c r="A35" s="15" t="s">
        <v>593</v>
      </c>
      <c r="B35" s="17" t="n">
        <v>2901</v>
      </c>
      <c r="C35" s="18">
        <f>(2274.0/B35*100)</f>
        <v/>
      </c>
      <c r="D35" s="19" t="n">
        <v>627</v>
      </c>
      <c r="E35" s="18" t="n">
        <v>38.77778654</v>
      </c>
      <c r="F35" s="20" t="n">
        <v>2.09675031</v>
      </c>
      <c r="G35" s="18" t="n">
        <v>20.93756541</v>
      </c>
      <c r="H35" s="20" t="n">
        <v>2.10478897</v>
      </c>
      <c r="I35" s="18" t="n">
        <v>39.94434647</v>
      </c>
      <c r="J35" s="20" t="n">
        <v>2.26958437</v>
      </c>
      <c r="K35" s="18" t="n">
        <v>0</v>
      </c>
      <c r="L35" s="20" t="n">
        <v>0</v>
      </c>
      <c r="M35" s="18" t="n">
        <v>0</v>
      </c>
      <c r="N35" s="20" t="n">
        <v>0</v>
      </c>
      <c r="O35" s="18" t="n">
        <v>0</v>
      </c>
      <c r="P35" s="20" t="n">
        <v>0</v>
      </c>
      <c r="Q35" s="18" t="n">
        <v>0</v>
      </c>
      <c r="R35" s="20" t="n">
        <v>0</v>
      </c>
      <c r="S35" s="18" t="n">
        <v>0.34030158</v>
      </c>
      <c r="T35" s="20" t="n">
        <v>0.15417905</v>
      </c>
    </row>
    <row r="36" spans="1:20">
      <c r="A36" s="15" t="s">
        <v>594</v>
      </c>
      <c r="B36" s="17" t="n">
        <v>3404</v>
      </c>
      <c r="C36" s="18">
        <f>(2661.0/B36*100)</f>
        <v/>
      </c>
      <c r="D36" s="19" t="n">
        <v>743</v>
      </c>
      <c r="E36" s="18" t="n">
        <v>50.60204392</v>
      </c>
      <c r="F36" s="20" t="n">
        <v>2.03585717</v>
      </c>
      <c r="G36" s="18" t="n">
        <v>18.2428255</v>
      </c>
      <c r="H36" s="20" t="n">
        <v>1.54646411</v>
      </c>
      <c r="I36" s="18" t="n">
        <v>29.78236267</v>
      </c>
      <c r="J36" s="20" t="n">
        <v>1.72890473</v>
      </c>
      <c r="K36" s="18" t="n">
        <v>0</v>
      </c>
      <c r="L36" s="20" t="n">
        <v>0</v>
      </c>
      <c r="M36" s="18" t="n">
        <v>0</v>
      </c>
      <c r="N36" s="20" t="n">
        <v>0</v>
      </c>
      <c r="O36" s="18" t="n">
        <v>0.13597536</v>
      </c>
      <c r="P36" s="20" t="n">
        <v>0.13102157</v>
      </c>
      <c r="Q36" s="18" t="n">
        <v>0</v>
      </c>
      <c r="R36" s="20" t="n">
        <v>0</v>
      </c>
      <c r="S36" s="18" t="n">
        <v>1.23679255</v>
      </c>
      <c r="T36" s="20" t="n">
        <v>0.47209244</v>
      </c>
    </row>
    <row r="37" spans="1:20">
      <c r="A37" s="15" t="s">
        <v>595</v>
      </c>
      <c r="B37" s="17" t="n">
        <v>2731</v>
      </c>
      <c r="C37" s="18">
        <f>(2150.0/B37*100)</f>
        <v/>
      </c>
      <c r="D37" s="19" t="n">
        <v>581</v>
      </c>
      <c r="E37" s="18" t="n">
        <v>40.28888109</v>
      </c>
      <c r="F37" s="20" t="n">
        <v>2.15060091</v>
      </c>
      <c r="G37" s="18" t="n">
        <v>16.74335436</v>
      </c>
      <c r="H37" s="20" t="n">
        <v>1.62504733</v>
      </c>
      <c r="I37" s="18" t="n">
        <v>40.05780129</v>
      </c>
      <c r="J37" s="20" t="n">
        <v>2.10111012</v>
      </c>
      <c r="K37" s="18" t="n">
        <v>0</v>
      </c>
      <c r="L37" s="20" t="n">
        <v>0</v>
      </c>
      <c r="M37" s="18" t="n">
        <v>0.1965048</v>
      </c>
      <c r="N37" s="20" t="n">
        <v>0.19582363</v>
      </c>
      <c r="O37" s="18" t="n">
        <v>0</v>
      </c>
      <c r="P37" s="20" t="n">
        <v>0</v>
      </c>
      <c r="Q37" s="18" t="n">
        <v>0</v>
      </c>
      <c r="R37" s="20" t="n">
        <v>0</v>
      </c>
      <c r="S37" s="18" t="n">
        <v>2.71345846</v>
      </c>
      <c r="T37" s="20" t="n">
        <v>0.78059109</v>
      </c>
    </row>
    <row r="38" spans="1:20">
      <c r="A38" s="15" t="s">
        <v>596</v>
      </c>
      <c r="B38" s="17" t="n">
        <v>2807</v>
      </c>
      <c r="C38" s="18">
        <f>(2184.0/B38*100)</f>
        <v/>
      </c>
      <c r="D38" s="19" t="n">
        <v>623</v>
      </c>
      <c r="E38" s="18" t="n">
        <v>42.00189308</v>
      </c>
      <c r="F38" s="20" t="n">
        <v>2.39296912</v>
      </c>
      <c r="G38" s="18" t="n">
        <v>16.69244497</v>
      </c>
      <c r="H38" s="20" t="n">
        <v>1.85388376</v>
      </c>
      <c r="I38" s="18" t="n">
        <v>37.25494315</v>
      </c>
      <c r="J38" s="20" t="n">
        <v>2.80315313</v>
      </c>
      <c r="K38" s="18" t="n">
        <v>0</v>
      </c>
      <c r="L38" s="20" t="n">
        <v>0</v>
      </c>
      <c r="M38" s="18" t="n">
        <v>0.14700552</v>
      </c>
      <c r="N38" s="20" t="n">
        <v>0.11897561</v>
      </c>
      <c r="O38" s="18" t="n">
        <v>1.8143084</v>
      </c>
      <c r="P38" s="20" t="n">
        <v>0.5911912499999999</v>
      </c>
      <c r="Q38" s="18" t="n">
        <v>0</v>
      </c>
      <c r="R38" s="20" t="n">
        <v>0</v>
      </c>
      <c r="S38" s="18" t="n">
        <v>2.08940488</v>
      </c>
      <c r="T38" s="20" t="n">
        <v>0.55796935</v>
      </c>
    </row>
    <row r="39" spans="1:20">
      <c r="A39" s="15" t="s">
        <v>597</v>
      </c>
      <c r="B39" s="17" t="n">
        <v>2938</v>
      </c>
      <c r="C39" s="18">
        <f>(2309.0/B39*100)</f>
        <v/>
      </c>
      <c r="D39" s="19" t="n">
        <v>629</v>
      </c>
      <c r="E39" s="18" t="n">
        <v>71.92106514</v>
      </c>
      <c r="F39" s="20" t="n">
        <v>2.0309218</v>
      </c>
      <c r="G39" s="18" t="n">
        <v>15.39448508</v>
      </c>
      <c r="H39" s="20" t="n">
        <v>1.399189</v>
      </c>
      <c r="I39" s="18" t="n">
        <v>10.53765345</v>
      </c>
      <c r="J39" s="20" t="n">
        <v>1.59630674</v>
      </c>
      <c r="K39" s="18" t="n">
        <v>0</v>
      </c>
      <c r="L39" s="20" t="n">
        <v>0</v>
      </c>
      <c r="M39" s="18" t="n">
        <v>0</v>
      </c>
      <c r="N39" s="20" t="n">
        <v>0</v>
      </c>
      <c r="O39" s="18" t="n">
        <v>0</v>
      </c>
      <c r="P39" s="20" t="n">
        <v>0</v>
      </c>
      <c r="Q39" s="18" t="n">
        <v>0</v>
      </c>
      <c r="R39" s="20" t="n">
        <v>0</v>
      </c>
      <c r="S39" s="18" t="n">
        <v>2.14679633</v>
      </c>
      <c r="T39" s="20" t="n">
        <v>0.5961209</v>
      </c>
    </row>
    <row r="40" spans="1:20">
      <c r="A40" s="15" t="s">
        <v>598</v>
      </c>
      <c r="B40" s="17" t="n">
        <v>6922</v>
      </c>
      <c r="C40" s="18">
        <f>(5327.0/B40*100)</f>
        <v/>
      </c>
      <c r="D40" s="19" t="n">
        <v>1595</v>
      </c>
      <c r="E40" s="18" t="n">
        <v>51.87426902</v>
      </c>
      <c r="F40" s="20" t="n">
        <v>1.70770183</v>
      </c>
      <c r="G40" s="18" t="n">
        <v>12.3622497</v>
      </c>
      <c r="H40" s="20" t="n">
        <v>1.42684193</v>
      </c>
      <c r="I40" s="18" t="n">
        <v>34.83809289</v>
      </c>
      <c r="J40" s="20" t="n">
        <v>1.51999349</v>
      </c>
      <c r="K40" s="18" t="n">
        <v>0</v>
      </c>
      <c r="L40" s="20" t="n">
        <v>0</v>
      </c>
      <c r="M40" s="18" t="n">
        <v>0.01776468</v>
      </c>
      <c r="N40" s="20" t="n">
        <v>0.01778357</v>
      </c>
      <c r="O40" s="18" t="n">
        <v>0</v>
      </c>
      <c r="P40" s="20" t="n">
        <v>0</v>
      </c>
      <c r="Q40" s="18" t="n">
        <v>0</v>
      </c>
      <c r="R40" s="20" t="n">
        <v>0</v>
      </c>
      <c r="S40" s="18" t="n">
        <v>0.90762371</v>
      </c>
      <c r="T40" s="20" t="n">
        <v>0.33431263</v>
      </c>
    </row>
    <row r="41" spans="1:20">
      <c r="A41" s="15" t="s">
        <v>599</v>
      </c>
      <c r="B41" s="17" t="n">
        <v>2854</v>
      </c>
      <c r="C41" s="18">
        <f>(2202.0/B41*100)</f>
        <v/>
      </c>
      <c r="D41" s="19" t="n">
        <v>652</v>
      </c>
      <c r="E41" s="18" t="n">
        <v>56.08282542</v>
      </c>
      <c r="F41" s="20" t="n">
        <v>2.14116352</v>
      </c>
      <c r="G41" s="18" t="n">
        <v>10.5491725</v>
      </c>
      <c r="H41" s="20" t="n">
        <v>1.49746741</v>
      </c>
      <c r="I41" s="18" t="n">
        <v>32.29671302</v>
      </c>
      <c r="J41" s="20" t="n">
        <v>2.06305999</v>
      </c>
      <c r="K41" s="18" t="n">
        <v>0</v>
      </c>
      <c r="L41" s="20" t="n">
        <v>0</v>
      </c>
      <c r="M41" s="18" t="n">
        <v>0.15382121</v>
      </c>
      <c r="N41" s="20" t="n">
        <v>0.14877652</v>
      </c>
      <c r="O41" s="18" t="n">
        <v>0</v>
      </c>
      <c r="P41" s="20" t="n">
        <v>0</v>
      </c>
      <c r="Q41" s="18" t="n">
        <v>0</v>
      </c>
      <c r="R41" s="20" t="n">
        <v>0</v>
      </c>
      <c r="S41" s="18" t="n">
        <v>0.91746785</v>
      </c>
      <c r="T41" s="20" t="n">
        <v>0.34793057</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12073</v>
      </c>
      <c r="C46" s="18">
        <f>(9776.0/B46*100)</f>
        <v/>
      </c>
      <c r="D46" s="19" t="n">
        <v>2297</v>
      </c>
      <c r="E46" s="18" t="n">
        <v>59.83827003</v>
      </c>
      <c r="F46" s="20" t="n">
        <v>1.15748501</v>
      </c>
      <c r="G46" s="18" t="n">
        <v>19.88704245</v>
      </c>
      <c r="H46" s="20" t="n">
        <v>1.05829592</v>
      </c>
      <c r="I46" s="18" t="n">
        <v>12.4553271</v>
      </c>
      <c r="J46" s="20" t="n">
        <v>0.93368921</v>
      </c>
      <c r="K46" s="18" t="n">
        <v>0</v>
      </c>
      <c r="L46" s="20" t="n">
        <v>0</v>
      </c>
      <c r="M46" s="18" t="n">
        <v>0.54033611</v>
      </c>
      <c r="N46" s="20" t="n">
        <v>0.25724549</v>
      </c>
      <c r="O46" s="18" t="n">
        <v>0.44516062</v>
      </c>
      <c r="P46" s="20" t="n">
        <v>0.18133922</v>
      </c>
      <c r="Q46" s="18" t="n">
        <v>0</v>
      </c>
      <c r="R46" s="20" t="n">
        <v>0</v>
      </c>
      <c r="S46" s="18" t="n">
        <v>6.83386369</v>
      </c>
      <c r="T46" s="20" t="n">
        <v>0.6580071</v>
      </c>
    </row>
    <row r="47" spans="1:20">
      <c r="A47" s="15" t="s">
        <v>606</v>
      </c>
      <c r="B47" s="17" t="n">
        <v>2823</v>
      </c>
      <c r="C47" s="18">
        <f>(2191.0/B47*100)</f>
        <v/>
      </c>
      <c r="D47" s="19" t="n">
        <v>632</v>
      </c>
      <c r="E47" s="18" t="n">
        <v>51.02246542</v>
      </c>
      <c r="F47" s="20" t="n">
        <v>1.64920981</v>
      </c>
      <c r="G47" s="18" t="n">
        <v>23.07957594</v>
      </c>
      <c r="H47" s="20" t="n">
        <v>1.70906579</v>
      </c>
      <c r="I47" s="18" t="n">
        <v>21.88070367</v>
      </c>
      <c r="J47" s="20" t="n">
        <v>1.68485458</v>
      </c>
      <c r="K47" s="18" t="n">
        <v>0</v>
      </c>
      <c r="L47" s="20" t="n">
        <v>0</v>
      </c>
      <c r="M47" s="18" t="n">
        <v>0.31233077</v>
      </c>
      <c r="N47" s="20" t="n">
        <v>0.22389742</v>
      </c>
      <c r="O47" s="18" t="n">
        <v>0</v>
      </c>
      <c r="P47" s="20" t="n">
        <v>0</v>
      </c>
      <c r="Q47" s="18" t="n">
        <v>0</v>
      </c>
      <c r="R47" s="20" t="n">
        <v>0</v>
      </c>
      <c r="S47" s="18" t="n">
        <v>3.7049242</v>
      </c>
      <c r="T47" s="20" t="n">
        <v>0.78176102</v>
      </c>
    </row>
    <row r="48" spans="1:20">
      <c r="A48" s="15" t="s">
        <v>607</v>
      </c>
      <c r="B48" s="17" t="n">
        <v>4682</v>
      </c>
      <c r="C48" s="18">
        <f>(3630.0/B48*100)</f>
        <v/>
      </c>
      <c r="D48" s="19" t="n">
        <v>1052</v>
      </c>
      <c r="E48" s="18" t="n">
        <v>44.91902852</v>
      </c>
      <c r="F48" s="20" t="n">
        <v>1.90997714</v>
      </c>
      <c r="G48" s="18" t="n">
        <v>18.64249789</v>
      </c>
      <c r="H48" s="20" t="n">
        <v>1.29797906</v>
      </c>
      <c r="I48" s="18" t="n">
        <v>34.88229511</v>
      </c>
      <c r="J48" s="20" t="n">
        <v>2.30273511</v>
      </c>
      <c r="K48" s="18" t="n">
        <v>0</v>
      </c>
      <c r="L48" s="20" t="n">
        <v>0</v>
      </c>
      <c r="M48" s="18" t="n">
        <v>0.17107441</v>
      </c>
      <c r="N48" s="20" t="n">
        <v>0.17017166</v>
      </c>
      <c r="O48" s="18" t="n">
        <v>0</v>
      </c>
      <c r="P48" s="20" t="n">
        <v>0</v>
      </c>
      <c r="Q48" s="18" t="n">
        <v>0</v>
      </c>
      <c r="R48" s="20" t="n">
        <v>0</v>
      </c>
      <c r="S48" s="18" t="n">
        <v>1.38510407</v>
      </c>
      <c r="T48" s="20" t="n">
        <v>0.46759924</v>
      </c>
    </row>
    <row r="49" spans="1:20">
      <c r="A49" s="15" t="s">
        <v>608</v>
      </c>
      <c r="B49" s="17" t="n">
        <v>6158</v>
      </c>
      <c r="C49" s="18">
        <f>(4806.0/B49*100)</f>
        <v/>
      </c>
      <c r="D49" s="19" t="n">
        <v>1352</v>
      </c>
      <c r="E49" s="18" t="n">
        <v>58.02246481</v>
      </c>
      <c r="F49" s="20" t="n">
        <v>1.71487239</v>
      </c>
      <c r="G49" s="18" t="n">
        <v>23.47559985</v>
      </c>
      <c r="H49" s="20" t="n">
        <v>1.32557527</v>
      </c>
      <c r="I49" s="18" t="n">
        <v>16.91166239</v>
      </c>
      <c r="J49" s="20" t="n">
        <v>1.34759598</v>
      </c>
      <c r="K49" s="18" t="n">
        <v>0</v>
      </c>
      <c r="L49" s="20" t="n">
        <v>0</v>
      </c>
      <c r="M49" s="18" t="n">
        <v>0.13917699</v>
      </c>
      <c r="N49" s="20" t="n">
        <v>0.10389349</v>
      </c>
      <c r="O49" s="18" t="n">
        <v>0.04862319</v>
      </c>
      <c r="P49" s="20" t="n">
        <v>0.03044281</v>
      </c>
      <c r="Q49" s="18" t="n">
        <v>0</v>
      </c>
      <c r="R49" s="20" t="n">
        <v>0</v>
      </c>
      <c r="S49" s="18" t="n">
        <v>1.40247277</v>
      </c>
      <c r="T49" s="20" t="n">
        <v>0.46650445</v>
      </c>
    </row>
    <row r="50" spans="1:20">
      <c r="A50" s="15" t="s">
        <v>609</v>
      </c>
      <c r="B50" s="17" t="n">
        <v>3494</v>
      </c>
      <c r="C50" s="18">
        <f>(2848.0/B50*100)</f>
        <v/>
      </c>
      <c r="D50" s="19" t="n">
        <v>646</v>
      </c>
      <c r="E50" s="18" t="n">
        <v>57.02501255</v>
      </c>
      <c r="F50" s="20" t="n">
        <v>2.08966184</v>
      </c>
      <c r="G50" s="18" t="n">
        <v>23.8799265</v>
      </c>
      <c r="H50" s="20" t="n">
        <v>1.5118984</v>
      </c>
      <c r="I50" s="18" t="n">
        <v>16.69136421</v>
      </c>
      <c r="J50" s="20" t="n">
        <v>1.73978351</v>
      </c>
      <c r="K50" s="18" t="n">
        <v>0</v>
      </c>
      <c r="L50" s="20" t="n">
        <v>0</v>
      </c>
      <c r="M50" s="18" t="n">
        <v>0.14838182</v>
      </c>
      <c r="N50" s="20" t="n">
        <v>0.14767468</v>
      </c>
      <c r="O50" s="18" t="n">
        <v>0</v>
      </c>
      <c r="P50" s="20" t="n">
        <v>0</v>
      </c>
      <c r="Q50" s="18" t="n">
        <v>0</v>
      </c>
      <c r="R50" s="20" t="n">
        <v>0</v>
      </c>
      <c r="S50" s="18" t="n">
        <v>2.25531492</v>
      </c>
      <c r="T50" s="20" t="n">
        <v>0.68153506</v>
      </c>
    </row>
    <row r="51" spans="1:20">
      <c r="A51" s="15" t="s">
        <v>610</v>
      </c>
      <c r="B51" s="17" t="n">
        <v>3013</v>
      </c>
      <c r="C51" s="18">
        <f>(2319.0/B51*100)</f>
        <v/>
      </c>
      <c r="D51" s="19" t="n">
        <v>694</v>
      </c>
      <c r="E51" s="18" t="n">
        <v>48.16963123</v>
      </c>
      <c r="F51" s="20" t="n">
        <v>1.82272507</v>
      </c>
      <c r="G51" s="18" t="n">
        <v>24.71252627</v>
      </c>
      <c r="H51" s="20" t="n">
        <v>1.89213696</v>
      </c>
      <c r="I51" s="18" t="n">
        <v>25.67918616</v>
      </c>
      <c r="J51" s="20" t="n">
        <v>1.81024792</v>
      </c>
      <c r="K51" s="18" t="n">
        <v>0</v>
      </c>
      <c r="L51" s="20" t="n">
        <v>0</v>
      </c>
      <c r="M51" s="18" t="n">
        <v>0</v>
      </c>
      <c r="N51" s="20" t="n">
        <v>0</v>
      </c>
      <c r="O51" s="18" t="n">
        <v>0</v>
      </c>
      <c r="P51" s="20" t="n">
        <v>0</v>
      </c>
      <c r="Q51" s="18" t="n">
        <v>0</v>
      </c>
      <c r="R51" s="20" t="n">
        <v>0</v>
      </c>
      <c r="S51" s="18" t="n">
        <v>1.43865633</v>
      </c>
      <c r="T51" s="20" t="n">
        <v>0.35536693</v>
      </c>
    </row>
    <row r="52" spans="1:20">
      <c r="A52" s="15" t="s">
        <v>611</v>
      </c>
      <c r="B52" s="17" t="n">
        <v>2760</v>
      </c>
      <c r="C52" s="18">
        <f>(2115.0/B52*100)</f>
        <v/>
      </c>
      <c r="D52" s="19" t="n">
        <v>645</v>
      </c>
      <c r="E52" s="18" t="n">
        <v>58.57743146</v>
      </c>
      <c r="F52" s="20" t="n">
        <v>1.87794835</v>
      </c>
      <c r="G52" s="18" t="n">
        <v>24.06106972</v>
      </c>
      <c r="H52" s="20" t="n">
        <v>1.52460225</v>
      </c>
      <c r="I52" s="18" t="n">
        <v>14.62212344</v>
      </c>
      <c r="J52" s="20" t="n">
        <v>1.48229397</v>
      </c>
      <c r="K52" s="18" t="n">
        <v>0</v>
      </c>
      <c r="L52" s="20" t="n">
        <v>0</v>
      </c>
      <c r="M52" s="18" t="n">
        <v>0</v>
      </c>
      <c r="N52" s="20" t="n">
        <v>0</v>
      </c>
      <c r="O52" s="18" t="n">
        <v>0</v>
      </c>
      <c r="P52" s="20" t="n">
        <v>0</v>
      </c>
      <c r="Q52" s="18" t="n">
        <v>0</v>
      </c>
      <c r="R52" s="20" t="n">
        <v>0</v>
      </c>
      <c r="S52" s="18" t="n">
        <v>2.73937539</v>
      </c>
      <c r="T52" s="20" t="n">
        <v>0.70036537</v>
      </c>
    </row>
    <row r="53" spans="1:20">
      <c r="A53" s="15" t="s">
        <v>612</v>
      </c>
      <c r="B53" s="17" t="n">
        <v>2474</v>
      </c>
      <c r="C53" s="18">
        <f>(1937.0/B53*100)</f>
        <v/>
      </c>
      <c r="D53" s="19" t="n">
        <v>537</v>
      </c>
      <c r="E53" s="18" t="n">
        <v>59.66542367</v>
      </c>
      <c r="F53" s="20" t="n">
        <v>2.49081818</v>
      </c>
      <c r="G53" s="18" t="n">
        <v>18.83967774</v>
      </c>
      <c r="H53" s="20" t="n">
        <v>1.97153498</v>
      </c>
      <c r="I53" s="18" t="n">
        <v>4.18685806</v>
      </c>
      <c r="J53" s="20" t="n">
        <v>0.83125686</v>
      </c>
      <c r="K53" s="18" t="n">
        <v>0</v>
      </c>
      <c r="L53" s="20" t="n">
        <v>0</v>
      </c>
      <c r="M53" s="18" t="n">
        <v>5.34898979</v>
      </c>
      <c r="N53" s="20" t="n">
        <v>1.23808815</v>
      </c>
      <c r="O53" s="18" t="n">
        <v>1.25086669</v>
      </c>
      <c r="P53" s="20" t="n">
        <v>1.36223691</v>
      </c>
      <c r="Q53" s="18" t="n">
        <v>0</v>
      </c>
      <c r="R53" s="20" t="n">
        <v>0</v>
      </c>
      <c r="S53" s="18" t="n">
        <v>10.70818405</v>
      </c>
      <c r="T53" s="20" t="n">
        <v>1.67425014</v>
      </c>
    </row>
    <row r="54" spans="1:20">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2675</v>
      </c>
      <c r="C55" s="18">
        <f>(2117.0/B55*100)</f>
        <v/>
      </c>
      <c r="D55" s="19" t="n">
        <v>558</v>
      </c>
      <c r="E55" s="18" t="n">
        <v>49.71415016</v>
      </c>
      <c r="F55" s="20" t="n">
        <v>2.51710385</v>
      </c>
      <c r="G55" s="18" t="n">
        <v>12.75721221</v>
      </c>
      <c r="H55" s="20" t="n">
        <v>1.72424921</v>
      </c>
      <c r="I55" s="18" t="n">
        <v>36.35889872</v>
      </c>
      <c r="J55" s="20" t="n">
        <v>2.45711164</v>
      </c>
      <c r="K55" s="18" t="n">
        <v>0</v>
      </c>
      <c r="L55" s="20" t="n">
        <v>0</v>
      </c>
      <c r="M55" s="18" t="n">
        <v>0.16105058</v>
      </c>
      <c r="N55" s="20" t="n">
        <v>0.16535867</v>
      </c>
      <c r="O55" s="18" t="n">
        <v>0</v>
      </c>
      <c r="P55" s="20" t="n">
        <v>0</v>
      </c>
      <c r="Q55" s="18" t="n">
        <v>0</v>
      </c>
      <c r="R55" s="20" t="n">
        <v>0</v>
      </c>
      <c r="S55" s="18" t="n">
        <v>1.00868833</v>
      </c>
      <c r="T55" s="20" t="n">
        <v>0.41300664</v>
      </c>
    </row>
    <row r="56" spans="1:20">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3201</v>
      </c>
      <c r="C61" s="18">
        <f>(2491.0/B61*100)</f>
        <v/>
      </c>
      <c r="D61" s="19" t="n">
        <v>710</v>
      </c>
      <c r="E61" s="18" t="n">
        <v>50.50587061</v>
      </c>
      <c r="F61" s="20" t="n">
        <v>1.80525597</v>
      </c>
      <c r="G61" s="18" t="n">
        <v>23.70523605</v>
      </c>
      <c r="H61" s="20" t="n">
        <v>1.72236027</v>
      </c>
      <c r="I61" s="18" t="n">
        <v>24.74203099</v>
      </c>
      <c r="J61" s="20" t="n">
        <v>1.76234588</v>
      </c>
      <c r="K61" s="18" t="n">
        <v>0</v>
      </c>
      <c r="L61" s="20" t="n">
        <v>0</v>
      </c>
      <c r="M61" s="18" t="n">
        <v>0</v>
      </c>
      <c r="N61" s="20" t="n">
        <v>0</v>
      </c>
      <c r="O61" s="18" t="n">
        <v>0.17527703</v>
      </c>
      <c r="P61" s="20" t="n">
        <v>0.17475187</v>
      </c>
      <c r="Q61" s="18" t="n">
        <v>0</v>
      </c>
      <c r="R61" s="20" t="n">
        <v>0</v>
      </c>
      <c r="S61" s="18" t="n">
        <v>0.87158532</v>
      </c>
      <c r="T61" s="20" t="n">
        <v>0.37783288</v>
      </c>
    </row>
    <row r="62" spans="1:20">
      <c r="A62" s="15" t="s">
        <v>622</v>
      </c>
      <c r="B62" s="17" t="n">
        <v>2230</v>
      </c>
      <c r="C62" s="18">
        <f>(1755.0/B62*100)</f>
        <v/>
      </c>
      <c r="D62" s="19" t="n">
        <v>475</v>
      </c>
      <c r="E62" s="18" t="n">
        <v>46.96476342</v>
      </c>
      <c r="F62" s="20" t="n">
        <v>2.09464104</v>
      </c>
      <c r="G62" s="18" t="n">
        <v>14.19324694</v>
      </c>
      <c r="H62" s="20" t="n">
        <v>1.64926924</v>
      </c>
      <c r="I62" s="18" t="n">
        <v>38.84198963</v>
      </c>
      <c r="J62" s="20" t="n">
        <v>2.2313308</v>
      </c>
      <c r="K62" s="18" t="n">
        <v>0</v>
      </c>
      <c r="L62" s="20" t="n">
        <v>0</v>
      </c>
      <c r="M62" s="18" t="n">
        <v>0</v>
      </c>
      <c r="N62" s="20" t="n">
        <v>0</v>
      </c>
      <c r="O62" s="18" t="n">
        <v>0</v>
      </c>
      <c r="P62" s="20" t="n">
        <v>0</v>
      </c>
      <c r="Q62" s="18" t="n">
        <v>0</v>
      </c>
      <c r="R62" s="20" t="n">
        <v>0</v>
      </c>
      <c r="S62" s="18" t="n">
        <v>0</v>
      </c>
      <c r="T62" s="20" t="n">
        <v>0</v>
      </c>
    </row>
    <row r="63" spans="1:20">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2771</v>
      </c>
      <c r="C67" s="18">
        <f>(2164.0/B67*100)</f>
        <v/>
      </c>
      <c r="D67" s="19" t="n">
        <v>607</v>
      </c>
      <c r="E67" s="18" t="n">
        <v>48.97459649</v>
      </c>
      <c r="F67" s="20" t="n">
        <v>2.13179585</v>
      </c>
      <c r="G67" s="18" t="n">
        <v>32.34662403</v>
      </c>
      <c r="H67" s="20" t="n">
        <v>1.87286295</v>
      </c>
      <c r="I67" s="18" t="n">
        <v>12.6690454</v>
      </c>
      <c r="J67" s="20" t="n">
        <v>1.47957695</v>
      </c>
      <c r="K67" s="18" t="n">
        <v>0</v>
      </c>
      <c r="L67" s="20" t="n">
        <v>0</v>
      </c>
      <c r="M67" s="18" t="n">
        <v>0</v>
      </c>
      <c r="N67" s="20" t="n">
        <v>0</v>
      </c>
      <c r="O67" s="18" t="n">
        <v>0.77799688</v>
      </c>
      <c r="P67" s="20" t="n">
        <v>0.24747817</v>
      </c>
      <c r="Q67" s="18" t="n">
        <v>0</v>
      </c>
      <c r="R67" s="20" t="n">
        <v>0</v>
      </c>
      <c r="S67" s="18" t="n">
        <v>5.2317372</v>
      </c>
      <c r="T67" s="20" t="n">
        <v>0.76405035</v>
      </c>
    </row>
    <row r="68" spans="1:20">
      <c r="A68" s="15" t="s">
        <v>628</v>
      </c>
      <c r="B68" s="17" t="n">
        <v>3460</v>
      </c>
      <c r="C68" s="18">
        <f>(2735.0/B68*100)</f>
        <v/>
      </c>
      <c r="D68" s="19" t="n">
        <v>725</v>
      </c>
      <c r="E68" s="18" t="n">
        <v>56.93737115</v>
      </c>
      <c r="F68" s="20" t="n">
        <v>1.85362088</v>
      </c>
      <c r="G68" s="18" t="n">
        <v>22.99223159</v>
      </c>
      <c r="H68" s="20" t="n">
        <v>1.58123348</v>
      </c>
      <c r="I68" s="18" t="n">
        <v>15.1703139</v>
      </c>
      <c r="J68" s="20" t="n">
        <v>1.37471577</v>
      </c>
      <c r="K68" s="18" t="n">
        <v>0</v>
      </c>
      <c r="L68" s="20" t="n">
        <v>0</v>
      </c>
      <c r="M68" s="18" t="n">
        <v>0</v>
      </c>
      <c r="N68" s="20" t="n">
        <v>0</v>
      </c>
      <c r="O68" s="18" t="n">
        <v>1.14212527</v>
      </c>
      <c r="P68" s="20" t="n">
        <v>0.50379961</v>
      </c>
      <c r="Q68" s="18" t="n">
        <v>0</v>
      </c>
      <c r="R68" s="20" t="n">
        <v>0</v>
      </c>
      <c r="S68" s="18" t="n">
        <v>3.75795809</v>
      </c>
      <c r="T68" s="20" t="n">
        <v>0.86358564</v>
      </c>
    </row>
    <row r="69" spans="1:20">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6034</v>
      </c>
      <c r="C70" s="18">
        <f>(4682.0/B70*100)</f>
        <v/>
      </c>
      <c r="D70" s="19" t="n">
        <v>1352</v>
      </c>
      <c r="E70" s="18" t="n">
        <v>57.95870888</v>
      </c>
      <c r="F70" s="20" t="n">
        <v>1.50519241</v>
      </c>
      <c r="G70" s="18" t="n">
        <v>22.38336805</v>
      </c>
      <c r="H70" s="20" t="n">
        <v>1.07947081</v>
      </c>
      <c r="I70" s="18" t="n">
        <v>15.94300965</v>
      </c>
      <c r="J70" s="20" t="n">
        <v>1.03894796</v>
      </c>
      <c r="K70" s="18" t="n">
        <v>0</v>
      </c>
      <c r="L70" s="20" t="n">
        <v>0</v>
      </c>
      <c r="M70" s="18" t="n">
        <v>0.43404285</v>
      </c>
      <c r="N70" s="20" t="n">
        <v>0.17780884</v>
      </c>
      <c r="O70" s="18" t="n">
        <v>0</v>
      </c>
      <c r="P70" s="20" t="n">
        <v>0</v>
      </c>
      <c r="Q70" s="18" t="n">
        <v>0</v>
      </c>
      <c r="R70" s="20" t="n">
        <v>0</v>
      </c>
      <c r="S70" s="18" t="n">
        <v>3.28087057</v>
      </c>
      <c r="T70" s="20" t="n">
        <v>0.48967448</v>
      </c>
    </row>
    <row r="71" spans="1:20">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3107</v>
      </c>
      <c r="C72" s="18">
        <f>(2404.0/B72*100)</f>
        <v/>
      </c>
      <c r="D72" s="19" t="n">
        <v>703</v>
      </c>
      <c r="E72" s="18" t="n">
        <v>49.18141583</v>
      </c>
      <c r="F72" s="20" t="n">
        <v>2.07219766</v>
      </c>
      <c r="G72" s="18" t="n">
        <v>23.63207035</v>
      </c>
      <c r="H72" s="20" t="n">
        <v>2.06284236</v>
      </c>
      <c r="I72" s="18" t="n">
        <v>25.50115619</v>
      </c>
      <c r="J72" s="20" t="n">
        <v>1.91192981</v>
      </c>
      <c r="K72" s="18" t="n">
        <v>0</v>
      </c>
      <c r="L72" s="20" t="n">
        <v>0</v>
      </c>
      <c r="M72" s="18" t="n">
        <v>0.12226148</v>
      </c>
      <c r="N72" s="20" t="n">
        <v>0.12373328</v>
      </c>
      <c r="O72" s="18" t="n">
        <v>0</v>
      </c>
      <c r="P72" s="20" t="n">
        <v>0</v>
      </c>
      <c r="Q72" s="18" t="n">
        <v>0</v>
      </c>
      <c r="R72" s="20" t="n">
        <v>0</v>
      </c>
      <c r="S72" s="18" t="n">
        <v>1.56309614</v>
      </c>
      <c r="T72" s="20" t="n">
        <v>0.56047569</v>
      </c>
    </row>
    <row r="73" spans="1:20">
      <c r="A73" s="15" t="s">
        <v>633</v>
      </c>
      <c r="B73" s="17" t="n">
        <v>2973</v>
      </c>
      <c r="C73" s="18">
        <f>(2318.0/B73*100)</f>
        <v/>
      </c>
      <c r="D73" s="19" t="n">
        <v>655</v>
      </c>
      <c r="E73" s="18" t="n">
        <v>41.98173725</v>
      </c>
      <c r="F73" s="20" t="n">
        <v>2.14681137</v>
      </c>
      <c r="G73" s="18" t="n">
        <v>8.7344095</v>
      </c>
      <c r="H73" s="20" t="n">
        <v>1.04995754</v>
      </c>
      <c r="I73" s="18" t="n">
        <v>48.73115176</v>
      </c>
      <c r="J73" s="20" t="n">
        <v>2.40198492</v>
      </c>
      <c r="K73" s="18" t="n">
        <v>0</v>
      </c>
      <c r="L73" s="20" t="n">
        <v>0</v>
      </c>
      <c r="M73" s="18" t="n">
        <v>0</v>
      </c>
      <c r="N73" s="20" t="n">
        <v>0</v>
      </c>
      <c r="O73" s="18" t="n">
        <v>0.16610665</v>
      </c>
      <c r="P73" s="20" t="n">
        <v>0.16545539</v>
      </c>
      <c r="Q73" s="18" t="n">
        <v>0</v>
      </c>
      <c r="R73" s="20" t="n">
        <v>0</v>
      </c>
      <c r="S73" s="18" t="n">
        <v>0.38659485</v>
      </c>
      <c r="T73" s="20" t="n">
        <v>0.22859084</v>
      </c>
    </row>
    <row r="74" spans="1:20">
      <c r="A74" s="15" t="s">
        <v>634</v>
      </c>
      <c r="B74" s="17" t="n">
        <v>3819</v>
      </c>
      <c r="C74" s="18">
        <f>(3002.0/B74*100)</f>
        <v/>
      </c>
      <c r="D74" s="19" t="n">
        <v>817</v>
      </c>
      <c r="E74" s="18" t="n">
        <v>37.56431372</v>
      </c>
      <c r="F74" s="20" t="n">
        <v>1.9019063</v>
      </c>
      <c r="G74" s="18" t="n">
        <v>18.76913546</v>
      </c>
      <c r="H74" s="20" t="n">
        <v>1.33111064</v>
      </c>
      <c r="I74" s="18" t="n">
        <v>42.75788902</v>
      </c>
      <c r="J74" s="20" t="n">
        <v>1.92724265</v>
      </c>
      <c r="K74" s="18" t="n">
        <v>0</v>
      </c>
      <c r="L74" s="20" t="n">
        <v>0</v>
      </c>
      <c r="M74" s="18" t="n">
        <v>0</v>
      </c>
      <c r="N74" s="20" t="n">
        <v>0</v>
      </c>
      <c r="O74" s="18" t="n">
        <v>0</v>
      </c>
      <c r="P74" s="20" t="n">
        <v>0</v>
      </c>
      <c r="Q74" s="18" t="n">
        <v>0</v>
      </c>
      <c r="R74" s="20" t="n">
        <v>0</v>
      </c>
      <c r="S74" s="18" t="n">
        <v>0.9086618</v>
      </c>
      <c r="T74" s="20" t="n">
        <v>0.31757833</v>
      </c>
    </row>
    <row r="75" spans="1:20">
      <c r="A75" s="15" t="s">
        <v>635</v>
      </c>
      <c r="B75" s="17" t="n">
        <v>4652</v>
      </c>
      <c r="C75" s="18">
        <f>(3647.0/B75*100)</f>
        <v/>
      </c>
      <c r="D75" s="19" t="n">
        <v>1005</v>
      </c>
      <c r="E75" s="18" t="n">
        <v>77.32630887000001</v>
      </c>
      <c r="F75" s="20" t="n">
        <v>1.61340628</v>
      </c>
      <c r="G75" s="18" t="n">
        <v>9.885548699999999</v>
      </c>
      <c r="H75" s="20" t="n">
        <v>1.05365856</v>
      </c>
      <c r="I75" s="18" t="n">
        <v>11.01432392</v>
      </c>
      <c r="J75" s="20" t="n">
        <v>1.08245885</v>
      </c>
      <c r="K75" s="18" t="n">
        <v>0</v>
      </c>
      <c r="L75" s="20" t="n">
        <v>0</v>
      </c>
      <c r="M75" s="18" t="n">
        <v>0</v>
      </c>
      <c r="N75" s="20" t="n">
        <v>0</v>
      </c>
      <c r="O75" s="18" t="n">
        <v>0.64218358</v>
      </c>
      <c r="P75" s="20" t="n">
        <v>0.25266545</v>
      </c>
      <c r="Q75" s="18" t="n">
        <v>0</v>
      </c>
      <c r="R75" s="20" t="n">
        <v>0</v>
      </c>
      <c r="S75" s="18" t="n">
        <v>1.13163492</v>
      </c>
      <c r="T75" s="20" t="n">
        <v>0.31622324</v>
      </c>
    </row>
    <row r="76" spans="1:20">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2969</v>
      </c>
      <c r="C77" s="18">
        <f>(2383.0/B77*100)</f>
        <v/>
      </c>
      <c r="D77" s="19" t="n">
        <v>586</v>
      </c>
      <c r="E77" s="18" t="n">
        <v>57.56784841</v>
      </c>
      <c r="F77" s="20" t="n">
        <v>2.14545526</v>
      </c>
      <c r="G77" s="18" t="n">
        <v>31.55480476</v>
      </c>
      <c r="H77" s="20" t="n">
        <v>1.99313897</v>
      </c>
      <c r="I77" s="18" t="n">
        <v>4.88619453</v>
      </c>
      <c r="J77" s="20" t="n">
        <v>1.12820116</v>
      </c>
      <c r="K77" s="18" t="n">
        <v>0</v>
      </c>
      <c r="L77" s="20" t="n">
        <v>0</v>
      </c>
      <c r="M77" s="18" t="n">
        <v>1.6404378</v>
      </c>
      <c r="N77" s="20" t="n">
        <v>0.61699275</v>
      </c>
      <c r="O77" s="18" t="n">
        <v>0.68305041</v>
      </c>
      <c r="P77" s="20" t="n">
        <v>0.35390452</v>
      </c>
      <c r="Q77" s="18" t="n">
        <v>0</v>
      </c>
      <c r="R77" s="20" t="n">
        <v>0</v>
      </c>
      <c r="S77" s="18" t="n">
        <v>3.66766409</v>
      </c>
      <c r="T77" s="20" t="n">
        <v>0.67826619</v>
      </c>
    </row>
    <row r="78" spans="1:20">
      <c r="A78" s="15" t="s">
        <v>638</v>
      </c>
      <c r="B78" s="17" t="n">
        <v>7115</v>
      </c>
      <c r="C78" s="18">
        <f>(5599.0/B78*100)</f>
        <v/>
      </c>
      <c r="D78" s="19" t="n">
        <v>1516</v>
      </c>
      <c r="E78" s="18" t="n">
        <v>59.83553585</v>
      </c>
      <c r="F78" s="20" t="n">
        <v>2.00151135</v>
      </c>
      <c r="G78" s="18" t="n">
        <v>20.41755791</v>
      </c>
      <c r="H78" s="20" t="n">
        <v>1.63116048</v>
      </c>
      <c r="I78" s="18" t="n">
        <v>17.19433506</v>
      </c>
      <c r="J78" s="20" t="n">
        <v>1.63302874</v>
      </c>
      <c r="K78" s="18" t="n">
        <v>0</v>
      </c>
      <c r="L78" s="20" t="n">
        <v>0</v>
      </c>
      <c r="M78" s="18" t="n">
        <v>0.15983124</v>
      </c>
      <c r="N78" s="20" t="n">
        <v>0.1062011</v>
      </c>
      <c r="O78" s="18" t="n">
        <v>0.5459643</v>
      </c>
      <c r="P78" s="20" t="n">
        <v>0.2885144</v>
      </c>
      <c r="Q78" s="18" t="n">
        <v>0</v>
      </c>
      <c r="R78" s="20" t="n">
        <v>0</v>
      </c>
      <c r="S78" s="18" t="n">
        <v>1.84677564</v>
      </c>
      <c r="T78" s="20" t="n">
        <v>0.29135048</v>
      </c>
    </row>
    <row r="79" spans="1:20">
      <c r="A79" s="15" t="s">
        <v>639</v>
      </c>
      <c r="B79" s="17" t="n">
        <v>3154</v>
      </c>
      <c r="C79" s="18">
        <f>(2446.0/B79*100)</f>
        <v/>
      </c>
      <c r="D79" s="19" t="n">
        <v>708</v>
      </c>
      <c r="E79" s="18" t="n">
        <v>55.12239572</v>
      </c>
      <c r="F79" s="20" t="n">
        <v>1.93790022</v>
      </c>
      <c r="G79" s="18" t="n">
        <v>19.76201537</v>
      </c>
      <c r="H79" s="20" t="n">
        <v>1.69144582</v>
      </c>
      <c r="I79" s="18" t="n">
        <v>21.49133947</v>
      </c>
      <c r="J79" s="20" t="n">
        <v>1.56138211</v>
      </c>
      <c r="K79" s="18" t="n">
        <v>0</v>
      </c>
      <c r="L79" s="20" t="n">
        <v>0</v>
      </c>
      <c r="M79" s="18" t="n">
        <v>0</v>
      </c>
      <c r="N79" s="20" t="n">
        <v>0</v>
      </c>
      <c r="O79" s="18" t="n">
        <v>0.30432924</v>
      </c>
      <c r="P79" s="20" t="n">
        <v>0.23169107</v>
      </c>
      <c r="Q79" s="18" t="n">
        <v>0</v>
      </c>
      <c r="R79" s="20" t="n">
        <v>0</v>
      </c>
      <c r="S79" s="18" t="n">
        <v>3.3199202</v>
      </c>
      <c r="T79" s="20" t="n">
        <v>0.74882737</v>
      </c>
    </row>
    <row r="80" spans="1:20">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15961</v>
      </c>
      <c r="C82" s="18">
        <f>(12492.0/B82*100)</f>
        <v/>
      </c>
      <c r="D82" s="19" t="n">
        <v>3469</v>
      </c>
      <c r="E82" s="18" t="n">
        <v>51.72226076</v>
      </c>
      <c r="F82" s="20" t="n">
        <v>1.10306394</v>
      </c>
      <c r="G82" s="18" t="n">
        <v>17.48826121</v>
      </c>
      <c r="H82" s="20" t="n">
        <v>0.91543938</v>
      </c>
      <c r="I82" s="18" t="n">
        <v>29.34852174</v>
      </c>
      <c r="J82" s="20" t="n">
        <v>1.10233068</v>
      </c>
      <c r="K82" s="18" t="n">
        <v>0</v>
      </c>
      <c r="L82" s="20" t="n">
        <v>0</v>
      </c>
      <c r="M82" s="18" t="n">
        <v>0.08609921</v>
      </c>
      <c r="N82" s="20" t="n">
        <v>0.05830033</v>
      </c>
      <c r="O82" s="18" t="n">
        <v>0.08974528</v>
      </c>
      <c r="P82" s="20" t="n">
        <v>0.08916459</v>
      </c>
      <c r="Q82" s="18" t="n">
        <v>0</v>
      </c>
      <c r="R82" s="20" t="n">
        <v>0</v>
      </c>
      <c r="S82" s="18" t="n">
        <v>1.26511181</v>
      </c>
      <c r="T82" s="20" t="n">
        <v>0.31164425</v>
      </c>
    </row>
    <row r="83" spans="1:20">
      <c r="A83" s="15" t="s">
        <v>643</v>
      </c>
      <c r="B83" s="17" t="n">
        <v>808</v>
      </c>
      <c r="C83" s="18">
        <f>(641.0/B83*100)</f>
        <v/>
      </c>
      <c r="D83" s="19" t="n">
        <v>167</v>
      </c>
      <c r="E83" s="18" t="n">
        <v>48.36682545</v>
      </c>
      <c r="F83" s="20" t="n">
        <v>3.68618306</v>
      </c>
      <c r="G83" s="18" t="n">
        <v>12.54996205</v>
      </c>
      <c r="H83" s="20" t="n">
        <v>2.38695511</v>
      </c>
      <c r="I83" s="18" t="n">
        <v>38.73535026</v>
      </c>
      <c r="J83" s="20" t="n">
        <v>3.42114236</v>
      </c>
      <c r="K83" s="18" t="n">
        <v>0</v>
      </c>
      <c r="L83" s="20" t="n">
        <v>0</v>
      </c>
      <c r="M83" s="18" t="n">
        <v>0</v>
      </c>
      <c r="N83" s="20" t="n">
        <v>0</v>
      </c>
      <c r="O83" s="18" t="n">
        <v>0</v>
      </c>
      <c r="P83" s="20" t="n">
        <v>0</v>
      </c>
      <c r="Q83" s="18" t="n">
        <v>0</v>
      </c>
      <c r="R83" s="20" t="n">
        <v>0</v>
      </c>
      <c r="S83" s="18" t="n">
        <v>0.34786224</v>
      </c>
      <c r="T83" s="20" t="n">
        <v>0.37252739</v>
      </c>
    </row>
    <row r="84" spans="1:20">
      <c r="A84" s="23" t="s">
        <v>644</v>
      </c>
      <c r="B84" s="24" t="n">
        <v>938</v>
      </c>
      <c r="C84" s="25">
        <f>(763.0/B84*100)</f>
        <v/>
      </c>
      <c r="D84" s="19" t="n">
        <v>175</v>
      </c>
      <c r="E84" s="18" t="n">
        <v>51.60098514</v>
      </c>
      <c r="F84" s="20" t="n">
        <v>4.32525116</v>
      </c>
      <c r="G84" s="18" t="n">
        <v>14.45584992</v>
      </c>
      <c r="H84" s="20" t="n">
        <v>2.78629479</v>
      </c>
      <c r="I84" s="18" t="n">
        <v>32.82648049</v>
      </c>
      <c r="J84" s="20" t="n">
        <v>3.86646398</v>
      </c>
      <c r="K84" s="18" t="n">
        <v>0</v>
      </c>
      <c r="L84" s="20" t="n">
        <v>0</v>
      </c>
      <c r="M84" s="18" t="n">
        <v>0</v>
      </c>
      <c r="N84" s="20" t="n">
        <v>0</v>
      </c>
      <c r="O84" s="18" t="n">
        <v>0</v>
      </c>
      <c r="P84" s="20" t="n">
        <v>0</v>
      </c>
      <c r="Q84" s="18" t="n">
        <v>0</v>
      </c>
      <c r="R84" s="20" t="n">
        <v>0</v>
      </c>
      <c r="S84" s="18" t="n">
        <v>1.11668446</v>
      </c>
      <c r="T84" s="20" t="n">
        <v>0.76838562</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(5565.0/B7*100)</f>
        <v/>
      </c>
      <c r="D7" s="19" t="n">
        <v>1598</v>
      </c>
      <c r="E7" s="18" t="n">
        <v>13.68249412</v>
      </c>
      <c r="F7" s="20" t="n">
        <v>0.99673108</v>
      </c>
      <c r="G7" s="18" t="n">
        <v>85.42089749</v>
      </c>
      <c r="H7" s="20" t="n">
        <v>1.04369091</v>
      </c>
      <c r="I7" s="18" t="n">
        <v>0</v>
      </c>
      <c r="J7" s="20" t="n">
        <v>0</v>
      </c>
      <c r="K7" s="18" t="n">
        <v>0.38618731</v>
      </c>
      <c r="L7" s="20" t="n">
        <v>0.19133268</v>
      </c>
      <c r="M7" s="18" t="n">
        <v>0</v>
      </c>
      <c r="N7" s="20" t="n">
        <v>0</v>
      </c>
      <c r="O7" s="18" t="n">
        <v>0</v>
      </c>
      <c r="P7" s="20" t="n">
        <v>0</v>
      </c>
      <c r="Q7" s="18" t="n">
        <v>0.51042108</v>
      </c>
      <c r="R7" s="20" t="n">
        <v>0.19586441</v>
      </c>
    </row>
    <row r="8" spans="1:18">
      <c r="A8" s="15" t="s">
        <v>566</v>
      </c>
      <c r="B8" s="17" t="n">
        <v>3443</v>
      </c>
      <c r="C8" s="18">
        <f>(2654.0/B8*100)</f>
        <v/>
      </c>
      <c r="D8" s="19" t="n">
        <v>789</v>
      </c>
      <c r="E8" s="18" t="n">
        <v>23.19013804</v>
      </c>
      <c r="F8" s="20" t="n">
        <v>1.72237207</v>
      </c>
      <c r="G8" s="18" t="n">
        <v>75.69971096</v>
      </c>
      <c r="H8" s="20" t="n">
        <v>1.73959659</v>
      </c>
      <c r="I8" s="18" t="n">
        <v>0</v>
      </c>
      <c r="J8" s="20" t="n">
        <v>0</v>
      </c>
      <c r="K8" s="18" t="n">
        <v>0.16884271</v>
      </c>
      <c r="L8" s="20" t="n">
        <v>0.16696921</v>
      </c>
      <c r="M8" s="18" t="n">
        <v>0</v>
      </c>
      <c r="N8" s="20" t="n">
        <v>0</v>
      </c>
      <c r="O8" s="18" t="n">
        <v>0</v>
      </c>
      <c r="P8" s="20" t="n">
        <v>0</v>
      </c>
      <c r="Q8" s="18" t="n">
        <v>0.94130828</v>
      </c>
      <c r="R8" s="20" t="n">
        <v>0.26047412</v>
      </c>
    </row>
    <row r="9" spans="1:18">
      <c r="A9" s="15" t="s">
        <v>567</v>
      </c>
      <c r="B9" s="17" t="n">
        <v>4752</v>
      </c>
      <c r="C9" s="18">
        <f>(3725.0/B9*100)</f>
        <v/>
      </c>
      <c r="D9" s="19" t="n">
        <v>1027</v>
      </c>
      <c r="E9" s="18" t="n">
        <v>17.50902799</v>
      </c>
      <c r="F9" s="20" t="n">
        <v>1.25331807</v>
      </c>
      <c r="G9" s="18" t="n">
        <v>81.86129526000001</v>
      </c>
      <c r="H9" s="20" t="n">
        <v>1.25327207</v>
      </c>
      <c r="I9" s="18" t="n">
        <v>0</v>
      </c>
      <c r="J9" s="20" t="n">
        <v>0</v>
      </c>
      <c r="K9" s="18" t="n">
        <v>0.08351728</v>
      </c>
      <c r="L9" s="20" t="n">
        <v>0.08722235</v>
      </c>
      <c r="M9" s="18" t="n">
        <v>0</v>
      </c>
      <c r="N9" s="20" t="n">
        <v>0</v>
      </c>
      <c r="O9" s="18" t="n">
        <v>0</v>
      </c>
      <c r="P9" s="20" t="n">
        <v>0</v>
      </c>
      <c r="Q9" s="18" t="n">
        <v>0.54615948</v>
      </c>
      <c r="R9" s="20" t="n">
        <v>0.25393521</v>
      </c>
    </row>
    <row r="10" spans="1:18">
      <c r="A10" s="15" t="s">
        <v>568</v>
      </c>
      <c r="B10" s="17" t="n">
        <v>10022</v>
      </c>
      <c r="C10" s="18">
        <f>(7807.0/B10*100)</f>
        <v/>
      </c>
      <c r="D10" s="19" t="n">
        <v>2215</v>
      </c>
      <c r="E10" s="18" t="n">
        <v>8.302928120000001</v>
      </c>
      <c r="F10" s="20" t="n">
        <v>0.77892162</v>
      </c>
      <c r="G10" s="18" t="n">
        <v>91.07859877</v>
      </c>
      <c r="H10" s="20" t="n">
        <v>0.806906</v>
      </c>
      <c r="I10" s="18" t="n">
        <v>0</v>
      </c>
      <c r="J10" s="20" t="n">
        <v>0</v>
      </c>
      <c r="K10" s="18" t="n">
        <v>0.33648505</v>
      </c>
      <c r="L10" s="20" t="n">
        <v>0.20732516</v>
      </c>
      <c r="M10" s="18" t="n">
        <v>0</v>
      </c>
      <c r="N10" s="20" t="n">
        <v>0</v>
      </c>
      <c r="O10" s="18" t="n">
        <v>0</v>
      </c>
      <c r="P10" s="20" t="n">
        <v>0</v>
      </c>
      <c r="Q10" s="18" t="n">
        <v>0.28198806</v>
      </c>
      <c r="R10" s="20" t="n">
        <v>0.14026587</v>
      </c>
    </row>
    <row r="11" spans="1:18">
      <c r="A11" s="15" t="s">
        <v>569</v>
      </c>
      <c r="B11" s="17" t="n">
        <v>3500</v>
      </c>
      <c r="C11" s="18">
        <f>(2757.0/B11*100)</f>
        <v/>
      </c>
      <c r="D11" s="19" t="n">
        <v>743</v>
      </c>
      <c r="E11" s="18" t="n">
        <v>34.75422487</v>
      </c>
      <c r="F11" s="20" t="n">
        <v>2.32326186</v>
      </c>
      <c r="G11" s="18" t="n">
        <v>64.32442760000001</v>
      </c>
      <c r="H11" s="20" t="n">
        <v>2.45289927</v>
      </c>
      <c r="I11" s="18" t="n">
        <v>0</v>
      </c>
      <c r="J11" s="20" t="n">
        <v>0</v>
      </c>
      <c r="K11" s="18" t="n">
        <v>0.14090804</v>
      </c>
      <c r="L11" s="20" t="n">
        <v>0.14220522</v>
      </c>
      <c r="M11" s="18" t="n">
        <v>0</v>
      </c>
      <c r="N11" s="20" t="n">
        <v>0</v>
      </c>
      <c r="O11" s="18" t="n">
        <v>0</v>
      </c>
      <c r="P11" s="20" t="n">
        <v>0</v>
      </c>
      <c r="Q11" s="18" t="n">
        <v>0.78043949</v>
      </c>
      <c r="R11" s="20" t="n">
        <v>0.45890469</v>
      </c>
    </row>
    <row r="12" spans="1:18">
      <c r="A12" s="15" t="s">
        <v>570</v>
      </c>
      <c r="B12" s="17" t="n">
        <v>3422</v>
      </c>
      <c r="C12" s="18">
        <f>(2682.0/B12*100)</f>
        <v/>
      </c>
      <c r="D12" s="19" t="n">
        <v>740</v>
      </c>
      <c r="E12" s="18" t="n">
        <v>18.84833853</v>
      </c>
      <c r="F12" s="20" t="n">
        <v>1.99614001</v>
      </c>
      <c r="G12" s="18" t="n">
        <v>80.87612193</v>
      </c>
      <c r="H12" s="20" t="n">
        <v>2.0121754</v>
      </c>
      <c r="I12" s="18" t="n">
        <v>0</v>
      </c>
      <c r="J12" s="20" t="n">
        <v>0</v>
      </c>
      <c r="K12" s="18" t="n">
        <v>0</v>
      </c>
      <c r="L12" s="20" t="n">
        <v>0</v>
      </c>
      <c r="M12" s="18" t="n">
        <v>0</v>
      </c>
      <c r="N12" s="20" t="n">
        <v>0</v>
      </c>
      <c r="O12" s="18" t="n">
        <v>0</v>
      </c>
      <c r="P12" s="20" t="n">
        <v>0</v>
      </c>
      <c r="Q12" s="18" t="n">
        <v>0.27553954</v>
      </c>
      <c r="R12" s="20" t="n">
        <v>0.19622088</v>
      </c>
    </row>
    <row r="13" spans="1:18">
      <c r="A13" s="15" t="s">
        <v>571</v>
      </c>
      <c r="B13" s="17" t="n">
        <v>3602</v>
      </c>
      <c r="C13" s="18">
        <f>(2796.0/B13*100)</f>
        <v/>
      </c>
      <c r="D13" s="19" t="n">
        <v>806</v>
      </c>
      <c r="E13" s="18" t="n">
        <v>17.51429145</v>
      </c>
      <c r="F13" s="20" t="n">
        <v>1.88979113</v>
      </c>
      <c r="G13" s="18" t="n">
        <v>81.47980371</v>
      </c>
      <c r="H13" s="20" t="n">
        <v>1.93312637</v>
      </c>
      <c r="I13" s="18" t="n">
        <v>0</v>
      </c>
      <c r="J13" s="20" t="n">
        <v>0</v>
      </c>
      <c r="K13" s="18" t="n">
        <v>0.30146252</v>
      </c>
      <c r="L13" s="20" t="n">
        <v>0.25768071</v>
      </c>
      <c r="M13" s="18" t="n">
        <v>0</v>
      </c>
      <c r="N13" s="20" t="n">
        <v>0</v>
      </c>
      <c r="O13" s="18" t="n">
        <v>0</v>
      </c>
      <c r="P13" s="20" t="n">
        <v>0</v>
      </c>
      <c r="Q13" s="18" t="n">
        <v>0.70444231</v>
      </c>
      <c r="R13" s="20" t="n">
        <v>0.3199447</v>
      </c>
    </row>
    <row r="14" spans="1:18">
      <c r="A14" s="15" t="s">
        <v>572</v>
      </c>
      <c r="B14" s="17" t="n">
        <v>2788</v>
      </c>
      <c r="C14" s="18">
        <f>(2135.0/B14*100)</f>
        <v/>
      </c>
      <c r="D14" s="19" t="n">
        <v>653</v>
      </c>
      <c r="E14" s="18" t="n">
        <v>15.56969669</v>
      </c>
      <c r="F14" s="20" t="n">
        <v>1.6127422</v>
      </c>
      <c r="G14" s="18" t="n">
        <v>84.3053022</v>
      </c>
      <c r="H14" s="20" t="n">
        <v>1.60960091</v>
      </c>
      <c r="I14" s="18" t="n">
        <v>0</v>
      </c>
      <c r="J14" s="20" t="n">
        <v>0</v>
      </c>
      <c r="K14" s="18" t="n">
        <v>0.12500111</v>
      </c>
      <c r="L14" s="20" t="n">
        <v>0.11139343</v>
      </c>
      <c r="M14" s="18" t="n">
        <v>0</v>
      </c>
      <c r="N14" s="20" t="n">
        <v>0</v>
      </c>
      <c r="O14" s="18" t="n">
        <v>0</v>
      </c>
      <c r="P14" s="20" t="n">
        <v>0</v>
      </c>
      <c r="Q14" s="18" t="n">
        <v>0</v>
      </c>
      <c r="R14" s="20" t="n">
        <v>0</v>
      </c>
    </row>
    <row r="15" spans="1:18">
      <c r="A15" s="15" t="s">
        <v>573</v>
      </c>
      <c r="B15" s="17" t="n">
        <v>2863</v>
      </c>
      <c r="C15" s="18">
        <f>(2252.0/B15*100)</f>
        <v/>
      </c>
      <c r="D15" s="19" t="n">
        <v>611</v>
      </c>
      <c r="E15" s="18" t="n">
        <v>14.64005926</v>
      </c>
      <c r="F15" s="20" t="n">
        <v>1.34998475</v>
      </c>
      <c r="G15" s="18" t="n">
        <v>85.35994074</v>
      </c>
      <c r="H15" s="20" t="n">
        <v>1.34998475</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(2389.0/B16*100)</f>
        <v/>
      </c>
      <c r="D16" s="19" t="n">
        <v>722</v>
      </c>
      <c r="E16" s="18" t="n">
        <v>16.16407846</v>
      </c>
      <c r="F16" s="20" t="n">
        <v>1.59201124</v>
      </c>
      <c r="G16" s="18" t="n">
        <v>82.35328812</v>
      </c>
      <c r="H16" s="20" t="n">
        <v>1.733945</v>
      </c>
      <c r="I16" s="18" t="n">
        <v>0</v>
      </c>
      <c r="J16" s="20" t="n">
        <v>0</v>
      </c>
      <c r="K16" s="18" t="n">
        <v>0.57965959</v>
      </c>
      <c r="L16" s="20" t="n">
        <v>0.28783679</v>
      </c>
      <c r="M16" s="18" t="n">
        <v>0</v>
      </c>
      <c r="N16" s="20" t="n">
        <v>0</v>
      </c>
      <c r="O16" s="18" t="n">
        <v>0</v>
      </c>
      <c r="P16" s="20" t="n">
        <v>0</v>
      </c>
      <c r="Q16" s="18" t="n">
        <v>0.90297383</v>
      </c>
      <c r="R16" s="20" t="n">
        <v>0.3708601</v>
      </c>
    </row>
    <row r="17" spans="1:18">
      <c r="A17" s="15" t="s">
        <v>575</v>
      </c>
      <c r="B17" s="17" t="n">
        <v>3197</v>
      </c>
      <c r="C17" s="18">
        <f>(2489.0/B17*100)</f>
        <v/>
      </c>
      <c r="D17" s="19" t="n">
        <v>708</v>
      </c>
      <c r="E17" s="18" t="n">
        <v>17.37138548</v>
      </c>
      <c r="F17" s="20" t="n">
        <v>1.42181897</v>
      </c>
      <c r="G17" s="18" t="n">
        <v>82.02796394000001</v>
      </c>
      <c r="H17" s="20" t="n">
        <v>1.46028713</v>
      </c>
      <c r="I17" s="18" t="n">
        <v>0</v>
      </c>
      <c r="J17" s="20" t="n">
        <v>0</v>
      </c>
      <c r="K17" s="18" t="n">
        <v>0</v>
      </c>
      <c r="L17" s="20" t="n">
        <v>0</v>
      </c>
      <c r="M17" s="18" t="n">
        <v>0</v>
      </c>
      <c r="N17" s="20" t="n">
        <v>0</v>
      </c>
      <c r="O17" s="18" t="n">
        <v>0</v>
      </c>
      <c r="P17" s="20" t="n">
        <v>0</v>
      </c>
      <c r="Q17" s="18" t="n">
        <v>0.60065058</v>
      </c>
      <c r="R17" s="20" t="n">
        <v>0.31168237</v>
      </c>
    </row>
    <row r="18" spans="1:18">
      <c r="A18" s="15" t="s">
        <v>576</v>
      </c>
      <c r="B18" s="17" t="n">
        <v>2706</v>
      </c>
      <c r="C18" s="18">
        <f>(2086.0/B18*100)</f>
        <v/>
      </c>
      <c r="D18" s="19" t="n">
        <v>620</v>
      </c>
      <c r="E18" s="18" t="n">
        <v>25.94320328</v>
      </c>
      <c r="F18" s="20" t="n">
        <v>1.76523958</v>
      </c>
      <c r="G18" s="18" t="n">
        <v>73.62739967</v>
      </c>
      <c r="H18" s="20" t="n">
        <v>1.79274416</v>
      </c>
      <c r="I18" s="18" t="n">
        <v>0</v>
      </c>
      <c r="J18" s="20" t="n">
        <v>0</v>
      </c>
      <c r="K18" s="18" t="n">
        <v>0</v>
      </c>
      <c r="L18" s="20" t="n">
        <v>0</v>
      </c>
      <c r="M18" s="18" t="n">
        <v>0</v>
      </c>
      <c r="N18" s="20" t="n">
        <v>0</v>
      </c>
      <c r="O18" s="18" t="n">
        <v>0</v>
      </c>
      <c r="P18" s="20" t="n">
        <v>0</v>
      </c>
      <c r="Q18" s="18" t="n">
        <v>0.42939705</v>
      </c>
      <c r="R18" s="20" t="n">
        <v>0.21760302</v>
      </c>
    </row>
    <row r="19" spans="1:18">
      <c r="A19" s="15" t="s">
        <v>577</v>
      </c>
      <c r="B19" s="17" t="n">
        <v>2850</v>
      </c>
      <c r="C19" s="18">
        <f>(2236.0/B19*100)</f>
        <v/>
      </c>
      <c r="D19" s="19" t="n">
        <v>614</v>
      </c>
      <c r="E19" s="18" t="n">
        <v>23.87435152</v>
      </c>
      <c r="F19" s="20" t="n">
        <v>2.14234926</v>
      </c>
      <c r="G19" s="18" t="n">
        <v>75.67339651</v>
      </c>
      <c r="H19" s="20" t="n">
        <v>2.14451013</v>
      </c>
      <c r="I19" s="18" t="n">
        <v>0</v>
      </c>
      <c r="J19" s="20" t="n">
        <v>0</v>
      </c>
      <c r="K19" s="18" t="n">
        <v>0</v>
      </c>
      <c r="L19" s="20" t="n">
        <v>0</v>
      </c>
      <c r="M19" s="18" t="n">
        <v>0</v>
      </c>
      <c r="N19" s="20" t="n">
        <v>0</v>
      </c>
      <c r="O19" s="18" t="n">
        <v>0</v>
      </c>
      <c r="P19" s="20" t="n">
        <v>0</v>
      </c>
      <c r="Q19" s="18" t="n">
        <v>0.45225197</v>
      </c>
      <c r="R19" s="20" t="n">
        <v>0.24701858</v>
      </c>
    </row>
    <row r="20" spans="1:18">
      <c r="A20" s="15" t="s">
        <v>578</v>
      </c>
      <c r="B20" s="17" t="n">
        <v>1741</v>
      </c>
      <c r="C20" s="18">
        <f>(1343.0/B20*100)</f>
        <v/>
      </c>
      <c r="D20" s="19" t="n">
        <v>398</v>
      </c>
      <c r="E20" s="18" t="n">
        <v>15.46117793</v>
      </c>
      <c r="F20" s="20" t="n">
        <v>1.70553147</v>
      </c>
      <c r="G20" s="18" t="n">
        <v>84.00465015</v>
      </c>
      <c r="H20" s="20" t="n">
        <v>1.76612923</v>
      </c>
      <c r="I20" s="18" t="n">
        <v>0</v>
      </c>
      <c r="J20" s="20" t="n">
        <v>0</v>
      </c>
      <c r="K20" s="18" t="n">
        <v>0</v>
      </c>
      <c r="L20" s="20" t="n">
        <v>0</v>
      </c>
      <c r="M20" s="18" t="n">
        <v>0</v>
      </c>
      <c r="N20" s="20" t="n">
        <v>0</v>
      </c>
      <c r="O20" s="18" t="n">
        <v>0</v>
      </c>
      <c r="P20" s="20" t="n">
        <v>0</v>
      </c>
      <c r="Q20" s="18" t="n">
        <v>0.53417192</v>
      </c>
      <c r="R20" s="20" t="n">
        <v>0.36754674</v>
      </c>
    </row>
    <row r="21" spans="1:18">
      <c r="A21" s="15" t="s">
        <v>579</v>
      </c>
      <c r="B21" s="17" t="n">
        <v>2833</v>
      </c>
      <c r="C21" s="18">
        <f>(2216.0/B21*100)</f>
        <v/>
      </c>
      <c r="D21" s="19" t="n">
        <v>617</v>
      </c>
      <c r="E21" s="18" t="n">
        <v>13.61437002</v>
      </c>
      <c r="F21" s="20" t="n">
        <v>1.29077563</v>
      </c>
      <c r="G21" s="18" t="n">
        <v>86.09463047</v>
      </c>
      <c r="H21" s="20" t="n">
        <v>1.3379828</v>
      </c>
      <c r="I21" s="18" t="n">
        <v>0</v>
      </c>
      <c r="J21" s="20" t="n">
        <v>0</v>
      </c>
      <c r="K21" s="18" t="n">
        <v>0</v>
      </c>
      <c r="L21" s="20" t="n">
        <v>0</v>
      </c>
      <c r="M21" s="18" t="n">
        <v>0</v>
      </c>
      <c r="N21" s="20" t="n">
        <v>0</v>
      </c>
      <c r="O21" s="18" t="n">
        <v>0</v>
      </c>
      <c r="P21" s="20" t="n">
        <v>0</v>
      </c>
      <c r="Q21" s="18" t="n">
        <v>0.29099951</v>
      </c>
      <c r="R21" s="20" t="n">
        <v>0.21414305</v>
      </c>
    </row>
    <row r="22" spans="1:18">
      <c r="A22" s="15" t="s">
        <v>580</v>
      </c>
      <c r="B22" s="17" t="n">
        <v>3667</v>
      </c>
      <c r="C22" s="18">
        <f>(2850.0/B22*100)</f>
        <v/>
      </c>
      <c r="D22" s="19" t="n">
        <v>817</v>
      </c>
      <c r="E22" s="18" t="n">
        <v>22.9258896</v>
      </c>
      <c r="F22" s="20" t="n">
        <v>1.8500153</v>
      </c>
      <c r="G22" s="18" t="n">
        <v>75.48520456</v>
      </c>
      <c r="H22" s="20" t="n">
        <v>1.88510241</v>
      </c>
      <c r="I22" s="18" t="n">
        <v>0</v>
      </c>
      <c r="J22" s="20" t="n">
        <v>0</v>
      </c>
      <c r="K22" s="18" t="n">
        <v>0.10425234</v>
      </c>
      <c r="L22" s="20" t="n">
        <v>0.1047622</v>
      </c>
      <c r="M22" s="18" t="n">
        <v>0</v>
      </c>
      <c r="N22" s="20" t="n">
        <v>0</v>
      </c>
      <c r="O22" s="18" t="n">
        <v>0</v>
      </c>
      <c r="P22" s="20" t="n">
        <v>0</v>
      </c>
      <c r="Q22" s="18" t="n">
        <v>1.48465349</v>
      </c>
      <c r="R22" s="20" t="n">
        <v>0.48724836</v>
      </c>
    </row>
    <row r="23" spans="1:18">
      <c r="A23" s="15" t="s">
        <v>581</v>
      </c>
      <c r="B23" s="17" t="n">
        <v>5792</v>
      </c>
      <c r="C23" s="18">
        <f>(4520.0/B23*100)</f>
        <v/>
      </c>
      <c r="D23" s="19" t="n">
        <v>1272</v>
      </c>
      <c r="E23" s="18" t="n">
        <v>21.07705335</v>
      </c>
      <c r="F23" s="20" t="n">
        <v>1.79713242</v>
      </c>
      <c r="G23" s="18" t="n">
        <v>78.39124901</v>
      </c>
      <c r="H23" s="20" t="n">
        <v>1.85782294</v>
      </c>
      <c r="I23" s="18" t="n">
        <v>0</v>
      </c>
      <c r="J23" s="20" t="n">
        <v>0</v>
      </c>
      <c r="K23" s="18" t="n">
        <v>0.37014464</v>
      </c>
      <c r="L23" s="20" t="n">
        <v>0.32555541</v>
      </c>
      <c r="M23" s="18" t="n">
        <v>0</v>
      </c>
      <c r="N23" s="20" t="n">
        <v>0</v>
      </c>
      <c r="O23" s="18" t="n">
        <v>0</v>
      </c>
      <c r="P23" s="20" t="n">
        <v>0</v>
      </c>
      <c r="Q23" s="18" t="n">
        <v>0.161553</v>
      </c>
      <c r="R23" s="20" t="n">
        <v>0.09161004</v>
      </c>
    </row>
    <row r="24" spans="1:18">
      <c r="A24" s="15" t="s">
        <v>582</v>
      </c>
      <c r="B24" s="17" t="n">
        <v>3309</v>
      </c>
      <c r="C24" s="18">
        <f>(2606.0/B24*100)</f>
        <v/>
      </c>
      <c r="D24" s="19" t="n">
        <v>703</v>
      </c>
      <c r="E24" s="18" t="n">
        <v>12.74361451</v>
      </c>
      <c r="F24" s="20" t="n">
        <v>1.31216037</v>
      </c>
      <c r="G24" s="18" t="n">
        <v>86.65263293</v>
      </c>
      <c r="H24" s="20" t="n">
        <v>1.3526981</v>
      </c>
      <c r="I24" s="18" t="n">
        <v>0</v>
      </c>
      <c r="J24" s="20" t="n">
        <v>0</v>
      </c>
      <c r="K24" s="18" t="n">
        <v>0</v>
      </c>
      <c r="L24" s="20" t="n">
        <v>0</v>
      </c>
      <c r="M24" s="18" t="n">
        <v>0</v>
      </c>
      <c r="N24" s="20" t="n">
        <v>0</v>
      </c>
      <c r="O24" s="18" t="n">
        <v>0</v>
      </c>
      <c r="P24" s="20" t="n">
        <v>0</v>
      </c>
      <c r="Q24" s="18" t="n">
        <v>0.60375257</v>
      </c>
      <c r="R24" s="20" t="n">
        <v>0.29668079</v>
      </c>
    </row>
    <row r="25" spans="1:18">
      <c r="A25" s="15" t="s">
        <v>583</v>
      </c>
      <c r="B25" s="17" t="n">
        <v>2669</v>
      </c>
      <c r="C25" s="18">
        <f>(2048.0/B25*100)</f>
        <v/>
      </c>
      <c r="D25" s="19" t="n">
        <v>621</v>
      </c>
      <c r="E25" s="18" t="n">
        <v>6.74505955</v>
      </c>
      <c r="F25" s="20" t="n">
        <v>1.05345658</v>
      </c>
      <c r="G25" s="18" t="n">
        <v>93.09470491</v>
      </c>
      <c r="H25" s="20" t="n">
        <v>1.05571029</v>
      </c>
      <c r="I25" s="18" t="n">
        <v>0</v>
      </c>
      <c r="J25" s="20" t="n">
        <v>0</v>
      </c>
      <c r="K25" s="18" t="n">
        <v>0</v>
      </c>
      <c r="L25" s="20" t="n">
        <v>0</v>
      </c>
      <c r="M25" s="18" t="n">
        <v>0</v>
      </c>
      <c r="N25" s="20" t="n">
        <v>0</v>
      </c>
      <c r="O25" s="18" t="n">
        <v>0</v>
      </c>
      <c r="P25" s="20" t="n">
        <v>0</v>
      </c>
      <c r="Q25" s="18" t="n">
        <v>0.16023554</v>
      </c>
      <c r="R25" s="20" t="n">
        <v>0.15931221</v>
      </c>
    </row>
    <row r="26" spans="1:18">
      <c r="A26" s="15" t="s">
        <v>584</v>
      </c>
      <c r="B26" s="17" t="n">
        <v>2419</v>
      </c>
      <c r="C26" s="18">
        <f>(1885.0/B26*100)</f>
        <v/>
      </c>
      <c r="D26" s="19" t="n">
        <v>534</v>
      </c>
      <c r="E26" s="18" t="n">
        <v>15.08631562</v>
      </c>
      <c r="F26" s="20" t="n">
        <v>1.47713663</v>
      </c>
      <c r="G26" s="18" t="n">
        <v>83.87598190999999</v>
      </c>
      <c r="H26" s="20" t="n">
        <v>1.55877947</v>
      </c>
      <c r="I26" s="18" t="n">
        <v>0</v>
      </c>
      <c r="J26" s="20" t="n">
        <v>0</v>
      </c>
      <c r="K26" s="18" t="n">
        <v>0.67400573</v>
      </c>
      <c r="L26" s="20" t="n">
        <v>0.46038904</v>
      </c>
      <c r="M26" s="18" t="n">
        <v>0</v>
      </c>
      <c r="N26" s="20" t="n">
        <v>0</v>
      </c>
      <c r="O26" s="18" t="n">
        <v>0</v>
      </c>
      <c r="P26" s="20" t="n">
        <v>0</v>
      </c>
      <c r="Q26" s="18" t="n">
        <v>0.36369674</v>
      </c>
      <c r="R26" s="20" t="n">
        <v>0.40373519</v>
      </c>
    </row>
    <row r="27" spans="1:18">
      <c r="A27" s="15" t="s">
        <v>585</v>
      </c>
      <c r="B27" s="17" t="n">
        <v>2683</v>
      </c>
      <c r="C27" s="18">
        <f>(2090.0/B27*100)</f>
        <v/>
      </c>
      <c r="D27" s="19" t="n">
        <v>593</v>
      </c>
      <c r="E27" s="18" t="n">
        <v>18.03036411</v>
      </c>
      <c r="F27" s="20" t="n">
        <v>1.42987411</v>
      </c>
      <c r="G27" s="18" t="n">
        <v>81.29598891000001</v>
      </c>
      <c r="H27" s="20" t="n">
        <v>1.39688526</v>
      </c>
      <c r="I27" s="18" t="n">
        <v>0</v>
      </c>
      <c r="J27" s="20" t="n">
        <v>0</v>
      </c>
      <c r="K27" s="18" t="n">
        <v>0</v>
      </c>
      <c r="L27" s="20" t="n">
        <v>0</v>
      </c>
      <c r="M27" s="18" t="n">
        <v>0</v>
      </c>
      <c r="N27" s="20" t="n">
        <v>0</v>
      </c>
      <c r="O27" s="18" t="n">
        <v>0</v>
      </c>
      <c r="P27" s="20" t="n">
        <v>0</v>
      </c>
      <c r="Q27" s="18" t="n">
        <v>0.67364698</v>
      </c>
      <c r="R27" s="20" t="n">
        <v>0.33827342</v>
      </c>
    </row>
    <row r="28" spans="1:18">
      <c r="A28" s="15" t="s">
        <v>586</v>
      </c>
      <c r="B28" s="17" t="n">
        <v>3803</v>
      </c>
      <c r="C28" s="18">
        <f>(2978.0/B28*100)</f>
        <v/>
      </c>
      <c r="D28" s="19" t="n">
        <v>825</v>
      </c>
      <c r="E28" s="18" t="n">
        <v>35.03999588</v>
      </c>
      <c r="F28" s="20" t="n">
        <v>1.64645397</v>
      </c>
      <c r="G28" s="18" t="n">
        <v>64.55935434</v>
      </c>
      <c r="H28" s="20" t="n">
        <v>1.6752177</v>
      </c>
      <c r="I28" s="18" t="n">
        <v>0</v>
      </c>
      <c r="J28" s="20" t="n">
        <v>0</v>
      </c>
      <c r="K28" s="18" t="n">
        <v>0.27774677</v>
      </c>
      <c r="L28" s="20" t="n">
        <v>0.21936848</v>
      </c>
      <c r="M28" s="18" t="n">
        <v>0</v>
      </c>
      <c r="N28" s="20" t="n">
        <v>0</v>
      </c>
      <c r="O28" s="18" t="n">
        <v>0</v>
      </c>
      <c r="P28" s="20" t="n">
        <v>0</v>
      </c>
      <c r="Q28" s="18" t="n">
        <v>0.12290301</v>
      </c>
      <c r="R28" s="20" t="n">
        <v>0.12230583</v>
      </c>
    </row>
    <row r="29" spans="1:18">
      <c r="A29" s="15" t="s">
        <v>587</v>
      </c>
      <c r="B29" s="17" t="n">
        <v>2700</v>
      </c>
      <c r="C29" s="18">
        <f>(2143.0/B29*100)</f>
        <v/>
      </c>
      <c r="D29" s="19" t="n">
        <v>557</v>
      </c>
      <c r="E29" s="18" t="n">
        <v>13.06740908</v>
      </c>
      <c r="F29" s="20" t="n">
        <v>1.27416601</v>
      </c>
      <c r="G29" s="18" t="n">
        <v>86.69403583</v>
      </c>
      <c r="H29" s="20" t="n">
        <v>1.27555874</v>
      </c>
      <c r="I29" s="18" t="n">
        <v>0</v>
      </c>
      <c r="J29" s="20" t="n">
        <v>0</v>
      </c>
      <c r="K29" s="18" t="n">
        <v>0</v>
      </c>
      <c r="L29" s="20" t="n">
        <v>0</v>
      </c>
      <c r="M29" s="18" t="n">
        <v>0</v>
      </c>
      <c r="N29" s="20" t="n">
        <v>0</v>
      </c>
      <c r="O29" s="18" t="n">
        <v>0</v>
      </c>
      <c r="P29" s="20" t="n">
        <v>0</v>
      </c>
      <c r="Q29" s="18" t="n">
        <v>0.23855509</v>
      </c>
      <c r="R29" s="20" t="n">
        <v>0.24954664</v>
      </c>
    </row>
    <row r="30" spans="1:18">
      <c r="A30" s="15" t="s">
        <v>588</v>
      </c>
      <c r="B30" s="17" t="n">
        <v>2257</v>
      </c>
      <c r="C30" s="18">
        <f>(1772.0/B30*100)</f>
        <v/>
      </c>
      <c r="D30" s="19" t="n">
        <v>485</v>
      </c>
      <c r="E30" s="18" t="n">
        <v>13.59799872</v>
      </c>
      <c r="F30" s="20" t="n">
        <v>1.7067915</v>
      </c>
      <c r="G30" s="18" t="n">
        <v>85.52368146000001</v>
      </c>
      <c r="H30" s="20" t="n">
        <v>1.83188036</v>
      </c>
      <c r="I30" s="18" t="n">
        <v>0</v>
      </c>
      <c r="J30" s="20" t="n">
        <v>0</v>
      </c>
      <c r="K30" s="18" t="n">
        <v>0</v>
      </c>
      <c r="L30" s="20" t="n">
        <v>0</v>
      </c>
      <c r="M30" s="18" t="n">
        <v>0</v>
      </c>
      <c r="N30" s="20" t="n">
        <v>0</v>
      </c>
      <c r="O30" s="18" t="n">
        <v>0</v>
      </c>
      <c r="P30" s="20" t="n">
        <v>0</v>
      </c>
      <c r="Q30" s="18" t="n">
        <v>0.87831982</v>
      </c>
      <c r="R30" s="20" t="n">
        <v>0.39467712</v>
      </c>
    </row>
    <row r="31" spans="1:18">
      <c r="A31" s="15" t="s">
        <v>589</v>
      </c>
      <c r="B31" s="17" t="n">
        <v>2706</v>
      </c>
      <c r="C31" s="18">
        <f>(2071.0/B31*100)</f>
        <v/>
      </c>
      <c r="D31" s="19" t="n">
        <v>635</v>
      </c>
      <c r="E31" s="18" t="n">
        <v>19.93347932</v>
      </c>
      <c r="F31" s="20" t="n">
        <v>1.48274443</v>
      </c>
      <c r="G31" s="18" t="n">
        <v>79.56773320000001</v>
      </c>
      <c r="H31" s="20" t="n">
        <v>1.50251285</v>
      </c>
      <c r="I31" s="18" t="n">
        <v>0</v>
      </c>
      <c r="J31" s="20" t="n">
        <v>0</v>
      </c>
      <c r="K31" s="18" t="n">
        <v>0</v>
      </c>
      <c r="L31" s="20" t="n">
        <v>0</v>
      </c>
      <c r="M31" s="18" t="n">
        <v>0</v>
      </c>
      <c r="N31" s="20" t="n">
        <v>0</v>
      </c>
      <c r="O31" s="18" t="n">
        <v>0</v>
      </c>
      <c r="P31" s="20" t="n">
        <v>0</v>
      </c>
      <c r="Q31" s="18" t="n">
        <v>0.49878748</v>
      </c>
      <c r="R31" s="20" t="n">
        <v>0.28155124</v>
      </c>
    </row>
    <row r="32" spans="1:18">
      <c r="A32" s="15" t="s">
        <v>590</v>
      </c>
      <c r="B32" s="17" t="n">
        <v>2209</v>
      </c>
      <c r="C32" s="18">
        <f>(1700.0/B32*100)</f>
        <v/>
      </c>
      <c r="D32" s="19" t="n">
        <v>509</v>
      </c>
      <c r="E32" s="18" t="n">
        <v>14.45372736</v>
      </c>
      <c r="F32" s="20" t="n">
        <v>1.48825045</v>
      </c>
      <c r="G32" s="18" t="n">
        <v>85.54627264</v>
      </c>
      <c r="H32" s="20" t="n">
        <v>1.48825045</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(2826.0/B33*100)</f>
        <v/>
      </c>
      <c r="D33" s="19" t="n">
        <v>825</v>
      </c>
      <c r="E33" s="18" t="n">
        <v>17.48187607</v>
      </c>
      <c r="F33" s="20" t="n">
        <v>1.46276754</v>
      </c>
      <c r="G33" s="18" t="n">
        <v>82.26910982</v>
      </c>
      <c r="H33" s="20" t="n">
        <v>1.45116728</v>
      </c>
      <c r="I33" s="18" t="n">
        <v>0</v>
      </c>
      <c r="J33" s="20" t="n">
        <v>0</v>
      </c>
      <c r="K33" s="18" t="n">
        <v>0</v>
      </c>
      <c r="L33" s="20" t="n">
        <v>0</v>
      </c>
      <c r="M33" s="18" t="n">
        <v>0</v>
      </c>
      <c r="N33" s="20" t="n">
        <v>0</v>
      </c>
      <c r="O33" s="18" t="n">
        <v>0</v>
      </c>
      <c r="P33" s="20" t="n">
        <v>0</v>
      </c>
      <c r="Q33" s="18" t="n">
        <v>0.24901412</v>
      </c>
      <c r="R33" s="20" t="n">
        <v>0.13269404</v>
      </c>
    </row>
    <row r="34" spans="1:18">
      <c r="A34" s="15" t="s">
        <v>592</v>
      </c>
      <c r="B34" s="17" t="n">
        <v>3035</v>
      </c>
      <c r="C34" s="18">
        <f>(2415.0/B34*100)</f>
        <v/>
      </c>
      <c r="D34" s="19" t="n">
        <v>620</v>
      </c>
      <c r="E34" s="18" t="n">
        <v>23.05706189</v>
      </c>
      <c r="F34" s="20" t="n">
        <v>2.01931558</v>
      </c>
      <c r="G34" s="18" t="n">
        <v>76.39572213</v>
      </c>
      <c r="H34" s="20" t="n">
        <v>2.08390507</v>
      </c>
      <c r="I34" s="18" t="n">
        <v>0</v>
      </c>
      <c r="J34" s="20" t="n">
        <v>0</v>
      </c>
      <c r="K34" s="18" t="n">
        <v>0.13935032</v>
      </c>
      <c r="L34" s="20" t="n">
        <v>0.14520386</v>
      </c>
      <c r="M34" s="18" t="n">
        <v>0</v>
      </c>
      <c r="N34" s="20" t="n">
        <v>0</v>
      </c>
      <c r="O34" s="18" t="n">
        <v>0</v>
      </c>
      <c r="P34" s="20" t="n">
        <v>0</v>
      </c>
      <c r="Q34" s="18" t="n">
        <v>0.40786565</v>
      </c>
      <c r="R34" s="20" t="n">
        <v>0.3121204</v>
      </c>
    </row>
    <row r="35" spans="1:18">
      <c r="A35" s="15" t="s">
        <v>593</v>
      </c>
      <c r="B35" s="17" t="n">
        <v>2901</v>
      </c>
      <c r="C35" s="18">
        <f>(2274.0/B35*100)</f>
        <v/>
      </c>
      <c r="D35" s="19" t="n">
        <v>627</v>
      </c>
      <c r="E35" s="18" t="n">
        <v>12.79199466</v>
      </c>
      <c r="F35" s="20" t="n">
        <v>1.51759538</v>
      </c>
      <c r="G35" s="18" t="n">
        <v>87.14662896999999</v>
      </c>
      <c r="H35" s="20" t="n">
        <v>1.51525241</v>
      </c>
      <c r="I35" s="18" t="n">
        <v>0</v>
      </c>
      <c r="J35" s="20" t="n">
        <v>0</v>
      </c>
      <c r="K35" s="18" t="n">
        <v>0</v>
      </c>
      <c r="L35" s="20" t="n">
        <v>0</v>
      </c>
      <c r="M35" s="18" t="n">
        <v>0</v>
      </c>
      <c r="N35" s="20" t="n">
        <v>0</v>
      </c>
      <c r="O35" s="18" t="n">
        <v>0</v>
      </c>
      <c r="P35" s="20" t="n">
        <v>0</v>
      </c>
      <c r="Q35" s="18" t="n">
        <v>0.06137637</v>
      </c>
      <c r="R35" s="20" t="n">
        <v>0.06117802</v>
      </c>
    </row>
    <row r="36" spans="1:18">
      <c r="A36" s="15" t="s">
        <v>594</v>
      </c>
      <c r="B36" s="17" t="n">
        <v>3404</v>
      </c>
      <c r="C36" s="18">
        <f>(2665.0/B36*100)</f>
        <v/>
      </c>
      <c r="D36" s="19" t="n">
        <v>739</v>
      </c>
      <c r="E36" s="18" t="n">
        <v>20.98746154</v>
      </c>
      <c r="F36" s="20" t="n">
        <v>1.70253122</v>
      </c>
      <c r="G36" s="18" t="n">
        <v>78.7562691</v>
      </c>
      <c r="H36" s="20" t="n">
        <v>1.67086613</v>
      </c>
      <c r="I36" s="18" t="n">
        <v>0</v>
      </c>
      <c r="J36" s="20" t="n">
        <v>0</v>
      </c>
      <c r="K36" s="18" t="n">
        <v>0.12765224</v>
      </c>
      <c r="L36" s="20" t="n">
        <v>0.18195748</v>
      </c>
      <c r="M36" s="18" t="n">
        <v>0</v>
      </c>
      <c r="N36" s="20" t="n">
        <v>0</v>
      </c>
      <c r="O36" s="18" t="n">
        <v>0</v>
      </c>
      <c r="P36" s="20" t="n">
        <v>0</v>
      </c>
      <c r="Q36" s="18" t="n">
        <v>0.12861712</v>
      </c>
      <c r="R36" s="20" t="n">
        <v>0.13401584</v>
      </c>
    </row>
    <row r="37" spans="1:18">
      <c r="A37" s="15" t="s">
        <v>595</v>
      </c>
      <c r="B37" s="17" t="n">
        <v>2731</v>
      </c>
      <c r="C37" s="18">
        <f>(2154.0/B37*100)</f>
        <v/>
      </c>
      <c r="D37" s="19" t="n">
        <v>577</v>
      </c>
      <c r="E37" s="18" t="n">
        <v>17.09259156</v>
      </c>
      <c r="F37" s="20" t="n">
        <v>1.50523885</v>
      </c>
      <c r="G37" s="18" t="n">
        <v>81.89211358</v>
      </c>
      <c r="H37" s="20" t="n">
        <v>1.42979141</v>
      </c>
      <c r="I37" s="18" t="n">
        <v>0</v>
      </c>
      <c r="J37" s="20" t="n">
        <v>0</v>
      </c>
      <c r="K37" s="18" t="n">
        <v>0.19784383</v>
      </c>
      <c r="L37" s="20" t="n">
        <v>0.19716014</v>
      </c>
      <c r="M37" s="18" t="n">
        <v>0</v>
      </c>
      <c r="N37" s="20" t="n">
        <v>0</v>
      </c>
      <c r="O37" s="18" t="n">
        <v>0</v>
      </c>
      <c r="P37" s="20" t="n">
        <v>0</v>
      </c>
      <c r="Q37" s="18" t="n">
        <v>0.81745103</v>
      </c>
      <c r="R37" s="20" t="n">
        <v>0.42282086</v>
      </c>
    </row>
    <row r="38" spans="1:18">
      <c r="A38" s="15" t="s">
        <v>596</v>
      </c>
      <c r="B38" s="17" t="n">
        <v>2807</v>
      </c>
      <c r="C38" s="18">
        <f>(2187.0/B38*100)</f>
        <v/>
      </c>
      <c r="D38" s="19" t="n">
        <v>620</v>
      </c>
      <c r="E38" s="18" t="n">
        <v>19.35422703</v>
      </c>
      <c r="F38" s="20" t="n">
        <v>1.84290651</v>
      </c>
      <c r="G38" s="18" t="n">
        <v>80.05249314</v>
      </c>
      <c r="H38" s="20" t="n">
        <v>1.83465011</v>
      </c>
      <c r="I38" s="18" t="n">
        <v>0</v>
      </c>
      <c r="J38" s="20" t="n">
        <v>0</v>
      </c>
      <c r="K38" s="18" t="n">
        <v>0.14827636</v>
      </c>
      <c r="L38" s="20" t="n">
        <v>0.11997265</v>
      </c>
      <c r="M38" s="18" t="n">
        <v>0</v>
      </c>
      <c r="N38" s="20" t="n">
        <v>0</v>
      </c>
      <c r="O38" s="18" t="n">
        <v>0</v>
      </c>
      <c r="P38" s="20" t="n">
        <v>0</v>
      </c>
      <c r="Q38" s="18" t="n">
        <v>0.44500347</v>
      </c>
      <c r="R38" s="20" t="n">
        <v>0.10232759</v>
      </c>
    </row>
    <row r="39" spans="1:18">
      <c r="A39" s="15" t="s">
        <v>597</v>
      </c>
      <c r="B39" s="17" t="n">
        <v>2938</v>
      </c>
      <c r="C39" s="18">
        <f>(2309.0/B39*100)</f>
        <v/>
      </c>
      <c r="D39" s="19" t="n">
        <v>629</v>
      </c>
      <c r="E39" s="18" t="n">
        <v>35.75708499</v>
      </c>
      <c r="F39" s="20" t="n">
        <v>2.21411999</v>
      </c>
      <c r="G39" s="18" t="n">
        <v>63.34359416</v>
      </c>
      <c r="H39" s="20" t="n">
        <v>2.2623554</v>
      </c>
      <c r="I39" s="18" t="n">
        <v>0</v>
      </c>
      <c r="J39" s="20" t="n">
        <v>0</v>
      </c>
      <c r="K39" s="18" t="n">
        <v>0</v>
      </c>
      <c r="L39" s="20" t="n">
        <v>0</v>
      </c>
      <c r="M39" s="18" t="n">
        <v>0</v>
      </c>
      <c r="N39" s="20" t="n">
        <v>0</v>
      </c>
      <c r="O39" s="18" t="n">
        <v>0</v>
      </c>
      <c r="P39" s="20" t="n">
        <v>0</v>
      </c>
      <c r="Q39" s="18" t="n">
        <v>0.8993208499999999</v>
      </c>
      <c r="R39" s="20" t="n">
        <v>0.46728628</v>
      </c>
    </row>
    <row r="40" spans="1:18">
      <c r="A40" s="15" t="s">
        <v>598</v>
      </c>
      <c r="B40" s="17" t="n">
        <v>6922</v>
      </c>
      <c r="C40" s="18">
        <f>(5327.0/B40*100)</f>
        <v/>
      </c>
      <c r="D40" s="19" t="n">
        <v>1595</v>
      </c>
      <c r="E40" s="18" t="n">
        <v>14.37475881</v>
      </c>
      <c r="F40" s="20" t="n">
        <v>1.56271411</v>
      </c>
      <c r="G40" s="18" t="n">
        <v>84.48199334</v>
      </c>
      <c r="H40" s="20" t="n">
        <v>1.6273707</v>
      </c>
      <c r="I40" s="18" t="n">
        <v>0</v>
      </c>
      <c r="J40" s="20" t="n">
        <v>0</v>
      </c>
      <c r="K40" s="18" t="n">
        <v>0.01776468</v>
      </c>
      <c r="L40" s="20" t="n">
        <v>0.01778357</v>
      </c>
      <c r="M40" s="18" t="n">
        <v>0</v>
      </c>
      <c r="N40" s="20" t="n">
        <v>0</v>
      </c>
      <c r="O40" s="18" t="n">
        <v>0</v>
      </c>
      <c r="P40" s="20" t="n">
        <v>0</v>
      </c>
      <c r="Q40" s="18" t="n">
        <v>1.12548316</v>
      </c>
      <c r="R40" s="20" t="n">
        <v>0.46553361</v>
      </c>
    </row>
    <row r="41" spans="1:18">
      <c r="A41" s="15" t="s">
        <v>599</v>
      </c>
      <c r="B41" s="17" t="n">
        <v>2854</v>
      </c>
      <c r="C41" s="18">
        <f>(2204.0/B41*100)</f>
        <v/>
      </c>
      <c r="D41" s="19" t="n">
        <v>650</v>
      </c>
      <c r="E41" s="18" t="n">
        <v>13.25850511</v>
      </c>
      <c r="F41" s="20" t="n">
        <v>1.5854973</v>
      </c>
      <c r="G41" s="18" t="n">
        <v>86.30579616</v>
      </c>
      <c r="H41" s="20" t="n">
        <v>1.62612971</v>
      </c>
      <c r="I41" s="18" t="n">
        <v>0</v>
      </c>
      <c r="J41" s="20" t="n">
        <v>0</v>
      </c>
      <c r="K41" s="18" t="n">
        <v>0.15421403</v>
      </c>
      <c r="L41" s="20" t="n">
        <v>0.14915543</v>
      </c>
      <c r="M41" s="18" t="n">
        <v>0</v>
      </c>
      <c r="N41" s="20" t="n">
        <v>0</v>
      </c>
      <c r="O41" s="18" t="n">
        <v>0</v>
      </c>
      <c r="P41" s="20" t="n">
        <v>0</v>
      </c>
      <c r="Q41" s="18" t="n">
        <v>0.2814847</v>
      </c>
      <c r="R41" s="20" t="n">
        <v>0.19672337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(9893.0/B46*100)</f>
        <v/>
      </c>
      <c r="D46" s="19" t="n">
        <v>2180</v>
      </c>
      <c r="E46" s="18" t="n">
        <v>45.61375565</v>
      </c>
      <c r="F46" s="20" t="n">
        <v>1.56794735</v>
      </c>
      <c r="G46" s="18" t="n">
        <v>51.70036946</v>
      </c>
      <c r="H46" s="20" t="n">
        <v>1.67479544</v>
      </c>
      <c r="I46" s="18" t="n">
        <v>0</v>
      </c>
      <c r="J46" s="20" t="n">
        <v>0</v>
      </c>
      <c r="K46" s="18" t="n">
        <v>0.62346935</v>
      </c>
      <c r="L46" s="20" t="n">
        <v>0.2765925</v>
      </c>
      <c r="M46" s="18" t="n">
        <v>0</v>
      </c>
      <c r="N46" s="20" t="n">
        <v>0</v>
      </c>
      <c r="O46" s="18" t="n">
        <v>0</v>
      </c>
      <c r="P46" s="20" t="n">
        <v>0</v>
      </c>
      <c r="Q46" s="18" t="n">
        <v>2.06240554</v>
      </c>
      <c r="R46" s="20" t="n">
        <v>0.45919162</v>
      </c>
    </row>
    <row r="47" spans="1:18">
      <c r="A47" s="15" t="s">
        <v>606</v>
      </c>
      <c r="B47" s="17" t="n">
        <v>2823</v>
      </c>
      <c r="C47" s="18">
        <f>(2198.0/B47*100)</f>
        <v/>
      </c>
      <c r="D47" s="19" t="n">
        <v>625</v>
      </c>
      <c r="E47" s="18" t="n">
        <v>32.08491202</v>
      </c>
      <c r="F47" s="20" t="n">
        <v>1.94576552</v>
      </c>
      <c r="G47" s="18" t="n">
        <v>66.81107298000001</v>
      </c>
      <c r="H47" s="20" t="n">
        <v>2.08469827</v>
      </c>
      <c r="I47" s="18" t="n">
        <v>0</v>
      </c>
      <c r="J47" s="20" t="n">
        <v>0</v>
      </c>
      <c r="K47" s="18" t="n">
        <v>0.31582823</v>
      </c>
      <c r="L47" s="20" t="n">
        <v>0.22640844</v>
      </c>
      <c r="M47" s="18" t="n">
        <v>0</v>
      </c>
      <c r="N47" s="20" t="n">
        <v>0</v>
      </c>
      <c r="O47" s="18" t="n">
        <v>0</v>
      </c>
      <c r="P47" s="20" t="n">
        <v>0</v>
      </c>
      <c r="Q47" s="18" t="n">
        <v>0.78818677</v>
      </c>
      <c r="R47" s="20" t="n">
        <v>0.34125089</v>
      </c>
    </row>
    <row r="48" spans="1:18">
      <c r="A48" s="15" t="s">
        <v>607</v>
      </c>
      <c r="B48" s="17" t="n">
        <v>4682</v>
      </c>
      <c r="C48" s="18">
        <f>(3632.0/B48*100)</f>
        <v/>
      </c>
      <c r="D48" s="19" t="n">
        <v>1050</v>
      </c>
      <c r="E48" s="18" t="n">
        <v>19.43749696</v>
      </c>
      <c r="F48" s="20" t="n">
        <v>1.95065406</v>
      </c>
      <c r="G48" s="18" t="n">
        <v>80.15222543</v>
      </c>
      <c r="H48" s="20" t="n">
        <v>1.91006183</v>
      </c>
      <c r="I48" s="18" t="n">
        <v>0</v>
      </c>
      <c r="J48" s="20" t="n">
        <v>0</v>
      </c>
      <c r="K48" s="18" t="n">
        <v>0.17163098</v>
      </c>
      <c r="L48" s="20" t="n">
        <v>0.17072446</v>
      </c>
      <c r="M48" s="18" t="n">
        <v>0</v>
      </c>
      <c r="N48" s="20" t="n">
        <v>0</v>
      </c>
      <c r="O48" s="18" t="n">
        <v>0</v>
      </c>
      <c r="P48" s="20" t="n">
        <v>0</v>
      </c>
      <c r="Q48" s="18" t="n">
        <v>0.23864662</v>
      </c>
      <c r="R48" s="20" t="n">
        <v>0.18246935</v>
      </c>
    </row>
    <row r="49" spans="1:18">
      <c r="A49" s="15" t="s">
        <v>608</v>
      </c>
      <c r="B49" s="17" t="n">
        <v>6158</v>
      </c>
      <c r="C49" s="18">
        <f>(4823.0/B49*100)</f>
        <v/>
      </c>
      <c r="D49" s="19" t="n">
        <v>1335</v>
      </c>
      <c r="E49" s="18" t="n">
        <v>43.54336234</v>
      </c>
      <c r="F49" s="20" t="n">
        <v>1.85962177</v>
      </c>
      <c r="G49" s="18" t="n">
        <v>55.03947458</v>
      </c>
      <c r="H49" s="20" t="n">
        <v>1.91789041</v>
      </c>
      <c r="I49" s="18" t="n">
        <v>0</v>
      </c>
      <c r="J49" s="20" t="n">
        <v>0</v>
      </c>
      <c r="K49" s="18" t="n">
        <v>0.54165533</v>
      </c>
      <c r="L49" s="20" t="n">
        <v>0.21249801</v>
      </c>
      <c r="M49" s="18" t="n">
        <v>0</v>
      </c>
      <c r="N49" s="20" t="n">
        <v>0</v>
      </c>
      <c r="O49" s="18" t="n">
        <v>0</v>
      </c>
      <c r="P49" s="20" t="n">
        <v>0</v>
      </c>
      <c r="Q49" s="18" t="n">
        <v>0.87550775</v>
      </c>
      <c r="R49" s="20" t="n">
        <v>0.32962926</v>
      </c>
    </row>
    <row r="50" spans="1:18">
      <c r="A50" s="15" t="s">
        <v>609</v>
      </c>
      <c r="B50" s="17" t="n">
        <v>3494</v>
      </c>
      <c r="C50" s="18">
        <f>(2853.0/B50*100)</f>
        <v/>
      </c>
      <c r="D50" s="19" t="n">
        <v>641</v>
      </c>
      <c r="E50" s="18" t="n">
        <v>40.25096754</v>
      </c>
      <c r="F50" s="20" t="n">
        <v>2.05352736</v>
      </c>
      <c r="G50" s="18" t="n">
        <v>58.45600569</v>
      </c>
      <c r="H50" s="20" t="n">
        <v>2.07880414</v>
      </c>
      <c r="I50" s="18" t="n">
        <v>0</v>
      </c>
      <c r="J50" s="20" t="n">
        <v>0</v>
      </c>
      <c r="K50" s="18" t="n">
        <v>0.15036474</v>
      </c>
      <c r="L50" s="20" t="n">
        <v>0.14965717</v>
      </c>
      <c r="M50" s="18" t="n">
        <v>0</v>
      </c>
      <c r="N50" s="20" t="n">
        <v>0</v>
      </c>
      <c r="O50" s="18" t="n">
        <v>0</v>
      </c>
      <c r="P50" s="20" t="n">
        <v>0</v>
      </c>
      <c r="Q50" s="18" t="n">
        <v>1.14266203</v>
      </c>
      <c r="R50" s="20" t="n">
        <v>0.45521441</v>
      </c>
    </row>
    <row r="51" spans="1:18">
      <c r="A51" s="15" t="s">
        <v>610</v>
      </c>
      <c r="B51" s="17" t="n">
        <v>3013</v>
      </c>
      <c r="C51" s="18">
        <f>(2320.0/B51*100)</f>
        <v/>
      </c>
      <c r="D51" s="19" t="n">
        <v>693</v>
      </c>
      <c r="E51" s="18" t="n">
        <v>25.71705886</v>
      </c>
      <c r="F51" s="20" t="n">
        <v>1.50074478</v>
      </c>
      <c r="G51" s="18" t="n">
        <v>73.96793825</v>
      </c>
      <c r="H51" s="20" t="n">
        <v>1.48696497</v>
      </c>
      <c r="I51" s="18" t="n">
        <v>0</v>
      </c>
      <c r="J51" s="20" t="n">
        <v>0</v>
      </c>
      <c r="K51" s="18" t="n">
        <v>0</v>
      </c>
      <c r="L51" s="20" t="n">
        <v>0</v>
      </c>
      <c r="M51" s="18" t="n">
        <v>0</v>
      </c>
      <c r="N51" s="20" t="n">
        <v>0</v>
      </c>
      <c r="O51" s="18" t="n">
        <v>0</v>
      </c>
      <c r="P51" s="20" t="n">
        <v>0</v>
      </c>
      <c r="Q51" s="18" t="n">
        <v>0.31500289</v>
      </c>
      <c r="R51" s="20" t="n">
        <v>0.23440443</v>
      </c>
    </row>
    <row r="52" spans="1:18">
      <c r="A52" s="15" t="s">
        <v>611</v>
      </c>
      <c r="B52" s="17" t="n">
        <v>2760</v>
      </c>
      <c r="C52" s="18">
        <f>(2115.0/B52*100)</f>
        <v/>
      </c>
      <c r="D52" s="19" t="n">
        <v>645</v>
      </c>
      <c r="E52" s="18" t="n">
        <v>26.35950241</v>
      </c>
      <c r="F52" s="20" t="n">
        <v>1.83561824</v>
      </c>
      <c r="G52" s="18" t="n">
        <v>73.06215754999999</v>
      </c>
      <c r="H52" s="20" t="n">
        <v>1.83560314</v>
      </c>
      <c r="I52" s="18" t="n">
        <v>0</v>
      </c>
      <c r="J52" s="20" t="n">
        <v>0</v>
      </c>
      <c r="K52" s="18" t="n">
        <v>0.11902633</v>
      </c>
      <c r="L52" s="20" t="n">
        <v>0.11874939</v>
      </c>
      <c r="M52" s="18" t="n">
        <v>0</v>
      </c>
      <c r="N52" s="20" t="n">
        <v>0</v>
      </c>
      <c r="O52" s="18" t="n">
        <v>0</v>
      </c>
      <c r="P52" s="20" t="n">
        <v>0</v>
      </c>
      <c r="Q52" s="18" t="n">
        <v>0.45931372</v>
      </c>
      <c r="R52" s="20" t="n">
        <v>0.26561784</v>
      </c>
    </row>
    <row r="53" spans="1:18">
      <c r="A53" s="15" t="s">
        <v>612</v>
      </c>
      <c r="B53" s="17" t="n">
        <v>2474</v>
      </c>
      <c r="C53" s="18">
        <f>(1938.0/B53*100)</f>
        <v/>
      </c>
      <c r="D53" s="19" t="n">
        <v>536</v>
      </c>
      <c r="E53" s="18" t="n">
        <v>58.56528458</v>
      </c>
      <c r="F53" s="20" t="n">
        <v>2.69376279</v>
      </c>
      <c r="G53" s="18" t="n">
        <v>30.41133423</v>
      </c>
      <c r="H53" s="20" t="n">
        <v>2.51616186</v>
      </c>
      <c r="I53" s="18" t="n">
        <v>0</v>
      </c>
      <c r="J53" s="20" t="n">
        <v>0</v>
      </c>
      <c r="K53" s="18" t="n">
        <v>7.7007859</v>
      </c>
      <c r="L53" s="20" t="n">
        <v>1.29136757</v>
      </c>
      <c r="M53" s="18" t="n">
        <v>0</v>
      </c>
      <c r="N53" s="20" t="n">
        <v>0</v>
      </c>
      <c r="O53" s="18" t="n">
        <v>0</v>
      </c>
      <c r="P53" s="20" t="n">
        <v>0</v>
      </c>
      <c r="Q53" s="18" t="n">
        <v>3.32259529</v>
      </c>
      <c r="R53" s="20" t="n">
        <v>1.01916697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(2118.0/B55*100)</f>
        <v/>
      </c>
      <c r="D55" s="19" t="n">
        <v>557</v>
      </c>
      <c r="E55" s="18" t="n">
        <v>13.81046734</v>
      </c>
      <c r="F55" s="20" t="n">
        <v>1.78235834</v>
      </c>
      <c r="G55" s="18" t="n">
        <v>85.77613409999999</v>
      </c>
      <c r="H55" s="20" t="n">
        <v>1.80754277</v>
      </c>
      <c r="I55" s="18" t="n">
        <v>0</v>
      </c>
      <c r="J55" s="20" t="n">
        <v>0</v>
      </c>
      <c r="K55" s="18" t="n">
        <v>0.16128028</v>
      </c>
      <c r="L55" s="20" t="n">
        <v>0.1655945</v>
      </c>
      <c r="M55" s="18" t="n">
        <v>0</v>
      </c>
      <c r="N55" s="20" t="n">
        <v>0</v>
      </c>
      <c r="O55" s="18" t="n">
        <v>0</v>
      </c>
      <c r="P55" s="20" t="n">
        <v>0</v>
      </c>
      <c r="Q55" s="18" t="n">
        <v>0.25211828</v>
      </c>
      <c r="R55" s="20" t="n">
        <v>0.23942512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(2495.0/B61*100)</f>
        <v/>
      </c>
      <c r="D61" s="19" t="n">
        <v>706</v>
      </c>
      <c r="E61" s="18" t="n">
        <v>22.21789184</v>
      </c>
      <c r="F61" s="20" t="n">
        <v>1.77190461</v>
      </c>
      <c r="G61" s="18" t="n">
        <v>77.07935121</v>
      </c>
      <c r="H61" s="20" t="n">
        <v>1.85811873</v>
      </c>
      <c r="I61" s="18" t="n">
        <v>0</v>
      </c>
      <c r="J61" s="20" t="n">
        <v>0</v>
      </c>
      <c r="K61" s="18" t="n">
        <v>0</v>
      </c>
      <c r="L61" s="20" t="n">
        <v>0</v>
      </c>
      <c r="M61" s="18" t="n">
        <v>0</v>
      </c>
      <c r="N61" s="20" t="n">
        <v>0</v>
      </c>
      <c r="O61" s="18" t="n">
        <v>0</v>
      </c>
      <c r="P61" s="20" t="n">
        <v>0</v>
      </c>
      <c r="Q61" s="18" t="n">
        <v>0.70275695</v>
      </c>
      <c r="R61" s="20" t="n">
        <v>0.38498821</v>
      </c>
    </row>
    <row r="62" spans="1:18">
      <c r="A62" s="15" t="s">
        <v>622</v>
      </c>
      <c r="B62" s="17" t="n">
        <v>2230</v>
      </c>
      <c r="C62" s="18">
        <f>(1755.0/B62*100)</f>
        <v/>
      </c>
      <c r="D62" s="19" t="n">
        <v>475</v>
      </c>
      <c r="E62" s="18" t="n">
        <v>8.85509308</v>
      </c>
      <c r="F62" s="20" t="n">
        <v>1.298934</v>
      </c>
      <c r="G62" s="18" t="n">
        <v>91.14490692</v>
      </c>
      <c r="H62" s="20" t="n">
        <v>1.298934</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(2168.0/B67*100)</f>
        <v/>
      </c>
      <c r="D67" s="19" t="n">
        <v>603</v>
      </c>
      <c r="E67" s="18" t="n">
        <v>37.06930526</v>
      </c>
      <c r="F67" s="20" t="n">
        <v>1.49476808</v>
      </c>
      <c r="G67" s="18" t="n">
        <v>60.94821192</v>
      </c>
      <c r="H67" s="20" t="n">
        <v>1.5382246</v>
      </c>
      <c r="I67" s="18" t="n">
        <v>0</v>
      </c>
      <c r="J67" s="20" t="n">
        <v>0</v>
      </c>
      <c r="K67" s="18" t="n">
        <v>0</v>
      </c>
      <c r="L67" s="20" t="n">
        <v>0</v>
      </c>
      <c r="M67" s="18" t="n">
        <v>0</v>
      </c>
      <c r="N67" s="20" t="n">
        <v>0</v>
      </c>
      <c r="O67" s="18" t="n">
        <v>0</v>
      </c>
      <c r="P67" s="20" t="n">
        <v>0</v>
      </c>
      <c r="Q67" s="18" t="n">
        <v>1.98248283</v>
      </c>
      <c r="R67" s="20" t="n">
        <v>0.56175131</v>
      </c>
    </row>
    <row r="68" spans="1:18">
      <c r="A68" s="15" t="s">
        <v>628</v>
      </c>
      <c r="B68" s="17" t="n">
        <v>3460</v>
      </c>
      <c r="C68" s="18">
        <f>(2759.0/B68*100)</f>
        <v/>
      </c>
      <c r="D68" s="19" t="n">
        <v>701</v>
      </c>
      <c r="E68" s="18" t="n">
        <v>48.36795438</v>
      </c>
      <c r="F68" s="20" t="n">
        <v>2.06746926</v>
      </c>
      <c r="G68" s="18" t="n">
        <v>50.59807781</v>
      </c>
      <c r="H68" s="20" t="n">
        <v>2.06143234</v>
      </c>
      <c r="I68" s="18" t="n">
        <v>0</v>
      </c>
      <c r="J68" s="20" t="n">
        <v>0</v>
      </c>
      <c r="K68" s="18" t="n">
        <v>0</v>
      </c>
      <c r="L68" s="20" t="n">
        <v>0</v>
      </c>
      <c r="M68" s="18" t="n">
        <v>0</v>
      </c>
      <c r="N68" s="20" t="n">
        <v>0</v>
      </c>
      <c r="O68" s="18" t="n">
        <v>0</v>
      </c>
      <c r="P68" s="20" t="n">
        <v>0</v>
      </c>
      <c r="Q68" s="18" t="n">
        <v>1.03396781</v>
      </c>
      <c r="R68" s="20" t="n">
        <v>0.37586463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(4682.0/B70*100)</f>
        <v/>
      </c>
      <c r="D70" s="19" t="n">
        <v>1352</v>
      </c>
      <c r="E70" s="18" t="n">
        <v>29.50428918</v>
      </c>
      <c r="F70" s="20" t="n">
        <v>1.35695608</v>
      </c>
      <c r="G70" s="18" t="n">
        <v>68.22847385</v>
      </c>
      <c r="H70" s="20" t="n">
        <v>1.40266265</v>
      </c>
      <c r="I70" s="18" t="n">
        <v>0</v>
      </c>
      <c r="J70" s="20" t="n">
        <v>0</v>
      </c>
      <c r="K70" s="18" t="n">
        <v>0.72456048</v>
      </c>
      <c r="L70" s="20" t="n">
        <v>0.25208678</v>
      </c>
      <c r="M70" s="18" t="n">
        <v>0</v>
      </c>
      <c r="N70" s="20" t="n">
        <v>0</v>
      </c>
      <c r="O70" s="18" t="n">
        <v>0</v>
      </c>
      <c r="P70" s="20" t="n">
        <v>0</v>
      </c>
      <c r="Q70" s="18" t="n">
        <v>1.54267649</v>
      </c>
      <c r="R70" s="20" t="n">
        <v>0.31982247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(2416.0/B72*100)</f>
        <v/>
      </c>
      <c r="D72" s="19" t="n">
        <v>691</v>
      </c>
      <c r="E72" s="18" t="n">
        <v>19.82822966</v>
      </c>
      <c r="F72" s="20" t="n">
        <v>1.5517566</v>
      </c>
      <c r="G72" s="18" t="n">
        <v>79.63865086</v>
      </c>
      <c r="H72" s="20" t="n">
        <v>1.56469558</v>
      </c>
      <c r="I72" s="18" t="n">
        <v>0</v>
      </c>
      <c r="J72" s="20" t="n">
        <v>0</v>
      </c>
      <c r="K72" s="18" t="n">
        <v>0.12473664</v>
      </c>
      <c r="L72" s="20" t="n">
        <v>0.12600611</v>
      </c>
      <c r="M72" s="18" t="n">
        <v>0</v>
      </c>
      <c r="N72" s="20" t="n">
        <v>0</v>
      </c>
      <c r="O72" s="18" t="n">
        <v>0</v>
      </c>
      <c r="P72" s="20" t="n">
        <v>0</v>
      </c>
      <c r="Q72" s="18" t="n">
        <v>0.40838284</v>
      </c>
      <c r="R72" s="20" t="n">
        <v>0.20147653</v>
      </c>
    </row>
    <row r="73" spans="1:18">
      <c r="A73" s="15" t="s">
        <v>633</v>
      </c>
      <c r="B73" s="17" t="n">
        <v>2973</v>
      </c>
      <c r="C73" s="18">
        <f>(2318.0/B73*100)</f>
        <v/>
      </c>
      <c r="D73" s="19" t="n">
        <v>655</v>
      </c>
      <c r="E73" s="18" t="n">
        <v>6.55895258</v>
      </c>
      <c r="F73" s="20" t="n">
        <v>0.98388016</v>
      </c>
      <c r="G73" s="18" t="n">
        <v>93.29504283999999</v>
      </c>
      <c r="H73" s="20" t="n">
        <v>0.99443595</v>
      </c>
      <c r="I73" s="18" t="n">
        <v>0</v>
      </c>
      <c r="J73" s="20" t="n">
        <v>0</v>
      </c>
      <c r="K73" s="18" t="n">
        <v>0</v>
      </c>
      <c r="L73" s="20" t="n">
        <v>0</v>
      </c>
      <c r="M73" s="18" t="n">
        <v>0</v>
      </c>
      <c r="N73" s="20" t="n">
        <v>0</v>
      </c>
      <c r="O73" s="18" t="n">
        <v>0</v>
      </c>
      <c r="P73" s="20" t="n">
        <v>0</v>
      </c>
      <c r="Q73" s="18" t="n">
        <v>0.14600458</v>
      </c>
      <c r="R73" s="20" t="n">
        <v>0.1458841</v>
      </c>
    </row>
    <row r="74" spans="1:18">
      <c r="A74" s="15" t="s">
        <v>634</v>
      </c>
      <c r="B74" s="17" t="n">
        <v>3819</v>
      </c>
      <c r="C74" s="18">
        <f>(3002.0/B74*100)</f>
        <v/>
      </c>
      <c r="D74" s="19" t="n">
        <v>817</v>
      </c>
      <c r="E74" s="18" t="n">
        <v>12.77225974</v>
      </c>
      <c r="F74" s="20" t="n">
        <v>1.17864234</v>
      </c>
      <c r="G74" s="18" t="n">
        <v>87.14972843</v>
      </c>
      <c r="H74" s="20" t="n">
        <v>1.18850791</v>
      </c>
      <c r="I74" s="18" t="n">
        <v>0</v>
      </c>
      <c r="J74" s="20" t="n">
        <v>0</v>
      </c>
      <c r="K74" s="18" t="n">
        <v>0</v>
      </c>
      <c r="L74" s="20" t="n">
        <v>0</v>
      </c>
      <c r="M74" s="18" t="n">
        <v>0</v>
      </c>
      <c r="N74" s="20" t="n">
        <v>0</v>
      </c>
      <c r="O74" s="18" t="n">
        <v>0</v>
      </c>
      <c r="P74" s="20" t="n">
        <v>0</v>
      </c>
      <c r="Q74" s="18" t="n">
        <v>0.07801183</v>
      </c>
      <c r="R74" s="20" t="n">
        <v>0.07888905</v>
      </c>
    </row>
    <row r="75" spans="1:18">
      <c r="A75" s="15" t="s">
        <v>635</v>
      </c>
      <c r="B75" s="17" t="n">
        <v>4652</v>
      </c>
      <c r="C75" s="18">
        <f>(3662.0/B75*100)</f>
        <v/>
      </c>
      <c r="D75" s="19" t="n">
        <v>990</v>
      </c>
      <c r="E75" s="18" t="n">
        <v>29.59932738</v>
      </c>
      <c r="F75" s="20" t="n">
        <v>2.05163765</v>
      </c>
      <c r="G75" s="18" t="n">
        <v>70.01982298</v>
      </c>
      <c r="H75" s="20" t="n">
        <v>2.09289492</v>
      </c>
      <c r="I75" s="18" t="n">
        <v>0</v>
      </c>
      <c r="J75" s="20" t="n">
        <v>0</v>
      </c>
      <c r="K75" s="18" t="n">
        <v>0</v>
      </c>
      <c r="L75" s="20" t="n">
        <v>0</v>
      </c>
      <c r="M75" s="18" t="n">
        <v>0</v>
      </c>
      <c r="N75" s="20" t="n">
        <v>0</v>
      </c>
      <c r="O75" s="18" t="n">
        <v>0</v>
      </c>
      <c r="P75" s="20" t="n">
        <v>0</v>
      </c>
      <c r="Q75" s="18" t="n">
        <v>0.38084964</v>
      </c>
      <c r="R75" s="20" t="n">
        <v>0.2241639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(2391.0/B77*100)</f>
        <v/>
      </c>
      <c r="D77" s="19" t="n">
        <v>578</v>
      </c>
      <c r="E77" s="18" t="n">
        <v>49.75803705</v>
      </c>
      <c r="F77" s="20" t="n">
        <v>2.09523273</v>
      </c>
      <c r="G77" s="18" t="n">
        <v>45.61377019</v>
      </c>
      <c r="H77" s="20" t="n">
        <v>2.27660295</v>
      </c>
      <c r="I77" s="18" t="n">
        <v>0</v>
      </c>
      <c r="J77" s="20" t="n">
        <v>0</v>
      </c>
      <c r="K77" s="18" t="n">
        <v>2.16075914</v>
      </c>
      <c r="L77" s="20" t="n">
        <v>0.67385533</v>
      </c>
      <c r="M77" s="18" t="n">
        <v>0</v>
      </c>
      <c r="N77" s="20" t="n">
        <v>0</v>
      </c>
      <c r="O77" s="18" t="n">
        <v>0</v>
      </c>
      <c r="P77" s="20" t="n">
        <v>0</v>
      </c>
      <c r="Q77" s="18" t="n">
        <v>2.46743363</v>
      </c>
      <c r="R77" s="20" t="n">
        <v>0.69346478</v>
      </c>
    </row>
    <row r="78" spans="1:18">
      <c r="A78" s="15" t="s">
        <v>638</v>
      </c>
      <c r="B78" s="17" t="n">
        <v>7115</v>
      </c>
      <c r="C78" s="18">
        <f>(5607.0/B78*100)</f>
        <v/>
      </c>
      <c r="D78" s="19" t="n">
        <v>1508</v>
      </c>
      <c r="E78" s="18" t="n">
        <v>23.91719676</v>
      </c>
      <c r="F78" s="20" t="n">
        <v>1.50620379</v>
      </c>
      <c r="G78" s="18" t="n">
        <v>74.76067206</v>
      </c>
      <c r="H78" s="20" t="n">
        <v>1.48107681</v>
      </c>
      <c r="I78" s="18" t="n">
        <v>0</v>
      </c>
      <c r="J78" s="20" t="n">
        <v>0</v>
      </c>
      <c r="K78" s="18" t="n">
        <v>0.42814721</v>
      </c>
      <c r="L78" s="20" t="n">
        <v>0.18874896</v>
      </c>
      <c r="M78" s="18" t="n">
        <v>0</v>
      </c>
      <c r="N78" s="20" t="n">
        <v>0</v>
      </c>
      <c r="O78" s="18" t="n">
        <v>0</v>
      </c>
      <c r="P78" s="20" t="n">
        <v>0</v>
      </c>
      <c r="Q78" s="18" t="n">
        <v>0.89398397</v>
      </c>
      <c r="R78" s="20" t="n">
        <v>0.2909738</v>
      </c>
    </row>
    <row r="79" spans="1:18">
      <c r="A79" s="15" t="s">
        <v>639</v>
      </c>
      <c r="B79" s="17" t="n">
        <v>3154</v>
      </c>
      <c r="C79" s="18">
        <f>(2457.0/B79*100)</f>
        <v/>
      </c>
      <c r="D79" s="19" t="n">
        <v>697</v>
      </c>
      <c r="E79" s="18" t="n">
        <v>37.9714236</v>
      </c>
      <c r="F79" s="20" t="n">
        <v>1.92638121</v>
      </c>
      <c r="G79" s="18" t="n">
        <v>60.5258567</v>
      </c>
      <c r="H79" s="20" t="n">
        <v>1.90099474</v>
      </c>
      <c r="I79" s="18" t="n">
        <v>0</v>
      </c>
      <c r="J79" s="20" t="n">
        <v>0</v>
      </c>
      <c r="K79" s="18" t="n">
        <v>0.12904748</v>
      </c>
      <c r="L79" s="20" t="n">
        <v>0.12542273</v>
      </c>
      <c r="M79" s="18" t="n">
        <v>0</v>
      </c>
      <c r="N79" s="20" t="n">
        <v>0</v>
      </c>
      <c r="O79" s="18" t="n">
        <v>0</v>
      </c>
      <c r="P79" s="20" t="n">
        <v>0</v>
      </c>
      <c r="Q79" s="18" t="n">
        <v>1.37367222</v>
      </c>
      <c r="R79" s="20" t="n">
        <v>0.44219254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(12506.0/B82*100)</f>
        <v/>
      </c>
      <c r="D82" s="19" t="n">
        <v>3455</v>
      </c>
      <c r="E82" s="18" t="n">
        <v>20.95717162</v>
      </c>
      <c r="F82" s="20" t="n">
        <v>1.22193438</v>
      </c>
      <c r="G82" s="18" t="n">
        <v>78.46921570000001</v>
      </c>
      <c r="H82" s="20" t="n">
        <v>1.24025564</v>
      </c>
      <c r="I82" s="18" t="n">
        <v>0</v>
      </c>
      <c r="J82" s="20" t="n">
        <v>0</v>
      </c>
      <c r="K82" s="18" t="n">
        <v>0.17479911</v>
      </c>
      <c r="L82" s="20" t="n">
        <v>0.0859714</v>
      </c>
      <c r="M82" s="18" t="n">
        <v>0</v>
      </c>
      <c r="N82" s="20" t="n">
        <v>0</v>
      </c>
      <c r="O82" s="18" t="n">
        <v>0</v>
      </c>
      <c r="P82" s="20" t="n">
        <v>0</v>
      </c>
      <c r="Q82" s="18" t="n">
        <v>0.39881357</v>
      </c>
      <c r="R82" s="20" t="n">
        <v>0.14841044</v>
      </c>
    </row>
    <row r="83" spans="1:18">
      <c r="A83" s="15" t="s">
        <v>643</v>
      </c>
      <c r="B83" s="17" t="n">
        <v>808</v>
      </c>
      <c r="C83" s="18">
        <f>(641.0/B83*100)</f>
        <v/>
      </c>
      <c r="D83" s="19" t="n">
        <v>167</v>
      </c>
      <c r="E83" s="18" t="n">
        <v>13.49075045</v>
      </c>
      <c r="F83" s="20" t="n">
        <v>2.43903451</v>
      </c>
      <c r="G83" s="18" t="n">
        <v>86.50924955000001</v>
      </c>
      <c r="H83" s="20" t="n">
        <v>2.43903451</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(763.0/B84*100)</f>
        <v/>
      </c>
      <c r="D84" s="19" t="n">
        <v>175</v>
      </c>
      <c r="E84" s="18" t="n">
        <v>9.48875797</v>
      </c>
      <c r="F84" s="20" t="n">
        <v>2.15838203</v>
      </c>
      <c r="G84" s="18" t="n">
        <v>90.51124203000001</v>
      </c>
      <c r="H84" s="20" t="n">
        <v>2.15838203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(5570.0/B7*100)</f>
        <v/>
      </c>
      <c r="D7" s="19" t="n">
        <v>1593</v>
      </c>
      <c r="E7" s="18" t="n">
        <v>42.14861454</v>
      </c>
      <c r="F7" s="20" t="n">
        <v>1.51314612</v>
      </c>
      <c r="G7" s="18" t="n">
        <v>53.70410015</v>
      </c>
      <c r="H7" s="20" t="n">
        <v>1.37555716</v>
      </c>
      <c r="I7" s="18" t="n">
        <v>0</v>
      </c>
      <c r="J7" s="20" t="n">
        <v>0</v>
      </c>
      <c r="K7" s="18" t="n">
        <v>0.38639119</v>
      </c>
      <c r="L7" s="20" t="n">
        <v>0.19142536</v>
      </c>
      <c r="M7" s="18" t="n">
        <v>0</v>
      </c>
      <c r="N7" s="20" t="n">
        <v>0</v>
      </c>
      <c r="O7" s="18" t="n">
        <v>0</v>
      </c>
      <c r="P7" s="20" t="n">
        <v>0</v>
      </c>
      <c r="Q7" s="18" t="n">
        <v>3.76089412</v>
      </c>
      <c r="R7" s="20" t="n">
        <v>0.54235764</v>
      </c>
    </row>
    <row r="8" spans="1:18">
      <c r="A8" s="15" t="s">
        <v>566</v>
      </c>
      <c r="B8" s="17" t="n">
        <v>3443</v>
      </c>
      <c r="C8" s="18">
        <f>(2654.0/B8*100)</f>
        <v/>
      </c>
      <c r="D8" s="19" t="n">
        <v>789</v>
      </c>
      <c r="E8" s="18" t="n">
        <v>50.21054838</v>
      </c>
      <c r="F8" s="20" t="n">
        <v>2.0803827</v>
      </c>
      <c r="G8" s="18" t="n">
        <v>45.6188911</v>
      </c>
      <c r="H8" s="20" t="n">
        <v>2.11672023</v>
      </c>
      <c r="I8" s="18" t="n">
        <v>0</v>
      </c>
      <c r="J8" s="20" t="n">
        <v>0</v>
      </c>
      <c r="K8" s="18" t="n">
        <v>0.16884271</v>
      </c>
      <c r="L8" s="20" t="n">
        <v>0.16696921</v>
      </c>
      <c r="M8" s="18" t="n">
        <v>0</v>
      </c>
      <c r="N8" s="20" t="n">
        <v>0</v>
      </c>
      <c r="O8" s="18" t="n">
        <v>0</v>
      </c>
      <c r="P8" s="20" t="n">
        <v>0</v>
      </c>
      <c r="Q8" s="18" t="n">
        <v>4.00171781</v>
      </c>
      <c r="R8" s="20" t="n">
        <v>0.82315597</v>
      </c>
    </row>
    <row r="9" spans="1:18">
      <c r="A9" s="15" t="s">
        <v>567</v>
      </c>
      <c r="B9" s="17" t="n">
        <v>4752</v>
      </c>
      <c r="C9" s="18">
        <f>(3727.0/B9*100)</f>
        <v/>
      </c>
      <c r="D9" s="19" t="n">
        <v>1025</v>
      </c>
      <c r="E9" s="18" t="n">
        <v>41.54063739</v>
      </c>
      <c r="F9" s="20" t="n">
        <v>1.82369596</v>
      </c>
      <c r="G9" s="18" t="n">
        <v>54.35132264</v>
      </c>
      <c r="H9" s="20" t="n">
        <v>1.85186901</v>
      </c>
      <c r="I9" s="18" t="n">
        <v>0</v>
      </c>
      <c r="J9" s="20" t="n">
        <v>0</v>
      </c>
      <c r="K9" s="18" t="n">
        <v>0.08364545</v>
      </c>
      <c r="L9" s="20" t="n">
        <v>0.08735559</v>
      </c>
      <c r="M9" s="18" t="n">
        <v>0</v>
      </c>
      <c r="N9" s="20" t="n">
        <v>0</v>
      </c>
      <c r="O9" s="18" t="n">
        <v>0</v>
      </c>
      <c r="P9" s="20" t="n">
        <v>0</v>
      </c>
      <c r="Q9" s="18" t="n">
        <v>4.02439452</v>
      </c>
      <c r="R9" s="20" t="n">
        <v>0.66526497</v>
      </c>
    </row>
    <row r="10" spans="1:18">
      <c r="A10" s="15" t="s">
        <v>568</v>
      </c>
      <c r="B10" s="17" t="n">
        <v>10022</v>
      </c>
      <c r="C10" s="18">
        <f>(7808.0/B10*100)</f>
        <v/>
      </c>
      <c r="D10" s="19" t="n">
        <v>2214</v>
      </c>
      <c r="E10" s="18" t="n">
        <v>39.39589727</v>
      </c>
      <c r="F10" s="20" t="n">
        <v>1.51091077</v>
      </c>
      <c r="G10" s="18" t="n">
        <v>59.04750107</v>
      </c>
      <c r="H10" s="20" t="n">
        <v>1.56724382</v>
      </c>
      <c r="I10" s="18" t="n">
        <v>0</v>
      </c>
      <c r="J10" s="20" t="n">
        <v>0</v>
      </c>
      <c r="K10" s="18" t="n">
        <v>0.42029505</v>
      </c>
      <c r="L10" s="20" t="n">
        <v>0.21912119</v>
      </c>
      <c r="M10" s="18" t="n">
        <v>0</v>
      </c>
      <c r="N10" s="20" t="n">
        <v>0</v>
      </c>
      <c r="O10" s="18" t="n">
        <v>0</v>
      </c>
      <c r="P10" s="20" t="n">
        <v>0</v>
      </c>
      <c r="Q10" s="18" t="n">
        <v>1.1363066</v>
      </c>
      <c r="R10" s="20" t="n">
        <v>0.23023771</v>
      </c>
    </row>
    <row r="11" spans="1:18">
      <c r="A11" s="15" t="s">
        <v>569</v>
      </c>
      <c r="B11" s="17" t="n">
        <v>3500</v>
      </c>
      <c r="C11" s="18">
        <f>(2762.0/B11*100)</f>
        <v/>
      </c>
      <c r="D11" s="19" t="n">
        <v>738</v>
      </c>
      <c r="E11" s="18" t="n">
        <v>59.84206146</v>
      </c>
      <c r="F11" s="20" t="n">
        <v>2.2267255</v>
      </c>
      <c r="G11" s="18" t="n">
        <v>33.46748423</v>
      </c>
      <c r="H11" s="20" t="n">
        <v>1.98734898</v>
      </c>
      <c r="I11" s="18" t="n">
        <v>0</v>
      </c>
      <c r="J11" s="20" t="n">
        <v>0</v>
      </c>
      <c r="K11" s="18" t="n">
        <v>0.1411314</v>
      </c>
      <c r="L11" s="20" t="n">
        <v>0.14243438</v>
      </c>
      <c r="M11" s="18" t="n">
        <v>0</v>
      </c>
      <c r="N11" s="20" t="n">
        <v>0</v>
      </c>
      <c r="O11" s="18" t="n">
        <v>0</v>
      </c>
      <c r="P11" s="20" t="n">
        <v>0</v>
      </c>
      <c r="Q11" s="18" t="n">
        <v>6.5493229</v>
      </c>
      <c r="R11" s="20" t="n">
        <v>1.16725576</v>
      </c>
    </row>
    <row r="12" spans="1:18">
      <c r="A12" s="15" t="s">
        <v>570</v>
      </c>
      <c r="B12" s="17" t="n">
        <v>3422</v>
      </c>
      <c r="C12" s="18">
        <f>(2683.0/B12*100)</f>
        <v/>
      </c>
      <c r="D12" s="19" t="n">
        <v>739</v>
      </c>
      <c r="E12" s="18" t="n">
        <v>43.54686774</v>
      </c>
      <c r="F12" s="20" t="n">
        <v>2.19896475</v>
      </c>
      <c r="G12" s="18" t="n">
        <v>53.27943856</v>
      </c>
      <c r="H12" s="20" t="n">
        <v>2.23116337</v>
      </c>
      <c r="I12" s="18" t="n">
        <v>0</v>
      </c>
      <c r="J12" s="20" t="n">
        <v>0</v>
      </c>
      <c r="K12" s="18" t="n">
        <v>0</v>
      </c>
      <c r="L12" s="20" t="n">
        <v>0</v>
      </c>
      <c r="M12" s="18" t="n">
        <v>0</v>
      </c>
      <c r="N12" s="20" t="n">
        <v>0</v>
      </c>
      <c r="O12" s="18" t="n">
        <v>0</v>
      </c>
      <c r="P12" s="20" t="n">
        <v>0</v>
      </c>
      <c r="Q12" s="18" t="n">
        <v>3.1736937</v>
      </c>
      <c r="R12" s="20" t="n">
        <v>0.7273311099999999</v>
      </c>
    </row>
    <row r="13" spans="1:18">
      <c r="A13" s="15" t="s">
        <v>571</v>
      </c>
      <c r="B13" s="17" t="n">
        <v>3602</v>
      </c>
      <c r="C13" s="18">
        <f>(2797.0/B13*100)</f>
        <v/>
      </c>
      <c r="D13" s="19" t="n">
        <v>805</v>
      </c>
      <c r="E13" s="18" t="n">
        <v>55.70250117</v>
      </c>
      <c r="F13" s="20" t="n">
        <v>2.04560507</v>
      </c>
      <c r="G13" s="18" t="n">
        <v>41.58807195</v>
      </c>
      <c r="H13" s="20" t="n">
        <v>2.06928101</v>
      </c>
      <c r="I13" s="18" t="n">
        <v>0</v>
      </c>
      <c r="J13" s="20" t="n">
        <v>0</v>
      </c>
      <c r="K13" s="18" t="n">
        <v>0.36324398</v>
      </c>
      <c r="L13" s="20" t="n">
        <v>0.26376612</v>
      </c>
      <c r="M13" s="18" t="n">
        <v>0</v>
      </c>
      <c r="N13" s="20" t="n">
        <v>0</v>
      </c>
      <c r="O13" s="18" t="n">
        <v>0</v>
      </c>
      <c r="P13" s="20" t="n">
        <v>0</v>
      </c>
      <c r="Q13" s="18" t="n">
        <v>2.3461829</v>
      </c>
      <c r="R13" s="20" t="n">
        <v>0.48985358</v>
      </c>
    </row>
    <row r="14" spans="1:18">
      <c r="A14" s="15" t="s">
        <v>572</v>
      </c>
      <c r="B14" s="17" t="n">
        <v>2788</v>
      </c>
      <c r="C14" s="18">
        <f>(2135.0/B14*100)</f>
        <v/>
      </c>
      <c r="D14" s="19" t="n">
        <v>653</v>
      </c>
      <c r="E14" s="18" t="n">
        <v>36.23016844</v>
      </c>
      <c r="F14" s="20" t="n">
        <v>2.21190962</v>
      </c>
      <c r="G14" s="18" t="n">
        <v>61.57980383</v>
      </c>
      <c r="H14" s="20" t="n">
        <v>2.38461682</v>
      </c>
      <c r="I14" s="18" t="n">
        <v>0</v>
      </c>
      <c r="J14" s="20" t="n">
        <v>0</v>
      </c>
      <c r="K14" s="18" t="n">
        <v>0.27089682</v>
      </c>
      <c r="L14" s="20" t="n">
        <v>0.18420585</v>
      </c>
      <c r="M14" s="18" t="n">
        <v>0</v>
      </c>
      <c r="N14" s="20" t="n">
        <v>0</v>
      </c>
      <c r="O14" s="18" t="n">
        <v>0</v>
      </c>
      <c r="P14" s="20" t="n">
        <v>0</v>
      </c>
      <c r="Q14" s="18" t="n">
        <v>1.91913091</v>
      </c>
      <c r="R14" s="20" t="n">
        <v>0.7243701</v>
      </c>
    </row>
    <row r="15" spans="1:18">
      <c r="A15" s="15" t="s">
        <v>573</v>
      </c>
      <c r="B15" s="17" t="n">
        <v>2863</v>
      </c>
      <c r="C15" s="18">
        <f>(2254.0/B15*100)</f>
        <v/>
      </c>
      <c r="D15" s="19" t="n">
        <v>609</v>
      </c>
      <c r="E15" s="18" t="n">
        <v>35.63111018</v>
      </c>
      <c r="F15" s="20" t="n">
        <v>1.86938395</v>
      </c>
      <c r="G15" s="18" t="n">
        <v>61.37595828</v>
      </c>
      <c r="H15" s="20" t="n">
        <v>1.95997207</v>
      </c>
      <c r="I15" s="18" t="n">
        <v>0</v>
      </c>
      <c r="J15" s="20" t="n">
        <v>0</v>
      </c>
      <c r="K15" s="18" t="n">
        <v>0</v>
      </c>
      <c r="L15" s="20" t="n">
        <v>0</v>
      </c>
      <c r="M15" s="18" t="n">
        <v>0</v>
      </c>
      <c r="N15" s="20" t="n">
        <v>0</v>
      </c>
      <c r="O15" s="18" t="n">
        <v>0</v>
      </c>
      <c r="P15" s="20" t="n">
        <v>0</v>
      </c>
      <c r="Q15" s="18" t="n">
        <v>2.99293154</v>
      </c>
      <c r="R15" s="20" t="n">
        <v>0.74476382</v>
      </c>
    </row>
    <row r="16" spans="1:18">
      <c r="A16" s="15" t="s">
        <v>574</v>
      </c>
      <c r="B16" s="17" t="n">
        <v>3111</v>
      </c>
      <c r="C16" s="18">
        <f>(2390.0/B16*100)</f>
        <v/>
      </c>
      <c r="D16" s="19" t="n">
        <v>721</v>
      </c>
      <c r="E16" s="18" t="n">
        <v>42.88264628</v>
      </c>
      <c r="F16" s="20" t="n">
        <v>1.63354718</v>
      </c>
      <c r="G16" s="18" t="n">
        <v>52.56178699</v>
      </c>
      <c r="H16" s="20" t="n">
        <v>1.70871537</v>
      </c>
      <c r="I16" s="18" t="n">
        <v>0</v>
      </c>
      <c r="J16" s="20" t="n">
        <v>0</v>
      </c>
      <c r="K16" s="18" t="n">
        <v>0.58042598</v>
      </c>
      <c r="L16" s="20" t="n">
        <v>0.28822529</v>
      </c>
      <c r="M16" s="18" t="n">
        <v>0</v>
      </c>
      <c r="N16" s="20" t="n">
        <v>0</v>
      </c>
      <c r="O16" s="18" t="n">
        <v>0</v>
      </c>
      <c r="P16" s="20" t="n">
        <v>0</v>
      </c>
      <c r="Q16" s="18" t="n">
        <v>3.97514075</v>
      </c>
      <c r="R16" s="20" t="n">
        <v>0.68843524</v>
      </c>
    </row>
    <row r="17" spans="1:18">
      <c r="A17" s="15" t="s">
        <v>575</v>
      </c>
      <c r="B17" s="17" t="n">
        <v>3197</v>
      </c>
      <c r="C17" s="18">
        <f>(2489.0/B17*100)</f>
        <v/>
      </c>
      <c r="D17" s="19" t="n">
        <v>708</v>
      </c>
      <c r="E17" s="18" t="n">
        <v>47.39847441</v>
      </c>
      <c r="F17" s="20" t="n">
        <v>1.92227273</v>
      </c>
      <c r="G17" s="18" t="n">
        <v>48.82762068</v>
      </c>
      <c r="H17" s="20" t="n">
        <v>1.9451354</v>
      </c>
      <c r="I17" s="18" t="n">
        <v>0</v>
      </c>
      <c r="J17" s="20" t="n">
        <v>0</v>
      </c>
      <c r="K17" s="18" t="n">
        <v>0</v>
      </c>
      <c r="L17" s="20" t="n">
        <v>0</v>
      </c>
      <c r="M17" s="18" t="n">
        <v>0</v>
      </c>
      <c r="N17" s="20" t="n">
        <v>0</v>
      </c>
      <c r="O17" s="18" t="n">
        <v>0</v>
      </c>
      <c r="P17" s="20" t="n">
        <v>0</v>
      </c>
      <c r="Q17" s="18" t="n">
        <v>3.77390491</v>
      </c>
      <c r="R17" s="20" t="n">
        <v>0.65739357</v>
      </c>
    </row>
    <row r="18" spans="1:18">
      <c r="A18" s="15" t="s">
        <v>576</v>
      </c>
      <c r="B18" s="17" t="n">
        <v>2706</v>
      </c>
      <c r="C18" s="18">
        <f>(2087.0/B18*100)</f>
        <v/>
      </c>
      <c r="D18" s="19" t="n">
        <v>619</v>
      </c>
      <c r="E18" s="18" t="n">
        <v>50.02905551</v>
      </c>
      <c r="F18" s="20" t="n">
        <v>2.33783393</v>
      </c>
      <c r="G18" s="18" t="n">
        <v>45.47679475</v>
      </c>
      <c r="H18" s="20" t="n">
        <v>2.35153129</v>
      </c>
      <c r="I18" s="18" t="n">
        <v>0</v>
      </c>
      <c r="J18" s="20" t="n">
        <v>0</v>
      </c>
      <c r="K18" s="18" t="n">
        <v>0.40496664</v>
      </c>
      <c r="L18" s="20" t="n">
        <v>0.29308699</v>
      </c>
      <c r="M18" s="18" t="n">
        <v>0</v>
      </c>
      <c r="N18" s="20" t="n">
        <v>0</v>
      </c>
      <c r="O18" s="18" t="n">
        <v>0</v>
      </c>
      <c r="P18" s="20" t="n">
        <v>0</v>
      </c>
      <c r="Q18" s="18" t="n">
        <v>4.08918309</v>
      </c>
      <c r="R18" s="20" t="n">
        <v>0.89902063</v>
      </c>
    </row>
    <row r="19" spans="1:18">
      <c r="A19" s="15" t="s">
        <v>577</v>
      </c>
      <c r="B19" s="17" t="n">
        <v>2850</v>
      </c>
      <c r="C19" s="18">
        <f>(2237.0/B19*100)</f>
        <v/>
      </c>
      <c r="D19" s="19" t="n">
        <v>613</v>
      </c>
      <c r="E19" s="18" t="n">
        <v>41.55606047</v>
      </c>
      <c r="F19" s="20" t="n">
        <v>2.09409638</v>
      </c>
      <c r="G19" s="18" t="n">
        <v>54.41864351</v>
      </c>
      <c r="H19" s="20" t="n">
        <v>2.06672113</v>
      </c>
      <c r="I19" s="18" t="n">
        <v>0</v>
      </c>
      <c r="J19" s="20" t="n">
        <v>0</v>
      </c>
      <c r="K19" s="18" t="n">
        <v>0.15143817</v>
      </c>
      <c r="L19" s="20" t="n">
        <v>0.15424161</v>
      </c>
      <c r="M19" s="18" t="n">
        <v>0</v>
      </c>
      <c r="N19" s="20" t="n">
        <v>0</v>
      </c>
      <c r="O19" s="18" t="n">
        <v>0</v>
      </c>
      <c r="P19" s="20" t="n">
        <v>0</v>
      </c>
      <c r="Q19" s="18" t="n">
        <v>3.87385785</v>
      </c>
      <c r="R19" s="20" t="n">
        <v>0.81129083</v>
      </c>
    </row>
    <row r="20" spans="1:18">
      <c r="A20" s="15" t="s">
        <v>578</v>
      </c>
      <c r="B20" s="17" t="n">
        <v>1741</v>
      </c>
      <c r="C20" s="18">
        <f>(1346.0/B20*100)</f>
        <v/>
      </c>
      <c r="D20" s="19" t="n">
        <v>395</v>
      </c>
      <c r="E20" s="18" t="n">
        <v>58.1625581</v>
      </c>
      <c r="F20" s="20" t="n">
        <v>2.36700696</v>
      </c>
      <c r="G20" s="18" t="n">
        <v>37.72947329</v>
      </c>
      <c r="H20" s="20" t="n">
        <v>2.33204899</v>
      </c>
      <c r="I20" s="18" t="n">
        <v>0</v>
      </c>
      <c r="J20" s="20" t="n">
        <v>0</v>
      </c>
      <c r="K20" s="18" t="n">
        <v>0</v>
      </c>
      <c r="L20" s="20" t="n">
        <v>0</v>
      </c>
      <c r="M20" s="18" t="n">
        <v>0</v>
      </c>
      <c r="N20" s="20" t="n">
        <v>0</v>
      </c>
      <c r="O20" s="18" t="n">
        <v>0</v>
      </c>
      <c r="P20" s="20" t="n">
        <v>0</v>
      </c>
      <c r="Q20" s="18" t="n">
        <v>4.1079686</v>
      </c>
      <c r="R20" s="20" t="n">
        <v>1.04877617</v>
      </c>
    </row>
    <row r="21" spans="1:18">
      <c r="A21" s="15" t="s">
        <v>579</v>
      </c>
      <c r="B21" s="17" t="n">
        <v>2833</v>
      </c>
      <c r="C21" s="18">
        <f>(2216.0/B21*100)</f>
        <v/>
      </c>
      <c r="D21" s="19" t="n">
        <v>617</v>
      </c>
      <c r="E21" s="18" t="n">
        <v>45.2175835</v>
      </c>
      <c r="F21" s="20" t="n">
        <v>2.04964058</v>
      </c>
      <c r="G21" s="18" t="n">
        <v>52.02320279</v>
      </c>
      <c r="H21" s="20" t="n">
        <v>1.99264585</v>
      </c>
      <c r="I21" s="18" t="n">
        <v>0</v>
      </c>
      <c r="J21" s="20" t="n">
        <v>0</v>
      </c>
      <c r="K21" s="18" t="n">
        <v>0</v>
      </c>
      <c r="L21" s="20" t="n">
        <v>0</v>
      </c>
      <c r="M21" s="18" t="n">
        <v>0</v>
      </c>
      <c r="N21" s="20" t="n">
        <v>0</v>
      </c>
      <c r="O21" s="18" t="n">
        <v>0</v>
      </c>
      <c r="P21" s="20" t="n">
        <v>0</v>
      </c>
      <c r="Q21" s="18" t="n">
        <v>2.75921371</v>
      </c>
      <c r="R21" s="20" t="n">
        <v>0.74406545</v>
      </c>
    </row>
    <row r="22" spans="1:18">
      <c r="A22" s="15" t="s">
        <v>580</v>
      </c>
      <c r="B22" s="17" t="n">
        <v>3667</v>
      </c>
      <c r="C22" s="18">
        <f>(2852.0/B22*100)</f>
        <v/>
      </c>
      <c r="D22" s="19" t="n">
        <v>815</v>
      </c>
      <c r="E22" s="18" t="n">
        <v>46.94055283</v>
      </c>
      <c r="F22" s="20" t="n">
        <v>1.98512252</v>
      </c>
      <c r="G22" s="18" t="n">
        <v>47.1314391</v>
      </c>
      <c r="H22" s="20" t="n">
        <v>2.18122112</v>
      </c>
      <c r="I22" s="18" t="n">
        <v>0</v>
      </c>
      <c r="J22" s="20" t="n">
        <v>0</v>
      </c>
      <c r="K22" s="18" t="n">
        <v>0.10452801</v>
      </c>
      <c r="L22" s="20" t="n">
        <v>0.10504177</v>
      </c>
      <c r="M22" s="18" t="n">
        <v>0</v>
      </c>
      <c r="N22" s="20" t="n">
        <v>0</v>
      </c>
      <c r="O22" s="18" t="n">
        <v>0</v>
      </c>
      <c r="P22" s="20" t="n">
        <v>0</v>
      </c>
      <c r="Q22" s="18" t="n">
        <v>5.82348006</v>
      </c>
      <c r="R22" s="20" t="n">
        <v>0.94844781</v>
      </c>
    </row>
    <row r="23" spans="1:18">
      <c r="A23" s="15" t="s">
        <v>581</v>
      </c>
      <c r="B23" s="17" t="n">
        <v>5792</v>
      </c>
      <c r="C23" s="18">
        <f>(4521.0/B23*100)</f>
        <v/>
      </c>
      <c r="D23" s="19" t="n">
        <v>1271</v>
      </c>
      <c r="E23" s="18" t="n">
        <v>50.24708833</v>
      </c>
      <c r="F23" s="20" t="n">
        <v>2.15795059</v>
      </c>
      <c r="G23" s="18" t="n">
        <v>44.81860009</v>
      </c>
      <c r="H23" s="20" t="n">
        <v>2.24698584</v>
      </c>
      <c r="I23" s="18" t="n">
        <v>0</v>
      </c>
      <c r="J23" s="20" t="n">
        <v>0</v>
      </c>
      <c r="K23" s="18" t="n">
        <v>0.37091168</v>
      </c>
      <c r="L23" s="20" t="n">
        <v>0.32621463</v>
      </c>
      <c r="M23" s="18" t="n">
        <v>0</v>
      </c>
      <c r="N23" s="20" t="n">
        <v>0</v>
      </c>
      <c r="O23" s="18" t="n">
        <v>0</v>
      </c>
      <c r="P23" s="20" t="n">
        <v>0</v>
      </c>
      <c r="Q23" s="18" t="n">
        <v>4.5633999</v>
      </c>
      <c r="R23" s="20" t="n">
        <v>0.89325031</v>
      </c>
    </row>
    <row r="24" spans="1:18">
      <c r="A24" s="15" t="s">
        <v>582</v>
      </c>
      <c r="B24" s="17" t="n">
        <v>3309</v>
      </c>
      <c r="C24" s="18">
        <f>(2606.0/B24*100)</f>
        <v/>
      </c>
      <c r="D24" s="19" t="n">
        <v>703</v>
      </c>
      <c r="E24" s="18" t="n">
        <v>32.02580631</v>
      </c>
      <c r="F24" s="20" t="n">
        <v>1.9713612</v>
      </c>
      <c r="G24" s="18" t="n">
        <v>67.17671436000001</v>
      </c>
      <c r="H24" s="20" t="n">
        <v>1.93022772</v>
      </c>
      <c r="I24" s="18" t="n">
        <v>0</v>
      </c>
      <c r="J24" s="20" t="n">
        <v>0</v>
      </c>
      <c r="K24" s="18" t="n">
        <v>0</v>
      </c>
      <c r="L24" s="20" t="n">
        <v>0</v>
      </c>
      <c r="M24" s="18" t="n">
        <v>0</v>
      </c>
      <c r="N24" s="20" t="n">
        <v>0</v>
      </c>
      <c r="O24" s="18" t="n">
        <v>0</v>
      </c>
      <c r="P24" s="20" t="n">
        <v>0</v>
      </c>
      <c r="Q24" s="18" t="n">
        <v>0.79747933</v>
      </c>
      <c r="R24" s="20" t="n">
        <v>0.33174096</v>
      </c>
    </row>
    <row r="25" spans="1:18">
      <c r="A25" s="15" t="s">
        <v>583</v>
      </c>
      <c r="B25" s="17" t="n">
        <v>2669</v>
      </c>
      <c r="C25" s="18">
        <f>(2048.0/B25*100)</f>
        <v/>
      </c>
      <c r="D25" s="19" t="n">
        <v>621</v>
      </c>
      <c r="E25" s="18" t="n">
        <v>28.3126669</v>
      </c>
      <c r="F25" s="20" t="n">
        <v>1.9968513</v>
      </c>
      <c r="G25" s="18" t="n">
        <v>70.12937717</v>
      </c>
      <c r="H25" s="20" t="n">
        <v>2.16930038</v>
      </c>
      <c r="I25" s="18" t="n">
        <v>0</v>
      </c>
      <c r="J25" s="20" t="n">
        <v>0</v>
      </c>
      <c r="K25" s="18" t="n">
        <v>0</v>
      </c>
      <c r="L25" s="20" t="n">
        <v>0</v>
      </c>
      <c r="M25" s="18" t="n">
        <v>0</v>
      </c>
      <c r="N25" s="20" t="n">
        <v>0</v>
      </c>
      <c r="O25" s="18" t="n">
        <v>0</v>
      </c>
      <c r="P25" s="20" t="n">
        <v>0</v>
      </c>
      <c r="Q25" s="18" t="n">
        <v>1.55795593</v>
      </c>
      <c r="R25" s="20" t="n">
        <v>0.48121996</v>
      </c>
    </row>
    <row r="26" spans="1:18">
      <c r="A26" s="15" t="s">
        <v>584</v>
      </c>
      <c r="B26" s="17" t="n">
        <v>2419</v>
      </c>
      <c r="C26" s="18">
        <f>(1887.0/B26*100)</f>
        <v/>
      </c>
      <c r="D26" s="19" t="n">
        <v>532</v>
      </c>
      <c r="E26" s="18" t="n">
        <v>43.71982151</v>
      </c>
      <c r="F26" s="20" t="n">
        <v>2.3914208</v>
      </c>
      <c r="G26" s="18" t="n">
        <v>53.32274814</v>
      </c>
      <c r="H26" s="20" t="n">
        <v>2.40391889</v>
      </c>
      <c r="I26" s="18" t="n">
        <v>0</v>
      </c>
      <c r="J26" s="20" t="n">
        <v>0</v>
      </c>
      <c r="K26" s="18" t="n">
        <v>0.67657714</v>
      </c>
      <c r="L26" s="20" t="n">
        <v>0.46218132</v>
      </c>
      <c r="M26" s="18" t="n">
        <v>0</v>
      </c>
      <c r="N26" s="20" t="n">
        <v>0</v>
      </c>
      <c r="O26" s="18" t="n">
        <v>0</v>
      </c>
      <c r="P26" s="20" t="n">
        <v>0</v>
      </c>
      <c r="Q26" s="18" t="n">
        <v>2.28085321</v>
      </c>
      <c r="R26" s="20" t="n">
        <v>0.71219491</v>
      </c>
    </row>
    <row r="27" spans="1:18">
      <c r="A27" s="15" t="s">
        <v>585</v>
      </c>
      <c r="B27" s="17" t="n">
        <v>2683</v>
      </c>
      <c r="C27" s="18">
        <f>(2090.0/B27*100)</f>
        <v/>
      </c>
      <c r="D27" s="19" t="n">
        <v>593</v>
      </c>
      <c r="E27" s="18" t="n">
        <v>54.78929467</v>
      </c>
      <c r="F27" s="20" t="n">
        <v>2.19542844</v>
      </c>
      <c r="G27" s="18" t="n">
        <v>42.67164387</v>
      </c>
      <c r="H27" s="20" t="n">
        <v>2.1702112</v>
      </c>
      <c r="I27" s="18" t="n">
        <v>0</v>
      </c>
      <c r="J27" s="20" t="n">
        <v>0</v>
      </c>
      <c r="K27" s="18" t="n">
        <v>0</v>
      </c>
      <c r="L27" s="20" t="n">
        <v>0</v>
      </c>
      <c r="M27" s="18" t="n">
        <v>0</v>
      </c>
      <c r="N27" s="20" t="n">
        <v>0</v>
      </c>
      <c r="O27" s="18" t="n">
        <v>0</v>
      </c>
      <c r="P27" s="20" t="n">
        <v>0</v>
      </c>
      <c r="Q27" s="18" t="n">
        <v>2.53906146</v>
      </c>
      <c r="R27" s="20" t="n">
        <v>0.61987221</v>
      </c>
    </row>
    <row r="28" spans="1:18">
      <c r="A28" s="15" t="s">
        <v>586</v>
      </c>
      <c r="B28" s="17" t="n">
        <v>3803</v>
      </c>
      <c r="C28" s="18">
        <f>(2986.0/B28*100)</f>
        <v/>
      </c>
      <c r="D28" s="19" t="n">
        <v>817</v>
      </c>
      <c r="E28" s="18" t="n">
        <v>63.79121264</v>
      </c>
      <c r="F28" s="20" t="n">
        <v>2.00426614</v>
      </c>
      <c r="G28" s="18" t="n">
        <v>31.04990053</v>
      </c>
      <c r="H28" s="20" t="n">
        <v>1.79822404</v>
      </c>
      <c r="I28" s="18" t="n">
        <v>0</v>
      </c>
      <c r="J28" s="20" t="n">
        <v>0</v>
      </c>
      <c r="K28" s="18" t="n">
        <v>0.28039416</v>
      </c>
      <c r="L28" s="20" t="n">
        <v>0.2214609</v>
      </c>
      <c r="M28" s="18" t="n">
        <v>0</v>
      </c>
      <c r="N28" s="20" t="n">
        <v>0</v>
      </c>
      <c r="O28" s="18" t="n">
        <v>0</v>
      </c>
      <c r="P28" s="20" t="n">
        <v>0</v>
      </c>
      <c r="Q28" s="18" t="n">
        <v>4.87849267</v>
      </c>
      <c r="R28" s="20" t="n">
        <v>0.92979066</v>
      </c>
    </row>
    <row r="29" spans="1:18">
      <c r="A29" s="15" t="s">
        <v>587</v>
      </c>
      <c r="B29" s="17" t="n">
        <v>2700</v>
      </c>
      <c r="C29" s="18">
        <f>(2142.0/B29*100)</f>
        <v/>
      </c>
      <c r="D29" s="19" t="n">
        <v>558</v>
      </c>
      <c r="E29" s="18" t="n">
        <v>49.02036906</v>
      </c>
      <c r="F29" s="20" t="n">
        <v>2.24803875</v>
      </c>
      <c r="G29" s="18" t="n">
        <v>46.32065064</v>
      </c>
      <c r="H29" s="20" t="n">
        <v>2.13670569</v>
      </c>
      <c r="I29" s="18" t="n">
        <v>0</v>
      </c>
      <c r="J29" s="20" t="n">
        <v>0</v>
      </c>
      <c r="K29" s="18" t="n">
        <v>0</v>
      </c>
      <c r="L29" s="20" t="n">
        <v>0</v>
      </c>
      <c r="M29" s="18" t="n">
        <v>0</v>
      </c>
      <c r="N29" s="20" t="n">
        <v>0</v>
      </c>
      <c r="O29" s="18" t="n">
        <v>0</v>
      </c>
      <c r="P29" s="20" t="n">
        <v>0</v>
      </c>
      <c r="Q29" s="18" t="n">
        <v>4.65898031</v>
      </c>
      <c r="R29" s="20" t="n">
        <v>0.9290412</v>
      </c>
    </row>
    <row r="30" spans="1:18">
      <c r="A30" s="15" t="s">
        <v>588</v>
      </c>
      <c r="B30" s="17" t="n">
        <v>2257</v>
      </c>
      <c r="C30" s="18">
        <f>(1772.0/B30*100)</f>
        <v/>
      </c>
      <c r="D30" s="19" t="n">
        <v>485</v>
      </c>
      <c r="E30" s="18" t="n">
        <v>42.43118529</v>
      </c>
      <c r="F30" s="20" t="n">
        <v>2.60831997</v>
      </c>
      <c r="G30" s="18" t="n">
        <v>55.27471085</v>
      </c>
      <c r="H30" s="20" t="n">
        <v>2.52306513</v>
      </c>
      <c r="I30" s="18" t="n">
        <v>0</v>
      </c>
      <c r="J30" s="20" t="n">
        <v>0</v>
      </c>
      <c r="K30" s="18" t="n">
        <v>0</v>
      </c>
      <c r="L30" s="20" t="n">
        <v>0</v>
      </c>
      <c r="M30" s="18" t="n">
        <v>0</v>
      </c>
      <c r="N30" s="20" t="n">
        <v>0</v>
      </c>
      <c r="O30" s="18" t="n">
        <v>0</v>
      </c>
      <c r="P30" s="20" t="n">
        <v>0</v>
      </c>
      <c r="Q30" s="18" t="n">
        <v>2.29410385</v>
      </c>
      <c r="R30" s="20" t="n">
        <v>0.64995594</v>
      </c>
    </row>
    <row r="31" spans="1:18">
      <c r="A31" s="15" t="s">
        <v>589</v>
      </c>
      <c r="B31" s="17" t="n">
        <v>2706</v>
      </c>
      <c r="C31" s="18">
        <f>(2072.0/B31*100)</f>
        <v/>
      </c>
      <c r="D31" s="19" t="n">
        <v>634</v>
      </c>
      <c r="E31" s="18" t="n">
        <v>49.82924978</v>
      </c>
      <c r="F31" s="20" t="n">
        <v>1.98251459</v>
      </c>
      <c r="G31" s="18" t="n">
        <v>46.70697466</v>
      </c>
      <c r="H31" s="20" t="n">
        <v>2.07781124</v>
      </c>
      <c r="I31" s="18" t="n">
        <v>0</v>
      </c>
      <c r="J31" s="20" t="n">
        <v>0</v>
      </c>
      <c r="K31" s="18" t="n">
        <v>0</v>
      </c>
      <c r="L31" s="20" t="n">
        <v>0</v>
      </c>
      <c r="M31" s="18" t="n">
        <v>0</v>
      </c>
      <c r="N31" s="20" t="n">
        <v>0</v>
      </c>
      <c r="O31" s="18" t="n">
        <v>0</v>
      </c>
      <c r="P31" s="20" t="n">
        <v>0</v>
      </c>
      <c r="Q31" s="18" t="n">
        <v>3.46377556</v>
      </c>
      <c r="R31" s="20" t="n">
        <v>0.72445996</v>
      </c>
    </row>
    <row r="32" spans="1:18">
      <c r="A32" s="15" t="s">
        <v>590</v>
      </c>
      <c r="B32" s="17" t="n">
        <v>2209</v>
      </c>
      <c r="C32" s="18">
        <f>(1700.0/B32*100)</f>
        <v/>
      </c>
      <c r="D32" s="19" t="n">
        <v>509</v>
      </c>
      <c r="E32" s="18" t="n">
        <v>50.64728673</v>
      </c>
      <c r="F32" s="20" t="n">
        <v>2.23841585</v>
      </c>
      <c r="G32" s="18" t="n">
        <v>46.46442897</v>
      </c>
      <c r="H32" s="20" t="n">
        <v>2.21604244</v>
      </c>
      <c r="I32" s="18" t="n">
        <v>0</v>
      </c>
      <c r="J32" s="20" t="n">
        <v>0</v>
      </c>
      <c r="K32" s="18" t="n">
        <v>0</v>
      </c>
      <c r="L32" s="20" t="n">
        <v>0</v>
      </c>
      <c r="M32" s="18" t="n">
        <v>0</v>
      </c>
      <c r="N32" s="20" t="n">
        <v>0</v>
      </c>
      <c r="O32" s="18" t="n">
        <v>0</v>
      </c>
      <c r="P32" s="20" t="n">
        <v>0</v>
      </c>
      <c r="Q32" s="18" t="n">
        <v>2.8882843</v>
      </c>
      <c r="R32" s="20" t="n">
        <v>0.72506551</v>
      </c>
    </row>
    <row r="33" spans="1:18">
      <c r="A33" s="15" t="s">
        <v>591</v>
      </c>
      <c r="B33" s="17" t="n">
        <v>3651</v>
      </c>
      <c r="C33" s="18">
        <f>(2828.0/B33*100)</f>
        <v/>
      </c>
      <c r="D33" s="19" t="n">
        <v>823</v>
      </c>
      <c r="E33" s="18" t="n">
        <v>42.81481807</v>
      </c>
      <c r="F33" s="20" t="n">
        <v>2.05683861</v>
      </c>
      <c r="G33" s="18" t="n">
        <v>54.42905154</v>
      </c>
      <c r="H33" s="20" t="n">
        <v>1.88033023</v>
      </c>
      <c r="I33" s="18" t="n">
        <v>0</v>
      </c>
      <c r="J33" s="20" t="n">
        <v>0</v>
      </c>
      <c r="K33" s="18" t="n">
        <v>0</v>
      </c>
      <c r="L33" s="20" t="n">
        <v>0</v>
      </c>
      <c r="M33" s="18" t="n">
        <v>0</v>
      </c>
      <c r="N33" s="20" t="n">
        <v>0</v>
      </c>
      <c r="O33" s="18" t="n">
        <v>0</v>
      </c>
      <c r="P33" s="20" t="n">
        <v>0</v>
      </c>
      <c r="Q33" s="18" t="n">
        <v>2.75613039</v>
      </c>
      <c r="R33" s="20" t="n">
        <v>0.75597746</v>
      </c>
    </row>
    <row r="34" spans="1:18">
      <c r="A34" s="15" t="s">
        <v>592</v>
      </c>
      <c r="B34" s="17" t="n">
        <v>3035</v>
      </c>
      <c r="C34" s="18">
        <f>(2417.0/B34*100)</f>
        <v/>
      </c>
      <c r="D34" s="19" t="n">
        <v>618</v>
      </c>
      <c r="E34" s="18" t="n">
        <v>47.23843691</v>
      </c>
      <c r="F34" s="20" t="n">
        <v>2.46753147</v>
      </c>
      <c r="G34" s="18" t="n">
        <v>48.33285344</v>
      </c>
      <c r="H34" s="20" t="n">
        <v>2.29498734</v>
      </c>
      <c r="I34" s="18" t="n">
        <v>0</v>
      </c>
      <c r="J34" s="20" t="n">
        <v>0</v>
      </c>
      <c r="K34" s="18" t="n">
        <v>0.3930898</v>
      </c>
      <c r="L34" s="20" t="n">
        <v>0.23099481</v>
      </c>
      <c r="M34" s="18" t="n">
        <v>0</v>
      </c>
      <c r="N34" s="20" t="n">
        <v>0</v>
      </c>
      <c r="O34" s="18" t="n">
        <v>0</v>
      </c>
      <c r="P34" s="20" t="n">
        <v>0</v>
      </c>
      <c r="Q34" s="18" t="n">
        <v>4.03561985</v>
      </c>
      <c r="R34" s="20" t="n">
        <v>1.11711712</v>
      </c>
    </row>
    <row r="35" spans="1:18">
      <c r="A35" s="15" t="s">
        <v>593</v>
      </c>
      <c r="B35" s="17" t="n">
        <v>2901</v>
      </c>
      <c r="C35" s="18">
        <f>(2274.0/B35*100)</f>
        <v/>
      </c>
      <c r="D35" s="19" t="n">
        <v>627</v>
      </c>
      <c r="E35" s="18" t="n">
        <v>37.63541696</v>
      </c>
      <c r="F35" s="20" t="n">
        <v>2.124075</v>
      </c>
      <c r="G35" s="18" t="n">
        <v>60.44430352</v>
      </c>
      <c r="H35" s="20" t="n">
        <v>2.19575997</v>
      </c>
      <c r="I35" s="18" t="n">
        <v>0</v>
      </c>
      <c r="J35" s="20" t="n">
        <v>0</v>
      </c>
      <c r="K35" s="18" t="n">
        <v>0</v>
      </c>
      <c r="L35" s="20" t="n">
        <v>0</v>
      </c>
      <c r="M35" s="18" t="n">
        <v>0</v>
      </c>
      <c r="N35" s="20" t="n">
        <v>0</v>
      </c>
      <c r="O35" s="18" t="n">
        <v>0</v>
      </c>
      <c r="P35" s="20" t="n">
        <v>0</v>
      </c>
      <c r="Q35" s="18" t="n">
        <v>1.92027952</v>
      </c>
      <c r="R35" s="20" t="n">
        <v>0.58529537</v>
      </c>
    </row>
    <row r="36" spans="1:18">
      <c r="A36" s="15" t="s">
        <v>594</v>
      </c>
      <c r="B36" s="17" t="n">
        <v>3404</v>
      </c>
      <c r="C36" s="18">
        <f>(2666.0/B36*100)</f>
        <v/>
      </c>
      <c r="D36" s="19" t="n">
        <v>738</v>
      </c>
      <c r="E36" s="18" t="n">
        <v>51.54991598</v>
      </c>
      <c r="F36" s="20" t="n">
        <v>2.07918548</v>
      </c>
      <c r="G36" s="18" t="n">
        <v>45.20649942</v>
      </c>
      <c r="H36" s="20" t="n">
        <v>2.08084673</v>
      </c>
      <c r="I36" s="18" t="n">
        <v>0</v>
      </c>
      <c r="J36" s="20" t="n">
        <v>0</v>
      </c>
      <c r="K36" s="18" t="n">
        <v>0.12782626</v>
      </c>
      <c r="L36" s="20" t="n">
        <v>0.18220742</v>
      </c>
      <c r="M36" s="18" t="n">
        <v>0</v>
      </c>
      <c r="N36" s="20" t="n">
        <v>0</v>
      </c>
      <c r="O36" s="18" t="n">
        <v>0</v>
      </c>
      <c r="P36" s="20" t="n">
        <v>0</v>
      </c>
      <c r="Q36" s="18" t="n">
        <v>3.11575835</v>
      </c>
      <c r="R36" s="20" t="n">
        <v>0.62994211</v>
      </c>
    </row>
    <row r="37" spans="1:18">
      <c r="A37" s="15" t="s">
        <v>595</v>
      </c>
      <c r="B37" s="17" t="n">
        <v>2731</v>
      </c>
      <c r="C37" s="18">
        <f>(2155.0/B37*100)</f>
        <v/>
      </c>
      <c r="D37" s="19" t="n">
        <v>576</v>
      </c>
      <c r="E37" s="18" t="n">
        <v>44.08372648</v>
      </c>
      <c r="F37" s="20" t="n">
        <v>2.07082726</v>
      </c>
      <c r="G37" s="18" t="n">
        <v>50.51409316</v>
      </c>
      <c r="H37" s="20" t="n">
        <v>2.07896443</v>
      </c>
      <c r="I37" s="18" t="n">
        <v>0</v>
      </c>
      <c r="J37" s="20" t="n">
        <v>0</v>
      </c>
      <c r="K37" s="18" t="n">
        <v>0.19813198</v>
      </c>
      <c r="L37" s="20" t="n">
        <v>0.19744341</v>
      </c>
      <c r="M37" s="18" t="n">
        <v>0</v>
      </c>
      <c r="N37" s="20" t="n">
        <v>0</v>
      </c>
      <c r="O37" s="18" t="n">
        <v>0</v>
      </c>
      <c r="P37" s="20" t="n">
        <v>0</v>
      </c>
      <c r="Q37" s="18" t="n">
        <v>5.20404838</v>
      </c>
      <c r="R37" s="20" t="n">
        <v>0.92632831</v>
      </c>
    </row>
    <row r="38" spans="1:18">
      <c r="A38" s="15" t="s">
        <v>596</v>
      </c>
      <c r="B38" s="17" t="n">
        <v>2807</v>
      </c>
      <c r="C38" s="18">
        <f>(2188.0/B38*100)</f>
        <v/>
      </c>
      <c r="D38" s="19" t="n">
        <v>619</v>
      </c>
      <c r="E38" s="18" t="n">
        <v>41.96111031</v>
      </c>
      <c r="F38" s="20" t="n">
        <v>2.91170654</v>
      </c>
      <c r="G38" s="18" t="n">
        <v>53.75028916</v>
      </c>
      <c r="H38" s="20" t="n">
        <v>2.96492902</v>
      </c>
      <c r="I38" s="18" t="n">
        <v>0</v>
      </c>
      <c r="J38" s="20" t="n">
        <v>0</v>
      </c>
      <c r="K38" s="18" t="n">
        <v>0.14840093</v>
      </c>
      <c r="L38" s="20" t="n">
        <v>0.12007886</v>
      </c>
      <c r="M38" s="18" t="n">
        <v>0</v>
      </c>
      <c r="N38" s="20" t="n">
        <v>0</v>
      </c>
      <c r="O38" s="18" t="n">
        <v>0</v>
      </c>
      <c r="P38" s="20" t="n">
        <v>0</v>
      </c>
      <c r="Q38" s="18" t="n">
        <v>4.1401996</v>
      </c>
      <c r="R38" s="20" t="n">
        <v>1.1339986</v>
      </c>
    </row>
    <row r="39" spans="1:18">
      <c r="A39" s="15" t="s">
        <v>597</v>
      </c>
      <c r="B39" s="17" t="n">
        <v>2938</v>
      </c>
      <c r="C39" s="18">
        <f>(2309.0/B39*100)</f>
        <v/>
      </c>
      <c r="D39" s="19" t="n">
        <v>629</v>
      </c>
      <c r="E39" s="18" t="n">
        <v>58.40605656</v>
      </c>
      <c r="F39" s="20" t="n">
        <v>1.99467601</v>
      </c>
      <c r="G39" s="18" t="n">
        <v>37.24797153</v>
      </c>
      <c r="H39" s="20" t="n">
        <v>2.25765506</v>
      </c>
      <c r="I39" s="18" t="n">
        <v>0</v>
      </c>
      <c r="J39" s="20" t="n">
        <v>0</v>
      </c>
      <c r="K39" s="18" t="n">
        <v>0.07197995</v>
      </c>
      <c r="L39" s="20" t="n">
        <v>0.07162693000000001</v>
      </c>
      <c r="M39" s="18" t="n">
        <v>0</v>
      </c>
      <c r="N39" s="20" t="n">
        <v>0</v>
      </c>
      <c r="O39" s="18" t="n">
        <v>0</v>
      </c>
      <c r="P39" s="20" t="n">
        <v>0</v>
      </c>
      <c r="Q39" s="18" t="n">
        <v>4.27399196</v>
      </c>
      <c r="R39" s="20" t="n">
        <v>1.04299647</v>
      </c>
    </row>
    <row r="40" spans="1:18">
      <c r="A40" s="15" t="s">
        <v>598</v>
      </c>
      <c r="B40" s="17" t="n">
        <v>6922</v>
      </c>
      <c r="C40" s="18">
        <f>(5327.0/B40*100)</f>
        <v/>
      </c>
      <c r="D40" s="19" t="n">
        <v>1595</v>
      </c>
      <c r="E40" s="18" t="n">
        <v>41.0643261</v>
      </c>
      <c r="F40" s="20" t="n">
        <v>1.95935477</v>
      </c>
      <c r="G40" s="18" t="n">
        <v>55.65997744</v>
      </c>
      <c r="H40" s="20" t="n">
        <v>1.97856052</v>
      </c>
      <c r="I40" s="18" t="n">
        <v>0</v>
      </c>
      <c r="J40" s="20" t="n">
        <v>0</v>
      </c>
      <c r="K40" s="18" t="n">
        <v>0.02761516</v>
      </c>
      <c r="L40" s="20" t="n">
        <v>0.02042161</v>
      </c>
      <c r="M40" s="18" t="n">
        <v>0</v>
      </c>
      <c r="N40" s="20" t="n">
        <v>0</v>
      </c>
      <c r="O40" s="18" t="n">
        <v>0</v>
      </c>
      <c r="P40" s="20" t="n">
        <v>0</v>
      </c>
      <c r="Q40" s="18" t="n">
        <v>3.2480813</v>
      </c>
      <c r="R40" s="20" t="n">
        <v>0.5283607</v>
      </c>
    </row>
    <row r="41" spans="1:18">
      <c r="A41" s="15" t="s">
        <v>599</v>
      </c>
      <c r="B41" s="17" t="n">
        <v>2854</v>
      </c>
      <c r="C41" s="18">
        <f>(2205.0/B41*100)</f>
        <v/>
      </c>
      <c r="D41" s="19" t="n">
        <v>649</v>
      </c>
      <c r="E41" s="18" t="n">
        <v>40.54713067</v>
      </c>
      <c r="F41" s="20" t="n">
        <v>2.29443384</v>
      </c>
      <c r="G41" s="18" t="n">
        <v>57.85192151</v>
      </c>
      <c r="H41" s="20" t="n">
        <v>2.40628636</v>
      </c>
      <c r="I41" s="18" t="n">
        <v>0</v>
      </c>
      <c r="J41" s="20" t="n">
        <v>0</v>
      </c>
      <c r="K41" s="18" t="n">
        <v>0.15434134</v>
      </c>
      <c r="L41" s="20" t="n">
        <v>0.14927944</v>
      </c>
      <c r="M41" s="18" t="n">
        <v>0</v>
      </c>
      <c r="N41" s="20" t="n">
        <v>0</v>
      </c>
      <c r="O41" s="18" t="n">
        <v>0</v>
      </c>
      <c r="P41" s="20" t="n">
        <v>0</v>
      </c>
      <c r="Q41" s="18" t="n">
        <v>1.44660648</v>
      </c>
      <c r="R41" s="20" t="n">
        <v>0.48111741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(9935.0/B46*100)</f>
        <v/>
      </c>
      <c r="D46" s="19" t="n">
        <v>2138</v>
      </c>
      <c r="E46" s="18" t="n">
        <v>56.41672152</v>
      </c>
      <c r="F46" s="20" t="n">
        <v>1.61404474</v>
      </c>
      <c r="G46" s="18" t="n">
        <v>29.8199771</v>
      </c>
      <c r="H46" s="20" t="n">
        <v>1.47150208</v>
      </c>
      <c r="I46" s="18" t="n">
        <v>0</v>
      </c>
      <c r="J46" s="20" t="n">
        <v>0</v>
      </c>
      <c r="K46" s="18" t="n">
        <v>0.66024366</v>
      </c>
      <c r="L46" s="20" t="n">
        <v>0.28325422</v>
      </c>
      <c r="M46" s="18" t="n">
        <v>0</v>
      </c>
      <c r="N46" s="20" t="n">
        <v>0</v>
      </c>
      <c r="O46" s="18" t="n">
        <v>0</v>
      </c>
      <c r="P46" s="20" t="n">
        <v>0</v>
      </c>
      <c r="Q46" s="18" t="n">
        <v>13.10305772</v>
      </c>
      <c r="R46" s="20" t="n">
        <v>0.97281224</v>
      </c>
    </row>
    <row r="47" spans="1:18">
      <c r="A47" s="15" t="s">
        <v>606</v>
      </c>
      <c r="B47" s="17" t="n">
        <v>2823</v>
      </c>
      <c r="C47" s="18">
        <f>(2199.0/B47*100)</f>
        <v/>
      </c>
      <c r="D47" s="19" t="n">
        <v>624</v>
      </c>
      <c r="E47" s="18" t="n">
        <v>56.0426962</v>
      </c>
      <c r="F47" s="20" t="n">
        <v>2.08846396</v>
      </c>
      <c r="G47" s="18" t="n">
        <v>37.34727216</v>
      </c>
      <c r="H47" s="20" t="n">
        <v>2.092222</v>
      </c>
      <c r="I47" s="18" t="n">
        <v>0</v>
      </c>
      <c r="J47" s="20" t="n">
        <v>0</v>
      </c>
      <c r="K47" s="18" t="n">
        <v>0.31630428</v>
      </c>
      <c r="L47" s="20" t="n">
        <v>0.22671501</v>
      </c>
      <c r="M47" s="18" t="n">
        <v>0</v>
      </c>
      <c r="N47" s="20" t="n">
        <v>0</v>
      </c>
      <c r="O47" s="18" t="n">
        <v>0</v>
      </c>
      <c r="P47" s="20" t="n">
        <v>0</v>
      </c>
      <c r="Q47" s="18" t="n">
        <v>6.29372736</v>
      </c>
      <c r="R47" s="20" t="n">
        <v>0.99378996</v>
      </c>
    </row>
    <row r="48" spans="1:18">
      <c r="A48" s="15" t="s">
        <v>607</v>
      </c>
      <c r="B48" s="17" t="n">
        <v>4682</v>
      </c>
      <c r="C48" s="18">
        <f>(3633.0/B48*100)</f>
        <v/>
      </c>
      <c r="D48" s="19" t="n">
        <v>1049</v>
      </c>
      <c r="E48" s="18" t="n">
        <v>31.84734049</v>
      </c>
      <c r="F48" s="20" t="n">
        <v>2.10284657</v>
      </c>
      <c r="G48" s="18" t="n">
        <v>66.88481871</v>
      </c>
      <c r="H48" s="20" t="n">
        <v>2.14597193</v>
      </c>
      <c r="I48" s="18" t="n">
        <v>0</v>
      </c>
      <c r="J48" s="20" t="n">
        <v>0</v>
      </c>
      <c r="K48" s="18" t="n">
        <v>0.17186666</v>
      </c>
      <c r="L48" s="20" t="n">
        <v>0.17095648</v>
      </c>
      <c r="M48" s="18" t="n">
        <v>0</v>
      </c>
      <c r="N48" s="20" t="n">
        <v>0</v>
      </c>
      <c r="O48" s="18" t="n">
        <v>0</v>
      </c>
      <c r="P48" s="20" t="n">
        <v>0</v>
      </c>
      <c r="Q48" s="18" t="n">
        <v>1.09597413</v>
      </c>
      <c r="R48" s="20" t="n">
        <v>0.45077674</v>
      </c>
    </row>
    <row r="49" spans="1:18">
      <c r="A49" s="15" t="s">
        <v>608</v>
      </c>
      <c r="B49" s="17" t="n">
        <v>6158</v>
      </c>
      <c r="C49" s="18">
        <f>(4827.0/B49*100)</f>
        <v/>
      </c>
      <c r="D49" s="19" t="n">
        <v>1331</v>
      </c>
      <c r="E49" s="18" t="n">
        <v>58.75496339</v>
      </c>
      <c r="F49" s="20" t="n">
        <v>1.72071202</v>
      </c>
      <c r="G49" s="18" t="n">
        <v>36.11090633</v>
      </c>
      <c r="H49" s="20" t="n">
        <v>1.6143687</v>
      </c>
      <c r="I49" s="18" t="n">
        <v>0</v>
      </c>
      <c r="J49" s="20" t="n">
        <v>0</v>
      </c>
      <c r="K49" s="18" t="n">
        <v>0.7199098</v>
      </c>
      <c r="L49" s="20" t="n">
        <v>0.24613272</v>
      </c>
      <c r="M49" s="18" t="n">
        <v>0</v>
      </c>
      <c r="N49" s="20" t="n">
        <v>0</v>
      </c>
      <c r="O49" s="18" t="n">
        <v>0</v>
      </c>
      <c r="P49" s="20" t="n">
        <v>0</v>
      </c>
      <c r="Q49" s="18" t="n">
        <v>4.41422048</v>
      </c>
      <c r="R49" s="20" t="n">
        <v>0.77636116</v>
      </c>
    </row>
    <row r="50" spans="1:18">
      <c r="A50" s="15" t="s">
        <v>609</v>
      </c>
      <c r="B50" s="17" t="n">
        <v>3494</v>
      </c>
      <c r="C50" s="18">
        <f>(2854.0/B50*100)</f>
        <v/>
      </c>
      <c r="D50" s="19" t="n">
        <v>640</v>
      </c>
      <c r="E50" s="18" t="n">
        <v>70.14573056</v>
      </c>
      <c r="F50" s="20" t="n">
        <v>2.16921254</v>
      </c>
      <c r="G50" s="18" t="n">
        <v>26.00980055</v>
      </c>
      <c r="H50" s="20" t="n">
        <v>2.02745626</v>
      </c>
      <c r="I50" s="18" t="n">
        <v>0</v>
      </c>
      <c r="J50" s="20" t="n">
        <v>0</v>
      </c>
      <c r="K50" s="18" t="n">
        <v>0.15051185</v>
      </c>
      <c r="L50" s="20" t="n">
        <v>0.14980046</v>
      </c>
      <c r="M50" s="18" t="n">
        <v>0</v>
      </c>
      <c r="N50" s="20" t="n">
        <v>0</v>
      </c>
      <c r="O50" s="18" t="n">
        <v>0</v>
      </c>
      <c r="P50" s="20" t="n">
        <v>0</v>
      </c>
      <c r="Q50" s="18" t="n">
        <v>3.69395704</v>
      </c>
      <c r="R50" s="20" t="n">
        <v>0.73975798</v>
      </c>
    </row>
    <row r="51" spans="1:18">
      <c r="A51" s="15" t="s">
        <v>610</v>
      </c>
      <c r="B51" s="17" t="n">
        <v>3013</v>
      </c>
      <c r="C51" s="18">
        <f>(2320.0/B51*100)</f>
        <v/>
      </c>
      <c r="D51" s="19" t="n">
        <v>693</v>
      </c>
      <c r="E51" s="18" t="n">
        <v>57.55838136</v>
      </c>
      <c r="F51" s="20" t="n">
        <v>2.13331765</v>
      </c>
      <c r="G51" s="18" t="n">
        <v>39.04219556</v>
      </c>
      <c r="H51" s="20" t="n">
        <v>2.00877578</v>
      </c>
      <c r="I51" s="18" t="n">
        <v>0</v>
      </c>
      <c r="J51" s="20" t="n">
        <v>0</v>
      </c>
      <c r="K51" s="18" t="n">
        <v>0</v>
      </c>
      <c r="L51" s="20" t="n">
        <v>0</v>
      </c>
      <c r="M51" s="18" t="n">
        <v>0</v>
      </c>
      <c r="N51" s="20" t="n">
        <v>0</v>
      </c>
      <c r="O51" s="18" t="n">
        <v>0</v>
      </c>
      <c r="P51" s="20" t="n">
        <v>0</v>
      </c>
      <c r="Q51" s="18" t="n">
        <v>3.39942308</v>
      </c>
      <c r="R51" s="20" t="n">
        <v>0.74863629</v>
      </c>
    </row>
    <row r="52" spans="1:18">
      <c r="A52" s="15" t="s">
        <v>611</v>
      </c>
      <c r="B52" s="17" t="n">
        <v>2760</v>
      </c>
      <c r="C52" s="18">
        <f>(2116.0/B52*100)</f>
        <v/>
      </c>
      <c r="D52" s="19" t="n">
        <v>644</v>
      </c>
      <c r="E52" s="18" t="n">
        <v>54.27364872</v>
      </c>
      <c r="F52" s="20" t="n">
        <v>2.06912934</v>
      </c>
      <c r="G52" s="18" t="n">
        <v>41.19773585</v>
      </c>
      <c r="H52" s="20" t="n">
        <v>1.93839905</v>
      </c>
      <c r="I52" s="18" t="n">
        <v>0</v>
      </c>
      <c r="J52" s="20" t="n">
        <v>0</v>
      </c>
      <c r="K52" s="18" t="n">
        <v>0.11923141</v>
      </c>
      <c r="L52" s="20" t="n">
        <v>0.11895258</v>
      </c>
      <c r="M52" s="18" t="n">
        <v>0</v>
      </c>
      <c r="N52" s="20" t="n">
        <v>0</v>
      </c>
      <c r="O52" s="18" t="n">
        <v>0</v>
      </c>
      <c r="P52" s="20" t="n">
        <v>0</v>
      </c>
      <c r="Q52" s="18" t="n">
        <v>4.40938402</v>
      </c>
      <c r="R52" s="20" t="n">
        <v>0.72048436</v>
      </c>
    </row>
    <row r="53" spans="1:18">
      <c r="A53" s="15" t="s">
        <v>612</v>
      </c>
      <c r="B53" s="17" t="n">
        <v>2474</v>
      </c>
      <c r="C53" s="18">
        <f>(1938.0/B53*100)</f>
        <v/>
      </c>
      <c r="D53" s="19" t="n">
        <v>536</v>
      </c>
      <c r="E53" s="18" t="n">
        <v>56.28430665</v>
      </c>
      <c r="F53" s="20" t="n">
        <v>2.30467008</v>
      </c>
      <c r="G53" s="18" t="n">
        <v>22.5246435</v>
      </c>
      <c r="H53" s="20" t="n">
        <v>1.86972346</v>
      </c>
      <c r="I53" s="18" t="n">
        <v>0</v>
      </c>
      <c r="J53" s="20" t="n">
        <v>0</v>
      </c>
      <c r="K53" s="18" t="n">
        <v>8.61612289</v>
      </c>
      <c r="L53" s="20" t="n">
        <v>1.34945423</v>
      </c>
      <c r="M53" s="18" t="n">
        <v>0</v>
      </c>
      <c r="N53" s="20" t="n">
        <v>0</v>
      </c>
      <c r="O53" s="18" t="n">
        <v>0</v>
      </c>
      <c r="P53" s="20" t="n">
        <v>0</v>
      </c>
      <c r="Q53" s="18" t="n">
        <v>12.57492697</v>
      </c>
      <c r="R53" s="20" t="n">
        <v>1.32673812</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(2117.0/B55*100)</f>
        <v/>
      </c>
      <c r="D55" s="19" t="n">
        <v>558</v>
      </c>
      <c r="E55" s="18" t="n">
        <v>37.20512518</v>
      </c>
      <c r="F55" s="20" t="n">
        <v>2.61877921</v>
      </c>
      <c r="G55" s="18" t="n">
        <v>61.24567256</v>
      </c>
      <c r="H55" s="20" t="n">
        <v>2.6086243</v>
      </c>
      <c r="I55" s="18" t="n">
        <v>0</v>
      </c>
      <c r="J55" s="20" t="n">
        <v>0</v>
      </c>
      <c r="K55" s="18" t="n">
        <v>0.16105058</v>
      </c>
      <c r="L55" s="20" t="n">
        <v>0.16535867</v>
      </c>
      <c r="M55" s="18" t="n">
        <v>0</v>
      </c>
      <c r="N55" s="20" t="n">
        <v>0</v>
      </c>
      <c r="O55" s="18" t="n">
        <v>0</v>
      </c>
      <c r="P55" s="20" t="n">
        <v>0</v>
      </c>
      <c r="Q55" s="18" t="n">
        <v>1.38815169</v>
      </c>
      <c r="R55" s="20" t="n">
        <v>0.49016885</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(2496.0/B61*100)</f>
        <v/>
      </c>
      <c r="D61" s="19" t="n">
        <v>705</v>
      </c>
      <c r="E61" s="18" t="n">
        <v>54.24296328</v>
      </c>
      <c r="F61" s="20" t="n">
        <v>2.04000172</v>
      </c>
      <c r="G61" s="18" t="n">
        <v>39.49327447</v>
      </c>
      <c r="H61" s="20" t="n">
        <v>2.02817403</v>
      </c>
      <c r="I61" s="18" t="n">
        <v>0</v>
      </c>
      <c r="J61" s="20" t="n">
        <v>0</v>
      </c>
      <c r="K61" s="18" t="n">
        <v>0</v>
      </c>
      <c r="L61" s="20" t="n">
        <v>0</v>
      </c>
      <c r="M61" s="18" t="n">
        <v>0</v>
      </c>
      <c r="N61" s="20" t="n">
        <v>0</v>
      </c>
      <c r="O61" s="18" t="n">
        <v>0</v>
      </c>
      <c r="P61" s="20" t="n">
        <v>0</v>
      </c>
      <c r="Q61" s="18" t="n">
        <v>6.26376224</v>
      </c>
      <c r="R61" s="20" t="n">
        <v>1.17439373</v>
      </c>
    </row>
    <row r="62" spans="1:18">
      <c r="A62" s="15" t="s">
        <v>622</v>
      </c>
      <c r="B62" s="17" t="n">
        <v>2230</v>
      </c>
      <c r="C62" s="18">
        <f>(1757.0/B62*100)</f>
        <v/>
      </c>
      <c r="D62" s="19" t="n">
        <v>473</v>
      </c>
      <c r="E62" s="18" t="n">
        <v>36.01087111</v>
      </c>
      <c r="F62" s="20" t="n">
        <v>2.52002089</v>
      </c>
      <c r="G62" s="18" t="n">
        <v>63.14997857</v>
      </c>
      <c r="H62" s="20" t="n">
        <v>2.50724598</v>
      </c>
      <c r="I62" s="18" t="n">
        <v>0</v>
      </c>
      <c r="J62" s="20" t="n">
        <v>0</v>
      </c>
      <c r="K62" s="18" t="n">
        <v>0</v>
      </c>
      <c r="L62" s="20" t="n">
        <v>0</v>
      </c>
      <c r="M62" s="18" t="n">
        <v>0</v>
      </c>
      <c r="N62" s="20" t="n">
        <v>0</v>
      </c>
      <c r="O62" s="18" t="n">
        <v>0</v>
      </c>
      <c r="P62" s="20" t="n">
        <v>0</v>
      </c>
      <c r="Q62" s="18" t="n">
        <v>0.83915032</v>
      </c>
      <c r="R62" s="20" t="n">
        <v>0.42577433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(2173.0/B67*100)</f>
        <v/>
      </c>
      <c r="D67" s="19" t="n">
        <v>598</v>
      </c>
      <c r="E67" s="18" t="n">
        <v>56.20288477</v>
      </c>
      <c r="F67" s="20" t="n">
        <v>1.99434501</v>
      </c>
      <c r="G67" s="18" t="n">
        <v>30.53433411</v>
      </c>
      <c r="H67" s="20" t="n">
        <v>1.97479726</v>
      </c>
      <c r="I67" s="18" t="n">
        <v>0</v>
      </c>
      <c r="J67" s="20" t="n">
        <v>0</v>
      </c>
      <c r="K67" s="18" t="n">
        <v>0.39656565</v>
      </c>
      <c r="L67" s="20" t="n">
        <v>0.27959621</v>
      </c>
      <c r="M67" s="18" t="n">
        <v>0</v>
      </c>
      <c r="N67" s="20" t="n">
        <v>0</v>
      </c>
      <c r="O67" s="18" t="n">
        <v>0</v>
      </c>
      <c r="P67" s="20" t="n">
        <v>0</v>
      </c>
      <c r="Q67" s="18" t="n">
        <v>12.86621547</v>
      </c>
      <c r="R67" s="20" t="n">
        <v>1.22675736</v>
      </c>
    </row>
    <row r="68" spans="1:18">
      <c r="A68" s="15" t="s">
        <v>628</v>
      </c>
      <c r="B68" s="17" t="n">
        <v>3460</v>
      </c>
      <c r="C68" s="18">
        <f>(2767.0/B68*100)</f>
        <v/>
      </c>
      <c r="D68" s="19" t="n">
        <v>693</v>
      </c>
      <c r="E68" s="18" t="n">
        <v>61.26489585</v>
      </c>
      <c r="F68" s="20" t="n">
        <v>1.92576655</v>
      </c>
      <c r="G68" s="18" t="n">
        <v>30.77205821</v>
      </c>
      <c r="H68" s="20" t="n">
        <v>1.90040456</v>
      </c>
      <c r="I68" s="18" t="n">
        <v>0</v>
      </c>
      <c r="J68" s="20" t="n">
        <v>0</v>
      </c>
      <c r="K68" s="18" t="n">
        <v>0</v>
      </c>
      <c r="L68" s="20" t="n">
        <v>0</v>
      </c>
      <c r="M68" s="18" t="n">
        <v>0</v>
      </c>
      <c r="N68" s="20" t="n">
        <v>0</v>
      </c>
      <c r="O68" s="18" t="n">
        <v>0</v>
      </c>
      <c r="P68" s="20" t="n">
        <v>0</v>
      </c>
      <c r="Q68" s="18" t="n">
        <v>7.96304594</v>
      </c>
      <c r="R68" s="20" t="n">
        <v>0.90883148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(4683.0/B70*100)</f>
        <v/>
      </c>
      <c r="D70" s="19" t="n">
        <v>1351</v>
      </c>
      <c r="E70" s="18" t="n">
        <v>55.12137667</v>
      </c>
      <c r="F70" s="20" t="n">
        <v>1.32960271</v>
      </c>
      <c r="G70" s="18" t="n">
        <v>37.76554442</v>
      </c>
      <c r="H70" s="20" t="n">
        <v>1.28845649</v>
      </c>
      <c r="I70" s="18" t="n">
        <v>0</v>
      </c>
      <c r="J70" s="20" t="n">
        <v>0</v>
      </c>
      <c r="K70" s="18" t="n">
        <v>1.02393531</v>
      </c>
      <c r="L70" s="20" t="n">
        <v>0.27427861</v>
      </c>
      <c r="M70" s="18" t="n">
        <v>0</v>
      </c>
      <c r="N70" s="20" t="n">
        <v>0</v>
      </c>
      <c r="O70" s="18" t="n">
        <v>0</v>
      </c>
      <c r="P70" s="20" t="n">
        <v>0</v>
      </c>
      <c r="Q70" s="18" t="n">
        <v>6.0891436</v>
      </c>
      <c r="R70" s="20" t="n">
        <v>0.61836958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(2420.0/B72*100)</f>
        <v/>
      </c>
      <c r="D72" s="19" t="n">
        <v>687</v>
      </c>
      <c r="E72" s="18" t="n">
        <v>53.5506304</v>
      </c>
      <c r="F72" s="20" t="n">
        <v>2.23632297</v>
      </c>
      <c r="G72" s="18" t="n">
        <v>42.37588244</v>
      </c>
      <c r="H72" s="20" t="n">
        <v>2.38901959</v>
      </c>
      <c r="I72" s="18" t="n">
        <v>0</v>
      </c>
      <c r="J72" s="20" t="n">
        <v>0</v>
      </c>
      <c r="K72" s="18" t="n">
        <v>0.12561217</v>
      </c>
      <c r="L72" s="20" t="n">
        <v>0.12689686</v>
      </c>
      <c r="M72" s="18" t="n">
        <v>0</v>
      </c>
      <c r="N72" s="20" t="n">
        <v>0</v>
      </c>
      <c r="O72" s="18" t="n">
        <v>0</v>
      </c>
      <c r="P72" s="20" t="n">
        <v>0</v>
      </c>
      <c r="Q72" s="18" t="n">
        <v>3.947875</v>
      </c>
      <c r="R72" s="20" t="n">
        <v>0.74718291</v>
      </c>
    </row>
    <row r="73" spans="1:18">
      <c r="A73" s="15" t="s">
        <v>633</v>
      </c>
      <c r="B73" s="17" t="n">
        <v>2973</v>
      </c>
      <c r="C73" s="18">
        <f>(2320.0/B73*100)</f>
        <v/>
      </c>
      <c r="D73" s="19" t="n">
        <v>653</v>
      </c>
      <c r="E73" s="18" t="n">
        <v>26.94613279</v>
      </c>
      <c r="F73" s="20" t="n">
        <v>1.71496544</v>
      </c>
      <c r="G73" s="18" t="n">
        <v>71.80382099000001</v>
      </c>
      <c r="H73" s="20" t="n">
        <v>1.71221907</v>
      </c>
      <c r="I73" s="18" t="n">
        <v>0</v>
      </c>
      <c r="J73" s="20" t="n">
        <v>0</v>
      </c>
      <c r="K73" s="18" t="n">
        <v>0</v>
      </c>
      <c r="L73" s="20" t="n">
        <v>0</v>
      </c>
      <c r="M73" s="18" t="n">
        <v>0</v>
      </c>
      <c r="N73" s="20" t="n">
        <v>0</v>
      </c>
      <c r="O73" s="18" t="n">
        <v>0</v>
      </c>
      <c r="P73" s="20" t="n">
        <v>0</v>
      </c>
      <c r="Q73" s="18" t="n">
        <v>1.25004621</v>
      </c>
      <c r="R73" s="20" t="n">
        <v>0.42680172</v>
      </c>
    </row>
    <row r="74" spans="1:18">
      <c r="A74" s="15" t="s">
        <v>634</v>
      </c>
      <c r="B74" s="17" t="n">
        <v>3819</v>
      </c>
      <c r="C74" s="18">
        <f>(3002.0/B74*100)</f>
        <v/>
      </c>
      <c r="D74" s="19" t="n">
        <v>817</v>
      </c>
      <c r="E74" s="18" t="n">
        <v>38.56921644</v>
      </c>
      <c r="F74" s="20" t="n">
        <v>1.93723713</v>
      </c>
      <c r="G74" s="18" t="n">
        <v>60.10062798</v>
      </c>
      <c r="H74" s="20" t="n">
        <v>1.91972218</v>
      </c>
      <c r="I74" s="18" t="n">
        <v>0</v>
      </c>
      <c r="J74" s="20" t="n">
        <v>0</v>
      </c>
      <c r="K74" s="18" t="n">
        <v>0</v>
      </c>
      <c r="L74" s="20" t="n">
        <v>0</v>
      </c>
      <c r="M74" s="18" t="n">
        <v>0</v>
      </c>
      <c r="N74" s="20" t="n">
        <v>0</v>
      </c>
      <c r="O74" s="18" t="n">
        <v>0</v>
      </c>
      <c r="P74" s="20" t="n">
        <v>0</v>
      </c>
      <c r="Q74" s="18" t="n">
        <v>1.33015558</v>
      </c>
      <c r="R74" s="20" t="n">
        <v>0.42678169</v>
      </c>
    </row>
    <row r="75" spans="1:18">
      <c r="A75" s="15" t="s">
        <v>635</v>
      </c>
      <c r="B75" s="17" t="n">
        <v>4652</v>
      </c>
      <c r="C75" s="18">
        <f>(3668.0/B75*100)</f>
        <v/>
      </c>
      <c r="D75" s="19" t="n">
        <v>984</v>
      </c>
      <c r="E75" s="18" t="n">
        <v>62.201953</v>
      </c>
      <c r="F75" s="20" t="n">
        <v>2.20982139</v>
      </c>
      <c r="G75" s="18" t="n">
        <v>31.65773855</v>
      </c>
      <c r="H75" s="20" t="n">
        <v>2.10060209</v>
      </c>
      <c r="I75" s="18" t="n">
        <v>0</v>
      </c>
      <c r="J75" s="20" t="n">
        <v>0</v>
      </c>
      <c r="K75" s="18" t="n">
        <v>0</v>
      </c>
      <c r="L75" s="20" t="n">
        <v>0</v>
      </c>
      <c r="M75" s="18" t="n">
        <v>0</v>
      </c>
      <c r="N75" s="20" t="n">
        <v>0</v>
      </c>
      <c r="O75" s="18" t="n">
        <v>0</v>
      </c>
      <c r="P75" s="20" t="n">
        <v>0</v>
      </c>
      <c r="Q75" s="18" t="n">
        <v>6.14030846</v>
      </c>
      <c r="R75" s="20" t="n">
        <v>1.01710204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(2391.0/B77*100)</f>
        <v/>
      </c>
      <c r="D77" s="19" t="n">
        <v>578</v>
      </c>
      <c r="E77" s="18" t="n">
        <v>58.35482492</v>
      </c>
      <c r="F77" s="20" t="n">
        <v>2.05273935</v>
      </c>
      <c r="G77" s="18" t="n">
        <v>27.70968276</v>
      </c>
      <c r="H77" s="20" t="n">
        <v>1.79817851</v>
      </c>
      <c r="I77" s="18" t="n">
        <v>0</v>
      </c>
      <c r="J77" s="20" t="n">
        <v>0</v>
      </c>
      <c r="K77" s="18" t="n">
        <v>2.470723</v>
      </c>
      <c r="L77" s="20" t="n">
        <v>0.68832888</v>
      </c>
      <c r="M77" s="18" t="n">
        <v>0</v>
      </c>
      <c r="N77" s="20" t="n">
        <v>0</v>
      </c>
      <c r="O77" s="18" t="n">
        <v>0</v>
      </c>
      <c r="P77" s="20" t="n">
        <v>0</v>
      </c>
      <c r="Q77" s="18" t="n">
        <v>11.46476932</v>
      </c>
      <c r="R77" s="20" t="n">
        <v>1.27858847</v>
      </c>
    </row>
    <row r="78" spans="1:18">
      <c r="A78" s="15" t="s">
        <v>638</v>
      </c>
      <c r="B78" s="17" t="n">
        <v>7115</v>
      </c>
      <c r="C78" s="18">
        <f>(5608.0/B78*100)</f>
        <v/>
      </c>
      <c r="D78" s="19" t="n">
        <v>1507</v>
      </c>
      <c r="E78" s="18" t="n">
        <v>54.24542712</v>
      </c>
      <c r="F78" s="20" t="n">
        <v>1.68518253</v>
      </c>
      <c r="G78" s="18" t="n">
        <v>42.12258424</v>
      </c>
      <c r="H78" s="20" t="n">
        <v>1.83661626</v>
      </c>
      <c r="I78" s="18" t="n">
        <v>0</v>
      </c>
      <c r="J78" s="20" t="n">
        <v>0</v>
      </c>
      <c r="K78" s="18" t="n">
        <v>0.44854173</v>
      </c>
      <c r="L78" s="20" t="n">
        <v>0.18998727</v>
      </c>
      <c r="M78" s="18" t="n">
        <v>0</v>
      </c>
      <c r="N78" s="20" t="n">
        <v>0</v>
      </c>
      <c r="O78" s="18" t="n">
        <v>0</v>
      </c>
      <c r="P78" s="20" t="n">
        <v>0</v>
      </c>
      <c r="Q78" s="18" t="n">
        <v>3.18344691</v>
      </c>
      <c r="R78" s="20" t="n">
        <v>0.57922784</v>
      </c>
    </row>
    <row r="79" spans="1:18">
      <c r="A79" s="15" t="s">
        <v>639</v>
      </c>
      <c r="B79" s="17" t="n">
        <v>3154</v>
      </c>
      <c r="C79" s="18">
        <f>(2460.0/B79*100)</f>
        <v/>
      </c>
      <c r="D79" s="19" t="n">
        <v>694</v>
      </c>
      <c r="E79" s="18" t="n">
        <v>55.50669754</v>
      </c>
      <c r="F79" s="20" t="n">
        <v>2.30678172</v>
      </c>
      <c r="G79" s="18" t="n">
        <v>35.01540429</v>
      </c>
      <c r="H79" s="20" t="n">
        <v>2.28532647</v>
      </c>
      <c r="I79" s="18" t="n">
        <v>0</v>
      </c>
      <c r="J79" s="20" t="n">
        <v>0</v>
      </c>
      <c r="K79" s="18" t="n">
        <v>0.23202617</v>
      </c>
      <c r="L79" s="20" t="n">
        <v>0.16163449</v>
      </c>
      <c r="M79" s="18" t="n">
        <v>0</v>
      </c>
      <c r="N79" s="20" t="n">
        <v>0</v>
      </c>
      <c r="O79" s="18" t="n">
        <v>0</v>
      </c>
      <c r="P79" s="20" t="n">
        <v>0</v>
      </c>
      <c r="Q79" s="18" t="n">
        <v>9.245872009999999</v>
      </c>
      <c r="R79" s="20" t="n">
        <v>1.18997301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(12512.0/B82*100)</f>
        <v/>
      </c>
      <c r="D82" s="19" t="n">
        <v>3449</v>
      </c>
      <c r="E82" s="18" t="n">
        <v>52.79329987</v>
      </c>
      <c r="F82" s="20" t="n">
        <v>1.0544273</v>
      </c>
      <c r="G82" s="18" t="n">
        <v>43.10570283</v>
      </c>
      <c r="H82" s="20" t="n">
        <v>1.08013277</v>
      </c>
      <c r="I82" s="18" t="n">
        <v>0</v>
      </c>
      <c r="J82" s="20" t="n">
        <v>0</v>
      </c>
      <c r="K82" s="18" t="n">
        <v>0.29509202</v>
      </c>
      <c r="L82" s="20" t="n">
        <v>0.07220645000000001</v>
      </c>
      <c r="M82" s="18" t="n">
        <v>0</v>
      </c>
      <c r="N82" s="20" t="n">
        <v>0</v>
      </c>
      <c r="O82" s="18" t="n">
        <v>0</v>
      </c>
      <c r="P82" s="20" t="n">
        <v>0</v>
      </c>
      <c r="Q82" s="18" t="n">
        <v>3.80590528</v>
      </c>
      <c r="R82" s="20" t="n">
        <v>0.46480275</v>
      </c>
    </row>
    <row r="83" spans="1:18">
      <c r="A83" s="15" t="s">
        <v>643</v>
      </c>
      <c r="B83" s="17" t="n">
        <v>808</v>
      </c>
      <c r="C83" s="18">
        <f>(642.0/B83*100)</f>
        <v/>
      </c>
      <c r="D83" s="19" t="n">
        <v>166</v>
      </c>
      <c r="E83" s="18" t="n">
        <v>38.88680536</v>
      </c>
      <c r="F83" s="20" t="n">
        <v>4.51970514</v>
      </c>
      <c r="G83" s="18" t="n">
        <v>58.2250613</v>
      </c>
      <c r="H83" s="20" t="n">
        <v>4.5928993</v>
      </c>
      <c r="I83" s="18" t="n">
        <v>0</v>
      </c>
      <c r="J83" s="20" t="n">
        <v>0</v>
      </c>
      <c r="K83" s="18" t="n">
        <v>0</v>
      </c>
      <c r="L83" s="20" t="n">
        <v>0</v>
      </c>
      <c r="M83" s="18" t="n">
        <v>0</v>
      </c>
      <c r="N83" s="20" t="n">
        <v>0</v>
      </c>
      <c r="O83" s="18" t="n">
        <v>0</v>
      </c>
      <c r="P83" s="20" t="n">
        <v>0</v>
      </c>
      <c r="Q83" s="18" t="n">
        <v>2.88813334</v>
      </c>
      <c r="R83" s="20" t="n">
        <v>1.43446345</v>
      </c>
    </row>
    <row r="84" spans="1:18">
      <c r="A84" s="23" t="s">
        <v>644</v>
      </c>
      <c r="B84" s="24" t="n">
        <v>938</v>
      </c>
      <c r="C84" s="25">
        <f>(763.0/B84*100)</f>
        <v/>
      </c>
      <c r="D84" s="19" t="n">
        <v>175</v>
      </c>
      <c r="E84" s="18" t="n">
        <v>45.24394746</v>
      </c>
      <c r="F84" s="20" t="n">
        <v>3.32604652</v>
      </c>
      <c r="G84" s="18" t="n">
        <v>54.75605254</v>
      </c>
      <c r="H84" s="20" t="n">
        <v>3.32604652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(5579.0/B7*100)</f>
        <v/>
      </c>
      <c r="D7" s="19" t="n">
        <v>1584</v>
      </c>
      <c r="E7" s="18" t="n">
        <v>25.41501077</v>
      </c>
      <c r="F7" s="20" t="n">
        <v>1.11705488</v>
      </c>
      <c r="G7" s="18" t="n">
        <v>72.75376463000001</v>
      </c>
      <c r="H7" s="20" t="n">
        <v>1.21786946</v>
      </c>
      <c r="I7" s="18" t="n">
        <v>0</v>
      </c>
      <c r="J7" s="20" t="n">
        <v>0</v>
      </c>
      <c r="K7" s="18" t="n">
        <v>0.38834179</v>
      </c>
      <c r="L7" s="20" t="n">
        <v>0.19239377</v>
      </c>
      <c r="M7" s="18" t="n">
        <v>0</v>
      </c>
      <c r="N7" s="20" t="n">
        <v>0</v>
      </c>
      <c r="O7" s="18" t="n">
        <v>0</v>
      </c>
      <c r="P7" s="20" t="n">
        <v>0</v>
      </c>
      <c r="Q7" s="18" t="n">
        <v>1.44288281</v>
      </c>
      <c r="R7" s="20" t="n">
        <v>0.33670359</v>
      </c>
    </row>
    <row r="8" spans="1:18">
      <c r="A8" s="15" t="s">
        <v>566</v>
      </c>
      <c r="B8" s="17" t="n">
        <v>3443</v>
      </c>
      <c r="C8" s="18">
        <f>(2655.0/B8*100)</f>
        <v/>
      </c>
      <c r="D8" s="19" t="n">
        <v>788</v>
      </c>
      <c r="E8" s="18" t="n">
        <v>30.40164797</v>
      </c>
      <c r="F8" s="20" t="n">
        <v>1.69914424</v>
      </c>
      <c r="G8" s="18" t="n">
        <v>67.54863906</v>
      </c>
      <c r="H8" s="20" t="n">
        <v>1.74763486</v>
      </c>
      <c r="I8" s="18" t="n">
        <v>0</v>
      </c>
      <c r="J8" s="20" t="n">
        <v>0</v>
      </c>
      <c r="K8" s="18" t="n">
        <v>0.1690427</v>
      </c>
      <c r="L8" s="20" t="n">
        <v>0.16716254</v>
      </c>
      <c r="M8" s="18" t="n">
        <v>0</v>
      </c>
      <c r="N8" s="20" t="n">
        <v>0</v>
      </c>
      <c r="O8" s="18" t="n">
        <v>0</v>
      </c>
      <c r="P8" s="20" t="n">
        <v>0</v>
      </c>
      <c r="Q8" s="18" t="n">
        <v>1.88067028</v>
      </c>
      <c r="R8" s="20" t="n">
        <v>0.56845146</v>
      </c>
    </row>
    <row r="9" spans="1:18">
      <c r="A9" s="15" t="s">
        <v>567</v>
      </c>
      <c r="B9" s="17" t="n">
        <v>4752</v>
      </c>
      <c r="C9" s="18">
        <f>(3729.0/B9*100)</f>
        <v/>
      </c>
      <c r="D9" s="19" t="n">
        <v>1023</v>
      </c>
      <c r="E9" s="18" t="n">
        <v>24.85292717</v>
      </c>
      <c r="F9" s="20" t="n">
        <v>1.4088219</v>
      </c>
      <c r="G9" s="18" t="n">
        <v>73.36545431</v>
      </c>
      <c r="H9" s="20" t="n">
        <v>1.44606754</v>
      </c>
      <c r="I9" s="18" t="n">
        <v>0</v>
      </c>
      <c r="J9" s="20" t="n">
        <v>0</v>
      </c>
      <c r="K9" s="18" t="n">
        <v>0.16899765</v>
      </c>
      <c r="L9" s="20" t="n">
        <v>0.12481043</v>
      </c>
      <c r="M9" s="18" t="n">
        <v>0</v>
      </c>
      <c r="N9" s="20" t="n">
        <v>0</v>
      </c>
      <c r="O9" s="18" t="n">
        <v>0</v>
      </c>
      <c r="P9" s="20" t="n">
        <v>0</v>
      </c>
      <c r="Q9" s="18" t="n">
        <v>1.61262087</v>
      </c>
      <c r="R9" s="20" t="n">
        <v>0.36028692</v>
      </c>
    </row>
    <row r="10" spans="1:18">
      <c r="A10" s="15" t="s">
        <v>568</v>
      </c>
      <c r="B10" s="17" t="n">
        <v>10022</v>
      </c>
      <c r="C10" s="18">
        <f>(7808.0/B10*100)</f>
        <v/>
      </c>
      <c r="D10" s="19" t="n">
        <v>2214</v>
      </c>
      <c r="E10" s="18" t="n">
        <v>21.46088252</v>
      </c>
      <c r="F10" s="20" t="n">
        <v>1.33969156</v>
      </c>
      <c r="G10" s="18" t="n">
        <v>77.6248363</v>
      </c>
      <c r="H10" s="20" t="n">
        <v>1.31263036</v>
      </c>
      <c r="I10" s="18" t="n">
        <v>0</v>
      </c>
      <c r="J10" s="20" t="n">
        <v>0</v>
      </c>
      <c r="K10" s="18" t="n">
        <v>0.44306633</v>
      </c>
      <c r="L10" s="20" t="n">
        <v>0.22092235</v>
      </c>
      <c r="M10" s="18" t="n">
        <v>0</v>
      </c>
      <c r="N10" s="20" t="n">
        <v>0</v>
      </c>
      <c r="O10" s="18" t="n">
        <v>0</v>
      </c>
      <c r="P10" s="20" t="n">
        <v>0</v>
      </c>
      <c r="Q10" s="18" t="n">
        <v>0.47121485</v>
      </c>
      <c r="R10" s="20" t="n">
        <v>0.17329837</v>
      </c>
    </row>
    <row r="11" spans="1:18">
      <c r="A11" s="15" t="s">
        <v>569</v>
      </c>
      <c r="B11" s="17" t="n">
        <v>3500</v>
      </c>
      <c r="C11" s="18">
        <f>(2765.0/B11*100)</f>
        <v/>
      </c>
      <c r="D11" s="19" t="n">
        <v>735</v>
      </c>
      <c r="E11" s="18" t="n">
        <v>37.17955992</v>
      </c>
      <c r="F11" s="20" t="n">
        <v>2.15332515</v>
      </c>
      <c r="G11" s="18" t="n">
        <v>60.37446527</v>
      </c>
      <c r="H11" s="20" t="n">
        <v>2.26753652</v>
      </c>
      <c r="I11" s="18" t="n">
        <v>0</v>
      </c>
      <c r="J11" s="20" t="n">
        <v>0</v>
      </c>
      <c r="K11" s="18" t="n">
        <v>0.14197603</v>
      </c>
      <c r="L11" s="20" t="n">
        <v>0.14295321</v>
      </c>
      <c r="M11" s="18" t="n">
        <v>0</v>
      </c>
      <c r="N11" s="20" t="n">
        <v>0</v>
      </c>
      <c r="O11" s="18" t="n">
        <v>0</v>
      </c>
      <c r="P11" s="20" t="n">
        <v>0</v>
      </c>
      <c r="Q11" s="18" t="n">
        <v>2.30399878</v>
      </c>
      <c r="R11" s="20" t="n">
        <v>0.6874551</v>
      </c>
    </row>
    <row r="12" spans="1:18">
      <c r="A12" s="15" t="s">
        <v>570</v>
      </c>
      <c r="B12" s="17" t="n">
        <v>3422</v>
      </c>
      <c r="C12" s="18">
        <f>(2682.0/B12*100)</f>
        <v/>
      </c>
      <c r="D12" s="19" t="n">
        <v>740</v>
      </c>
      <c r="E12" s="18" t="n">
        <v>25.2791752</v>
      </c>
      <c r="F12" s="20" t="n">
        <v>2.07640064</v>
      </c>
      <c r="G12" s="18" t="n">
        <v>73.57676798999999</v>
      </c>
      <c r="H12" s="20" t="n">
        <v>2.24991153</v>
      </c>
      <c r="I12" s="18" t="n">
        <v>0</v>
      </c>
      <c r="J12" s="20" t="n">
        <v>0</v>
      </c>
      <c r="K12" s="18" t="n">
        <v>0</v>
      </c>
      <c r="L12" s="20" t="n">
        <v>0</v>
      </c>
      <c r="M12" s="18" t="n">
        <v>0</v>
      </c>
      <c r="N12" s="20" t="n">
        <v>0</v>
      </c>
      <c r="O12" s="18" t="n">
        <v>0</v>
      </c>
      <c r="P12" s="20" t="n">
        <v>0</v>
      </c>
      <c r="Q12" s="18" t="n">
        <v>1.14405682</v>
      </c>
      <c r="R12" s="20" t="n">
        <v>0.49517512</v>
      </c>
    </row>
    <row r="13" spans="1:18">
      <c r="A13" s="15" t="s">
        <v>571</v>
      </c>
      <c r="B13" s="17" t="n">
        <v>3602</v>
      </c>
      <c r="C13" s="18">
        <f>(2799.0/B13*100)</f>
        <v/>
      </c>
      <c r="D13" s="19" t="n">
        <v>803</v>
      </c>
      <c r="E13" s="18" t="n">
        <v>26.0674599</v>
      </c>
      <c r="F13" s="20" t="n">
        <v>2.07885446</v>
      </c>
      <c r="G13" s="18" t="n">
        <v>71.41507145999999</v>
      </c>
      <c r="H13" s="20" t="n">
        <v>2.1888818</v>
      </c>
      <c r="I13" s="18" t="n">
        <v>0</v>
      </c>
      <c r="J13" s="20" t="n">
        <v>0</v>
      </c>
      <c r="K13" s="18" t="n">
        <v>0.3639455</v>
      </c>
      <c r="L13" s="20" t="n">
        <v>0.2642682</v>
      </c>
      <c r="M13" s="18" t="n">
        <v>0</v>
      </c>
      <c r="N13" s="20" t="n">
        <v>0</v>
      </c>
      <c r="O13" s="18" t="n">
        <v>0</v>
      </c>
      <c r="P13" s="20" t="n">
        <v>0</v>
      </c>
      <c r="Q13" s="18" t="n">
        <v>2.15352314</v>
      </c>
      <c r="R13" s="20" t="n">
        <v>0.5194498400000001</v>
      </c>
    </row>
    <row r="14" spans="1:18">
      <c r="A14" s="15" t="s">
        <v>572</v>
      </c>
      <c r="B14" s="17" t="n">
        <v>2788</v>
      </c>
      <c r="C14" s="18">
        <f>(2136.0/B14*100)</f>
        <v/>
      </c>
      <c r="D14" s="19" t="n">
        <v>652</v>
      </c>
      <c r="E14" s="18" t="n">
        <v>23.17966924</v>
      </c>
      <c r="F14" s="20" t="n">
        <v>1.77096411</v>
      </c>
      <c r="G14" s="18" t="n">
        <v>76.01107025</v>
      </c>
      <c r="H14" s="20" t="n">
        <v>1.82513775</v>
      </c>
      <c r="I14" s="18" t="n">
        <v>0</v>
      </c>
      <c r="J14" s="20" t="n">
        <v>0</v>
      </c>
      <c r="K14" s="18" t="n">
        <v>0.27128517</v>
      </c>
      <c r="L14" s="20" t="n">
        <v>0.18447534</v>
      </c>
      <c r="M14" s="18" t="n">
        <v>0</v>
      </c>
      <c r="N14" s="20" t="n">
        <v>0</v>
      </c>
      <c r="O14" s="18" t="n">
        <v>0</v>
      </c>
      <c r="P14" s="20" t="n">
        <v>0</v>
      </c>
      <c r="Q14" s="18" t="n">
        <v>0.53797534</v>
      </c>
      <c r="R14" s="20" t="n">
        <v>0.26951044</v>
      </c>
    </row>
    <row r="15" spans="1:18">
      <c r="A15" s="15" t="s">
        <v>573</v>
      </c>
      <c r="B15" s="17" t="n">
        <v>2863</v>
      </c>
      <c r="C15" s="18">
        <f>(2254.0/B15*100)</f>
        <v/>
      </c>
      <c r="D15" s="19" t="n">
        <v>609</v>
      </c>
      <c r="E15" s="18" t="n">
        <v>17.41070057</v>
      </c>
      <c r="F15" s="20" t="n">
        <v>1.59397075</v>
      </c>
      <c r="G15" s="18" t="n">
        <v>82.00024438</v>
      </c>
      <c r="H15" s="20" t="n">
        <v>1.5915138</v>
      </c>
      <c r="I15" s="18" t="n">
        <v>0</v>
      </c>
      <c r="J15" s="20" t="n">
        <v>0</v>
      </c>
      <c r="K15" s="18" t="n">
        <v>0</v>
      </c>
      <c r="L15" s="20" t="n">
        <v>0</v>
      </c>
      <c r="M15" s="18" t="n">
        <v>0</v>
      </c>
      <c r="N15" s="20" t="n">
        <v>0</v>
      </c>
      <c r="O15" s="18" t="n">
        <v>0</v>
      </c>
      <c r="P15" s="20" t="n">
        <v>0</v>
      </c>
      <c r="Q15" s="18" t="n">
        <v>0.58905505</v>
      </c>
      <c r="R15" s="20" t="n">
        <v>0.29949764</v>
      </c>
    </row>
    <row r="16" spans="1:18">
      <c r="A16" s="15" t="s">
        <v>574</v>
      </c>
      <c r="B16" s="17" t="n">
        <v>3111</v>
      </c>
      <c r="C16" s="18">
        <f>(2393.0/B16*100)</f>
        <v/>
      </c>
      <c r="D16" s="19" t="n">
        <v>718</v>
      </c>
      <c r="E16" s="18" t="n">
        <v>28.72949195</v>
      </c>
      <c r="F16" s="20" t="n">
        <v>1.70498491</v>
      </c>
      <c r="G16" s="18" t="n">
        <v>68.68343227</v>
      </c>
      <c r="H16" s="20" t="n">
        <v>1.8102308</v>
      </c>
      <c r="I16" s="18" t="n">
        <v>0</v>
      </c>
      <c r="J16" s="20" t="n">
        <v>0</v>
      </c>
      <c r="K16" s="18" t="n">
        <v>0.58338703</v>
      </c>
      <c r="L16" s="20" t="n">
        <v>0.28963294</v>
      </c>
      <c r="M16" s="18" t="n">
        <v>0</v>
      </c>
      <c r="N16" s="20" t="n">
        <v>0</v>
      </c>
      <c r="O16" s="18" t="n">
        <v>0</v>
      </c>
      <c r="P16" s="20" t="n">
        <v>0</v>
      </c>
      <c r="Q16" s="18" t="n">
        <v>2.00368876</v>
      </c>
      <c r="R16" s="20" t="n">
        <v>0.51592959</v>
      </c>
    </row>
    <row r="17" spans="1:18">
      <c r="A17" s="15" t="s">
        <v>575</v>
      </c>
      <c r="B17" s="17" t="n">
        <v>3197</v>
      </c>
      <c r="C17" s="18">
        <f>(2490.0/B17*100)</f>
        <v/>
      </c>
      <c r="D17" s="19" t="n">
        <v>707</v>
      </c>
      <c r="E17" s="18" t="n">
        <v>27.29733262</v>
      </c>
      <c r="F17" s="20" t="n">
        <v>1.83223626</v>
      </c>
      <c r="G17" s="18" t="n">
        <v>71.35700966</v>
      </c>
      <c r="H17" s="20" t="n">
        <v>1.78076135</v>
      </c>
      <c r="I17" s="18" t="n">
        <v>0</v>
      </c>
      <c r="J17" s="20" t="n">
        <v>0</v>
      </c>
      <c r="K17" s="18" t="n">
        <v>0</v>
      </c>
      <c r="L17" s="20" t="n">
        <v>0</v>
      </c>
      <c r="M17" s="18" t="n">
        <v>0</v>
      </c>
      <c r="N17" s="20" t="n">
        <v>0</v>
      </c>
      <c r="O17" s="18" t="n">
        <v>0</v>
      </c>
      <c r="P17" s="20" t="n">
        <v>0</v>
      </c>
      <c r="Q17" s="18" t="n">
        <v>1.34565772</v>
      </c>
      <c r="R17" s="20" t="n">
        <v>0.46991148</v>
      </c>
    </row>
    <row r="18" spans="1:18">
      <c r="A18" s="15" t="s">
        <v>576</v>
      </c>
      <c r="B18" s="17" t="n">
        <v>2706</v>
      </c>
      <c r="C18" s="18">
        <f>(2087.0/B18*100)</f>
        <v/>
      </c>
      <c r="D18" s="19" t="n">
        <v>619</v>
      </c>
      <c r="E18" s="18" t="n">
        <v>42.01106884</v>
      </c>
      <c r="F18" s="20" t="n">
        <v>2.39438463</v>
      </c>
      <c r="G18" s="18" t="n">
        <v>56.58102536</v>
      </c>
      <c r="H18" s="20" t="n">
        <v>2.29246917</v>
      </c>
      <c r="I18" s="18" t="n">
        <v>0</v>
      </c>
      <c r="J18" s="20" t="n">
        <v>0</v>
      </c>
      <c r="K18" s="18" t="n">
        <v>0.40496664</v>
      </c>
      <c r="L18" s="20" t="n">
        <v>0.29308699</v>
      </c>
      <c r="M18" s="18" t="n">
        <v>0</v>
      </c>
      <c r="N18" s="20" t="n">
        <v>0</v>
      </c>
      <c r="O18" s="18" t="n">
        <v>0</v>
      </c>
      <c r="P18" s="20" t="n">
        <v>0</v>
      </c>
      <c r="Q18" s="18" t="n">
        <v>1.00293915</v>
      </c>
      <c r="R18" s="20" t="n">
        <v>0.3145657</v>
      </c>
    </row>
    <row r="19" spans="1:18">
      <c r="A19" s="15" t="s">
        <v>577</v>
      </c>
      <c r="B19" s="17" t="n">
        <v>2850</v>
      </c>
      <c r="C19" s="18">
        <f>(2238.0/B19*100)</f>
        <v/>
      </c>
      <c r="D19" s="19" t="n">
        <v>612</v>
      </c>
      <c r="E19" s="18" t="n">
        <v>38.26478115</v>
      </c>
      <c r="F19" s="20" t="n">
        <v>2.17766465</v>
      </c>
      <c r="G19" s="18" t="n">
        <v>60.85896526</v>
      </c>
      <c r="H19" s="20" t="n">
        <v>2.21741456</v>
      </c>
      <c r="I19" s="18" t="n">
        <v>0</v>
      </c>
      <c r="J19" s="20" t="n">
        <v>0</v>
      </c>
      <c r="K19" s="18" t="n">
        <v>0.15253154</v>
      </c>
      <c r="L19" s="20" t="n">
        <v>0.15535185</v>
      </c>
      <c r="M19" s="18" t="n">
        <v>0</v>
      </c>
      <c r="N19" s="20" t="n">
        <v>0</v>
      </c>
      <c r="O19" s="18" t="n">
        <v>0</v>
      </c>
      <c r="P19" s="20" t="n">
        <v>0</v>
      </c>
      <c r="Q19" s="18" t="n">
        <v>0.72372205</v>
      </c>
      <c r="R19" s="20" t="n">
        <v>0.31427253</v>
      </c>
    </row>
    <row r="20" spans="1:18">
      <c r="A20" s="15" t="s">
        <v>578</v>
      </c>
      <c r="B20" s="17" t="n">
        <v>1741</v>
      </c>
      <c r="C20" s="18">
        <f>(1347.0/B20*100)</f>
        <v/>
      </c>
      <c r="D20" s="19" t="n">
        <v>394</v>
      </c>
      <c r="E20" s="18" t="n">
        <v>26.39557593</v>
      </c>
      <c r="F20" s="20" t="n">
        <v>2.15575257</v>
      </c>
      <c r="G20" s="18" t="n">
        <v>72.17059998000001</v>
      </c>
      <c r="H20" s="20" t="n">
        <v>2.27723251</v>
      </c>
      <c r="I20" s="18" t="n">
        <v>0</v>
      </c>
      <c r="J20" s="20" t="n">
        <v>0</v>
      </c>
      <c r="K20" s="18" t="n">
        <v>0.24863552</v>
      </c>
      <c r="L20" s="20" t="n">
        <v>0.24868943</v>
      </c>
      <c r="M20" s="18" t="n">
        <v>0</v>
      </c>
      <c r="N20" s="20" t="n">
        <v>0</v>
      </c>
      <c r="O20" s="18" t="n">
        <v>0</v>
      </c>
      <c r="P20" s="20" t="n">
        <v>0</v>
      </c>
      <c r="Q20" s="18" t="n">
        <v>1.18518857</v>
      </c>
      <c r="R20" s="20" t="n">
        <v>0.52118499</v>
      </c>
    </row>
    <row r="21" spans="1:18">
      <c r="A21" s="15" t="s">
        <v>579</v>
      </c>
      <c r="B21" s="17" t="n">
        <v>2833</v>
      </c>
      <c r="C21" s="18">
        <f>(2217.0/B21*100)</f>
        <v/>
      </c>
      <c r="D21" s="19" t="n">
        <v>616</v>
      </c>
      <c r="E21" s="18" t="n">
        <v>26.47157967</v>
      </c>
      <c r="F21" s="20" t="n">
        <v>1.71401226</v>
      </c>
      <c r="G21" s="18" t="n">
        <v>72.34881943000001</v>
      </c>
      <c r="H21" s="20" t="n">
        <v>1.81417845</v>
      </c>
      <c r="I21" s="18" t="n">
        <v>0</v>
      </c>
      <c r="J21" s="20" t="n">
        <v>0</v>
      </c>
      <c r="K21" s="18" t="n">
        <v>0</v>
      </c>
      <c r="L21" s="20" t="n">
        <v>0</v>
      </c>
      <c r="M21" s="18" t="n">
        <v>0</v>
      </c>
      <c r="N21" s="20" t="n">
        <v>0</v>
      </c>
      <c r="O21" s="18" t="n">
        <v>0</v>
      </c>
      <c r="P21" s="20" t="n">
        <v>0</v>
      </c>
      <c r="Q21" s="18" t="n">
        <v>1.1796009</v>
      </c>
      <c r="R21" s="20" t="n">
        <v>0.42754629</v>
      </c>
    </row>
    <row r="22" spans="1:18">
      <c r="A22" s="15" t="s">
        <v>580</v>
      </c>
      <c r="B22" s="17" t="n">
        <v>3667</v>
      </c>
      <c r="C22" s="18">
        <f>(2856.0/B22*100)</f>
        <v/>
      </c>
      <c r="D22" s="19" t="n">
        <v>811</v>
      </c>
      <c r="E22" s="18" t="n">
        <v>40.09990852</v>
      </c>
      <c r="F22" s="20" t="n">
        <v>2.1845047</v>
      </c>
      <c r="G22" s="18" t="n">
        <v>56.95683259</v>
      </c>
      <c r="H22" s="20" t="n">
        <v>2.29069787</v>
      </c>
      <c r="I22" s="18" t="n">
        <v>0</v>
      </c>
      <c r="J22" s="20" t="n">
        <v>0</v>
      </c>
      <c r="K22" s="18" t="n">
        <v>0.10501036</v>
      </c>
      <c r="L22" s="20" t="n">
        <v>0.10553142</v>
      </c>
      <c r="M22" s="18" t="n">
        <v>0</v>
      </c>
      <c r="N22" s="20" t="n">
        <v>0</v>
      </c>
      <c r="O22" s="18" t="n">
        <v>0</v>
      </c>
      <c r="P22" s="20" t="n">
        <v>0</v>
      </c>
      <c r="Q22" s="18" t="n">
        <v>2.83824852</v>
      </c>
      <c r="R22" s="20" t="n">
        <v>0.64900569</v>
      </c>
    </row>
    <row r="23" spans="1:18">
      <c r="A23" s="15" t="s">
        <v>581</v>
      </c>
      <c r="B23" s="17" t="n">
        <v>5792</v>
      </c>
      <c r="C23" s="18">
        <f>(4525.0/B23*100)</f>
        <v/>
      </c>
      <c r="D23" s="19" t="n">
        <v>1267</v>
      </c>
      <c r="E23" s="18" t="n">
        <v>27.89146834</v>
      </c>
      <c r="F23" s="20" t="n">
        <v>2.04739189</v>
      </c>
      <c r="G23" s="18" t="n">
        <v>70.10800512</v>
      </c>
      <c r="H23" s="20" t="n">
        <v>2.15793492</v>
      </c>
      <c r="I23" s="18" t="n">
        <v>0</v>
      </c>
      <c r="J23" s="20" t="n">
        <v>0</v>
      </c>
      <c r="K23" s="18" t="n">
        <v>0.37146864</v>
      </c>
      <c r="L23" s="20" t="n">
        <v>0.32669967</v>
      </c>
      <c r="M23" s="18" t="n">
        <v>0</v>
      </c>
      <c r="N23" s="20" t="n">
        <v>0</v>
      </c>
      <c r="O23" s="18" t="n">
        <v>0</v>
      </c>
      <c r="P23" s="20" t="n">
        <v>0</v>
      </c>
      <c r="Q23" s="18" t="n">
        <v>1.6290579</v>
      </c>
      <c r="R23" s="20" t="n">
        <v>0.52072695</v>
      </c>
    </row>
    <row r="24" spans="1:18">
      <c r="A24" s="15" t="s">
        <v>582</v>
      </c>
      <c r="B24" s="17" t="n">
        <v>3309</v>
      </c>
      <c r="C24" s="18">
        <f>(2607.0/B24*100)</f>
        <v/>
      </c>
      <c r="D24" s="19" t="n">
        <v>702</v>
      </c>
      <c r="E24" s="18" t="n">
        <v>19.94091964</v>
      </c>
      <c r="F24" s="20" t="n">
        <v>1.59618355</v>
      </c>
      <c r="G24" s="18" t="n">
        <v>79.3552347</v>
      </c>
      <c r="H24" s="20" t="n">
        <v>1.6215031</v>
      </c>
      <c r="I24" s="18" t="n">
        <v>0</v>
      </c>
      <c r="J24" s="20" t="n">
        <v>0</v>
      </c>
      <c r="K24" s="18" t="n">
        <v>0</v>
      </c>
      <c r="L24" s="20" t="n">
        <v>0</v>
      </c>
      <c r="M24" s="18" t="n">
        <v>0</v>
      </c>
      <c r="N24" s="20" t="n">
        <v>0</v>
      </c>
      <c r="O24" s="18" t="n">
        <v>0</v>
      </c>
      <c r="P24" s="20" t="n">
        <v>0</v>
      </c>
      <c r="Q24" s="18" t="n">
        <v>0.70384566</v>
      </c>
      <c r="R24" s="20" t="n">
        <v>0.30508314</v>
      </c>
    </row>
    <row r="25" spans="1:18">
      <c r="A25" s="15" t="s">
        <v>583</v>
      </c>
      <c r="B25" s="17" t="n">
        <v>2669</v>
      </c>
      <c r="C25" s="18">
        <f>(2049.0/B25*100)</f>
        <v/>
      </c>
      <c r="D25" s="19" t="n">
        <v>620</v>
      </c>
      <c r="E25" s="18" t="n">
        <v>22.08708873</v>
      </c>
      <c r="F25" s="20" t="n">
        <v>1.90374701</v>
      </c>
      <c r="G25" s="18" t="n">
        <v>77.59389649000001</v>
      </c>
      <c r="H25" s="20" t="n">
        <v>1.92950604</v>
      </c>
      <c r="I25" s="18" t="n">
        <v>0</v>
      </c>
      <c r="J25" s="20" t="n">
        <v>0</v>
      </c>
      <c r="K25" s="18" t="n">
        <v>0</v>
      </c>
      <c r="L25" s="20" t="n">
        <v>0</v>
      </c>
      <c r="M25" s="18" t="n">
        <v>0</v>
      </c>
      <c r="N25" s="20" t="n">
        <v>0</v>
      </c>
      <c r="O25" s="18" t="n">
        <v>0</v>
      </c>
      <c r="P25" s="20" t="n">
        <v>0</v>
      </c>
      <c r="Q25" s="18" t="n">
        <v>0.31901478</v>
      </c>
      <c r="R25" s="20" t="n">
        <v>0.22559837</v>
      </c>
    </row>
    <row r="26" spans="1:18">
      <c r="A26" s="15" t="s">
        <v>584</v>
      </c>
      <c r="B26" s="17" t="n">
        <v>2419</v>
      </c>
      <c r="C26" s="18">
        <f>(1887.0/B26*100)</f>
        <v/>
      </c>
      <c r="D26" s="19" t="n">
        <v>532</v>
      </c>
      <c r="E26" s="18" t="n">
        <v>25.34309015</v>
      </c>
      <c r="F26" s="20" t="n">
        <v>2.02535622</v>
      </c>
      <c r="G26" s="18" t="n">
        <v>73.42537751</v>
      </c>
      <c r="H26" s="20" t="n">
        <v>2.07043517</v>
      </c>
      <c r="I26" s="18" t="n">
        <v>0</v>
      </c>
      <c r="J26" s="20" t="n">
        <v>0</v>
      </c>
      <c r="K26" s="18" t="n">
        <v>0.67657714</v>
      </c>
      <c r="L26" s="20" t="n">
        <v>0.46218132</v>
      </c>
      <c r="M26" s="18" t="n">
        <v>0</v>
      </c>
      <c r="N26" s="20" t="n">
        <v>0</v>
      </c>
      <c r="O26" s="18" t="n">
        <v>0</v>
      </c>
      <c r="P26" s="20" t="n">
        <v>0</v>
      </c>
      <c r="Q26" s="18" t="n">
        <v>0.5549552</v>
      </c>
      <c r="R26" s="20" t="n">
        <v>0.44968911</v>
      </c>
    </row>
    <row r="27" spans="1:18">
      <c r="A27" s="15" t="s">
        <v>585</v>
      </c>
      <c r="B27" s="17" t="n">
        <v>2683</v>
      </c>
      <c r="C27" s="18">
        <f>(2095.0/B27*100)</f>
        <v/>
      </c>
      <c r="D27" s="19" t="n">
        <v>588</v>
      </c>
      <c r="E27" s="18" t="n">
        <v>27.99162889</v>
      </c>
      <c r="F27" s="20" t="n">
        <v>1.93568201</v>
      </c>
      <c r="G27" s="18" t="n">
        <v>69.78892145</v>
      </c>
      <c r="H27" s="20" t="n">
        <v>1.94870113</v>
      </c>
      <c r="I27" s="18" t="n">
        <v>0</v>
      </c>
      <c r="J27" s="20" t="n">
        <v>0</v>
      </c>
      <c r="K27" s="18" t="n">
        <v>0.1743933</v>
      </c>
      <c r="L27" s="20" t="n">
        <v>0.17235949</v>
      </c>
      <c r="M27" s="18" t="n">
        <v>0</v>
      </c>
      <c r="N27" s="20" t="n">
        <v>0</v>
      </c>
      <c r="O27" s="18" t="n">
        <v>0</v>
      </c>
      <c r="P27" s="20" t="n">
        <v>0</v>
      </c>
      <c r="Q27" s="18" t="n">
        <v>2.04505637</v>
      </c>
      <c r="R27" s="20" t="n">
        <v>0.54070439</v>
      </c>
    </row>
    <row r="28" spans="1:18">
      <c r="A28" s="15" t="s">
        <v>586</v>
      </c>
      <c r="B28" s="17" t="n">
        <v>3803</v>
      </c>
      <c r="C28" s="18">
        <f>(2991.0/B28*100)</f>
        <v/>
      </c>
      <c r="D28" s="19" t="n">
        <v>812</v>
      </c>
      <c r="E28" s="18" t="n">
        <v>48.45731916</v>
      </c>
      <c r="F28" s="20" t="n">
        <v>2.00614891</v>
      </c>
      <c r="G28" s="18" t="n">
        <v>50.9741295</v>
      </c>
      <c r="H28" s="20" t="n">
        <v>2.02117049</v>
      </c>
      <c r="I28" s="18" t="n">
        <v>0</v>
      </c>
      <c r="J28" s="20" t="n">
        <v>0</v>
      </c>
      <c r="K28" s="18" t="n">
        <v>0.28187371</v>
      </c>
      <c r="L28" s="20" t="n">
        <v>0.22261326</v>
      </c>
      <c r="M28" s="18" t="n">
        <v>0</v>
      </c>
      <c r="N28" s="20" t="n">
        <v>0</v>
      </c>
      <c r="O28" s="18" t="n">
        <v>0</v>
      </c>
      <c r="P28" s="20" t="n">
        <v>0</v>
      </c>
      <c r="Q28" s="18" t="n">
        <v>0.28667764</v>
      </c>
      <c r="R28" s="20" t="n">
        <v>0.17319696</v>
      </c>
    </row>
    <row r="29" spans="1:18">
      <c r="A29" s="15" t="s">
        <v>587</v>
      </c>
      <c r="B29" s="17" t="n">
        <v>2700</v>
      </c>
      <c r="C29" s="18">
        <f>(2142.0/B29*100)</f>
        <v/>
      </c>
      <c r="D29" s="19" t="n">
        <v>558</v>
      </c>
      <c r="E29" s="18" t="n">
        <v>25.31483679</v>
      </c>
      <c r="F29" s="20" t="n">
        <v>1.91605157</v>
      </c>
      <c r="G29" s="18" t="n">
        <v>74.18771172</v>
      </c>
      <c r="H29" s="20" t="n">
        <v>1.95803142</v>
      </c>
      <c r="I29" s="18" t="n">
        <v>0</v>
      </c>
      <c r="J29" s="20" t="n">
        <v>0</v>
      </c>
      <c r="K29" s="18" t="n">
        <v>0</v>
      </c>
      <c r="L29" s="20" t="n">
        <v>0</v>
      </c>
      <c r="M29" s="18" t="n">
        <v>0</v>
      </c>
      <c r="N29" s="20" t="n">
        <v>0</v>
      </c>
      <c r="O29" s="18" t="n">
        <v>0</v>
      </c>
      <c r="P29" s="20" t="n">
        <v>0</v>
      </c>
      <c r="Q29" s="18" t="n">
        <v>0.4974515</v>
      </c>
      <c r="R29" s="20" t="n">
        <v>0.29235913</v>
      </c>
    </row>
    <row r="30" spans="1:18">
      <c r="A30" s="15" t="s">
        <v>588</v>
      </c>
      <c r="B30" s="17" t="n">
        <v>2257</v>
      </c>
      <c r="C30" s="18">
        <f>(1776.0/B30*100)</f>
        <v/>
      </c>
      <c r="D30" s="19" t="n">
        <v>481</v>
      </c>
      <c r="E30" s="18" t="n">
        <v>26.13219162</v>
      </c>
      <c r="F30" s="20" t="n">
        <v>1.68891288</v>
      </c>
      <c r="G30" s="18" t="n">
        <v>72.6950124</v>
      </c>
      <c r="H30" s="20" t="n">
        <v>1.73561926</v>
      </c>
      <c r="I30" s="18" t="n">
        <v>0</v>
      </c>
      <c r="J30" s="20" t="n">
        <v>0</v>
      </c>
      <c r="K30" s="18" t="n">
        <v>0</v>
      </c>
      <c r="L30" s="20" t="n">
        <v>0</v>
      </c>
      <c r="M30" s="18" t="n">
        <v>0</v>
      </c>
      <c r="N30" s="20" t="n">
        <v>0</v>
      </c>
      <c r="O30" s="18" t="n">
        <v>0</v>
      </c>
      <c r="P30" s="20" t="n">
        <v>0</v>
      </c>
      <c r="Q30" s="18" t="n">
        <v>1.17279597</v>
      </c>
      <c r="R30" s="20" t="n">
        <v>0.3913686</v>
      </c>
    </row>
    <row r="31" spans="1:18">
      <c r="A31" s="15" t="s">
        <v>589</v>
      </c>
      <c r="B31" s="17" t="n">
        <v>2706</v>
      </c>
      <c r="C31" s="18">
        <f>(2074.0/B31*100)</f>
        <v/>
      </c>
      <c r="D31" s="19" t="n">
        <v>632</v>
      </c>
      <c r="E31" s="18" t="n">
        <v>26.24500634</v>
      </c>
      <c r="F31" s="20" t="n">
        <v>1.9216236</v>
      </c>
      <c r="G31" s="18" t="n">
        <v>71.50748493</v>
      </c>
      <c r="H31" s="20" t="n">
        <v>1.82352202</v>
      </c>
      <c r="I31" s="18" t="n">
        <v>0</v>
      </c>
      <c r="J31" s="20" t="n">
        <v>0</v>
      </c>
      <c r="K31" s="18" t="n">
        <v>0.35076291</v>
      </c>
      <c r="L31" s="20" t="n">
        <v>0.2282864</v>
      </c>
      <c r="M31" s="18" t="n">
        <v>0</v>
      </c>
      <c r="N31" s="20" t="n">
        <v>0</v>
      </c>
      <c r="O31" s="18" t="n">
        <v>0</v>
      </c>
      <c r="P31" s="20" t="n">
        <v>0</v>
      </c>
      <c r="Q31" s="18" t="n">
        <v>1.89674582</v>
      </c>
      <c r="R31" s="20" t="n">
        <v>0.60808853</v>
      </c>
    </row>
    <row r="32" spans="1:18">
      <c r="A32" s="15" t="s">
        <v>590</v>
      </c>
      <c r="B32" s="17" t="n">
        <v>2209</v>
      </c>
      <c r="C32" s="18">
        <f>(1701.0/B32*100)</f>
        <v/>
      </c>
      <c r="D32" s="19" t="n">
        <v>508</v>
      </c>
      <c r="E32" s="18" t="n">
        <v>32.32083223</v>
      </c>
      <c r="F32" s="20" t="n">
        <v>2.08165282</v>
      </c>
      <c r="G32" s="18" t="n">
        <v>66.97648315000001</v>
      </c>
      <c r="H32" s="20" t="n">
        <v>2.13339194</v>
      </c>
      <c r="I32" s="18" t="n">
        <v>0</v>
      </c>
      <c r="J32" s="20" t="n">
        <v>0</v>
      </c>
      <c r="K32" s="18" t="n">
        <v>0</v>
      </c>
      <c r="L32" s="20" t="n">
        <v>0</v>
      </c>
      <c r="M32" s="18" t="n">
        <v>0</v>
      </c>
      <c r="N32" s="20" t="n">
        <v>0</v>
      </c>
      <c r="O32" s="18" t="n">
        <v>0</v>
      </c>
      <c r="P32" s="20" t="n">
        <v>0</v>
      </c>
      <c r="Q32" s="18" t="n">
        <v>0.70268462</v>
      </c>
      <c r="R32" s="20" t="n">
        <v>0.46476806</v>
      </c>
    </row>
    <row r="33" spans="1:18">
      <c r="A33" s="15" t="s">
        <v>591</v>
      </c>
      <c r="B33" s="17" t="n">
        <v>3651</v>
      </c>
      <c r="C33" s="18">
        <f>(2830.0/B33*100)</f>
        <v/>
      </c>
      <c r="D33" s="19" t="n">
        <v>821</v>
      </c>
      <c r="E33" s="18" t="n">
        <v>27.99346121</v>
      </c>
      <c r="F33" s="20" t="n">
        <v>1.95982184</v>
      </c>
      <c r="G33" s="18" t="n">
        <v>71.97249598000001</v>
      </c>
      <c r="H33" s="20" t="n">
        <v>1.96318863</v>
      </c>
      <c r="I33" s="18" t="n">
        <v>0</v>
      </c>
      <c r="J33" s="20" t="n">
        <v>0</v>
      </c>
      <c r="K33" s="18" t="n">
        <v>0</v>
      </c>
      <c r="L33" s="20" t="n">
        <v>0</v>
      </c>
      <c r="M33" s="18" t="n">
        <v>0</v>
      </c>
      <c r="N33" s="20" t="n">
        <v>0</v>
      </c>
      <c r="O33" s="18" t="n">
        <v>0</v>
      </c>
      <c r="P33" s="20" t="n">
        <v>0</v>
      </c>
      <c r="Q33" s="18" t="n">
        <v>0.03404281</v>
      </c>
      <c r="R33" s="20" t="n">
        <v>0.03431</v>
      </c>
    </row>
    <row r="34" spans="1:18">
      <c r="A34" s="15" t="s">
        <v>592</v>
      </c>
      <c r="B34" s="17" t="n">
        <v>3035</v>
      </c>
      <c r="C34" s="18">
        <f>(2418.0/B34*100)</f>
        <v/>
      </c>
      <c r="D34" s="19" t="n">
        <v>617</v>
      </c>
      <c r="E34" s="18" t="n">
        <v>28.67560803</v>
      </c>
      <c r="F34" s="20" t="n">
        <v>1.84910569</v>
      </c>
      <c r="G34" s="18" t="n">
        <v>70.06606637</v>
      </c>
      <c r="H34" s="20" t="n">
        <v>1.82941427</v>
      </c>
      <c r="I34" s="18" t="n">
        <v>0</v>
      </c>
      <c r="J34" s="20" t="n">
        <v>0</v>
      </c>
      <c r="K34" s="18" t="n">
        <v>0.39364018</v>
      </c>
      <c r="L34" s="20" t="n">
        <v>0.23171515</v>
      </c>
      <c r="M34" s="18" t="n">
        <v>0</v>
      </c>
      <c r="N34" s="20" t="n">
        <v>0</v>
      </c>
      <c r="O34" s="18" t="n">
        <v>0</v>
      </c>
      <c r="P34" s="20" t="n">
        <v>0</v>
      </c>
      <c r="Q34" s="18" t="n">
        <v>0.86468543</v>
      </c>
      <c r="R34" s="20" t="n">
        <v>0.33929863</v>
      </c>
    </row>
    <row r="35" spans="1:18">
      <c r="A35" s="15" t="s">
        <v>593</v>
      </c>
      <c r="B35" s="17" t="n">
        <v>2901</v>
      </c>
      <c r="C35" s="18">
        <f>(2274.0/B35*100)</f>
        <v/>
      </c>
      <c r="D35" s="19" t="n">
        <v>627</v>
      </c>
      <c r="E35" s="18" t="n">
        <v>21.83925603</v>
      </c>
      <c r="F35" s="20" t="n">
        <v>1.95323739</v>
      </c>
      <c r="G35" s="18" t="n">
        <v>77.51419486</v>
      </c>
      <c r="H35" s="20" t="n">
        <v>1.98241078</v>
      </c>
      <c r="I35" s="18" t="n">
        <v>0</v>
      </c>
      <c r="J35" s="20" t="n">
        <v>0</v>
      </c>
      <c r="K35" s="18" t="n">
        <v>0</v>
      </c>
      <c r="L35" s="20" t="n">
        <v>0</v>
      </c>
      <c r="M35" s="18" t="n">
        <v>0</v>
      </c>
      <c r="N35" s="20" t="n">
        <v>0</v>
      </c>
      <c r="O35" s="18" t="n">
        <v>0</v>
      </c>
      <c r="P35" s="20" t="n">
        <v>0</v>
      </c>
      <c r="Q35" s="18" t="n">
        <v>0.6465491</v>
      </c>
      <c r="R35" s="20" t="n">
        <v>0.24281114</v>
      </c>
    </row>
    <row r="36" spans="1:18">
      <c r="A36" s="15" t="s">
        <v>594</v>
      </c>
      <c r="B36" s="17" t="n">
        <v>3404</v>
      </c>
      <c r="C36" s="18">
        <f>(2668.0/B36*100)</f>
        <v/>
      </c>
      <c r="D36" s="19" t="n">
        <v>736</v>
      </c>
      <c r="E36" s="18" t="n">
        <v>26.76513781</v>
      </c>
      <c r="F36" s="20" t="n">
        <v>1.73024349</v>
      </c>
      <c r="G36" s="18" t="n">
        <v>71.88393392</v>
      </c>
      <c r="H36" s="20" t="n">
        <v>1.82608623</v>
      </c>
      <c r="I36" s="18" t="n">
        <v>0</v>
      </c>
      <c r="J36" s="20" t="n">
        <v>0</v>
      </c>
      <c r="K36" s="18" t="n">
        <v>0.1281762</v>
      </c>
      <c r="L36" s="20" t="n">
        <v>0.18270533</v>
      </c>
      <c r="M36" s="18" t="n">
        <v>0</v>
      </c>
      <c r="N36" s="20" t="n">
        <v>0</v>
      </c>
      <c r="O36" s="18" t="n">
        <v>0</v>
      </c>
      <c r="P36" s="20" t="n">
        <v>0</v>
      </c>
      <c r="Q36" s="18" t="n">
        <v>1.22275207</v>
      </c>
      <c r="R36" s="20" t="n">
        <v>0.4196438</v>
      </c>
    </row>
    <row r="37" spans="1:18">
      <c r="A37" s="15" t="s">
        <v>595</v>
      </c>
      <c r="B37" s="17" t="n">
        <v>2731</v>
      </c>
      <c r="C37" s="18">
        <f>(2155.0/B37*100)</f>
        <v/>
      </c>
      <c r="D37" s="19" t="n">
        <v>576</v>
      </c>
      <c r="E37" s="18" t="n">
        <v>24.35827182</v>
      </c>
      <c r="F37" s="20" t="n">
        <v>1.45927131</v>
      </c>
      <c r="G37" s="18" t="n">
        <v>73.19198501</v>
      </c>
      <c r="H37" s="20" t="n">
        <v>1.4576901</v>
      </c>
      <c r="I37" s="18" t="n">
        <v>0</v>
      </c>
      <c r="J37" s="20" t="n">
        <v>0</v>
      </c>
      <c r="K37" s="18" t="n">
        <v>0.53141028</v>
      </c>
      <c r="L37" s="20" t="n">
        <v>0.30702292</v>
      </c>
      <c r="M37" s="18" t="n">
        <v>0</v>
      </c>
      <c r="N37" s="20" t="n">
        <v>0</v>
      </c>
      <c r="O37" s="18" t="n">
        <v>0</v>
      </c>
      <c r="P37" s="20" t="n">
        <v>0</v>
      </c>
      <c r="Q37" s="18" t="n">
        <v>1.91833289</v>
      </c>
      <c r="R37" s="20" t="n">
        <v>0.57500335</v>
      </c>
    </row>
    <row r="38" spans="1:18">
      <c r="A38" s="15" t="s">
        <v>596</v>
      </c>
      <c r="B38" s="17" t="n">
        <v>2807</v>
      </c>
      <c r="C38" s="18">
        <f>(2188.0/B38*100)</f>
        <v/>
      </c>
      <c r="D38" s="19" t="n">
        <v>619</v>
      </c>
      <c r="E38" s="18" t="n">
        <v>29.10174038</v>
      </c>
      <c r="F38" s="20" t="n">
        <v>1.90933452</v>
      </c>
      <c r="G38" s="18" t="n">
        <v>69.05364167</v>
      </c>
      <c r="H38" s="20" t="n">
        <v>1.99026256</v>
      </c>
      <c r="I38" s="18" t="n">
        <v>0</v>
      </c>
      <c r="J38" s="20" t="n">
        <v>0</v>
      </c>
      <c r="K38" s="18" t="n">
        <v>0.28716548</v>
      </c>
      <c r="L38" s="20" t="n">
        <v>0.18544415</v>
      </c>
      <c r="M38" s="18" t="n">
        <v>0</v>
      </c>
      <c r="N38" s="20" t="n">
        <v>0</v>
      </c>
      <c r="O38" s="18" t="n">
        <v>0</v>
      </c>
      <c r="P38" s="20" t="n">
        <v>0</v>
      </c>
      <c r="Q38" s="18" t="n">
        <v>1.55745247</v>
      </c>
      <c r="R38" s="20" t="n">
        <v>0.50466738</v>
      </c>
    </row>
    <row r="39" spans="1:18">
      <c r="A39" s="15" t="s">
        <v>597</v>
      </c>
      <c r="B39" s="17" t="n">
        <v>2938</v>
      </c>
      <c r="C39" s="18">
        <f>(2310.0/B39*100)</f>
        <v/>
      </c>
      <c r="D39" s="19" t="n">
        <v>628</v>
      </c>
      <c r="E39" s="18" t="n">
        <v>46.6057443</v>
      </c>
      <c r="F39" s="20" t="n">
        <v>2.30468884</v>
      </c>
      <c r="G39" s="18" t="n">
        <v>51.83334779</v>
      </c>
      <c r="H39" s="20" t="n">
        <v>2.37274402</v>
      </c>
      <c r="I39" s="18" t="n">
        <v>0</v>
      </c>
      <c r="J39" s="20" t="n">
        <v>0</v>
      </c>
      <c r="K39" s="18" t="n">
        <v>0.16912803</v>
      </c>
      <c r="L39" s="20" t="n">
        <v>0.09790413000000001</v>
      </c>
      <c r="M39" s="18" t="n">
        <v>0</v>
      </c>
      <c r="N39" s="20" t="n">
        <v>0</v>
      </c>
      <c r="O39" s="18" t="n">
        <v>0</v>
      </c>
      <c r="P39" s="20" t="n">
        <v>0</v>
      </c>
      <c r="Q39" s="18" t="n">
        <v>1.39177988</v>
      </c>
      <c r="R39" s="20" t="n">
        <v>0.56866609</v>
      </c>
    </row>
    <row r="40" spans="1:18">
      <c r="A40" s="15" t="s">
        <v>598</v>
      </c>
      <c r="B40" s="17" t="n">
        <v>6922</v>
      </c>
      <c r="C40" s="18">
        <f>(5327.0/B40*100)</f>
        <v/>
      </c>
      <c r="D40" s="19" t="n">
        <v>1595</v>
      </c>
      <c r="E40" s="18" t="n">
        <v>25.74678085</v>
      </c>
      <c r="F40" s="20" t="n">
        <v>1.65869643</v>
      </c>
      <c r="G40" s="18" t="n">
        <v>72.84978472</v>
      </c>
      <c r="H40" s="20" t="n">
        <v>1.69486838</v>
      </c>
      <c r="I40" s="18" t="n">
        <v>0</v>
      </c>
      <c r="J40" s="20" t="n">
        <v>0</v>
      </c>
      <c r="K40" s="18" t="n">
        <v>0.06304469</v>
      </c>
      <c r="L40" s="20" t="n">
        <v>0.0391227</v>
      </c>
      <c r="M40" s="18" t="n">
        <v>0</v>
      </c>
      <c r="N40" s="20" t="n">
        <v>0</v>
      </c>
      <c r="O40" s="18" t="n">
        <v>0</v>
      </c>
      <c r="P40" s="20" t="n">
        <v>0</v>
      </c>
      <c r="Q40" s="18" t="n">
        <v>1.34038974</v>
      </c>
      <c r="R40" s="20" t="n">
        <v>0.39182658</v>
      </c>
    </row>
    <row r="41" spans="1:18">
      <c r="A41" s="15" t="s">
        <v>599</v>
      </c>
      <c r="B41" s="17" t="n">
        <v>2854</v>
      </c>
      <c r="C41" s="18">
        <f>(2206.0/B41*100)</f>
        <v/>
      </c>
      <c r="D41" s="19" t="n">
        <v>648</v>
      </c>
      <c r="E41" s="18" t="n">
        <v>26.52938247</v>
      </c>
      <c r="F41" s="20" t="n">
        <v>1.78856585</v>
      </c>
      <c r="G41" s="18" t="n">
        <v>73.16147053</v>
      </c>
      <c r="H41" s="20" t="n">
        <v>1.81945583</v>
      </c>
      <c r="I41" s="18" t="n">
        <v>0</v>
      </c>
      <c r="J41" s="20" t="n">
        <v>0</v>
      </c>
      <c r="K41" s="18" t="n">
        <v>0.309147</v>
      </c>
      <c r="L41" s="20" t="n">
        <v>0.29900559</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(9973.0/B46*100)</f>
        <v/>
      </c>
      <c r="D46" s="19" t="n">
        <v>2100</v>
      </c>
      <c r="E46" s="18" t="n">
        <v>57.42182196</v>
      </c>
      <c r="F46" s="20" t="n">
        <v>1.66660717</v>
      </c>
      <c r="G46" s="18" t="n">
        <v>37.89859657</v>
      </c>
      <c r="H46" s="20" t="n">
        <v>1.73025533</v>
      </c>
      <c r="I46" s="18" t="n">
        <v>0</v>
      </c>
      <c r="J46" s="20" t="n">
        <v>0</v>
      </c>
      <c r="K46" s="18" t="n">
        <v>0.79672504</v>
      </c>
      <c r="L46" s="20" t="n">
        <v>0.29742033</v>
      </c>
      <c r="M46" s="18" t="n">
        <v>0</v>
      </c>
      <c r="N46" s="20" t="n">
        <v>0</v>
      </c>
      <c r="O46" s="18" t="n">
        <v>0</v>
      </c>
      <c r="P46" s="20" t="n">
        <v>0</v>
      </c>
      <c r="Q46" s="18" t="n">
        <v>3.88285642</v>
      </c>
      <c r="R46" s="20" t="n">
        <v>0.59587757</v>
      </c>
    </row>
    <row r="47" spans="1:18">
      <c r="A47" s="15" t="s">
        <v>606</v>
      </c>
      <c r="B47" s="17" t="n">
        <v>2823</v>
      </c>
      <c r="C47" s="18">
        <f>(2204.0/B47*100)</f>
        <v/>
      </c>
      <c r="D47" s="19" t="n">
        <v>619</v>
      </c>
      <c r="E47" s="18" t="n">
        <v>39.01422475</v>
      </c>
      <c r="F47" s="20" t="n">
        <v>2.08434411</v>
      </c>
      <c r="G47" s="18" t="n">
        <v>58.29443772</v>
      </c>
      <c r="H47" s="20" t="n">
        <v>2.22315774</v>
      </c>
      <c r="I47" s="18" t="n">
        <v>0</v>
      </c>
      <c r="J47" s="20" t="n">
        <v>0</v>
      </c>
      <c r="K47" s="18" t="n">
        <v>0.48156641</v>
      </c>
      <c r="L47" s="20" t="n">
        <v>0.28382174</v>
      </c>
      <c r="M47" s="18" t="n">
        <v>0</v>
      </c>
      <c r="N47" s="20" t="n">
        <v>0</v>
      </c>
      <c r="O47" s="18" t="n">
        <v>0</v>
      </c>
      <c r="P47" s="20" t="n">
        <v>0</v>
      </c>
      <c r="Q47" s="18" t="n">
        <v>2.20977113</v>
      </c>
      <c r="R47" s="20" t="n">
        <v>0.62384333</v>
      </c>
    </row>
    <row r="48" spans="1:18">
      <c r="A48" s="15" t="s">
        <v>607</v>
      </c>
      <c r="B48" s="17" t="n">
        <v>4682</v>
      </c>
      <c r="C48" s="18">
        <f>(3634.0/B48*100)</f>
        <v/>
      </c>
      <c r="D48" s="19" t="n">
        <v>1048</v>
      </c>
      <c r="E48" s="18" t="n">
        <v>26.24562823</v>
      </c>
      <c r="F48" s="20" t="n">
        <v>1.93526103</v>
      </c>
      <c r="G48" s="18" t="n">
        <v>73.3623898</v>
      </c>
      <c r="H48" s="20" t="n">
        <v>1.99867894</v>
      </c>
      <c r="I48" s="18" t="n">
        <v>0</v>
      </c>
      <c r="J48" s="20" t="n">
        <v>0</v>
      </c>
      <c r="K48" s="18" t="n">
        <v>0.17215597</v>
      </c>
      <c r="L48" s="20" t="n">
        <v>0.17124227</v>
      </c>
      <c r="M48" s="18" t="n">
        <v>0</v>
      </c>
      <c r="N48" s="20" t="n">
        <v>0</v>
      </c>
      <c r="O48" s="18" t="n">
        <v>0</v>
      </c>
      <c r="P48" s="20" t="n">
        <v>0</v>
      </c>
      <c r="Q48" s="18" t="n">
        <v>0.21982599</v>
      </c>
      <c r="R48" s="20" t="n">
        <v>0.16653441</v>
      </c>
    </row>
    <row r="49" spans="1:18">
      <c r="A49" s="15" t="s">
        <v>608</v>
      </c>
      <c r="B49" s="17" t="n">
        <v>6158</v>
      </c>
      <c r="C49" s="18">
        <f>(4834.0/B49*100)</f>
        <v/>
      </c>
      <c r="D49" s="19" t="n">
        <v>1324</v>
      </c>
      <c r="E49" s="18" t="n">
        <v>50.38544906</v>
      </c>
      <c r="F49" s="20" t="n">
        <v>1.68914016</v>
      </c>
      <c r="G49" s="18" t="n">
        <v>47.7232147</v>
      </c>
      <c r="H49" s="20" t="n">
        <v>1.7580777</v>
      </c>
      <c r="I49" s="18" t="n">
        <v>0</v>
      </c>
      <c r="J49" s="20" t="n">
        <v>0</v>
      </c>
      <c r="K49" s="18" t="n">
        <v>1.00610952</v>
      </c>
      <c r="L49" s="20" t="n">
        <v>0.31967187</v>
      </c>
      <c r="M49" s="18" t="n">
        <v>0</v>
      </c>
      <c r="N49" s="20" t="n">
        <v>0</v>
      </c>
      <c r="O49" s="18" t="n">
        <v>0</v>
      </c>
      <c r="P49" s="20" t="n">
        <v>0</v>
      </c>
      <c r="Q49" s="18" t="n">
        <v>0.88522672</v>
      </c>
      <c r="R49" s="20" t="n">
        <v>0.39425787</v>
      </c>
    </row>
    <row r="50" spans="1:18">
      <c r="A50" s="15" t="s">
        <v>609</v>
      </c>
      <c r="B50" s="17" t="n">
        <v>3494</v>
      </c>
      <c r="C50" s="18">
        <f>(2860.0/B50*100)</f>
        <v/>
      </c>
      <c r="D50" s="19" t="n">
        <v>634</v>
      </c>
      <c r="E50" s="18" t="n">
        <v>47.41816372</v>
      </c>
      <c r="F50" s="20" t="n">
        <v>2.35356986</v>
      </c>
      <c r="G50" s="18" t="n">
        <v>50.73608736</v>
      </c>
      <c r="H50" s="20" t="n">
        <v>2.50779357</v>
      </c>
      <c r="I50" s="18" t="n">
        <v>0</v>
      </c>
      <c r="J50" s="20" t="n">
        <v>0</v>
      </c>
      <c r="K50" s="18" t="n">
        <v>0.15180525</v>
      </c>
      <c r="L50" s="20" t="n">
        <v>0.15109763</v>
      </c>
      <c r="M50" s="18" t="n">
        <v>0</v>
      </c>
      <c r="N50" s="20" t="n">
        <v>0</v>
      </c>
      <c r="O50" s="18" t="n">
        <v>0</v>
      </c>
      <c r="P50" s="20" t="n">
        <v>0</v>
      </c>
      <c r="Q50" s="18" t="n">
        <v>1.69394368</v>
      </c>
      <c r="R50" s="20" t="n">
        <v>0.54256917</v>
      </c>
    </row>
    <row r="51" spans="1:18">
      <c r="A51" s="15" t="s">
        <v>610</v>
      </c>
      <c r="B51" s="17" t="n">
        <v>3013</v>
      </c>
      <c r="C51" s="18">
        <f>(2322.0/B51*100)</f>
        <v/>
      </c>
      <c r="D51" s="19" t="n">
        <v>691</v>
      </c>
      <c r="E51" s="18" t="n">
        <v>33.34563176</v>
      </c>
      <c r="F51" s="20" t="n">
        <v>1.57451971</v>
      </c>
      <c r="G51" s="18" t="n">
        <v>65.43788425</v>
      </c>
      <c r="H51" s="20" t="n">
        <v>1.63464255</v>
      </c>
      <c r="I51" s="18" t="n">
        <v>0</v>
      </c>
      <c r="J51" s="20" t="n">
        <v>0</v>
      </c>
      <c r="K51" s="18" t="n">
        <v>0</v>
      </c>
      <c r="L51" s="20" t="n">
        <v>0</v>
      </c>
      <c r="M51" s="18" t="n">
        <v>0</v>
      </c>
      <c r="N51" s="20" t="n">
        <v>0</v>
      </c>
      <c r="O51" s="18" t="n">
        <v>0</v>
      </c>
      <c r="P51" s="20" t="n">
        <v>0</v>
      </c>
      <c r="Q51" s="18" t="n">
        <v>1.216484</v>
      </c>
      <c r="R51" s="20" t="n">
        <v>0.37765872</v>
      </c>
    </row>
    <row r="52" spans="1:18">
      <c r="A52" s="15" t="s">
        <v>611</v>
      </c>
      <c r="B52" s="17" t="n">
        <v>2760</v>
      </c>
      <c r="C52" s="18">
        <f>(2115.0/B52*100)</f>
        <v/>
      </c>
      <c r="D52" s="19" t="n">
        <v>645</v>
      </c>
      <c r="E52" s="18" t="n">
        <v>36.8592592</v>
      </c>
      <c r="F52" s="20" t="n">
        <v>1.78090932</v>
      </c>
      <c r="G52" s="18" t="n">
        <v>61.24303916</v>
      </c>
      <c r="H52" s="20" t="n">
        <v>1.83161577</v>
      </c>
      <c r="I52" s="18" t="n">
        <v>0</v>
      </c>
      <c r="J52" s="20" t="n">
        <v>0</v>
      </c>
      <c r="K52" s="18" t="n">
        <v>0.256064</v>
      </c>
      <c r="L52" s="20" t="n">
        <v>0.18103174</v>
      </c>
      <c r="M52" s="18" t="n">
        <v>0</v>
      </c>
      <c r="N52" s="20" t="n">
        <v>0</v>
      </c>
      <c r="O52" s="18" t="n">
        <v>0</v>
      </c>
      <c r="P52" s="20" t="n">
        <v>0</v>
      </c>
      <c r="Q52" s="18" t="n">
        <v>1.64163763</v>
      </c>
      <c r="R52" s="20" t="n">
        <v>0.60553941</v>
      </c>
    </row>
    <row r="53" spans="1:18">
      <c r="A53" s="15" t="s">
        <v>612</v>
      </c>
      <c r="B53" s="17" t="n">
        <v>2474</v>
      </c>
      <c r="C53" s="18">
        <f>(1938.0/B53*100)</f>
        <v/>
      </c>
      <c r="D53" s="19" t="n">
        <v>536</v>
      </c>
      <c r="E53" s="18" t="n">
        <v>62.20118808</v>
      </c>
      <c r="F53" s="20" t="n">
        <v>2.16428259</v>
      </c>
      <c r="G53" s="18" t="n">
        <v>24.02149918</v>
      </c>
      <c r="H53" s="20" t="n">
        <v>1.8398326</v>
      </c>
      <c r="I53" s="18" t="n">
        <v>0</v>
      </c>
      <c r="J53" s="20" t="n">
        <v>0</v>
      </c>
      <c r="K53" s="18" t="n">
        <v>10.96278437</v>
      </c>
      <c r="L53" s="20" t="n">
        <v>1.49495429</v>
      </c>
      <c r="M53" s="18" t="n">
        <v>0</v>
      </c>
      <c r="N53" s="20" t="n">
        <v>0</v>
      </c>
      <c r="O53" s="18" t="n">
        <v>0</v>
      </c>
      <c r="P53" s="20" t="n">
        <v>0</v>
      </c>
      <c r="Q53" s="18" t="n">
        <v>2.81452837</v>
      </c>
      <c r="R53" s="20" t="n">
        <v>1.0317999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(2119.0/B55*100)</f>
        <v/>
      </c>
      <c r="D55" s="19" t="n">
        <v>556</v>
      </c>
      <c r="E55" s="18" t="n">
        <v>18.5039467</v>
      </c>
      <c r="F55" s="20" t="n">
        <v>1.91649319</v>
      </c>
      <c r="G55" s="18" t="n">
        <v>81.12341666</v>
      </c>
      <c r="H55" s="20" t="n">
        <v>1.91063329</v>
      </c>
      <c r="I55" s="18" t="n">
        <v>0</v>
      </c>
      <c r="J55" s="20" t="n">
        <v>0</v>
      </c>
      <c r="K55" s="18" t="n">
        <v>0.16160858</v>
      </c>
      <c r="L55" s="20" t="n">
        <v>0.16593589</v>
      </c>
      <c r="M55" s="18" t="n">
        <v>0</v>
      </c>
      <c r="N55" s="20" t="n">
        <v>0</v>
      </c>
      <c r="O55" s="18" t="n">
        <v>0</v>
      </c>
      <c r="P55" s="20" t="n">
        <v>0</v>
      </c>
      <c r="Q55" s="18" t="n">
        <v>0.21102805</v>
      </c>
      <c r="R55" s="20" t="n">
        <v>0.1435056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(2496.0/B61*100)</f>
        <v/>
      </c>
      <c r="D61" s="19" t="n">
        <v>705</v>
      </c>
      <c r="E61" s="18" t="n">
        <v>34.72030966</v>
      </c>
      <c r="F61" s="20" t="n">
        <v>1.94202274</v>
      </c>
      <c r="G61" s="18" t="n">
        <v>64.33601880000001</v>
      </c>
      <c r="H61" s="20" t="n">
        <v>1.8750041</v>
      </c>
      <c r="I61" s="18" t="n">
        <v>0</v>
      </c>
      <c r="J61" s="20" t="n">
        <v>0</v>
      </c>
      <c r="K61" s="18" t="n">
        <v>0</v>
      </c>
      <c r="L61" s="20" t="n">
        <v>0</v>
      </c>
      <c r="M61" s="18" t="n">
        <v>0</v>
      </c>
      <c r="N61" s="20" t="n">
        <v>0</v>
      </c>
      <c r="O61" s="18" t="n">
        <v>0</v>
      </c>
      <c r="P61" s="20" t="n">
        <v>0</v>
      </c>
      <c r="Q61" s="18" t="n">
        <v>0.94367154</v>
      </c>
      <c r="R61" s="20" t="n">
        <v>0.4005287</v>
      </c>
    </row>
    <row r="62" spans="1:18">
      <c r="A62" s="15" t="s">
        <v>622</v>
      </c>
      <c r="B62" s="17" t="n">
        <v>2230</v>
      </c>
      <c r="C62" s="18">
        <f>(1758.0/B62*100)</f>
        <v/>
      </c>
      <c r="D62" s="19" t="n">
        <v>472</v>
      </c>
      <c r="E62" s="18" t="n">
        <v>15.69360951</v>
      </c>
      <c r="F62" s="20" t="n">
        <v>1.61319131</v>
      </c>
      <c r="G62" s="18" t="n">
        <v>84.30639049</v>
      </c>
      <c r="H62" s="20" t="n">
        <v>1.61319131</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(2176.0/B67*100)</f>
        <v/>
      </c>
      <c r="D67" s="19" t="n">
        <v>595</v>
      </c>
      <c r="E67" s="18" t="n">
        <v>45.47180313</v>
      </c>
      <c r="F67" s="20" t="n">
        <v>1.6397169</v>
      </c>
      <c r="G67" s="18" t="n">
        <v>47.11859254</v>
      </c>
      <c r="H67" s="20" t="n">
        <v>1.88651525</v>
      </c>
      <c r="I67" s="18" t="n">
        <v>0</v>
      </c>
      <c r="J67" s="20" t="n">
        <v>0</v>
      </c>
      <c r="K67" s="18" t="n">
        <v>0.39839794</v>
      </c>
      <c r="L67" s="20" t="n">
        <v>0.2808775</v>
      </c>
      <c r="M67" s="18" t="n">
        <v>0</v>
      </c>
      <c r="N67" s="20" t="n">
        <v>0</v>
      </c>
      <c r="O67" s="18" t="n">
        <v>0</v>
      </c>
      <c r="P67" s="20" t="n">
        <v>0</v>
      </c>
      <c r="Q67" s="18" t="n">
        <v>7.01120638</v>
      </c>
      <c r="R67" s="20" t="n">
        <v>1.05878883</v>
      </c>
    </row>
    <row r="68" spans="1:18">
      <c r="A68" s="15" t="s">
        <v>628</v>
      </c>
      <c r="B68" s="17" t="n">
        <v>3460</v>
      </c>
      <c r="C68" s="18">
        <f>(2777.0/B68*100)</f>
        <v/>
      </c>
      <c r="D68" s="19" t="n">
        <v>683</v>
      </c>
      <c r="E68" s="18" t="n">
        <v>49.18782678</v>
      </c>
      <c r="F68" s="20" t="n">
        <v>2.27683053</v>
      </c>
      <c r="G68" s="18" t="n">
        <v>49.6905999</v>
      </c>
      <c r="H68" s="20" t="n">
        <v>2.24033549</v>
      </c>
      <c r="I68" s="18" t="n">
        <v>0</v>
      </c>
      <c r="J68" s="20" t="n">
        <v>0</v>
      </c>
      <c r="K68" s="18" t="n">
        <v>0</v>
      </c>
      <c r="L68" s="20" t="n">
        <v>0</v>
      </c>
      <c r="M68" s="18" t="n">
        <v>0</v>
      </c>
      <c r="N68" s="20" t="n">
        <v>0</v>
      </c>
      <c r="O68" s="18" t="n">
        <v>0</v>
      </c>
      <c r="P68" s="20" t="n">
        <v>0</v>
      </c>
      <c r="Q68" s="18" t="n">
        <v>1.12157332</v>
      </c>
      <c r="R68" s="20" t="n">
        <v>0.38999456</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(4685.0/B70*100)</f>
        <v/>
      </c>
      <c r="D70" s="19" t="n">
        <v>1349</v>
      </c>
      <c r="E70" s="18" t="n">
        <v>47.2777875</v>
      </c>
      <c r="F70" s="20" t="n">
        <v>1.38621976</v>
      </c>
      <c r="G70" s="18" t="n">
        <v>49.08097286</v>
      </c>
      <c r="H70" s="20" t="n">
        <v>1.34733534</v>
      </c>
      <c r="I70" s="18" t="n">
        <v>0</v>
      </c>
      <c r="J70" s="20" t="n">
        <v>0</v>
      </c>
      <c r="K70" s="18" t="n">
        <v>1.40033636</v>
      </c>
      <c r="L70" s="20" t="n">
        <v>0.32306622</v>
      </c>
      <c r="M70" s="18" t="n">
        <v>0</v>
      </c>
      <c r="N70" s="20" t="n">
        <v>0</v>
      </c>
      <c r="O70" s="18" t="n">
        <v>0</v>
      </c>
      <c r="P70" s="20" t="n">
        <v>0</v>
      </c>
      <c r="Q70" s="18" t="n">
        <v>2.24090328</v>
      </c>
      <c r="R70" s="20" t="n">
        <v>0.43941505</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(2426.0/B72*100)</f>
        <v/>
      </c>
      <c r="D72" s="19" t="n">
        <v>681</v>
      </c>
      <c r="E72" s="18" t="n">
        <v>30.42771982</v>
      </c>
      <c r="F72" s="20" t="n">
        <v>1.66804588</v>
      </c>
      <c r="G72" s="18" t="n">
        <v>67.93969584</v>
      </c>
      <c r="H72" s="20" t="n">
        <v>1.84720158</v>
      </c>
      <c r="I72" s="18" t="n">
        <v>0</v>
      </c>
      <c r="J72" s="20" t="n">
        <v>0</v>
      </c>
      <c r="K72" s="18" t="n">
        <v>0.12652806</v>
      </c>
      <c r="L72" s="20" t="n">
        <v>0.127836</v>
      </c>
      <c r="M72" s="18" t="n">
        <v>0</v>
      </c>
      <c r="N72" s="20" t="n">
        <v>0</v>
      </c>
      <c r="O72" s="18" t="n">
        <v>0</v>
      </c>
      <c r="P72" s="20" t="n">
        <v>0</v>
      </c>
      <c r="Q72" s="18" t="n">
        <v>1.50605628</v>
      </c>
      <c r="R72" s="20" t="n">
        <v>0.48494178</v>
      </c>
    </row>
    <row r="73" spans="1:18">
      <c r="A73" s="15" t="s">
        <v>633</v>
      </c>
      <c r="B73" s="17" t="n">
        <v>2973</v>
      </c>
      <c r="C73" s="18">
        <f>(2320.0/B73*100)</f>
        <v/>
      </c>
      <c r="D73" s="19" t="n">
        <v>653</v>
      </c>
      <c r="E73" s="18" t="n">
        <v>10.73575612</v>
      </c>
      <c r="F73" s="20" t="n">
        <v>0.97785901</v>
      </c>
      <c r="G73" s="18" t="n">
        <v>88.82425957</v>
      </c>
      <c r="H73" s="20" t="n">
        <v>1.00030213</v>
      </c>
      <c r="I73" s="18" t="n">
        <v>0</v>
      </c>
      <c r="J73" s="20" t="n">
        <v>0</v>
      </c>
      <c r="K73" s="18" t="n">
        <v>0</v>
      </c>
      <c r="L73" s="20" t="n">
        <v>0</v>
      </c>
      <c r="M73" s="18" t="n">
        <v>0</v>
      </c>
      <c r="N73" s="20" t="n">
        <v>0</v>
      </c>
      <c r="O73" s="18" t="n">
        <v>0</v>
      </c>
      <c r="P73" s="20" t="n">
        <v>0</v>
      </c>
      <c r="Q73" s="18" t="n">
        <v>0.43998431</v>
      </c>
      <c r="R73" s="20" t="n">
        <v>0.25485736</v>
      </c>
    </row>
    <row r="74" spans="1:18">
      <c r="A74" s="15" t="s">
        <v>634</v>
      </c>
      <c r="B74" s="17" t="n">
        <v>3819</v>
      </c>
      <c r="C74" s="18">
        <f>(3002.0/B74*100)</f>
        <v/>
      </c>
      <c r="D74" s="19" t="n">
        <v>817</v>
      </c>
      <c r="E74" s="18" t="n">
        <v>27.17813175</v>
      </c>
      <c r="F74" s="20" t="n">
        <v>1.92931708</v>
      </c>
      <c r="G74" s="18" t="n">
        <v>72.74385642</v>
      </c>
      <c r="H74" s="20" t="n">
        <v>1.9409557</v>
      </c>
      <c r="I74" s="18" t="n">
        <v>0</v>
      </c>
      <c r="J74" s="20" t="n">
        <v>0</v>
      </c>
      <c r="K74" s="18" t="n">
        <v>0</v>
      </c>
      <c r="L74" s="20" t="n">
        <v>0</v>
      </c>
      <c r="M74" s="18" t="n">
        <v>0</v>
      </c>
      <c r="N74" s="20" t="n">
        <v>0</v>
      </c>
      <c r="O74" s="18" t="n">
        <v>0</v>
      </c>
      <c r="P74" s="20" t="n">
        <v>0</v>
      </c>
      <c r="Q74" s="18" t="n">
        <v>0.07801183</v>
      </c>
      <c r="R74" s="20" t="n">
        <v>0.07888905</v>
      </c>
    </row>
    <row r="75" spans="1:18">
      <c r="A75" s="15" t="s">
        <v>635</v>
      </c>
      <c r="B75" s="17" t="n">
        <v>4652</v>
      </c>
      <c r="C75" s="18">
        <f>(3672.0/B75*100)</f>
        <v/>
      </c>
      <c r="D75" s="19" t="n">
        <v>980</v>
      </c>
      <c r="E75" s="18" t="n">
        <v>43.22426374</v>
      </c>
      <c r="F75" s="20" t="n">
        <v>2.35511018</v>
      </c>
      <c r="G75" s="18" t="n">
        <v>55.86675311</v>
      </c>
      <c r="H75" s="20" t="n">
        <v>2.25972494</v>
      </c>
      <c r="I75" s="18" t="n">
        <v>0</v>
      </c>
      <c r="J75" s="20" t="n">
        <v>0</v>
      </c>
      <c r="K75" s="18" t="n">
        <v>0</v>
      </c>
      <c r="L75" s="20" t="n">
        <v>0</v>
      </c>
      <c r="M75" s="18" t="n">
        <v>0</v>
      </c>
      <c r="N75" s="20" t="n">
        <v>0</v>
      </c>
      <c r="O75" s="18" t="n">
        <v>0</v>
      </c>
      <c r="P75" s="20" t="n">
        <v>0</v>
      </c>
      <c r="Q75" s="18" t="n">
        <v>0.90898315</v>
      </c>
      <c r="R75" s="20" t="n">
        <v>0.35463706</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(2392.0/B77*100)</f>
        <v/>
      </c>
      <c r="D77" s="19" t="n">
        <v>577</v>
      </c>
      <c r="E77" s="18" t="n">
        <v>59.93843701</v>
      </c>
      <c r="F77" s="20" t="n">
        <v>2.25796148</v>
      </c>
      <c r="G77" s="18" t="n">
        <v>34.39863987</v>
      </c>
      <c r="H77" s="20" t="n">
        <v>2.0236503</v>
      </c>
      <c r="I77" s="18" t="n">
        <v>0</v>
      </c>
      <c r="J77" s="20" t="n">
        <v>0</v>
      </c>
      <c r="K77" s="18" t="n">
        <v>2.63478579</v>
      </c>
      <c r="L77" s="20" t="n">
        <v>0.70822801</v>
      </c>
      <c r="M77" s="18" t="n">
        <v>0</v>
      </c>
      <c r="N77" s="20" t="n">
        <v>0</v>
      </c>
      <c r="O77" s="18" t="n">
        <v>0</v>
      </c>
      <c r="P77" s="20" t="n">
        <v>0</v>
      </c>
      <c r="Q77" s="18" t="n">
        <v>3.02813733</v>
      </c>
      <c r="R77" s="20" t="n">
        <v>0.73115888</v>
      </c>
    </row>
    <row r="78" spans="1:18">
      <c r="A78" s="15" t="s">
        <v>638</v>
      </c>
      <c r="B78" s="17" t="n">
        <v>7115</v>
      </c>
      <c r="C78" s="18">
        <f>(5608.0/B78*100)</f>
        <v/>
      </c>
      <c r="D78" s="19" t="n">
        <v>1507</v>
      </c>
      <c r="E78" s="18" t="n">
        <v>43.22073209</v>
      </c>
      <c r="F78" s="20" t="n">
        <v>1.71310995</v>
      </c>
      <c r="G78" s="18" t="n">
        <v>55.02127875</v>
      </c>
      <c r="H78" s="20" t="n">
        <v>1.74494122</v>
      </c>
      <c r="I78" s="18" t="n">
        <v>0</v>
      </c>
      <c r="J78" s="20" t="n">
        <v>0</v>
      </c>
      <c r="K78" s="18" t="n">
        <v>0.52832389</v>
      </c>
      <c r="L78" s="20" t="n">
        <v>0.20420243</v>
      </c>
      <c r="M78" s="18" t="n">
        <v>0</v>
      </c>
      <c r="N78" s="20" t="n">
        <v>0</v>
      </c>
      <c r="O78" s="18" t="n">
        <v>0</v>
      </c>
      <c r="P78" s="20" t="n">
        <v>0</v>
      </c>
      <c r="Q78" s="18" t="n">
        <v>1.22966526</v>
      </c>
      <c r="R78" s="20" t="n">
        <v>0.36427853</v>
      </c>
    </row>
    <row r="79" spans="1:18">
      <c r="A79" s="15" t="s">
        <v>639</v>
      </c>
      <c r="B79" s="17" t="n">
        <v>3154</v>
      </c>
      <c r="C79" s="18">
        <f>(2463.0/B79*100)</f>
        <v/>
      </c>
      <c r="D79" s="19" t="n">
        <v>691</v>
      </c>
      <c r="E79" s="18" t="n">
        <v>40.99545145</v>
      </c>
      <c r="F79" s="20" t="n">
        <v>2.15038695</v>
      </c>
      <c r="G79" s="18" t="n">
        <v>54.73262595</v>
      </c>
      <c r="H79" s="20" t="n">
        <v>2.37360755</v>
      </c>
      <c r="I79" s="18" t="n">
        <v>0</v>
      </c>
      <c r="J79" s="20" t="n">
        <v>0</v>
      </c>
      <c r="K79" s="18" t="n">
        <v>0.23289636</v>
      </c>
      <c r="L79" s="20" t="n">
        <v>0.16222551</v>
      </c>
      <c r="M79" s="18" t="n">
        <v>0</v>
      </c>
      <c r="N79" s="20" t="n">
        <v>0</v>
      </c>
      <c r="O79" s="18" t="n">
        <v>0</v>
      </c>
      <c r="P79" s="20" t="n">
        <v>0</v>
      </c>
      <c r="Q79" s="18" t="n">
        <v>4.03902625</v>
      </c>
      <c r="R79" s="20" t="n">
        <v>1.01764795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(12524.0/B82*100)</f>
        <v/>
      </c>
      <c r="D82" s="19" t="n">
        <v>3437</v>
      </c>
      <c r="E82" s="18" t="n">
        <v>27.22735634</v>
      </c>
      <c r="F82" s="20" t="n">
        <v>1.07910328</v>
      </c>
      <c r="G82" s="18" t="n">
        <v>71.12333262</v>
      </c>
      <c r="H82" s="20" t="n">
        <v>1.10374186</v>
      </c>
      <c r="I82" s="18" t="n">
        <v>0</v>
      </c>
      <c r="J82" s="20" t="n">
        <v>0</v>
      </c>
      <c r="K82" s="18" t="n">
        <v>0.29617214</v>
      </c>
      <c r="L82" s="20" t="n">
        <v>0.07244746000000001</v>
      </c>
      <c r="M82" s="18" t="n">
        <v>0</v>
      </c>
      <c r="N82" s="20" t="n">
        <v>0</v>
      </c>
      <c r="O82" s="18" t="n">
        <v>0</v>
      </c>
      <c r="P82" s="20" t="n">
        <v>0</v>
      </c>
      <c r="Q82" s="18" t="n">
        <v>1.3531389</v>
      </c>
      <c r="R82" s="20" t="n">
        <v>0.33616543</v>
      </c>
    </row>
    <row r="83" spans="1:18">
      <c r="A83" s="15" t="s">
        <v>643</v>
      </c>
      <c r="B83" s="17" t="n">
        <v>808</v>
      </c>
      <c r="C83" s="18">
        <f>(642.0/B83*100)</f>
        <v/>
      </c>
      <c r="D83" s="19" t="n">
        <v>166</v>
      </c>
      <c r="E83" s="18" t="n">
        <v>19.60553506</v>
      </c>
      <c r="F83" s="20" t="n">
        <v>4.03447414</v>
      </c>
      <c r="G83" s="18" t="n">
        <v>79.84093362999999</v>
      </c>
      <c r="H83" s="20" t="n">
        <v>4.11002628</v>
      </c>
      <c r="I83" s="18" t="n">
        <v>0</v>
      </c>
      <c r="J83" s="20" t="n">
        <v>0</v>
      </c>
      <c r="K83" s="18" t="n">
        <v>0</v>
      </c>
      <c r="L83" s="20" t="n">
        <v>0</v>
      </c>
      <c r="M83" s="18" t="n">
        <v>0</v>
      </c>
      <c r="N83" s="20" t="n">
        <v>0</v>
      </c>
      <c r="O83" s="18" t="n">
        <v>0</v>
      </c>
      <c r="P83" s="20" t="n">
        <v>0</v>
      </c>
      <c r="Q83" s="18" t="n">
        <v>0.55353131</v>
      </c>
      <c r="R83" s="20" t="n">
        <v>0.52468496</v>
      </c>
    </row>
    <row r="84" spans="1:18">
      <c r="A84" s="23" t="s">
        <v>644</v>
      </c>
      <c r="B84" s="24" t="n">
        <v>938</v>
      </c>
      <c r="C84" s="25">
        <f>(761.0/B84*100)</f>
        <v/>
      </c>
      <c r="D84" s="19" t="n">
        <v>177</v>
      </c>
      <c r="E84" s="18" t="n">
        <v>25.65280826</v>
      </c>
      <c r="F84" s="20" t="n">
        <v>3.39530381</v>
      </c>
      <c r="G84" s="18" t="n">
        <v>74.34719174</v>
      </c>
      <c r="H84" s="20" t="n">
        <v>3.39530381</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(5595.0/B7*100)</f>
        <v/>
      </c>
      <c r="D7" s="19" t="n">
        <v>1568</v>
      </c>
      <c r="E7" s="18" t="n">
        <v>57.93721207</v>
      </c>
      <c r="F7" s="20" t="n">
        <v>1.48886353</v>
      </c>
      <c r="G7" s="18" t="n">
        <v>38.95738241</v>
      </c>
      <c r="H7" s="20" t="n">
        <v>1.50904457</v>
      </c>
      <c r="I7" s="18" t="n">
        <v>0</v>
      </c>
      <c r="J7" s="20" t="n">
        <v>0</v>
      </c>
      <c r="K7" s="18" t="n">
        <v>0.5211834400000001</v>
      </c>
      <c r="L7" s="20" t="n">
        <v>0.21782908</v>
      </c>
      <c r="M7" s="18" t="n">
        <v>0</v>
      </c>
      <c r="N7" s="20" t="n">
        <v>0</v>
      </c>
      <c r="O7" s="18" t="n">
        <v>0</v>
      </c>
      <c r="P7" s="20" t="n">
        <v>0</v>
      </c>
      <c r="Q7" s="18" t="n">
        <v>2.58422208</v>
      </c>
      <c r="R7" s="20" t="n">
        <v>0.43228485</v>
      </c>
    </row>
    <row r="8" spans="1:18">
      <c r="A8" s="15" t="s">
        <v>566</v>
      </c>
      <c r="B8" s="17" t="n">
        <v>3443</v>
      </c>
      <c r="C8" s="18">
        <f>(2659.0/B8*100)</f>
        <v/>
      </c>
      <c r="D8" s="19" t="n">
        <v>784</v>
      </c>
      <c r="E8" s="18" t="n">
        <v>77.00917090999999</v>
      </c>
      <c r="F8" s="20" t="n">
        <v>1.93367879</v>
      </c>
      <c r="G8" s="18" t="n">
        <v>19.05347894</v>
      </c>
      <c r="H8" s="20" t="n">
        <v>1.74716262</v>
      </c>
      <c r="I8" s="18" t="n">
        <v>0</v>
      </c>
      <c r="J8" s="20" t="n">
        <v>0</v>
      </c>
      <c r="K8" s="18" t="n">
        <v>0.16975275</v>
      </c>
      <c r="L8" s="20" t="n">
        <v>0.16786125</v>
      </c>
      <c r="M8" s="18" t="n">
        <v>0</v>
      </c>
      <c r="N8" s="20" t="n">
        <v>0</v>
      </c>
      <c r="O8" s="18" t="n">
        <v>0</v>
      </c>
      <c r="P8" s="20" t="n">
        <v>0</v>
      </c>
      <c r="Q8" s="18" t="n">
        <v>3.7675974</v>
      </c>
      <c r="R8" s="20" t="n">
        <v>0.7669751</v>
      </c>
    </row>
    <row r="9" spans="1:18">
      <c r="A9" s="15" t="s">
        <v>567</v>
      </c>
      <c r="B9" s="17" t="n">
        <v>4752</v>
      </c>
      <c r="C9" s="18">
        <f>(3744.0/B9*100)</f>
        <v/>
      </c>
      <c r="D9" s="19" t="n">
        <v>1008</v>
      </c>
      <c r="E9" s="18" t="n">
        <v>68.9114671</v>
      </c>
      <c r="F9" s="20" t="n">
        <v>1.5987785</v>
      </c>
      <c r="G9" s="18" t="n">
        <v>26.80391144</v>
      </c>
      <c r="H9" s="20" t="n">
        <v>1.4200283</v>
      </c>
      <c r="I9" s="18" t="n">
        <v>0</v>
      </c>
      <c r="J9" s="20" t="n">
        <v>0</v>
      </c>
      <c r="K9" s="18" t="n">
        <v>0.50616597</v>
      </c>
      <c r="L9" s="20" t="n">
        <v>0.21429617</v>
      </c>
      <c r="M9" s="18" t="n">
        <v>0</v>
      </c>
      <c r="N9" s="20" t="n">
        <v>0</v>
      </c>
      <c r="O9" s="18" t="n">
        <v>0</v>
      </c>
      <c r="P9" s="20" t="n">
        <v>0</v>
      </c>
      <c r="Q9" s="18" t="n">
        <v>3.77845549</v>
      </c>
      <c r="R9" s="20" t="n">
        <v>0.6471868200000001</v>
      </c>
    </row>
    <row r="10" spans="1:18">
      <c r="A10" s="15" t="s">
        <v>568</v>
      </c>
      <c r="B10" s="17" t="n">
        <v>10022</v>
      </c>
      <c r="C10" s="18">
        <f>(7819.0/B10*100)</f>
        <v/>
      </c>
      <c r="D10" s="19" t="n">
        <v>2203</v>
      </c>
      <c r="E10" s="18" t="n">
        <v>59.21350105</v>
      </c>
      <c r="F10" s="20" t="n">
        <v>1.51088903</v>
      </c>
      <c r="G10" s="18" t="n">
        <v>39.0281814</v>
      </c>
      <c r="H10" s="20" t="n">
        <v>1.49416132</v>
      </c>
      <c r="I10" s="18" t="n">
        <v>0</v>
      </c>
      <c r="J10" s="20" t="n">
        <v>0</v>
      </c>
      <c r="K10" s="18" t="n">
        <v>0.44448583</v>
      </c>
      <c r="L10" s="20" t="n">
        <v>0.22176596</v>
      </c>
      <c r="M10" s="18" t="n">
        <v>0</v>
      </c>
      <c r="N10" s="20" t="n">
        <v>0</v>
      </c>
      <c r="O10" s="18" t="n">
        <v>0</v>
      </c>
      <c r="P10" s="20" t="n">
        <v>0</v>
      </c>
      <c r="Q10" s="18" t="n">
        <v>1.31383172</v>
      </c>
      <c r="R10" s="20" t="n">
        <v>0.30075199</v>
      </c>
    </row>
    <row r="11" spans="1:18">
      <c r="A11" s="15" t="s">
        <v>569</v>
      </c>
      <c r="B11" s="17" t="n">
        <v>3500</v>
      </c>
      <c r="C11" s="18">
        <f>(2781.0/B11*100)</f>
        <v/>
      </c>
      <c r="D11" s="19" t="n">
        <v>719</v>
      </c>
      <c r="E11" s="18" t="n">
        <v>82.56436269</v>
      </c>
      <c r="F11" s="20" t="n">
        <v>1.2961807</v>
      </c>
      <c r="G11" s="18" t="n">
        <v>12.24091829</v>
      </c>
      <c r="H11" s="20" t="n">
        <v>1.19174669</v>
      </c>
      <c r="I11" s="18" t="n">
        <v>0</v>
      </c>
      <c r="J11" s="20" t="n">
        <v>0</v>
      </c>
      <c r="K11" s="18" t="n">
        <v>0.36443983</v>
      </c>
      <c r="L11" s="20" t="n">
        <v>0.07308405</v>
      </c>
      <c r="M11" s="18" t="n">
        <v>0</v>
      </c>
      <c r="N11" s="20" t="n">
        <v>0</v>
      </c>
      <c r="O11" s="18" t="n">
        <v>0</v>
      </c>
      <c r="P11" s="20" t="n">
        <v>0</v>
      </c>
      <c r="Q11" s="18" t="n">
        <v>4.83027918</v>
      </c>
      <c r="R11" s="20" t="n">
        <v>0.82163495</v>
      </c>
    </row>
    <row r="12" spans="1:18">
      <c r="A12" s="15" t="s">
        <v>570</v>
      </c>
      <c r="B12" s="17" t="n">
        <v>3422</v>
      </c>
      <c r="C12" s="18">
        <f>(2685.0/B12*100)</f>
        <v/>
      </c>
      <c r="D12" s="19" t="n">
        <v>737</v>
      </c>
      <c r="E12" s="18" t="n">
        <v>80.61026084</v>
      </c>
      <c r="F12" s="20" t="n">
        <v>1.36785296</v>
      </c>
      <c r="G12" s="18" t="n">
        <v>17.31438141</v>
      </c>
      <c r="H12" s="20" t="n">
        <v>1.47789756</v>
      </c>
      <c r="I12" s="18" t="n">
        <v>0</v>
      </c>
      <c r="J12" s="20" t="n">
        <v>0</v>
      </c>
      <c r="K12" s="18" t="n">
        <v>0</v>
      </c>
      <c r="L12" s="20" t="n">
        <v>0</v>
      </c>
      <c r="M12" s="18" t="n">
        <v>0</v>
      </c>
      <c r="N12" s="20" t="n">
        <v>0</v>
      </c>
      <c r="O12" s="18" t="n">
        <v>0</v>
      </c>
      <c r="P12" s="20" t="n">
        <v>0</v>
      </c>
      <c r="Q12" s="18" t="n">
        <v>2.07535774</v>
      </c>
      <c r="R12" s="20" t="n">
        <v>0.68448232</v>
      </c>
    </row>
    <row r="13" spans="1:18">
      <c r="A13" s="15" t="s">
        <v>571</v>
      </c>
      <c r="B13" s="17" t="n">
        <v>3602</v>
      </c>
      <c r="C13" s="18">
        <f>(2801.0/B13*100)</f>
        <v/>
      </c>
      <c r="D13" s="19" t="n">
        <v>801</v>
      </c>
      <c r="E13" s="18" t="n">
        <v>68.31974151999999</v>
      </c>
      <c r="F13" s="20" t="n">
        <v>2.05700775</v>
      </c>
      <c r="G13" s="18" t="n">
        <v>28.99134434</v>
      </c>
      <c r="H13" s="20" t="n">
        <v>2.09332242</v>
      </c>
      <c r="I13" s="18" t="n">
        <v>0</v>
      </c>
      <c r="J13" s="20" t="n">
        <v>0</v>
      </c>
      <c r="K13" s="18" t="n">
        <v>0.40971953</v>
      </c>
      <c r="L13" s="20" t="n">
        <v>0.27554545</v>
      </c>
      <c r="M13" s="18" t="n">
        <v>0</v>
      </c>
      <c r="N13" s="20" t="n">
        <v>0</v>
      </c>
      <c r="O13" s="18" t="n">
        <v>0</v>
      </c>
      <c r="P13" s="20" t="n">
        <v>0</v>
      </c>
      <c r="Q13" s="18" t="n">
        <v>2.2791946</v>
      </c>
      <c r="R13" s="20" t="n">
        <v>0.49281625</v>
      </c>
    </row>
    <row r="14" spans="1:18">
      <c r="A14" s="15" t="s">
        <v>572</v>
      </c>
      <c r="B14" s="17" t="n">
        <v>2788</v>
      </c>
      <c r="C14" s="18">
        <f>(2138.0/B14*100)</f>
        <v/>
      </c>
      <c r="D14" s="19" t="n">
        <v>650</v>
      </c>
      <c r="E14" s="18" t="n">
        <v>60.96013765</v>
      </c>
      <c r="F14" s="20" t="n">
        <v>2.22747054</v>
      </c>
      <c r="G14" s="18" t="n">
        <v>37.46806728</v>
      </c>
      <c r="H14" s="20" t="n">
        <v>2.15844027</v>
      </c>
      <c r="I14" s="18" t="n">
        <v>0</v>
      </c>
      <c r="J14" s="20" t="n">
        <v>0</v>
      </c>
      <c r="K14" s="18" t="n">
        <v>0.40223685</v>
      </c>
      <c r="L14" s="20" t="n">
        <v>0.22580074</v>
      </c>
      <c r="M14" s="18" t="n">
        <v>0</v>
      </c>
      <c r="N14" s="20" t="n">
        <v>0</v>
      </c>
      <c r="O14" s="18" t="n">
        <v>0</v>
      </c>
      <c r="P14" s="20" t="n">
        <v>0</v>
      </c>
      <c r="Q14" s="18" t="n">
        <v>1.16955822</v>
      </c>
      <c r="R14" s="20" t="n">
        <v>0.63064501</v>
      </c>
    </row>
    <row r="15" spans="1:18">
      <c r="A15" s="15" t="s">
        <v>573</v>
      </c>
      <c r="B15" s="17" t="n">
        <v>2863</v>
      </c>
      <c r="C15" s="18">
        <f>(2259.0/B15*100)</f>
        <v/>
      </c>
      <c r="D15" s="19" t="n">
        <v>604</v>
      </c>
      <c r="E15" s="18" t="n">
        <v>73.04950785</v>
      </c>
      <c r="F15" s="20" t="n">
        <v>2.06750296</v>
      </c>
      <c r="G15" s="18" t="n">
        <v>25.79842433</v>
      </c>
      <c r="H15" s="20" t="n">
        <v>2.00722379</v>
      </c>
      <c r="I15" s="18" t="n">
        <v>0</v>
      </c>
      <c r="J15" s="20" t="n">
        <v>0</v>
      </c>
      <c r="K15" s="18" t="n">
        <v>0</v>
      </c>
      <c r="L15" s="20" t="n">
        <v>0</v>
      </c>
      <c r="M15" s="18" t="n">
        <v>0</v>
      </c>
      <c r="N15" s="20" t="n">
        <v>0</v>
      </c>
      <c r="O15" s="18" t="n">
        <v>0</v>
      </c>
      <c r="P15" s="20" t="n">
        <v>0</v>
      </c>
      <c r="Q15" s="18" t="n">
        <v>1.15206782</v>
      </c>
      <c r="R15" s="20" t="n">
        <v>0.51266301</v>
      </c>
    </row>
    <row r="16" spans="1:18">
      <c r="A16" s="15" t="s">
        <v>574</v>
      </c>
      <c r="B16" s="17" t="n">
        <v>3111</v>
      </c>
      <c r="C16" s="18">
        <f>(2399.0/B16*100)</f>
        <v/>
      </c>
      <c r="D16" s="19" t="n">
        <v>712</v>
      </c>
      <c r="E16" s="18" t="n">
        <v>75.48525275</v>
      </c>
      <c r="F16" s="20" t="n">
        <v>1.72439235</v>
      </c>
      <c r="G16" s="18" t="n">
        <v>19.70389146</v>
      </c>
      <c r="H16" s="20" t="n">
        <v>1.52947665</v>
      </c>
      <c r="I16" s="18" t="n">
        <v>0</v>
      </c>
      <c r="J16" s="20" t="n">
        <v>0</v>
      </c>
      <c r="K16" s="18" t="n">
        <v>0.58862339</v>
      </c>
      <c r="L16" s="20" t="n">
        <v>0.29211029</v>
      </c>
      <c r="M16" s="18" t="n">
        <v>0</v>
      </c>
      <c r="N16" s="20" t="n">
        <v>0</v>
      </c>
      <c r="O16" s="18" t="n">
        <v>0</v>
      </c>
      <c r="P16" s="20" t="n">
        <v>0</v>
      </c>
      <c r="Q16" s="18" t="n">
        <v>4.2222324</v>
      </c>
      <c r="R16" s="20" t="n">
        <v>0.71663811</v>
      </c>
    </row>
    <row r="17" spans="1:18">
      <c r="A17" s="15" t="s">
        <v>575</v>
      </c>
      <c r="B17" s="17" t="n">
        <v>3197</v>
      </c>
      <c r="C17" s="18">
        <f>(2500.0/B17*100)</f>
        <v/>
      </c>
      <c r="D17" s="19" t="n">
        <v>697</v>
      </c>
      <c r="E17" s="18" t="n">
        <v>68.94227370999999</v>
      </c>
      <c r="F17" s="20" t="n">
        <v>2.06720774</v>
      </c>
      <c r="G17" s="18" t="n">
        <v>28.37389263</v>
      </c>
      <c r="H17" s="20" t="n">
        <v>1.99083701</v>
      </c>
      <c r="I17" s="18" t="n">
        <v>0</v>
      </c>
      <c r="J17" s="20" t="n">
        <v>0</v>
      </c>
      <c r="K17" s="18" t="n">
        <v>0</v>
      </c>
      <c r="L17" s="20" t="n">
        <v>0</v>
      </c>
      <c r="M17" s="18" t="n">
        <v>0</v>
      </c>
      <c r="N17" s="20" t="n">
        <v>0</v>
      </c>
      <c r="O17" s="18" t="n">
        <v>0</v>
      </c>
      <c r="P17" s="20" t="n">
        <v>0</v>
      </c>
      <c r="Q17" s="18" t="n">
        <v>2.68383366</v>
      </c>
      <c r="R17" s="20" t="n">
        <v>0.50490259</v>
      </c>
    </row>
    <row r="18" spans="1:18">
      <c r="A18" s="15" t="s">
        <v>576</v>
      </c>
      <c r="B18" s="17" t="n">
        <v>2706</v>
      </c>
      <c r="C18" s="18">
        <f>(2089.0/B18*100)</f>
        <v/>
      </c>
      <c r="D18" s="19" t="n">
        <v>617</v>
      </c>
      <c r="E18" s="18" t="n">
        <v>77.39280017</v>
      </c>
      <c r="F18" s="20" t="n">
        <v>1.94831014</v>
      </c>
      <c r="G18" s="18" t="n">
        <v>19.04916522</v>
      </c>
      <c r="H18" s="20" t="n">
        <v>1.78669077</v>
      </c>
      <c r="I18" s="18" t="n">
        <v>0</v>
      </c>
      <c r="J18" s="20" t="n">
        <v>0</v>
      </c>
      <c r="K18" s="18" t="n">
        <v>0.52014738</v>
      </c>
      <c r="L18" s="20" t="n">
        <v>0.31927263</v>
      </c>
      <c r="M18" s="18" t="n">
        <v>0</v>
      </c>
      <c r="N18" s="20" t="n">
        <v>0</v>
      </c>
      <c r="O18" s="18" t="n">
        <v>0</v>
      </c>
      <c r="P18" s="20" t="n">
        <v>0</v>
      </c>
      <c r="Q18" s="18" t="n">
        <v>3.03788723</v>
      </c>
      <c r="R18" s="20" t="n">
        <v>0.7191776</v>
      </c>
    </row>
    <row r="19" spans="1:18">
      <c r="A19" s="15" t="s">
        <v>577</v>
      </c>
      <c r="B19" s="17" t="n">
        <v>2850</v>
      </c>
      <c r="C19" s="18">
        <f>(2243.0/B19*100)</f>
        <v/>
      </c>
      <c r="D19" s="19" t="n">
        <v>607</v>
      </c>
      <c r="E19" s="18" t="n">
        <v>84.85229837</v>
      </c>
      <c r="F19" s="20" t="n">
        <v>1.60758249</v>
      </c>
      <c r="G19" s="18" t="n">
        <v>12.65675254</v>
      </c>
      <c r="H19" s="20" t="n">
        <v>1.53969816</v>
      </c>
      <c r="I19" s="18" t="n">
        <v>0</v>
      </c>
      <c r="J19" s="20" t="n">
        <v>0</v>
      </c>
      <c r="K19" s="18" t="n">
        <v>0.15330977</v>
      </c>
      <c r="L19" s="20" t="n">
        <v>0.15613381</v>
      </c>
      <c r="M19" s="18" t="n">
        <v>0</v>
      </c>
      <c r="N19" s="20" t="n">
        <v>0</v>
      </c>
      <c r="O19" s="18" t="n">
        <v>0</v>
      </c>
      <c r="P19" s="20" t="n">
        <v>0</v>
      </c>
      <c r="Q19" s="18" t="n">
        <v>2.33763932</v>
      </c>
      <c r="R19" s="20" t="n">
        <v>0.60114546</v>
      </c>
    </row>
    <row r="20" spans="1:18">
      <c r="A20" s="15" t="s">
        <v>578</v>
      </c>
      <c r="B20" s="17" t="n">
        <v>1741</v>
      </c>
      <c r="C20" s="18">
        <f>(1355.0/B20*100)</f>
        <v/>
      </c>
      <c r="D20" s="19" t="n">
        <v>386</v>
      </c>
      <c r="E20" s="18" t="n">
        <v>71.91616802999999</v>
      </c>
      <c r="F20" s="20" t="n">
        <v>2.13668984</v>
      </c>
      <c r="G20" s="18" t="n">
        <v>24.72279761</v>
      </c>
      <c r="H20" s="20" t="n">
        <v>2.12035372</v>
      </c>
      <c r="I20" s="18" t="n">
        <v>0</v>
      </c>
      <c r="J20" s="20" t="n">
        <v>0</v>
      </c>
      <c r="K20" s="18" t="n">
        <v>0.25369355</v>
      </c>
      <c r="L20" s="20" t="n">
        <v>0.25376244</v>
      </c>
      <c r="M20" s="18" t="n">
        <v>0</v>
      </c>
      <c r="N20" s="20" t="n">
        <v>0</v>
      </c>
      <c r="O20" s="18" t="n">
        <v>0</v>
      </c>
      <c r="P20" s="20" t="n">
        <v>0</v>
      </c>
      <c r="Q20" s="18" t="n">
        <v>3.1073408</v>
      </c>
      <c r="R20" s="20" t="n">
        <v>0.94284108</v>
      </c>
    </row>
    <row r="21" spans="1:18">
      <c r="A21" s="15" t="s">
        <v>579</v>
      </c>
      <c r="B21" s="17" t="n">
        <v>2833</v>
      </c>
      <c r="C21" s="18">
        <f>(2219.0/B21*100)</f>
        <v/>
      </c>
      <c r="D21" s="19" t="n">
        <v>614</v>
      </c>
      <c r="E21" s="18" t="n">
        <v>65.20432590999999</v>
      </c>
      <c r="F21" s="20" t="n">
        <v>2.25160551</v>
      </c>
      <c r="G21" s="18" t="n">
        <v>33.32759048</v>
      </c>
      <c r="H21" s="20" t="n">
        <v>2.13075362</v>
      </c>
      <c r="I21" s="18" t="n">
        <v>0</v>
      </c>
      <c r="J21" s="20" t="n">
        <v>0</v>
      </c>
      <c r="K21" s="18" t="n">
        <v>0</v>
      </c>
      <c r="L21" s="20" t="n">
        <v>0</v>
      </c>
      <c r="M21" s="18" t="n">
        <v>0</v>
      </c>
      <c r="N21" s="20" t="n">
        <v>0</v>
      </c>
      <c r="O21" s="18" t="n">
        <v>0</v>
      </c>
      <c r="P21" s="20" t="n">
        <v>0</v>
      </c>
      <c r="Q21" s="18" t="n">
        <v>1.46808361</v>
      </c>
      <c r="R21" s="20" t="n">
        <v>0.6121846399999999</v>
      </c>
    </row>
    <row r="22" spans="1:18">
      <c r="A22" s="15" t="s">
        <v>580</v>
      </c>
      <c r="B22" s="17" t="n">
        <v>3667</v>
      </c>
      <c r="C22" s="18">
        <f>(2868.0/B22*100)</f>
        <v/>
      </c>
      <c r="D22" s="19" t="n">
        <v>799</v>
      </c>
      <c r="E22" s="18" t="n">
        <v>76.34068717</v>
      </c>
      <c r="F22" s="20" t="n">
        <v>1.62770826</v>
      </c>
      <c r="G22" s="18" t="n">
        <v>19.6547897</v>
      </c>
      <c r="H22" s="20" t="n">
        <v>1.64792147</v>
      </c>
      <c r="I22" s="18" t="n">
        <v>0</v>
      </c>
      <c r="J22" s="20" t="n">
        <v>0</v>
      </c>
      <c r="K22" s="18" t="n">
        <v>0.10655281</v>
      </c>
      <c r="L22" s="20" t="n">
        <v>0.10710175</v>
      </c>
      <c r="M22" s="18" t="n">
        <v>0</v>
      </c>
      <c r="N22" s="20" t="n">
        <v>0</v>
      </c>
      <c r="O22" s="18" t="n">
        <v>0</v>
      </c>
      <c r="P22" s="20" t="n">
        <v>0</v>
      </c>
      <c r="Q22" s="18" t="n">
        <v>3.89797032</v>
      </c>
      <c r="R22" s="20" t="n">
        <v>0.90806771</v>
      </c>
    </row>
    <row r="23" spans="1:18">
      <c r="A23" s="15" t="s">
        <v>581</v>
      </c>
      <c r="B23" s="17" t="n">
        <v>5792</v>
      </c>
      <c r="C23" s="18">
        <f>(4537.0/B23*100)</f>
        <v/>
      </c>
      <c r="D23" s="19" t="n">
        <v>1255</v>
      </c>
      <c r="E23" s="18" t="n">
        <v>70.20657265</v>
      </c>
      <c r="F23" s="20" t="n">
        <v>1.74638686</v>
      </c>
      <c r="G23" s="18" t="n">
        <v>24.53972669</v>
      </c>
      <c r="H23" s="20" t="n">
        <v>1.80209474</v>
      </c>
      <c r="I23" s="18" t="n">
        <v>0</v>
      </c>
      <c r="J23" s="20" t="n">
        <v>0</v>
      </c>
      <c r="K23" s="18" t="n">
        <v>0.52967347</v>
      </c>
      <c r="L23" s="20" t="n">
        <v>0.36529772</v>
      </c>
      <c r="M23" s="18" t="n">
        <v>0</v>
      </c>
      <c r="N23" s="20" t="n">
        <v>0</v>
      </c>
      <c r="O23" s="18" t="n">
        <v>0</v>
      </c>
      <c r="P23" s="20" t="n">
        <v>0</v>
      </c>
      <c r="Q23" s="18" t="n">
        <v>4.72402718</v>
      </c>
      <c r="R23" s="20" t="n">
        <v>0.8542493</v>
      </c>
    </row>
    <row r="24" spans="1:18">
      <c r="A24" s="15" t="s">
        <v>582</v>
      </c>
      <c r="B24" s="17" t="n">
        <v>3309</v>
      </c>
      <c r="C24" s="18">
        <f>(2609.0/B24*100)</f>
        <v/>
      </c>
      <c r="D24" s="19" t="n">
        <v>700</v>
      </c>
      <c r="E24" s="18" t="n">
        <v>57.31647748</v>
      </c>
      <c r="F24" s="20" t="n">
        <v>1.95558661</v>
      </c>
      <c r="G24" s="18" t="n">
        <v>40.93037214</v>
      </c>
      <c r="H24" s="20" t="n">
        <v>1.98159703</v>
      </c>
      <c r="I24" s="18" t="n">
        <v>0</v>
      </c>
      <c r="J24" s="20" t="n">
        <v>0</v>
      </c>
      <c r="K24" s="18" t="n">
        <v>0</v>
      </c>
      <c r="L24" s="20" t="n">
        <v>0</v>
      </c>
      <c r="M24" s="18" t="n">
        <v>0</v>
      </c>
      <c r="N24" s="20" t="n">
        <v>0</v>
      </c>
      <c r="O24" s="18" t="n">
        <v>0</v>
      </c>
      <c r="P24" s="20" t="n">
        <v>0</v>
      </c>
      <c r="Q24" s="18" t="n">
        <v>1.75315039</v>
      </c>
      <c r="R24" s="20" t="n">
        <v>0.48450726</v>
      </c>
    </row>
    <row r="25" spans="1:18">
      <c r="A25" s="15" t="s">
        <v>583</v>
      </c>
      <c r="B25" s="17" t="n">
        <v>2669</v>
      </c>
      <c r="C25" s="18">
        <f>(2050.0/B25*100)</f>
        <v/>
      </c>
      <c r="D25" s="19" t="n">
        <v>619</v>
      </c>
      <c r="E25" s="18" t="n">
        <v>58.20669255</v>
      </c>
      <c r="F25" s="20" t="n">
        <v>2.14987322</v>
      </c>
      <c r="G25" s="18" t="n">
        <v>41.03716013</v>
      </c>
      <c r="H25" s="20" t="n">
        <v>2.17302861</v>
      </c>
      <c r="I25" s="18" t="n">
        <v>0</v>
      </c>
      <c r="J25" s="20" t="n">
        <v>0</v>
      </c>
      <c r="K25" s="18" t="n">
        <v>0</v>
      </c>
      <c r="L25" s="20" t="n">
        <v>0</v>
      </c>
      <c r="M25" s="18" t="n">
        <v>0</v>
      </c>
      <c r="N25" s="20" t="n">
        <v>0</v>
      </c>
      <c r="O25" s="18" t="n">
        <v>0</v>
      </c>
      <c r="P25" s="20" t="n">
        <v>0</v>
      </c>
      <c r="Q25" s="18" t="n">
        <v>0.75614732</v>
      </c>
      <c r="R25" s="20" t="n">
        <v>0.32425633</v>
      </c>
    </row>
    <row r="26" spans="1:18">
      <c r="A26" s="15" t="s">
        <v>584</v>
      </c>
      <c r="B26" s="17" t="n">
        <v>2419</v>
      </c>
      <c r="C26" s="18">
        <f>(1890.0/B26*100)</f>
        <v/>
      </c>
      <c r="D26" s="19" t="n">
        <v>529</v>
      </c>
      <c r="E26" s="18" t="n">
        <v>70.2894027</v>
      </c>
      <c r="F26" s="20" t="n">
        <v>2.18448934</v>
      </c>
      <c r="G26" s="18" t="n">
        <v>27.96954083</v>
      </c>
      <c r="H26" s="20" t="n">
        <v>2.12716953</v>
      </c>
      <c r="I26" s="18" t="n">
        <v>0</v>
      </c>
      <c r="J26" s="20" t="n">
        <v>0</v>
      </c>
      <c r="K26" s="18" t="n">
        <v>0.67965764</v>
      </c>
      <c r="L26" s="20" t="n">
        <v>0.46431079</v>
      </c>
      <c r="M26" s="18" t="n">
        <v>0</v>
      </c>
      <c r="N26" s="20" t="n">
        <v>0</v>
      </c>
      <c r="O26" s="18" t="n">
        <v>0</v>
      </c>
      <c r="P26" s="20" t="n">
        <v>0</v>
      </c>
      <c r="Q26" s="18" t="n">
        <v>1.06139883</v>
      </c>
      <c r="R26" s="20" t="n">
        <v>0.59595446</v>
      </c>
    </row>
    <row r="27" spans="1:18">
      <c r="A27" s="15" t="s">
        <v>585</v>
      </c>
      <c r="B27" s="17" t="n">
        <v>2683</v>
      </c>
      <c r="C27" s="18">
        <f>(2102.0/B27*100)</f>
        <v/>
      </c>
      <c r="D27" s="19" t="n">
        <v>581</v>
      </c>
      <c r="E27" s="18" t="n">
        <v>69.36062149999999</v>
      </c>
      <c r="F27" s="20" t="n">
        <v>1.79788845</v>
      </c>
      <c r="G27" s="18" t="n">
        <v>24.93457677</v>
      </c>
      <c r="H27" s="20" t="n">
        <v>1.82155868</v>
      </c>
      <c r="I27" s="18" t="n">
        <v>0</v>
      </c>
      <c r="J27" s="20" t="n">
        <v>0</v>
      </c>
      <c r="K27" s="18" t="n">
        <v>0.51760796</v>
      </c>
      <c r="L27" s="20" t="n">
        <v>0.2942338</v>
      </c>
      <c r="M27" s="18" t="n">
        <v>0</v>
      </c>
      <c r="N27" s="20" t="n">
        <v>0</v>
      </c>
      <c r="O27" s="18" t="n">
        <v>0</v>
      </c>
      <c r="P27" s="20" t="n">
        <v>0</v>
      </c>
      <c r="Q27" s="18" t="n">
        <v>5.18719377</v>
      </c>
      <c r="R27" s="20" t="n">
        <v>0.88101074</v>
      </c>
    </row>
    <row r="28" spans="1:18">
      <c r="A28" s="15" t="s">
        <v>586</v>
      </c>
      <c r="B28" s="17" t="n">
        <v>3803</v>
      </c>
      <c r="C28" s="18">
        <f>(3017.0/B28*100)</f>
        <v/>
      </c>
      <c r="D28" s="19" t="n">
        <v>786</v>
      </c>
      <c r="E28" s="18" t="n">
        <v>86.36691336</v>
      </c>
      <c r="F28" s="20" t="n">
        <v>1.30782452</v>
      </c>
      <c r="G28" s="18" t="n">
        <v>11.77870913</v>
      </c>
      <c r="H28" s="20" t="n">
        <v>1.25755705</v>
      </c>
      <c r="I28" s="18" t="n">
        <v>0</v>
      </c>
      <c r="J28" s="20" t="n">
        <v>0</v>
      </c>
      <c r="K28" s="18" t="n">
        <v>0.9107936599999999</v>
      </c>
      <c r="L28" s="20" t="n">
        <v>0.5354539</v>
      </c>
      <c r="M28" s="18" t="n">
        <v>0</v>
      </c>
      <c r="N28" s="20" t="n">
        <v>0</v>
      </c>
      <c r="O28" s="18" t="n">
        <v>0</v>
      </c>
      <c r="P28" s="20" t="n">
        <v>0</v>
      </c>
      <c r="Q28" s="18" t="n">
        <v>0.94358385</v>
      </c>
      <c r="R28" s="20" t="n">
        <v>0.34746932</v>
      </c>
    </row>
    <row r="29" spans="1:18">
      <c r="A29" s="15" t="s">
        <v>587</v>
      </c>
      <c r="B29" s="17" t="n">
        <v>2700</v>
      </c>
      <c r="C29" s="18">
        <f>(2142.0/B29*100)</f>
        <v/>
      </c>
      <c r="D29" s="19" t="n">
        <v>558</v>
      </c>
      <c r="E29" s="18" t="n">
        <v>74.4464543</v>
      </c>
      <c r="F29" s="20" t="n">
        <v>2.1842725</v>
      </c>
      <c r="G29" s="18" t="n">
        <v>24.50553276</v>
      </c>
      <c r="H29" s="20" t="n">
        <v>2.17652475</v>
      </c>
      <c r="I29" s="18" t="n">
        <v>0</v>
      </c>
      <c r="J29" s="20" t="n">
        <v>0</v>
      </c>
      <c r="K29" s="18" t="n">
        <v>0</v>
      </c>
      <c r="L29" s="20" t="n">
        <v>0</v>
      </c>
      <c r="M29" s="18" t="n">
        <v>0</v>
      </c>
      <c r="N29" s="20" t="n">
        <v>0</v>
      </c>
      <c r="O29" s="18" t="n">
        <v>0</v>
      </c>
      <c r="P29" s="20" t="n">
        <v>0</v>
      </c>
      <c r="Q29" s="18" t="n">
        <v>1.04801295</v>
      </c>
      <c r="R29" s="20" t="n">
        <v>0.42900756</v>
      </c>
    </row>
    <row r="30" spans="1:18">
      <c r="A30" s="15" t="s">
        <v>588</v>
      </c>
      <c r="B30" s="17" t="n">
        <v>2257</v>
      </c>
      <c r="C30" s="18">
        <f>(1784.0/B30*100)</f>
        <v/>
      </c>
      <c r="D30" s="19" t="n">
        <v>473</v>
      </c>
      <c r="E30" s="18" t="n">
        <v>62.53303948</v>
      </c>
      <c r="F30" s="20" t="n">
        <v>2.45895657</v>
      </c>
      <c r="G30" s="18" t="n">
        <v>33.10281433</v>
      </c>
      <c r="H30" s="20" t="n">
        <v>2.37308988</v>
      </c>
      <c r="I30" s="18" t="n">
        <v>0</v>
      </c>
      <c r="J30" s="20" t="n">
        <v>0</v>
      </c>
      <c r="K30" s="18" t="n">
        <v>0.23745895</v>
      </c>
      <c r="L30" s="20" t="n">
        <v>0.27263185</v>
      </c>
      <c r="M30" s="18" t="n">
        <v>0</v>
      </c>
      <c r="N30" s="20" t="n">
        <v>0</v>
      </c>
      <c r="O30" s="18" t="n">
        <v>0</v>
      </c>
      <c r="P30" s="20" t="n">
        <v>0</v>
      </c>
      <c r="Q30" s="18" t="n">
        <v>4.12668723</v>
      </c>
      <c r="R30" s="20" t="n">
        <v>0.88440181</v>
      </c>
    </row>
    <row r="31" spans="1:18">
      <c r="A31" s="15" t="s">
        <v>589</v>
      </c>
      <c r="B31" s="17" t="n">
        <v>2706</v>
      </c>
      <c r="C31" s="18">
        <f>(2077.0/B31*100)</f>
        <v/>
      </c>
      <c r="D31" s="19" t="n">
        <v>629</v>
      </c>
      <c r="E31" s="18" t="n">
        <v>69.91810065</v>
      </c>
      <c r="F31" s="20" t="n">
        <v>1.47588584</v>
      </c>
      <c r="G31" s="18" t="n">
        <v>26.31601084</v>
      </c>
      <c r="H31" s="20" t="n">
        <v>1.40722344</v>
      </c>
      <c r="I31" s="18" t="n">
        <v>0</v>
      </c>
      <c r="J31" s="20" t="n">
        <v>0</v>
      </c>
      <c r="K31" s="18" t="n">
        <v>0.35240782</v>
      </c>
      <c r="L31" s="20" t="n">
        <v>0.22935411</v>
      </c>
      <c r="M31" s="18" t="n">
        <v>0</v>
      </c>
      <c r="N31" s="20" t="n">
        <v>0</v>
      </c>
      <c r="O31" s="18" t="n">
        <v>0</v>
      </c>
      <c r="P31" s="20" t="n">
        <v>0</v>
      </c>
      <c r="Q31" s="18" t="n">
        <v>3.41348069</v>
      </c>
      <c r="R31" s="20" t="n">
        <v>0.76081213</v>
      </c>
    </row>
    <row r="32" spans="1:18">
      <c r="A32" s="15" t="s">
        <v>590</v>
      </c>
      <c r="B32" s="17" t="n">
        <v>2209</v>
      </c>
      <c r="C32" s="18">
        <f>(1702.0/B32*100)</f>
        <v/>
      </c>
      <c r="D32" s="19" t="n">
        <v>507</v>
      </c>
      <c r="E32" s="18" t="n">
        <v>77.73252961999999</v>
      </c>
      <c r="F32" s="20" t="n">
        <v>2.12901357</v>
      </c>
      <c r="G32" s="18" t="n">
        <v>21.63422478</v>
      </c>
      <c r="H32" s="20" t="n">
        <v>2.06277281</v>
      </c>
      <c r="I32" s="18" t="n">
        <v>0</v>
      </c>
      <c r="J32" s="20" t="n">
        <v>0</v>
      </c>
      <c r="K32" s="18" t="n">
        <v>0</v>
      </c>
      <c r="L32" s="20" t="n">
        <v>0</v>
      </c>
      <c r="M32" s="18" t="n">
        <v>0</v>
      </c>
      <c r="N32" s="20" t="n">
        <v>0</v>
      </c>
      <c r="O32" s="18" t="n">
        <v>0</v>
      </c>
      <c r="P32" s="20" t="n">
        <v>0</v>
      </c>
      <c r="Q32" s="18" t="n">
        <v>0.6332456</v>
      </c>
      <c r="R32" s="20" t="n">
        <v>0.37505055</v>
      </c>
    </row>
    <row r="33" spans="1:18">
      <c r="A33" s="15" t="s">
        <v>591</v>
      </c>
      <c r="B33" s="17" t="n">
        <v>3651</v>
      </c>
      <c r="C33" s="18">
        <f>(2852.0/B33*100)</f>
        <v/>
      </c>
      <c r="D33" s="19" t="n">
        <v>799</v>
      </c>
      <c r="E33" s="18" t="n">
        <v>77.21620883999999</v>
      </c>
      <c r="F33" s="20" t="n">
        <v>1.54881665</v>
      </c>
      <c r="G33" s="18" t="n">
        <v>22.03297355</v>
      </c>
      <c r="H33" s="20" t="n">
        <v>1.50115982</v>
      </c>
      <c r="I33" s="18" t="n">
        <v>0</v>
      </c>
      <c r="J33" s="20" t="n">
        <v>0</v>
      </c>
      <c r="K33" s="18" t="n">
        <v>0</v>
      </c>
      <c r="L33" s="20" t="n">
        <v>0</v>
      </c>
      <c r="M33" s="18" t="n">
        <v>0</v>
      </c>
      <c r="N33" s="20" t="n">
        <v>0</v>
      </c>
      <c r="O33" s="18" t="n">
        <v>0</v>
      </c>
      <c r="P33" s="20" t="n">
        <v>0</v>
      </c>
      <c r="Q33" s="18" t="n">
        <v>0.75081761</v>
      </c>
      <c r="R33" s="20" t="n">
        <v>0.29822736</v>
      </c>
    </row>
    <row r="34" spans="1:18">
      <c r="A34" s="15" t="s">
        <v>592</v>
      </c>
      <c r="B34" s="17" t="n">
        <v>3035</v>
      </c>
      <c r="C34" s="18">
        <f>(2426.0/B34*100)</f>
        <v/>
      </c>
      <c r="D34" s="19" t="n">
        <v>609</v>
      </c>
      <c r="E34" s="18" t="n">
        <v>70.69970804</v>
      </c>
      <c r="F34" s="20" t="n">
        <v>1.75386587</v>
      </c>
      <c r="G34" s="18" t="n">
        <v>26.52072684</v>
      </c>
      <c r="H34" s="20" t="n">
        <v>1.80505068</v>
      </c>
      <c r="I34" s="18" t="n">
        <v>0</v>
      </c>
      <c r="J34" s="20" t="n">
        <v>0</v>
      </c>
      <c r="K34" s="18" t="n">
        <v>0.3981285</v>
      </c>
      <c r="L34" s="20" t="n">
        <v>0.23436106</v>
      </c>
      <c r="M34" s="18" t="n">
        <v>0</v>
      </c>
      <c r="N34" s="20" t="n">
        <v>0</v>
      </c>
      <c r="O34" s="18" t="n">
        <v>0</v>
      </c>
      <c r="P34" s="20" t="n">
        <v>0</v>
      </c>
      <c r="Q34" s="18" t="n">
        <v>2.38143662</v>
      </c>
      <c r="R34" s="20" t="n">
        <v>0.69919648</v>
      </c>
    </row>
    <row r="35" spans="1:18">
      <c r="A35" s="15" t="s">
        <v>593</v>
      </c>
      <c r="B35" s="17" t="n">
        <v>2901</v>
      </c>
      <c r="C35" s="18">
        <f>(2274.0/B35*100)</f>
        <v/>
      </c>
      <c r="D35" s="19" t="n">
        <v>627</v>
      </c>
      <c r="E35" s="18" t="n">
        <v>81.21332264</v>
      </c>
      <c r="F35" s="20" t="n">
        <v>2.20704894</v>
      </c>
      <c r="G35" s="18" t="n">
        <v>17.82899702</v>
      </c>
      <c r="H35" s="20" t="n">
        <v>2.2095898</v>
      </c>
      <c r="I35" s="18" t="n">
        <v>0</v>
      </c>
      <c r="J35" s="20" t="n">
        <v>0</v>
      </c>
      <c r="K35" s="18" t="n">
        <v>0</v>
      </c>
      <c r="L35" s="20" t="n">
        <v>0</v>
      </c>
      <c r="M35" s="18" t="n">
        <v>0</v>
      </c>
      <c r="N35" s="20" t="n">
        <v>0</v>
      </c>
      <c r="O35" s="18" t="n">
        <v>0</v>
      </c>
      <c r="P35" s="20" t="n">
        <v>0</v>
      </c>
      <c r="Q35" s="18" t="n">
        <v>0.95768035</v>
      </c>
      <c r="R35" s="20" t="n">
        <v>0.27677902</v>
      </c>
    </row>
    <row r="36" spans="1:18">
      <c r="A36" s="15" t="s">
        <v>594</v>
      </c>
      <c r="B36" s="17" t="n">
        <v>3404</v>
      </c>
      <c r="C36" s="18">
        <f>(2684.0/B36*100)</f>
        <v/>
      </c>
      <c r="D36" s="19" t="n">
        <v>720</v>
      </c>
      <c r="E36" s="18" t="n">
        <v>59.50320457</v>
      </c>
      <c r="F36" s="20" t="n">
        <v>1.84636655</v>
      </c>
      <c r="G36" s="18" t="n">
        <v>37.96255607</v>
      </c>
      <c r="H36" s="20" t="n">
        <v>1.83315879</v>
      </c>
      <c r="I36" s="18" t="n">
        <v>0</v>
      </c>
      <c r="J36" s="20" t="n">
        <v>0</v>
      </c>
      <c r="K36" s="18" t="n">
        <v>0.13109762</v>
      </c>
      <c r="L36" s="20" t="n">
        <v>0.18710684</v>
      </c>
      <c r="M36" s="18" t="n">
        <v>0</v>
      </c>
      <c r="N36" s="20" t="n">
        <v>0</v>
      </c>
      <c r="O36" s="18" t="n">
        <v>0</v>
      </c>
      <c r="P36" s="20" t="n">
        <v>0</v>
      </c>
      <c r="Q36" s="18" t="n">
        <v>2.40314174</v>
      </c>
      <c r="R36" s="20" t="n">
        <v>0.54425295</v>
      </c>
    </row>
    <row r="37" spans="1:18">
      <c r="A37" s="15" t="s">
        <v>595</v>
      </c>
      <c r="B37" s="17" t="n">
        <v>2731</v>
      </c>
      <c r="C37" s="18">
        <f>(2165.0/B37*100)</f>
        <v/>
      </c>
      <c r="D37" s="19" t="n">
        <v>566</v>
      </c>
      <c r="E37" s="18" t="n">
        <v>61.30657258</v>
      </c>
      <c r="F37" s="20" t="n">
        <v>2.20763051</v>
      </c>
      <c r="G37" s="18" t="n">
        <v>33.45969528</v>
      </c>
      <c r="H37" s="20" t="n">
        <v>2.14736524</v>
      </c>
      <c r="I37" s="18" t="n">
        <v>0</v>
      </c>
      <c r="J37" s="20" t="n">
        <v>0</v>
      </c>
      <c r="K37" s="18" t="n">
        <v>0.54029055</v>
      </c>
      <c r="L37" s="20" t="n">
        <v>0.31212428</v>
      </c>
      <c r="M37" s="18" t="n">
        <v>0</v>
      </c>
      <c r="N37" s="20" t="n">
        <v>0</v>
      </c>
      <c r="O37" s="18" t="n">
        <v>0</v>
      </c>
      <c r="P37" s="20" t="n">
        <v>0</v>
      </c>
      <c r="Q37" s="18" t="n">
        <v>4.69344159</v>
      </c>
      <c r="R37" s="20" t="n">
        <v>0.81223235</v>
      </c>
    </row>
    <row r="38" spans="1:18">
      <c r="A38" s="15" t="s">
        <v>596</v>
      </c>
      <c r="B38" s="17" t="n">
        <v>2807</v>
      </c>
      <c r="C38" s="18">
        <f>(2209.0/B38*100)</f>
        <v/>
      </c>
      <c r="D38" s="19" t="n">
        <v>598</v>
      </c>
      <c r="E38" s="18" t="n">
        <v>66.2664261</v>
      </c>
      <c r="F38" s="20" t="n">
        <v>2.42254996</v>
      </c>
      <c r="G38" s="18" t="n">
        <v>30.430287</v>
      </c>
      <c r="H38" s="20" t="n">
        <v>2.32160659</v>
      </c>
      <c r="I38" s="18" t="n">
        <v>0</v>
      </c>
      <c r="J38" s="20" t="n">
        <v>0</v>
      </c>
      <c r="K38" s="18" t="n">
        <v>0.29804078</v>
      </c>
      <c r="L38" s="20" t="n">
        <v>0.19248426</v>
      </c>
      <c r="M38" s="18" t="n">
        <v>0</v>
      </c>
      <c r="N38" s="20" t="n">
        <v>0</v>
      </c>
      <c r="O38" s="18" t="n">
        <v>0</v>
      </c>
      <c r="P38" s="20" t="n">
        <v>0</v>
      </c>
      <c r="Q38" s="18" t="n">
        <v>3.00524613</v>
      </c>
      <c r="R38" s="20" t="n">
        <v>0.75653693</v>
      </c>
    </row>
    <row r="39" spans="1:18">
      <c r="A39" s="15" t="s">
        <v>597</v>
      </c>
      <c r="B39" s="17" t="n">
        <v>2938</v>
      </c>
      <c r="C39" s="18">
        <f>(2310.0/B39*100)</f>
        <v/>
      </c>
      <c r="D39" s="19" t="n">
        <v>628</v>
      </c>
      <c r="E39" s="18" t="n">
        <v>74.01266570999999</v>
      </c>
      <c r="F39" s="20" t="n">
        <v>2.70582232</v>
      </c>
      <c r="G39" s="18" t="n">
        <v>21.85081228</v>
      </c>
      <c r="H39" s="20" t="n">
        <v>2.55948368</v>
      </c>
      <c r="I39" s="18" t="n">
        <v>0</v>
      </c>
      <c r="J39" s="20" t="n">
        <v>0</v>
      </c>
      <c r="K39" s="18" t="n">
        <v>0.59136224</v>
      </c>
      <c r="L39" s="20" t="n">
        <v>0.24678196</v>
      </c>
      <c r="M39" s="18" t="n">
        <v>0</v>
      </c>
      <c r="N39" s="20" t="n">
        <v>0</v>
      </c>
      <c r="O39" s="18" t="n">
        <v>0</v>
      </c>
      <c r="P39" s="20" t="n">
        <v>0</v>
      </c>
      <c r="Q39" s="18" t="n">
        <v>3.54515977</v>
      </c>
      <c r="R39" s="20" t="n">
        <v>0.79181827</v>
      </c>
    </row>
    <row r="40" spans="1:18">
      <c r="A40" s="15" t="s">
        <v>598</v>
      </c>
      <c r="B40" s="17" t="n">
        <v>6922</v>
      </c>
      <c r="C40" s="18">
        <f>(5332.0/B40*100)</f>
        <v/>
      </c>
      <c r="D40" s="19" t="n">
        <v>1590</v>
      </c>
      <c r="E40" s="18" t="n">
        <v>64.39064168</v>
      </c>
      <c r="F40" s="20" t="n">
        <v>1.97606894</v>
      </c>
      <c r="G40" s="18" t="n">
        <v>31.79119238</v>
      </c>
      <c r="H40" s="20" t="n">
        <v>1.96486152</v>
      </c>
      <c r="I40" s="18" t="n">
        <v>0</v>
      </c>
      <c r="J40" s="20" t="n">
        <v>0</v>
      </c>
      <c r="K40" s="18" t="n">
        <v>0.09538639</v>
      </c>
      <c r="L40" s="20" t="n">
        <v>0.04520593</v>
      </c>
      <c r="M40" s="18" t="n">
        <v>0</v>
      </c>
      <c r="N40" s="20" t="n">
        <v>0</v>
      </c>
      <c r="O40" s="18" t="n">
        <v>0</v>
      </c>
      <c r="P40" s="20" t="n">
        <v>0</v>
      </c>
      <c r="Q40" s="18" t="n">
        <v>3.72277955</v>
      </c>
      <c r="R40" s="20" t="n">
        <v>0.7664679</v>
      </c>
    </row>
    <row r="41" spans="1:18">
      <c r="A41" s="15" t="s">
        <v>599</v>
      </c>
      <c r="B41" s="17" t="n">
        <v>2854</v>
      </c>
      <c r="C41" s="18">
        <f>(2215.0/B41*100)</f>
        <v/>
      </c>
      <c r="D41" s="19" t="n">
        <v>639</v>
      </c>
      <c r="E41" s="18" t="n">
        <v>74.25200426000001</v>
      </c>
      <c r="F41" s="20" t="n">
        <v>2.11675562</v>
      </c>
      <c r="G41" s="18" t="n">
        <v>24.70306784</v>
      </c>
      <c r="H41" s="20" t="n">
        <v>2.09109159</v>
      </c>
      <c r="I41" s="18" t="n">
        <v>0</v>
      </c>
      <c r="J41" s="20" t="n">
        <v>0</v>
      </c>
      <c r="K41" s="18" t="n">
        <v>0.5071646</v>
      </c>
      <c r="L41" s="20" t="n">
        <v>0.35236527</v>
      </c>
      <c r="M41" s="18" t="n">
        <v>0</v>
      </c>
      <c r="N41" s="20" t="n">
        <v>0</v>
      </c>
      <c r="O41" s="18" t="n">
        <v>0</v>
      </c>
      <c r="P41" s="20" t="n">
        <v>0</v>
      </c>
      <c r="Q41" s="18" t="n">
        <v>0.5377633000000001</v>
      </c>
      <c r="R41" s="20" t="n">
        <v>0.26680929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(10097.0/B46*100)</f>
        <v/>
      </c>
      <c r="D46" s="19" t="n">
        <v>1976</v>
      </c>
      <c r="E46" s="18" t="n">
        <v>72.3620198</v>
      </c>
      <c r="F46" s="20" t="n">
        <v>1.37743158</v>
      </c>
      <c r="G46" s="18" t="n">
        <v>18.58023254</v>
      </c>
      <c r="H46" s="20" t="n">
        <v>1.35050203</v>
      </c>
      <c r="I46" s="18" t="n">
        <v>0</v>
      </c>
      <c r="J46" s="20" t="n">
        <v>0</v>
      </c>
      <c r="K46" s="18" t="n">
        <v>1.12131396</v>
      </c>
      <c r="L46" s="20" t="n">
        <v>0.34938374</v>
      </c>
      <c r="M46" s="18" t="n">
        <v>0</v>
      </c>
      <c r="N46" s="20" t="n">
        <v>0</v>
      </c>
      <c r="O46" s="18" t="n">
        <v>0</v>
      </c>
      <c r="P46" s="20" t="n">
        <v>0</v>
      </c>
      <c r="Q46" s="18" t="n">
        <v>7.9364337</v>
      </c>
      <c r="R46" s="20" t="n">
        <v>0.81259208</v>
      </c>
    </row>
    <row r="47" spans="1:18">
      <c r="A47" s="15" t="s">
        <v>606</v>
      </c>
      <c r="B47" s="17" t="n">
        <v>2823</v>
      </c>
      <c r="C47" s="18">
        <f>(2207.0/B47*100)</f>
        <v/>
      </c>
      <c r="D47" s="19" t="n">
        <v>616</v>
      </c>
      <c r="E47" s="18" t="n">
        <v>65.28080327000001</v>
      </c>
      <c r="F47" s="20" t="n">
        <v>2.03987758</v>
      </c>
      <c r="G47" s="18" t="n">
        <v>31.74672924</v>
      </c>
      <c r="H47" s="20" t="n">
        <v>2.16699008</v>
      </c>
      <c r="I47" s="18" t="n">
        <v>0</v>
      </c>
      <c r="J47" s="20" t="n">
        <v>0</v>
      </c>
      <c r="K47" s="18" t="n">
        <v>0.48378884</v>
      </c>
      <c r="L47" s="20" t="n">
        <v>0.28502402</v>
      </c>
      <c r="M47" s="18" t="n">
        <v>0</v>
      </c>
      <c r="N47" s="20" t="n">
        <v>0</v>
      </c>
      <c r="O47" s="18" t="n">
        <v>0</v>
      </c>
      <c r="P47" s="20" t="n">
        <v>0</v>
      </c>
      <c r="Q47" s="18" t="n">
        <v>2.48867865</v>
      </c>
      <c r="R47" s="20" t="n">
        <v>0.67804615</v>
      </c>
    </row>
    <row r="48" spans="1:18">
      <c r="A48" s="15" t="s">
        <v>607</v>
      </c>
      <c r="B48" s="17" t="n">
        <v>4682</v>
      </c>
      <c r="C48" s="18">
        <f>(3642.0/B48*100)</f>
        <v/>
      </c>
      <c r="D48" s="19" t="n">
        <v>1040</v>
      </c>
      <c r="E48" s="18" t="n">
        <v>60.65669819</v>
      </c>
      <c r="F48" s="20" t="n">
        <v>2.18406333</v>
      </c>
      <c r="G48" s="18" t="n">
        <v>38.78966286</v>
      </c>
      <c r="H48" s="20" t="n">
        <v>2.20338901</v>
      </c>
      <c r="I48" s="18" t="n">
        <v>0</v>
      </c>
      <c r="J48" s="20" t="n">
        <v>0</v>
      </c>
      <c r="K48" s="18" t="n">
        <v>0.24961492</v>
      </c>
      <c r="L48" s="20" t="n">
        <v>0.18847324</v>
      </c>
      <c r="M48" s="18" t="n">
        <v>0</v>
      </c>
      <c r="N48" s="20" t="n">
        <v>0</v>
      </c>
      <c r="O48" s="18" t="n">
        <v>0</v>
      </c>
      <c r="P48" s="20" t="n">
        <v>0</v>
      </c>
      <c r="Q48" s="18" t="n">
        <v>0.30402403</v>
      </c>
      <c r="R48" s="20" t="n">
        <v>0.19408002</v>
      </c>
    </row>
    <row r="49" spans="1:18">
      <c r="A49" s="15" t="s">
        <v>608</v>
      </c>
      <c r="B49" s="17" t="n">
        <v>6158</v>
      </c>
      <c r="C49" s="18">
        <f>(4852.0/B49*100)</f>
        <v/>
      </c>
      <c r="D49" s="19" t="n">
        <v>1306</v>
      </c>
      <c r="E49" s="18" t="n">
        <v>74.88468127</v>
      </c>
      <c r="F49" s="20" t="n">
        <v>1.53360886</v>
      </c>
      <c r="G49" s="18" t="n">
        <v>20.5243176</v>
      </c>
      <c r="H49" s="20" t="n">
        <v>1.46655064</v>
      </c>
      <c r="I49" s="18" t="n">
        <v>0</v>
      </c>
      <c r="J49" s="20" t="n">
        <v>0</v>
      </c>
      <c r="K49" s="18" t="n">
        <v>1.58946604</v>
      </c>
      <c r="L49" s="20" t="n">
        <v>0.51567078</v>
      </c>
      <c r="M49" s="18" t="n">
        <v>0</v>
      </c>
      <c r="N49" s="20" t="n">
        <v>0</v>
      </c>
      <c r="O49" s="18" t="n">
        <v>0</v>
      </c>
      <c r="P49" s="20" t="n">
        <v>0</v>
      </c>
      <c r="Q49" s="18" t="n">
        <v>3.00153509</v>
      </c>
      <c r="R49" s="20" t="n">
        <v>0.59529296</v>
      </c>
    </row>
    <row r="50" spans="1:18">
      <c r="A50" s="15" t="s">
        <v>609</v>
      </c>
      <c r="B50" s="17" t="n">
        <v>3494</v>
      </c>
      <c r="C50" s="18">
        <f>(2883.0/B50*100)</f>
        <v/>
      </c>
      <c r="D50" s="19" t="n">
        <v>611</v>
      </c>
      <c r="E50" s="18" t="n">
        <v>94.04635407000001</v>
      </c>
      <c r="F50" s="20" t="n">
        <v>1.1219607</v>
      </c>
      <c r="G50" s="18" t="n">
        <v>1.15639351</v>
      </c>
      <c r="H50" s="20" t="n">
        <v>0.4194248</v>
      </c>
      <c r="I50" s="18" t="n">
        <v>0</v>
      </c>
      <c r="J50" s="20" t="n">
        <v>0</v>
      </c>
      <c r="K50" s="18" t="n">
        <v>0.15721977</v>
      </c>
      <c r="L50" s="20" t="n">
        <v>0.15667976</v>
      </c>
      <c r="M50" s="18" t="n">
        <v>0</v>
      </c>
      <c r="N50" s="20" t="n">
        <v>0</v>
      </c>
      <c r="O50" s="18" t="n">
        <v>0</v>
      </c>
      <c r="P50" s="20" t="n">
        <v>0</v>
      </c>
      <c r="Q50" s="18" t="n">
        <v>4.64003264</v>
      </c>
      <c r="R50" s="20" t="n">
        <v>1.05080154</v>
      </c>
    </row>
    <row r="51" spans="1:18">
      <c r="A51" s="15" t="s">
        <v>610</v>
      </c>
      <c r="B51" s="17" t="n">
        <v>3013</v>
      </c>
      <c r="C51" s="18">
        <f>(2326.0/B51*100)</f>
        <v/>
      </c>
      <c r="D51" s="19" t="n">
        <v>687</v>
      </c>
      <c r="E51" s="18" t="n">
        <v>78.99039315</v>
      </c>
      <c r="F51" s="20" t="n">
        <v>1.83904107</v>
      </c>
      <c r="G51" s="18" t="n">
        <v>18.33717607</v>
      </c>
      <c r="H51" s="20" t="n">
        <v>1.69340198</v>
      </c>
      <c r="I51" s="18" t="n">
        <v>0</v>
      </c>
      <c r="J51" s="20" t="n">
        <v>0</v>
      </c>
      <c r="K51" s="18" t="n">
        <v>0</v>
      </c>
      <c r="L51" s="20" t="n">
        <v>0</v>
      </c>
      <c r="M51" s="18" t="n">
        <v>0</v>
      </c>
      <c r="N51" s="20" t="n">
        <v>0</v>
      </c>
      <c r="O51" s="18" t="n">
        <v>0</v>
      </c>
      <c r="P51" s="20" t="n">
        <v>0</v>
      </c>
      <c r="Q51" s="18" t="n">
        <v>2.67243077</v>
      </c>
      <c r="R51" s="20" t="n">
        <v>0.6581361</v>
      </c>
    </row>
    <row r="52" spans="1:18">
      <c r="A52" s="15" t="s">
        <v>611</v>
      </c>
      <c r="B52" s="17" t="n">
        <v>2760</v>
      </c>
      <c r="C52" s="18">
        <f>(2122.0/B52*100)</f>
        <v/>
      </c>
      <c r="D52" s="19" t="n">
        <v>638</v>
      </c>
      <c r="E52" s="18" t="n">
        <v>81.56148459000001</v>
      </c>
      <c r="F52" s="20" t="n">
        <v>1.62580093</v>
      </c>
      <c r="G52" s="18" t="n">
        <v>14.93191572</v>
      </c>
      <c r="H52" s="20" t="n">
        <v>1.41527874</v>
      </c>
      <c r="I52" s="18" t="n">
        <v>0</v>
      </c>
      <c r="J52" s="20" t="n">
        <v>0</v>
      </c>
      <c r="K52" s="18" t="n">
        <v>0.25908415</v>
      </c>
      <c r="L52" s="20" t="n">
        <v>0.18312735</v>
      </c>
      <c r="M52" s="18" t="n">
        <v>0</v>
      </c>
      <c r="N52" s="20" t="n">
        <v>0</v>
      </c>
      <c r="O52" s="18" t="n">
        <v>0</v>
      </c>
      <c r="P52" s="20" t="n">
        <v>0</v>
      </c>
      <c r="Q52" s="18" t="n">
        <v>3.24751554</v>
      </c>
      <c r="R52" s="20" t="n">
        <v>0.79737452</v>
      </c>
    </row>
    <row r="53" spans="1:18">
      <c r="A53" s="15" t="s">
        <v>612</v>
      </c>
      <c r="B53" s="17" t="n">
        <v>2474</v>
      </c>
      <c r="C53" s="18">
        <f>(1945.0/B53*100)</f>
        <v/>
      </c>
      <c r="D53" s="19" t="n">
        <v>529</v>
      </c>
      <c r="E53" s="18" t="n">
        <v>80.07829768000001</v>
      </c>
      <c r="F53" s="20" t="n">
        <v>1.79743887</v>
      </c>
      <c r="G53" s="18" t="n">
        <v>0.92061275</v>
      </c>
      <c r="H53" s="20" t="n">
        <v>0.40987797</v>
      </c>
      <c r="I53" s="18" t="n">
        <v>0</v>
      </c>
      <c r="J53" s="20" t="n">
        <v>0</v>
      </c>
      <c r="K53" s="18" t="n">
        <v>12.20836713</v>
      </c>
      <c r="L53" s="20" t="n">
        <v>1.57910887</v>
      </c>
      <c r="M53" s="18" t="n">
        <v>0</v>
      </c>
      <c r="N53" s="20" t="n">
        <v>0</v>
      </c>
      <c r="O53" s="18" t="n">
        <v>0</v>
      </c>
      <c r="P53" s="20" t="n">
        <v>0</v>
      </c>
      <c r="Q53" s="18" t="n">
        <v>6.79272245</v>
      </c>
      <c r="R53" s="20" t="n">
        <v>1.16596673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(2121.0/B55*100)</f>
        <v/>
      </c>
      <c r="D55" s="19" t="n">
        <v>554</v>
      </c>
      <c r="E55" s="18" t="n">
        <v>48.24399152</v>
      </c>
      <c r="F55" s="20" t="n">
        <v>1.93198683</v>
      </c>
      <c r="G55" s="18" t="n">
        <v>51.17271882</v>
      </c>
      <c r="H55" s="20" t="n">
        <v>1.96447944</v>
      </c>
      <c r="I55" s="18" t="n">
        <v>0</v>
      </c>
      <c r="J55" s="20" t="n">
        <v>0</v>
      </c>
      <c r="K55" s="18" t="n">
        <v>0.1621569</v>
      </c>
      <c r="L55" s="20" t="n">
        <v>0.16649686</v>
      </c>
      <c r="M55" s="18" t="n">
        <v>0</v>
      </c>
      <c r="N55" s="20" t="n">
        <v>0</v>
      </c>
      <c r="O55" s="18" t="n">
        <v>0</v>
      </c>
      <c r="P55" s="20" t="n">
        <v>0</v>
      </c>
      <c r="Q55" s="18" t="n">
        <v>0.42113277</v>
      </c>
      <c r="R55" s="20" t="n">
        <v>0.23560071</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(2499.0/B61*100)</f>
        <v/>
      </c>
      <c r="D61" s="19" t="n">
        <v>702</v>
      </c>
      <c r="E61" s="18" t="n">
        <v>78.16819307999999</v>
      </c>
      <c r="F61" s="20" t="n">
        <v>1.83368212</v>
      </c>
      <c r="G61" s="18" t="n">
        <v>20.26055341</v>
      </c>
      <c r="H61" s="20" t="n">
        <v>1.73209704</v>
      </c>
      <c r="I61" s="18" t="n">
        <v>0</v>
      </c>
      <c r="J61" s="20" t="n">
        <v>0</v>
      </c>
      <c r="K61" s="18" t="n">
        <v>0</v>
      </c>
      <c r="L61" s="20" t="n">
        <v>0</v>
      </c>
      <c r="M61" s="18" t="n">
        <v>0</v>
      </c>
      <c r="N61" s="20" t="n">
        <v>0</v>
      </c>
      <c r="O61" s="18" t="n">
        <v>0</v>
      </c>
      <c r="P61" s="20" t="n">
        <v>0</v>
      </c>
      <c r="Q61" s="18" t="n">
        <v>1.57125351</v>
      </c>
      <c r="R61" s="20" t="n">
        <v>0.51048212</v>
      </c>
    </row>
    <row r="62" spans="1:18">
      <c r="A62" s="15" t="s">
        <v>622</v>
      </c>
      <c r="B62" s="17" t="n">
        <v>2230</v>
      </c>
      <c r="C62" s="18">
        <f>(1771.0/B62*100)</f>
        <v/>
      </c>
      <c r="D62" s="19" t="n">
        <v>459</v>
      </c>
      <c r="E62" s="18" t="n">
        <v>59.64959628</v>
      </c>
      <c r="F62" s="20" t="n">
        <v>2.20771548</v>
      </c>
      <c r="G62" s="18" t="n">
        <v>40.35040372</v>
      </c>
      <c r="H62" s="20" t="n">
        <v>2.20771548</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(2186.0/B67*100)</f>
        <v/>
      </c>
      <c r="D67" s="19" t="n">
        <v>585</v>
      </c>
      <c r="E67" s="18" t="n">
        <v>60.9727937</v>
      </c>
      <c r="F67" s="20" t="n">
        <v>2.05844119</v>
      </c>
      <c r="G67" s="18" t="n">
        <v>28.24529874</v>
      </c>
      <c r="H67" s="20" t="n">
        <v>1.81290286</v>
      </c>
      <c r="I67" s="18" t="n">
        <v>0</v>
      </c>
      <c r="J67" s="20" t="n">
        <v>0</v>
      </c>
      <c r="K67" s="18" t="n">
        <v>0.40571004</v>
      </c>
      <c r="L67" s="20" t="n">
        <v>0.28610808</v>
      </c>
      <c r="M67" s="18" t="n">
        <v>0</v>
      </c>
      <c r="N67" s="20" t="n">
        <v>0</v>
      </c>
      <c r="O67" s="18" t="n">
        <v>0</v>
      </c>
      <c r="P67" s="20" t="n">
        <v>0</v>
      </c>
      <c r="Q67" s="18" t="n">
        <v>10.37619752</v>
      </c>
      <c r="R67" s="20" t="n">
        <v>1.287502</v>
      </c>
    </row>
    <row r="68" spans="1:18">
      <c r="A68" s="15" t="s">
        <v>628</v>
      </c>
      <c r="B68" s="17" t="n">
        <v>3460</v>
      </c>
      <c r="C68" s="18">
        <f>(2818.0/B68*100)</f>
        <v/>
      </c>
      <c r="D68" s="19" t="n">
        <v>642</v>
      </c>
      <c r="E68" s="18" t="n">
        <v>76.6743081</v>
      </c>
      <c r="F68" s="20" t="n">
        <v>2.11026062</v>
      </c>
      <c r="G68" s="18" t="n">
        <v>20.05953257</v>
      </c>
      <c r="H68" s="20" t="n">
        <v>2.12452418</v>
      </c>
      <c r="I68" s="18" t="n">
        <v>0</v>
      </c>
      <c r="J68" s="20" t="n">
        <v>0</v>
      </c>
      <c r="K68" s="18" t="n">
        <v>0</v>
      </c>
      <c r="L68" s="20" t="n">
        <v>0</v>
      </c>
      <c r="M68" s="18" t="n">
        <v>0</v>
      </c>
      <c r="N68" s="20" t="n">
        <v>0</v>
      </c>
      <c r="O68" s="18" t="n">
        <v>0</v>
      </c>
      <c r="P68" s="20" t="n">
        <v>0</v>
      </c>
      <c r="Q68" s="18" t="n">
        <v>3.26615932</v>
      </c>
      <c r="R68" s="20" t="n">
        <v>0.73046197</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(4683.0/B70*100)</f>
        <v/>
      </c>
      <c r="D70" s="19" t="n">
        <v>1351</v>
      </c>
      <c r="E70" s="18" t="n">
        <v>77.95178709</v>
      </c>
      <c r="F70" s="20" t="n">
        <v>1.14585453</v>
      </c>
      <c r="G70" s="18" t="n">
        <v>17.13057255</v>
      </c>
      <c r="H70" s="20" t="n">
        <v>0.9315056</v>
      </c>
      <c r="I70" s="18" t="n">
        <v>0</v>
      </c>
      <c r="J70" s="20" t="n">
        <v>0</v>
      </c>
      <c r="K70" s="18" t="n">
        <v>1.69633114</v>
      </c>
      <c r="L70" s="20" t="n">
        <v>0.37186628</v>
      </c>
      <c r="M70" s="18" t="n">
        <v>0</v>
      </c>
      <c r="N70" s="20" t="n">
        <v>0</v>
      </c>
      <c r="O70" s="18" t="n">
        <v>0</v>
      </c>
      <c r="P70" s="20" t="n">
        <v>0</v>
      </c>
      <c r="Q70" s="18" t="n">
        <v>3.22130922</v>
      </c>
      <c r="R70" s="20" t="n">
        <v>0.55249467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(2439.0/B72*100)</f>
        <v/>
      </c>
      <c r="D72" s="19" t="n">
        <v>668</v>
      </c>
      <c r="E72" s="18" t="n">
        <v>68.15018833000001</v>
      </c>
      <c r="F72" s="20" t="n">
        <v>1.86884148</v>
      </c>
      <c r="G72" s="18" t="n">
        <v>29.89834799</v>
      </c>
      <c r="H72" s="20" t="n">
        <v>1.92926519</v>
      </c>
      <c r="I72" s="18" t="n">
        <v>0</v>
      </c>
      <c r="J72" s="20" t="n">
        <v>0</v>
      </c>
      <c r="K72" s="18" t="n">
        <v>0.12943623</v>
      </c>
      <c r="L72" s="20" t="n">
        <v>0.1308585</v>
      </c>
      <c r="M72" s="18" t="n">
        <v>0</v>
      </c>
      <c r="N72" s="20" t="n">
        <v>0</v>
      </c>
      <c r="O72" s="18" t="n">
        <v>0</v>
      </c>
      <c r="P72" s="20" t="n">
        <v>0</v>
      </c>
      <c r="Q72" s="18" t="n">
        <v>1.82202745</v>
      </c>
      <c r="R72" s="20" t="n">
        <v>0.5085072899999999</v>
      </c>
    </row>
    <row r="73" spans="1:18">
      <c r="A73" s="15" t="s">
        <v>633</v>
      </c>
      <c r="B73" s="17" t="n">
        <v>2973</v>
      </c>
      <c r="C73" s="18">
        <f>(2323.0/B73*100)</f>
        <v/>
      </c>
      <c r="D73" s="19" t="n">
        <v>650</v>
      </c>
      <c r="E73" s="18" t="n">
        <v>41.46852892</v>
      </c>
      <c r="F73" s="20" t="n">
        <v>2.03824801</v>
      </c>
      <c r="G73" s="18" t="n">
        <v>58.53147108</v>
      </c>
      <c r="H73" s="20" t="n">
        <v>2.03824801</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(3003.0/B74*100)</f>
        <v/>
      </c>
      <c r="D74" s="19" t="n">
        <v>816</v>
      </c>
      <c r="E74" s="18" t="n">
        <v>59.71923884</v>
      </c>
      <c r="F74" s="20" t="n">
        <v>2.3829616</v>
      </c>
      <c r="G74" s="18" t="n">
        <v>39.61130729</v>
      </c>
      <c r="H74" s="20" t="n">
        <v>2.4099521</v>
      </c>
      <c r="I74" s="18" t="n">
        <v>0</v>
      </c>
      <c r="J74" s="20" t="n">
        <v>0</v>
      </c>
      <c r="K74" s="18" t="n">
        <v>0</v>
      </c>
      <c r="L74" s="20" t="n">
        <v>0</v>
      </c>
      <c r="M74" s="18" t="n">
        <v>0</v>
      </c>
      <c r="N74" s="20" t="n">
        <v>0</v>
      </c>
      <c r="O74" s="18" t="n">
        <v>0</v>
      </c>
      <c r="P74" s="20" t="n">
        <v>0</v>
      </c>
      <c r="Q74" s="18" t="n">
        <v>0.66945387</v>
      </c>
      <c r="R74" s="20" t="n">
        <v>0.25109127</v>
      </c>
    </row>
    <row r="75" spans="1:18">
      <c r="A75" s="15" t="s">
        <v>635</v>
      </c>
      <c r="B75" s="17" t="n">
        <v>4652</v>
      </c>
      <c r="C75" s="18">
        <f>(3698.0/B75*100)</f>
        <v/>
      </c>
      <c r="D75" s="19" t="n">
        <v>954</v>
      </c>
      <c r="E75" s="18" t="n">
        <v>83.10864461</v>
      </c>
      <c r="F75" s="20" t="n">
        <v>1.50901565</v>
      </c>
      <c r="G75" s="18" t="n">
        <v>16.05396725</v>
      </c>
      <c r="H75" s="20" t="n">
        <v>1.5063137</v>
      </c>
      <c r="I75" s="18" t="n">
        <v>0</v>
      </c>
      <c r="J75" s="20" t="n">
        <v>0</v>
      </c>
      <c r="K75" s="18" t="n">
        <v>0</v>
      </c>
      <c r="L75" s="20" t="n">
        <v>0</v>
      </c>
      <c r="M75" s="18" t="n">
        <v>0</v>
      </c>
      <c r="N75" s="20" t="n">
        <v>0</v>
      </c>
      <c r="O75" s="18" t="n">
        <v>0</v>
      </c>
      <c r="P75" s="20" t="n">
        <v>0</v>
      </c>
      <c r="Q75" s="18" t="n">
        <v>0.8373881399999999</v>
      </c>
      <c r="R75" s="20" t="n">
        <v>0.24842259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(2404.0/B77*100)</f>
        <v/>
      </c>
      <c r="D77" s="19" t="n">
        <v>565</v>
      </c>
      <c r="E77" s="18" t="n">
        <v>80.66233432999999</v>
      </c>
      <c r="F77" s="20" t="n">
        <v>1.71942396</v>
      </c>
      <c r="G77" s="18" t="n">
        <v>7.67243876</v>
      </c>
      <c r="H77" s="20" t="n">
        <v>1.0287129</v>
      </c>
      <c r="I77" s="18" t="n">
        <v>0</v>
      </c>
      <c r="J77" s="20" t="n">
        <v>0</v>
      </c>
      <c r="K77" s="18" t="n">
        <v>3.27670325</v>
      </c>
      <c r="L77" s="20" t="n">
        <v>0.82670977</v>
      </c>
      <c r="M77" s="18" t="n">
        <v>0</v>
      </c>
      <c r="N77" s="20" t="n">
        <v>0</v>
      </c>
      <c r="O77" s="18" t="n">
        <v>0</v>
      </c>
      <c r="P77" s="20" t="n">
        <v>0</v>
      </c>
      <c r="Q77" s="18" t="n">
        <v>8.388523660000001</v>
      </c>
      <c r="R77" s="20" t="n">
        <v>1.17065848</v>
      </c>
    </row>
    <row r="78" spans="1:18">
      <c r="A78" s="15" t="s">
        <v>638</v>
      </c>
      <c r="B78" s="17" t="n">
        <v>7115</v>
      </c>
      <c r="C78" s="18">
        <f>(5613.0/B78*100)</f>
        <v/>
      </c>
      <c r="D78" s="19" t="n">
        <v>1502</v>
      </c>
      <c r="E78" s="18" t="n">
        <v>71.19448024</v>
      </c>
      <c r="F78" s="20" t="n">
        <v>1.46536625</v>
      </c>
      <c r="G78" s="18" t="n">
        <v>26.64216966</v>
      </c>
      <c r="H78" s="20" t="n">
        <v>1.47156889</v>
      </c>
      <c r="I78" s="18" t="n">
        <v>0</v>
      </c>
      <c r="J78" s="20" t="n">
        <v>0</v>
      </c>
      <c r="K78" s="18" t="n">
        <v>0.63594639</v>
      </c>
      <c r="L78" s="20" t="n">
        <v>0.1913631</v>
      </c>
      <c r="M78" s="18" t="n">
        <v>0</v>
      </c>
      <c r="N78" s="20" t="n">
        <v>0</v>
      </c>
      <c r="O78" s="18" t="n">
        <v>0</v>
      </c>
      <c r="P78" s="20" t="n">
        <v>0</v>
      </c>
      <c r="Q78" s="18" t="n">
        <v>1.52740372</v>
      </c>
      <c r="R78" s="20" t="n">
        <v>0.40195533</v>
      </c>
    </row>
    <row r="79" spans="1:18">
      <c r="A79" s="15" t="s">
        <v>639</v>
      </c>
      <c r="B79" s="17" t="n">
        <v>3154</v>
      </c>
      <c r="C79" s="18">
        <f>(2480.0/B79*100)</f>
        <v/>
      </c>
      <c r="D79" s="19" t="n">
        <v>674</v>
      </c>
      <c r="E79" s="18" t="n">
        <v>78.96470984</v>
      </c>
      <c r="F79" s="20" t="n">
        <v>1.89093643</v>
      </c>
      <c r="G79" s="18" t="n">
        <v>14.03590374</v>
      </c>
      <c r="H79" s="20" t="n">
        <v>1.36440346</v>
      </c>
      <c r="I79" s="18" t="n">
        <v>0</v>
      </c>
      <c r="J79" s="20" t="n">
        <v>0</v>
      </c>
      <c r="K79" s="18" t="n">
        <v>0.93675278</v>
      </c>
      <c r="L79" s="20" t="n">
        <v>0.43805389</v>
      </c>
      <c r="M79" s="18" t="n">
        <v>0</v>
      </c>
      <c r="N79" s="20" t="n">
        <v>0</v>
      </c>
      <c r="O79" s="18" t="n">
        <v>0</v>
      </c>
      <c r="P79" s="20" t="n">
        <v>0</v>
      </c>
      <c r="Q79" s="18" t="n">
        <v>6.06263365</v>
      </c>
      <c r="R79" s="20" t="n">
        <v>1.1826826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(12561.0/B82*100)</f>
        <v/>
      </c>
      <c r="D82" s="19" t="n">
        <v>3400</v>
      </c>
      <c r="E82" s="18" t="n">
        <v>59.62673061</v>
      </c>
      <c r="F82" s="20" t="n">
        <v>1.14477007</v>
      </c>
      <c r="G82" s="18" t="n">
        <v>37.17117021</v>
      </c>
      <c r="H82" s="20" t="n">
        <v>1.15850369</v>
      </c>
      <c r="I82" s="18" t="n">
        <v>0</v>
      </c>
      <c r="J82" s="20" t="n">
        <v>0</v>
      </c>
      <c r="K82" s="18" t="n">
        <v>0.41817415</v>
      </c>
      <c r="L82" s="20" t="n">
        <v>0.10084945</v>
      </c>
      <c r="M82" s="18" t="n">
        <v>0</v>
      </c>
      <c r="N82" s="20" t="n">
        <v>0</v>
      </c>
      <c r="O82" s="18" t="n">
        <v>0</v>
      </c>
      <c r="P82" s="20" t="n">
        <v>0</v>
      </c>
      <c r="Q82" s="18" t="n">
        <v>2.78392503</v>
      </c>
      <c r="R82" s="20" t="n">
        <v>0.48558866</v>
      </c>
    </row>
    <row r="83" spans="1:18">
      <c r="A83" s="15" t="s">
        <v>643</v>
      </c>
      <c r="B83" s="17" t="n">
        <v>808</v>
      </c>
      <c r="C83" s="18">
        <f>(644.0/B83*100)</f>
        <v/>
      </c>
      <c r="D83" s="19" t="n">
        <v>164</v>
      </c>
      <c r="E83" s="18" t="n">
        <v>68.00450435</v>
      </c>
      <c r="F83" s="20" t="n">
        <v>3.76250939</v>
      </c>
      <c r="G83" s="18" t="n">
        <v>31.99549565</v>
      </c>
      <c r="H83" s="20" t="n">
        <v>3.76250939</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(763.0/B84*100)</f>
        <v/>
      </c>
      <c r="D84" s="19" t="n">
        <v>175</v>
      </c>
      <c r="E84" s="18" t="n">
        <v>76.71762854000001</v>
      </c>
      <c r="F84" s="20" t="n">
        <v>3.19456328</v>
      </c>
      <c r="G84" s="18" t="n">
        <v>23.28237146</v>
      </c>
      <c r="H84" s="20" t="n">
        <v>3.19456328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(5591.0/B7*100)</f>
        <v/>
      </c>
      <c r="D7" s="19" t="n">
        <v>1572</v>
      </c>
      <c r="E7" s="18" t="n">
        <v>78.63553905000001</v>
      </c>
      <c r="F7" s="20" t="n">
        <v>1.18740229</v>
      </c>
      <c r="G7" s="18" t="n">
        <v>17.26316953</v>
      </c>
      <c r="H7" s="20" t="n">
        <v>1.1486375</v>
      </c>
      <c r="I7" s="18" t="n">
        <v>0</v>
      </c>
      <c r="J7" s="20" t="n">
        <v>0</v>
      </c>
      <c r="K7" s="18" t="n">
        <v>0.59384636</v>
      </c>
      <c r="L7" s="20" t="n">
        <v>0.22283569</v>
      </c>
      <c r="M7" s="18" t="n">
        <v>0.11717062</v>
      </c>
      <c r="N7" s="20" t="n">
        <v>0.09411247</v>
      </c>
      <c r="O7" s="18" t="n">
        <v>0</v>
      </c>
      <c r="P7" s="20" t="n">
        <v>0</v>
      </c>
      <c r="Q7" s="18" t="n">
        <v>3.39027444</v>
      </c>
      <c r="R7" s="20" t="n">
        <v>0.47662823</v>
      </c>
    </row>
    <row r="8" spans="1:18">
      <c r="A8" s="15" t="s">
        <v>566</v>
      </c>
      <c r="B8" s="17" t="n">
        <v>3443</v>
      </c>
      <c r="C8" s="18">
        <f>(2659.0/B8*100)</f>
        <v/>
      </c>
      <c r="D8" s="19" t="n">
        <v>784</v>
      </c>
      <c r="E8" s="18" t="n">
        <v>83.74555451000001</v>
      </c>
      <c r="F8" s="20" t="n">
        <v>1.38956503</v>
      </c>
      <c r="G8" s="18" t="n">
        <v>9.997050209999999</v>
      </c>
      <c r="H8" s="20" t="n">
        <v>1.24857912</v>
      </c>
      <c r="I8" s="18" t="n">
        <v>0</v>
      </c>
      <c r="J8" s="20" t="n">
        <v>0</v>
      </c>
      <c r="K8" s="18" t="n">
        <v>0.16975275</v>
      </c>
      <c r="L8" s="20" t="n">
        <v>0.16786125</v>
      </c>
      <c r="M8" s="18" t="n">
        <v>0</v>
      </c>
      <c r="N8" s="20" t="n">
        <v>0</v>
      </c>
      <c r="O8" s="18" t="n">
        <v>0</v>
      </c>
      <c r="P8" s="20" t="n">
        <v>0</v>
      </c>
      <c r="Q8" s="18" t="n">
        <v>6.08764253</v>
      </c>
      <c r="R8" s="20" t="n">
        <v>1.10241022</v>
      </c>
    </row>
    <row r="9" spans="1:18">
      <c r="A9" s="15" t="s">
        <v>567</v>
      </c>
      <c r="B9" s="17" t="n">
        <v>4752</v>
      </c>
      <c r="C9" s="18">
        <f>(3738.0/B9*100)</f>
        <v/>
      </c>
      <c r="D9" s="19" t="n">
        <v>1014</v>
      </c>
      <c r="E9" s="18" t="n">
        <v>81.64251219000001</v>
      </c>
      <c r="F9" s="20" t="n">
        <v>1.06404914</v>
      </c>
      <c r="G9" s="18" t="n">
        <v>13.25004482</v>
      </c>
      <c r="H9" s="20" t="n">
        <v>1.06113992</v>
      </c>
      <c r="I9" s="18" t="n">
        <v>0</v>
      </c>
      <c r="J9" s="20" t="n">
        <v>0</v>
      </c>
      <c r="K9" s="18" t="n">
        <v>0.5031056</v>
      </c>
      <c r="L9" s="20" t="n">
        <v>0.21300025</v>
      </c>
      <c r="M9" s="18" t="n">
        <v>0.60461784</v>
      </c>
      <c r="N9" s="20" t="n">
        <v>0.17549094</v>
      </c>
      <c r="O9" s="18" t="n">
        <v>0</v>
      </c>
      <c r="P9" s="20" t="n">
        <v>0</v>
      </c>
      <c r="Q9" s="18" t="n">
        <v>3.99971954</v>
      </c>
      <c r="R9" s="20" t="n">
        <v>0.5824197</v>
      </c>
    </row>
    <row r="10" spans="1:18">
      <c r="A10" s="15" t="s">
        <v>568</v>
      </c>
      <c r="B10" s="17" t="n">
        <v>10022</v>
      </c>
      <c r="C10" s="18">
        <f>(7818.0/B10*100)</f>
        <v/>
      </c>
      <c r="D10" s="19" t="n">
        <v>2204</v>
      </c>
      <c r="E10" s="18" t="n">
        <v>74.21766753</v>
      </c>
      <c r="F10" s="20" t="n">
        <v>1.2975824</v>
      </c>
      <c r="G10" s="18" t="n">
        <v>23.71181212</v>
      </c>
      <c r="H10" s="20" t="n">
        <v>1.21975801</v>
      </c>
      <c r="I10" s="18" t="n">
        <v>0</v>
      </c>
      <c r="J10" s="20" t="n">
        <v>0</v>
      </c>
      <c r="K10" s="18" t="n">
        <v>0.49550278</v>
      </c>
      <c r="L10" s="20" t="n">
        <v>0.23542818</v>
      </c>
      <c r="M10" s="18" t="n">
        <v>0.00455053</v>
      </c>
      <c r="N10" s="20" t="n">
        <v>0.00444673</v>
      </c>
      <c r="O10" s="18" t="n">
        <v>0</v>
      </c>
      <c r="P10" s="20" t="n">
        <v>0</v>
      </c>
      <c r="Q10" s="18" t="n">
        <v>1.57046704</v>
      </c>
      <c r="R10" s="20" t="n">
        <v>0.26902747</v>
      </c>
    </row>
    <row r="11" spans="1:18">
      <c r="A11" s="15" t="s">
        <v>569</v>
      </c>
      <c r="B11" s="17" t="n">
        <v>3500</v>
      </c>
      <c r="C11" s="18">
        <f>(2780.0/B11*100)</f>
        <v/>
      </c>
      <c r="D11" s="19" t="n">
        <v>720</v>
      </c>
      <c r="E11" s="18" t="n">
        <v>90.66051403</v>
      </c>
      <c r="F11" s="20" t="n">
        <v>1.27184811</v>
      </c>
      <c r="G11" s="18" t="n">
        <v>1.06627812</v>
      </c>
      <c r="H11" s="20" t="n">
        <v>0.29445257</v>
      </c>
      <c r="I11" s="18" t="n">
        <v>0</v>
      </c>
      <c r="J11" s="20" t="n">
        <v>0</v>
      </c>
      <c r="K11" s="18" t="n">
        <v>0.58613119</v>
      </c>
      <c r="L11" s="20" t="n">
        <v>0.18057595</v>
      </c>
      <c r="M11" s="18" t="n">
        <v>0.01488063</v>
      </c>
      <c r="N11" s="20" t="n">
        <v>0.01500197</v>
      </c>
      <c r="O11" s="18" t="n">
        <v>0</v>
      </c>
      <c r="P11" s="20" t="n">
        <v>0</v>
      </c>
      <c r="Q11" s="18" t="n">
        <v>7.67219604</v>
      </c>
      <c r="R11" s="20" t="n">
        <v>1.21966187</v>
      </c>
    </row>
    <row r="12" spans="1:18">
      <c r="A12" s="15" t="s">
        <v>570</v>
      </c>
      <c r="B12" s="17" t="n">
        <v>3422</v>
      </c>
      <c r="C12" s="18">
        <f>(2685.0/B12*100)</f>
        <v/>
      </c>
      <c r="D12" s="19" t="n">
        <v>737</v>
      </c>
      <c r="E12" s="18" t="n">
        <v>91.41413394999999</v>
      </c>
      <c r="F12" s="20" t="n">
        <v>1.04452849</v>
      </c>
      <c r="G12" s="18" t="n">
        <v>6.80857293</v>
      </c>
      <c r="H12" s="20" t="n">
        <v>0.8509999</v>
      </c>
      <c r="I12" s="18" t="n">
        <v>0</v>
      </c>
      <c r="J12" s="20" t="n">
        <v>0</v>
      </c>
      <c r="K12" s="18" t="n">
        <v>0.13972364</v>
      </c>
      <c r="L12" s="20" t="n">
        <v>0.09751261</v>
      </c>
      <c r="M12" s="18" t="n">
        <v>0</v>
      </c>
      <c r="N12" s="20" t="n">
        <v>0</v>
      </c>
      <c r="O12" s="18" t="n">
        <v>0</v>
      </c>
      <c r="P12" s="20" t="n">
        <v>0</v>
      </c>
      <c r="Q12" s="18" t="n">
        <v>1.63756948</v>
      </c>
      <c r="R12" s="20" t="n">
        <v>0.5815797700000001</v>
      </c>
    </row>
    <row r="13" spans="1:18">
      <c r="A13" s="15" t="s">
        <v>571</v>
      </c>
      <c r="B13" s="17" t="n">
        <v>3602</v>
      </c>
      <c r="C13" s="18">
        <f>(2801.0/B13*100)</f>
        <v/>
      </c>
      <c r="D13" s="19" t="n">
        <v>801</v>
      </c>
      <c r="E13" s="18" t="n">
        <v>71.95758255</v>
      </c>
      <c r="F13" s="20" t="n">
        <v>1.95350806</v>
      </c>
      <c r="G13" s="18" t="n">
        <v>23.82315471</v>
      </c>
      <c r="H13" s="20" t="n">
        <v>1.80302416</v>
      </c>
      <c r="I13" s="18" t="n">
        <v>0</v>
      </c>
      <c r="J13" s="20" t="n">
        <v>0</v>
      </c>
      <c r="K13" s="18" t="n">
        <v>0.63564843</v>
      </c>
      <c r="L13" s="20" t="n">
        <v>0.33081342</v>
      </c>
      <c r="M13" s="18" t="n">
        <v>0.04828541</v>
      </c>
      <c r="N13" s="20" t="n">
        <v>0.04064646</v>
      </c>
      <c r="O13" s="18" t="n">
        <v>0</v>
      </c>
      <c r="P13" s="20" t="n">
        <v>0</v>
      </c>
      <c r="Q13" s="18" t="n">
        <v>3.5353289</v>
      </c>
      <c r="R13" s="20" t="n">
        <v>0.81317054</v>
      </c>
    </row>
    <row r="14" spans="1:18">
      <c r="A14" s="15" t="s">
        <v>572</v>
      </c>
      <c r="B14" s="17" t="n">
        <v>2788</v>
      </c>
      <c r="C14" s="18">
        <f>(2138.0/B14*100)</f>
        <v/>
      </c>
      <c r="D14" s="19" t="n">
        <v>650</v>
      </c>
      <c r="E14" s="18" t="n">
        <v>73.36079106</v>
      </c>
      <c r="F14" s="20" t="n">
        <v>2.05433354</v>
      </c>
      <c r="G14" s="18" t="n">
        <v>24.44317278</v>
      </c>
      <c r="H14" s="20" t="n">
        <v>1.97105915</v>
      </c>
      <c r="I14" s="18" t="n">
        <v>0</v>
      </c>
      <c r="J14" s="20" t="n">
        <v>0</v>
      </c>
      <c r="K14" s="18" t="n">
        <v>0.90155579</v>
      </c>
      <c r="L14" s="20" t="n">
        <v>0.43905718</v>
      </c>
      <c r="M14" s="18" t="n">
        <v>0</v>
      </c>
      <c r="N14" s="20" t="n">
        <v>0</v>
      </c>
      <c r="O14" s="18" t="n">
        <v>0</v>
      </c>
      <c r="P14" s="20" t="n">
        <v>0</v>
      </c>
      <c r="Q14" s="18" t="n">
        <v>1.29448037</v>
      </c>
      <c r="R14" s="20" t="n">
        <v>0.59625728</v>
      </c>
    </row>
    <row r="15" spans="1:18">
      <c r="A15" s="15" t="s">
        <v>573</v>
      </c>
      <c r="B15" s="17" t="n">
        <v>2863</v>
      </c>
      <c r="C15" s="18">
        <f>(2258.0/B15*100)</f>
        <v/>
      </c>
      <c r="D15" s="19" t="n">
        <v>605</v>
      </c>
      <c r="E15" s="18" t="n">
        <v>3.78258288</v>
      </c>
      <c r="F15" s="20" t="n">
        <v>1.42539652</v>
      </c>
      <c r="G15" s="18" t="n">
        <v>1.59266848</v>
      </c>
      <c r="H15" s="20" t="n">
        <v>0.74072057</v>
      </c>
      <c r="I15" s="18" t="n">
        <v>0</v>
      </c>
      <c r="J15" s="20" t="n">
        <v>0</v>
      </c>
      <c r="K15" s="18" t="n">
        <v>0</v>
      </c>
      <c r="L15" s="20" t="n">
        <v>0</v>
      </c>
      <c r="M15" s="18" t="n">
        <v>94.47862411</v>
      </c>
      <c r="N15" s="20" t="n">
        <v>1.6842612</v>
      </c>
      <c r="O15" s="18" t="n">
        <v>0</v>
      </c>
      <c r="P15" s="20" t="n">
        <v>0</v>
      </c>
      <c r="Q15" s="18" t="n">
        <v>0.14612453</v>
      </c>
      <c r="R15" s="20" t="n">
        <v>0.14653596</v>
      </c>
    </row>
    <row r="16" spans="1:18">
      <c r="A16" s="15" t="s">
        <v>574</v>
      </c>
      <c r="B16" s="17" t="n">
        <v>3111</v>
      </c>
      <c r="C16" s="18">
        <f>(2399.0/B16*100)</f>
        <v/>
      </c>
      <c r="D16" s="19" t="n">
        <v>712</v>
      </c>
      <c r="E16" s="18" t="n">
        <v>79.24307783</v>
      </c>
      <c r="F16" s="20" t="n">
        <v>1.52674165</v>
      </c>
      <c r="G16" s="18" t="n">
        <v>14.51283637</v>
      </c>
      <c r="H16" s="20" t="n">
        <v>1.25320962</v>
      </c>
      <c r="I16" s="18" t="n">
        <v>0</v>
      </c>
      <c r="J16" s="20" t="n">
        <v>0</v>
      </c>
      <c r="K16" s="18" t="n">
        <v>0.91609982</v>
      </c>
      <c r="L16" s="20" t="n">
        <v>0.3959637</v>
      </c>
      <c r="M16" s="18" t="n">
        <v>0</v>
      </c>
      <c r="N16" s="20" t="n">
        <v>0</v>
      </c>
      <c r="O16" s="18" t="n">
        <v>0</v>
      </c>
      <c r="P16" s="20" t="n">
        <v>0</v>
      </c>
      <c r="Q16" s="18" t="n">
        <v>5.32798598</v>
      </c>
      <c r="R16" s="20" t="n">
        <v>0.92162774</v>
      </c>
    </row>
    <row r="17" spans="1:18">
      <c r="A17" s="15" t="s">
        <v>575</v>
      </c>
      <c r="B17" s="17" t="n">
        <v>3197</v>
      </c>
      <c r="C17" s="18">
        <f>(2499.0/B17*100)</f>
        <v/>
      </c>
      <c r="D17" s="19" t="n">
        <v>698</v>
      </c>
      <c r="E17" s="18" t="n">
        <v>85.24346273</v>
      </c>
      <c r="F17" s="20" t="n">
        <v>1.38806616</v>
      </c>
      <c r="G17" s="18" t="n">
        <v>10.3911699</v>
      </c>
      <c r="H17" s="20" t="n">
        <v>1.23044268</v>
      </c>
      <c r="I17" s="18" t="n">
        <v>0</v>
      </c>
      <c r="J17" s="20" t="n">
        <v>0</v>
      </c>
      <c r="K17" s="18" t="n">
        <v>0.12733709</v>
      </c>
      <c r="L17" s="20" t="n">
        <v>0.12812648</v>
      </c>
      <c r="M17" s="18" t="n">
        <v>0</v>
      </c>
      <c r="N17" s="20" t="n">
        <v>0</v>
      </c>
      <c r="O17" s="18" t="n">
        <v>0</v>
      </c>
      <c r="P17" s="20" t="n">
        <v>0</v>
      </c>
      <c r="Q17" s="18" t="n">
        <v>4.23803029</v>
      </c>
      <c r="R17" s="20" t="n">
        <v>0.71176421</v>
      </c>
    </row>
    <row r="18" spans="1:18">
      <c r="A18" s="15" t="s">
        <v>576</v>
      </c>
      <c r="B18" s="17" t="n">
        <v>2706</v>
      </c>
      <c r="C18" s="18">
        <f>(2089.0/B18*100)</f>
        <v/>
      </c>
      <c r="D18" s="19" t="n">
        <v>617</v>
      </c>
      <c r="E18" s="18" t="n">
        <v>90.62441966</v>
      </c>
      <c r="F18" s="20" t="n">
        <v>1.23087704</v>
      </c>
      <c r="G18" s="18" t="n">
        <v>5.14815791</v>
      </c>
      <c r="H18" s="20" t="n">
        <v>0.80540766</v>
      </c>
      <c r="I18" s="18" t="n">
        <v>0</v>
      </c>
      <c r="J18" s="20" t="n">
        <v>0</v>
      </c>
      <c r="K18" s="18" t="n">
        <v>0.8077624</v>
      </c>
      <c r="L18" s="20" t="n">
        <v>0.36216219</v>
      </c>
      <c r="M18" s="18" t="n">
        <v>0.19536319</v>
      </c>
      <c r="N18" s="20" t="n">
        <v>0.19344304</v>
      </c>
      <c r="O18" s="18" t="n">
        <v>0</v>
      </c>
      <c r="P18" s="20" t="n">
        <v>0</v>
      </c>
      <c r="Q18" s="18" t="n">
        <v>3.22429685</v>
      </c>
      <c r="R18" s="20" t="n">
        <v>0.70901356</v>
      </c>
    </row>
    <row r="19" spans="1:18">
      <c r="A19" s="15" t="s">
        <v>577</v>
      </c>
      <c r="B19" s="17" t="n">
        <v>2850</v>
      </c>
      <c r="C19" s="18">
        <f>(2244.0/B19*100)</f>
        <v/>
      </c>
      <c r="D19" s="19" t="n">
        <v>606</v>
      </c>
      <c r="E19" s="18" t="n">
        <v>88.10092828000001</v>
      </c>
      <c r="F19" s="20" t="n">
        <v>1.55390314</v>
      </c>
      <c r="G19" s="18" t="n">
        <v>9.0123532</v>
      </c>
      <c r="H19" s="20" t="n">
        <v>1.28416469</v>
      </c>
      <c r="I19" s="18" t="n">
        <v>0</v>
      </c>
      <c r="J19" s="20" t="n">
        <v>0</v>
      </c>
      <c r="K19" s="18" t="n">
        <v>0.15356943</v>
      </c>
      <c r="L19" s="20" t="n">
        <v>0.15639694</v>
      </c>
      <c r="M19" s="18" t="n">
        <v>0</v>
      </c>
      <c r="N19" s="20" t="n">
        <v>0</v>
      </c>
      <c r="O19" s="18" t="n">
        <v>0</v>
      </c>
      <c r="P19" s="20" t="n">
        <v>0</v>
      </c>
      <c r="Q19" s="18" t="n">
        <v>2.73314908</v>
      </c>
      <c r="R19" s="20" t="n">
        <v>0.88007302</v>
      </c>
    </row>
    <row r="20" spans="1:18">
      <c r="A20" s="15" t="s">
        <v>578</v>
      </c>
      <c r="B20" s="17" t="n">
        <v>1741</v>
      </c>
      <c r="C20" s="18">
        <f>(1354.0/B20*100)</f>
        <v/>
      </c>
      <c r="D20" s="19" t="n">
        <v>387</v>
      </c>
      <c r="E20" s="18" t="n">
        <v>87.02723609</v>
      </c>
      <c r="F20" s="20" t="n">
        <v>1.768545</v>
      </c>
      <c r="G20" s="18" t="n">
        <v>8.876955880000001</v>
      </c>
      <c r="H20" s="20" t="n">
        <v>1.53748525</v>
      </c>
      <c r="I20" s="18" t="n">
        <v>0</v>
      </c>
      <c r="J20" s="20" t="n">
        <v>0</v>
      </c>
      <c r="K20" s="18" t="n">
        <v>0.25268266</v>
      </c>
      <c r="L20" s="20" t="n">
        <v>0.25276689</v>
      </c>
      <c r="M20" s="18" t="n">
        <v>0.39846899</v>
      </c>
      <c r="N20" s="20" t="n">
        <v>0.38467724</v>
      </c>
      <c r="O20" s="18" t="n">
        <v>0</v>
      </c>
      <c r="P20" s="20" t="n">
        <v>0</v>
      </c>
      <c r="Q20" s="18" t="n">
        <v>3.44465638</v>
      </c>
      <c r="R20" s="20" t="n">
        <v>0.93148117</v>
      </c>
    </row>
    <row r="21" spans="1:18">
      <c r="A21" s="15" t="s">
        <v>579</v>
      </c>
      <c r="B21" s="17" t="n">
        <v>2833</v>
      </c>
      <c r="C21" s="18">
        <f>(2219.0/B21*100)</f>
        <v/>
      </c>
      <c r="D21" s="19" t="n">
        <v>614</v>
      </c>
      <c r="E21" s="18" t="n">
        <v>81.99877725</v>
      </c>
      <c r="F21" s="20" t="n">
        <v>1.74853819</v>
      </c>
      <c r="G21" s="18" t="n">
        <v>15.77977951</v>
      </c>
      <c r="H21" s="20" t="n">
        <v>1.51964007</v>
      </c>
      <c r="I21" s="18" t="n">
        <v>0</v>
      </c>
      <c r="J21" s="20" t="n">
        <v>0</v>
      </c>
      <c r="K21" s="18" t="n">
        <v>0</v>
      </c>
      <c r="L21" s="20" t="n">
        <v>0</v>
      </c>
      <c r="M21" s="18" t="n">
        <v>0</v>
      </c>
      <c r="N21" s="20" t="n">
        <v>0</v>
      </c>
      <c r="O21" s="18" t="n">
        <v>0</v>
      </c>
      <c r="P21" s="20" t="n">
        <v>0</v>
      </c>
      <c r="Q21" s="18" t="n">
        <v>2.22144323</v>
      </c>
      <c r="R21" s="20" t="n">
        <v>0.75152065</v>
      </c>
    </row>
    <row r="22" spans="1:18">
      <c r="A22" s="15" t="s">
        <v>580</v>
      </c>
      <c r="B22" s="17" t="n">
        <v>3667</v>
      </c>
      <c r="C22" s="18">
        <f>(2868.0/B22*100)</f>
        <v/>
      </c>
      <c r="D22" s="19" t="n">
        <v>799</v>
      </c>
      <c r="E22" s="18" t="n">
        <v>83.54057772</v>
      </c>
      <c r="F22" s="20" t="n">
        <v>1.6269217</v>
      </c>
      <c r="G22" s="18" t="n">
        <v>11.45438885</v>
      </c>
      <c r="H22" s="20" t="n">
        <v>1.32150874</v>
      </c>
      <c r="I22" s="18" t="n">
        <v>0</v>
      </c>
      <c r="J22" s="20" t="n">
        <v>0</v>
      </c>
      <c r="K22" s="18" t="n">
        <v>0.10655281</v>
      </c>
      <c r="L22" s="20" t="n">
        <v>0.10710175</v>
      </c>
      <c r="M22" s="18" t="n">
        <v>0</v>
      </c>
      <c r="N22" s="20" t="n">
        <v>0</v>
      </c>
      <c r="O22" s="18" t="n">
        <v>0</v>
      </c>
      <c r="P22" s="20" t="n">
        <v>0</v>
      </c>
      <c r="Q22" s="18" t="n">
        <v>4.89848062</v>
      </c>
      <c r="R22" s="20" t="n">
        <v>1.02158824</v>
      </c>
    </row>
    <row r="23" spans="1:18">
      <c r="A23" s="15" t="s">
        <v>581</v>
      </c>
      <c r="B23" s="17" t="n">
        <v>5792</v>
      </c>
      <c r="C23" s="18">
        <f>(4537.0/B23*100)</f>
        <v/>
      </c>
      <c r="D23" s="19" t="n">
        <v>1255</v>
      </c>
      <c r="E23" s="18" t="n">
        <v>79.79552099999999</v>
      </c>
      <c r="F23" s="20" t="n">
        <v>2.13540703</v>
      </c>
      <c r="G23" s="18" t="n">
        <v>12.40250585</v>
      </c>
      <c r="H23" s="20" t="n">
        <v>2.05122293</v>
      </c>
      <c r="I23" s="18" t="n">
        <v>0</v>
      </c>
      <c r="J23" s="20" t="n">
        <v>0</v>
      </c>
      <c r="K23" s="18" t="n">
        <v>1.04778232</v>
      </c>
      <c r="L23" s="20" t="n">
        <v>0.43944575</v>
      </c>
      <c r="M23" s="18" t="n">
        <v>0</v>
      </c>
      <c r="N23" s="20" t="n">
        <v>0</v>
      </c>
      <c r="O23" s="18" t="n">
        <v>0</v>
      </c>
      <c r="P23" s="20" t="n">
        <v>0</v>
      </c>
      <c r="Q23" s="18" t="n">
        <v>6.75419083</v>
      </c>
      <c r="R23" s="20" t="n">
        <v>1.149689</v>
      </c>
    </row>
    <row r="24" spans="1:18">
      <c r="A24" s="15" t="s">
        <v>582</v>
      </c>
      <c r="B24" s="17" t="n">
        <v>3309</v>
      </c>
      <c r="C24" s="18">
        <f>(2609.0/B24*100)</f>
        <v/>
      </c>
      <c r="D24" s="19" t="n">
        <v>700</v>
      </c>
      <c r="E24" s="18" t="n">
        <v>78.78995752</v>
      </c>
      <c r="F24" s="20" t="n">
        <v>1.57892842</v>
      </c>
      <c r="G24" s="18" t="n">
        <v>18.66296398</v>
      </c>
      <c r="H24" s="20" t="n">
        <v>1.50019028</v>
      </c>
      <c r="I24" s="18" t="n">
        <v>0</v>
      </c>
      <c r="J24" s="20" t="n">
        <v>0</v>
      </c>
      <c r="K24" s="18" t="n">
        <v>0</v>
      </c>
      <c r="L24" s="20" t="n">
        <v>0</v>
      </c>
      <c r="M24" s="18" t="n">
        <v>0</v>
      </c>
      <c r="N24" s="20" t="n">
        <v>0</v>
      </c>
      <c r="O24" s="18" t="n">
        <v>0</v>
      </c>
      <c r="P24" s="20" t="n">
        <v>0</v>
      </c>
      <c r="Q24" s="18" t="n">
        <v>2.5470785</v>
      </c>
      <c r="R24" s="20" t="n">
        <v>0.58729075</v>
      </c>
    </row>
    <row r="25" spans="1:18">
      <c r="A25" s="15" t="s">
        <v>583</v>
      </c>
      <c r="B25" s="17" t="n">
        <v>2669</v>
      </c>
      <c r="C25" s="18">
        <f>(2050.0/B25*100)</f>
        <v/>
      </c>
      <c r="D25" s="19" t="n">
        <v>619</v>
      </c>
      <c r="E25" s="18" t="n">
        <v>80.84111362</v>
      </c>
      <c r="F25" s="20" t="n">
        <v>1.71403143</v>
      </c>
      <c r="G25" s="18" t="n">
        <v>17.99255856</v>
      </c>
      <c r="H25" s="20" t="n">
        <v>1.60292788</v>
      </c>
      <c r="I25" s="18" t="n">
        <v>0</v>
      </c>
      <c r="J25" s="20" t="n">
        <v>0</v>
      </c>
      <c r="K25" s="18" t="n">
        <v>0</v>
      </c>
      <c r="L25" s="20" t="n">
        <v>0</v>
      </c>
      <c r="M25" s="18" t="n">
        <v>0</v>
      </c>
      <c r="N25" s="20" t="n">
        <v>0</v>
      </c>
      <c r="O25" s="18" t="n">
        <v>0</v>
      </c>
      <c r="P25" s="20" t="n">
        <v>0</v>
      </c>
      <c r="Q25" s="18" t="n">
        <v>1.16632782</v>
      </c>
      <c r="R25" s="20" t="n">
        <v>0.43385766</v>
      </c>
    </row>
    <row r="26" spans="1:18">
      <c r="A26" s="15" t="s">
        <v>584</v>
      </c>
      <c r="B26" s="17" t="n">
        <v>2419</v>
      </c>
      <c r="C26" s="18">
        <f>(1889.0/B26*100)</f>
        <v/>
      </c>
      <c r="D26" s="19" t="n">
        <v>530</v>
      </c>
      <c r="E26" s="18" t="n">
        <v>90.02695249999999</v>
      </c>
      <c r="F26" s="20" t="n">
        <v>1.52824441</v>
      </c>
      <c r="G26" s="18" t="n">
        <v>8.302976299999999</v>
      </c>
      <c r="H26" s="20" t="n">
        <v>1.3605748</v>
      </c>
      <c r="I26" s="18" t="n">
        <v>0</v>
      </c>
      <c r="J26" s="20" t="n">
        <v>0</v>
      </c>
      <c r="K26" s="18" t="n">
        <v>0.67877256</v>
      </c>
      <c r="L26" s="20" t="n">
        <v>0.46368392</v>
      </c>
      <c r="M26" s="18" t="n">
        <v>0.13022377</v>
      </c>
      <c r="N26" s="20" t="n">
        <v>0.13246641</v>
      </c>
      <c r="O26" s="18" t="n">
        <v>0</v>
      </c>
      <c r="P26" s="20" t="n">
        <v>0</v>
      </c>
      <c r="Q26" s="18" t="n">
        <v>0.86107486</v>
      </c>
      <c r="R26" s="20" t="n">
        <v>0.5430093499999999</v>
      </c>
    </row>
    <row r="27" spans="1:18">
      <c r="A27" s="15" t="s">
        <v>585</v>
      </c>
      <c r="B27" s="17" t="n">
        <v>2683</v>
      </c>
      <c r="C27" s="18">
        <f>(2102.0/B27*100)</f>
        <v/>
      </c>
      <c r="D27" s="19" t="n">
        <v>581</v>
      </c>
      <c r="E27" s="18" t="n">
        <v>83.23659961</v>
      </c>
      <c r="F27" s="20" t="n">
        <v>1.61190156</v>
      </c>
      <c r="G27" s="18" t="n">
        <v>11.26829872</v>
      </c>
      <c r="H27" s="20" t="n">
        <v>1.53738455</v>
      </c>
      <c r="I27" s="18" t="n">
        <v>0</v>
      </c>
      <c r="J27" s="20" t="n">
        <v>0</v>
      </c>
      <c r="K27" s="18" t="n">
        <v>0.51760796</v>
      </c>
      <c r="L27" s="20" t="n">
        <v>0.2942338</v>
      </c>
      <c r="M27" s="18" t="n">
        <v>0</v>
      </c>
      <c r="N27" s="20" t="n">
        <v>0</v>
      </c>
      <c r="O27" s="18" t="n">
        <v>0</v>
      </c>
      <c r="P27" s="20" t="n">
        <v>0</v>
      </c>
      <c r="Q27" s="18" t="n">
        <v>4.97749371</v>
      </c>
      <c r="R27" s="20" t="n">
        <v>0.8447514699999999</v>
      </c>
    </row>
    <row r="28" spans="1:18">
      <c r="A28" s="15" t="s">
        <v>586</v>
      </c>
      <c r="B28" s="17" t="n">
        <v>3803</v>
      </c>
      <c r="C28" s="18">
        <f>(3016.0/B28*100)</f>
        <v/>
      </c>
      <c r="D28" s="19" t="n">
        <v>787</v>
      </c>
      <c r="E28" s="18" t="n">
        <v>93.73765713</v>
      </c>
      <c r="F28" s="20" t="n">
        <v>1.16143759</v>
      </c>
      <c r="G28" s="18" t="n">
        <v>3.70610928</v>
      </c>
      <c r="H28" s="20" t="n">
        <v>0.82582255</v>
      </c>
      <c r="I28" s="18" t="n">
        <v>0</v>
      </c>
      <c r="J28" s="20" t="n">
        <v>0</v>
      </c>
      <c r="K28" s="18" t="n">
        <v>1.13104907</v>
      </c>
      <c r="L28" s="20" t="n">
        <v>0.72544988</v>
      </c>
      <c r="M28" s="18" t="n">
        <v>0.11352605</v>
      </c>
      <c r="N28" s="20" t="n">
        <v>0.11379271</v>
      </c>
      <c r="O28" s="18" t="n">
        <v>0</v>
      </c>
      <c r="P28" s="20" t="n">
        <v>0</v>
      </c>
      <c r="Q28" s="18" t="n">
        <v>1.31165848</v>
      </c>
      <c r="R28" s="20" t="n">
        <v>0.37175893</v>
      </c>
    </row>
    <row r="29" spans="1:18">
      <c r="A29" s="15" t="s">
        <v>587</v>
      </c>
      <c r="B29" s="17" t="n">
        <v>2700</v>
      </c>
      <c r="C29" s="18">
        <f>(2142.0/B29*100)</f>
        <v/>
      </c>
      <c r="D29" s="19" t="n">
        <v>558</v>
      </c>
      <c r="E29" s="18" t="n">
        <v>79.73948059999999</v>
      </c>
      <c r="F29" s="20" t="n">
        <v>1.88680239</v>
      </c>
      <c r="G29" s="18" t="n">
        <v>20.07172239</v>
      </c>
      <c r="H29" s="20" t="n">
        <v>1.92028462</v>
      </c>
      <c r="I29" s="18" t="n">
        <v>0</v>
      </c>
      <c r="J29" s="20" t="n">
        <v>0</v>
      </c>
      <c r="K29" s="18" t="n">
        <v>0</v>
      </c>
      <c r="L29" s="20" t="n">
        <v>0</v>
      </c>
      <c r="M29" s="18" t="n">
        <v>0</v>
      </c>
      <c r="N29" s="20" t="n">
        <v>0</v>
      </c>
      <c r="O29" s="18" t="n">
        <v>0</v>
      </c>
      <c r="P29" s="20" t="n">
        <v>0</v>
      </c>
      <c r="Q29" s="18" t="n">
        <v>0.188797</v>
      </c>
      <c r="R29" s="20" t="n">
        <v>0.19629329</v>
      </c>
    </row>
    <row r="30" spans="1:18">
      <c r="A30" s="15" t="s">
        <v>588</v>
      </c>
      <c r="B30" s="17" t="n">
        <v>2257</v>
      </c>
      <c r="C30" s="18">
        <f>(1785.0/B30*100)</f>
        <v/>
      </c>
      <c r="D30" s="19" t="n">
        <v>472</v>
      </c>
      <c r="E30" s="18" t="n">
        <v>74.64020985000001</v>
      </c>
      <c r="F30" s="20" t="n">
        <v>2.14502338</v>
      </c>
      <c r="G30" s="18" t="n">
        <v>19.80956251</v>
      </c>
      <c r="H30" s="20" t="n">
        <v>1.93676797</v>
      </c>
      <c r="I30" s="18" t="n">
        <v>0</v>
      </c>
      <c r="J30" s="20" t="n">
        <v>0</v>
      </c>
      <c r="K30" s="18" t="n">
        <v>0.44435476</v>
      </c>
      <c r="L30" s="20" t="n">
        <v>0.34628763</v>
      </c>
      <c r="M30" s="18" t="n">
        <v>0</v>
      </c>
      <c r="N30" s="20" t="n">
        <v>0</v>
      </c>
      <c r="O30" s="18" t="n">
        <v>0</v>
      </c>
      <c r="P30" s="20" t="n">
        <v>0</v>
      </c>
      <c r="Q30" s="18" t="n">
        <v>5.10587287</v>
      </c>
      <c r="R30" s="20" t="n">
        <v>1.09963219</v>
      </c>
    </row>
    <row r="31" spans="1:18">
      <c r="A31" s="15" t="s">
        <v>589</v>
      </c>
      <c r="B31" s="17" t="n">
        <v>2706</v>
      </c>
      <c r="C31" s="18">
        <f>(2077.0/B31*100)</f>
        <v/>
      </c>
      <c r="D31" s="19" t="n">
        <v>629</v>
      </c>
      <c r="E31" s="18" t="n">
        <v>79.29537759</v>
      </c>
      <c r="F31" s="20" t="n">
        <v>1.51721956</v>
      </c>
      <c r="G31" s="18" t="n">
        <v>14.7948235</v>
      </c>
      <c r="H31" s="20" t="n">
        <v>1.30764347</v>
      </c>
      <c r="I31" s="18" t="n">
        <v>0</v>
      </c>
      <c r="J31" s="20" t="n">
        <v>0</v>
      </c>
      <c r="K31" s="18" t="n">
        <v>0.50967925</v>
      </c>
      <c r="L31" s="20" t="n">
        <v>0.27952124</v>
      </c>
      <c r="M31" s="18" t="n">
        <v>0</v>
      </c>
      <c r="N31" s="20" t="n">
        <v>0</v>
      </c>
      <c r="O31" s="18" t="n">
        <v>0</v>
      </c>
      <c r="P31" s="20" t="n">
        <v>0</v>
      </c>
      <c r="Q31" s="18" t="n">
        <v>5.40011967</v>
      </c>
      <c r="R31" s="20" t="n">
        <v>0.92622496</v>
      </c>
    </row>
    <row r="32" spans="1:18">
      <c r="A32" s="15" t="s">
        <v>590</v>
      </c>
      <c r="B32" s="17" t="n">
        <v>2209</v>
      </c>
      <c r="C32" s="18">
        <f>(1702.0/B32*100)</f>
        <v/>
      </c>
      <c r="D32" s="19" t="n">
        <v>507</v>
      </c>
      <c r="E32" s="18" t="n">
        <v>90.21402873</v>
      </c>
      <c r="F32" s="20" t="n">
        <v>1.56514657</v>
      </c>
      <c r="G32" s="18" t="n">
        <v>8.590473660000001</v>
      </c>
      <c r="H32" s="20" t="n">
        <v>1.42206189</v>
      </c>
      <c r="I32" s="18" t="n">
        <v>0</v>
      </c>
      <c r="J32" s="20" t="n">
        <v>0</v>
      </c>
      <c r="K32" s="18" t="n">
        <v>0</v>
      </c>
      <c r="L32" s="20" t="n">
        <v>0</v>
      </c>
      <c r="M32" s="18" t="n">
        <v>0</v>
      </c>
      <c r="N32" s="20" t="n">
        <v>0</v>
      </c>
      <c r="O32" s="18" t="n">
        <v>0</v>
      </c>
      <c r="P32" s="20" t="n">
        <v>0</v>
      </c>
      <c r="Q32" s="18" t="n">
        <v>1.19549761</v>
      </c>
      <c r="R32" s="20" t="n">
        <v>0.4775817</v>
      </c>
    </row>
    <row r="33" spans="1:18">
      <c r="A33" s="15" t="s">
        <v>591</v>
      </c>
      <c r="B33" s="17" t="n">
        <v>3651</v>
      </c>
      <c r="C33" s="18">
        <f>(2852.0/B33*100)</f>
        <v/>
      </c>
      <c r="D33" s="19" t="n">
        <v>799</v>
      </c>
      <c r="E33" s="18" t="n">
        <v>84.78859367</v>
      </c>
      <c r="F33" s="20" t="n">
        <v>1.3429412</v>
      </c>
      <c r="G33" s="18" t="n">
        <v>12.14476849</v>
      </c>
      <c r="H33" s="20" t="n">
        <v>1.22648533</v>
      </c>
      <c r="I33" s="18" t="n">
        <v>0</v>
      </c>
      <c r="J33" s="20" t="n">
        <v>0</v>
      </c>
      <c r="K33" s="18" t="n">
        <v>0.29610058</v>
      </c>
      <c r="L33" s="20" t="n">
        <v>0.18185974</v>
      </c>
      <c r="M33" s="18" t="n">
        <v>0</v>
      </c>
      <c r="N33" s="20" t="n">
        <v>0</v>
      </c>
      <c r="O33" s="18" t="n">
        <v>0</v>
      </c>
      <c r="P33" s="20" t="n">
        <v>0</v>
      </c>
      <c r="Q33" s="18" t="n">
        <v>2.77053726</v>
      </c>
      <c r="R33" s="20" t="n">
        <v>0.63621603</v>
      </c>
    </row>
    <row r="34" spans="1:18">
      <c r="A34" s="15" t="s">
        <v>592</v>
      </c>
      <c r="B34" s="17" t="n">
        <v>3035</v>
      </c>
      <c r="C34" s="18">
        <f>(2427.0/B34*100)</f>
        <v/>
      </c>
      <c r="D34" s="19" t="n">
        <v>608</v>
      </c>
      <c r="E34" s="18" t="n">
        <v>93.35501838</v>
      </c>
      <c r="F34" s="20" t="n">
        <v>1.04795256</v>
      </c>
      <c r="G34" s="18" t="n">
        <v>3.55938371</v>
      </c>
      <c r="H34" s="20" t="n">
        <v>0.75033808</v>
      </c>
      <c r="I34" s="18" t="n">
        <v>0</v>
      </c>
      <c r="J34" s="20" t="n">
        <v>0</v>
      </c>
      <c r="K34" s="18" t="n">
        <v>0.5715829100000001</v>
      </c>
      <c r="L34" s="20" t="n">
        <v>0.29267349</v>
      </c>
      <c r="M34" s="18" t="n">
        <v>0.42187843</v>
      </c>
      <c r="N34" s="20" t="n">
        <v>0.2260195</v>
      </c>
      <c r="O34" s="18" t="n">
        <v>0</v>
      </c>
      <c r="P34" s="20" t="n">
        <v>0</v>
      </c>
      <c r="Q34" s="18" t="n">
        <v>2.09213657</v>
      </c>
      <c r="R34" s="20" t="n">
        <v>0.60624867</v>
      </c>
    </row>
    <row r="35" spans="1:18">
      <c r="A35" s="15" t="s">
        <v>593</v>
      </c>
      <c r="B35" s="17" t="n">
        <v>2901</v>
      </c>
      <c r="C35" s="18">
        <f>(2274.0/B35*100)</f>
        <v/>
      </c>
      <c r="D35" s="19" t="n">
        <v>627</v>
      </c>
      <c r="E35" s="18" t="n">
        <v>85.01597071</v>
      </c>
      <c r="F35" s="20" t="n">
        <v>1.85419319</v>
      </c>
      <c r="G35" s="18" t="n">
        <v>13.88113892</v>
      </c>
      <c r="H35" s="20" t="n">
        <v>1.77249822</v>
      </c>
      <c r="I35" s="18" t="n">
        <v>0</v>
      </c>
      <c r="J35" s="20" t="n">
        <v>0</v>
      </c>
      <c r="K35" s="18" t="n">
        <v>0</v>
      </c>
      <c r="L35" s="20" t="n">
        <v>0</v>
      </c>
      <c r="M35" s="18" t="n">
        <v>0</v>
      </c>
      <c r="N35" s="20" t="n">
        <v>0</v>
      </c>
      <c r="O35" s="18" t="n">
        <v>0</v>
      </c>
      <c r="P35" s="20" t="n">
        <v>0</v>
      </c>
      <c r="Q35" s="18" t="n">
        <v>1.10289037</v>
      </c>
      <c r="R35" s="20" t="n">
        <v>0.40158161</v>
      </c>
    </row>
    <row r="36" spans="1:18">
      <c r="A36" s="15" t="s">
        <v>594</v>
      </c>
      <c r="B36" s="17" t="n">
        <v>3404</v>
      </c>
      <c r="C36" s="18">
        <f>(2683.0/B36*100)</f>
        <v/>
      </c>
      <c r="D36" s="19" t="n">
        <v>721</v>
      </c>
      <c r="E36" s="18" t="n">
        <v>82.54669491999999</v>
      </c>
      <c r="F36" s="20" t="n">
        <v>1.5011471</v>
      </c>
      <c r="G36" s="18" t="n">
        <v>12.78744517</v>
      </c>
      <c r="H36" s="20" t="n">
        <v>1.3643153</v>
      </c>
      <c r="I36" s="18" t="n">
        <v>0</v>
      </c>
      <c r="J36" s="20" t="n">
        <v>0</v>
      </c>
      <c r="K36" s="18" t="n">
        <v>0.13091379</v>
      </c>
      <c r="L36" s="20" t="n">
        <v>0.18684552</v>
      </c>
      <c r="M36" s="18" t="n">
        <v>0.14022214</v>
      </c>
      <c r="N36" s="20" t="n">
        <v>0.13530071</v>
      </c>
      <c r="O36" s="18" t="n">
        <v>0</v>
      </c>
      <c r="P36" s="20" t="n">
        <v>0</v>
      </c>
      <c r="Q36" s="18" t="n">
        <v>4.39472398</v>
      </c>
      <c r="R36" s="20" t="n">
        <v>0.91472909</v>
      </c>
    </row>
    <row r="37" spans="1:18">
      <c r="A37" s="15" t="s">
        <v>595</v>
      </c>
      <c r="B37" s="17" t="n">
        <v>2731</v>
      </c>
      <c r="C37" s="18">
        <f>(2165.0/B37*100)</f>
        <v/>
      </c>
      <c r="D37" s="19" t="n">
        <v>566</v>
      </c>
      <c r="E37" s="18" t="n">
        <v>76.99332984</v>
      </c>
      <c r="F37" s="20" t="n">
        <v>1.93396135</v>
      </c>
      <c r="G37" s="18" t="n">
        <v>17.44914341</v>
      </c>
      <c r="H37" s="20" t="n">
        <v>1.84080492</v>
      </c>
      <c r="I37" s="18" t="n">
        <v>0</v>
      </c>
      <c r="J37" s="20" t="n">
        <v>0</v>
      </c>
      <c r="K37" s="18" t="n">
        <v>0.69688635</v>
      </c>
      <c r="L37" s="20" t="n">
        <v>0.34850133</v>
      </c>
      <c r="M37" s="18" t="n">
        <v>0</v>
      </c>
      <c r="N37" s="20" t="n">
        <v>0</v>
      </c>
      <c r="O37" s="18" t="n">
        <v>0</v>
      </c>
      <c r="P37" s="20" t="n">
        <v>0</v>
      </c>
      <c r="Q37" s="18" t="n">
        <v>4.8606404</v>
      </c>
      <c r="R37" s="20" t="n">
        <v>0.8567915</v>
      </c>
    </row>
    <row r="38" spans="1:18">
      <c r="A38" s="15" t="s">
        <v>596</v>
      </c>
      <c r="B38" s="17" t="n">
        <v>2807</v>
      </c>
      <c r="C38" s="18">
        <f>(2195.0/B38*100)</f>
        <v/>
      </c>
      <c r="D38" s="19" t="n">
        <v>612</v>
      </c>
      <c r="E38" s="18" t="n">
        <v>79.27834983</v>
      </c>
      <c r="F38" s="20" t="n">
        <v>1.57737689</v>
      </c>
      <c r="G38" s="18" t="n">
        <v>14.05166006</v>
      </c>
      <c r="H38" s="20" t="n">
        <v>1.5392919</v>
      </c>
      <c r="I38" s="18" t="n">
        <v>0</v>
      </c>
      <c r="J38" s="20" t="n">
        <v>0</v>
      </c>
      <c r="K38" s="18" t="n">
        <v>0.29067512</v>
      </c>
      <c r="L38" s="20" t="n">
        <v>0.18765151</v>
      </c>
      <c r="M38" s="18" t="n">
        <v>2.72881629</v>
      </c>
      <c r="N38" s="20" t="n">
        <v>0.68122257</v>
      </c>
      <c r="O38" s="18" t="n">
        <v>0</v>
      </c>
      <c r="P38" s="20" t="n">
        <v>0</v>
      </c>
      <c r="Q38" s="18" t="n">
        <v>3.6504987</v>
      </c>
      <c r="R38" s="20" t="n">
        <v>0.86584735</v>
      </c>
    </row>
    <row r="39" spans="1:18">
      <c r="A39" s="15" t="s">
        <v>597</v>
      </c>
      <c r="B39" s="17" t="n">
        <v>2938</v>
      </c>
      <c r="C39" s="18">
        <f>(2310.0/B39*100)</f>
        <v/>
      </c>
      <c r="D39" s="19" t="n">
        <v>628</v>
      </c>
      <c r="E39" s="18" t="n">
        <v>51.81562712</v>
      </c>
      <c r="F39" s="20" t="n">
        <v>1.90817765</v>
      </c>
      <c r="G39" s="18" t="n">
        <v>15.39034456</v>
      </c>
      <c r="H39" s="20" t="n">
        <v>1.93764241</v>
      </c>
      <c r="I39" s="18" t="n">
        <v>0</v>
      </c>
      <c r="J39" s="20" t="n">
        <v>0</v>
      </c>
      <c r="K39" s="18" t="n">
        <v>0.59136224</v>
      </c>
      <c r="L39" s="20" t="n">
        <v>0.24678196</v>
      </c>
      <c r="M39" s="18" t="n">
        <v>0</v>
      </c>
      <c r="N39" s="20" t="n">
        <v>0</v>
      </c>
      <c r="O39" s="18" t="n">
        <v>0</v>
      </c>
      <c r="P39" s="20" t="n">
        <v>0</v>
      </c>
      <c r="Q39" s="18" t="n">
        <v>32.20266609</v>
      </c>
      <c r="R39" s="20" t="n">
        <v>1.94451496</v>
      </c>
    </row>
    <row r="40" spans="1:18">
      <c r="A40" s="15" t="s">
        <v>598</v>
      </c>
      <c r="B40" s="17" t="n">
        <v>6922</v>
      </c>
      <c r="C40" s="18">
        <f>(5333.0/B40*100)</f>
        <v/>
      </c>
      <c r="D40" s="19" t="n">
        <v>1589</v>
      </c>
      <c r="E40" s="18" t="n">
        <v>80.52788538</v>
      </c>
      <c r="F40" s="20" t="n">
        <v>1.51003381</v>
      </c>
      <c r="G40" s="18" t="n">
        <v>15.74254734</v>
      </c>
      <c r="H40" s="20" t="n">
        <v>1.42498843</v>
      </c>
      <c r="I40" s="18" t="n">
        <v>0</v>
      </c>
      <c r="J40" s="20" t="n">
        <v>0</v>
      </c>
      <c r="K40" s="18" t="n">
        <v>0.10610385</v>
      </c>
      <c r="L40" s="20" t="n">
        <v>0.04654303</v>
      </c>
      <c r="M40" s="18" t="n">
        <v>0</v>
      </c>
      <c r="N40" s="20" t="n">
        <v>0</v>
      </c>
      <c r="O40" s="18" t="n">
        <v>0</v>
      </c>
      <c r="P40" s="20" t="n">
        <v>0</v>
      </c>
      <c r="Q40" s="18" t="n">
        <v>3.62346343</v>
      </c>
      <c r="R40" s="20" t="n">
        <v>0.61474179</v>
      </c>
    </row>
    <row r="41" spans="1:18">
      <c r="A41" s="15" t="s">
        <v>599</v>
      </c>
      <c r="B41" s="17" t="n">
        <v>2854</v>
      </c>
      <c r="C41" s="18">
        <f>(2215.0/B41*100)</f>
        <v/>
      </c>
      <c r="D41" s="19" t="n">
        <v>639</v>
      </c>
      <c r="E41" s="18" t="n">
        <v>82.87198769</v>
      </c>
      <c r="F41" s="20" t="n">
        <v>1.56155183</v>
      </c>
      <c r="G41" s="18" t="n">
        <v>15.86231232</v>
      </c>
      <c r="H41" s="20" t="n">
        <v>1.64568783</v>
      </c>
      <c r="I41" s="18" t="n">
        <v>0</v>
      </c>
      <c r="J41" s="20" t="n">
        <v>0</v>
      </c>
      <c r="K41" s="18" t="n">
        <v>0.6346129700000001</v>
      </c>
      <c r="L41" s="20" t="n">
        <v>0.37069161</v>
      </c>
      <c r="M41" s="18" t="n">
        <v>0</v>
      </c>
      <c r="N41" s="20" t="n">
        <v>0</v>
      </c>
      <c r="O41" s="18" t="n">
        <v>0</v>
      </c>
      <c r="P41" s="20" t="n">
        <v>0</v>
      </c>
      <c r="Q41" s="18" t="n">
        <v>0.63108703</v>
      </c>
      <c r="R41" s="20" t="n">
        <v>0.29703292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(10094.0/B46*100)</f>
        <v/>
      </c>
      <c r="D46" s="19" t="n">
        <v>1979</v>
      </c>
      <c r="E46" s="18" t="n">
        <v>85.21570029</v>
      </c>
      <c r="F46" s="20" t="n">
        <v>1.00750667</v>
      </c>
      <c r="G46" s="18" t="n">
        <v>4.68840625</v>
      </c>
      <c r="H46" s="20" t="n">
        <v>0.70903323</v>
      </c>
      <c r="I46" s="18" t="n">
        <v>0</v>
      </c>
      <c r="J46" s="20" t="n">
        <v>0</v>
      </c>
      <c r="K46" s="18" t="n">
        <v>1.27349262</v>
      </c>
      <c r="L46" s="20" t="n">
        <v>0.37093549</v>
      </c>
      <c r="M46" s="18" t="n">
        <v>0.23824936</v>
      </c>
      <c r="N46" s="20" t="n">
        <v>0.11050678</v>
      </c>
      <c r="O46" s="18" t="n">
        <v>0</v>
      </c>
      <c r="P46" s="20" t="n">
        <v>0</v>
      </c>
      <c r="Q46" s="18" t="n">
        <v>8.58415147</v>
      </c>
      <c r="R46" s="20" t="n">
        <v>0.84713134</v>
      </c>
    </row>
    <row r="47" spans="1:18">
      <c r="A47" s="15" t="s">
        <v>606</v>
      </c>
      <c r="B47" s="17" t="n">
        <v>2823</v>
      </c>
      <c r="C47" s="18">
        <f>(2207.0/B47*100)</f>
        <v/>
      </c>
      <c r="D47" s="19" t="n">
        <v>616</v>
      </c>
      <c r="E47" s="18" t="n">
        <v>87.14735416000001</v>
      </c>
      <c r="F47" s="20" t="n">
        <v>1.30463816</v>
      </c>
      <c r="G47" s="18" t="n">
        <v>9.05353758</v>
      </c>
      <c r="H47" s="20" t="n">
        <v>1.21847247</v>
      </c>
      <c r="I47" s="18" t="n">
        <v>0</v>
      </c>
      <c r="J47" s="20" t="n">
        <v>0</v>
      </c>
      <c r="K47" s="18" t="n">
        <v>0.80466085</v>
      </c>
      <c r="L47" s="20" t="n">
        <v>0.43224862</v>
      </c>
      <c r="M47" s="18" t="n">
        <v>0</v>
      </c>
      <c r="N47" s="20" t="n">
        <v>0</v>
      </c>
      <c r="O47" s="18" t="n">
        <v>0</v>
      </c>
      <c r="P47" s="20" t="n">
        <v>0</v>
      </c>
      <c r="Q47" s="18" t="n">
        <v>2.9944474</v>
      </c>
      <c r="R47" s="20" t="n">
        <v>0.71865512</v>
      </c>
    </row>
    <row r="48" spans="1:18">
      <c r="A48" s="15" t="s">
        <v>607</v>
      </c>
      <c r="B48" s="17" t="n">
        <v>4682</v>
      </c>
      <c r="C48" s="18">
        <f>(3642.0/B48*100)</f>
        <v/>
      </c>
      <c r="D48" s="19" t="n">
        <v>1040</v>
      </c>
      <c r="E48" s="18" t="n">
        <v>87.87218849999999</v>
      </c>
      <c r="F48" s="20" t="n">
        <v>1.38792307</v>
      </c>
      <c r="G48" s="18" t="n">
        <v>11.08867479</v>
      </c>
      <c r="H48" s="20" t="n">
        <v>1.38697381</v>
      </c>
      <c r="I48" s="18" t="n">
        <v>0</v>
      </c>
      <c r="J48" s="20" t="n">
        <v>0</v>
      </c>
      <c r="K48" s="18" t="n">
        <v>0.24961492</v>
      </c>
      <c r="L48" s="20" t="n">
        <v>0.18847324</v>
      </c>
      <c r="M48" s="18" t="n">
        <v>0</v>
      </c>
      <c r="N48" s="20" t="n">
        <v>0</v>
      </c>
      <c r="O48" s="18" t="n">
        <v>0</v>
      </c>
      <c r="P48" s="20" t="n">
        <v>0</v>
      </c>
      <c r="Q48" s="18" t="n">
        <v>0.7895218000000001</v>
      </c>
      <c r="R48" s="20" t="n">
        <v>0.3174784</v>
      </c>
    </row>
    <row r="49" spans="1:18">
      <c r="A49" s="15" t="s">
        <v>608</v>
      </c>
      <c r="B49" s="17" t="n">
        <v>6158</v>
      </c>
      <c r="C49" s="18">
        <f>(4850.0/B49*100)</f>
        <v/>
      </c>
      <c r="D49" s="19" t="n">
        <v>1308</v>
      </c>
      <c r="E49" s="18" t="n">
        <v>90.3595327</v>
      </c>
      <c r="F49" s="20" t="n">
        <v>0.99192734</v>
      </c>
      <c r="G49" s="18" t="n">
        <v>3.39848202</v>
      </c>
      <c r="H49" s="20" t="n">
        <v>0.51270953</v>
      </c>
      <c r="I49" s="18" t="n">
        <v>0</v>
      </c>
      <c r="J49" s="20" t="n">
        <v>0</v>
      </c>
      <c r="K49" s="18" t="n">
        <v>2.34588602</v>
      </c>
      <c r="L49" s="20" t="n">
        <v>0.57202852</v>
      </c>
      <c r="M49" s="18" t="n">
        <v>0.04550352</v>
      </c>
      <c r="N49" s="20" t="n">
        <v>0.03115135</v>
      </c>
      <c r="O49" s="18" t="n">
        <v>0</v>
      </c>
      <c r="P49" s="20" t="n">
        <v>0</v>
      </c>
      <c r="Q49" s="18" t="n">
        <v>3.85059574</v>
      </c>
      <c r="R49" s="20" t="n">
        <v>0.78063128</v>
      </c>
    </row>
    <row r="50" spans="1:18">
      <c r="A50" s="15" t="s">
        <v>609</v>
      </c>
      <c r="B50" s="17" t="n">
        <v>3494</v>
      </c>
      <c r="C50" s="18">
        <f>(2883.0/B50*100)</f>
        <v/>
      </c>
      <c r="D50" s="19" t="n">
        <v>611</v>
      </c>
      <c r="E50" s="18" t="n">
        <v>90.59661527</v>
      </c>
      <c r="F50" s="20" t="n">
        <v>1.33013845</v>
      </c>
      <c r="G50" s="18" t="n">
        <v>2.04441372</v>
      </c>
      <c r="H50" s="20" t="n">
        <v>0.58574342</v>
      </c>
      <c r="I50" s="18" t="n">
        <v>0</v>
      </c>
      <c r="J50" s="20" t="n">
        <v>0</v>
      </c>
      <c r="K50" s="18" t="n">
        <v>0.70644096</v>
      </c>
      <c r="L50" s="20" t="n">
        <v>0.35278444</v>
      </c>
      <c r="M50" s="18" t="n">
        <v>0</v>
      </c>
      <c r="N50" s="20" t="n">
        <v>0</v>
      </c>
      <c r="O50" s="18" t="n">
        <v>0</v>
      </c>
      <c r="P50" s="20" t="n">
        <v>0</v>
      </c>
      <c r="Q50" s="18" t="n">
        <v>6.65253005</v>
      </c>
      <c r="R50" s="20" t="n">
        <v>1.04432446</v>
      </c>
    </row>
    <row r="51" spans="1:18">
      <c r="A51" s="15" t="s">
        <v>610</v>
      </c>
      <c r="B51" s="17" t="n">
        <v>3013</v>
      </c>
      <c r="C51" s="18">
        <f>(2325.0/B51*100)</f>
        <v/>
      </c>
      <c r="D51" s="19" t="n">
        <v>688</v>
      </c>
      <c r="E51" s="18" t="n">
        <v>90.15168632</v>
      </c>
      <c r="F51" s="20" t="n">
        <v>1.23204058</v>
      </c>
      <c r="G51" s="18" t="n">
        <v>5.64531574</v>
      </c>
      <c r="H51" s="20" t="n">
        <v>0.9368875800000001</v>
      </c>
      <c r="I51" s="18" t="n">
        <v>0</v>
      </c>
      <c r="J51" s="20" t="n">
        <v>0</v>
      </c>
      <c r="K51" s="18" t="n">
        <v>0.26841334</v>
      </c>
      <c r="L51" s="20" t="n">
        <v>0.23577654</v>
      </c>
      <c r="M51" s="18" t="n">
        <v>0</v>
      </c>
      <c r="N51" s="20" t="n">
        <v>0</v>
      </c>
      <c r="O51" s="18" t="n">
        <v>0</v>
      </c>
      <c r="P51" s="20" t="n">
        <v>0</v>
      </c>
      <c r="Q51" s="18" t="n">
        <v>3.9345846</v>
      </c>
      <c r="R51" s="20" t="n">
        <v>0.7563474</v>
      </c>
    </row>
    <row r="52" spans="1:18">
      <c r="A52" s="15" t="s">
        <v>611</v>
      </c>
      <c r="B52" s="17" t="n">
        <v>2760</v>
      </c>
      <c r="C52" s="18">
        <f>(2122.0/B52*100)</f>
        <v/>
      </c>
      <c r="D52" s="19" t="n">
        <v>638</v>
      </c>
      <c r="E52" s="18" t="n">
        <v>87.84394372</v>
      </c>
      <c r="F52" s="20" t="n">
        <v>1.27821249</v>
      </c>
      <c r="G52" s="18" t="n">
        <v>6.53291869</v>
      </c>
      <c r="H52" s="20" t="n">
        <v>0.90224024</v>
      </c>
      <c r="I52" s="18" t="n">
        <v>0</v>
      </c>
      <c r="J52" s="20" t="n">
        <v>0</v>
      </c>
      <c r="K52" s="18" t="n">
        <v>0.36459506</v>
      </c>
      <c r="L52" s="20" t="n">
        <v>0.20989799</v>
      </c>
      <c r="M52" s="18" t="n">
        <v>0</v>
      </c>
      <c r="N52" s="20" t="n">
        <v>0</v>
      </c>
      <c r="O52" s="18" t="n">
        <v>0</v>
      </c>
      <c r="P52" s="20" t="n">
        <v>0</v>
      </c>
      <c r="Q52" s="18" t="n">
        <v>5.25854254</v>
      </c>
      <c r="R52" s="20" t="n">
        <v>0.90676112</v>
      </c>
    </row>
    <row r="53" spans="1:18">
      <c r="A53" s="15" t="s">
        <v>612</v>
      </c>
      <c r="B53" s="17" t="n">
        <v>2474</v>
      </c>
      <c r="C53" s="18">
        <f>(1939.0/B53*100)</f>
        <v/>
      </c>
      <c r="D53" s="19" t="n">
        <v>535</v>
      </c>
      <c r="E53" s="18" t="n">
        <v>75.85830974</v>
      </c>
      <c r="F53" s="20" t="n">
        <v>2.52354952</v>
      </c>
      <c r="G53" s="18" t="n">
        <v>0.58712676</v>
      </c>
      <c r="H53" s="20" t="n">
        <v>0.32803583</v>
      </c>
      <c r="I53" s="18" t="n">
        <v>0</v>
      </c>
      <c r="J53" s="20" t="n">
        <v>0</v>
      </c>
      <c r="K53" s="18" t="n">
        <v>14.78234151</v>
      </c>
      <c r="L53" s="20" t="n">
        <v>1.74611269</v>
      </c>
      <c r="M53" s="18" t="n">
        <v>1.25260513</v>
      </c>
      <c r="N53" s="20" t="n">
        <v>1.36408849</v>
      </c>
      <c r="O53" s="18" t="n">
        <v>0</v>
      </c>
      <c r="P53" s="20" t="n">
        <v>0</v>
      </c>
      <c r="Q53" s="18" t="n">
        <v>7.51961686</v>
      </c>
      <c r="R53" s="20" t="n">
        <v>1.59235597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(2120.0/B55*100)</f>
        <v/>
      </c>
      <c r="D55" s="19" t="n">
        <v>555</v>
      </c>
      <c r="E55" s="18" t="n">
        <v>86.34186647999999</v>
      </c>
      <c r="F55" s="20" t="n">
        <v>1.25542691</v>
      </c>
      <c r="G55" s="18" t="n">
        <v>12.39618447</v>
      </c>
      <c r="H55" s="20" t="n">
        <v>1.28360204</v>
      </c>
      <c r="I55" s="18" t="n">
        <v>0</v>
      </c>
      <c r="J55" s="20" t="n">
        <v>0</v>
      </c>
      <c r="K55" s="18" t="n">
        <v>0.16190447</v>
      </c>
      <c r="L55" s="20" t="n">
        <v>0.1662374</v>
      </c>
      <c r="M55" s="18" t="n">
        <v>0.19554349</v>
      </c>
      <c r="N55" s="20" t="n">
        <v>0.16820653</v>
      </c>
      <c r="O55" s="18" t="n">
        <v>0</v>
      </c>
      <c r="P55" s="20" t="n">
        <v>0</v>
      </c>
      <c r="Q55" s="18" t="n">
        <v>0.9045010999999999</v>
      </c>
      <c r="R55" s="20" t="n">
        <v>0.38871552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(2498.0/B61*100)</f>
        <v/>
      </c>
      <c r="D61" s="19" t="n">
        <v>703</v>
      </c>
      <c r="E61" s="18" t="n">
        <v>88.96920022</v>
      </c>
      <c r="F61" s="20" t="n">
        <v>1.23313582</v>
      </c>
      <c r="G61" s="18" t="n">
        <v>10.00214396</v>
      </c>
      <c r="H61" s="20" t="n">
        <v>1.15231025</v>
      </c>
      <c r="I61" s="18" t="n">
        <v>0</v>
      </c>
      <c r="J61" s="20" t="n">
        <v>0</v>
      </c>
      <c r="K61" s="18" t="n">
        <v>0</v>
      </c>
      <c r="L61" s="20" t="n">
        <v>0</v>
      </c>
      <c r="M61" s="18" t="n">
        <v>0</v>
      </c>
      <c r="N61" s="20" t="n">
        <v>0</v>
      </c>
      <c r="O61" s="18" t="n">
        <v>0</v>
      </c>
      <c r="P61" s="20" t="n">
        <v>0</v>
      </c>
      <c r="Q61" s="18" t="n">
        <v>1.02865582</v>
      </c>
      <c r="R61" s="20" t="n">
        <v>0.41346376</v>
      </c>
    </row>
    <row r="62" spans="1:18">
      <c r="A62" s="15" t="s">
        <v>622</v>
      </c>
      <c r="B62" s="17" t="n">
        <v>2230</v>
      </c>
      <c r="C62" s="18">
        <f>(1771.0/B62*100)</f>
        <v/>
      </c>
      <c r="D62" s="19" t="n">
        <v>459</v>
      </c>
      <c r="E62" s="18" t="n">
        <v>78.4308499</v>
      </c>
      <c r="F62" s="20" t="n">
        <v>2.04477808</v>
      </c>
      <c r="G62" s="18" t="n">
        <v>20.91411209</v>
      </c>
      <c r="H62" s="20" t="n">
        <v>2.0263475</v>
      </c>
      <c r="I62" s="18" t="n">
        <v>0</v>
      </c>
      <c r="J62" s="20" t="n">
        <v>0</v>
      </c>
      <c r="K62" s="18" t="n">
        <v>0</v>
      </c>
      <c r="L62" s="20" t="n">
        <v>0</v>
      </c>
      <c r="M62" s="18" t="n">
        <v>0</v>
      </c>
      <c r="N62" s="20" t="n">
        <v>0</v>
      </c>
      <c r="O62" s="18" t="n">
        <v>0</v>
      </c>
      <c r="P62" s="20" t="n">
        <v>0</v>
      </c>
      <c r="Q62" s="18" t="n">
        <v>0.655038</v>
      </c>
      <c r="R62" s="20" t="n">
        <v>0.37280754</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(2182.0/B67*100)</f>
        <v/>
      </c>
      <c r="D67" s="19" t="n">
        <v>589</v>
      </c>
      <c r="E67" s="18" t="n">
        <v>82.45986286999999</v>
      </c>
      <c r="F67" s="20" t="n">
        <v>1.5844562</v>
      </c>
      <c r="G67" s="18" t="n">
        <v>5.38018853</v>
      </c>
      <c r="H67" s="20" t="n">
        <v>0.9714010199999999</v>
      </c>
      <c r="I67" s="18" t="n">
        <v>0</v>
      </c>
      <c r="J67" s="20" t="n">
        <v>0</v>
      </c>
      <c r="K67" s="18" t="n">
        <v>0.60015512</v>
      </c>
      <c r="L67" s="20" t="n">
        <v>0.34523304</v>
      </c>
      <c r="M67" s="18" t="n">
        <v>0.65129131</v>
      </c>
      <c r="N67" s="20" t="n">
        <v>0.20792699</v>
      </c>
      <c r="O67" s="18" t="n">
        <v>0</v>
      </c>
      <c r="P67" s="20" t="n">
        <v>0</v>
      </c>
      <c r="Q67" s="18" t="n">
        <v>10.90850217</v>
      </c>
      <c r="R67" s="20" t="n">
        <v>1.24209841</v>
      </c>
    </row>
    <row r="68" spans="1:18">
      <c r="A68" s="15" t="s">
        <v>628</v>
      </c>
      <c r="B68" s="17" t="n">
        <v>3460</v>
      </c>
      <c r="C68" s="18">
        <f>(2811.0/B68*100)</f>
        <v/>
      </c>
      <c r="D68" s="19" t="n">
        <v>649</v>
      </c>
      <c r="E68" s="18" t="n">
        <v>89.43007875000001</v>
      </c>
      <c r="F68" s="20" t="n">
        <v>1.27951791</v>
      </c>
      <c r="G68" s="18" t="n">
        <v>0.75314337</v>
      </c>
      <c r="H68" s="20" t="n">
        <v>0.2608003</v>
      </c>
      <c r="I68" s="18" t="n">
        <v>0</v>
      </c>
      <c r="J68" s="20" t="n">
        <v>0</v>
      </c>
      <c r="K68" s="18" t="n">
        <v>0.1563533</v>
      </c>
      <c r="L68" s="20" t="n">
        <v>0.15618878</v>
      </c>
      <c r="M68" s="18" t="n">
        <v>1.15528064</v>
      </c>
      <c r="N68" s="20" t="n">
        <v>0.4936335</v>
      </c>
      <c r="O68" s="18" t="n">
        <v>0</v>
      </c>
      <c r="P68" s="20" t="n">
        <v>0</v>
      </c>
      <c r="Q68" s="18" t="n">
        <v>8.50514394</v>
      </c>
      <c r="R68" s="20" t="n">
        <v>1.17651124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(4682.0/B70*100)</f>
        <v/>
      </c>
      <c r="D70" s="19" t="n">
        <v>1352</v>
      </c>
      <c r="E70" s="18" t="n">
        <v>90.67289759000001</v>
      </c>
      <c r="F70" s="20" t="n">
        <v>0.8191964900000001</v>
      </c>
      <c r="G70" s="18" t="n">
        <v>4.38806151</v>
      </c>
      <c r="H70" s="20" t="n">
        <v>0.55216231</v>
      </c>
      <c r="I70" s="18" t="n">
        <v>0</v>
      </c>
      <c r="J70" s="20" t="n">
        <v>0</v>
      </c>
      <c r="K70" s="18" t="n">
        <v>1.84296984</v>
      </c>
      <c r="L70" s="20" t="n">
        <v>0.40067723</v>
      </c>
      <c r="M70" s="18" t="n">
        <v>0</v>
      </c>
      <c r="N70" s="20" t="n">
        <v>0</v>
      </c>
      <c r="O70" s="18" t="n">
        <v>0</v>
      </c>
      <c r="P70" s="20" t="n">
        <v>0</v>
      </c>
      <c r="Q70" s="18" t="n">
        <v>3.09607106</v>
      </c>
      <c r="R70" s="20" t="n">
        <v>0.46340467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(2440.0/B72*100)</f>
        <v/>
      </c>
      <c r="D72" s="19" t="n">
        <v>667</v>
      </c>
      <c r="E72" s="18" t="n">
        <v>90.17846498</v>
      </c>
      <c r="F72" s="20" t="n">
        <v>1.18475298</v>
      </c>
      <c r="G72" s="18" t="n">
        <v>7.81106815</v>
      </c>
      <c r="H72" s="20" t="n">
        <v>1.11091977</v>
      </c>
      <c r="I72" s="18" t="n">
        <v>0</v>
      </c>
      <c r="J72" s="20" t="n">
        <v>0</v>
      </c>
      <c r="K72" s="18" t="n">
        <v>0.20944193</v>
      </c>
      <c r="L72" s="20" t="n">
        <v>0.14385395</v>
      </c>
      <c r="M72" s="18" t="n">
        <v>0</v>
      </c>
      <c r="N72" s="20" t="n">
        <v>0</v>
      </c>
      <c r="O72" s="18" t="n">
        <v>0</v>
      </c>
      <c r="P72" s="20" t="n">
        <v>0</v>
      </c>
      <c r="Q72" s="18" t="n">
        <v>1.80102494</v>
      </c>
      <c r="R72" s="20" t="n">
        <v>0.45259793</v>
      </c>
    </row>
    <row r="73" spans="1:18">
      <c r="A73" s="15" t="s">
        <v>633</v>
      </c>
      <c r="B73" s="17" t="n">
        <v>2973</v>
      </c>
      <c r="C73" s="18">
        <f>(2322.0/B73*100)</f>
        <v/>
      </c>
      <c r="D73" s="19" t="n">
        <v>651</v>
      </c>
      <c r="E73" s="18" t="n">
        <v>63.19165221</v>
      </c>
      <c r="F73" s="20" t="n">
        <v>1.94399108</v>
      </c>
      <c r="G73" s="18" t="n">
        <v>35.87395901</v>
      </c>
      <c r="H73" s="20" t="n">
        <v>1.91819632</v>
      </c>
      <c r="I73" s="18" t="n">
        <v>0</v>
      </c>
      <c r="J73" s="20" t="n">
        <v>0</v>
      </c>
      <c r="K73" s="18" t="n">
        <v>0.16231336</v>
      </c>
      <c r="L73" s="20" t="n">
        <v>0.15784843</v>
      </c>
      <c r="M73" s="18" t="n">
        <v>0.16701736</v>
      </c>
      <c r="N73" s="20" t="n">
        <v>0.16636281</v>
      </c>
      <c r="O73" s="18" t="n">
        <v>0</v>
      </c>
      <c r="P73" s="20" t="n">
        <v>0</v>
      </c>
      <c r="Q73" s="18" t="n">
        <v>0.60505805</v>
      </c>
      <c r="R73" s="20" t="n">
        <v>0.30226448</v>
      </c>
    </row>
    <row r="74" spans="1:18">
      <c r="A74" s="15" t="s">
        <v>634</v>
      </c>
      <c r="B74" s="17" t="n">
        <v>3819</v>
      </c>
      <c r="C74" s="18">
        <f>(3003.0/B74*100)</f>
        <v/>
      </c>
      <c r="D74" s="19" t="n">
        <v>816</v>
      </c>
      <c r="E74" s="18" t="n">
        <v>82.74682993</v>
      </c>
      <c r="F74" s="20" t="n">
        <v>1.60331841</v>
      </c>
      <c r="G74" s="18" t="n">
        <v>16.09549951</v>
      </c>
      <c r="H74" s="20" t="n">
        <v>1.54079459</v>
      </c>
      <c r="I74" s="18" t="n">
        <v>0</v>
      </c>
      <c r="J74" s="20" t="n">
        <v>0</v>
      </c>
      <c r="K74" s="18" t="n">
        <v>0</v>
      </c>
      <c r="L74" s="20" t="n">
        <v>0</v>
      </c>
      <c r="M74" s="18" t="n">
        <v>0</v>
      </c>
      <c r="N74" s="20" t="n">
        <v>0</v>
      </c>
      <c r="O74" s="18" t="n">
        <v>0</v>
      </c>
      <c r="P74" s="20" t="n">
        <v>0</v>
      </c>
      <c r="Q74" s="18" t="n">
        <v>1.15767056</v>
      </c>
      <c r="R74" s="20" t="n">
        <v>0.44710576</v>
      </c>
    </row>
    <row r="75" spans="1:18">
      <c r="A75" s="15" t="s">
        <v>635</v>
      </c>
      <c r="B75" s="17" t="n">
        <v>4652</v>
      </c>
      <c r="C75" s="18">
        <f>(3695.0/B75*100)</f>
        <v/>
      </c>
      <c r="D75" s="19" t="n">
        <v>957</v>
      </c>
      <c r="E75" s="18" t="n">
        <v>92.19329465</v>
      </c>
      <c r="F75" s="20" t="n">
        <v>1.12764276</v>
      </c>
      <c r="G75" s="18" t="n">
        <v>5.56251436</v>
      </c>
      <c r="H75" s="20" t="n">
        <v>0.98018494</v>
      </c>
      <c r="I75" s="18" t="n">
        <v>0</v>
      </c>
      <c r="J75" s="20" t="n">
        <v>0</v>
      </c>
      <c r="K75" s="18" t="n">
        <v>0</v>
      </c>
      <c r="L75" s="20" t="n">
        <v>0</v>
      </c>
      <c r="M75" s="18" t="n">
        <v>1.0675345</v>
      </c>
      <c r="N75" s="20" t="n">
        <v>0.38274271</v>
      </c>
      <c r="O75" s="18" t="n">
        <v>0</v>
      </c>
      <c r="P75" s="20" t="n">
        <v>0</v>
      </c>
      <c r="Q75" s="18" t="n">
        <v>1.1766565</v>
      </c>
      <c r="R75" s="20" t="n">
        <v>0.39920454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(2403.0/B77*100)</f>
        <v/>
      </c>
      <c r="D77" s="19" t="n">
        <v>566</v>
      </c>
      <c r="E77" s="18" t="n">
        <v>87.984826</v>
      </c>
      <c r="F77" s="20" t="n">
        <v>1.30794538</v>
      </c>
      <c r="G77" s="18" t="n">
        <v>1.23360793</v>
      </c>
      <c r="H77" s="20" t="n">
        <v>0.37515463</v>
      </c>
      <c r="I77" s="18" t="n">
        <v>0</v>
      </c>
      <c r="J77" s="20" t="n">
        <v>0</v>
      </c>
      <c r="K77" s="18" t="n">
        <v>4.23770775</v>
      </c>
      <c r="L77" s="20" t="n">
        <v>0.98508694</v>
      </c>
      <c r="M77" s="18" t="n">
        <v>0</v>
      </c>
      <c r="N77" s="20" t="n">
        <v>0</v>
      </c>
      <c r="O77" s="18" t="n">
        <v>0</v>
      </c>
      <c r="P77" s="20" t="n">
        <v>0</v>
      </c>
      <c r="Q77" s="18" t="n">
        <v>6.54385833</v>
      </c>
      <c r="R77" s="20" t="n">
        <v>0.98440779</v>
      </c>
    </row>
    <row r="78" spans="1:18">
      <c r="A78" s="15" t="s">
        <v>638</v>
      </c>
      <c r="B78" s="17" t="n">
        <v>7115</v>
      </c>
      <c r="C78" s="18">
        <f>(5611.0/B78*100)</f>
        <v/>
      </c>
      <c r="D78" s="19" t="n">
        <v>1504</v>
      </c>
      <c r="E78" s="18" t="n">
        <v>86.79894668</v>
      </c>
      <c r="F78" s="20" t="n">
        <v>1.47601583</v>
      </c>
      <c r="G78" s="18" t="n">
        <v>10.16455571</v>
      </c>
      <c r="H78" s="20" t="n">
        <v>1.33697247</v>
      </c>
      <c r="I78" s="18" t="n">
        <v>0</v>
      </c>
      <c r="J78" s="20" t="n">
        <v>0</v>
      </c>
      <c r="K78" s="18" t="n">
        <v>0.77897547</v>
      </c>
      <c r="L78" s="20" t="n">
        <v>0.22138237</v>
      </c>
      <c r="M78" s="18" t="n">
        <v>0.1081005</v>
      </c>
      <c r="N78" s="20" t="n">
        <v>0.08794512</v>
      </c>
      <c r="O78" s="18" t="n">
        <v>0</v>
      </c>
      <c r="P78" s="20" t="n">
        <v>0</v>
      </c>
      <c r="Q78" s="18" t="n">
        <v>2.14942164</v>
      </c>
      <c r="R78" s="20" t="n">
        <v>0.44888257</v>
      </c>
    </row>
    <row r="79" spans="1:18">
      <c r="A79" s="15" t="s">
        <v>639</v>
      </c>
      <c r="B79" s="17" t="n">
        <v>3154</v>
      </c>
      <c r="C79" s="18">
        <f>(2479.0/B79*100)</f>
        <v/>
      </c>
      <c r="D79" s="19" t="n">
        <v>675</v>
      </c>
      <c r="E79" s="18" t="n">
        <v>80.75937380000001</v>
      </c>
      <c r="F79" s="20" t="n">
        <v>1.62092458</v>
      </c>
      <c r="G79" s="18" t="n">
        <v>5.69973589</v>
      </c>
      <c r="H79" s="20" t="n">
        <v>0.93521199</v>
      </c>
      <c r="I79" s="18" t="n">
        <v>0</v>
      </c>
      <c r="J79" s="20" t="n">
        <v>0</v>
      </c>
      <c r="K79" s="18" t="n">
        <v>1.1353283</v>
      </c>
      <c r="L79" s="20" t="n">
        <v>0.47926433</v>
      </c>
      <c r="M79" s="18" t="n">
        <v>0.15317684</v>
      </c>
      <c r="N79" s="20" t="n">
        <v>0.18192478</v>
      </c>
      <c r="O79" s="18" t="n">
        <v>0</v>
      </c>
      <c r="P79" s="20" t="n">
        <v>0</v>
      </c>
      <c r="Q79" s="18" t="n">
        <v>12.25238517</v>
      </c>
      <c r="R79" s="20" t="n">
        <v>1.32824138</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(12558.0/B82*100)</f>
        <v/>
      </c>
      <c r="D82" s="19" t="n">
        <v>3403</v>
      </c>
      <c r="E82" s="18" t="n">
        <v>80.70327869</v>
      </c>
      <c r="F82" s="20" t="n">
        <v>0.93295994</v>
      </c>
      <c r="G82" s="18" t="n">
        <v>13.06866792</v>
      </c>
      <c r="H82" s="20" t="n">
        <v>0.84545013</v>
      </c>
      <c r="I82" s="18" t="n">
        <v>0</v>
      </c>
      <c r="J82" s="20" t="n">
        <v>0</v>
      </c>
      <c r="K82" s="18" t="n">
        <v>0.45131561</v>
      </c>
      <c r="L82" s="20" t="n">
        <v>0.10760865</v>
      </c>
      <c r="M82" s="18" t="n">
        <v>0.09159748</v>
      </c>
      <c r="N82" s="20" t="n">
        <v>0.09100756</v>
      </c>
      <c r="O82" s="18" t="n">
        <v>0</v>
      </c>
      <c r="P82" s="20" t="n">
        <v>0</v>
      </c>
      <c r="Q82" s="18" t="n">
        <v>5.68514029</v>
      </c>
      <c r="R82" s="20" t="n">
        <v>0.67166813</v>
      </c>
    </row>
    <row r="83" spans="1:18">
      <c r="A83" s="15" t="s">
        <v>643</v>
      </c>
      <c r="B83" s="17" t="n">
        <v>808</v>
      </c>
      <c r="C83" s="18">
        <f>(644.0/B83*100)</f>
        <v/>
      </c>
      <c r="D83" s="19" t="n">
        <v>164</v>
      </c>
      <c r="E83" s="18" t="n">
        <v>85.44388655</v>
      </c>
      <c r="F83" s="20" t="n">
        <v>3.31412641</v>
      </c>
      <c r="G83" s="18" t="n">
        <v>14.55611345</v>
      </c>
      <c r="H83" s="20" t="n">
        <v>3.31412641</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(763.0/B84*100)</f>
        <v/>
      </c>
      <c r="D84" s="19" t="n">
        <v>175</v>
      </c>
      <c r="E84" s="18" t="n">
        <v>87.597111</v>
      </c>
      <c r="F84" s="20" t="n">
        <v>2.73901551</v>
      </c>
      <c r="G84" s="18" t="n">
        <v>10.60685568</v>
      </c>
      <c r="H84" s="20" t="n">
        <v>2.41305634</v>
      </c>
      <c r="I84" s="18" t="n">
        <v>0</v>
      </c>
      <c r="J84" s="20" t="n">
        <v>0</v>
      </c>
      <c r="K84" s="18" t="n">
        <v>0</v>
      </c>
      <c r="L84" s="20" t="n">
        <v>0</v>
      </c>
      <c r="M84" s="18" t="n">
        <v>0</v>
      </c>
      <c r="N84" s="20" t="n">
        <v>0</v>
      </c>
      <c r="O84" s="18" t="n">
        <v>0</v>
      </c>
      <c r="P84" s="20" t="n">
        <v>0</v>
      </c>
      <c r="Q84" s="18" t="n">
        <v>1.79603331</v>
      </c>
      <c r="R84" s="20" t="n">
        <v>1.03667556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(5608.0/B7*100)</f>
        <v/>
      </c>
      <c r="D7" s="19" t="n">
        <v>1555</v>
      </c>
      <c r="E7" s="18" t="n">
        <v>62.50506667</v>
      </c>
      <c r="F7" s="20" t="n">
        <v>1.4216607</v>
      </c>
      <c r="G7" s="18" t="n">
        <v>35.60022342</v>
      </c>
      <c r="H7" s="20" t="n">
        <v>1.46154234</v>
      </c>
      <c r="I7" s="18" t="n">
        <v>0</v>
      </c>
      <c r="J7" s="20" t="n">
        <v>0</v>
      </c>
      <c r="K7" s="18" t="n">
        <v>0.65581163</v>
      </c>
      <c r="L7" s="20" t="n">
        <v>0.22469103</v>
      </c>
      <c r="M7" s="18" t="n">
        <v>0</v>
      </c>
      <c r="N7" s="20" t="n">
        <v>0</v>
      </c>
      <c r="O7" s="18" t="n">
        <v>0</v>
      </c>
      <c r="P7" s="20" t="n">
        <v>0</v>
      </c>
      <c r="Q7" s="18" t="n">
        <v>1.23889828</v>
      </c>
      <c r="R7" s="20" t="n">
        <v>0.31256441</v>
      </c>
    </row>
    <row r="8" spans="1:18">
      <c r="A8" s="15" t="s">
        <v>566</v>
      </c>
      <c r="B8" s="17" t="n">
        <v>3443</v>
      </c>
      <c r="C8" s="18">
        <f>(2660.0/B8*100)</f>
        <v/>
      </c>
      <c r="D8" s="19" t="n">
        <v>783</v>
      </c>
      <c r="E8" s="18" t="n">
        <v>68.15610948</v>
      </c>
      <c r="F8" s="20" t="n">
        <v>1.54620359</v>
      </c>
      <c r="G8" s="18" t="n">
        <v>30.18805805</v>
      </c>
      <c r="H8" s="20" t="n">
        <v>1.51556627</v>
      </c>
      <c r="I8" s="18" t="n">
        <v>0</v>
      </c>
      <c r="J8" s="20" t="n">
        <v>0</v>
      </c>
      <c r="K8" s="18" t="n">
        <v>0.17007913</v>
      </c>
      <c r="L8" s="20" t="n">
        <v>0.16817251</v>
      </c>
      <c r="M8" s="18" t="n">
        <v>0</v>
      </c>
      <c r="N8" s="20" t="n">
        <v>0</v>
      </c>
      <c r="O8" s="18" t="n">
        <v>0</v>
      </c>
      <c r="P8" s="20" t="n">
        <v>0</v>
      </c>
      <c r="Q8" s="18" t="n">
        <v>1.48575334</v>
      </c>
      <c r="R8" s="20" t="n">
        <v>0.54559846</v>
      </c>
    </row>
    <row r="9" spans="1:18">
      <c r="A9" s="15" t="s">
        <v>567</v>
      </c>
      <c r="B9" s="17" t="n">
        <v>4752</v>
      </c>
      <c r="C9" s="18">
        <f>(3745.0/B9*100)</f>
        <v/>
      </c>
      <c r="D9" s="19" t="n">
        <v>1007</v>
      </c>
      <c r="E9" s="18" t="n">
        <v>71.92362537</v>
      </c>
      <c r="F9" s="20" t="n">
        <v>1.52797232</v>
      </c>
      <c r="G9" s="18" t="n">
        <v>25.41179677</v>
      </c>
      <c r="H9" s="20" t="n">
        <v>1.48762788</v>
      </c>
      <c r="I9" s="18" t="n">
        <v>0</v>
      </c>
      <c r="J9" s="20" t="n">
        <v>0</v>
      </c>
      <c r="K9" s="18" t="n">
        <v>0.8937444</v>
      </c>
      <c r="L9" s="20" t="n">
        <v>0.27848702</v>
      </c>
      <c r="M9" s="18" t="n">
        <v>0</v>
      </c>
      <c r="N9" s="20" t="n">
        <v>0</v>
      </c>
      <c r="O9" s="18" t="n">
        <v>0</v>
      </c>
      <c r="P9" s="20" t="n">
        <v>0</v>
      </c>
      <c r="Q9" s="18" t="n">
        <v>1.77083346</v>
      </c>
      <c r="R9" s="20" t="n">
        <v>0.51188237</v>
      </c>
    </row>
    <row r="10" spans="1:18">
      <c r="A10" s="15" t="s">
        <v>568</v>
      </c>
      <c r="B10" s="17" t="n">
        <v>10022</v>
      </c>
      <c r="C10" s="18">
        <f>(7821.0/B10*100)</f>
        <v/>
      </c>
      <c r="D10" s="19" t="n">
        <v>2201</v>
      </c>
      <c r="E10" s="18" t="n">
        <v>69.40094372</v>
      </c>
      <c r="F10" s="20" t="n">
        <v>1.37223608</v>
      </c>
      <c r="G10" s="18" t="n">
        <v>29.01945819</v>
      </c>
      <c r="H10" s="20" t="n">
        <v>1.37312136</v>
      </c>
      <c r="I10" s="18" t="n">
        <v>0</v>
      </c>
      <c r="J10" s="20" t="n">
        <v>0</v>
      </c>
      <c r="K10" s="18" t="n">
        <v>0.77060169</v>
      </c>
      <c r="L10" s="20" t="n">
        <v>0.27940963</v>
      </c>
      <c r="M10" s="18" t="n">
        <v>0</v>
      </c>
      <c r="N10" s="20" t="n">
        <v>0</v>
      </c>
      <c r="O10" s="18" t="n">
        <v>0</v>
      </c>
      <c r="P10" s="20" t="n">
        <v>0</v>
      </c>
      <c r="Q10" s="18" t="n">
        <v>0.80899641</v>
      </c>
      <c r="R10" s="20" t="n">
        <v>0.24224861</v>
      </c>
    </row>
    <row r="11" spans="1:18">
      <c r="A11" s="15" t="s">
        <v>569</v>
      </c>
      <c r="B11" s="17" t="n">
        <v>3500</v>
      </c>
      <c r="C11" s="18">
        <f>(2786.0/B11*100)</f>
        <v/>
      </c>
      <c r="D11" s="19" t="n">
        <v>714</v>
      </c>
      <c r="E11" s="18" t="n">
        <v>77.32469159</v>
      </c>
      <c r="F11" s="20" t="n">
        <v>1.47592795</v>
      </c>
      <c r="G11" s="18" t="n">
        <v>15.66078615</v>
      </c>
      <c r="H11" s="20" t="n">
        <v>1.4136843</v>
      </c>
      <c r="I11" s="18" t="n">
        <v>0</v>
      </c>
      <c r="J11" s="20" t="n">
        <v>0</v>
      </c>
      <c r="K11" s="18" t="n">
        <v>1.61848041</v>
      </c>
      <c r="L11" s="20" t="n">
        <v>0.55315546</v>
      </c>
      <c r="M11" s="18" t="n">
        <v>0</v>
      </c>
      <c r="N11" s="20" t="n">
        <v>0</v>
      </c>
      <c r="O11" s="18" t="n">
        <v>0</v>
      </c>
      <c r="P11" s="20" t="n">
        <v>0</v>
      </c>
      <c r="Q11" s="18" t="n">
        <v>5.39604185</v>
      </c>
      <c r="R11" s="20" t="n">
        <v>0.90895279</v>
      </c>
    </row>
    <row r="12" spans="1:18">
      <c r="A12" s="15" t="s">
        <v>570</v>
      </c>
      <c r="B12" s="17" t="n">
        <v>3422</v>
      </c>
      <c r="C12" s="18">
        <f>(2688.0/B12*100)</f>
        <v/>
      </c>
      <c r="D12" s="19" t="n">
        <v>734</v>
      </c>
      <c r="E12" s="18" t="n">
        <v>64.34264019</v>
      </c>
      <c r="F12" s="20" t="n">
        <v>1.98681422</v>
      </c>
      <c r="G12" s="18" t="n">
        <v>34.24486296</v>
      </c>
      <c r="H12" s="20" t="n">
        <v>1.99659071</v>
      </c>
      <c r="I12" s="18" t="n">
        <v>0</v>
      </c>
      <c r="J12" s="20" t="n">
        <v>0</v>
      </c>
      <c r="K12" s="18" t="n">
        <v>0.14039871</v>
      </c>
      <c r="L12" s="20" t="n">
        <v>0.09797084</v>
      </c>
      <c r="M12" s="18" t="n">
        <v>0</v>
      </c>
      <c r="N12" s="20" t="n">
        <v>0</v>
      </c>
      <c r="O12" s="18" t="n">
        <v>0</v>
      </c>
      <c r="P12" s="20" t="n">
        <v>0</v>
      </c>
      <c r="Q12" s="18" t="n">
        <v>1.27209814</v>
      </c>
      <c r="R12" s="20" t="n">
        <v>0.51274271</v>
      </c>
    </row>
    <row r="13" spans="1:18">
      <c r="A13" s="15" t="s">
        <v>571</v>
      </c>
      <c r="B13" s="17" t="n">
        <v>3602</v>
      </c>
      <c r="C13" s="18">
        <f>(2805.0/B13*100)</f>
        <v/>
      </c>
      <c r="D13" s="19" t="n">
        <v>797</v>
      </c>
      <c r="E13" s="18" t="n">
        <v>67.70073364</v>
      </c>
      <c r="F13" s="20" t="n">
        <v>1.99867849</v>
      </c>
      <c r="G13" s="18" t="n">
        <v>30.34161</v>
      </c>
      <c r="H13" s="20" t="n">
        <v>1.9142374</v>
      </c>
      <c r="I13" s="18" t="n">
        <v>0</v>
      </c>
      <c r="J13" s="20" t="n">
        <v>0</v>
      </c>
      <c r="K13" s="18" t="n">
        <v>0.73288208</v>
      </c>
      <c r="L13" s="20" t="n">
        <v>0.3328244</v>
      </c>
      <c r="M13" s="18" t="n">
        <v>0</v>
      </c>
      <c r="N13" s="20" t="n">
        <v>0</v>
      </c>
      <c r="O13" s="18" t="n">
        <v>0</v>
      </c>
      <c r="P13" s="20" t="n">
        <v>0</v>
      </c>
      <c r="Q13" s="18" t="n">
        <v>1.22477428</v>
      </c>
      <c r="R13" s="20" t="n">
        <v>0.47625857</v>
      </c>
    </row>
    <row r="14" spans="1:18">
      <c r="A14" s="15" t="s">
        <v>572</v>
      </c>
      <c r="B14" s="17" t="n">
        <v>2788</v>
      </c>
      <c r="C14" s="18">
        <f>(2139.0/B14*100)</f>
        <v/>
      </c>
      <c r="D14" s="19" t="n">
        <v>649</v>
      </c>
      <c r="E14" s="18" t="n">
        <v>50.62820037</v>
      </c>
      <c r="F14" s="20" t="n">
        <v>2.1700227</v>
      </c>
      <c r="G14" s="18" t="n">
        <v>47.54530703</v>
      </c>
      <c r="H14" s="20" t="n">
        <v>2.16537803</v>
      </c>
      <c r="I14" s="18" t="n">
        <v>0</v>
      </c>
      <c r="J14" s="20" t="n">
        <v>0</v>
      </c>
      <c r="K14" s="18" t="n">
        <v>0.90277129</v>
      </c>
      <c r="L14" s="20" t="n">
        <v>0.43958691</v>
      </c>
      <c r="M14" s="18" t="n">
        <v>0</v>
      </c>
      <c r="N14" s="20" t="n">
        <v>0</v>
      </c>
      <c r="O14" s="18" t="n">
        <v>0</v>
      </c>
      <c r="P14" s="20" t="n">
        <v>0</v>
      </c>
      <c r="Q14" s="18" t="n">
        <v>0.9237213</v>
      </c>
      <c r="R14" s="20" t="n">
        <v>0.44361921</v>
      </c>
    </row>
    <row r="15" spans="1:18">
      <c r="A15" s="15" t="s">
        <v>573</v>
      </c>
      <c r="B15" s="17" t="n">
        <v>2863</v>
      </c>
      <c r="C15" s="18">
        <f>(2260.0/B15*100)</f>
        <v/>
      </c>
      <c r="D15" s="19" t="n">
        <v>603</v>
      </c>
      <c r="E15" s="18" t="n">
        <v>59.55813455</v>
      </c>
      <c r="F15" s="20" t="n">
        <v>2.44648877</v>
      </c>
      <c r="G15" s="18" t="n">
        <v>39.93833848</v>
      </c>
      <c r="H15" s="20" t="n">
        <v>2.42951498</v>
      </c>
      <c r="I15" s="18" t="n">
        <v>0</v>
      </c>
      <c r="J15" s="20" t="n">
        <v>0</v>
      </c>
      <c r="K15" s="18" t="n">
        <v>0</v>
      </c>
      <c r="L15" s="20" t="n">
        <v>0</v>
      </c>
      <c r="M15" s="18" t="n">
        <v>0</v>
      </c>
      <c r="N15" s="20" t="n">
        <v>0</v>
      </c>
      <c r="O15" s="18" t="n">
        <v>0</v>
      </c>
      <c r="P15" s="20" t="n">
        <v>0</v>
      </c>
      <c r="Q15" s="18" t="n">
        <v>0.50352697</v>
      </c>
      <c r="R15" s="20" t="n">
        <v>0.29050982</v>
      </c>
    </row>
    <row r="16" spans="1:18">
      <c r="A16" s="15" t="s">
        <v>574</v>
      </c>
      <c r="B16" s="17" t="n">
        <v>3111</v>
      </c>
      <c r="C16" s="18">
        <f>(2405.0/B16*100)</f>
        <v/>
      </c>
      <c r="D16" s="19" t="n">
        <v>706</v>
      </c>
      <c r="E16" s="18" t="n">
        <v>76.8093891</v>
      </c>
      <c r="F16" s="20" t="n">
        <v>1.39935053</v>
      </c>
      <c r="G16" s="18" t="n">
        <v>20.78799017</v>
      </c>
      <c r="H16" s="20" t="n">
        <v>1.41844059</v>
      </c>
      <c r="I16" s="18" t="n">
        <v>0</v>
      </c>
      <c r="J16" s="20" t="n">
        <v>0</v>
      </c>
      <c r="K16" s="18" t="n">
        <v>1.08495024</v>
      </c>
      <c r="L16" s="20" t="n">
        <v>0.42285224</v>
      </c>
      <c r="M16" s="18" t="n">
        <v>0</v>
      </c>
      <c r="N16" s="20" t="n">
        <v>0</v>
      </c>
      <c r="O16" s="18" t="n">
        <v>0</v>
      </c>
      <c r="P16" s="20" t="n">
        <v>0</v>
      </c>
      <c r="Q16" s="18" t="n">
        <v>1.31767049</v>
      </c>
      <c r="R16" s="20" t="n">
        <v>0.39855252</v>
      </c>
    </row>
    <row r="17" spans="1:18">
      <c r="A17" s="15" t="s">
        <v>575</v>
      </c>
      <c r="B17" s="17" t="n">
        <v>3197</v>
      </c>
      <c r="C17" s="18">
        <f>(2503.0/B17*100)</f>
        <v/>
      </c>
      <c r="D17" s="19" t="n">
        <v>694</v>
      </c>
      <c r="E17" s="18" t="n">
        <v>67.35490849</v>
      </c>
      <c r="F17" s="20" t="n">
        <v>2.05493227</v>
      </c>
      <c r="G17" s="18" t="n">
        <v>31.67178621</v>
      </c>
      <c r="H17" s="20" t="n">
        <v>2.03862956</v>
      </c>
      <c r="I17" s="18" t="n">
        <v>0</v>
      </c>
      <c r="J17" s="20" t="n">
        <v>0</v>
      </c>
      <c r="K17" s="18" t="n">
        <v>0.12823176</v>
      </c>
      <c r="L17" s="20" t="n">
        <v>0.12903291</v>
      </c>
      <c r="M17" s="18" t="n">
        <v>0</v>
      </c>
      <c r="N17" s="20" t="n">
        <v>0</v>
      </c>
      <c r="O17" s="18" t="n">
        <v>0</v>
      </c>
      <c r="P17" s="20" t="n">
        <v>0</v>
      </c>
      <c r="Q17" s="18" t="n">
        <v>0.84507354</v>
      </c>
      <c r="R17" s="20" t="n">
        <v>0.39887466</v>
      </c>
    </row>
    <row r="18" spans="1:18">
      <c r="A18" s="15" t="s">
        <v>576</v>
      </c>
      <c r="B18" s="17" t="n">
        <v>2706</v>
      </c>
      <c r="C18" s="18">
        <f>(2092.0/B18*100)</f>
        <v/>
      </c>
      <c r="D18" s="19" t="n">
        <v>614</v>
      </c>
      <c r="E18" s="18" t="n">
        <v>66.6224433</v>
      </c>
      <c r="F18" s="20" t="n">
        <v>2.04599141</v>
      </c>
      <c r="G18" s="18" t="n">
        <v>30.5171417</v>
      </c>
      <c r="H18" s="20" t="n">
        <v>1.98300928</v>
      </c>
      <c r="I18" s="18" t="n">
        <v>0</v>
      </c>
      <c r="J18" s="20" t="n">
        <v>0</v>
      </c>
      <c r="K18" s="18" t="n">
        <v>1.34984879</v>
      </c>
      <c r="L18" s="20" t="n">
        <v>0.47762784</v>
      </c>
      <c r="M18" s="18" t="n">
        <v>0</v>
      </c>
      <c r="N18" s="20" t="n">
        <v>0</v>
      </c>
      <c r="O18" s="18" t="n">
        <v>0</v>
      </c>
      <c r="P18" s="20" t="n">
        <v>0</v>
      </c>
      <c r="Q18" s="18" t="n">
        <v>1.51056621</v>
      </c>
      <c r="R18" s="20" t="n">
        <v>0.50473563</v>
      </c>
    </row>
    <row r="19" spans="1:18">
      <c r="A19" s="15" t="s">
        <v>577</v>
      </c>
      <c r="B19" s="17" t="n">
        <v>2850</v>
      </c>
      <c r="C19" s="18">
        <f>(2245.0/B19*100)</f>
        <v/>
      </c>
      <c r="D19" s="19" t="n">
        <v>605</v>
      </c>
      <c r="E19" s="18" t="n">
        <v>58.72634128</v>
      </c>
      <c r="F19" s="20" t="n">
        <v>2.18152347</v>
      </c>
      <c r="G19" s="18" t="n">
        <v>39.49446801</v>
      </c>
      <c r="H19" s="20" t="n">
        <v>2.17020786</v>
      </c>
      <c r="I19" s="18" t="n">
        <v>0</v>
      </c>
      <c r="J19" s="20" t="n">
        <v>0</v>
      </c>
      <c r="K19" s="18" t="n">
        <v>0.29328083</v>
      </c>
      <c r="L19" s="20" t="n">
        <v>0.18286163</v>
      </c>
      <c r="M19" s="18" t="n">
        <v>0</v>
      </c>
      <c r="N19" s="20" t="n">
        <v>0</v>
      </c>
      <c r="O19" s="18" t="n">
        <v>0</v>
      </c>
      <c r="P19" s="20" t="n">
        <v>0</v>
      </c>
      <c r="Q19" s="18" t="n">
        <v>1.48590989</v>
      </c>
      <c r="R19" s="20" t="n">
        <v>0.60890134</v>
      </c>
    </row>
    <row r="20" spans="1:18">
      <c r="A20" s="15" t="s">
        <v>578</v>
      </c>
      <c r="B20" s="17" t="n">
        <v>1741</v>
      </c>
      <c r="C20" s="18">
        <f>(1355.0/B20*100)</f>
        <v/>
      </c>
      <c r="D20" s="19" t="n">
        <v>386</v>
      </c>
      <c r="E20" s="18" t="n">
        <v>69.21476788</v>
      </c>
      <c r="F20" s="20" t="n">
        <v>2.48449583</v>
      </c>
      <c r="G20" s="18" t="n">
        <v>27.33635237</v>
      </c>
      <c r="H20" s="20" t="n">
        <v>2.51184962</v>
      </c>
      <c r="I20" s="18" t="n">
        <v>0</v>
      </c>
      <c r="J20" s="20" t="n">
        <v>0</v>
      </c>
      <c r="K20" s="18" t="n">
        <v>0.55950303</v>
      </c>
      <c r="L20" s="20" t="n">
        <v>0.40181942</v>
      </c>
      <c r="M20" s="18" t="n">
        <v>0</v>
      </c>
      <c r="N20" s="20" t="n">
        <v>0</v>
      </c>
      <c r="O20" s="18" t="n">
        <v>0</v>
      </c>
      <c r="P20" s="20" t="n">
        <v>0</v>
      </c>
      <c r="Q20" s="18" t="n">
        <v>2.88937672</v>
      </c>
      <c r="R20" s="20" t="n">
        <v>0.83059686</v>
      </c>
    </row>
    <row r="21" spans="1:18">
      <c r="A21" s="15" t="s">
        <v>579</v>
      </c>
      <c r="B21" s="17" t="n">
        <v>2833</v>
      </c>
      <c r="C21" s="18">
        <f>(2220.0/B21*100)</f>
        <v/>
      </c>
      <c r="D21" s="19" t="n">
        <v>613</v>
      </c>
      <c r="E21" s="18" t="n">
        <v>57.74537506</v>
      </c>
      <c r="F21" s="20" t="n">
        <v>1.99042183</v>
      </c>
      <c r="G21" s="18" t="n">
        <v>41.19011791</v>
      </c>
      <c r="H21" s="20" t="n">
        <v>1.96441852</v>
      </c>
      <c r="I21" s="18" t="n">
        <v>0</v>
      </c>
      <c r="J21" s="20" t="n">
        <v>0</v>
      </c>
      <c r="K21" s="18" t="n">
        <v>0.12047749</v>
      </c>
      <c r="L21" s="20" t="n">
        <v>0.12037787</v>
      </c>
      <c r="M21" s="18" t="n">
        <v>0</v>
      </c>
      <c r="N21" s="20" t="n">
        <v>0</v>
      </c>
      <c r="O21" s="18" t="n">
        <v>0</v>
      </c>
      <c r="P21" s="20" t="n">
        <v>0</v>
      </c>
      <c r="Q21" s="18" t="n">
        <v>0.9440295399999999</v>
      </c>
      <c r="R21" s="20" t="n">
        <v>0.46950815</v>
      </c>
    </row>
    <row r="22" spans="1:18">
      <c r="A22" s="15" t="s">
        <v>580</v>
      </c>
      <c r="B22" s="17" t="n">
        <v>3667</v>
      </c>
      <c r="C22" s="18">
        <f>(2991.0/B22*100)</f>
        <v/>
      </c>
      <c r="D22" s="19" t="n">
        <v>676</v>
      </c>
      <c r="E22" s="18" t="n">
        <v>62.02549758</v>
      </c>
      <c r="F22" s="20" t="n">
        <v>1.81854962</v>
      </c>
      <c r="G22" s="18" t="n">
        <v>34.98324113</v>
      </c>
      <c r="H22" s="20" t="n">
        <v>2.05633249</v>
      </c>
      <c r="I22" s="18" t="n">
        <v>0</v>
      </c>
      <c r="J22" s="20" t="n">
        <v>0</v>
      </c>
      <c r="K22" s="18" t="n">
        <v>0.79257882</v>
      </c>
      <c r="L22" s="20" t="n">
        <v>0.36674627</v>
      </c>
      <c r="M22" s="18" t="n">
        <v>0</v>
      </c>
      <c r="N22" s="20" t="n">
        <v>0</v>
      </c>
      <c r="O22" s="18" t="n">
        <v>0</v>
      </c>
      <c r="P22" s="20" t="n">
        <v>0</v>
      </c>
      <c r="Q22" s="18" t="n">
        <v>2.19868246</v>
      </c>
      <c r="R22" s="20" t="n">
        <v>1.08451154</v>
      </c>
    </row>
    <row r="23" spans="1:18">
      <c r="A23" s="15" t="s">
        <v>581</v>
      </c>
      <c r="B23" s="17" t="n">
        <v>5792</v>
      </c>
      <c r="C23" s="18">
        <f>(4539.0/B23*100)</f>
        <v/>
      </c>
      <c r="D23" s="19" t="n">
        <v>1253</v>
      </c>
      <c r="E23" s="18" t="n">
        <v>61.77978139</v>
      </c>
      <c r="F23" s="20" t="n">
        <v>2.14814058</v>
      </c>
      <c r="G23" s="18" t="n">
        <v>33.77308223</v>
      </c>
      <c r="H23" s="20" t="n">
        <v>2.14630407</v>
      </c>
      <c r="I23" s="18" t="n">
        <v>0</v>
      </c>
      <c r="J23" s="20" t="n">
        <v>0</v>
      </c>
      <c r="K23" s="18" t="n">
        <v>1.12814835</v>
      </c>
      <c r="L23" s="20" t="n">
        <v>0.444454</v>
      </c>
      <c r="M23" s="18" t="n">
        <v>0</v>
      </c>
      <c r="N23" s="20" t="n">
        <v>0</v>
      </c>
      <c r="O23" s="18" t="n">
        <v>0</v>
      </c>
      <c r="P23" s="20" t="n">
        <v>0</v>
      </c>
      <c r="Q23" s="18" t="n">
        <v>3.31898803</v>
      </c>
      <c r="R23" s="20" t="n">
        <v>0.9907581600000001</v>
      </c>
    </row>
    <row r="24" spans="1:18">
      <c r="A24" s="15" t="s">
        <v>582</v>
      </c>
      <c r="B24" s="17" t="n">
        <v>3309</v>
      </c>
      <c r="C24" s="18">
        <f>(2611.0/B24*100)</f>
        <v/>
      </c>
      <c r="D24" s="19" t="n">
        <v>698</v>
      </c>
      <c r="E24" s="18" t="n">
        <v>48.51461586</v>
      </c>
      <c r="F24" s="20" t="n">
        <v>1.83025343</v>
      </c>
      <c r="G24" s="18" t="n">
        <v>50.89409142</v>
      </c>
      <c r="H24" s="20" t="n">
        <v>1.89000312</v>
      </c>
      <c r="I24" s="18" t="n">
        <v>0</v>
      </c>
      <c r="J24" s="20" t="n">
        <v>0</v>
      </c>
      <c r="K24" s="18" t="n">
        <v>0</v>
      </c>
      <c r="L24" s="20" t="n">
        <v>0</v>
      </c>
      <c r="M24" s="18" t="n">
        <v>0</v>
      </c>
      <c r="N24" s="20" t="n">
        <v>0</v>
      </c>
      <c r="O24" s="18" t="n">
        <v>0</v>
      </c>
      <c r="P24" s="20" t="n">
        <v>0</v>
      </c>
      <c r="Q24" s="18" t="n">
        <v>0.5912927100000001</v>
      </c>
      <c r="R24" s="20" t="n">
        <v>0.30330651</v>
      </c>
    </row>
    <row r="25" spans="1:18">
      <c r="A25" s="15" t="s">
        <v>583</v>
      </c>
      <c r="B25" s="17" t="n">
        <v>2669</v>
      </c>
      <c r="C25" s="18">
        <f>(2051.0/B25*100)</f>
        <v/>
      </c>
      <c r="D25" s="19" t="n">
        <v>618</v>
      </c>
      <c r="E25" s="18" t="n">
        <v>51.55163624</v>
      </c>
      <c r="F25" s="20" t="n">
        <v>1.9716246</v>
      </c>
      <c r="G25" s="18" t="n">
        <v>48.01226217</v>
      </c>
      <c r="H25" s="20" t="n">
        <v>1.9743416</v>
      </c>
      <c r="I25" s="18" t="n">
        <v>0</v>
      </c>
      <c r="J25" s="20" t="n">
        <v>0</v>
      </c>
      <c r="K25" s="18" t="n">
        <v>0.15902224</v>
      </c>
      <c r="L25" s="20" t="n">
        <v>0.15967839</v>
      </c>
      <c r="M25" s="18" t="n">
        <v>0</v>
      </c>
      <c r="N25" s="20" t="n">
        <v>0</v>
      </c>
      <c r="O25" s="18" t="n">
        <v>0</v>
      </c>
      <c r="P25" s="20" t="n">
        <v>0</v>
      </c>
      <c r="Q25" s="18" t="n">
        <v>0.27707935</v>
      </c>
      <c r="R25" s="20" t="n">
        <v>0.19843804</v>
      </c>
    </row>
    <row r="26" spans="1:18">
      <c r="A26" s="15" t="s">
        <v>584</v>
      </c>
      <c r="B26" s="17" t="n">
        <v>2419</v>
      </c>
      <c r="C26" s="18">
        <f>(1890.0/B26*100)</f>
        <v/>
      </c>
      <c r="D26" s="19" t="n">
        <v>529</v>
      </c>
      <c r="E26" s="18" t="n">
        <v>66.20109264</v>
      </c>
      <c r="F26" s="20" t="n">
        <v>2.4743314</v>
      </c>
      <c r="G26" s="18" t="n">
        <v>32.78323108</v>
      </c>
      <c r="H26" s="20" t="n">
        <v>2.4461888</v>
      </c>
      <c r="I26" s="18" t="n">
        <v>0</v>
      </c>
      <c r="J26" s="20" t="n">
        <v>0</v>
      </c>
      <c r="K26" s="18" t="n">
        <v>0.67992635</v>
      </c>
      <c r="L26" s="20" t="n">
        <v>0.4644287</v>
      </c>
      <c r="M26" s="18" t="n">
        <v>0</v>
      </c>
      <c r="N26" s="20" t="n">
        <v>0</v>
      </c>
      <c r="O26" s="18" t="n">
        <v>0</v>
      </c>
      <c r="P26" s="20" t="n">
        <v>0</v>
      </c>
      <c r="Q26" s="18" t="n">
        <v>0.33574992</v>
      </c>
      <c r="R26" s="20" t="n">
        <v>0.24334375</v>
      </c>
    </row>
    <row r="27" spans="1:18">
      <c r="A27" s="15" t="s">
        <v>585</v>
      </c>
      <c r="B27" s="17" t="n">
        <v>2683</v>
      </c>
      <c r="C27" s="18">
        <f>(2106.0/B27*100)</f>
        <v/>
      </c>
      <c r="D27" s="19" t="n">
        <v>577</v>
      </c>
      <c r="E27" s="18" t="n">
        <v>66.08793857000001</v>
      </c>
      <c r="F27" s="20" t="n">
        <v>1.92647906</v>
      </c>
      <c r="G27" s="18" t="n">
        <v>33.21905754</v>
      </c>
      <c r="H27" s="20" t="n">
        <v>1.88948023</v>
      </c>
      <c r="I27" s="18" t="n">
        <v>0</v>
      </c>
      <c r="J27" s="20" t="n">
        <v>0</v>
      </c>
      <c r="K27" s="18" t="n">
        <v>0.52134695</v>
      </c>
      <c r="L27" s="20" t="n">
        <v>0.29641478</v>
      </c>
      <c r="M27" s="18" t="n">
        <v>0</v>
      </c>
      <c r="N27" s="20" t="n">
        <v>0</v>
      </c>
      <c r="O27" s="18" t="n">
        <v>0</v>
      </c>
      <c r="P27" s="20" t="n">
        <v>0</v>
      </c>
      <c r="Q27" s="18" t="n">
        <v>0.17165694</v>
      </c>
      <c r="R27" s="20" t="n">
        <v>0.17280894</v>
      </c>
    </row>
    <row r="28" spans="1:18">
      <c r="A28" s="15" t="s">
        <v>586</v>
      </c>
      <c r="B28" s="17" t="n">
        <v>3803</v>
      </c>
      <c r="C28" s="18">
        <f>(3030.0/B28*100)</f>
        <v/>
      </c>
      <c r="D28" s="19" t="n">
        <v>773</v>
      </c>
      <c r="E28" s="18" t="n">
        <v>70.62182568999999</v>
      </c>
      <c r="F28" s="20" t="n">
        <v>1.88161307</v>
      </c>
      <c r="G28" s="18" t="n">
        <v>24.27640846</v>
      </c>
      <c r="H28" s="20" t="n">
        <v>1.74445716</v>
      </c>
      <c r="I28" s="18" t="n">
        <v>0</v>
      </c>
      <c r="J28" s="20" t="n">
        <v>0</v>
      </c>
      <c r="K28" s="18" t="n">
        <v>1.37762221</v>
      </c>
      <c r="L28" s="20" t="n">
        <v>0.76893658</v>
      </c>
      <c r="M28" s="18" t="n">
        <v>0</v>
      </c>
      <c r="N28" s="20" t="n">
        <v>0</v>
      </c>
      <c r="O28" s="18" t="n">
        <v>0</v>
      </c>
      <c r="P28" s="20" t="n">
        <v>0</v>
      </c>
      <c r="Q28" s="18" t="n">
        <v>3.72414364</v>
      </c>
      <c r="R28" s="20" t="n">
        <v>0.71860367</v>
      </c>
    </row>
    <row r="29" spans="1:18">
      <c r="A29" s="15" t="s">
        <v>587</v>
      </c>
      <c r="B29" s="17" t="n">
        <v>2700</v>
      </c>
      <c r="C29" s="18">
        <f>(2142.0/B29*100)</f>
        <v/>
      </c>
      <c r="D29" s="19" t="n">
        <v>558</v>
      </c>
      <c r="E29" s="18" t="n">
        <v>55.00956805</v>
      </c>
      <c r="F29" s="20" t="n">
        <v>2.04374864</v>
      </c>
      <c r="G29" s="18" t="n">
        <v>44.40470038</v>
      </c>
      <c r="H29" s="20" t="n">
        <v>2.00289387</v>
      </c>
      <c r="I29" s="18" t="n">
        <v>0</v>
      </c>
      <c r="J29" s="20" t="n">
        <v>0</v>
      </c>
      <c r="K29" s="18" t="n">
        <v>0</v>
      </c>
      <c r="L29" s="20" t="n">
        <v>0</v>
      </c>
      <c r="M29" s="18" t="n">
        <v>0</v>
      </c>
      <c r="N29" s="20" t="n">
        <v>0</v>
      </c>
      <c r="O29" s="18" t="n">
        <v>0</v>
      </c>
      <c r="P29" s="20" t="n">
        <v>0</v>
      </c>
      <c r="Q29" s="18" t="n">
        <v>0.58573157</v>
      </c>
      <c r="R29" s="20" t="n">
        <v>0.33601458</v>
      </c>
    </row>
    <row r="30" spans="1:18">
      <c r="A30" s="15" t="s">
        <v>588</v>
      </c>
      <c r="B30" s="17" t="n">
        <v>2257</v>
      </c>
      <c r="C30" s="18">
        <f>(1792.0/B30*100)</f>
        <v/>
      </c>
      <c r="D30" s="19" t="n">
        <v>465</v>
      </c>
      <c r="E30" s="18" t="n">
        <v>62.10516621</v>
      </c>
      <c r="F30" s="20" t="n">
        <v>2.12413444</v>
      </c>
      <c r="G30" s="18" t="n">
        <v>35.66818596</v>
      </c>
      <c r="H30" s="20" t="n">
        <v>2.17075399</v>
      </c>
      <c r="I30" s="18" t="n">
        <v>0</v>
      </c>
      <c r="J30" s="20" t="n">
        <v>0</v>
      </c>
      <c r="K30" s="18" t="n">
        <v>0.85401166</v>
      </c>
      <c r="L30" s="20" t="n">
        <v>0.44865296</v>
      </c>
      <c r="M30" s="18" t="n">
        <v>0</v>
      </c>
      <c r="N30" s="20" t="n">
        <v>0</v>
      </c>
      <c r="O30" s="18" t="n">
        <v>0</v>
      </c>
      <c r="P30" s="20" t="n">
        <v>0</v>
      </c>
      <c r="Q30" s="18" t="n">
        <v>1.37263617</v>
      </c>
      <c r="R30" s="20" t="n">
        <v>0.50843771</v>
      </c>
    </row>
    <row r="31" spans="1:18">
      <c r="A31" s="15" t="s">
        <v>589</v>
      </c>
      <c r="B31" s="17" t="n">
        <v>2706</v>
      </c>
      <c r="C31" s="18">
        <f>(2084.0/B31*100)</f>
        <v/>
      </c>
      <c r="D31" s="19" t="n">
        <v>622</v>
      </c>
      <c r="E31" s="18" t="n">
        <v>60.50606204</v>
      </c>
      <c r="F31" s="20" t="n">
        <v>2.04430302</v>
      </c>
      <c r="G31" s="18" t="n">
        <v>36.6467837</v>
      </c>
      <c r="H31" s="20" t="n">
        <v>1.85121851</v>
      </c>
      <c r="I31" s="18" t="n">
        <v>0</v>
      </c>
      <c r="J31" s="20" t="n">
        <v>0</v>
      </c>
      <c r="K31" s="18" t="n">
        <v>0.98298192</v>
      </c>
      <c r="L31" s="20" t="n">
        <v>0.39278998</v>
      </c>
      <c r="M31" s="18" t="n">
        <v>0</v>
      </c>
      <c r="N31" s="20" t="n">
        <v>0</v>
      </c>
      <c r="O31" s="18" t="n">
        <v>0</v>
      </c>
      <c r="P31" s="20" t="n">
        <v>0</v>
      </c>
      <c r="Q31" s="18" t="n">
        <v>1.86417235</v>
      </c>
      <c r="R31" s="20" t="n">
        <v>0.53975029</v>
      </c>
    </row>
    <row r="32" spans="1:18">
      <c r="A32" s="15" t="s">
        <v>590</v>
      </c>
      <c r="B32" s="17" t="n">
        <v>2209</v>
      </c>
      <c r="C32" s="18">
        <f>(1703.0/B32*100)</f>
        <v/>
      </c>
      <c r="D32" s="19" t="n">
        <v>506</v>
      </c>
      <c r="E32" s="18" t="n">
        <v>49.64195883</v>
      </c>
      <c r="F32" s="20" t="n">
        <v>2.26469665</v>
      </c>
      <c r="G32" s="18" t="n">
        <v>49.54787298</v>
      </c>
      <c r="H32" s="20" t="n">
        <v>2.31170928</v>
      </c>
      <c r="I32" s="18" t="n">
        <v>0</v>
      </c>
      <c r="J32" s="20" t="n">
        <v>0</v>
      </c>
      <c r="K32" s="18" t="n">
        <v>0</v>
      </c>
      <c r="L32" s="20" t="n">
        <v>0</v>
      </c>
      <c r="M32" s="18" t="n">
        <v>0</v>
      </c>
      <c r="N32" s="20" t="n">
        <v>0</v>
      </c>
      <c r="O32" s="18" t="n">
        <v>0</v>
      </c>
      <c r="P32" s="20" t="n">
        <v>0</v>
      </c>
      <c r="Q32" s="18" t="n">
        <v>0.81016819</v>
      </c>
      <c r="R32" s="20" t="n">
        <v>0.41918382</v>
      </c>
    </row>
    <row r="33" spans="1:18">
      <c r="A33" s="15" t="s">
        <v>591</v>
      </c>
      <c r="B33" s="17" t="n">
        <v>3651</v>
      </c>
      <c r="C33" s="18">
        <f>(2865.0/B33*100)</f>
        <v/>
      </c>
      <c r="D33" s="19" t="n">
        <v>786</v>
      </c>
      <c r="E33" s="18" t="n">
        <v>59.21226789</v>
      </c>
      <c r="F33" s="20" t="n">
        <v>2.23708587</v>
      </c>
      <c r="G33" s="18" t="n">
        <v>39.65803964</v>
      </c>
      <c r="H33" s="20" t="n">
        <v>2.23618084</v>
      </c>
      <c r="I33" s="18" t="n">
        <v>0</v>
      </c>
      <c r="J33" s="20" t="n">
        <v>0</v>
      </c>
      <c r="K33" s="18" t="n">
        <v>0.8072247299999999</v>
      </c>
      <c r="L33" s="20" t="n">
        <v>0.38038831</v>
      </c>
      <c r="M33" s="18" t="n">
        <v>0</v>
      </c>
      <c r="N33" s="20" t="n">
        <v>0</v>
      </c>
      <c r="O33" s="18" t="n">
        <v>0</v>
      </c>
      <c r="P33" s="20" t="n">
        <v>0</v>
      </c>
      <c r="Q33" s="18" t="n">
        <v>0.32246774</v>
      </c>
      <c r="R33" s="20" t="n">
        <v>0.26609858</v>
      </c>
    </row>
    <row r="34" spans="1:18">
      <c r="A34" s="15" t="s">
        <v>592</v>
      </c>
      <c r="B34" s="17" t="n">
        <v>3035</v>
      </c>
      <c r="C34" s="18">
        <f>(2429.0/B34*100)</f>
        <v/>
      </c>
      <c r="D34" s="19" t="n">
        <v>606</v>
      </c>
      <c r="E34" s="18" t="n">
        <v>72.05784943</v>
      </c>
      <c r="F34" s="20" t="n">
        <v>1.82857131</v>
      </c>
      <c r="G34" s="18" t="n">
        <v>21.67519891</v>
      </c>
      <c r="H34" s="20" t="n">
        <v>1.72048005</v>
      </c>
      <c r="I34" s="18" t="n">
        <v>0</v>
      </c>
      <c r="J34" s="20" t="n">
        <v>0</v>
      </c>
      <c r="K34" s="18" t="n">
        <v>0.93285135</v>
      </c>
      <c r="L34" s="20" t="n">
        <v>0.413468</v>
      </c>
      <c r="M34" s="18" t="n">
        <v>0</v>
      </c>
      <c r="N34" s="20" t="n">
        <v>0</v>
      </c>
      <c r="O34" s="18" t="n">
        <v>0</v>
      </c>
      <c r="P34" s="20" t="n">
        <v>0</v>
      </c>
      <c r="Q34" s="18" t="n">
        <v>5.33410032</v>
      </c>
      <c r="R34" s="20" t="n">
        <v>1.02805184</v>
      </c>
    </row>
    <row r="35" spans="1:18">
      <c r="A35" s="15" t="s">
        <v>593</v>
      </c>
      <c r="B35" s="17" t="n">
        <v>2901</v>
      </c>
      <c r="C35" s="18">
        <f>(2275.0/B35*100)</f>
        <v/>
      </c>
      <c r="D35" s="19" t="n">
        <v>626</v>
      </c>
      <c r="E35" s="18" t="n">
        <v>75.65233271</v>
      </c>
      <c r="F35" s="20" t="n">
        <v>2.16756653</v>
      </c>
      <c r="G35" s="18" t="n">
        <v>23.51286186</v>
      </c>
      <c r="H35" s="20" t="n">
        <v>2.04872688</v>
      </c>
      <c r="I35" s="18" t="n">
        <v>0</v>
      </c>
      <c r="J35" s="20" t="n">
        <v>0</v>
      </c>
      <c r="K35" s="18" t="n">
        <v>0</v>
      </c>
      <c r="L35" s="20" t="n">
        <v>0</v>
      </c>
      <c r="M35" s="18" t="n">
        <v>0</v>
      </c>
      <c r="N35" s="20" t="n">
        <v>0</v>
      </c>
      <c r="O35" s="18" t="n">
        <v>0</v>
      </c>
      <c r="P35" s="20" t="n">
        <v>0</v>
      </c>
      <c r="Q35" s="18" t="n">
        <v>0.83480542</v>
      </c>
      <c r="R35" s="20" t="n">
        <v>0.44678407</v>
      </c>
    </row>
    <row r="36" spans="1:18">
      <c r="A36" s="15" t="s">
        <v>594</v>
      </c>
      <c r="B36" s="17" t="n">
        <v>3404</v>
      </c>
      <c r="C36" s="18">
        <f>(2688.0/B36*100)</f>
        <v/>
      </c>
      <c r="D36" s="19" t="n">
        <v>716</v>
      </c>
      <c r="E36" s="18" t="n">
        <v>73.4140554</v>
      </c>
      <c r="F36" s="20" t="n">
        <v>1.38768141</v>
      </c>
      <c r="G36" s="18" t="n">
        <v>25.329555</v>
      </c>
      <c r="H36" s="20" t="n">
        <v>1.34730918</v>
      </c>
      <c r="I36" s="18" t="n">
        <v>0</v>
      </c>
      <c r="J36" s="20" t="n">
        <v>0</v>
      </c>
      <c r="K36" s="18" t="n">
        <v>0.26501503</v>
      </c>
      <c r="L36" s="20" t="n">
        <v>0.23467038</v>
      </c>
      <c r="M36" s="18" t="n">
        <v>0</v>
      </c>
      <c r="N36" s="20" t="n">
        <v>0</v>
      </c>
      <c r="O36" s="18" t="n">
        <v>0</v>
      </c>
      <c r="P36" s="20" t="n">
        <v>0</v>
      </c>
      <c r="Q36" s="18" t="n">
        <v>0.99137458</v>
      </c>
      <c r="R36" s="20" t="n">
        <v>0.38988345</v>
      </c>
    </row>
    <row r="37" spans="1:18">
      <c r="A37" s="15" t="s">
        <v>595</v>
      </c>
      <c r="B37" s="17" t="n">
        <v>2731</v>
      </c>
      <c r="C37" s="18">
        <f>(2177.0/B37*100)</f>
        <v/>
      </c>
      <c r="D37" s="19" t="n">
        <v>554</v>
      </c>
      <c r="E37" s="18" t="n">
        <v>75.79129675</v>
      </c>
      <c r="F37" s="20" t="n">
        <v>1.8137627</v>
      </c>
      <c r="G37" s="18" t="n">
        <v>18.47844759</v>
      </c>
      <c r="H37" s="20" t="n">
        <v>1.66982406</v>
      </c>
      <c r="I37" s="18" t="n">
        <v>0</v>
      </c>
      <c r="J37" s="20" t="n">
        <v>0</v>
      </c>
      <c r="K37" s="18" t="n">
        <v>1.1116198</v>
      </c>
      <c r="L37" s="20" t="n">
        <v>0.44959743</v>
      </c>
      <c r="M37" s="18" t="n">
        <v>0</v>
      </c>
      <c r="N37" s="20" t="n">
        <v>0</v>
      </c>
      <c r="O37" s="18" t="n">
        <v>0</v>
      </c>
      <c r="P37" s="20" t="n">
        <v>0</v>
      </c>
      <c r="Q37" s="18" t="n">
        <v>4.61863586</v>
      </c>
      <c r="R37" s="20" t="n">
        <v>0.94403489</v>
      </c>
    </row>
    <row r="38" spans="1:18">
      <c r="A38" s="15" t="s">
        <v>596</v>
      </c>
      <c r="B38" s="17" t="n">
        <v>2807</v>
      </c>
      <c r="C38" s="18">
        <f>(2199.0/B38*100)</f>
        <v/>
      </c>
      <c r="D38" s="19" t="n">
        <v>608</v>
      </c>
      <c r="E38" s="18" t="n">
        <v>66.45037907</v>
      </c>
      <c r="F38" s="20" t="n">
        <v>2.14432874</v>
      </c>
      <c r="G38" s="18" t="n">
        <v>31.33524229</v>
      </c>
      <c r="H38" s="20" t="n">
        <v>2.11123126</v>
      </c>
      <c r="I38" s="18" t="n">
        <v>0</v>
      </c>
      <c r="J38" s="20" t="n">
        <v>0</v>
      </c>
      <c r="K38" s="18" t="n">
        <v>0.29316861</v>
      </c>
      <c r="L38" s="20" t="n">
        <v>0.18924239</v>
      </c>
      <c r="M38" s="18" t="n">
        <v>0</v>
      </c>
      <c r="N38" s="20" t="n">
        <v>0</v>
      </c>
      <c r="O38" s="18" t="n">
        <v>0</v>
      </c>
      <c r="P38" s="20" t="n">
        <v>0</v>
      </c>
      <c r="Q38" s="18" t="n">
        <v>1.92121003</v>
      </c>
      <c r="R38" s="20" t="n">
        <v>0.9360289000000001</v>
      </c>
    </row>
    <row r="39" spans="1:18">
      <c r="A39" s="15" t="s">
        <v>597</v>
      </c>
      <c r="B39" s="17" t="n">
        <v>2938</v>
      </c>
      <c r="C39" s="18">
        <f>(2309.0/B39*100)</f>
        <v/>
      </c>
      <c r="D39" s="19" t="n">
        <v>629</v>
      </c>
      <c r="E39" s="18" t="n">
        <v>78.4911346</v>
      </c>
      <c r="F39" s="20" t="n">
        <v>1.97391063</v>
      </c>
      <c r="G39" s="18" t="n">
        <v>18.32414253</v>
      </c>
      <c r="H39" s="20" t="n">
        <v>1.90678188</v>
      </c>
      <c r="I39" s="18" t="n">
        <v>0</v>
      </c>
      <c r="J39" s="20" t="n">
        <v>0</v>
      </c>
      <c r="K39" s="18" t="n">
        <v>0.59092721</v>
      </c>
      <c r="L39" s="20" t="n">
        <v>0.24658029</v>
      </c>
      <c r="M39" s="18" t="n">
        <v>0</v>
      </c>
      <c r="N39" s="20" t="n">
        <v>0</v>
      </c>
      <c r="O39" s="18" t="n">
        <v>0</v>
      </c>
      <c r="P39" s="20" t="n">
        <v>0</v>
      </c>
      <c r="Q39" s="18" t="n">
        <v>2.59379566</v>
      </c>
      <c r="R39" s="20" t="n">
        <v>0.83077983</v>
      </c>
    </row>
    <row r="40" spans="1:18">
      <c r="A40" s="15" t="s">
        <v>598</v>
      </c>
      <c r="B40" s="17" t="n">
        <v>6922</v>
      </c>
      <c r="C40" s="18">
        <f>(5338.0/B40*100)</f>
        <v/>
      </c>
      <c r="D40" s="19" t="n">
        <v>1584</v>
      </c>
      <c r="E40" s="18" t="n">
        <v>54.50418844</v>
      </c>
      <c r="F40" s="20" t="n">
        <v>2.10006516</v>
      </c>
      <c r="G40" s="18" t="n">
        <v>43.85984568</v>
      </c>
      <c r="H40" s="20" t="n">
        <v>2.12826818</v>
      </c>
      <c r="I40" s="18" t="n">
        <v>0</v>
      </c>
      <c r="J40" s="20" t="n">
        <v>0</v>
      </c>
      <c r="K40" s="18" t="n">
        <v>0.33592567</v>
      </c>
      <c r="L40" s="20" t="n">
        <v>0.19668667</v>
      </c>
      <c r="M40" s="18" t="n">
        <v>0</v>
      </c>
      <c r="N40" s="20" t="n">
        <v>0</v>
      </c>
      <c r="O40" s="18" t="n">
        <v>0</v>
      </c>
      <c r="P40" s="20" t="n">
        <v>0</v>
      </c>
      <c r="Q40" s="18" t="n">
        <v>1.30004022</v>
      </c>
      <c r="R40" s="20" t="n">
        <v>0.45092116</v>
      </c>
    </row>
    <row r="41" spans="1:18">
      <c r="A41" s="15" t="s">
        <v>599</v>
      </c>
      <c r="B41" s="17" t="n">
        <v>2854</v>
      </c>
      <c r="C41" s="18">
        <f>(2217.0/B41*100)</f>
        <v/>
      </c>
      <c r="D41" s="19" t="n">
        <v>637</v>
      </c>
      <c r="E41" s="18" t="n">
        <v>70.5999748</v>
      </c>
      <c r="F41" s="20" t="n">
        <v>1.70573788</v>
      </c>
      <c r="G41" s="18" t="n">
        <v>28.12898573</v>
      </c>
      <c r="H41" s="20" t="n">
        <v>1.80932486</v>
      </c>
      <c r="I41" s="18" t="n">
        <v>0</v>
      </c>
      <c r="J41" s="20" t="n">
        <v>0</v>
      </c>
      <c r="K41" s="18" t="n">
        <v>0.63671526</v>
      </c>
      <c r="L41" s="20" t="n">
        <v>0.37193923</v>
      </c>
      <c r="M41" s="18" t="n">
        <v>0</v>
      </c>
      <c r="N41" s="20" t="n">
        <v>0</v>
      </c>
      <c r="O41" s="18" t="n">
        <v>0</v>
      </c>
      <c r="P41" s="20" t="n">
        <v>0</v>
      </c>
      <c r="Q41" s="18" t="n">
        <v>0.6343242100000001</v>
      </c>
      <c r="R41" s="20" t="n">
        <v>0.30250724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(10166.0/B46*100)</f>
        <v/>
      </c>
      <c r="D46" s="19" t="n">
        <v>1907</v>
      </c>
      <c r="E46" s="18" t="n">
        <v>71.22003343</v>
      </c>
      <c r="F46" s="20" t="n">
        <v>1.31501915</v>
      </c>
      <c r="G46" s="18" t="n">
        <v>14.26882171</v>
      </c>
      <c r="H46" s="20" t="n">
        <v>0.91296293</v>
      </c>
      <c r="I46" s="18" t="n">
        <v>0</v>
      </c>
      <c r="J46" s="20" t="n">
        <v>0</v>
      </c>
      <c r="K46" s="18" t="n">
        <v>2.00132128</v>
      </c>
      <c r="L46" s="20" t="n">
        <v>0.50924612</v>
      </c>
      <c r="M46" s="18" t="n">
        <v>0</v>
      </c>
      <c r="N46" s="20" t="n">
        <v>0</v>
      </c>
      <c r="O46" s="18" t="n">
        <v>0</v>
      </c>
      <c r="P46" s="20" t="n">
        <v>0</v>
      </c>
      <c r="Q46" s="18" t="n">
        <v>12.50982358</v>
      </c>
      <c r="R46" s="20" t="n">
        <v>1.07324133</v>
      </c>
    </row>
    <row r="47" spans="1:18">
      <c r="A47" s="15" t="s">
        <v>606</v>
      </c>
      <c r="B47" s="17" t="n">
        <v>2823</v>
      </c>
      <c r="C47" s="18">
        <f>(2212.0/B47*100)</f>
        <v/>
      </c>
      <c r="D47" s="19" t="n">
        <v>611</v>
      </c>
      <c r="E47" s="18" t="n">
        <v>67.13647933999999</v>
      </c>
      <c r="F47" s="20" t="n">
        <v>2.05877892</v>
      </c>
      <c r="G47" s="18" t="n">
        <v>26.33452713</v>
      </c>
      <c r="H47" s="20" t="n">
        <v>1.9491634</v>
      </c>
      <c r="I47" s="18" t="n">
        <v>0</v>
      </c>
      <c r="J47" s="20" t="n">
        <v>0</v>
      </c>
      <c r="K47" s="18" t="n">
        <v>0.811217</v>
      </c>
      <c r="L47" s="20" t="n">
        <v>0.43580644</v>
      </c>
      <c r="M47" s="18" t="n">
        <v>0</v>
      </c>
      <c r="N47" s="20" t="n">
        <v>0</v>
      </c>
      <c r="O47" s="18" t="n">
        <v>0</v>
      </c>
      <c r="P47" s="20" t="n">
        <v>0</v>
      </c>
      <c r="Q47" s="18" t="n">
        <v>5.71777653</v>
      </c>
      <c r="R47" s="20" t="n">
        <v>0.85400528</v>
      </c>
    </row>
    <row r="48" spans="1:18">
      <c r="A48" s="15" t="s">
        <v>607</v>
      </c>
      <c r="B48" s="17" t="n">
        <v>4682</v>
      </c>
      <c r="C48" s="18">
        <f>(3643.0/B48*100)</f>
        <v/>
      </c>
      <c r="D48" s="19" t="n">
        <v>1039</v>
      </c>
      <c r="E48" s="18" t="n">
        <v>62.3261003</v>
      </c>
      <c r="F48" s="20" t="n">
        <v>2.06519483</v>
      </c>
      <c r="G48" s="18" t="n">
        <v>32.91903123</v>
      </c>
      <c r="H48" s="20" t="n">
        <v>2.06185665</v>
      </c>
      <c r="I48" s="18" t="n">
        <v>0</v>
      </c>
      <c r="J48" s="20" t="n">
        <v>0</v>
      </c>
      <c r="K48" s="18" t="n">
        <v>0.44468355</v>
      </c>
      <c r="L48" s="20" t="n">
        <v>0.26487326</v>
      </c>
      <c r="M48" s="18" t="n">
        <v>0</v>
      </c>
      <c r="N48" s="20" t="n">
        <v>0</v>
      </c>
      <c r="O48" s="18" t="n">
        <v>0</v>
      </c>
      <c r="P48" s="20" t="n">
        <v>0</v>
      </c>
      <c r="Q48" s="18" t="n">
        <v>4.31018492</v>
      </c>
      <c r="R48" s="20" t="n">
        <v>0.87610291</v>
      </c>
    </row>
    <row r="49" spans="1:18">
      <c r="A49" s="15" t="s">
        <v>608</v>
      </c>
      <c r="B49" s="17" t="n">
        <v>6158</v>
      </c>
      <c r="C49" s="18">
        <f>(4867.0/B49*100)</f>
        <v/>
      </c>
      <c r="D49" s="19" t="n">
        <v>1291</v>
      </c>
      <c r="E49" s="18" t="n">
        <v>70.05498076000001</v>
      </c>
      <c r="F49" s="20" t="n">
        <v>2.1058865</v>
      </c>
      <c r="G49" s="18" t="n">
        <v>16.61707756</v>
      </c>
      <c r="H49" s="20" t="n">
        <v>1.73960837</v>
      </c>
      <c r="I49" s="18" t="n">
        <v>0</v>
      </c>
      <c r="J49" s="20" t="n">
        <v>0</v>
      </c>
      <c r="K49" s="18" t="n">
        <v>2.88561488</v>
      </c>
      <c r="L49" s="20" t="n">
        <v>0.68608814</v>
      </c>
      <c r="M49" s="18" t="n">
        <v>0</v>
      </c>
      <c r="N49" s="20" t="n">
        <v>0</v>
      </c>
      <c r="O49" s="18" t="n">
        <v>0</v>
      </c>
      <c r="P49" s="20" t="n">
        <v>0</v>
      </c>
      <c r="Q49" s="18" t="n">
        <v>10.4423268</v>
      </c>
      <c r="R49" s="20" t="n">
        <v>1.21086526</v>
      </c>
    </row>
    <row r="50" spans="1:18">
      <c r="A50" s="15" t="s">
        <v>609</v>
      </c>
      <c r="B50" s="17" t="n">
        <v>3494</v>
      </c>
      <c r="C50" s="18">
        <f>(2895.0/B50*100)</f>
        <v/>
      </c>
      <c r="D50" s="19" t="n">
        <v>599</v>
      </c>
      <c r="E50" s="18" t="n">
        <v>76.06361622</v>
      </c>
      <c r="F50" s="20" t="n">
        <v>1.57518643</v>
      </c>
      <c r="G50" s="18" t="n">
        <v>17.88464537</v>
      </c>
      <c r="H50" s="20" t="n">
        <v>1.41054897</v>
      </c>
      <c r="I50" s="18" t="n">
        <v>0</v>
      </c>
      <c r="J50" s="20" t="n">
        <v>0</v>
      </c>
      <c r="K50" s="18" t="n">
        <v>1.25341393</v>
      </c>
      <c r="L50" s="20" t="n">
        <v>0.46447411</v>
      </c>
      <c r="M50" s="18" t="n">
        <v>0</v>
      </c>
      <c r="N50" s="20" t="n">
        <v>0</v>
      </c>
      <c r="O50" s="18" t="n">
        <v>0</v>
      </c>
      <c r="P50" s="20" t="n">
        <v>0</v>
      </c>
      <c r="Q50" s="18" t="n">
        <v>4.79832448</v>
      </c>
      <c r="R50" s="20" t="n">
        <v>0.8009921800000001</v>
      </c>
    </row>
    <row r="51" spans="1:18">
      <c r="A51" s="15" t="s">
        <v>610</v>
      </c>
      <c r="B51" s="17" t="n">
        <v>3013</v>
      </c>
      <c r="C51" s="18">
        <f>(2329.0/B51*100)</f>
        <v/>
      </c>
      <c r="D51" s="19" t="n">
        <v>684</v>
      </c>
      <c r="E51" s="18" t="n">
        <v>71.99378102999999</v>
      </c>
      <c r="F51" s="20" t="n">
        <v>1.68556478</v>
      </c>
      <c r="G51" s="18" t="n">
        <v>24.66812771</v>
      </c>
      <c r="H51" s="20" t="n">
        <v>1.74723875</v>
      </c>
      <c r="I51" s="18" t="n">
        <v>0</v>
      </c>
      <c r="J51" s="20" t="n">
        <v>0</v>
      </c>
      <c r="K51" s="18" t="n">
        <v>0.27008453</v>
      </c>
      <c r="L51" s="20" t="n">
        <v>0.23723187</v>
      </c>
      <c r="M51" s="18" t="n">
        <v>0</v>
      </c>
      <c r="N51" s="20" t="n">
        <v>0</v>
      </c>
      <c r="O51" s="18" t="n">
        <v>0</v>
      </c>
      <c r="P51" s="20" t="n">
        <v>0</v>
      </c>
      <c r="Q51" s="18" t="n">
        <v>3.06800673</v>
      </c>
      <c r="R51" s="20" t="n">
        <v>0.7299594700000001</v>
      </c>
    </row>
    <row r="52" spans="1:18">
      <c r="A52" s="15" t="s">
        <v>611</v>
      </c>
      <c r="B52" s="17" t="n">
        <v>2760</v>
      </c>
      <c r="C52" s="18">
        <f>(2126.0/B52*100)</f>
        <v/>
      </c>
      <c r="D52" s="19" t="n">
        <v>634</v>
      </c>
      <c r="E52" s="18" t="n">
        <v>80.5792434</v>
      </c>
      <c r="F52" s="20" t="n">
        <v>1.89998671</v>
      </c>
      <c r="G52" s="18" t="n">
        <v>17.41566685</v>
      </c>
      <c r="H52" s="20" t="n">
        <v>1.8302312</v>
      </c>
      <c r="I52" s="18" t="n">
        <v>0</v>
      </c>
      <c r="J52" s="20" t="n">
        <v>0</v>
      </c>
      <c r="K52" s="18" t="n">
        <v>0.36630603</v>
      </c>
      <c r="L52" s="20" t="n">
        <v>0.21088153</v>
      </c>
      <c r="M52" s="18" t="n">
        <v>0</v>
      </c>
      <c r="N52" s="20" t="n">
        <v>0</v>
      </c>
      <c r="O52" s="18" t="n">
        <v>0</v>
      </c>
      <c r="P52" s="20" t="n">
        <v>0</v>
      </c>
      <c r="Q52" s="18" t="n">
        <v>1.63878372</v>
      </c>
      <c r="R52" s="20" t="n">
        <v>0.5185864</v>
      </c>
    </row>
    <row r="53" spans="1:18">
      <c r="A53" s="15" t="s">
        <v>612</v>
      </c>
      <c r="B53" s="17" t="n">
        <v>2474</v>
      </c>
      <c r="C53" s="18">
        <f>(1942.0/B53*100)</f>
        <v/>
      </c>
      <c r="D53" s="19" t="n">
        <v>532</v>
      </c>
      <c r="E53" s="18" t="n">
        <v>51.63705091</v>
      </c>
      <c r="F53" s="20" t="n">
        <v>2.64470108</v>
      </c>
      <c r="G53" s="18" t="n">
        <v>7.65249059</v>
      </c>
      <c r="H53" s="20" t="n">
        <v>1.07975295</v>
      </c>
      <c r="I53" s="18" t="n">
        <v>0</v>
      </c>
      <c r="J53" s="20" t="n">
        <v>0</v>
      </c>
      <c r="K53" s="18" t="n">
        <v>17.18273173</v>
      </c>
      <c r="L53" s="20" t="n">
        <v>1.80212115</v>
      </c>
      <c r="M53" s="18" t="n">
        <v>0</v>
      </c>
      <c r="N53" s="20" t="n">
        <v>0</v>
      </c>
      <c r="O53" s="18" t="n">
        <v>0</v>
      </c>
      <c r="P53" s="20" t="n">
        <v>0</v>
      </c>
      <c r="Q53" s="18" t="n">
        <v>23.52772677</v>
      </c>
      <c r="R53" s="20" t="n">
        <v>2.06825519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(2121.0/B55*100)</f>
        <v/>
      </c>
      <c r="D55" s="19" t="n">
        <v>554</v>
      </c>
      <c r="E55" s="18" t="n">
        <v>40.40560942</v>
      </c>
      <c r="F55" s="20" t="n">
        <v>2.01745265</v>
      </c>
      <c r="G55" s="18" t="n">
        <v>58.01117819</v>
      </c>
      <c r="H55" s="20" t="n">
        <v>2.02900635</v>
      </c>
      <c r="I55" s="18" t="n">
        <v>0</v>
      </c>
      <c r="J55" s="20" t="n">
        <v>0</v>
      </c>
      <c r="K55" s="18" t="n">
        <v>0.1621569</v>
      </c>
      <c r="L55" s="20" t="n">
        <v>0.16649686</v>
      </c>
      <c r="M55" s="18" t="n">
        <v>0</v>
      </c>
      <c r="N55" s="20" t="n">
        <v>0</v>
      </c>
      <c r="O55" s="18" t="n">
        <v>0</v>
      </c>
      <c r="P55" s="20" t="n">
        <v>0</v>
      </c>
      <c r="Q55" s="18" t="n">
        <v>1.42105549</v>
      </c>
      <c r="R55" s="20" t="n">
        <v>0.45215966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(2502.0/B61*100)</f>
        <v/>
      </c>
      <c r="D61" s="19" t="n">
        <v>699</v>
      </c>
      <c r="E61" s="18" t="n">
        <v>72.98014941</v>
      </c>
      <c r="F61" s="20" t="n">
        <v>1.73048942</v>
      </c>
      <c r="G61" s="18" t="n">
        <v>25.15564043</v>
      </c>
      <c r="H61" s="20" t="n">
        <v>1.71816803</v>
      </c>
      <c r="I61" s="18" t="n">
        <v>0</v>
      </c>
      <c r="J61" s="20" t="n">
        <v>0</v>
      </c>
      <c r="K61" s="18" t="n">
        <v>0</v>
      </c>
      <c r="L61" s="20" t="n">
        <v>0</v>
      </c>
      <c r="M61" s="18" t="n">
        <v>0</v>
      </c>
      <c r="N61" s="20" t="n">
        <v>0</v>
      </c>
      <c r="O61" s="18" t="n">
        <v>0</v>
      </c>
      <c r="P61" s="20" t="n">
        <v>0</v>
      </c>
      <c r="Q61" s="18" t="n">
        <v>1.86421016</v>
      </c>
      <c r="R61" s="20" t="n">
        <v>0.57564776</v>
      </c>
    </row>
    <row r="62" spans="1:18">
      <c r="A62" s="15" t="s">
        <v>622</v>
      </c>
      <c r="B62" s="17" t="n">
        <v>2230</v>
      </c>
      <c r="C62" s="18">
        <f>(1774.0/B62*100)</f>
        <v/>
      </c>
      <c r="D62" s="19" t="n">
        <v>456</v>
      </c>
      <c r="E62" s="18" t="n">
        <v>53.89385213</v>
      </c>
      <c r="F62" s="20" t="n">
        <v>2.36682957</v>
      </c>
      <c r="G62" s="18" t="n">
        <v>46.10614787</v>
      </c>
      <c r="H62" s="20" t="n">
        <v>2.36682957</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(2194.0/B67*100)</f>
        <v/>
      </c>
      <c r="D67" s="19" t="n">
        <v>577</v>
      </c>
      <c r="E67" s="18" t="n">
        <v>70.05356969</v>
      </c>
      <c r="F67" s="20" t="n">
        <v>1.93803992</v>
      </c>
      <c r="G67" s="18" t="n">
        <v>16.37521607</v>
      </c>
      <c r="H67" s="20" t="n">
        <v>1.50835685</v>
      </c>
      <c r="I67" s="18" t="n">
        <v>0</v>
      </c>
      <c r="J67" s="20" t="n">
        <v>0</v>
      </c>
      <c r="K67" s="18" t="n">
        <v>0.90927802</v>
      </c>
      <c r="L67" s="20" t="n">
        <v>0.40901429</v>
      </c>
      <c r="M67" s="18" t="n">
        <v>0</v>
      </c>
      <c r="N67" s="20" t="n">
        <v>0</v>
      </c>
      <c r="O67" s="18" t="n">
        <v>0</v>
      </c>
      <c r="P67" s="20" t="n">
        <v>0</v>
      </c>
      <c r="Q67" s="18" t="n">
        <v>12.66193622</v>
      </c>
      <c r="R67" s="20" t="n">
        <v>1.54984119</v>
      </c>
    </row>
    <row r="68" spans="1:18">
      <c r="A68" s="15" t="s">
        <v>628</v>
      </c>
      <c r="B68" s="17" t="n">
        <v>3460</v>
      </c>
      <c r="C68" s="18">
        <f>(2825.0/B68*100)</f>
        <v/>
      </c>
      <c r="D68" s="19" t="n">
        <v>635</v>
      </c>
      <c r="E68" s="18" t="n">
        <v>75.21164339000001</v>
      </c>
      <c r="F68" s="20" t="n">
        <v>1.87202533</v>
      </c>
      <c r="G68" s="18" t="n">
        <v>18.42398219</v>
      </c>
      <c r="H68" s="20" t="n">
        <v>1.73698688</v>
      </c>
      <c r="I68" s="18" t="n">
        <v>0</v>
      </c>
      <c r="J68" s="20" t="n">
        <v>0</v>
      </c>
      <c r="K68" s="18" t="n">
        <v>0.16000061</v>
      </c>
      <c r="L68" s="20" t="n">
        <v>0.15982879</v>
      </c>
      <c r="M68" s="18" t="n">
        <v>0</v>
      </c>
      <c r="N68" s="20" t="n">
        <v>0</v>
      </c>
      <c r="O68" s="18" t="n">
        <v>0</v>
      </c>
      <c r="P68" s="20" t="n">
        <v>0</v>
      </c>
      <c r="Q68" s="18" t="n">
        <v>6.20437381</v>
      </c>
      <c r="R68" s="20" t="n">
        <v>0.95499812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(4683.0/B70*100)</f>
        <v/>
      </c>
      <c r="D70" s="19" t="n">
        <v>1351</v>
      </c>
      <c r="E70" s="18" t="n">
        <v>69.704752</v>
      </c>
      <c r="F70" s="20" t="n">
        <v>1.08200912</v>
      </c>
      <c r="G70" s="18" t="n">
        <v>23.78051528</v>
      </c>
      <c r="H70" s="20" t="n">
        <v>0.98103924</v>
      </c>
      <c r="I70" s="18" t="n">
        <v>0</v>
      </c>
      <c r="J70" s="20" t="n">
        <v>0</v>
      </c>
      <c r="K70" s="18" t="n">
        <v>3.0264667</v>
      </c>
      <c r="L70" s="20" t="n">
        <v>0.48460678</v>
      </c>
      <c r="M70" s="18" t="n">
        <v>0</v>
      </c>
      <c r="N70" s="20" t="n">
        <v>0</v>
      </c>
      <c r="O70" s="18" t="n">
        <v>0</v>
      </c>
      <c r="P70" s="20" t="n">
        <v>0</v>
      </c>
      <c r="Q70" s="18" t="n">
        <v>3.48826603</v>
      </c>
      <c r="R70" s="20" t="n">
        <v>0.52660248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(2451.0/B72*100)</f>
        <v/>
      </c>
      <c r="D72" s="19" t="n">
        <v>656</v>
      </c>
      <c r="E72" s="18" t="n">
        <v>68.89478989</v>
      </c>
      <c r="F72" s="20" t="n">
        <v>2.69150239</v>
      </c>
      <c r="G72" s="18" t="n">
        <v>27.66044469</v>
      </c>
      <c r="H72" s="20" t="n">
        <v>2.63545076</v>
      </c>
      <c r="I72" s="18" t="n">
        <v>0</v>
      </c>
      <c r="J72" s="20" t="n">
        <v>0</v>
      </c>
      <c r="K72" s="18" t="n">
        <v>0.43626875</v>
      </c>
      <c r="L72" s="20" t="n">
        <v>0.26901799</v>
      </c>
      <c r="M72" s="18" t="n">
        <v>0</v>
      </c>
      <c r="N72" s="20" t="n">
        <v>0</v>
      </c>
      <c r="O72" s="18" t="n">
        <v>0</v>
      </c>
      <c r="P72" s="20" t="n">
        <v>0</v>
      </c>
      <c r="Q72" s="18" t="n">
        <v>3.00849668</v>
      </c>
      <c r="R72" s="20" t="n">
        <v>0.7226807200000001</v>
      </c>
    </row>
    <row r="73" spans="1:18">
      <c r="A73" s="15" t="s">
        <v>633</v>
      </c>
      <c r="B73" s="17" t="n">
        <v>2973</v>
      </c>
      <c r="C73" s="18">
        <f>(2323.0/B73*100)</f>
        <v/>
      </c>
      <c r="D73" s="19" t="n">
        <v>650</v>
      </c>
      <c r="E73" s="18" t="n">
        <v>71.03848059000001</v>
      </c>
      <c r="F73" s="20" t="n">
        <v>1.81525443</v>
      </c>
      <c r="G73" s="18" t="n">
        <v>28.21534201</v>
      </c>
      <c r="H73" s="20" t="n">
        <v>1.83264807</v>
      </c>
      <c r="I73" s="18" t="n">
        <v>0</v>
      </c>
      <c r="J73" s="20" t="n">
        <v>0</v>
      </c>
      <c r="K73" s="18" t="n">
        <v>0.50419101</v>
      </c>
      <c r="L73" s="20" t="n">
        <v>0.2808638</v>
      </c>
      <c r="M73" s="18" t="n">
        <v>0</v>
      </c>
      <c r="N73" s="20" t="n">
        <v>0</v>
      </c>
      <c r="O73" s="18" t="n">
        <v>0</v>
      </c>
      <c r="P73" s="20" t="n">
        <v>0</v>
      </c>
      <c r="Q73" s="18" t="n">
        <v>0.24198638</v>
      </c>
      <c r="R73" s="20" t="n">
        <v>0.17133129</v>
      </c>
    </row>
    <row r="74" spans="1:18">
      <c r="A74" s="15" t="s">
        <v>634</v>
      </c>
      <c r="B74" s="17" t="n">
        <v>3819</v>
      </c>
      <c r="C74" s="18">
        <f>(3005.0/B74*100)</f>
        <v/>
      </c>
      <c r="D74" s="19" t="n">
        <v>814</v>
      </c>
      <c r="E74" s="18" t="n">
        <v>39.05323332</v>
      </c>
      <c r="F74" s="20" t="n">
        <v>1.8189977</v>
      </c>
      <c r="G74" s="18" t="n">
        <v>59.57781949</v>
      </c>
      <c r="H74" s="20" t="n">
        <v>1.84559444</v>
      </c>
      <c r="I74" s="18" t="n">
        <v>0</v>
      </c>
      <c r="J74" s="20" t="n">
        <v>0</v>
      </c>
      <c r="K74" s="18" t="n">
        <v>0</v>
      </c>
      <c r="L74" s="20" t="n">
        <v>0</v>
      </c>
      <c r="M74" s="18" t="n">
        <v>0</v>
      </c>
      <c r="N74" s="20" t="n">
        <v>0</v>
      </c>
      <c r="O74" s="18" t="n">
        <v>0</v>
      </c>
      <c r="P74" s="20" t="n">
        <v>0</v>
      </c>
      <c r="Q74" s="18" t="n">
        <v>1.36894719</v>
      </c>
      <c r="R74" s="20" t="n">
        <v>0.41715704</v>
      </c>
    </row>
    <row r="75" spans="1:18">
      <c r="A75" s="15" t="s">
        <v>635</v>
      </c>
      <c r="B75" s="17" t="n">
        <v>4652</v>
      </c>
      <c r="C75" s="18">
        <f>(3711.0/B75*100)</f>
        <v/>
      </c>
      <c r="D75" s="19" t="n">
        <v>941</v>
      </c>
      <c r="E75" s="18" t="n">
        <v>69.40964447</v>
      </c>
      <c r="F75" s="20" t="n">
        <v>2.12902083</v>
      </c>
      <c r="G75" s="18" t="n">
        <v>26.69960367</v>
      </c>
      <c r="H75" s="20" t="n">
        <v>1.78597794</v>
      </c>
      <c r="I75" s="18" t="n">
        <v>0</v>
      </c>
      <c r="J75" s="20" t="n">
        <v>0</v>
      </c>
      <c r="K75" s="18" t="n">
        <v>0</v>
      </c>
      <c r="L75" s="20" t="n">
        <v>0</v>
      </c>
      <c r="M75" s="18" t="n">
        <v>0</v>
      </c>
      <c r="N75" s="20" t="n">
        <v>0</v>
      </c>
      <c r="O75" s="18" t="n">
        <v>0</v>
      </c>
      <c r="P75" s="20" t="n">
        <v>0</v>
      </c>
      <c r="Q75" s="18" t="n">
        <v>3.89075186</v>
      </c>
      <c r="R75" s="20" t="n">
        <v>1.0487664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(2410.0/B77*100)</f>
        <v/>
      </c>
      <c r="D77" s="19" t="n">
        <v>559</v>
      </c>
      <c r="E77" s="18" t="n">
        <v>59.03115493</v>
      </c>
      <c r="F77" s="20" t="n">
        <v>2.04945475</v>
      </c>
      <c r="G77" s="18" t="n">
        <v>29.21060508</v>
      </c>
      <c r="H77" s="20" t="n">
        <v>1.76793546</v>
      </c>
      <c r="I77" s="18" t="n">
        <v>0</v>
      </c>
      <c r="J77" s="20" t="n">
        <v>0</v>
      </c>
      <c r="K77" s="18" t="n">
        <v>5.90926291</v>
      </c>
      <c r="L77" s="20" t="n">
        <v>1.22221029</v>
      </c>
      <c r="M77" s="18" t="n">
        <v>0</v>
      </c>
      <c r="N77" s="20" t="n">
        <v>0</v>
      </c>
      <c r="O77" s="18" t="n">
        <v>0</v>
      </c>
      <c r="P77" s="20" t="n">
        <v>0</v>
      </c>
      <c r="Q77" s="18" t="n">
        <v>5.84897707</v>
      </c>
      <c r="R77" s="20" t="n">
        <v>1.11029376</v>
      </c>
    </row>
    <row r="78" spans="1:18">
      <c r="A78" s="15" t="s">
        <v>638</v>
      </c>
      <c r="B78" s="17" t="n">
        <v>7115</v>
      </c>
      <c r="C78" s="18">
        <f>(5613.0/B78*100)</f>
        <v/>
      </c>
      <c r="D78" s="19" t="n">
        <v>1502</v>
      </c>
      <c r="E78" s="18" t="n">
        <v>71.89481858000001</v>
      </c>
      <c r="F78" s="20" t="n">
        <v>1.18182432</v>
      </c>
      <c r="G78" s="18" t="n">
        <v>24.488688</v>
      </c>
      <c r="H78" s="20" t="n">
        <v>1.25984673</v>
      </c>
      <c r="I78" s="18" t="n">
        <v>0</v>
      </c>
      <c r="J78" s="20" t="n">
        <v>0</v>
      </c>
      <c r="K78" s="18" t="n">
        <v>0.78083281</v>
      </c>
      <c r="L78" s="20" t="n">
        <v>0.22192728</v>
      </c>
      <c r="M78" s="18" t="n">
        <v>0</v>
      </c>
      <c r="N78" s="20" t="n">
        <v>0</v>
      </c>
      <c r="O78" s="18" t="n">
        <v>0</v>
      </c>
      <c r="P78" s="20" t="n">
        <v>0</v>
      </c>
      <c r="Q78" s="18" t="n">
        <v>2.83566061</v>
      </c>
      <c r="R78" s="20" t="n">
        <v>0.49049121</v>
      </c>
    </row>
    <row r="79" spans="1:18">
      <c r="A79" s="15" t="s">
        <v>639</v>
      </c>
      <c r="B79" s="17" t="n">
        <v>3154</v>
      </c>
      <c r="C79" s="18">
        <f>(2485.0/B79*100)</f>
        <v/>
      </c>
      <c r="D79" s="19" t="n">
        <v>669</v>
      </c>
      <c r="E79" s="18" t="n">
        <v>74.90220153999999</v>
      </c>
      <c r="F79" s="20" t="n">
        <v>1.76855457</v>
      </c>
      <c r="G79" s="18" t="n">
        <v>18.12940723</v>
      </c>
      <c r="H79" s="20" t="n">
        <v>1.64345668</v>
      </c>
      <c r="I79" s="18" t="n">
        <v>0</v>
      </c>
      <c r="J79" s="20" t="n">
        <v>0</v>
      </c>
      <c r="K79" s="18" t="n">
        <v>1.45378734</v>
      </c>
      <c r="L79" s="20" t="n">
        <v>0.48342953</v>
      </c>
      <c r="M79" s="18" t="n">
        <v>0</v>
      </c>
      <c r="N79" s="20" t="n">
        <v>0</v>
      </c>
      <c r="O79" s="18" t="n">
        <v>0</v>
      </c>
      <c r="P79" s="20" t="n">
        <v>0</v>
      </c>
      <c r="Q79" s="18" t="n">
        <v>5.51460389</v>
      </c>
      <c r="R79" s="20" t="n">
        <v>0.92680528</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(12581.0/B82*100)</f>
        <v/>
      </c>
      <c r="D82" s="19" t="n">
        <v>3380</v>
      </c>
      <c r="E82" s="18" t="n">
        <v>71.07078222</v>
      </c>
      <c r="F82" s="20" t="n">
        <v>1.13911235</v>
      </c>
      <c r="G82" s="18" t="n">
        <v>27.27859338</v>
      </c>
      <c r="H82" s="20" t="n">
        <v>1.09767091</v>
      </c>
      <c r="I82" s="18" t="n">
        <v>0</v>
      </c>
      <c r="J82" s="20" t="n">
        <v>0</v>
      </c>
      <c r="K82" s="18" t="n">
        <v>0.57504378</v>
      </c>
      <c r="L82" s="20" t="n">
        <v>0.10097935</v>
      </c>
      <c r="M82" s="18" t="n">
        <v>0</v>
      </c>
      <c r="N82" s="20" t="n">
        <v>0</v>
      </c>
      <c r="O82" s="18" t="n">
        <v>0</v>
      </c>
      <c r="P82" s="20" t="n">
        <v>0</v>
      </c>
      <c r="Q82" s="18" t="n">
        <v>1.07558062</v>
      </c>
      <c r="R82" s="20" t="n">
        <v>0.29399436</v>
      </c>
    </row>
    <row r="83" spans="1:18">
      <c r="A83" s="15" t="s">
        <v>643</v>
      </c>
      <c r="B83" s="17" t="n">
        <v>808</v>
      </c>
      <c r="C83" s="18">
        <f>(647.0/B83*100)</f>
        <v/>
      </c>
      <c r="D83" s="19" t="n">
        <v>161</v>
      </c>
      <c r="E83" s="18" t="n">
        <v>65.77894215000001</v>
      </c>
      <c r="F83" s="20" t="n">
        <v>4.14802489</v>
      </c>
      <c r="G83" s="18" t="n">
        <v>32.79331633</v>
      </c>
      <c r="H83" s="20" t="n">
        <v>4.14970297</v>
      </c>
      <c r="I83" s="18" t="n">
        <v>0</v>
      </c>
      <c r="J83" s="20" t="n">
        <v>0</v>
      </c>
      <c r="K83" s="18" t="n">
        <v>0</v>
      </c>
      <c r="L83" s="20" t="n">
        <v>0</v>
      </c>
      <c r="M83" s="18" t="n">
        <v>0</v>
      </c>
      <c r="N83" s="20" t="n">
        <v>0</v>
      </c>
      <c r="O83" s="18" t="n">
        <v>0</v>
      </c>
      <c r="P83" s="20" t="n">
        <v>0</v>
      </c>
      <c r="Q83" s="18" t="n">
        <v>1.42774152</v>
      </c>
      <c r="R83" s="20" t="n">
        <v>1.11843698</v>
      </c>
    </row>
    <row r="84" spans="1:18">
      <c r="A84" s="23" t="s">
        <v>644</v>
      </c>
      <c r="B84" s="24" t="n">
        <v>938</v>
      </c>
      <c r="C84" s="25">
        <f>(765.0/B84*100)</f>
        <v/>
      </c>
      <c r="D84" s="19" t="n">
        <v>173</v>
      </c>
      <c r="E84" s="18" t="n">
        <v>62.56695903</v>
      </c>
      <c r="F84" s="20" t="n">
        <v>4.37353215</v>
      </c>
      <c r="G84" s="18" t="n">
        <v>36.03727006</v>
      </c>
      <c r="H84" s="20" t="n">
        <v>4.14577377</v>
      </c>
      <c r="I84" s="18" t="n">
        <v>0</v>
      </c>
      <c r="J84" s="20" t="n">
        <v>0</v>
      </c>
      <c r="K84" s="18" t="n">
        <v>0</v>
      </c>
      <c r="L84" s="20" t="n">
        <v>0</v>
      </c>
      <c r="M84" s="18" t="n">
        <v>0</v>
      </c>
      <c r="N84" s="20" t="n">
        <v>0</v>
      </c>
      <c r="O84" s="18" t="n">
        <v>0</v>
      </c>
      <c r="P84" s="20" t="n">
        <v>0</v>
      </c>
      <c r="Q84" s="18" t="n">
        <v>1.39577091</v>
      </c>
      <c r="R84" s="20" t="n">
        <v>1.03318292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(5614.0/B7*100)</f>
        <v/>
      </c>
      <c r="D7" s="19" t="n">
        <v>1549</v>
      </c>
      <c r="E7" s="18" t="n">
        <v>36.58478417</v>
      </c>
      <c r="F7" s="20" t="n">
        <v>1.65916235</v>
      </c>
      <c r="G7" s="18" t="n">
        <v>61.3453483</v>
      </c>
      <c r="H7" s="20" t="n">
        <v>1.61910921</v>
      </c>
      <c r="I7" s="18" t="n">
        <v>0</v>
      </c>
      <c r="J7" s="20" t="n">
        <v>0</v>
      </c>
      <c r="K7" s="18" t="n">
        <v>0.92171652</v>
      </c>
      <c r="L7" s="20" t="n">
        <v>0.26165544</v>
      </c>
      <c r="M7" s="18" t="n">
        <v>0</v>
      </c>
      <c r="N7" s="20" t="n">
        <v>0</v>
      </c>
      <c r="O7" s="18" t="n">
        <v>0</v>
      </c>
      <c r="P7" s="20" t="n">
        <v>0</v>
      </c>
      <c r="Q7" s="18" t="n">
        <v>1.14815102</v>
      </c>
      <c r="R7" s="20" t="n">
        <v>0.303175</v>
      </c>
    </row>
    <row r="8" spans="1:18">
      <c r="A8" s="15" t="s">
        <v>566</v>
      </c>
      <c r="B8" s="17" t="n">
        <v>3443</v>
      </c>
      <c r="C8" s="18">
        <f>(2660.0/B8*100)</f>
        <v/>
      </c>
      <c r="D8" s="19" t="n">
        <v>783</v>
      </c>
      <c r="E8" s="18" t="n">
        <v>44.2628955</v>
      </c>
      <c r="F8" s="20" t="n">
        <v>2.01418156</v>
      </c>
      <c r="G8" s="18" t="n">
        <v>54.34209303</v>
      </c>
      <c r="H8" s="20" t="n">
        <v>2.0143593</v>
      </c>
      <c r="I8" s="18" t="n">
        <v>0</v>
      </c>
      <c r="J8" s="20" t="n">
        <v>0</v>
      </c>
      <c r="K8" s="18" t="n">
        <v>0.17007913</v>
      </c>
      <c r="L8" s="20" t="n">
        <v>0.16817251</v>
      </c>
      <c r="M8" s="18" t="n">
        <v>0</v>
      </c>
      <c r="N8" s="20" t="n">
        <v>0</v>
      </c>
      <c r="O8" s="18" t="n">
        <v>0</v>
      </c>
      <c r="P8" s="20" t="n">
        <v>0</v>
      </c>
      <c r="Q8" s="18" t="n">
        <v>1.22493234</v>
      </c>
      <c r="R8" s="20" t="n">
        <v>0.5556306</v>
      </c>
    </row>
    <row r="9" spans="1:18">
      <c r="A9" s="15" t="s">
        <v>567</v>
      </c>
      <c r="B9" s="17" t="n">
        <v>4752</v>
      </c>
      <c r="C9" s="18">
        <f>(3751.0/B9*100)</f>
        <v/>
      </c>
      <c r="D9" s="19" t="n">
        <v>1001</v>
      </c>
      <c r="E9" s="18" t="n">
        <v>33.32181221</v>
      </c>
      <c r="F9" s="20" t="n">
        <v>1.52629529</v>
      </c>
      <c r="G9" s="18" t="n">
        <v>64.04100699</v>
      </c>
      <c r="H9" s="20" t="n">
        <v>1.54523433</v>
      </c>
      <c r="I9" s="18" t="n">
        <v>0</v>
      </c>
      <c r="J9" s="20" t="n">
        <v>0</v>
      </c>
      <c r="K9" s="18" t="n">
        <v>0.98460629</v>
      </c>
      <c r="L9" s="20" t="n">
        <v>0.29130708</v>
      </c>
      <c r="M9" s="18" t="n">
        <v>0</v>
      </c>
      <c r="N9" s="20" t="n">
        <v>0</v>
      </c>
      <c r="O9" s="18" t="n">
        <v>0</v>
      </c>
      <c r="P9" s="20" t="n">
        <v>0</v>
      </c>
      <c r="Q9" s="18" t="n">
        <v>1.6525745</v>
      </c>
      <c r="R9" s="20" t="n">
        <v>0.37739494</v>
      </c>
    </row>
    <row r="10" spans="1:18">
      <c r="A10" s="15" t="s">
        <v>568</v>
      </c>
      <c r="B10" s="17" t="n">
        <v>10022</v>
      </c>
      <c r="C10" s="18">
        <f>(7826.0/B10*100)</f>
        <v/>
      </c>
      <c r="D10" s="19" t="n">
        <v>2196</v>
      </c>
      <c r="E10" s="18" t="n">
        <v>31.88988617</v>
      </c>
      <c r="F10" s="20" t="n">
        <v>1.24162434</v>
      </c>
      <c r="G10" s="18" t="n">
        <v>66.14837376</v>
      </c>
      <c r="H10" s="20" t="n">
        <v>1.27421931</v>
      </c>
      <c r="I10" s="18" t="n">
        <v>0</v>
      </c>
      <c r="J10" s="20" t="n">
        <v>0</v>
      </c>
      <c r="K10" s="18" t="n">
        <v>0.97340727</v>
      </c>
      <c r="L10" s="20" t="n">
        <v>0.28294316</v>
      </c>
      <c r="M10" s="18" t="n">
        <v>0</v>
      </c>
      <c r="N10" s="20" t="n">
        <v>0</v>
      </c>
      <c r="O10" s="18" t="n">
        <v>0</v>
      </c>
      <c r="P10" s="20" t="n">
        <v>0</v>
      </c>
      <c r="Q10" s="18" t="n">
        <v>0.9883328</v>
      </c>
      <c r="R10" s="20" t="n">
        <v>0.24183405</v>
      </c>
    </row>
    <row r="11" spans="1:18">
      <c r="A11" s="15" t="s">
        <v>569</v>
      </c>
      <c r="B11" s="17" t="n">
        <v>3500</v>
      </c>
      <c r="C11" s="18">
        <f>(2794.0/B11*100)</f>
        <v/>
      </c>
      <c r="D11" s="19" t="n">
        <v>706</v>
      </c>
      <c r="E11" s="18" t="n">
        <v>45.27670425</v>
      </c>
      <c r="F11" s="20" t="n">
        <v>2.06606333</v>
      </c>
      <c r="G11" s="18" t="n">
        <v>47.75768948</v>
      </c>
      <c r="H11" s="20" t="n">
        <v>2.32228397</v>
      </c>
      <c r="I11" s="18" t="n">
        <v>0</v>
      </c>
      <c r="J11" s="20" t="n">
        <v>0</v>
      </c>
      <c r="K11" s="18" t="n">
        <v>2.31143317</v>
      </c>
      <c r="L11" s="20" t="n">
        <v>0.74529367</v>
      </c>
      <c r="M11" s="18" t="n">
        <v>0</v>
      </c>
      <c r="N11" s="20" t="n">
        <v>0</v>
      </c>
      <c r="O11" s="18" t="n">
        <v>0</v>
      </c>
      <c r="P11" s="20" t="n">
        <v>0</v>
      </c>
      <c r="Q11" s="18" t="n">
        <v>4.65417309</v>
      </c>
      <c r="R11" s="20" t="n">
        <v>0.87010869</v>
      </c>
    </row>
    <row r="12" spans="1:18">
      <c r="A12" s="15" t="s">
        <v>570</v>
      </c>
      <c r="B12" s="17" t="n">
        <v>3422</v>
      </c>
      <c r="C12" s="18">
        <f>(2689.0/B12*100)</f>
        <v/>
      </c>
      <c r="D12" s="19" t="n">
        <v>733</v>
      </c>
      <c r="E12" s="18" t="n">
        <v>31.86325955</v>
      </c>
      <c r="F12" s="20" t="n">
        <v>2.04424768</v>
      </c>
      <c r="G12" s="18" t="n">
        <v>67.1455452</v>
      </c>
      <c r="H12" s="20" t="n">
        <v>2.14027308</v>
      </c>
      <c r="I12" s="18" t="n">
        <v>0</v>
      </c>
      <c r="J12" s="20" t="n">
        <v>0</v>
      </c>
      <c r="K12" s="18" t="n">
        <v>0.22077382</v>
      </c>
      <c r="L12" s="20" t="n">
        <v>0.13113712</v>
      </c>
      <c r="M12" s="18" t="n">
        <v>0</v>
      </c>
      <c r="N12" s="20" t="n">
        <v>0</v>
      </c>
      <c r="O12" s="18" t="n">
        <v>0</v>
      </c>
      <c r="P12" s="20" t="n">
        <v>0</v>
      </c>
      <c r="Q12" s="18" t="n">
        <v>0.77042143</v>
      </c>
      <c r="R12" s="20" t="n">
        <v>0.31006381</v>
      </c>
    </row>
    <row r="13" spans="1:18">
      <c r="A13" s="15" t="s">
        <v>571</v>
      </c>
      <c r="B13" s="17" t="n">
        <v>3602</v>
      </c>
      <c r="C13" s="18">
        <f>(2810.0/B13*100)</f>
        <v/>
      </c>
      <c r="D13" s="19" t="n">
        <v>792</v>
      </c>
      <c r="E13" s="18" t="n">
        <v>34.27720887</v>
      </c>
      <c r="F13" s="20" t="n">
        <v>1.94973352</v>
      </c>
      <c r="G13" s="18" t="n">
        <v>63.62799617</v>
      </c>
      <c r="H13" s="20" t="n">
        <v>2.08408843</v>
      </c>
      <c r="I13" s="18" t="n">
        <v>0</v>
      </c>
      <c r="J13" s="20" t="n">
        <v>0</v>
      </c>
      <c r="K13" s="18" t="n">
        <v>0.7953175300000001</v>
      </c>
      <c r="L13" s="20" t="n">
        <v>0.34064997</v>
      </c>
      <c r="M13" s="18" t="n">
        <v>0</v>
      </c>
      <c r="N13" s="20" t="n">
        <v>0</v>
      </c>
      <c r="O13" s="18" t="n">
        <v>0</v>
      </c>
      <c r="P13" s="20" t="n">
        <v>0</v>
      </c>
      <c r="Q13" s="18" t="n">
        <v>1.29947743</v>
      </c>
      <c r="R13" s="20" t="n">
        <v>0.46721213</v>
      </c>
    </row>
    <row r="14" spans="1:18">
      <c r="A14" s="15" t="s">
        <v>572</v>
      </c>
      <c r="B14" s="17" t="n">
        <v>2788</v>
      </c>
      <c r="C14" s="18">
        <f>(2142.0/B14*100)</f>
        <v/>
      </c>
      <c r="D14" s="19" t="n">
        <v>646</v>
      </c>
      <c r="E14" s="18" t="n">
        <v>22.32461934</v>
      </c>
      <c r="F14" s="20" t="n">
        <v>2.01942534</v>
      </c>
      <c r="G14" s="18" t="n">
        <v>76.49460069</v>
      </c>
      <c r="H14" s="20" t="n">
        <v>2.06089588</v>
      </c>
      <c r="I14" s="18" t="n">
        <v>0</v>
      </c>
      <c r="J14" s="20" t="n">
        <v>0</v>
      </c>
      <c r="K14" s="18" t="n">
        <v>0.90662525</v>
      </c>
      <c r="L14" s="20" t="n">
        <v>0.44160184</v>
      </c>
      <c r="M14" s="18" t="n">
        <v>0</v>
      </c>
      <c r="N14" s="20" t="n">
        <v>0</v>
      </c>
      <c r="O14" s="18" t="n">
        <v>0</v>
      </c>
      <c r="P14" s="20" t="n">
        <v>0</v>
      </c>
      <c r="Q14" s="18" t="n">
        <v>0.27415472</v>
      </c>
      <c r="R14" s="20" t="n">
        <v>0.01476846</v>
      </c>
    </row>
    <row r="15" spans="1:18">
      <c r="A15" s="15" t="s">
        <v>573</v>
      </c>
      <c r="B15" s="17" t="n">
        <v>2863</v>
      </c>
      <c r="C15" s="18">
        <f>(2261.0/B15*100)</f>
        <v/>
      </c>
      <c r="D15" s="19" t="n">
        <v>602</v>
      </c>
      <c r="E15" s="18" t="n">
        <v>21.52963148</v>
      </c>
      <c r="F15" s="20" t="n">
        <v>1.6881569</v>
      </c>
      <c r="G15" s="18" t="n">
        <v>77.97973025</v>
      </c>
      <c r="H15" s="20" t="n">
        <v>1.71479591</v>
      </c>
      <c r="I15" s="18" t="n">
        <v>0</v>
      </c>
      <c r="J15" s="20" t="n">
        <v>0</v>
      </c>
      <c r="K15" s="18" t="n">
        <v>0</v>
      </c>
      <c r="L15" s="20" t="n">
        <v>0</v>
      </c>
      <c r="M15" s="18" t="n">
        <v>0</v>
      </c>
      <c r="N15" s="20" t="n">
        <v>0</v>
      </c>
      <c r="O15" s="18" t="n">
        <v>0</v>
      </c>
      <c r="P15" s="20" t="n">
        <v>0</v>
      </c>
      <c r="Q15" s="18" t="n">
        <v>0.49063827</v>
      </c>
      <c r="R15" s="20" t="n">
        <v>0.28725318</v>
      </c>
    </row>
    <row r="16" spans="1:18">
      <c r="A16" s="15" t="s">
        <v>574</v>
      </c>
      <c r="B16" s="17" t="n">
        <v>3111</v>
      </c>
      <c r="C16" s="18">
        <f>(2405.0/B16*100)</f>
        <v/>
      </c>
      <c r="D16" s="19" t="n">
        <v>706</v>
      </c>
      <c r="E16" s="18" t="n">
        <v>37.22078263</v>
      </c>
      <c r="F16" s="20" t="n">
        <v>1.61559439</v>
      </c>
      <c r="G16" s="18" t="n">
        <v>60.0270642</v>
      </c>
      <c r="H16" s="20" t="n">
        <v>1.69288983</v>
      </c>
      <c r="I16" s="18" t="n">
        <v>0</v>
      </c>
      <c r="J16" s="20" t="n">
        <v>0</v>
      </c>
      <c r="K16" s="18" t="n">
        <v>1.55135589</v>
      </c>
      <c r="L16" s="20" t="n">
        <v>0.49895519</v>
      </c>
      <c r="M16" s="18" t="n">
        <v>0</v>
      </c>
      <c r="N16" s="20" t="n">
        <v>0</v>
      </c>
      <c r="O16" s="18" t="n">
        <v>0</v>
      </c>
      <c r="P16" s="20" t="n">
        <v>0</v>
      </c>
      <c r="Q16" s="18" t="n">
        <v>1.20079728</v>
      </c>
      <c r="R16" s="20" t="n">
        <v>0.39153117</v>
      </c>
    </row>
    <row r="17" spans="1:18">
      <c r="A17" s="15" t="s">
        <v>575</v>
      </c>
      <c r="B17" s="17" t="n">
        <v>3197</v>
      </c>
      <c r="C17" s="18">
        <f>(2506.0/B17*100)</f>
        <v/>
      </c>
      <c r="D17" s="19" t="n">
        <v>691</v>
      </c>
      <c r="E17" s="18" t="n">
        <v>36.71769588</v>
      </c>
      <c r="F17" s="20" t="n">
        <v>2.0855584</v>
      </c>
      <c r="G17" s="18" t="n">
        <v>62.09901524</v>
      </c>
      <c r="H17" s="20" t="n">
        <v>2.00783202</v>
      </c>
      <c r="I17" s="18" t="n">
        <v>0</v>
      </c>
      <c r="J17" s="20" t="n">
        <v>0</v>
      </c>
      <c r="K17" s="18" t="n">
        <v>0.30580656</v>
      </c>
      <c r="L17" s="20" t="n">
        <v>0.21971211</v>
      </c>
      <c r="M17" s="18" t="n">
        <v>0</v>
      </c>
      <c r="N17" s="20" t="n">
        <v>0</v>
      </c>
      <c r="O17" s="18" t="n">
        <v>0</v>
      </c>
      <c r="P17" s="20" t="n">
        <v>0</v>
      </c>
      <c r="Q17" s="18" t="n">
        <v>0.87748231</v>
      </c>
      <c r="R17" s="20" t="n">
        <v>0.38373883</v>
      </c>
    </row>
    <row r="18" spans="1:18">
      <c r="A18" s="15" t="s">
        <v>576</v>
      </c>
      <c r="B18" s="17" t="n">
        <v>2706</v>
      </c>
      <c r="C18" s="18">
        <f>(2091.0/B18*100)</f>
        <v/>
      </c>
      <c r="D18" s="19" t="n">
        <v>615</v>
      </c>
      <c r="E18" s="18" t="n">
        <v>42.02141586</v>
      </c>
      <c r="F18" s="20" t="n">
        <v>2.45483616</v>
      </c>
      <c r="G18" s="18" t="n">
        <v>54.59176366</v>
      </c>
      <c r="H18" s="20" t="n">
        <v>2.42050407</v>
      </c>
      <c r="I18" s="18" t="n">
        <v>0</v>
      </c>
      <c r="J18" s="20" t="n">
        <v>0</v>
      </c>
      <c r="K18" s="18" t="n">
        <v>1.53755769</v>
      </c>
      <c r="L18" s="20" t="n">
        <v>0.51015038</v>
      </c>
      <c r="M18" s="18" t="n">
        <v>0</v>
      </c>
      <c r="N18" s="20" t="n">
        <v>0</v>
      </c>
      <c r="O18" s="18" t="n">
        <v>0</v>
      </c>
      <c r="P18" s="20" t="n">
        <v>0</v>
      </c>
      <c r="Q18" s="18" t="n">
        <v>1.84926279</v>
      </c>
      <c r="R18" s="20" t="n">
        <v>0.66663136</v>
      </c>
    </row>
    <row r="19" spans="1:18">
      <c r="A19" s="15" t="s">
        <v>577</v>
      </c>
      <c r="B19" s="17" t="n">
        <v>2850</v>
      </c>
      <c r="C19" s="18">
        <f>(2247.0/B19*100)</f>
        <v/>
      </c>
      <c r="D19" s="19" t="n">
        <v>603</v>
      </c>
      <c r="E19" s="18" t="n">
        <v>38.45475623</v>
      </c>
      <c r="F19" s="20" t="n">
        <v>2.07488668</v>
      </c>
      <c r="G19" s="18" t="n">
        <v>60.08594756</v>
      </c>
      <c r="H19" s="20" t="n">
        <v>2.11319941</v>
      </c>
      <c r="I19" s="18" t="n">
        <v>0</v>
      </c>
      <c r="J19" s="20" t="n">
        <v>0</v>
      </c>
      <c r="K19" s="18" t="n">
        <v>0.44244959</v>
      </c>
      <c r="L19" s="20" t="n">
        <v>0.23455377</v>
      </c>
      <c r="M19" s="18" t="n">
        <v>0</v>
      </c>
      <c r="N19" s="20" t="n">
        <v>0</v>
      </c>
      <c r="O19" s="18" t="n">
        <v>0</v>
      </c>
      <c r="P19" s="20" t="n">
        <v>0</v>
      </c>
      <c r="Q19" s="18" t="n">
        <v>1.01684663</v>
      </c>
      <c r="R19" s="20" t="n">
        <v>0.40877099</v>
      </c>
    </row>
    <row r="20" spans="1:18">
      <c r="A20" s="15" t="s">
        <v>578</v>
      </c>
      <c r="B20" s="17" t="n">
        <v>1741</v>
      </c>
      <c r="C20" s="18">
        <f>(1354.0/B20*100)</f>
        <v/>
      </c>
      <c r="D20" s="19" t="n">
        <v>387</v>
      </c>
      <c r="E20" s="18" t="n">
        <v>38.55397565</v>
      </c>
      <c r="F20" s="20" t="n">
        <v>2.66264176</v>
      </c>
      <c r="G20" s="18" t="n">
        <v>59.2129793</v>
      </c>
      <c r="H20" s="20" t="n">
        <v>2.58449995</v>
      </c>
      <c r="I20" s="18" t="n">
        <v>0</v>
      </c>
      <c r="J20" s="20" t="n">
        <v>0</v>
      </c>
      <c r="K20" s="18" t="n">
        <v>0.7981096</v>
      </c>
      <c r="L20" s="20" t="n">
        <v>0.46426509</v>
      </c>
      <c r="M20" s="18" t="n">
        <v>0</v>
      </c>
      <c r="N20" s="20" t="n">
        <v>0</v>
      </c>
      <c r="O20" s="18" t="n">
        <v>0</v>
      </c>
      <c r="P20" s="20" t="n">
        <v>0</v>
      </c>
      <c r="Q20" s="18" t="n">
        <v>1.43493544</v>
      </c>
      <c r="R20" s="20" t="n">
        <v>0.57570922</v>
      </c>
    </row>
    <row r="21" spans="1:18">
      <c r="A21" s="15" t="s">
        <v>579</v>
      </c>
      <c r="B21" s="17" t="n">
        <v>2833</v>
      </c>
      <c r="C21" s="18">
        <f>(2222.0/B21*100)</f>
        <v/>
      </c>
      <c r="D21" s="19" t="n">
        <v>611</v>
      </c>
      <c r="E21" s="18" t="n">
        <v>34.72101685</v>
      </c>
      <c r="F21" s="20" t="n">
        <v>1.70571818</v>
      </c>
      <c r="G21" s="18" t="n">
        <v>64.57426783</v>
      </c>
      <c r="H21" s="20" t="n">
        <v>1.7278427</v>
      </c>
      <c r="I21" s="18" t="n">
        <v>0</v>
      </c>
      <c r="J21" s="20" t="n">
        <v>0</v>
      </c>
      <c r="K21" s="18" t="n">
        <v>0.12090044</v>
      </c>
      <c r="L21" s="20" t="n">
        <v>0.12079327</v>
      </c>
      <c r="M21" s="18" t="n">
        <v>0</v>
      </c>
      <c r="N21" s="20" t="n">
        <v>0</v>
      </c>
      <c r="O21" s="18" t="n">
        <v>0</v>
      </c>
      <c r="P21" s="20" t="n">
        <v>0</v>
      </c>
      <c r="Q21" s="18" t="n">
        <v>0.58381487</v>
      </c>
      <c r="R21" s="20" t="n">
        <v>0.39600259</v>
      </c>
    </row>
    <row r="22" spans="1:18">
      <c r="A22" s="15" t="s">
        <v>580</v>
      </c>
      <c r="B22" s="17" t="n">
        <v>3667</v>
      </c>
      <c r="C22" s="18">
        <f>(2999.0/B22*100)</f>
        <v/>
      </c>
      <c r="D22" s="19" t="n">
        <v>668</v>
      </c>
      <c r="E22" s="18" t="n">
        <v>46.45168621</v>
      </c>
      <c r="F22" s="20" t="n">
        <v>2.00719329</v>
      </c>
      <c r="G22" s="18" t="n">
        <v>49.86126591</v>
      </c>
      <c r="H22" s="20" t="n">
        <v>2.2480396</v>
      </c>
      <c r="I22" s="18" t="n">
        <v>0</v>
      </c>
      <c r="J22" s="20" t="n">
        <v>0</v>
      </c>
      <c r="K22" s="18" t="n">
        <v>1.35510102</v>
      </c>
      <c r="L22" s="20" t="n">
        <v>0.5561403700000001</v>
      </c>
      <c r="M22" s="18" t="n">
        <v>0</v>
      </c>
      <c r="N22" s="20" t="n">
        <v>0</v>
      </c>
      <c r="O22" s="18" t="n">
        <v>0</v>
      </c>
      <c r="P22" s="20" t="n">
        <v>0</v>
      </c>
      <c r="Q22" s="18" t="n">
        <v>2.33194685</v>
      </c>
      <c r="R22" s="20" t="n">
        <v>0.76470558</v>
      </c>
    </row>
    <row r="23" spans="1:18">
      <c r="A23" s="15" t="s">
        <v>581</v>
      </c>
      <c r="B23" s="17" t="n">
        <v>5792</v>
      </c>
      <c r="C23" s="18">
        <f>(4544.0/B23*100)</f>
        <v/>
      </c>
      <c r="D23" s="19" t="n">
        <v>1248</v>
      </c>
      <c r="E23" s="18" t="n">
        <v>36.35094177</v>
      </c>
      <c r="F23" s="20" t="n">
        <v>2.19274353</v>
      </c>
      <c r="G23" s="18" t="n">
        <v>60.46643541</v>
      </c>
      <c r="H23" s="20" t="n">
        <v>2.31198227</v>
      </c>
      <c r="I23" s="18" t="n">
        <v>0</v>
      </c>
      <c r="J23" s="20" t="n">
        <v>0</v>
      </c>
      <c r="K23" s="18" t="n">
        <v>1.47355525</v>
      </c>
      <c r="L23" s="20" t="n">
        <v>0.5030526</v>
      </c>
      <c r="M23" s="18" t="n">
        <v>0</v>
      </c>
      <c r="N23" s="20" t="n">
        <v>0</v>
      </c>
      <c r="O23" s="18" t="n">
        <v>0</v>
      </c>
      <c r="P23" s="20" t="n">
        <v>0</v>
      </c>
      <c r="Q23" s="18" t="n">
        <v>1.70906756</v>
      </c>
      <c r="R23" s="20" t="n">
        <v>0.5860570899999999</v>
      </c>
    </row>
    <row r="24" spans="1:18">
      <c r="A24" s="15" t="s">
        <v>582</v>
      </c>
      <c r="B24" s="17" t="n">
        <v>3309</v>
      </c>
      <c r="C24" s="18">
        <f>(2612.0/B24*100)</f>
        <v/>
      </c>
      <c r="D24" s="19" t="n">
        <v>697</v>
      </c>
      <c r="E24" s="18" t="n">
        <v>33.69143706</v>
      </c>
      <c r="F24" s="20" t="n">
        <v>1.96002715</v>
      </c>
      <c r="G24" s="18" t="n">
        <v>66.18017259</v>
      </c>
      <c r="H24" s="20" t="n">
        <v>1.96138358</v>
      </c>
      <c r="I24" s="18" t="n">
        <v>0</v>
      </c>
      <c r="J24" s="20" t="n">
        <v>0</v>
      </c>
      <c r="K24" s="18" t="n">
        <v>0</v>
      </c>
      <c r="L24" s="20" t="n">
        <v>0</v>
      </c>
      <c r="M24" s="18" t="n">
        <v>0</v>
      </c>
      <c r="N24" s="20" t="n">
        <v>0</v>
      </c>
      <c r="O24" s="18" t="n">
        <v>0</v>
      </c>
      <c r="P24" s="20" t="n">
        <v>0</v>
      </c>
      <c r="Q24" s="18" t="n">
        <v>0.12839035</v>
      </c>
      <c r="R24" s="20" t="n">
        <v>0.12872866</v>
      </c>
    </row>
    <row r="25" spans="1:18">
      <c r="A25" s="15" t="s">
        <v>583</v>
      </c>
      <c r="B25" s="17" t="n">
        <v>2669</v>
      </c>
      <c r="C25" s="18">
        <f>(2052.0/B25*100)</f>
        <v/>
      </c>
      <c r="D25" s="19" t="n">
        <v>617</v>
      </c>
      <c r="E25" s="18" t="n">
        <v>33.466335</v>
      </c>
      <c r="F25" s="20" t="n">
        <v>2.14287526</v>
      </c>
      <c r="G25" s="18" t="n">
        <v>66.08010383</v>
      </c>
      <c r="H25" s="20" t="n">
        <v>2.15120879</v>
      </c>
      <c r="I25" s="18" t="n">
        <v>0</v>
      </c>
      <c r="J25" s="20" t="n">
        <v>0</v>
      </c>
      <c r="K25" s="18" t="n">
        <v>0.15931151</v>
      </c>
      <c r="L25" s="20" t="n">
        <v>0.1599643</v>
      </c>
      <c r="M25" s="18" t="n">
        <v>0</v>
      </c>
      <c r="N25" s="20" t="n">
        <v>0</v>
      </c>
      <c r="O25" s="18" t="n">
        <v>0</v>
      </c>
      <c r="P25" s="20" t="n">
        <v>0</v>
      </c>
      <c r="Q25" s="18" t="n">
        <v>0.29424967</v>
      </c>
      <c r="R25" s="20" t="n">
        <v>0.21046954</v>
      </c>
    </row>
    <row r="26" spans="1:18">
      <c r="A26" s="15" t="s">
        <v>584</v>
      </c>
      <c r="B26" s="17" t="n">
        <v>2419</v>
      </c>
      <c r="C26" s="18">
        <f>(1890.0/B26*100)</f>
        <v/>
      </c>
      <c r="D26" s="19" t="n">
        <v>529</v>
      </c>
      <c r="E26" s="18" t="n">
        <v>32.44685441</v>
      </c>
      <c r="F26" s="20" t="n">
        <v>2.23706387</v>
      </c>
      <c r="G26" s="18" t="n">
        <v>66.37714376</v>
      </c>
      <c r="H26" s="20" t="n">
        <v>2.22583727</v>
      </c>
      <c r="I26" s="18" t="n">
        <v>0</v>
      </c>
      <c r="J26" s="20" t="n">
        <v>0</v>
      </c>
      <c r="K26" s="18" t="n">
        <v>1.02776859</v>
      </c>
      <c r="L26" s="20" t="n">
        <v>0.57249857</v>
      </c>
      <c r="M26" s="18" t="n">
        <v>0</v>
      </c>
      <c r="N26" s="20" t="n">
        <v>0</v>
      </c>
      <c r="O26" s="18" t="n">
        <v>0</v>
      </c>
      <c r="P26" s="20" t="n">
        <v>0</v>
      </c>
      <c r="Q26" s="18" t="n">
        <v>0.14823324</v>
      </c>
      <c r="R26" s="20" t="n">
        <v>0.16315451</v>
      </c>
    </row>
    <row r="27" spans="1:18">
      <c r="A27" s="15" t="s">
        <v>585</v>
      </c>
      <c r="B27" s="17" t="n">
        <v>2683</v>
      </c>
      <c r="C27" s="18">
        <f>(2109.0/B27*100)</f>
        <v/>
      </c>
      <c r="D27" s="19" t="n">
        <v>574</v>
      </c>
      <c r="E27" s="18" t="n">
        <v>37.99495142</v>
      </c>
      <c r="F27" s="20" t="n">
        <v>2.21684681</v>
      </c>
      <c r="G27" s="18" t="n">
        <v>60.6010859</v>
      </c>
      <c r="H27" s="20" t="n">
        <v>2.20723345</v>
      </c>
      <c r="I27" s="18" t="n">
        <v>0</v>
      </c>
      <c r="J27" s="20" t="n">
        <v>0</v>
      </c>
      <c r="K27" s="18" t="n">
        <v>0.69494425</v>
      </c>
      <c r="L27" s="20" t="n">
        <v>0.34179331</v>
      </c>
      <c r="M27" s="18" t="n">
        <v>0</v>
      </c>
      <c r="N27" s="20" t="n">
        <v>0</v>
      </c>
      <c r="O27" s="18" t="n">
        <v>0</v>
      </c>
      <c r="P27" s="20" t="n">
        <v>0</v>
      </c>
      <c r="Q27" s="18" t="n">
        <v>0.70901843</v>
      </c>
      <c r="R27" s="20" t="n">
        <v>0.35573715</v>
      </c>
    </row>
    <row r="28" spans="1:18">
      <c r="A28" s="15" t="s">
        <v>586</v>
      </c>
      <c r="B28" s="17" t="n">
        <v>3803</v>
      </c>
      <c r="C28" s="18">
        <f>(3041.0/B28*100)</f>
        <v/>
      </c>
      <c r="D28" s="19" t="n">
        <v>762</v>
      </c>
      <c r="E28" s="18" t="n">
        <v>58.9100478</v>
      </c>
      <c r="F28" s="20" t="n">
        <v>2.26895433</v>
      </c>
      <c r="G28" s="18" t="n">
        <v>36.33392333</v>
      </c>
      <c r="H28" s="20" t="n">
        <v>2.09101213</v>
      </c>
      <c r="I28" s="18" t="n">
        <v>0</v>
      </c>
      <c r="J28" s="20" t="n">
        <v>0</v>
      </c>
      <c r="K28" s="18" t="n">
        <v>1.66233483</v>
      </c>
      <c r="L28" s="20" t="n">
        <v>0.91341842</v>
      </c>
      <c r="M28" s="18" t="n">
        <v>0</v>
      </c>
      <c r="N28" s="20" t="n">
        <v>0</v>
      </c>
      <c r="O28" s="18" t="n">
        <v>0</v>
      </c>
      <c r="P28" s="20" t="n">
        <v>0</v>
      </c>
      <c r="Q28" s="18" t="n">
        <v>3.09369405</v>
      </c>
      <c r="R28" s="20" t="n">
        <v>0.6608955399999999</v>
      </c>
    </row>
    <row r="29" spans="1:18">
      <c r="A29" s="15" t="s">
        <v>587</v>
      </c>
      <c r="B29" s="17" t="n">
        <v>2700</v>
      </c>
      <c r="C29" s="18">
        <f>(2142.0/B29*100)</f>
        <v/>
      </c>
      <c r="D29" s="19" t="n">
        <v>558</v>
      </c>
      <c r="E29" s="18" t="n">
        <v>35.35865475</v>
      </c>
      <c r="F29" s="20" t="n">
        <v>2.54069416</v>
      </c>
      <c r="G29" s="18" t="n">
        <v>64.36678105999999</v>
      </c>
      <c r="H29" s="20" t="n">
        <v>2.50464993</v>
      </c>
      <c r="I29" s="18" t="n">
        <v>0</v>
      </c>
      <c r="J29" s="20" t="n">
        <v>0</v>
      </c>
      <c r="K29" s="18" t="n">
        <v>0</v>
      </c>
      <c r="L29" s="20" t="n">
        <v>0</v>
      </c>
      <c r="M29" s="18" t="n">
        <v>0</v>
      </c>
      <c r="N29" s="20" t="n">
        <v>0</v>
      </c>
      <c r="O29" s="18" t="n">
        <v>0</v>
      </c>
      <c r="P29" s="20" t="n">
        <v>0</v>
      </c>
      <c r="Q29" s="18" t="n">
        <v>0.27456419</v>
      </c>
      <c r="R29" s="20" t="n">
        <v>0.19893567</v>
      </c>
    </row>
    <row r="30" spans="1:18">
      <c r="A30" s="15" t="s">
        <v>588</v>
      </c>
      <c r="B30" s="17" t="n">
        <v>2257</v>
      </c>
      <c r="C30" s="18">
        <f>(1795.0/B30*100)</f>
        <v/>
      </c>
      <c r="D30" s="19" t="n">
        <v>462</v>
      </c>
      <c r="E30" s="18" t="n">
        <v>35.34130502</v>
      </c>
      <c r="F30" s="20" t="n">
        <v>2.64735846</v>
      </c>
      <c r="G30" s="18" t="n">
        <v>61.07356573</v>
      </c>
      <c r="H30" s="20" t="n">
        <v>2.63700277</v>
      </c>
      <c r="I30" s="18" t="n">
        <v>0</v>
      </c>
      <c r="J30" s="20" t="n">
        <v>0</v>
      </c>
      <c r="K30" s="18" t="n">
        <v>1.22503324</v>
      </c>
      <c r="L30" s="20" t="n">
        <v>0.58337659</v>
      </c>
      <c r="M30" s="18" t="n">
        <v>0</v>
      </c>
      <c r="N30" s="20" t="n">
        <v>0</v>
      </c>
      <c r="O30" s="18" t="n">
        <v>0</v>
      </c>
      <c r="P30" s="20" t="n">
        <v>0</v>
      </c>
      <c r="Q30" s="18" t="n">
        <v>2.360096</v>
      </c>
      <c r="R30" s="20" t="n">
        <v>0.8623391</v>
      </c>
    </row>
    <row r="31" spans="1:18">
      <c r="A31" s="15" t="s">
        <v>589</v>
      </c>
      <c r="B31" s="17" t="n">
        <v>2706</v>
      </c>
      <c r="C31" s="18">
        <f>(2087.0/B31*100)</f>
        <v/>
      </c>
      <c r="D31" s="19" t="n">
        <v>619</v>
      </c>
      <c r="E31" s="18" t="n">
        <v>31.46279039</v>
      </c>
      <c r="F31" s="20" t="n">
        <v>1.60928122</v>
      </c>
      <c r="G31" s="18" t="n">
        <v>64.83468065</v>
      </c>
      <c r="H31" s="20" t="n">
        <v>1.8054977</v>
      </c>
      <c r="I31" s="18" t="n">
        <v>0</v>
      </c>
      <c r="J31" s="20" t="n">
        <v>0</v>
      </c>
      <c r="K31" s="18" t="n">
        <v>1.154552</v>
      </c>
      <c r="L31" s="20" t="n">
        <v>0.42459831</v>
      </c>
      <c r="M31" s="18" t="n">
        <v>0</v>
      </c>
      <c r="N31" s="20" t="n">
        <v>0</v>
      </c>
      <c r="O31" s="18" t="n">
        <v>0</v>
      </c>
      <c r="P31" s="20" t="n">
        <v>0</v>
      </c>
      <c r="Q31" s="18" t="n">
        <v>2.54797695</v>
      </c>
      <c r="R31" s="20" t="n">
        <v>0.65530318</v>
      </c>
    </row>
    <row r="32" spans="1:18">
      <c r="A32" s="15" t="s">
        <v>590</v>
      </c>
      <c r="B32" s="17" t="n">
        <v>2209</v>
      </c>
      <c r="C32" s="18">
        <f>(1702.0/B32*100)</f>
        <v/>
      </c>
      <c r="D32" s="19" t="n">
        <v>507</v>
      </c>
      <c r="E32" s="18" t="n">
        <v>35.94560049</v>
      </c>
      <c r="F32" s="20" t="n">
        <v>2.2722409</v>
      </c>
      <c r="G32" s="18" t="n">
        <v>63.45501112</v>
      </c>
      <c r="H32" s="20" t="n">
        <v>2.33179886</v>
      </c>
      <c r="I32" s="18" t="n">
        <v>0</v>
      </c>
      <c r="J32" s="20" t="n">
        <v>0</v>
      </c>
      <c r="K32" s="18" t="n">
        <v>0.21162236</v>
      </c>
      <c r="L32" s="20" t="n">
        <v>0.23043438</v>
      </c>
      <c r="M32" s="18" t="n">
        <v>0</v>
      </c>
      <c r="N32" s="20" t="n">
        <v>0</v>
      </c>
      <c r="O32" s="18" t="n">
        <v>0</v>
      </c>
      <c r="P32" s="20" t="n">
        <v>0</v>
      </c>
      <c r="Q32" s="18" t="n">
        <v>0.38776603</v>
      </c>
      <c r="R32" s="20" t="n">
        <v>0.28880026</v>
      </c>
    </row>
    <row r="33" spans="1:18">
      <c r="A33" s="15" t="s">
        <v>591</v>
      </c>
      <c r="B33" s="17" t="n">
        <v>3651</v>
      </c>
      <c r="C33" s="18">
        <f>(2875.0/B33*100)</f>
        <v/>
      </c>
      <c r="D33" s="19" t="n">
        <v>776</v>
      </c>
      <c r="E33" s="18" t="n">
        <v>33.87228445</v>
      </c>
      <c r="F33" s="20" t="n">
        <v>1.87201264</v>
      </c>
      <c r="G33" s="18" t="n">
        <v>64.97389339</v>
      </c>
      <c r="H33" s="20" t="n">
        <v>1.8887403</v>
      </c>
      <c r="I33" s="18" t="n">
        <v>0</v>
      </c>
      <c r="J33" s="20" t="n">
        <v>0</v>
      </c>
      <c r="K33" s="18" t="n">
        <v>0.8198681</v>
      </c>
      <c r="L33" s="20" t="n">
        <v>0.38635174</v>
      </c>
      <c r="M33" s="18" t="n">
        <v>0</v>
      </c>
      <c r="N33" s="20" t="n">
        <v>0</v>
      </c>
      <c r="O33" s="18" t="n">
        <v>0</v>
      </c>
      <c r="P33" s="20" t="n">
        <v>0</v>
      </c>
      <c r="Q33" s="18" t="n">
        <v>0.33395406</v>
      </c>
      <c r="R33" s="20" t="n">
        <v>0.21197452</v>
      </c>
    </row>
    <row r="34" spans="1:18">
      <c r="A34" s="15" t="s">
        <v>592</v>
      </c>
      <c r="B34" s="17" t="n">
        <v>3035</v>
      </c>
      <c r="C34" s="18">
        <f>(2432.0/B34*100)</f>
        <v/>
      </c>
      <c r="D34" s="19" t="n">
        <v>603</v>
      </c>
      <c r="E34" s="18" t="n">
        <v>42.17948005</v>
      </c>
      <c r="F34" s="20" t="n">
        <v>2.17916716</v>
      </c>
      <c r="G34" s="18" t="n">
        <v>53.659028</v>
      </c>
      <c r="H34" s="20" t="n">
        <v>2.44839006</v>
      </c>
      <c r="I34" s="18" t="n">
        <v>0</v>
      </c>
      <c r="J34" s="20" t="n">
        <v>0</v>
      </c>
      <c r="K34" s="18" t="n">
        <v>0.9378944</v>
      </c>
      <c r="L34" s="20" t="n">
        <v>0.41575791</v>
      </c>
      <c r="M34" s="18" t="n">
        <v>0</v>
      </c>
      <c r="N34" s="20" t="n">
        <v>0</v>
      </c>
      <c r="O34" s="18" t="n">
        <v>0</v>
      </c>
      <c r="P34" s="20" t="n">
        <v>0</v>
      </c>
      <c r="Q34" s="18" t="n">
        <v>3.22359754</v>
      </c>
      <c r="R34" s="20" t="n">
        <v>0.86083783</v>
      </c>
    </row>
    <row r="35" spans="1:18">
      <c r="A35" s="15" t="s">
        <v>593</v>
      </c>
      <c r="B35" s="17" t="n">
        <v>2901</v>
      </c>
      <c r="C35" s="18">
        <f>(2274.0/B35*100)</f>
        <v/>
      </c>
      <c r="D35" s="19" t="n">
        <v>627</v>
      </c>
      <c r="E35" s="18" t="n">
        <v>24.54646816</v>
      </c>
      <c r="F35" s="20" t="n">
        <v>2.04799785</v>
      </c>
      <c r="G35" s="18" t="n">
        <v>75.12674302000001</v>
      </c>
      <c r="H35" s="20" t="n">
        <v>2.05112781</v>
      </c>
      <c r="I35" s="18" t="n">
        <v>0</v>
      </c>
      <c r="J35" s="20" t="n">
        <v>0</v>
      </c>
      <c r="K35" s="18" t="n">
        <v>0.07430239</v>
      </c>
      <c r="L35" s="20" t="n">
        <v>0.07497284</v>
      </c>
      <c r="M35" s="18" t="n">
        <v>0</v>
      </c>
      <c r="N35" s="20" t="n">
        <v>0</v>
      </c>
      <c r="O35" s="18" t="n">
        <v>0</v>
      </c>
      <c r="P35" s="20" t="n">
        <v>0</v>
      </c>
      <c r="Q35" s="18" t="n">
        <v>0.25248642</v>
      </c>
      <c r="R35" s="20" t="n">
        <v>0.12537733</v>
      </c>
    </row>
    <row r="36" spans="1:18">
      <c r="A36" s="15" t="s">
        <v>594</v>
      </c>
      <c r="B36" s="17" t="n">
        <v>3404</v>
      </c>
      <c r="C36" s="18">
        <f>(2691.0/B36*100)</f>
        <v/>
      </c>
      <c r="D36" s="19" t="n">
        <v>713</v>
      </c>
      <c r="E36" s="18" t="n">
        <v>34.7121834</v>
      </c>
      <c r="F36" s="20" t="n">
        <v>1.65112238</v>
      </c>
      <c r="G36" s="18" t="n">
        <v>64.36494733000001</v>
      </c>
      <c r="H36" s="20" t="n">
        <v>1.67085898</v>
      </c>
      <c r="I36" s="18" t="n">
        <v>0</v>
      </c>
      <c r="J36" s="20" t="n">
        <v>0</v>
      </c>
      <c r="K36" s="18" t="n">
        <v>0.26600228</v>
      </c>
      <c r="L36" s="20" t="n">
        <v>0.23551802</v>
      </c>
      <c r="M36" s="18" t="n">
        <v>0</v>
      </c>
      <c r="N36" s="20" t="n">
        <v>0</v>
      </c>
      <c r="O36" s="18" t="n">
        <v>0</v>
      </c>
      <c r="P36" s="20" t="n">
        <v>0</v>
      </c>
      <c r="Q36" s="18" t="n">
        <v>0.65686699</v>
      </c>
      <c r="R36" s="20" t="n">
        <v>0.31746952</v>
      </c>
    </row>
    <row r="37" spans="1:18">
      <c r="A37" s="15" t="s">
        <v>595</v>
      </c>
      <c r="B37" s="17" t="n">
        <v>2731</v>
      </c>
      <c r="C37" s="18">
        <f>(2186.0/B37*100)</f>
        <v/>
      </c>
      <c r="D37" s="19" t="n">
        <v>545</v>
      </c>
      <c r="E37" s="18" t="n">
        <v>30.81937028</v>
      </c>
      <c r="F37" s="20" t="n">
        <v>1.89143929</v>
      </c>
      <c r="G37" s="18" t="n">
        <v>64.4741211</v>
      </c>
      <c r="H37" s="20" t="n">
        <v>1.96249702</v>
      </c>
      <c r="I37" s="18" t="n">
        <v>0</v>
      </c>
      <c r="J37" s="20" t="n">
        <v>0</v>
      </c>
      <c r="K37" s="18" t="n">
        <v>1.33136927</v>
      </c>
      <c r="L37" s="20" t="n">
        <v>0.49593307</v>
      </c>
      <c r="M37" s="18" t="n">
        <v>0</v>
      </c>
      <c r="N37" s="20" t="n">
        <v>0</v>
      </c>
      <c r="O37" s="18" t="n">
        <v>0</v>
      </c>
      <c r="P37" s="20" t="n">
        <v>0</v>
      </c>
      <c r="Q37" s="18" t="n">
        <v>3.37513935</v>
      </c>
      <c r="R37" s="20" t="n">
        <v>0.78132866</v>
      </c>
    </row>
    <row r="38" spans="1:18">
      <c r="A38" s="15" t="s">
        <v>596</v>
      </c>
      <c r="B38" s="17" t="n">
        <v>2807</v>
      </c>
      <c r="C38" s="18">
        <f>(2200.0/B38*100)</f>
        <v/>
      </c>
      <c r="D38" s="19" t="n">
        <v>607</v>
      </c>
      <c r="E38" s="18" t="n">
        <v>38.62087532</v>
      </c>
      <c r="F38" s="20" t="n">
        <v>2.10110795</v>
      </c>
      <c r="G38" s="18" t="n">
        <v>58.62274862</v>
      </c>
      <c r="H38" s="20" t="n">
        <v>2.15235976</v>
      </c>
      <c r="I38" s="18" t="n">
        <v>0</v>
      </c>
      <c r="J38" s="20" t="n">
        <v>0</v>
      </c>
      <c r="K38" s="18" t="n">
        <v>0.29368088</v>
      </c>
      <c r="L38" s="20" t="n">
        <v>0.18955506</v>
      </c>
      <c r="M38" s="18" t="n">
        <v>0</v>
      </c>
      <c r="N38" s="20" t="n">
        <v>0</v>
      </c>
      <c r="O38" s="18" t="n">
        <v>0</v>
      </c>
      <c r="P38" s="20" t="n">
        <v>0</v>
      </c>
      <c r="Q38" s="18" t="n">
        <v>2.46269518</v>
      </c>
      <c r="R38" s="20" t="n">
        <v>0.93377171</v>
      </c>
    </row>
    <row r="39" spans="1:18">
      <c r="A39" s="15" t="s">
        <v>597</v>
      </c>
      <c r="B39" s="17" t="n">
        <v>2938</v>
      </c>
      <c r="C39" s="18">
        <f>(2309.0/B39*100)</f>
        <v/>
      </c>
      <c r="D39" s="19" t="n">
        <v>629</v>
      </c>
      <c r="E39" s="18" t="n">
        <v>55.84100501</v>
      </c>
      <c r="F39" s="20" t="n">
        <v>2.30288253</v>
      </c>
      <c r="G39" s="18" t="n">
        <v>42.0817557</v>
      </c>
      <c r="H39" s="20" t="n">
        <v>2.37379597</v>
      </c>
      <c r="I39" s="18" t="n">
        <v>0</v>
      </c>
      <c r="J39" s="20" t="n">
        <v>0</v>
      </c>
      <c r="K39" s="18" t="n">
        <v>0.59092721</v>
      </c>
      <c r="L39" s="20" t="n">
        <v>0.24658029</v>
      </c>
      <c r="M39" s="18" t="n">
        <v>0</v>
      </c>
      <c r="N39" s="20" t="n">
        <v>0</v>
      </c>
      <c r="O39" s="18" t="n">
        <v>0</v>
      </c>
      <c r="P39" s="20" t="n">
        <v>0</v>
      </c>
      <c r="Q39" s="18" t="n">
        <v>1.48631208</v>
      </c>
      <c r="R39" s="20" t="n">
        <v>0.52999665</v>
      </c>
    </row>
    <row r="40" spans="1:18">
      <c r="A40" s="15" t="s">
        <v>598</v>
      </c>
      <c r="B40" s="17" t="n">
        <v>6922</v>
      </c>
      <c r="C40" s="18">
        <f>(5338.0/B40*100)</f>
        <v/>
      </c>
      <c r="D40" s="19" t="n">
        <v>1584</v>
      </c>
      <c r="E40" s="18" t="n">
        <v>35.85495659</v>
      </c>
      <c r="F40" s="20" t="n">
        <v>1.85323655</v>
      </c>
      <c r="G40" s="18" t="n">
        <v>62.41844386</v>
      </c>
      <c r="H40" s="20" t="n">
        <v>1.88227739</v>
      </c>
      <c r="I40" s="18" t="n">
        <v>0</v>
      </c>
      <c r="J40" s="20" t="n">
        <v>0</v>
      </c>
      <c r="K40" s="18" t="n">
        <v>0.36269568</v>
      </c>
      <c r="L40" s="20" t="n">
        <v>0.19692795</v>
      </c>
      <c r="M40" s="18" t="n">
        <v>0</v>
      </c>
      <c r="N40" s="20" t="n">
        <v>0</v>
      </c>
      <c r="O40" s="18" t="n">
        <v>0</v>
      </c>
      <c r="P40" s="20" t="n">
        <v>0</v>
      </c>
      <c r="Q40" s="18" t="n">
        <v>1.36390387</v>
      </c>
      <c r="R40" s="20" t="n">
        <v>0.474736</v>
      </c>
    </row>
    <row r="41" spans="1:18">
      <c r="A41" s="15" t="s">
        <v>599</v>
      </c>
      <c r="B41" s="17" t="n">
        <v>2854</v>
      </c>
      <c r="C41" s="18">
        <f>(2219.0/B41*100)</f>
        <v/>
      </c>
      <c r="D41" s="19" t="n">
        <v>635</v>
      </c>
      <c r="E41" s="18" t="n">
        <v>35.20734775</v>
      </c>
      <c r="F41" s="20" t="n">
        <v>2.19473221</v>
      </c>
      <c r="G41" s="18" t="n">
        <v>63.08012189</v>
      </c>
      <c r="H41" s="20" t="n">
        <v>2.28669649</v>
      </c>
      <c r="I41" s="18" t="n">
        <v>0</v>
      </c>
      <c r="J41" s="20" t="n">
        <v>0</v>
      </c>
      <c r="K41" s="18" t="n">
        <v>0.63819132</v>
      </c>
      <c r="L41" s="20" t="n">
        <v>0.37283254</v>
      </c>
      <c r="M41" s="18" t="n">
        <v>0</v>
      </c>
      <c r="N41" s="20" t="n">
        <v>0</v>
      </c>
      <c r="O41" s="18" t="n">
        <v>0</v>
      </c>
      <c r="P41" s="20" t="n">
        <v>0</v>
      </c>
      <c r="Q41" s="18" t="n">
        <v>1.07433903</v>
      </c>
      <c r="R41" s="20" t="n">
        <v>0.49721628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(10205.0/B46*100)</f>
        <v/>
      </c>
      <c r="D46" s="19" t="n">
        <v>1868</v>
      </c>
      <c r="E46" s="18" t="n">
        <v>52.76284045</v>
      </c>
      <c r="F46" s="20" t="n">
        <v>1.67725308</v>
      </c>
      <c r="G46" s="18" t="n">
        <v>33.94582744</v>
      </c>
      <c r="H46" s="20" t="n">
        <v>1.6167043</v>
      </c>
      <c r="I46" s="18" t="n">
        <v>0</v>
      </c>
      <c r="J46" s="20" t="n">
        <v>0</v>
      </c>
      <c r="K46" s="18" t="n">
        <v>2.36888035</v>
      </c>
      <c r="L46" s="20" t="n">
        <v>0.5541989</v>
      </c>
      <c r="M46" s="18" t="n">
        <v>0</v>
      </c>
      <c r="N46" s="20" t="n">
        <v>0</v>
      </c>
      <c r="O46" s="18" t="n">
        <v>0</v>
      </c>
      <c r="P46" s="20" t="n">
        <v>0</v>
      </c>
      <c r="Q46" s="18" t="n">
        <v>10.92245175</v>
      </c>
      <c r="R46" s="20" t="n">
        <v>1.00294745</v>
      </c>
    </row>
    <row r="47" spans="1:18">
      <c r="A47" s="15" t="s">
        <v>606</v>
      </c>
      <c r="B47" s="17" t="n">
        <v>2823</v>
      </c>
      <c r="C47" s="18">
        <f>(2213.0/B47*100)</f>
        <v/>
      </c>
      <c r="D47" s="19" t="n">
        <v>610</v>
      </c>
      <c r="E47" s="18" t="n">
        <v>44.64335686</v>
      </c>
      <c r="F47" s="20" t="n">
        <v>2.42404083</v>
      </c>
      <c r="G47" s="18" t="n">
        <v>49.49543503</v>
      </c>
      <c r="H47" s="20" t="n">
        <v>2.58536714</v>
      </c>
      <c r="I47" s="18" t="n">
        <v>0</v>
      </c>
      <c r="J47" s="20" t="n">
        <v>0</v>
      </c>
      <c r="K47" s="18" t="n">
        <v>0.96317624</v>
      </c>
      <c r="L47" s="20" t="n">
        <v>0.46015832</v>
      </c>
      <c r="M47" s="18" t="n">
        <v>0</v>
      </c>
      <c r="N47" s="20" t="n">
        <v>0</v>
      </c>
      <c r="O47" s="18" t="n">
        <v>0</v>
      </c>
      <c r="P47" s="20" t="n">
        <v>0</v>
      </c>
      <c r="Q47" s="18" t="n">
        <v>4.89803187</v>
      </c>
      <c r="R47" s="20" t="n">
        <v>0.796405</v>
      </c>
    </row>
    <row r="48" spans="1:18">
      <c r="A48" s="15" t="s">
        <v>607</v>
      </c>
      <c r="B48" s="17" t="n">
        <v>4682</v>
      </c>
      <c r="C48" s="18">
        <f>(3646.0/B48*100)</f>
        <v/>
      </c>
      <c r="D48" s="19" t="n">
        <v>1036</v>
      </c>
      <c r="E48" s="18" t="n">
        <v>33.04424607</v>
      </c>
      <c r="F48" s="20" t="n">
        <v>1.99964357</v>
      </c>
      <c r="G48" s="18" t="n">
        <v>63.55548055</v>
      </c>
      <c r="H48" s="20" t="n">
        <v>2.1759283</v>
      </c>
      <c r="I48" s="18" t="n">
        <v>0</v>
      </c>
      <c r="J48" s="20" t="n">
        <v>0</v>
      </c>
      <c r="K48" s="18" t="n">
        <v>0.92883395</v>
      </c>
      <c r="L48" s="20" t="n">
        <v>0.43319776</v>
      </c>
      <c r="M48" s="18" t="n">
        <v>0</v>
      </c>
      <c r="N48" s="20" t="n">
        <v>0</v>
      </c>
      <c r="O48" s="18" t="n">
        <v>0</v>
      </c>
      <c r="P48" s="20" t="n">
        <v>0</v>
      </c>
      <c r="Q48" s="18" t="n">
        <v>2.47143942</v>
      </c>
      <c r="R48" s="20" t="n">
        <v>0.57268461</v>
      </c>
    </row>
    <row r="49" spans="1:18">
      <c r="A49" s="15" t="s">
        <v>608</v>
      </c>
      <c r="B49" s="17" t="n">
        <v>6158</v>
      </c>
      <c r="C49" s="18">
        <f>(4873.0/B49*100)</f>
        <v/>
      </c>
      <c r="D49" s="19" t="n">
        <v>1285</v>
      </c>
      <c r="E49" s="18" t="n">
        <v>50.69146865</v>
      </c>
      <c r="F49" s="20" t="n">
        <v>1.82247651</v>
      </c>
      <c r="G49" s="18" t="n">
        <v>37.34063408</v>
      </c>
      <c r="H49" s="20" t="n">
        <v>1.84504543</v>
      </c>
      <c r="I49" s="18" t="n">
        <v>0</v>
      </c>
      <c r="J49" s="20" t="n">
        <v>0</v>
      </c>
      <c r="K49" s="18" t="n">
        <v>3.65663492</v>
      </c>
      <c r="L49" s="20" t="n">
        <v>0.7970147400000001</v>
      </c>
      <c r="M49" s="18" t="n">
        <v>0</v>
      </c>
      <c r="N49" s="20" t="n">
        <v>0</v>
      </c>
      <c r="O49" s="18" t="n">
        <v>0</v>
      </c>
      <c r="P49" s="20" t="n">
        <v>0</v>
      </c>
      <c r="Q49" s="18" t="n">
        <v>8.311262360000001</v>
      </c>
      <c r="R49" s="20" t="n">
        <v>1.11181253</v>
      </c>
    </row>
    <row r="50" spans="1:18">
      <c r="A50" s="15" t="s">
        <v>609</v>
      </c>
      <c r="B50" s="17" t="n">
        <v>3494</v>
      </c>
      <c r="C50" s="18">
        <f>(2901.0/B50*100)</f>
        <v/>
      </c>
      <c r="D50" s="19" t="n">
        <v>593</v>
      </c>
      <c r="E50" s="18" t="n">
        <v>53.6000395</v>
      </c>
      <c r="F50" s="20" t="n">
        <v>2.12256096</v>
      </c>
      <c r="G50" s="18" t="n">
        <v>40.78652371</v>
      </c>
      <c r="H50" s="20" t="n">
        <v>2.02233731</v>
      </c>
      <c r="I50" s="18" t="n">
        <v>0</v>
      </c>
      <c r="J50" s="20" t="n">
        <v>0</v>
      </c>
      <c r="K50" s="18" t="n">
        <v>1.47964132</v>
      </c>
      <c r="L50" s="20" t="n">
        <v>0.51202873</v>
      </c>
      <c r="M50" s="18" t="n">
        <v>0</v>
      </c>
      <c r="N50" s="20" t="n">
        <v>0</v>
      </c>
      <c r="O50" s="18" t="n">
        <v>0</v>
      </c>
      <c r="P50" s="20" t="n">
        <v>0</v>
      </c>
      <c r="Q50" s="18" t="n">
        <v>4.13379548</v>
      </c>
      <c r="R50" s="20" t="n">
        <v>0.78863228</v>
      </c>
    </row>
    <row r="51" spans="1:18">
      <c r="A51" s="15" t="s">
        <v>610</v>
      </c>
      <c r="B51" s="17" t="n">
        <v>3013</v>
      </c>
      <c r="C51" s="18">
        <f>(2331.0/B51*100)</f>
        <v/>
      </c>
      <c r="D51" s="19" t="n">
        <v>682</v>
      </c>
      <c r="E51" s="18" t="n">
        <v>33.2275896</v>
      </c>
      <c r="F51" s="20" t="n">
        <v>2.11650544</v>
      </c>
      <c r="G51" s="18" t="n">
        <v>64.44555231</v>
      </c>
      <c r="H51" s="20" t="n">
        <v>2.36740191</v>
      </c>
      <c r="I51" s="18" t="n">
        <v>0</v>
      </c>
      <c r="J51" s="20" t="n">
        <v>0</v>
      </c>
      <c r="K51" s="18" t="n">
        <v>0.27072686</v>
      </c>
      <c r="L51" s="20" t="n">
        <v>0.2377908</v>
      </c>
      <c r="M51" s="18" t="n">
        <v>0</v>
      </c>
      <c r="N51" s="20" t="n">
        <v>0</v>
      </c>
      <c r="O51" s="18" t="n">
        <v>0</v>
      </c>
      <c r="P51" s="20" t="n">
        <v>0</v>
      </c>
      <c r="Q51" s="18" t="n">
        <v>2.05613122</v>
      </c>
      <c r="R51" s="20" t="n">
        <v>0.6390574</v>
      </c>
    </row>
    <row r="52" spans="1:18">
      <c r="A52" s="15" t="s">
        <v>611</v>
      </c>
      <c r="B52" s="17" t="n">
        <v>2760</v>
      </c>
      <c r="C52" s="18">
        <f>(2127.0/B52*100)</f>
        <v/>
      </c>
      <c r="D52" s="19" t="n">
        <v>633</v>
      </c>
      <c r="E52" s="18" t="n">
        <v>42.8005126</v>
      </c>
      <c r="F52" s="20" t="n">
        <v>2.03797662</v>
      </c>
      <c r="G52" s="18" t="n">
        <v>55.07683959</v>
      </c>
      <c r="H52" s="20" t="n">
        <v>2.03497689</v>
      </c>
      <c r="I52" s="18" t="n">
        <v>0</v>
      </c>
      <c r="J52" s="20" t="n">
        <v>0</v>
      </c>
      <c r="K52" s="18" t="n">
        <v>0.87333116</v>
      </c>
      <c r="L52" s="20" t="n">
        <v>0.3789751</v>
      </c>
      <c r="M52" s="18" t="n">
        <v>0</v>
      </c>
      <c r="N52" s="20" t="n">
        <v>0</v>
      </c>
      <c r="O52" s="18" t="n">
        <v>0</v>
      </c>
      <c r="P52" s="20" t="n">
        <v>0</v>
      </c>
      <c r="Q52" s="18" t="n">
        <v>1.24931665</v>
      </c>
      <c r="R52" s="20" t="n">
        <v>0.45148072</v>
      </c>
    </row>
    <row r="53" spans="1:18">
      <c r="A53" s="15" t="s">
        <v>612</v>
      </c>
      <c r="B53" s="17" t="n">
        <v>2474</v>
      </c>
      <c r="C53" s="18">
        <f>(1942.0/B53*100)</f>
        <v/>
      </c>
      <c r="D53" s="19" t="n">
        <v>532</v>
      </c>
      <c r="E53" s="18" t="n">
        <v>48.8871722</v>
      </c>
      <c r="F53" s="20" t="n">
        <v>2.78386397</v>
      </c>
      <c r="G53" s="18" t="n">
        <v>14.77818438</v>
      </c>
      <c r="H53" s="20" t="n">
        <v>1.9454623</v>
      </c>
      <c r="I53" s="18" t="n">
        <v>0</v>
      </c>
      <c r="J53" s="20" t="n">
        <v>0</v>
      </c>
      <c r="K53" s="18" t="n">
        <v>18.01947497</v>
      </c>
      <c r="L53" s="20" t="n">
        <v>1.85850387</v>
      </c>
      <c r="M53" s="18" t="n">
        <v>0</v>
      </c>
      <c r="N53" s="20" t="n">
        <v>0</v>
      </c>
      <c r="O53" s="18" t="n">
        <v>0</v>
      </c>
      <c r="P53" s="20" t="n">
        <v>0</v>
      </c>
      <c r="Q53" s="18" t="n">
        <v>18.31516845</v>
      </c>
      <c r="R53" s="20" t="n">
        <v>2.13091745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(2121.0/B55*100)</f>
        <v/>
      </c>
      <c r="D55" s="19" t="n">
        <v>554</v>
      </c>
      <c r="E55" s="18" t="n">
        <v>29.530768</v>
      </c>
      <c r="F55" s="20" t="n">
        <v>2.0548561</v>
      </c>
      <c r="G55" s="18" t="n">
        <v>69.89181446000001</v>
      </c>
      <c r="H55" s="20" t="n">
        <v>2.09879032</v>
      </c>
      <c r="I55" s="18" t="n">
        <v>0</v>
      </c>
      <c r="J55" s="20" t="n">
        <v>0</v>
      </c>
      <c r="K55" s="18" t="n">
        <v>0.1621569</v>
      </c>
      <c r="L55" s="20" t="n">
        <v>0.16649686</v>
      </c>
      <c r="M55" s="18" t="n">
        <v>0</v>
      </c>
      <c r="N55" s="20" t="n">
        <v>0</v>
      </c>
      <c r="O55" s="18" t="n">
        <v>0</v>
      </c>
      <c r="P55" s="20" t="n">
        <v>0</v>
      </c>
      <c r="Q55" s="18" t="n">
        <v>0.41526065</v>
      </c>
      <c r="R55" s="20" t="n">
        <v>0.29339536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(2504.0/B61*100)</f>
        <v/>
      </c>
      <c r="D61" s="19" t="n">
        <v>697</v>
      </c>
      <c r="E61" s="18" t="n">
        <v>43.11767147</v>
      </c>
      <c r="F61" s="20" t="n">
        <v>2.15935298</v>
      </c>
      <c r="G61" s="18" t="n">
        <v>55.58107287</v>
      </c>
      <c r="H61" s="20" t="n">
        <v>2.13260495</v>
      </c>
      <c r="I61" s="18" t="n">
        <v>0</v>
      </c>
      <c r="J61" s="20" t="n">
        <v>0</v>
      </c>
      <c r="K61" s="18" t="n">
        <v>0.03813202</v>
      </c>
      <c r="L61" s="20" t="n">
        <v>0.03887196</v>
      </c>
      <c r="M61" s="18" t="n">
        <v>0</v>
      </c>
      <c r="N61" s="20" t="n">
        <v>0</v>
      </c>
      <c r="O61" s="18" t="n">
        <v>0</v>
      </c>
      <c r="P61" s="20" t="n">
        <v>0</v>
      </c>
      <c r="Q61" s="18" t="n">
        <v>1.26312363</v>
      </c>
      <c r="R61" s="20" t="n">
        <v>0.45232543</v>
      </c>
    </row>
    <row r="62" spans="1:18">
      <c r="A62" s="15" t="s">
        <v>622</v>
      </c>
      <c r="B62" s="17" t="n">
        <v>2230</v>
      </c>
      <c r="C62" s="18">
        <f>(1782.0/B62*100)</f>
        <v/>
      </c>
      <c r="D62" s="19" t="n">
        <v>448</v>
      </c>
      <c r="E62" s="18" t="n">
        <v>29.2016315</v>
      </c>
      <c r="F62" s="20" t="n">
        <v>2.13008668</v>
      </c>
      <c r="G62" s="18" t="n">
        <v>70.7983685</v>
      </c>
      <c r="H62" s="20" t="n">
        <v>2.13008668</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(2194.0/B67*100)</f>
        <v/>
      </c>
      <c r="D67" s="19" t="n">
        <v>577</v>
      </c>
      <c r="E67" s="18" t="n">
        <v>48.8751844</v>
      </c>
      <c r="F67" s="20" t="n">
        <v>2.50016492</v>
      </c>
      <c r="G67" s="18" t="n">
        <v>41.0024171</v>
      </c>
      <c r="H67" s="20" t="n">
        <v>2.46738993</v>
      </c>
      <c r="I67" s="18" t="n">
        <v>0</v>
      </c>
      <c r="J67" s="20" t="n">
        <v>0</v>
      </c>
      <c r="K67" s="18" t="n">
        <v>0.90955748</v>
      </c>
      <c r="L67" s="20" t="n">
        <v>0.40922148</v>
      </c>
      <c r="M67" s="18" t="n">
        <v>0</v>
      </c>
      <c r="N67" s="20" t="n">
        <v>0</v>
      </c>
      <c r="O67" s="18" t="n">
        <v>0</v>
      </c>
      <c r="P67" s="20" t="n">
        <v>0</v>
      </c>
      <c r="Q67" s="18" t="n">
        <v>9.21284103</v>
      </c>
      <c r="R67" s="20" t="n">
        <v>1.28785195</v>
      </c>
    </row>
    <row r="68" spans="1:18">
      <c r="A68" s="15" t="s">
        <v>628</v>
      </c>
      <c r="B68" s="17" t="n">
        <v>3460</v>
      </c>
      <c r="C68" s="18">
        <f>(2834.0/B68*100)</f>
        <v/>
      </c>
      <c r="D68" s="19" t="n">
        <v>626</v>
      </c>
      <c r="E68" s="18" t="n">
        <v>57.37377498</v>
      </c>
      <c r="F68" s="20" t="n">
        <v>2.17880144</v>
      </c>
      <c r="G68" s="18" t="n">
        <v>37.11480101</v>
      </c>
      <c r="H68" s="20" t="n">
        <v>2.34903122</v>
      </c>
      <c r="I68" s="18" t="n">
        <v>0</v>
      </c>
      <c r="J68" s="20" t="n">
        <v>0</v>
      </c>
      <c r="K68" s="18" t="n">
        <v>0.16234522</v>
      </c>
      <c r="L68" s="20" t="n">
        <v>0.16192557</v>
      </c>
      <c r="M68" s="18" t="n">
        <v>0</v>
      </c>
      <c r="N68" s="20" t="n">
        <v>0</v>
      </c>
      <c r="O68" s="18" t="n">
        <v>0</v>
      </c>
      <c r="P68" s="20" t="n">
        <v>0</v>
      </c>
      <c r="Q68" s="18" t="n">
        <v>5.34907878</v>
      </c>
      <c r="R68" s="20" t="n">
        <v>0.87765861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(4683.0/B70*100)</f>
        <v/>
      </c>
      <c r="D70" s="19" t="n">
        <v>1351</v>
      </c>
      <c r="E70" s="18" t="n">
        <v>58.48907766</v>
      </c>
      <c r="F70" s="20" t="n">
        <v>1.28333195</v>
      </c>
      <c r="G70" s="18" t="n">
        <v>34.45191889</v>
      </c>
      <c r="H70" s="20" t="n">
        <v>1.24783881</v>
      </c>
      <c r="I70" s="18" t="n">
        <v>0</v>
      </c>
      <c r="J70" s="20" t="n">
        <v>0</v>
      </c>
      <c r="K70" s="18" t="n">
        <v>3.53322377</v>
      </c>
      <c r="L70" s="20" t="n">
        <v>0.51962592</v>
      </c>
      <c r="M70" s="18" t="n">
        <v>0</v>
      </c>
      <c r="N70" s="20" t="n">
        <v>0</v>
      </c>
      <c r="O70" s="18" t="n">
        <v>0</v>
      </c>
      <c r="P70" s="20" t="n">
        <v>0</v>
      </c>
      <c r="Q70" s="18" t="n">
        <v>3.52577968</v>
      </c>
      <c r="R70" s="20" t="n">
        <v>0.50033108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(2453.0/B72*100)</f>
        <v/>
      </c>
      <c r="D72" s="19" t="n">
        <v>654</v>
      </c>
      <c r="E72" s="18" t="n">
        <v>28.36130753</v>
      </c>
      <c r="F72" s="20" t="n">
        <v>2.19184488</v>
      </c>
      <c r="G72" s="18" t="n">
        <v>69.20644566</v>
      </c>
      <c r="H72" s="20" t="n">
        <v>2.26281042</v>
      </c>
      <c r="I72" s="18" t="n">
        <v>0</v>
      </c>
      <c r="J72" s="20" t="n">
        <v>0</v>
      </c>
      <c r="K72" s="18" t="n">
        <v>0.57493951</v>
      </c>
      <c r="L72" s="20" t="n">
        <v>0.30275059</v>
      </c>
      <c r="M72" s="18" t="n">
        <v>0</v>
      </c>
      <c r="N72" s="20" t="n">
        <v>0</v>
      </c>
      <c r="O72" s="18" t="n">
        <v>0</v>
      </c>
      <c r="P72" s="20" t="n">
        <v>0</v>
      </c>
      <c r="Q72" s="18" t="n">
        <v>1.85730731</v>
      </c>
      <c r="R72" s="20" t="n">
        <v>0.59255086</v>
      </c>
    </row>
    <row r="73" spans="1:18">
      <c r="A73" s="15" t="s">
        <v>633</v>
      </c>
      <c r="B73" s="17" t="n">
        <v>2973</v>
      </c>
      <c r="C73" s="18">
        <f>(2323.0/B73*100)</f>
        <v/>
      </c>
      <c r="D73" s="19" t="n">
        <v>650</v>
      </c>
      <c r="E73" s="18" t="n">
        <v>30.3312578</v>
      </c>
      <c r="F73" s="20" t="n">
        <v>1.51933151</v>
      </c>
      <c r="G73" s="18" t="n">
        <v>69.02859727000001</v>
      </c>
      <c r="H73" s="20" t="n">
        <v>1.63291045</v>
      </c>
      <c r="I73" s="18" t="n">
        <v>0</v>
      </c>
      <c r="J73" s="20" t="n">
        <v>0</v>
      </c>
      <c r="K73" s="18" t="n">
        <v>0.50419101</v>
      </c>
      <c r="L73" s="20" t="n">
        <v>0.2808638</v>
      </c>
      <c r="M73" s="18" t="n">
        <v>0</v>
      </c>
      <c r="N73" s="20" t="n">
        <v>0</v>
      </c>
      <c r="O73" s="18" t="n">
        <v>0</v>
      </c>
      <c r="P73" s="20" t="n">
        <v>0</v>
      </c>
      <c r="Q73" s="18" t="n">
        <v>0.13595392</v>
      </c>
      <c r="R73" s="20" t="n">
        <v>0.13625147</v>
      </c>
    </row>
    <row r="74" spans="1:18">
      <c r="A74" s="15" t="s">
        <v>634</v>
      </c>
      <c r="B74" s="17" t="n">
        <v>3819</v>
      </c>
      <c r="C74" s="18">
        <f>(3005.0/B74*100)</f>
        <v/>
      </c>
      <c r="D74" s="19" t="n">
        <v>814</v>
      </c>
      <c r="E74" s="18" t="n">
        <v>28.77786887</v>
      </c>
      <c r="F74" s="20" t="n">
        <v>1.79357805</v>
      </c>
      <c r="G74" s="18" t="n">
        <v>70.69578328999999</v>
      </c>
      <c r="H74" s="20" t="n">
        <v>1.75814952</v>
      </c>
      <c r="I74" s="18" t="n">
        <v>0</v>
      </c>
      <c r="J74" s="20" t="n">
        <v>0</v>
      </c>
      <c r="K74" s="18" t="n">
        <v>0</v>
      </c>
      <c r="L74" s="20" t="n">
        <v>0</v>
      </c>
      <c r="M74" s="18" t="n">
        <v>0</v>
      </c>
      <c r="N74" s="20" t="n">
        <v>0</v>
      </c>
      <c r="O74" s="18" t="n">
        <v>0</v>
      </c>
      <c r="P74" s="20" t="n">
        <v>0</v>
      </c>
      <c r="Q74" s="18" t="n">
        <v>0.52634784</v>
      </c>
      <c r="R74" s="20" t="n">
        <v>0.24790504</v>
      </c>
    </row>
    <row r="75" spans="1:18">
      <c r="A75" s="15" t="s">
        <v>635</v>
      </c>
      <c r="B75" s="17" t="n">
        <v>4652</v>
      </c>
      <c r="C75" s="18">
        <f>(3722.0/B75*100)</f>
        <v/>
      </c>
      <c r="D75" s="19" t="n">
        <v>930</v>
      </c>
      <c r="E75" s="18" t="n">
        <v>61.73365272</v>
      </c>
      <c r="F75" s="20" t="n">
        <v>2.19651828</v>
      </c>
      <c r="G75" s="18" t="n">
        <v>36.26399172</v>
      </c>
      <c r="H75" s="20" t="n">
        <v>2.15170322</v>
      </c>
      <c r="I75" s="18" t="n">
        <v>0</v>
      </c>
      <c r="J75" s="20" t="n">
        <v>0</v>
      </c>
      <c r="K75" s="18" t="n">
        <v>0</v>
      </c>
      <c r="L75" s="20" t="n">
        <v>0</v>
      </c>
      <c r="M75" s="18" t="n">
        <v>0</v>
      </c>
      <c r="N75" s="20" t="n">
        <v>0</v>
      </c>
      <c r="O75" s="18" t="n">
        <v>0</v>
      </c>
      <c r="P75" s="20" t="n">
        <v>0</v>
      </c>
      <c r="Q75" s="18" t="n">
        <v>2.00235557</v>
      </c>
      <c r="R75" s="20" t="n">
        <v>0.54985909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(2417.0/B77*100)</f>
        <v/>
      </c>
      <c r="D77" s="19" t="n">
        <v>552</v>
      </c>
      <c r="E77" s="18" t="n">
        <v>50.64622494</v>
      </c>
      <c r="F77" s="20" t="n">
        <v>2.19658163</v>
      </c>
      <c r="G77" s="18" t="n">
        <v>38.84163379</v>
      </c>
      <c r="H77" s="20" t="n">
        <v>2.09091003</v>
      </c>
      <c r="I77" s="18" t="n">
        <v>0</v>
      </c>
      <c r="J77" s="20" t="n">
        <v>0</v>
      </c>
      <c r="K77" s="18" t="n">
        <v>6.49569537</v>
      </c>
      <c r="L77" s="20" t="n">
        <v>1.25050757</v>
      </c>
      <c r="M77" s="18" t="n">
        <v>0</v>
      </c>
      <c r="N77" s="20" t="n">
        <v>0</v>
      </c>
      <c r="O77" s="18" t="n">
        <v>0</v>
      </c>
      <c r="P77" s="20" t="n">
        <v>0</v>
      </c>
      <c r="Q77" s="18" t="n">
        <v>4.0164459</v>
      </c>
      <c r="R77" s="20" t="n">
        <v>0.86855845</v>
      </c>
    </row>
    <row r="78" spans="1:18">
      <c r="A78" s="15" t="s">
        <v>638</v>
      </c>
      <c r="B78" s="17" t="n">
        <v>7115</v>
      </c>
      <c r="C78" s="18">
        <f>(5616.0/B78*100)</f>
        <v/>
      </c>
      <c r="D78" s="19" t="n">
        <v>1499</v>
      </c>
      <c r="E78" s="18" t="n">
        <v>56.73140918</v>
      </c>
      <c r="F78" s="20" t="n">
        <v>2.18986568</v>
      </c>
      <c r="G78" s="18" t="n">
        <v>40.2545835</v>
      </c>
      <c r="H78" s="20" t="n">
        <v>2.05938069</v>
      </c>
      <c r="I78" s="18" t="n">
        <v>0</v>
      </c>
      <c r="J78" s="20" t="n">
        <v>0</v>
      </c>
      <c r="K78" s="18" t="n">
        <v>0.8226923900000001</v>
      </c>
      <c r="L78" s="20" t="n">
        <v>0.23066028</v>
      </c>
      <c r="M78" s="18" t="n">
        <v>0</v>
      </c>
      <c r="N78" s="20" t="n">
        <v>0</v>
      </c>
      <c r="O78" s="18" t="n">
        <v>0</v>
      </c>
      <c r="P78" s="20" t="n">
        <v>0</v>
      </c>
      <c r="Q78" s="18" t="n">
        <v>2.19131493</v>
      </c>
      <c r="R78" s="20" t="n">
        <v>0.42763036</v>
      </c>
    </row>
    <row r="79" spans="1:18">
      <c r="A79" s="15" t="s">
        <v>639</v>
      </c>
      <c r="B79" s="17" t="n">
        <v>3154</v>
      </c>
      <c r="C79" s="18">
        <f>(2490.0/B79*100)</f>
        <v/>
      </c>
      <c r="D79" s="19" t="n">
        <v>664</v>
      </c>
      <c r="E79" s="18" t="n">
        <v>47.73685612</v>
      </c>
      <c r="F79" s="20" t="n">
        <v>1.88199282</v>
      </c>
      <c r="G79" s="18" t="n">
        <v>45.05966777</v>
      </c>
      <c r="H79" s="20" t="n">
        <v>1.81047786</v>
      </c>
      <c r="I79" s="18" t="n">
        <v>0</v>
      </c>
      <c r="J79" s="20" t="n">
        <v>0</v>
      </c>
      <c r="K79" s="18" t="n">
        <v>1.63264516</v>
      </c>
      <c r="L79" s="20" t="n">
        <v>0.51339622</v>
      </c>
      <c r="M79" s="18" t="n">
        <v>0</v>
      </c>
      <c r="N79" s="20" t="n">
        <v>0</v>
      </c>
      <c r="O79" s="18" t="n">
        <v>0</v>
      </c>
      <c r="P79" s="20" t="n">
        <v>0</v>
      </c>
      <c r="Q79" s="18" t="n">
        <v>5.57083096</v>
      </c>
      <c r="R79" s="20" t="n">
        <v>0.8579262600000001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(12595.0/B82*100)</f>
        <v/>
      </c>
      <c r="D82" s="19" t="n">
        <v>3366</v>
      </c>
      <c r="E82" s="18" t="n">
        <v>34.22042998</v>
      </c>
      <c r="F82" s="20" t="n">
        <v>1.19097644</v>
      </c>
      <c r="G82" s="18" t="n">
        <v>64.30603127000001</v>
      </c>
      <c r="H82" s="20" t="n">
        <v>1.22715265</v>
      </c>
      <c r="I82" s="18" t="n">
        <v>0</v>
      </c>
      <c r="J82" s="20" t="n">
        <v>0</v>
      </c>
      <c r="K82" s="18" t="n">
        <v>0.60622701</v>
      </c>
      <c r="L82" s="20" t="n">
        <v>0.10357437</v>
      </c>
      <c r="M82" s="18" t="n">
        <v>0</v>
      </c>
      <c r="N82" s="20" t="n">
        <v>0</v>
      </c>
      <c r="O82" s="18" t="n">
        <v>0</v>
      </c>
      <c r="P82" s="20" t="n">
        <v>0</v>
      </c>
      <c r="Q82" s="18" t="n">
        <v>0.86731174</v>
      </c>
      <c r="R82" s="20" t="n">
        <v>0.27743836</v>
      </c>
    </row>
    <row r="83" spans="1:18">
      <c r="A83" s="15" t="s">
        <v>643</v>
      </c>
      <c r="B83" s="17" t="n">
        <v>808</v>
      </c>
      <c r="C83" s="18">
        <f>(649.0/B83*100)</f>
        <v/>
      </c>
      <c r="D83" s="19" t="n">
        <v>159</v>
      </c>
      <c r="E83" s="18" t="n">
        <v>36.58249586</v>
      </c>
      <c r="F83" s="20" t="n">
        <v>3.62266676</v>
      </c>
      <c r="G83" s="18" t="n">
        <v>62.05885526</v>
      </c>
      <c r="H83" s="20" t="n">
        <v>3.44730161</v>
      </c>
      <c r="I83" s="18" t="n">
        <v>0</v>
      </c>
      <c r="J83" s="20" t="n">
        <v>0</v>
      </c>
      <c r="K83" s="18" t="n">
        <v>0</v>
      </c>
      <c r="L83" s="20" t="n">
        <v>0</v>
      </c>
      <c r="M83" s="18" t="n">
        <v>0</v>
      </c>
      <c r="N83" s="20" t="n">
        <v>0</v>
      </c>
      <c r="O83" s="18" t="n">
        <v>0</v>
      </c>
      <c r="P83" s="20" t="n">
        <v>0</v>
      </c>
      <c r="Q83" s="18" t="n">
        <v>1.35864887</v>
      </c>
      <c r="R83" s="20" t="n">
        <v>1.09076051</v>
      </c>
    </row>
    <row r="84" spans="1:18">
      <c r="A84" s="23" t="s">
        <v>644</v>
      </c>
      <c r="B84" s="24" t="n">
        <v>938</v>
      </c>
      <c r="C84" s="25">
        <f>(768.0/B84*100)</f>
        <v/>
      </c>
      <c r="D84" s="19" t="n">
        <v>170</v>
      </c>
      <c r="E84" s="18" t="n">
        <v>33.68504735</v>
      </c>
      <c r="F84" s="20" t="n">
        <v>4.46351715</v>
      </c>
      <c r="G84" s="18" t="n">
        <v>64.31707716</v>
      </c>
      <c r="H84" s="20" t="n">
        <v>4.43637239</v>
      </c>
      <c r="I84" s="18" t="n">
        <v>0</v>
      </c>
      <c r="J84" s="20" t="n">
        <v>0</v>
      </c>
      <c r="K84" s="18" t="n">
        <v>0</v>
      </c>
      <c r="L84" s="20" t="n">
        <v>0</v>
      </c>
      <c r="M84" s="18" t="n">
        <v>0</v>
      </c>
      <c r="N84" s="20" t="n">
        <v>0</v>
      </c>
      <c r="O84" s="18" t="n">
        <v>0</v>
      </c>
      <c r="P84" s="20" t="n">
        <v>0</v>
      </c>
      <c r="Q84" s="18" t="n">
        <v>1.99787549</v>
      </c>
      <c r="R84" s="20" t="n">
        <v>1.18647129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(5621.0/B7*100)</f>
        <v/>
      </c>
      <c r="D7" s="19" t="n">
        <v>1542</v>
      </c>
      <c r="E7" s="18" t="n">
        <v>51.50315465</v>
      </c>
      <c r="F7" s="20" t="n">
        <v>1.71901669</v>
      </c>
      <c r="G7" s="18" t="n">
        <v>46.04363164</v>
      </c>
      <c r="H7" s="20" t="n">
        <v>1.76817134</v>
      </c>
      <c r="I7" s="18" t="n">
        <v>0</v>
      </c>
      <c r="J7" s="20" t="n">
        <v>0</v>
      </c>
      <c r="K7" s="18" t="n">
        <v>0.94240212</v>
      </c>
      <c r="L7" s="20" t="n">
        <v>0.26416738</v>
      </c>
      <c r="M7" s="18" t="n">
        <v>0</v>
      </c>
      <c r="N7" s="20" t="n">
        <v>0</v>
      </c>
      <c r="O7" s="18" t="n">
        <v>0</v>
      </c>
      <c r="P7" s="20" t="n">
        <v>0</v>
      </c>
      <c r="Q7" s="18" t="n">
        <v>1.51081158</v>
      </c>
      <c r="R7" s="20" t="n">
        <v>0.36601461</v>
      </c>
    </row>
    <row r="8" spans="1:18">
      <c r="A8" s="15" t="s">
        <v>566</v>
      </c>
      <c r="B8" s="17" t="n">
        <v>3443</v>
      </c>
      <c r="C8" s="18">
        <f>(2661.0/B8*100)</f>
        <v/>
      </c>
      <c r="D8" s="19" t="n">
        <v>782</v>
      </c>
      <c r="E8" s="18" t="n">
        <v>62.01279205</v>
      </c>
      <c r="F8" s="20" t="n">
        <v>2.03703214</v>
      </c>
      <c r="G8" s="18" t="n">
        <v>35.47725691</v>
      </c>
      <c r="H8" s="20" t="n">
        <v>1.88262327</v>
      </c>
      <c r="I8" s="18" t="n">
        <v>0</v>
      </c>
      <c r="J8" s="20" t="n">
        <v>0</v>
      </c>
      <c r="K8" s="18" t="n">
        <v>0.28109008</v>
      </c>
      <c r="L8" s="20" t="n">
        <v>0.20081813</v>
      </c>
      <c r="M8" s="18" t="n">
        <v>0</v>
      </c>
      <c r="N8" s="20" t="n">
        <v>0</v>
      </c>
      <c r="O8" s="18" t="n">
        <v>0</v>
      </c>
      <c r="P8" s="20" t="n">
        <v>0</v>
      </c>
      <c r="Q8" s="18" t="n">
        <v>2.22886097</v>
      </c>
      <c r="R8" s="20" t="n">
        <v>0.66882291</v>
      </c>
    </row>
    <row r="9" spans="1:18">
      <c r="A9" s="15" t="s">
        <v>567</v>
      </c>
      <c r="B9" s="17" t="n">
        <v>4752</v>
      </c>
      <c r="C9" s="18">
        <f>(3757.0/B9*100)</f>
        <v/>
      </c>
      <c r="D9" s="19" t="n">
        <v>995</v>
      </c>
      <c r="E9" s="18" t="n">
        <v>59.89681278</v>
      </c>
      <c r="F9" s="20" t="n">
        <v>1.81293086</v>
      </c>
      <c r="G9" s="18" t="n">
        <v>36.79106619</v>
      </c>
      <c r="H9" s="20" t="n">
        <v>1.65648275</v>
      </c>
      <c r="I9" s="18" t="n">
        <v>0</v>
      </c>
      <c r="J9" s="20" t="n">
        <v>0</v>
      </c>
      <c r="K9" s="18" t="n">
        <v>1.2434148</v>
      </c>
      <c r="L9" s="20" t="n">
        <v>0.34530263</v>
      </c>
      <c r="M9" s="18" t="n">
        <v>0</v>
      </c>
      <c r="N9" s="20" t="n">
        <v>0</v>
      </c>
      <c r="O9" s="18" t="n">
        <v>0</v>
      </c>
      <c r="P9" s="20" t="n">
        <v>0</v>
      </c>
      <c r="Q9" s="18" t="n">
        <v>2.06870623</v>
      </c>
      <c r="R9" s="20" t="n">
        <v>0.47588839</v>
      </c>
    </row>
    <row r="10" spans="1:18">
      <c r="A10" s="15" t="s">
        <v>568</v>
      </c>
      <c r="B10" s="17" t="n">
        <v>10022</v>
      </c>
      <c r="C10" s="18">
        <f>(7831.0/B10*100)</f>
        <v/>
      </c>
      <c r="D10" s="19" t="n">
        <v>2191</v>
      </c>
      <c r="E10" s="18" t="n">
        <v>54.13136463</v>
      </c>
      <c r="F10" s="20" t="n">
        <v>1.61650829</v>
      </c>
      <c r="G10" s="18" t="n">
        <v>44.30729918</v>
      </c>
      <c r="H10" s="20" t="n">
        <v>1.57483883</v>
      </c>
      <c r="I10" s="18" t="n">
        <v>0</v>
      </c>
      <c r="J10" s="20" t="n">
        <v>0</v>
      </c>
      <c r="K10" s="18" t="n">
        <v>1.00803632</v>
      </c>
      <c r="L10" s="20" t="n">
        <v>0.28579192</v>
      </c>
      <c r="M10" s="18" t="n">
        <v>0</v>
      </c>
      <c r="N10" s="20" t="n">
        <v>0</v>
      </c>
      <c r="O10" s="18" t="n">
        <v>0</v>
      </c>
      <c r="P10" s="20" t="n">
        <v>0</v>
      </c>
      <c r="Q10" s="18" t="n">
        <v>0.55329987</v>
      </c>
      <c r="R10" s="20" t="n">
        <v>0.17769097</v>
      </c>
    </row>
    <row r="11" spans="1:18">
      <c r="A11" s="15" t="s">
        <v>569</v>
      </c>
      <c r="B11" s="17" t="n">
        <v>3500</v>
      </c>
      <c r="C11" s="18">
        <f>(2796.0/B11*100)</f>
        <v/>
      </c>
      <c r="D11" s="19" t="n">
        <v>704</v>
      </c>
      <c r="E11" s="18" t="n">
        <v>70.35132376999999</v>
      </c>
      <c r="F11" s="20" t="n">
        <v>1.96799001</v>
      </c>
      <c r="G11" s="18" t="n">
        <v>23.48438648</v>
      </c>
      <c r="H11" s="20" t="n">
        <v>1.64672669</v>
      </c>
      <c r="I11" s="18" t="n">
        <v>0</v>
      </c>
      <c r="J11" s="20" t="n">
        <v>0</v>
      </c>
      <c r="K11" s="18" t="n">
        <v>2.63863576</v>
      </c>
      <c r="L11" s="20" t="n">
        <v>0.8037582</v>
      </c>
      <c r="M11" s="18" t="n">
        <v>0</v>
      </c>
      <c r="N11" s="20" t="n">
        <v>0</v>
      </c>
      <c r="O11" s="18" t="n">
        <v>0</v>
      </c>
      <c r="P11" s="20" t="n">
        <v>0</v>
      </c>
      <c r="Q11" s="18" t="n">
        <v>3.52565399</v>
      </c>
      <c r="R11" s="20" t="n">
        <v>0.87850892</v>
      </c>
    </row>
    <row r="12" spans="1:18">
      <c r="A12" s="15" t="s">
        <v>570</v>
      </c>
      <c r="B12" s="17" t="n">
        <v>3422</v>
      </c>
      <c r="C12" s="18">
        <f>(2692.0/B12*100)</f>
        <v/>
      </c>
      <c r="D12" s="19" t="n">
        <v>730</v>
      </c>
      <c r="E12" s="18" t="n">
        <v>68.38332674999999</v>
      </c>
      <c r="F12" s="20" t="n">
        <v>2.08638535</v>
      </c>
      <c r="G12" s="18" t="n">
        <v>29.35760948</v>
      </c>
      <c r="H12" s="20" t="n">
        <v>2.10292096</v>
      </c>
      <c r="I12" s="18" t="n">
        <v>0</v>
      </c>
      <c r="J12" s="20" t="n">
        <v>0</v>
      </c>
      <c r="K12" s="18" t="n">
        <v>0.28539829</v>
      </c>
      <c r="L12" s="20" t="n">
        <v>0.14587076</v>
      </c>
      <c r="M12" s="18" t="n">
        <v>0</v>
      </c>
      <c r="N12" s="20" t="n">
        <v>0</v>
      </c>
      <c r="O12" s="18" t="n">
        <v>0</v>
      </c>
      <c r="P12" s="20" t="n">
        <v>0</v>
      </c>
      <c r="Q12" s="18" t="n">
        <v>1.97366547</v>
      </c>
      <c r="R12" s="20" t="n">
        <v>0.53402064</v>
      </c>
    </row>
    <row r="13" spans="1:18">
      <c r="A13" s="15" t="s">
        <v>571</v>
      </c>
      <c r="B13" s="17" t="n">
        <v>3602</v>
      </c>
      <c r="C13" s="18">
        <f>(2815.0/B13*100)</f>
        <v/>
      </c>
      <c r="D13" s="19" t="n">
        <v>787</v>
      </c>
      <c r="E13" s="18" t="n">
        <v>46.81980464</v>
      </c>
      <c r="F13" s="20" t="n">
        <v>2.33054159</v>
      </c>
      <c r="G13" s="18" t="n">
        <v>50.06339857</v>
      </c>
      <c r="H13" s="20" t="n">
        <v>2.17813778</v>
      </c>
      <c r="I13" s="18" t="n">
        <v>0</v>
      </c>
      <c r="J13" s="20" t="n">
        <v>0</v>
      </c>
      <c r="K13" s="18" t="n">
        <v>0.82355379</v>
      </c>
      <c r="L13" s="20" t="n">
        <v>0.34411778</v>
      </c>
      <c r="M13" s="18" t="n">
        <v>0</v>
      </c>
      <c r="N13" s="20" t="n">
        <v>0</v>
      </c>
      <c r="O13" s="18" t="n">
        <v>0</v>
      </c>
      <c r="P13" s="20" t="n">
        <v>0</v>
      </c>
      <c r="Q13" s="18" t="n">
        <v>2.293243</v>
      </c>
      <c r="R13" s="20" t="n">
        <v>0.78878104</v>
      </c>
    </row>
    <row r="14" spans="1:18">
      <c r="A14" s="15" t="s">
        <v>572</v>
      </c>
      <c r="B14" s="17" t="n">
        <v>2788</v>
      </c>
      <c r="C14" s="18">
        <f>(2147.0/B14*100)</f>
        <v/>
      </c>
      <c r="D14" s="19" t="n">
        <v>641</v>
      </c>
      <c r="E14" s="18" t="n">
        <v>53.72559031</v>
      </c>
      <c r="F14" s="20" t="n">
        <v>2.37522641</v>
      </c>
      <c r="G14" s="18" t="n">
        <v>44.97118539</v>
      </c>
      <c r="H14" s="20" t="n">
        <v>2.29555573</v>
      </c>
      <c r="I14" s="18" t="n">
        <v>0</v>
      </c>
      <c r="J14" s="20" t="n">
        <v>0</v>
      </c>
      <c r="K14" s="18" t="n">
        <v>0.9125594299999999</v>
      </c>
      <c r="L14" s="20" t="n">
        <v>0.44454134</v>
      </c>
      <c r="M14" s="18" t="n">
        <v>0</v>
      </c>
      <c r="N14" s="20" t="n">
        <v>0</v>
      </c>
      <c r="O14" s="18" t="n">
        <v>0</v>
      </c>
      <c r="P14" s="20" t="n">
        <v>0</v>
      </c>
      <c r="Q14" s="18" t="n">
        <v>0.39066487</v>
      </c>
      <c r="R14" s="20" t="n">
        <v>0.19372781</v>
      </c>
    </row>
    <row r="15" spans="1:18">
      <c r="A15" s="15" t="s">
        <v>573</v>
      </c>
      <c r="B15" s="17" t="n">
        <v>2863</v>
      </c>
      <c r="C15" s="18">
        <f>(2264.0/B15*100)</f>
        <v/>
      </c>
      <c r="D15" s="19" t="n">
        <v>599</v>
      </c>
      <c r="E15" s="18" t="n">
        <v>45.85719081</v>
      </c>
      <c r="F15" s="20" t="n">
        <v>2.49334604</v>
      </c>
      <c r="G15" s="18" t="n">
        <v>53.10679847</v>
      </c>
      <c r="H15" s="20" t="n">
        <v>2.50480004</v>
      </c>
      <c r="I15" s="18" t="n">
        <v>0</v>
      </c>
      <c r="J15" s="20" t="n">
        <v>0</v>
      </c>
      <c r="K15" s="18" t="n">
        <v>0.17961799</v>
      </c>
      <c r="L15" s="20" t="n">
        <v>0.16984976</v>
      </c>
      <c r="M15" s="18" t="n">
        <v>0</v>
      </c>
      <c r="N15" s="20" t="n">
        <v>0</v>
      </c>
      <c r="O15" s="18" t="n">
        <v>0</v>
      </c>
      <c r="P15" s="20" t="n">
        <v>0</v>
      </c>
      <c r="Q15" s="18" t="n">
        <v>0.85639273</v>
      </c>
      <c r="R15" s="20" t="n">
        <v>0.39418542</v>
      </c>
    </row>
    <row r="16" spans="1:18">
      <c r="A16" s="15" t="s">
        <v>574</v>
      </c>
      <c r="B16" s="17" t="n">
        <v>3111</v>
      </c>
      <c r="C16" s="18">
        <f>(2408.0/B16*100)</f>
        <v/>
      </c>
      <c r="D16" s="19" t="n">
        <v>703</v>
      </c>
      <c r="E16" s="18" t="n">
        <v>66.81180740000001</v>
      </c>
      <c r="F16" s="20" t="n">
        <v>1.90051252</v>
      </c>
      <c r="G16" s="18" t="n">
        <v>28.49587413</v>
      </c>
      <c r="H16" s="20" t="n">
        <v>1.85776036</v>
      </c>
      <c r="I16" s="18" t="n">
        <v>0</v>
      </c>
      <c r="J16" s="20" t="n">
        <v>0</v>
      </c>
      <c r="K16" s="18" t="n">
        <v>1.55795058</v>
      </c>
      <c r="L16" s="20" t="n">
        <v>0.501126</v>
      </c>
      <c r="M16" s="18" t="n">
        <v>0</v>
      </c>
      <c r="N16" s="20" t="n">
        <v>0</v>
      </c>
      <c r="O16" s="18" t="n">
        <v>0</v>
      </c>
      <c r="P16" s="20" t="n">
        <v>0</v>
      </c>
      <c r="Q16" s="18" t="n">
        <v>3.13436788</v>
      </c>
      <c r="R16" s="20" t="n">
        <v>0.80410718</v>
      </c>
    </row>
    <row r="17" spans="1:18">
      <c r="A17" s="15" t="s">
        <v>575</v>
      </c>
      <c r="B17" s="17" t="n">
        <v>3197</v>
      </c>
      <c r="C17" s="18">
        <f>(2514.0/B17*100)</f>
        <v/>
      </c>
      <c r="D17" s="19" t="n">
        <v>683</v>
      </c>
      <c r="E17" s="18" t="n">
        <v>56.25115056</v>
      </c>
      <c r="F17" s="20" t="n">
        <v>1.72899746</v>
      </c>
      <c r="G17" s="18" t="n">
        <v>40.96055962</v>
      </c>
      <c r="H17" s="20" t="n">
        <v>1.78191411</v>
      </c>
      <c r="I17" s="18" t="n">
        <v>0</v>
      </c>
      <c r="J17" s="20" t="n">
        <v>0</v>
      </c>
      <c r="K17" s="18" t="n">
        <v>0.61302753</v>
      </c>
      <c r="L17" s="20" t="n">
        <v>0.30740941</v>
      </c>
      <c r="M17" s="18" t="n">
        <v>0</v>
      </c>
      <c r="N17" s="20" t="n">
        <v>0</v>
      </c>
      <c r="O17" s="18" t="n">
        <v>0</v>
      </c>
      <c r="P17" s="20" t="n">
        <v>0</v>
      </c>
      <c r="Q17" s="18" t="n">
        <v>2.17526229</v>
      </c>
      <c r="R17" s="20" t="n">
        <v>0.55115232</v>
      </c>
    </row>
    <row r="18" spans="1:18">
      <c r="A18" s="15" t="s">
        <v>576</v>
      </c>
      <c r="B18" s="17" t="n">
        <v>2706</v>
      </c>
      <c r="C18" s="18">
        <f>(2091.0/B18*100)</f>
        <v/>
      </c>
      <c r="D18" s="19" t="n">
        <v>615</v>
      </c>
      <c r="E18" s="18" t="n">
        <v>68.06906597</v>
      </c>
      <c r="F18" s="20" t="n">
        <v>1.96511155</v>
      </c>
      <c r="G18" s="18" t="n">
        <v>28.42102267</v>
      </c>
      <c r="H18" s="20" t="n">
        <v>1.91226053</v>
      </c>
      <c r="I18" s="18" t="n">
        <v>0</v>
      </c>
      <c r="J18" s="20" t="n">
        <v>0</v>
      </c>
      <c r="K18" s="18" t="n">
        <v>1.6601614</v>
      </c>
      <c r="L18" s="20" t="n">
        <v>0.55017319</v>
      </c>
      <c r="M18" s="18" t="n">
        <v>0</v>
      </c>
      <c r="N18" s="20" t="n">
        <v>0</v>
      </c>
      <c r="O18" s="18" t="n">
        <v>0</v>
      </c>
      <c r="P18" s="20" t="n">
        <v>0</v>
      </c>
      <c r="Q18" s="18" t="n">
        <v>1.84974996</v>
      </c>
      <c r="R18" s="20" t="n">
        <v>0.55940181</v>
      </c>
    </row>
    <row r="19" spans="1:18">
      <c r="A19" s="15" t="s">
        <v>577</v>
      </c>
      <c r="B19" s="17" t="n">
        <v>2850</v>
      </c>
      <c r="C19" s="18">
        <f>(2254.0/B19*100)</f>
        <v/>
      </c>
      <c r="D19" s="19" t="n">
        <v>596</v>
      </c>
      <c r="E19" s="18" t="n">
        <v>60.89641407</v>
      </c>
      <c r="F19" s="20" t="n">
        <v>2.25966564</v>
      </c>
      <c r="G19" s="18" t="n">
        <v>37.35458147</v>
      </c>
      <c r="H19" s="20" t="n">
        <v>2.23793021</v>
      </c>
      <c r="I19" s="18" t="n">
        <v>0</v>
      </c>
      <c r="J19" s="20" t="n">
        <v>0</v>
      </c>
      <c r="K19" s="18" t="n">
        <v>0.76870493</v>
      </c>
      <c r="L19" s="20" t="n">
        <v>0.315153</v>
      </c>
      <c r="M19" s="18" t="n">
        <v>0</v>
      </c>
      <c r="N19" s="20" t="n">
        <v>0</v>
      </c>
      <c r="O19" s="18" t="n">
        <v>0</v>
      </c>
      <c r="P19" s="20" t="n">
        <v>0</v>
      </c>
      <c r="Q19" s="18" t="n">
        <v>0.98029952</v>
      </c>
      <c r="R19" s="20" t="n">
        <v>0.55371139</v>
      </c>
    </row>
    <row r="20" spans="1:18">
      <c r="A20" s="15" t="s">
        <v>578</v>
      </c>
      <c r="B20" s="17" t="n">
        <v>1741</v>
      </c>
      <c r="C20" s="18">
        <f>(1360.0/B20*100)</f>
        <v/>
      </c>
      <c r="D20" s="19" t="n">
        <v>381</v>
      </c>
      <c r="E20" s="18" t="n">
        <v>57.90891269</v>
      </c>
      <c r="F20" s="20" t="n">
        <v>2.53802055</v>
      </c>
      <c r="G20" s="18" t="n">
        <v>38.13756584</v>
      </c>
      <c r="H20" s="20" t="n">
        <v>2.38210945</v>
      </c>
      <c r="I20" s="18" t="n">
        <v>0</v>
      </c>
      <c r="J20" s="20" t="n">
        <v>0</v>
      </c>
      <c r="K20" s="18" t="n">
        <v>1.31643808</v>
      </c>
      <c r="L20" s="20" t="n">
        <v>0.59185158</v>
      </c>
      <c r="M20" s="18" t="n">
        <v>0</v>
      </c>
      <c r="N20" s="20" t="n">
        <v>0</v>
      </c>
      <c r="O20" s="18" t="n">
        <v>0</v>
      </c>
      <c r="P20" s="20" t="n">
        <v>0</v>
      </c>
      <c r="Q20" s="18" t="n">
        <v>2.63708339</v>
      </c>
      <c r="R20" s="20" t="n">
        <v>0.9490986300000001</v>
      </c>
    </row>
    <row r="21" spans="1:18">
      <c r="A21" s="15" t="s">
        <v>579</v>
      </c>
      <c r="B21" s="17" t="n">
        <v>2833</v>
      </c>
      <c r="C21" s="18">
        <f>(2224.0/B21*100)</f>
        <v/>
      </c>
      <c r="D21" s="19" t="n">
        <v>609</v>
      </c>
      <c r="E21" s="18" t="n">
        <v>52.6410049</v>
      </c>
      <c r="F21" s="20" t="n">
        <v>2.0300639</v>
      </c>
      <c r="G21" s="18" t="n">
        <v>45.72093689</v>
      </c>
      <c r="H21" s="20" t="n">
        <v>1.97638092</v>
      </c>
      <c r="I21" s="18" t="n">
        <v>0</v>
      </c>
      <c r="J21" s="20" t="n">
        <v>0</v>
      </c>
      <c r="K21" s="18" t="n">
        <v>0.62790822</v>
      </c>
      <c r="L21" s="20" t="n">
        <v>0.31094621</v>
      </c>
      <c r="M21" s="18" t="n">
        <v>0</v>
      </c>
      <c r="N21" s="20" t="n">
        <v>0</v>
      </c>
      <c r="O21" s="18" t="n">
        <v>0</v>
      </c>
      <c r="P21" s="20" t="n">
        <v>0</v>
      </c>
      <c r="Q21" s="18" t="n">
        <v>1.01014999</v>
      </c>
      <c r="R21" s="20" t="n">
        <v>0.6053626</v>
      </c>
    </row>
    <row r="22" spans="1:18">
      <c r="A22" s="15" t="s">
        <v>580</v>
      </c>
      <c r="B22" s="17" t="n">
        <v>3667</v>
      </c>
      <c r="C22" s="18">
        <f>(3001.0/B22*100)</f>
        <v/>
      </c>
      <c r="D22" s="19" t="n">
        <v>666</v>
      </c>
      <c r="E22" s="18" t="n">
        <v>65.55740564</v>
      </c>
      <c r="F22" s="20" t="n">
        <v>1.793454</v>
      </c>
      <c r="G22" s="18" t="n">
        <v>29.58730799</v>
      </c>
      <c r="H22" s="20" t="n">
        <v>1.85522897</v>
      </c>
      <c r="I22" s="18" t="n">
        <v>0</v>
      </c>
      <c r="J22" s="20" t="n">
        <v>0</v>
      </c>
      <c r="K22" s="18" t="n">
        <v>1.62937001</v>
      </c>
      <c r="L22" s="20" t="n">
        <v>0.58745208</v>
      </c>
      <c r="M22" s="18" t="n">
        <v>0</v>
      </c>
      <c r="N22" s="20" t="n">
        <v>0</v>
      </c>
      <c r="O22" s="18" t="n">
        <v>0</v>
      </c>
      <c r="P22" s="20" t="n">
        <v>0</v>
      </c>
      <c r="Q22" s="18" t="n">
        <v>3.22591636</v>
      </c>
      <c r="R22" s="20" t="n">
        <v>0.68670308</v>
      </c>
    </row>
    <row r="23" spans="1:18">
      <c r="A23" s="15" t="s">
        <v>581</v>
      </c>
      <c r="B23" s="17" t="n">
        <v>5792</v>
      </c>
      <c r="C23" s="18">
        <f>(4551.0/B23*100)</f>
        <v/>
      </c>
      <c r="D23" s="19" t="n">
        <v>1241</v>
      </c>
      <c r="E23" s="18" t="n">
        <v>60.66115756</v>
      </c>
      <c r="F23" s="20" t="n">
        <v>1.87571714</v>
      </c>
      <c r="G23" s="18" t="n">
        <v>34.60483974</v>
      </c>
      <c r="H23" s="20" t="n">
        <v>1.9231026</v>
      </c>
      <c r="I23" s="18" t="n">
        <v>0</v>
      </c>
      <c r="J23" s="20" t="n">
        <v>0</v>
      </c>
      <c r="K23" s="18" t="n">
        <v>1.48637963</v>
      </c>
      <c r="L23" s="20" t="n">
        <v>0.50444529</v>
      </c>
      <c r="M23" s="18" t="n">
        <v>0</v>
      </c>
      <c r="N23" s="20" t="n">
        <v>0</v>
      </c>
      <c r="O23" s="18" t="n">
        <v>0</v>
      </c>
      <c r="P23" s="20" t="n">
        <v>0</v>
      </c>
      <c r="Q23" s="18" t="n">
        <v>3.24762307</v>
      </c>
      <c r="R23" s="20" t="n">
        <v>0.75871192</v>
      </c>
    </row>
    <row r="24" spans="1:18">
      <c r="A24" s="15" t="s">
        <v>582</v>
      </c>
      <c r="B24" s="17" t="n">
        <v>3309</v>
      </c>
      <c r="C24" s="18">
        <f>(2614.0/B24*100)</f>
        <v/>
      </c>
      <c r="D24" s="19" t="n">
        <v>695</v>
      </c>
      <c r="E24" s="18" t="n">
        <v>53.37181659</v>
      </c>
      <c r="F24" s="20" t="n">
        <v>2.08277316</v>
      </c>
      <c r="G24" s="18" t="n">
        <v>45.35399217</v>
      </c>
      <c r="H24" s="20" t="n">
        <v>2.0972171</v>
      </c>
      <c r="I24" s="18" t="n">
        <v>0</v>
      </c>
      <c r="J24" s="20" t="n">
        <v>0</v>
      </c>
      <c r="K24" s="18" t="n">
        <v>0</v>
      </c>
      <c r="L24" s="20" t="n">
        <v>0</v>
      </c>
      <c r="M24" s="18" t="n">
        <v>0</v>
      </c>
      <c r="N24" s="20" t="n">
        <v>0</v>
      </c>
      <c r="O24" s="18" t="n">
        <v>0</v>
      </c>
      <c r="P24" s="20" t="n">
        <v>0</v>
      </c>
      <c r="Q24" s="18" t="n">
        <v>1.27419124</v>
      </c>
      <c r="R24" s="20" t="n">
        <v>0.44466856</v>
      </c>
    </row>
    <row r="25" spans="1:18">
      <c r="A25" s="15" t="s">
        <v>583</v>
      </c>
      <c r="B25" s="17" t="n">
        <v>2669</v>
      </c>
      <c r="C25" s="18">
        <f>(2053.0/B25*100)</f>
        <v/>
      </c>
      <c r="D25" s="19" t="n">
        <v>616</v>
      </c>
      <c r="E25" s="18" t="n">
        <v>47.63068839</v>
      </c>
      <c r="F25" s="20" t="n">
        <v>2.33137933</v>
      </c>
      <c r="G25" s="18" t="n">
        <v>51.39142633</v>
      </c>
      <c r="H25" s="20" t="n">
        <v>2.31886861</v>
      </c>
      <c r="I25" s="18" t="n">
        <v>0</v>
      </c>
      <c r="J25" s="20" t="n">
        <v>0</v>
      </c>
      <c r="K25" s="18" t="n">
        <v>0.15949537</v>
      </c>
      <c r="L25" s="20" t="n">
        <v>0.16015377</v>
      </c>
      <c r="M25" s="18" t="n">
        <v>0</v>
      </c>
      <c r="N25" s="20" t="n">
        <v>0</v>
      </c>
      <c r="O25" s="18" t="n">
        <v>0</v>
      </c>
      <c r="P25" s="20" t="n">
        <v>0</v>
      </c>
      <c r="Q25" s="18" t="n">
        <v>0.8183899100000001</v>
      </c>
      <c r="R25" s="20" t="n">
        <v>0.42267127</v>
      </c>
    </row>
    <row r="26" spans="1:18">
      <c r="A26" s="15" t="s">
        <v>584</v>
      </c>
      <c r="B26" s="17" t="n">
        <v>2419</v>
      </c>
      <c r="C26" s="18">
        <f>(1892.0/B26*100)</f>
        <v/>
      </c>
      <c r="D26" s="19" t="n">
        <v>527</v>
      </c>
      <c r="E26" s="18" t="n">
        <v>49.96837673</v>
      </c>
      <c r="F26" s="20" t="n">
        <v>2.54379652</v>
      </c>
      <c r="G26" s="18" t="n">
        <v>48.29324104</v>
      </c>
      <c r="H26" s="20" t="n">
        <v>2.61550221</v>
      </c>
      <c r="I26" s="18" t="n">
        <v>0</v>
      </c>
      <c r="J26" s="20" t="n">
        <v>0</v>
      </c>
      <c r="K26" s="18" t="n">
        <v>1.206561</v>
      </c>
      <c r="L26" s="20" t="n">
        <v>0.59100251</v>
      </c>
      <c r="M26" s="18" t="n">
        <v>0</v>
      </c>
      <c r="N26" s="20" t="n">
        <v>0</v>
      </c>
      <c r="O26" s="18" t="n">
        <v>0</v>
      </c>
      <c r="P26" s="20" t="n">
        <v>0</v>
      </c>
      <c r="Q26" s="18" t="n">
        <v>0.53182123</v>
      </c>
      <c r="R26" s="20" t="n">
        <v>0.43920794</v>
      </c>
    </row>
    <row r="27" spans="1:18">
      <c r="A27" s="15" t="s">
        <v>585</v>
      </c>
      <c r="B27" s="17" t="n">
        <v>2683</v>
      </c>
      <c r="C27" s="18">
        <f>(2112.0/B27*100)</f>
        <v/>
      </c>
      <c r="D27" s="19" t="n">
        <v>571</v>
      </c>
      <c r="E27" s="18" t="n">
        <v>59.47549111</v>
      </c>
      <c r="F27" s="20" t="n">
        <v>2.15185212</v>
      </c>
      <c r="G27" s="18" t="n">
        <v>36.86064519</v>
      </c>
      <c r="H27" s="20" t="n">
        <v>2.07732568</v>
      </c>
      <c r="I27" s="18" t="n">
        <v>0</v>
      </c>
      <c r="J27" s="20" t="n">
        <v>0</v>
      </c>
      <c r="K27" s="18" t="n">
        <v>0.87163854</v>
      </c>
      <c r="L27" s="20" t="n">
        <v>0.38263899</v>
      </c>
      <c r="M27" s="18" t="n">
        <v>0</v>
      </c>
      <c r="N27" s="20" t="n">
        <v>0</v>
      </c>
      <c r="O27" s="18" t="n">
        <v>0</v>
      </c>
      <c r="P27" s="20" t="n">
        <v>0</v>
      </c>
      <c r="Q27" s="18" t="n">
        <v>2.79222516</v>
      </c>
      <c r="R27" s="20" t="n">
        <v>0.7339213999999999</v>
      </c>
    </row>
    <row r="28" spans="1:18">
      <c r="A28" s="15" t="s">
        <v>586</v>
      </c>
      <c r="B28" s="17" t="n">
        <v>3803</v>
      </c>
      <c r="C28" s="18">
        <f>(3046.0/B28*100)</f>
        <v/>
      </c>
      <c r="D28" s="19" t="n">
        <v>757</v>
      </c>
      <c r="E28" s="18" t="n">
        <v>74.87118767</v>
      </c>
      <c r="F28" s="20" t="n">
        <v>1.72219496</v>
      </c>
      <c r="G28" s="18" t="n">
        <v>22.39911645</v>
      </c>
      <c r="H28" s="20" t="n">
        <v>1.55054418</v>
      </c>
      <c r="I28" s="18" t="n">
        <v>0</v>
      </c>
      <c r="J28" s="20" t="n">
        <v>0</v>
      </c>
      <c r="K28" s="18" t="n">
        <v>1.67564737</v>
      </c>
      <c r="L28" s="20" t="n">
        <v>0.92060033</v>
      </c>
      <c r="M28" s="18" t="n">
        <v>0</v>
      </c>
      <c r="N28" s="20" t="n">
        <v>0</v>
      </c>
      <c r="O28" s="18" t="n">
        <v>0</v>
      </c>
      <c r="P28" s="20" t="n">
        <v>0</v>
      </c>
      <c r="Q28" s="18" t="n">
        <v>1.05404851</v>
      </c>
      <c r="R28" s="20" t="n">
        <v>0.37666985</v>
      </c>
    </row>
    <row r="29" spans="1:18">
      <c r="A29" s="15" t="s">
        <v>587</v>
      </c>
      <c r="B29" s="17" t="n">
        <v>2700</v>
      </c>
      <c r="C29" s="18">
        <f>(2143.0/B29*100)</f>
        <v/>
      </c>
      <c r="D29" s="19" t="n">
        <v>557</v>
      </c>
      <c r="E29" s="18" t="n">
        <v>53.20396103</v>
      </c>
      <c r="F29" s="20" t="n">
        <v>2.05913061</v>
      </c>
      <c r="G29" s="18" t="n">
        <v>45.9769205</v>
      </c>
      <c r="H29" s="20" t="n">
        <v>2.1022255</v>
      </c>
      <c r="I29" s="18" t="n">
        <v>0</v>
      </c>
      <c r="J29" s="20" t="n">
        <v>0</v>
      </c>
      <c r="K29" s="18" t="n">
        <v>0</v>
      </c>
      <c r="L29" s="20" t="n">
        <v>0</v>
      </c>
      <c r="M29" s="18" t="n">
        <v>0</v>
      </c>
      <c r="N29" s="20" t="n">
        <v>0</v>
      </c>
      <c r="O29" s="18" t="n">
        <v>0</v>
      </c>
      <c r="P29" s="20" t="n">
        <v>0</v>
      </c>
      <c r="Q29" s="18" t="n">
        <v>0.81911847</v>
      </c>
      <c r="R29" s="20" t="n">
        <v>0.39328334</v>
      </c>
    </row>
    <row r="30" spans="1:18">
      <c r="A30" s="15" t="s">
        <v>588</v>
      </c>
      <c r="B30" s="17" t="n">
        <v>2257</v>
      </c>
      <c r="C30" s="18">
        <f>(1798.0/B30*100)</f>
        <v/>
      </c>
      <c r="D30" s="19" t="n">
        <v>459</v>
      </c>
      <c r="E30" s="18" t="n">
        <v>58.69774157</v>
      </c>
      <c r="F30" s="20" t="n">
        <v>2.13971496</v>
      </c>
      <c r="G30" s="18" t="n">
        <v>38.62206495</v>
      </c>
      <c r="H30" s="20" t="n">
        <v>2.28005025</v>
      </c>
      <c r="I30" s="18" t="n">
        <v>0</v>
      </c>
      <c r="J30" s="20" t="n">
        <v>0</v>
      </c>
      <c r="K30" s="18" t="n">
        <v>1.39909325</v>
      </c>
      <c r="L30" s="20" t="n">
        <v>0.60816187</v>
      </c>
      <c r="M30" s="18" t="n">
        <v>0</v>
      </c>
      <c r="N30" s="20" t="n">
        <v>0</v>
      </c>
      <c r="O30" s="18" t="n">
        <v>0</v>
      </c>
      <c r="P30" s="20" t="n">
        <v>0</v>
      </c>
      <c r="Q30" s="18" t="n">
        <v>1.28110024</v>
      </c>
      <c r="R30" s="20" t="n">
        <v>0.53029502</v>
      </c>
    </row>
    <row r="31" spans="1:18">
      <c r="A31" s="15" t="s">
        <v>589</v>
      </c>
      <c r="B31" s="17" t="n">
        <v>2706</v>
      </c>
      <c r="C31" s="18">
        <f>(2092.0/B31*100)</f>
        <v/>
      </c>
      <c r="D31" s="19" t="n">
        <v>614</v>
      </c>
      <c r="E31" s="18" t="n">
        <v>45.94244629</v>
      </c>
      <c r="F31" s="20" t="n">
        <v>2.22077724</v>
      </c>
      <c r="G31" s="18" t="n">
        <v>49.55376305</v>
      </c>
      <c r="H31" s="20" t="n">
        <v>2.10781324</v>
      </c>
      <c r="I31" s="18" t="n">
        <v>0</v>
      </c>
      <c r="J31" s="20" t="n">
        <v>0</v>
      </c>
      <c r="K31" s="18" t="n">
        <v>1.34761519</v>
      </c>
      <c r="L31" s="20" t="n">
        <v>0.46143613</v>
      </c>
      <c r="M31" s="18" t="n">
        <v>0</v>
      </c>
      <c r="N31" s="20" t="n">
        <v>0</v>
      </c>
      <c r="O31" s="18" t="n">
        <v>0</v>
      </c>
      <c r="P31" s="20" t="n">
        <v>0</v>
      </c>
      <c r="Q31" s="18" t="n">
        <v>3.15617547</v>
      </c>
      <c r="R31" s="20" t="n">
        <v>0.67946818</v>
      </c>
    </row>
    <row r="32" spans="1:18">
      <c r="A32" s="15" t="s">
        <v>590</v>
      </c>
      <c r="B32" s="17" t="n">
        <v>2209</v>
      </c>
      <c r="C32" s="18">
        <f>(1704.0/B32*100)</f>
        <v/>
      </c>
      <c r="D32" s="19" t="n">
        <v>505</v>
      </c>
      <c r="E32" s="18" t="n">
        <v>56.88935892</v>
      </c>
      <c r="F32" s="20" t="n">
        <v>2.21561287</v>
      </c>
      <c r="G32" s="18" t="n">
        <v>42.30120942</v>
      </c>
      <c r="H32" s="20" t="n">
        <v>2.20102553</v>
      </c>
      <c r="I32" s="18" t="n">
        <v>0</v>
      </c>
      <c r="J32" s="20" t="n">
        <v>0</v>
      </c>
      <c r="K32" s="18" t="n">
        <v>0.21233891</v>
      </c>
      <c r="L32" s="20" t="n">
        <v>0.23121714</v>
      </c>
      <c r="M32" s="18" t="n">
        <v>0</v>
      </c>
      <c r="N32" s="20" t="n">
        <v>0</v>
      </c>
      <c r="O32" s="18" t="n">
        <v>0</v>
      </c>
      <c r="P32" s="20" t="n">
        <v>0</v>
      </c>
      <c r="Q32" s="18" t="n">
        <v>0.59709276</v>
      </c>
      <c r="R32" s="20" t="n">
        <v>0.29785988</v>
      </c>
    </row>
    <row r="33" spans="1:18">
      <c r="A33" s="15" t="s">
        <v>591</v>
      </c>
      <c r="B33" s="17" t="n">
        <v>3651</v>
      </c>
      <c r="C33" s="18">
        <f>(2883.0/B33*100)</f>
        <v/>
      </c>
      <c r="D33" s="19" t="n">
        <v>768</v>
      </c>
      <c r="E33" s="18" t="n">
        <v>65.27850975</v>
      </c>
      <c r="F33" s="20" t="n">
        <v>2.24033802</v>
      </c>
      <c r="G33" s="18" t="n">
        <v>32.96177659</v>
      </c>
      <c r="H33" s="20" t="n">
        <v>2.22683331</v>
      </c>
      <c r="I33" s="18" t="n">
        <v>0</v>
      </c>
      <c r="J33" s="20" t="n">
        <v>0</v>
      </c>
      <c r="K33" s="18" t="n">
        <v>1.12965526</v>
      </c>
      <c r="L33" s="20" t="n">
        <v>0.43373873</v>
      </c>
      <c r="M33" s="18" t="n">
        <v>0</v>
      </c>
      <c r="N33" s="20" t="n">
        <v>0</v>
      </c>
      <c r="O33" s="18" t="n">
        <v>0</v>
      </c>
      <c r="P33" s="20" t="n">
        <v>0</v>
      </c>
      <c r="Q33" s="18" t="n">
        <v>0.6300584</v>
      </c>
      <c r="R33" s="20" t="n">
        <v>0.16365724</v>
      </c>
    </row>
    <row r="34" spans="1:18">
      <c r="A34" s="15" t="s">
        <v>592</v>
      </c>
      <c r="B34" s="17" t="n">
        <v>3035</v>
      </c>
      <c r="C34" s="18">
        <f>(2436.0/B34*100)</f>
        <v/>
      </c>
      <c r="D34" s="19" t="n">
        <v>599</v>
      </c>
      <c r="E34" s="18" t="n">
        <v>65.68853466</v>
      </c>
      <c r="F34" s="20" t="n">
        <v>2.20591744</v>
      </c>
      <c r="G34" s="18" t="n">
        <v>30.82220223</v>
      </c>
      <c r="H34" s="20" t="n">
        <v>2.17078204</v>
      </c>
      <c r="I34" s="18" t="n">
        <v>0</v>
      </c>
      <c r="J34" s="20" t="n">
        <v>0</v>
      </c>
      <c r="K34" s="18" t="n">
        <v>1.23318695</v>
      </c>
      <c r="L34" s="20" t="n">
        <v>0.46444097</v>
      </c>
      <c r="M34" s="18" t="n">
        <v>0</v>
      </c>
      <c r="N34" s="20" t="n">
        <v>0</v>
      </c>
      <c r="O34" s="18" t="n">
        <v>0</v>
      </c>
      <c r="P34" s="20" t="n">
        <v>0</v>
      </c>
      <c r="Q34" s="18" t="n">
        <v>2.25607616</v>
      </c>
      <c r="R34" s="20" t="n">
        <v>0.51872524</v>
      </c>
    </row>
    <row r="35" spans="1:18">
      <c r="A35" s="15" t="s">
        <v>593</v>
      </c>
      <c r="B35" s="17" t="n">
        <v>2901</v>
      </c>
      <c r="C35" s="18">
        <f>(2274.0/B35*100)</f>
        <v/>
      </c>
      <c r="D35" s="19" t="n">
        <v>627</v>
      </c>
      <c r="E35" s="18" t="n">
        <v>54.81790055</v>
      </c>
      <c r="F35" s="20" t="n">
        <v>2.20620327</v>
      </c>
      <c r="G35" s="18" t="n">
        <v>44.07801293</v>
      </c>
      <c r="H35" s="20" t="n">
        <v>2.24135586</v>
      </c>
      <c r="I35" s="18" t="n">
        <v>0</v>
      </c>
      <c r="J35" s="20" t="n">
        <v>0</v>
      </c>
      <c r="K35" s="18" t="n">
        <v>0.07430239</v>
      </c>
      <c r="L35" s="20" t="n">
        <v>0.07497284</v>
      </c>
      <c r="M35" s="18" t="n">
        <v>0</v>
      </c>
      <c r="N35" s="20" t="n">
        <v>0</v>
      </c>
      <c r="O35" s="18" t="n">
        <v>0</v>
      </c>
      <c r="P35" s="20" t="n">
        <v>0</v>
      </c>
      <c r="Q35" s="18" t="n">
        <v>1.02978413</v>
      </c>
      <c r="R35" s="20" t="n">
        <v>0.41248432</v>
      </c>
    </row>
    <row r="36" spans="1:18">
      <c r="A36" s="15" t="s">
        <v>594</v>
      </c>
      <c r="B36" s="17" t="n">
        <v>3404</v>
      </c>
      <c r="C36" s="18">
        <f>(2694.0/B36*100)</f>
        <v/>
      </c>
      <c r="D36" s="19" t="n">
        <v>710</v>
      </c>
      <c r="E36" s="18" t="n">
        <v>63.37165168</v>
      </c>
      <c r="F36" s="20" t="n">
        <v>1.81213228</v>
      </c>
      <c r="G36" s="18" t="n">
        <v>34.17210954</v>
      </c>
      <c r="H36" s="20" t="n">
        <v>1.79511641</v>
      </c>
      <c r="I36" s="18" t="n">
        <v>0</v>
      </c>
      <c r="J36" s="20" t="n">
        <v>0</v>
      </c>
      <c r="K36" s="18" t="n">
        <v>0.49436978</v>
      </c>
      <c r="L36" s="20" t="n">
        <v>0.39355033</v>
      </c>
      <c r="M36" s="18" t="n">
        <v>0</v>
      </c>
      <c r="N36" s="20" t="n">
        <v>0</v>
      </c>
      <c r="O36" s="18" t="n">
        <v>0</v>
      </c>
      <c r="P36" s="20" t="n">
        <v>0</v>
      </c>
      <c r="Q36" s="18" t="n">
        <v>1.961869</v>
      </c>
      <c r="R36" s="20" t="n">
        <v>0.55308672</v>
      </c>
    </row>
    <row r="37" spans="1:18">
      <c r="A37" s="15" t="s">
        <v>595</v>
      </c>
      <c r="B37" s="17" t="n">
        <v>2731</v>
      </c>
      <c r="C37" s="18">
        <f>(2192.0/B37*100)</f>
        <v/>
      </c>
      <c r="D37" s="19" t="n">
        <v>539</v>
      </c>
      <c r="E37" s="18" t="n">
        <v>51.38279577</v>
      </c>
      <c r="F37" s="20" t="n">
        <v>2.6776808</v>
      </c>
      <c r="G37" s="18" t="n">
        <v>43.88130922</v>
      </c>
      <c r="H37" s="20" t="n">
        <v>2.68510151</v>
      </c>
      <c r="I37" s="18" t="n">
        <v>0</v>
      </c>
      <c r="J37" s="20" t="n">
        <v>0</v>
      </c>
      <c r="K37" s="18" t="n">
        <v>1.34726769</v>
      </c>
      <c r="L37" s="20" t="n">
        <v>0.50125604</v>
      </c>
      <c r="M37" s="18" t="n">
        <v>0</v>
      </c>
      <c r="N37" s="20" t="n">
        <v>0</v>
      </c>
      <c r="O37" s="18" t="n">
        <v>0</v>
      </c>
      <c r="P37" s="20" t="n">
        <v>0</v>
      </c>
      <c r="Q37" s="18" t="n">
        <v>3.38862732</v>
      </c>
      <c r="R37" s="20" t="n">
        <v>0.79066051</v>
      </c>
    </row>
    <row r="38" spans="1:18">
      <c r="A38" s="15" t="s">
        <v>596</v>
      </c>
      <c r="B38" s="17" t="n">
        <v>2807</v>
      </c>
      <c r="C38" s="18">
        <f>(2205.0/B38*100)</f>
        <v/>
      </c>
      <c r="D38" s="19" t="n">
        <v>602</v>
      </c>
      <c r="E38" s="18" t="n">
        <v>59.99830212</v>
      </c>
      <c r="F38" s="20" t="n">
        <v>2.0903465</v>
      </c>
      <c r="G38" s="18" t="n">
        <v>37.56570402</v>
      </c>
      <c r="H38" s="20" t="n">
        <v>2.06957319</v>
      </c>
      <c r="I38" s="18" t="n">
        <v>0</v>
      </c>
      <c r="J38" s="20" t="n">
        <v>0</v>
      </c>
      <c r="K38" s="18" t="n">
        <v>0.42043094</v>
      </c>
      <c r="L38" s="20" t="n">
        <v>0.2303766</v>
      </c>
      <c r="M38" s="18" t="n">
        <v>0</v>
      </c>
      <c r="N38" s="20" t="n">
        <v>0</v>
      </c>
      <c r="O38" s="18" t="n">
        <v>0</v>
      </c>
      <c r="P38" s="20" t="n">
        <v>0</v>
      </c>
      <c r="Q38" s="18" t="n">
        <v>2.01556292</v>
      </c>
      <c r="R38" s="20" t="n">
        <v>0.89653699</v>
      </c>
    </row>
    <row r="39" spans="1:18">
      <c r="A39" s="15" t="s">
        <v>597</v>
      </c>
      <c r="B39" s="17" t="n">
        <v>2938</v>
      </c>
      <c r="C39" s="18">
        <f>(2309.0/B39*100)</f>
        <v/>
      </c>
      <c r="D39" s="19" t="n">
        <v>629</v>
      </c>
      <c r="E39" s="18" t="n">
        <v>64.36195633</v>
      </c>
      <c r="F39" s="20" t="n">
        <v>2.14332433</v>
      </c>
      <c r="G39" s="18" t="n">
        <v>32.83806445</v>
      </c>
      <c r="H39" s="20" t="n">
        <v>2.18610052</v>
      </c>
      <c r="I39" s="18" t="n">
        <v>0</v>
      </c>
      <c r="J39" s="20" t="n">
        <v>0</v>
      </c>
      <c r="K39" s="18" t="n">
        <v>0.59092721</v>
      </c>
      <c r="L39" s="20" t="n">
        <v>0.24658029</v>
      </c>
      <c r="M39" s="18" t="n">
        <v>0</v>
      </c>
      <c r="N39" s="20" t="n">
        <v>0</v>
      </c>
      <c r="O39" s="18" t="n">
        <v>0</v>
      </c>
      <c r="P39" s="20" t="n">
        <v>0</v>
      </c>
      <c r="Q39" s="18" t="n">
        <v>2.20905201</v>
      </c>
      <c r="R39" s="20" t="n">
        <v>0.6434997099999999</v>
      </c>
    </row>
    <row r="40" spans="1:18">
      <c r="A40" s="15" t="s">
        <v>598</v>
      </c>
      <c r="B40" s="17" t="n">
        <v>6922</v>
      </c>
      <c r="C40" s="18">
        <f>(5341.0/B40*100)</f>
        <v/>
      </c>
      <c r="D40" s="19" t="n">
        <v>1581</v>
      </c>
      <c r="E40" s="18" t="n">
        <v>55.69523219</v>
      </c>
      <c r="F40" s="20" t="n">
        <v>2.05401155</v>
      </c>
      <c r="G40" s="18" t="n">
        <v>42.30349502</v>
      </c>
      <c r="H40" s="20" t="n">
        <v>2.04869804</v>
      </c>
      <c r="I40" s="18" t="n">
        <v>0</v>
      </c>
      <c r="J40" s="20" t="n">
        <v>0</v>
      </c>
      <c r="K40" s="18" t="n">
        <v>0.65685173</v>
      </c>
      <c r="L40" s="20" t="n">
        <v>0.27786481</v>
      </c>
      <c r="M40" s="18" t="n">
        <v>0</v>
      </c>
      <c r="N40" s="20" t="n">
        <v>0</v>
      </c>
      <c r="O40" s="18" t="n">
        <v>0</v>
      </c>
      <c r="P40" s="20" t="n">
        <v>0</v>
      </c>
      <c r="Q40" s="18" t="n">
        <v>1.34442106</v>
      </c>
      <c r="R40" s="20" t="n">
        <v>0.44499796</v>
      </c>
    </row>
    <row r="41" spans="1:18">
      <c r="A41" s="15" t="s">
        <v>599</v>
      </c>
      <c r="B41" s="17" t="n">
        <v>2854</v>
      </c>
      <c r="C41" s="18">
        <f>(2221.0/B41*100)</f>
        <v/>
      </c>
      <c r="D41" s="19" t="n">
        <v>633</v>
      </c>
      <c r="E41" s="18" t="n">
        <v>50.08468401</v>
      </c>
      <c r="F41" s="20" t="n">
        <v>1.98519305</v>
      </c>
      <c r="G41" s="18" t="n">
        <v>47.56059747</v>
      </c>
      <c r="H41" s="20" t="n">
        <v>2.14674379</v>
      </c>
      <c r="I41" s="18" t="n">
        <v>0</v>
      </c>
      <c r="J41" s="20" t="n">
        <v>0</v>
      </c>
      <c r="K41" s="18" t="n">
        <v>0.79813957</v>
      </c>
      <c r="L41" s="20" t="n">
        <v>0.50753525</v>
      </c>
      <c r="M41" s="18" t="n">
        <v>0</v>
      </c>
      <c r="N41" s="20" t="n">
        <v>0</v>
      </c>
      <c r="O41" s="18" t="n">
        <v>0</v>
      </c>
      <c r="P41" s="20" t="n">
        <v>0</v>
      </c>
      <c r="Q41" s="18" t="n">
        <v>1.55657895</v>
      </c>
      <c r="R41" s="20" t="n">
        <v>0.57843289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(10240.0/B46*100)</f>
        <v/>
      </c>
      <c r="D46" s="19" t="n">
        <v>1833</v>
      </c>
      <c r="E46" s="18" t="n">
        <v>63.96952785</v>
      </c>
      <c r="F46" s="20" t="n">
        <v>1.24145924</v>
      </c>
      <c r="G46" s="18" t="n">
        <v>29.32770541</v>
      </c>
      <c r="H46" s="20" t="n">
        <v>1.1987066</v>
      </c>
      <c r="I46" s="18" t="n">
        <v>0</v>
      </c>
      <c r="J46" s="20" t="n">
        <v>0</v>
      </c>
      <c r="K46" s="18" t="n">
        <v>2.64436587</v>
      </c>
      <c r="L46" s="20" t="n">
        <v>0.61761754</v>
      </c>
      <c r="M46" s="18" t="n">
        <v>0</v>
      </c>
      <c r="N46" s="20" t="n">
        <v>0</v>
      </c>
      <c r="O46" s="18" t="n">
        <v>0</v>
      </c>
      <c r="P46" s="20" t="n">
        <v>0</v>
      </c>
      <c r="Q46" s="18" t="n">
        <v>4.05840087</v>
      </c>
      <c r="R46" s="20" t="n">
        <v>0.60923356</v>
      </c>
    </row>
    <row r="47" spans="1:18">
      <c r="A47" s="15" t="s">
        <v>606</v>
      </c>
      <c r="B47" s="17" t="n">
        <v>2823</v>
      </c>
      <c r="C47" s="18">
        <f>(2220.0/B47*100)</f>
        <v/>
      </c>
      <c r="D47" s="19" t="n">
        <v>603</v>
      </c>
      <c r="E47" s="18" t="n">
        <v>62.26281194</v>
      </c>
      <c r="F47" s="20" t="n">
        <v>1.84109901</v>
      </c>
      <c r="G47" s="18" t="n">
        <v>35.61814699</v>
      </c>
      <c r="H47" s="20" t="n">
        <v>1.83911506</v>
      </c>
      <c r="I47" s="18" t="n">
        <v>0</v>
      </c>
      <c r="J47" s="20" t="n">
        <v>0</v>
      </c>
      <c r="K47" s="18" t="n">
        <v>1.12781015</v>
      </c>
      <c r="L47" s="20" t="n">
        <v>0.49041822</v>
      </c>
      <c r="M47" s="18" t="n">
        <v>0</v>
      </c>
      <c r="N47" s="20" t="n">
        <v>0</v>
      </c>
      <c r="O47" s="18" t="n">
        <v>0</v>
      </c>
      <c r="P47" s="20" t="n">
        <v>0</v>
      </c>
      <c r="Q47" s="18" t="n">
        <v>0.99123091</v>
      </c>
      <c r="R47" s="20" t="n">
        <v>0.39291724</v>
      </c>
    </row>
    <row r="48" spans="1:18">
      <c r="A48" s="15" t="s">
        <v>607</v>
      </c>
      <c r="B48" s="17" t="n">
        <v>4682</v>
      </c>
      <c r="C48" s="18">
        <f>(3647.0/B48*100)</f>
        <v/>
      </c>
      <c r="D48" s="19" t="n">
        <v>1035</v>
      </c>
      <c r="E48" s="18" t="n">
        <v>54.88723735</v>
      </c>
      <c r="F48" s="20" t="n">
        <v>2.70065473</v>
      </c>
      <c r="G48" s="18" t="n">
        <v>43.54583349</v>
      </c>
      <c r="H48" s="20" t="n">
        <v>2.67262477</v>
      </c>
      <c r="I48" s="18" t="n">
        <v>0</v>
      </c>
      <c r="J48" s="20" t="n">
        <v>0</v>
      </c>
      <c r="K48" s="18" t="n">
        <v>0.92891829</v>
      </c>
      <c r="L48" s="20" t="n">
        <v>0.4332305</v>
      </c>
      <c r="M48" s="18" t="n">
        <v>0</v>
      </c>
      <c r="N48" s="20" t="n">
        <v>0</v>
      </c>
      <c r="O48" s="18" t="n">
        <v>0</v>
      </c>
      <c r="P48" s="20" t="n">
        <v>0</v>
      </c>
      <c r="Q48" s="18" t="n">
        <v>0.63801087</v>
      </c>
      <c r="R48" s="20" t="n">
        <v>0.30892618</v>
      </c>
    </row>
    <row r="49" spans="1:18">
      <c r="A49" s="15" t="s">
        <v>608</v>
      </c>
      <c r="B49" s="17" t="n">
        <v>6158</v>
      </c>
      <c r="C49" s="18">
        <f>(4875.0/B49*100)</f>
        <v/>
      </c>
      <c r="D49" s="19" t="n">
        <v>1283</v>
      </c>
      <c r="E49" s="18" t="n">
        <v>64.17239436</v>
      </c>
      <c r="F49" s="20" t="n">
        <v>1.80103008</v>
      </c>
      <c r="G49" s="18" t="n">
        <v>29.65381739</v>
      </c>
      <c r="H49" s="20" t="n">
        <v>1.69232819</v>
      </c>
      <c r="I49" s="18" t="n">
        <v>0</v>
      </c>
      <c r="J49" s="20" t="n">
        <v>0</v>
      </c>
      <c r="K49" s="18" t="n">
        <v>3.95100197</v>
      </c>
      <c r="L49" s="20" t="n">
        <v>0.84230306</v>
      </c>
      <c r="M49" s="18" t="n">
        <v>0</v>
      </c>
      <c r="N49" s="20" t="n">
        <v>0</v>
      </c>
      <c r="O49" s="18" t="n">
        <v>0</v>
      </c>
      <c r="P49" s="20" t="n">
        <v>0</v>
      </c>
      <c r="Q49" s="18" t="n">
        <v>2.22278628</v>
      </c>
      <c r="R49" s="20" t="n">
        <v>0.62334953</v>
      </c>
    </row>
    <row r="50" spans="1:18">
      <c r="A50" s="15" t="s">
        <v>609</v>
      </c>
      <c r="B50" s="17" t="n">
        <v>3494</v>
      </c>
      <c r="C50" s="18">
        <f>(2908.0/B50*100)</f>
        <v/>
      </c>
      <c r="D50" s="19" t="n">
        <v>586</v>
      </c>
      <c r="E50" s="18" t="n">
        <v>78.07773663</v>
      </c>
      <c r="F50" s="20" t="n">
        <v>1.79381041</v>
      </c>
      <c r="G50" s="18" t="n">
        <v>17.93937016</v>
      </c>
      <c r="H50" s="20" t="n">
        <v>1.69703132</v>
      </c>
      <c r="I50" s="18" t="n">
        <v>0</v>
      </c>
      <c r="J50" s="20" t="n">
        <v>0</v>
      </c>
      <c r="K50" s="18" t="n">
        <v>1.67626864</v>
      </c>
      <c r="L50" s="20" t="n">
        <v>0.55156657</v>
      </c>
      <c r="M50" s="18" t="n">
        <v>0</v>
      </c>
      <c r="N50" s="20" t="n">
        <v>0</v>
      </c>
      <c r="O50" s="18" t="n">
        <v>0</v>
      </c>
      <c r="P50" s="20" t="n">
        <v>0</v>
      </c>
      <c r="Q50" s="18" t="n">
        <v>2.30662457</v>
      </c>
      <c r="R50" s="20" t="n">
        <v>0.55429346</v>
      </c>
    </row>
    <row r="51" spans="1:18">
      <c r="A51" s="15" t="s">
        <v>610</v>
      </c>
      <c r="B51" s="17" t="n">
        <v>3013</v>
      </c>
      <c r="C51" s="18">
        <f>(2335.0/B51*100)</f>
        <v/>
      </c>
      <c r="D51" s="19" t="n">
        <v>678</v>
      </c>
      <c r="E51" s="18" t="n">
        <v>68.6983674</v>
      </c>
      <c r="F51" s="20" t="n">
        <v>2.094085</v>
      </c>
      <c r="G51" s="18" t="n">
        <v>29.07430455</v>
      </c>
      <c r="H51" s="20" t="n">
        <v>1.90220529</v>
      </c>
      <c r="I51" s="18" t="n">
        <v>0</v>
      </c>
      <c r="J51" s="20" t="n">
        <v>0</v>
      </c>
      <c r="K51" s="18" t="n">
        <v>0.27211805</v>
      </c>
      <c r="L51" s="20" t="n">
        <v>0.23902566</v>
      </c>
      <c r="M51" s="18" t="n">
        <v>0</v>
      </c>
      <c r="N51" s="20" t="n">
        <v>0</v>
      </c>
      <c r="O51" s="18" t="n">
        <v>0</v>
      </c>
      <c r="P51" s="20" t="n">
        <v>0</v>
      </c>
      <c r="Q51" s="18" t="n">
        <v>1.95520999</v>
      </c>
      <c r="R51" s="20" t="n">
        <v>0.59744761</v>
      </c>
    </row>
    <row r="52" spans="1:18">
      <c r="A52" s="15" t="s">
        <v>611</v>
      </c>
      <c r="B52" s="17" t="n">
        <v>2760</v>
      </c>
      <c r="C52" s="18">
        <f>(2129.0/B52*100)</f>
        <v/>
      </c>
      <c r="D52" s="19" t="n">
        <v>631</v>
      </c>
      <c r="E52" s="18" t="n">
        <v>64.68234905</v>
      </c>
      <c r="F52" s="20" t="n">
        <v>1.78275809</v>
      </c>
      <c r="G52" s="18" t="n">
        <v>32.06670342</v>
      </c>
      <c r="H52" s="20" t="n">
        <v>1.80500256</v>
      </c>
      <c r="I52" s="18" t="n">
        <v>0</v>
      </c>
      <c r="J52" s="20" t="n">
        <v>0</v>
      </c>
      <c r="K52" s="18" t="n">
        <v>0.87632256</v>
      </c>
      <c r="L52" s="20" t="n">
        <v>0.38026644</v>
      </c>
      <c r="M52" s="18" t="n">
        <v>0</v>
      </c>
      <c r="N52" s="20" t="n">
        <v>0</v>
      </c>
      <c r="O52" s="18" t="n">
        <v>0</v>
      </c>
      <c r="P52" s="20" t="n">
        <v>0</v>
      </c>
      <c r="Q52" s="18" t="n">
        <v>2.37462497</v>
      </c>
      <c r="R52" s="20" t="n">
        <v>0.64310298</v>
      </c>
    </row>
    <row r="53" spans="1:18">
      <c r="A53" s="15" t="s">
        <v>612</v>
      </c>
      <c r="B53" s="17" t="n">
        <v>2474</v>
      </c>
      <c r="C53" s="18">
        <f>(1942.0/B53*100)</f>
        <v/>
      </c>
      <c r="D53" s="19" t="n">
        <v>532</v>
      </c>
      <c r="E53" s="18" t="n">
        <v>62.26344192</v>
      </c>
      <c r="F53" s="20" t="n">
        <v>2.43614777</v>
      </c>
      <c r="G53" s="18" t="n">
        <v>13.48858649</v>
      </c>
      <c r="H53" s="20" t="n">
        <v>1.80358647</v>
      </c>
      <c r="I53" s="18" t="n">
        <v>0</v>
      </c>
      <c r="J53" s="20" t="n">
        <v>0</v>
      </c>
      <c r="K53" s="18" t="n">
        <v>19.8357703</v>
      </c>
      <c r="L53" s="20" t="n">
        <v>2.03974375</v>
      </c>
      <c r="M53" s="18" t="n">
        <v>0</v>
      </c>
      <c r="N53" s="20" t="n">
        <v>0</v>
      </c>
      <c r="O53" s="18" t="n">
        <v>0</v>
      </c>
      <c r="P53" s="20" t="n">
        <v>0</v>
      </c>
      <c r="Q53" s="18" t="n">
        <v>4.41220129</v>
      </c>
      <c r="R53" s="20" t="n">
        <v>1.036111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(2120.0/B55*100)</f>
        <v/>
      </c>
      <c r="D55" s="19" t="n">
        <v>555</v>
      </c>
      <c r="E55" s="18" t="n">
        <v>54.30550504</v>
      </c>
      <c r="F55" s="20" t="n">
        <v>2.28407303</v>
      </c>
      <c r="G55" s="18" t="n">
        <v>44.9410231</v>
      </c>
      <c r="H55" s="20" t="n">
        <v>2.27545676</v>
      </c>
      <c r="I55" s="18" t="n">
        <v>0</v>
      </c>
      <c r="J55" s="20" t="n">
        <v>0</v>
      </c>
      <c r="K55" s="18" t="n">
        <v>0.36415379</v>
      </c>
      <c r="L55" s="20" t="n">
        <v>0.26514836</v>
      </c>
      <c r="M55" s="18" t="n">
        <v>0</v>
      </c>
      <c r="N55" s="20" t="n">
        <v>0</v>
      </c>
      <c r="O55" s="18" t="n">
        <v>0</v>
      </c>
      <c r="P55" s="20" t="n">
        <v>0</v>
      </c>
      <c r="Q55" s="18" t="n">
        <v>0.38931807</v>
      </c>
      <c r="R55" s="20" t="n">
        <v>0.28597756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(2506.0/B61*100)</f>
        <v/>
      </c>
      <c r="D61" s="19" t="n">
        <v>695</v>
      </c>
      <c r="E61" s="18" t="n">
        <v>60.5521101</v>
      </c>
      <c r="F61" s="20" t="n">
        <v>1.82410548</v>
      </c>
      <c r="G61" s="18" t="n">
        <v>38.18944821</v>
      </c>
      <c r="H61" s="20" t="n">
        <v>1.82093163</v>
      </c>
      <c r="I61" s="18" t="n">
        <v>0</v>
      </c>
      <c r="J61" s="20" t="n">
        <v>0</v>
      </c>
      <c r="K61" s="18" t="n">
        <v>0.21153957</v>
      </c>
      <c r="L61" s="20" t="n">
        <v>0.1597557</v>
      </c>
      <c r="M61" s="18" t="n">
        <v>0</v>
      </c>
      <c r="N61" s="20" t="n">
        <v>0</v>
      </c>
      <c r="O61" s="18" t="n">
        <v>0</v>
      </c>
      <c r="P61" s="20" t="n">
        <v>0</v>
      </c>
      <c r="Q61" s="18" t="n">
        <v>1.04690212</v>
      </c>
      <c r="R61" s="20" t="n">
        <v>0.43358624</v>
      </c>
    </row>
    <row r="62" spans="1:18">
      <c r="A62" s="15" t="s">
        <v>622</v>
      </c>
      <c r="B62" s="17" t="n">
        <v>2230</v>
      </c>
      <c r="C62" s="18">
        <f>(1785.0/B62*100)</f>
        <v/>
      </c>
      <c r="D62" s="19" t="n">
        <v>445</v>
      </c>
      <c r="E62" s="18" t="n">
        <v>57.56395207</v>
      </c>
      <c r="F62" s="20" t="n">
        <v>2.68341207</v>
      </c>
      <c r="G62" s="18" t="n">
        <v>41.76726112</v>
      </c>
      <c r="H62" s="20" t="n">
        <v>2.7677843</v>
      </c>
      <c r="I62" s="18" t="n">
        <v>0</v>
      </c>
      <c r="J62" s="20" t="n">
        <v>0</v>
      </c>
      <c r="K62" s="18" t="n">
        <v>0</v>
      </c>
      <c r="L62" s="20" t="n">
        <v>0</v>
      </c>
      <c r="M62" s="18" t="n">
        <v>0</v>
      </c>
      <c r="N62" s="20" t="n">
        <v>0</v>
      </c>
      <c r="O62" s="18" t="n">
        <v>0</v>
      </c>
      <c r="P62" s="20" t="n">
        <v>0</v>
      </c>
      <c r="Q62" s="18" t="n">
        <v>0.66878681</v>
      </c>
      <c r="R62" s="20" t="n">
        <v>0.38877706</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(2196.0/B67*100)</f>
        <v/>
      </c>
      <c r="D67" s="19" t="n">
        <v>575</v>
      </c>
      <c r="E67" s="18" t="n">
        <v>64.0672149</v>
      </c>
      <c r="F67" s="20" t="n">
        <v>1.68985527</v>
      </c>
      <c r="G67" s="18" t="n">
        <v>28.6516413</v>
      </c>
      <c r="H67" s="20" t="n">
        <v>1.79383572</v>
      </c>
      <c r="I67" s="18" t="n">
        <v>0</v>
      </c>
      <c r="J67" s="20" t="n">
        <v>0</v>
      </c>
      <c r="K67" s="18" t="n">
        <v>1.24089522</v>
      </c>
      <c r="L67" s="20" t="n">
        <v>0.47184653</v>
      </c>
      <c r="M67" s="18" t="n">
        <v>0</v>
      </c>
      <c r="N67" s="20" t="n">
        <v>0</v>
      </c>
      <c r="O67" s="18" t="n">
        <v>0</v>
      </c>
      <c r="P67" s="20" t="n">
        <v>0</v>
      </c>
      <c r="Q67" s="18" t="n">
        <v>6.04024858</v>
      </c>
      <c r="R67" s="20" t="n">
        <v>0.9227497</v>
      </c>
    </row>
    <row r="68" spans="1:18">
      <c r="A68" s="15" t="s">
        <v>628</v>
      </c>
      <c r="B68" s="17" t="n">
        <v>3460</v>
      </c>
      <c r="C68" s="18">
        <f>(2843.0/B68*100)</f>
        <v/>
      </c>
      <c r="D68" s="19" t="n">
        <v>617</v>
      </c>
      <c r="E68" s="18" t="n">
        <v>75.95556354999999</v>
      </c>
      <c r="F68" s="20" t="n">
        <v>1.60092052</v>
      </c>
      <c r="G68" s="18" t="n">
        <v>20.34393959</v>
      </c>
      <c r="H68" s="20" t="n">
        <v>1.60701089</v>
      </c>
      <c r="I68" s="18" t="n">
        <v>0</v>
      </c>
      <c r="J68" s="20" t="n">
        <v>0</v>
      </c>
      <c r="K68" s="18" t="n">
        <v>0.377609</v>
      </c>
      <c r="L68" s="20" t="n">
        <v>0.26807919</v>
      </c>
      <c r="M68" s="18" t="n">
        <v>0</v>
      </c>
      <c r="N68" s="20" t="n">
        <v>0</v>
      </c>
      <c r="O68" s="18" t="n">
        <v>0</v>
      </c>
      <c r="P68" s="20" t="n">
        <v>0</v>
      </c>
      <c r="Q68" s="18" t="n">
        <v>3.32288785</v>
      </c>
      <c r="R68" s="20" t="n">
        <v>0.77883998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(4683.0/B70*100)</f>
        <v/>
      </c>
      <c r="D70" s="19" t="n">
        <v>1351</v>
      </c>
      <c r="E70" s="18" t="n">
        <v>64.42205711</v>
      </c>
      <c r="F70" s="20" t="n">
        <v>1.29012233</v>
      </c>
      <c r="G70" s="18" t="n">
        <v>29.06819502</v>
      </c>
      <c r="H70" s="20" t="n">
        <v>1.35898785</v>
      </c>
      <c r="I70" s="18" t="n">
        <v>0</v>
      </c>
      <c r="J70" s="20" t="n">
        <v>0</v>
      </c>
      <c r="K70" s="18" t="n">
        <v>4.0426181</v>
      </c>
      <c r="L70" s="20" t="n">
        <v>0.54681683</v>
      </c>
      <c r="M70" s="18" t="n">
        <v>0</v>
      </c>
      <c r="N70" s="20" t="n">
        <v>0</v>
      </c>
      <c r="O70" s="18" t="n">
        <v>0</v>
      </c>
      <c r="P70" s="20" t="n">
        <v>0</v>
      </c>
      <c r="Q70" s="18" t="n">
        <v>2.46712976</v>
      </c>
      <c r="R70" s="20" t="n">
        <v>0.34266743</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(2459.0/B72*100)</f>
        <v/>
      </c>
      <c r="D72" s="19" t="n">
        <v>648</v>
      </c>
      <c r="E72" s="18" t="n">
        <v>70.74288446</v>
      </c>
      <c r="F72" s="20" t="n">
        <v>2.22934117</v>
      </c>
      <c r="G72" s="18" t="n">
        <v>27.37897271</v>
      </c>
      <c r="H72" s="20" t="n">
        <v>2.28249334</v>
      </c>
      <c r="I72" s="18" t="n">
        <v>0</v>
      </c>
      <c r="J72" s="20" t="n">
        <v>0</v>
      </c>
      <c r="K72" s="18" t="n">
        <v>0.58038598</v>
      </c>
      <c r="L72" s="20" t="n">
        <v>0.3056973</v>
      </c>
      <c r="M72" s="18" t="n">
        <v>0</v>
      </c>
      <c r="N72" s="20" t="n">
        <v>0</v>
      </c>
      <c r="O72" s="18" t="n">
        <v>0</v>
      </c>
      <c r="P72" s="20" t="n">
        <v>0</v>
      </c>
      <c r="Q72" s="18" t="n">
        <v>1.29775684</v>
      </c>
      <c r="R72" s="20" t="n">
        <v>0.53402255</v>
      </c>
    </row>
    <row r="73" spans="1:18">
      <c r="A73" s="15" t="s">
        <v>633</v>
      </c>
      <c r="B73" s="17" t="n">
        <v>2973</v>
      </c>
      <c r="C73" s="18">
        <f>(2323.0/B73*100)</f>
        <v/>
      </c>
      <c r="D73" s="19" t="n">
        <v>650</v>
      </c>
      <c r="E73" s="18" t="n">
        <v>32.79623751</v>
      </c>
      <c r="F73" s="20" t="n">
        <v>2.10857394</v>
      </c>
      <c r="G73" s="18" t="n">
        <v>66.21338625</v>
      </c>
      <c r="H73" s="20" t="n">
        <v>2.14872953</v>
      </c>
      <c r="I73" s="18" t="n">
        <v>0</v>
      </c>
      <c r="J73" s="20" t="n">
        <v>0</v>
      </c>
      <c r="K73" s="18" t="n">
        <v>0.50419101</v>
      </c>
      <c r="L73" s="20" t="n">
        <v>0.2808638</v>
      </c>
      <c r="M73" s="18" t="n">
        <v>0</v>
      </c>
      <c r="N73" s="20" t="n">
        <v>0</v>
      </c>
      <c r="O73" s="18" t="n">
        <v>0</v>
      </c>
      <c r="P73" s="20" t="n">
        <v>0</v>
      </c>
      <c r="Q73" s="18" t="n">
        <v>0.48618522</v>
      </c>
      <c r="R73" s="20" t="n">
        <v>0.27605491</v>
      </c>
    </row>
    <row r="74" spans="1:18">
      <c r="A74" s="15" t="s">
        <v>634</v>
      </c>
      <c r="B74" s="17" t="n">
        <v>3819</v>
      </c>
      <c r="C74" s="18">
        <f>(3005.0/B74*100)</f>
        <v/>
      </c>
      <c r="D74" s="19" t="n">
        <v>814</v>
      </c>
      <c r="E74" s="18" t="n">
        <v>47.41472607</v>
      </c>
      <c r="F74" s="20" t="n">
        <v>1.82834142</v>
      </c>
      <c r="G74" s="18" t="n">
        <v>51.71044901</v>
      </c>
      <c r="H74" s="20" t="n">
        <v>1.84957149</v>
      </c>
      <c r="I74" s="18" t="n">
        <v>0</v>
      </c>
      <c r="J74" s="20" t="n">
        <v>0</v>
      </c>
      <c r="K74" s="18" t="n">
        <v>0</v>
      </c>
      <c r="L74" s="20" t="n">
        <v>0</v>
      </c>
      <c r="M74" s="18" t="n">
        <v>0</v>
      </c>
      <c r="N74" s="20" t="n">
        <v>0</v>
      </c>
      <c r="O74" s="18" t="n">
        <v>0</v>
      </c>
      <c r="P74" s="20" t="n">
        <v>0</v>
      </c>
      <c r="Q74" s="18" t="n">
        <v>0.87482492</v>
      </c>
      <c r="R74" s="20" t="n">
        <v>0.32780217</v>
      </c>
    </row>
    <row r="75" spans="1:18">
      <c r="A75" s="15" t="s">
        <v>635</v>
      </c>
      <c r="B75" s="17" t="n">
        <v>4652</v>
      </c>
      <c r="C75" s="18">
        <f>(3729.0/B75*100)</f>
        <v/>
      </c>
      <c r="D75" s="19" t="n">
        <v>923</v>
      </c>
      <c r="E75" s="18" t="n">
        <v>65.20413383</v>
      </c>
      <c r="F75" s="20" t="n">
        <v>1.93208349</v>
      </c>
      <c r="G75" s="18" t="n">
        <v>33.96053017</v>
      </c>
      <c r="H75" s="20" t="n">
        <v>1.87217804</v>
      </c>
      <c r="I75" s="18" t="n">
        <v>0</v>
      </c>
      <c r="J75" s="20" t="n">
        <v>0</v>
      </c>
      <c r="K75" s="18" t="n">
        <v>0</v>
      </c>
      <c r="L75" s="20" t="n">
        <v>0</v>
      </c>
      <c r="M75" s="18" t="n">
        <v>0</v>
      </c>
      <c r="N75" s="20" t="n">
        <v>0</v>
      </c>
      <c r="O75" s="18" t="n">
        <v>0</v>
      </c>
      <c r="P75" s="20" t="n">
        <v>0</v>
      </c>
      <c r="Q75" s="18" t="n">
        <v>0.835336</v>
      </c>
      <c r="R75" s="20" t="n">
        <v>0.32862498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(2422.0/B77*100)</f>
        <v/>
      </c>
      <c r="D77" s="19" t="n">
        <v>547</v>
      </c>
      <c r="E77" s="18" t="n">
        <v>74.99950208</v>
      </c>
      <c r="F77" s="20" t="n">
        <v>2.18561336</v>
      </c>
      <c r="G77" s="18" t="n">
        <v>14.52125481</v>
      </c>
      <c r="H77" s="20" t="n">
        <v>1.49592407</v>
      </c>
      <c r="I77" s="18" t="n">
        <v>0</v>
      </c>
      <c r="J77" s="20" t="n">
        <v>0</v>
      </c>
      <c r="K77" s="18" t="n">
        <v>7.16132621</v>
      </c>
      <c r="L77" s="20" t="n">
        <v>1.34722845</v>
      </c>
      <c r="M77" s="18" t="n">
        <v>0</v>
      </c>
      <c r="N77" s="20" t="n">
        <v>0</v>
      </c>
      <c r="O77" s="18" t="n">
        <v>0</v>
      </c>
      <c r="P77" s="20" t="n">
        <v>0</v>
      </c>
      <c r="Q77" s="18" t="n">
        <v>3.3179169</v>
      </c>
      <c r="R77" s="20" t="n">
        <v>0.9520215400000001</v>
      </c>
    </row>
    <row r="78" spans="1:18">
      <c r="A78" s="15" t="s">
        <v>638</v>
      </c>
      <c r="B78" s="17" t="n">
        <v>7115</v>
      </c>
      <c r="C78" s="18">
        <f>(5618.0/B78*100)</f>
        <v/>
      </c>
      <c r="D78" s="19" t="n">
        <v>1497</v>
      </c>
      <c r="E78" s="18" t="n">
        <v>67.16643245</v>
      </c>
      <c r="F78" s="20" t="n">
        <v>1.50997778</v>
      </c>
      <c r="G78" s="18" t="n">
        <v>30.38795545</v>
      </c>
      <c r="H78" s="20" t="n">
        <v>1.54977076</v>
      </c>
      <c r="I78" s="18" t="n">
        <v>0</v>
      </c>
      <c r="J78" s="20" t="n">
        <v>0</v>
      </c>
      <c r="K78" s="18" t="n">
        <v>0.86498348</v>
      </c>
      <c r="L78" s="20" t="n">
        <v>0.23156806</v>
      </c>
      <c r="M78" s="18" t="n">
        <v>0</v>
      </c>
      <c r="N78" s="20" t="n">
        <v>0</v>
      </c>
      <c r="O78" s="18" t="n">
        <v>0</v>
      </c>
      <c r="P78" s="20" t="n">
        <v>0</v>
      </c>
      <c r="Q78" s="18" t="n">
        <v>1.58062862</v>
      </c>
      <c r="R78" s="20" t="n">
        <v>0.38386831</v>
      </c>
    </row>
    <row r="79" spans="1:18">
      <c r="A79" s="15" t="s">
        <v>639</v>
      </c>
      <c r="B79" s="17" t="n">
        <v>3154</v>
      </c>
      <c r="C79" s="18">
        <f>(2496.0/B79*100)</f>
        <v/>
      </c>
      <c r="D79" s="19" t="n">
        <v>658</v>
      </c>
      <c r="E79" s="18" t="n">
        <v>71.71199873</v>
      </c>
      <c r="F79" s="20" t="n">
        <v>1.88958536</v>
      </c>
      <c r="G79" s="18" t="n">
        <v>20.8532765</v>
      </c>
      <c r="H79" s="20" t="n">
        <v>1.57258952</v>
      </c>
      <c r="I79" s="18" t="n">
        <v>0</v>
      </c>
      <c r="J79" s="20" t="n">
        <v>0</v>
      </c>
      <c r="K79" s="18" t="n">
        <v>2.09839701</v>
      </c>
      <c r="L79" s="20" t="n">
        <v>0.58087769</v>
      </c>
      <c r="M79" s="18" t="n">
        <v>0</v>
      </c>
      <c r="N79" s="20" t="n">
        <v>0</v>
      </c>
      <c r="O79" s="18" t="n">
        <v>0</v>
      </c>
      <c r="P79" s="20" t="n">
        <v>0</v>
      </c>
      <c r="Q79" s="18" t="n">
        <v>5.33632776</v>
      </c>
      <c r="R79" s="20" t="n">
        <v>1.12711367</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(12612.0/B82*100)</f>
        <v/>
      </c>
      <c r="D82" s="19" t="n">
        <v>3349</v>
      </c>
      <c r="E82" s="18" t="n">
        <v>60.89660404</v>
      </c>
      <c r="F82" s="20" t="n">
        <v>1.13831454</v>
      </c>
      <c r="G82" s="18" t="n">
        <v>36.31720735</v>
      </c>
      <c r="H82" s="20" t="n">
        <v>1.20524491</v>
      </c>
      <c r="I82" s="18" t="n">
        <v>0</v>
      </c>
      <c r="J82" s="20" t="n">
        <v>0</v>
      </c>
      <c r="K82" s="18" t="n">
        <v>0.9184641099999999</v>
      </c>
      <c r="L82" s="20" t="n">
        <v>0.17907888</v>
      </c>
      <c r="M82" s="18" t="n">
        <v>0</v>
      </c>
      <c r="N82" s="20" t="n">
        <v>0</v>
      </c>
      <c r="O82" s="18" t="n">
        <v>0</v>
      </c>
      <c r="P82" s="20" t="n">
        <v>0</v>
      </c>
      <c r="Q82" s="18" t="n">
        <v>1.8677245</v>
      </c>
      <c r="R82" s="20" t="n">
        <v>0.28412915</v>
      </c>
    </row>
    <row r="83" spans="1:18">
      <c r="A83" s="15" t="s">
        <v>643</v>
      </c>
      <c r="B83" s="17" t="n">
        <v>808</v>
      </c>
      <c r="C83" s="18">
        <f>(650.0/B83*100)</f>
        <v/>
      </c>
      <c r="D83" s="19" t="n">
        <v>158</v>
      </c>
      <c r="E83" s="18" t="n">
        <v>47.74270984</v>
      </c>
      <c r="F83" s="20" t="n">
        <v>3.81821015</v>
      </c>
      <c r="G83" s="18" t="n">
        <v>51.02143128</v>
      </c>
      <c r="H83" s="20" t="n">
        <v>3.66691973</v>
      </c>
      <c r="I83" s="18" t="n">
        <v>0</v>
      </c>
      <c r="J83" s="20" t="n">
        <v>0</v>
      </c>
      <c r="K83" s="18" t="n">
        <v>0</v>
      </c>
      <c r="L83" s="20" t="n">
        <v>0</v>
      </c>
      <c r="M83" s="18" t="n">
        <v>0</v>
      </c>
      <c r="N83" s="20" t="n">
        <v>0</v>
      </c>
      <c r="O83" s="18" t="n">
        <v>0</v>
      </c>
      <c r="P83" s="20" t="n">
        <v>0</v>
      </c>
      <c r="Q83" s="18" t="n">
        <v>1.23585888</v>
      </c>
      <c r="R83" s="20" t="n">
        <v>0.8564629</v>
      </c>
    </row>
    <row r="84" spans="1:18">
      <c r="A84" s="23" t="s">
        <v>644</v>
      </c>
      <c r="B84" s="24" t="n">
        <v>938</v>
      </c>
      <c r="C84" s="25">
        <f>(769.0/B84*100)</f>
        <v/>
      </c>
      <c r="D84" s="19" t="n">
        <v>169</v>
      </c>
      <c r="E84" s="18" t="n">
        <v>57.4250081</v>
      </c>
      <c r="F84" s="20" t="n">
        <v>4.21227054</v>
      </c>
      <c r="G84" s="18" t="n">
        <v>41.96994901</v>
      </c>
      <c r="H84" s="20" t="n">
        <v>4.16967125</v>
      </c>
      <c r="I84" s="18" t="n">
        <v>0</v>
      </c>
      <c r="J84" s="20" t="n">
        <v>0</v>
      </c>
      <c r="K84" s="18" t="n">
        <v>0</v>
      </c>
      <c r="L84" s="20" t="n">
        <v>0</v>
      </c>
      <c r="M84" s="18" t="n">
        <v>0</v>
      </c>
      <c r="N84" s="20" t="n">
        <v>0</v>
      </c>
      <c r="O84" s="18" t="n">
        <v>0</v>
      </c>
      <c r="P84" s="20" t="n">
        <v>0</v>
      </c>
      <c r="Q84" s="18" t="n">
        <v>0.60504289</v>
      </c>
      <c r="R84" s="20" t="n">
        <v>0.62293334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(5633.0/B7*100)</f>
        <v/>
      </c>
      <c r="D7" s="19" t="n">
        <v>1530</v>
      </c>
      <c r="E7" s="18" t="n">
        <v>39.69438635</v>
      </c>
      <c r="F7" s="20" t="n">
        <v>1.43122514</v>
      </c>
      <c r="G7" s="18" t="n">
        <v>57.32058977</v>
      </c>
      <c r="H7" s="20" t="n">
        <v>1.39234851</v>
      </c>
      <c r="I7" s="18" t="n">
        <v>0</v>
      </c>
      <c r="J7" s="20" t="n">
        <v>0</v>
      </c>
      <c r="K7" s="18" t="n">
        <v>0.95063765</v>
      </c>
      <c r="L7" s="20" t="n">
        <v>0.2665194</v>
      </c>
      <c r="M7" s="18" t="n">
        <v>0.12043489</v>
      </c>
      <c r="N7" s="20" t="n">
        <v>0.0967657</v>
      </c>
      <c r="O7" s="18" t="n">
        <v>0</v>
      </c>
      <c r="P7" s="20" t="n">
        <v>0</v>
      </c>
      <c r="Q7" s="18" t="n">
        <v>1.91395134</v>
      </c>
      <c r="R7" s="20" t="n">
        <v>0.38758309</v>
      </c>
    </row>
    <row r="8" spans="1:18">
      <c r="A8" s="15" t="s">
        <v>566</v>
      </c>
      <c r="B8" s="17" t="n">
        <v>3443</v>
      </c>
      <c r="C8" s="18">
        <f>(2663.0/B8*100)</f>
        <v/>
      </c>
      <c r="D8" s="19" t="n">
        <v>780</v>
      </c>
      <c r="E8" s="18" t="n">
        <v>50.92157677</v>
      </c>
      <c r="F8" s="20" t="n">
        <v>2.49978931</v>
      </c>
      <c r="G8" s="18" t="n">
        <v>45.54858251</v>
      </c>
      <c r="H8" s="20" t="n">
        <v>2.58632576</v>
      </c>
      <c r="I8" s="18" t="n">
        <v>0</v>
      </c>
      <c r="J8" s="20" t="n">
        <v>0</v>
      </c>
      <c r="K8" s="18" t="n">
        <v>0.54308596</v>
      </c>
      <c r="L8" s="20" t="n">
        <v>0.28393319</v>
      </c>
      <c r="M8" s="18" t="n">
        <v>0</v>
      </c>
      <c r="N8" s="20" t="n">
        <v>0</v>
      </c>
      <c r="O8" s="18" t="n">
        <v>0</v>
      </c>
      <c r="P8" s="20" t="n">
        <v>0</v>
      </c>
      <c r="Q8" s="18" t="n">
        <v>2.98675476</v>
      </c>
      <c r="R8" s="20" t="n">
        <v>0.56298109</v>
      </c>
    </row>
    <row r="9" spans="1:18">
      <c r="A9" s="15" t="s">
        <v>567</v>
      </c>
      <c r="B9" s="17" t="n">
        <v>4752</v>
      </c>
      <c r="C9" s="18">
        <f>(3764.0/B9*100)</f>
        <v/>
      </c>
      <c r="D9" s="19" t="n">
        <v>988</v>
      </c>
      <c r="E9" s="18" t="n">
        <v>38.90780206</v>
      </c>
      <c r="F9" s="20" t="n">
        <v>1.39518313</v>
      </c>
      <c r="G9" s="18" t="n">
        <v>56.39878892</v>
      </c>
      <c r="H9" s="20" t="n">
        <v>1.44138172</v>
      </c>
      <c r="I9" s="18" t="n">
        <v>0</v>
      </c>
      <c r="J9" s="20" t="n">
        <v>0</v>
      </c>
      <c r="K9" s="18" t="n">
        <v>1.32900508</v>
      </c>
      <c r="L9" s="20" t="n">
        <v>0.35500568</v>
      </c>
      <c r="M9" s="18" t="n">
        <v>0.62188225</v>
      </c>
      <c r="N9" s="20" t="n">
        <v>0.18081959</v>
      </c>
      <c r="O9" s="18" t="n">
        <v>0</v>
      </c>
      <c r="P9" s="20" t="n">
        <v>0</v>
      </c>
      <c r="Q9" s="18" t="n">
        <v>2.74252169</v>
      </c>
      <c r="R9" s="20" t="n">
        <v>0.54170732</v>
      </c>
    </row>
    <row r="10" spans="1:18">
      <c r="A10" s="15" t="s">
        <v>568</v>
      </c>
      <c r="B10" s="17" t="n">
        <v>10022</v>
      </c>
      <c r="C10" s="18">
        <f>(7843.0/B10*100)</f>
        <v/>
      </c>
      <c r="D10" s="19" t="n">
        <v>2179</v>
      </c>
      <c r="E10" s="18" t="n">
        <v>37.11106563</v>
      </c>
      <c r="F10" s="20" t="n">
        <v>1.37778455</v>
      </c>
      <c r="G10" s="18" t="n">
        <v>61.10175309</v>
      </c>
      <c r="H10" s="20" t="n">
        <v>1.34331333</v>
      </c>
      <c r="I10" s="18" t="n">
        <v>0</v>
      </c>
      <c r="J10" s="20" t="n">
        <v>0</v>
      </c>
      <c r="K10" s="18" t="n">
        <v>1.13485803</v>
      </c>
      <c r="L10" s="20" t="n">
        <v>0.30397761</v>
      </c>
      <c r="M10" s="18" t="n">
        <v>0.00461734</v>
      </c>
      <c r="N10" s="20" t="n">
        <v>0.0045117</v>
      </c>
      <c r="O10" s="18" t="n">
        <v>0</v>
      </c>
      <c r="P10" s="20" t="n">
        <v>0</v>
      </c>
      <c r="Q10" s="18" t="n">
        <v>0.64770591</v>
      </c>
      <c r="R10" s="20" t="n">
        <v>0.22582589</v>
      </c>
    </row>
    <row r="11" spans="1:18">
      <c r="A11" s="15" t="s">
        <v>569</v>
      </c>
      <c r="B11" s="17" t="n">
        <v>3500</v>
      </c>
      <c r="C11" s="18">
        <f>(2799.0/B11*100)</f>
        <v/>
      </c>
      <c r="D11" s="19" t="n">
        <v>701</v>
      </c>
      <c r="E11" s="18" t="n">
        <v>68.40214880000001</v>
      </c>
      <c r="F11" s="20" t="n">
        <v>2.13542206</v>
      </c>
      <c r="G11" s="18" t="n">
        <v>23.25441066</v>
      </c>
      <c r="H11" s="20" t="n">
        <v>1.81936415</v>
      </c>
      <c r="I11" s="18" t="n">
        <v>0</v>
      </c>
      <c r="J11" s="20" t="n">
        <v>0</v>
      </c>
      <c r="K11" s="18" t="n">
        <v>2.99960129</v>
      </c>
      <c r="L11" s="20" t="n">
        <v>0.8660827800000001</v>
      </c>
      <c r="M11" s="18" t="n">
        <v>0.01534321</v>
      </c>
      <c r="N11" s="20" t="n">
        <v>0.01546954</v>
      </c>
      <c r="O11" s="18" t="n">
        <v>0</v>
      </c>
      <c r="P11" s="20" t="n">
        <v>0</v>
      </c>
      <c r="Q11" s="18" t="n">
        <v>5.32849604</v>
      </c>
      <c r="R11" s="20" t="n">
        <v>0.87480139</v>
      </c>
    </row>
    <row r="12" spans="1:18">
      <c r="A12" s="15" t="s">
        <v>570</v>
      </c>
      <c r="B12" s="17" t="n">
        <v>3422</v>
      </c>
      <c r="C12" s="18">
        <f>(2697.0/B12*100)</f>
        <v/>
      </c>
      <c r="D12" s="19" t="n">
        <v>725</v>
      </c>
      <c r="E12" s="18" t="n">
        <v>56.47108083</v>
      </c>
      <c r="F12" s="20" t="n">
        <v>2.41819865</v>
      </c>
      <c r="G12" s="18" t="n">
        <v>42.53905509</v>
      </c>
      <c r="H12" s="20" t="n">
        <v>2.38443936</v>
      </c>
      <c r="I12" s="18" t="n">
        <v>0</v>
      </c>
      <c r="J12" s="20" t="n">
        <v>0</v>
      </c>
      <c r="K12" s="18" t="n">
        <v>0.36777111</v>
      </c>
      <c r="L12" s="20" t="n">
        <v>0.21054441</v>
      </c>
      <c r="M12" s="18" t="n">
        <v>0</v>
      </c>
      <c r="N12" s="20" t="n">
        <v>0</v>
      </c>
      <c r="O12" s="18" t="n">
        <v>0</v>
      </c>
      <c r="P12" s="20" t="n">
        <v>0</v>
      </c>
      <c r="Q12" s="18" t="n">
        <v>0.62209296</v>
      </c>
      <c r="R12" s="20" t="n">
        <v>0.27619592</v>
      </c>
    </row>
    <row r="13" spans="1:18">
      <c r="A13" s="15" t="s">
        <v>571</v>
      </c>
      <c r="B13" s="17" t="n">
        <v>3602</v>
      </c>
      <c r="C13" s="18">
        <f>(2819.0/B13*100)</f>
        <v/>
      </c>
      <c r="D13" s="19" t="n">
        <v>783</v>
      </c>
      <c r="E13" s="18" t="n">
        <v>45.97396072</v>
      </c>
      <c r="F13" s="20" t="n">
        <v>2.02328123</v>
      </c>
      <c r="G13" s="18" t="n">
        <v>51.45372732</v>
      </c>
      <c r="H13" s="20" t="n">
        <v>2.23903844</v>
      </c>
      <c r="I13" s="18" t="n">
        <v>0</v>
      </c>
      <c r="J13" s="20" t="n">
        <v>0</v>
      </c>
      <c r="K13" s="18" t="n">
        <v>0.82809324</v>
      </c>
      <c r="L13" s="20" t="n">
        <v>0.34625869</v>
      </c>
      <c r="M13" s="18" t="n">
        <v>0</v>
      </c>
      <c r="N13" s="20" t="n">
        <v>0</v>
      </c>
      <c r="O13" s="18" t="n">
        <v>0</v>
      </c>
      <c r="P13" s="20" t="n">
        <v>0</v>
      </c>
      <c r="Q13" s="18" t="n">
        <v>1.74421873</v>
      </c>
      <c r="R13" s="20" t="n">
        <v>0.5608714299999999</v>
      </c>
    </row>
    <row r="14" spans="1:18">
      <c r="A14" s="15" t="s">
        <v>572</v>
      </c>
      <c r="B14" s="17" t="n">
        <v>2788</v>
      </c>
      <c r="C14" s="18">
        <f>(2147.0/B14*100)</f>
        <v/>
      </c>
      <c r="D14" s="19" t="n">
        <v>641</v>
      </c>
      <c r="E14" s="18" t="n">
        <v>37.27774318</v>
      </c>
      <c r="F14" s="20" t="n">
        <v>2.0120222</v>
      </c>
      <c r="G14" s="18" t="n">
        <v>61.30315332</v>
      </c>
      <c r="H14" s="20" t="n">
        <v>1.98672288</v>
      </c>
      <c r="I14" s="18" t="n">
        <v>0</v>
      </c>
      <c r="J14" s="20" t="n">
        <v>0</v>
      </c>
      <c r="K14" s="18" t="n">
        <v>0.9125594299999999</v>
      </c>
      <c r="L14" s="20" t="n">
        <v>0.44454134</v>
      </c>
      <c r="M14" s="18" t="n">
        <v>0</v>
      </c>
      <c r="N14" s="20" t="n">
        <v>0</v>
      </c>
      <c r="O14" s="18" t="n">
        <v>0</v>
      </c>
      <c r="P14" s="20" t="n">
        <v>0</v>
      </c>
      <c r="Q14" s="18" t="n">
        <v>0.50654406</v>
      </c>
      <c r="R14" s="20" t="n">
        <v>0.2517444</v>
      </c>
    </row>
    <row r="15" spans="1:18">
      <c r="A15" s="15" t="s">
        <v>573</v>
      </c>
      <c r="B15" s="17" t="n">
        <v>2863</v>
      </c>
      <c r="C15" s="18">
        <f>(2270.0/B15*100)</f>
        <v/>
      </c>
      <c r="D15" s="19" t="n">
        <v>593</v>
      </c>
      <c r="E15" s="18" t="n">
        <v>33.01477999</v>
      </c>
      <c r="F15" s="20" t="n">
        <v>2.22160179</v>
      </c>
      <c r="G15" s="18" t="n">
        <v>66.6223202</v>
      </c>
      <c r="H15" s="20" t="n">
        <v>2.19059765</v>
      </c>
      <c r="I15" s="18" t="n">
        <v>0</v>
      </c>
      <c r="J15" s="20" t="n">
        <v>0</v>
      </c>
      <c r="K15" s="18" t="n">
        <v>0.18146643</v>
      </c>
      <c r="L15" s="20" t="n">
        <v>0.1716007</v>
      </c>
      <c r="M15" s="18" t="n">
        <v>0</v>
      </c>
      <c r="N15" s="20" t="n">
        <v>0</v>
      </c>
      <c r="O15" s="18" t="n">
        <v>0</v>
      </c>
      <c r="P15" s="20" t="n">
        <v>0</v>
      </c>
      <c r="Q15" s="18" t="n">
        <v>0.18143339</v>
      </c>
      <c r="R15" s="20" t="n">
        <v>0.18588886</v>
      </c>
    </row>
    <row r="16" spans="1:18">
      <c r="A16" s="15" t="s">
        <v>574</v>
      </c>
      <c r="B16" s="17" t="n">
        <v>3111</v>
      </c>
      <c r="C16" s="18">
        <f>(2412.0/B16*100)</f>
        <v/>
      </c>
      <c r="D16" s="19" t="n">
        <v>699</v>
      </c>
      <c r="E16" s="18" t="n">
        <v>49.36799554</v>
      </c>
      <c r="F16" s="20" t="n">
        <v>2.1455721</v>
      </c>
      <c r="G16" s="18" t="n">
        <v>45.980003</v>
      </c>
      <c r="H16" s="20" t="n">
        <v>2.12959987</v>
      </c>
      <c r="I16" s="18" t="n">
        <v>0</v>
      </c>
      <c r="J16" s="20" t="n">
        <v>0</v>
      </c>
      <c r="K16" s="18" t="n">
        <v>2.09592753</v>
      </c>
      <c r="L16" s="20" t="n">
        <v>0.55617482</v>
      </c>
      <c r="M16" s="18" t="n">
        <v>0</v>
      </c>
      <c r="N16" s="20" t="n">
        <v>0</v>
      </c>
      <c r="O16" s="18" t="n">
        <v>0</v>
      </c>
      <c r="P16" s="20" t="n">
        <v>0</v>
      </c>
      <c r="Q16" s="18" t="n">
        <v>2.55607393</v>
      </c>
      <c r="R16" s="20" t="n">
        <v>0.59792915</v>
      </c>
    </row>
    <row r="17" spans="1:18">
      <c r="A17" s="15" t="s">
        <v>575</v>
      </c>
      <c r="B17" s="17" t="n">
        <v>3197</v>
      </c>
      <c r="C17" s="18">
        <f>(2518.0/B17*100)</f>
        <v/>
      </c>
      <c r="D17" s="19" t="n">
        <v>679</v>
      </c>
      <c r="E17" s="18" t="n">
        <v>42.68633315</v>
      </c>
      <c r="F17" s="20" t="n">
        <v>2.00559715</v>
      </c>
      <c r="G17" s="18" t="n">
        <v>53.79683337</v>
      </c>
      <c r="H17" s="20" t="n">
        <v>1.89210622</v>
      </c>
      <c r="I17" s="18" t="n">
        <v>0</v>
      </c>
      <c r="J17" s="20" t="n">
        <v>0</v>
      </c>
      <c r="K17" s="18" t="n">
        <v>0.81501486</v>
      </c>
      <c r="L17" s="20" t="n">
        <v>0.3984268</v>
      </c>
      <c r="M17" s="18" t="n">
        <v>0</v>
      </c>
      <c r="N17" s="20" t="n">
        <v>0</v>
      </c>
      <c r="O17" s="18" t="n">
        <v>0</v>
      </c>
      <c r="P17" s="20" t="n">
        <v>0</v>
      </c>
      <c r="Q17" s="18" t="n">
        <v>2.70181863</v>
      </c>
      <c r="R17" s="20" t="n">
        <v>0.59682094</v>
      </c>
    </row>
    <row r="18" spans="1:18">
      <c r="A18" s="15" t="s">
        <v>576</v>
      </c>
      <c r="B18" s="17" t="n">
        <v>2706</v>
      </c>
      <c r="C18" s="18">
        <f>(2094.0/B18*100)</f>
        <v/>
      </c>
      <c r="D18" s="19" t="n">
        <v>612</v>
      </c>
      <c r="E18" s="18" t="n">
        <v>49.3825383</v>
      </c>
      <c r="F18" s="20" t="n">
        <v>2.7747734</v>
      </c>
      <c r="G18" s="18" t="n">
        <v>46.69117197</v>
      </c>
      <c r="H18" s="20" t="n">
        <v>2.55272134</v>
      </c>
      <c r="I18" s="18" t="n">
        <v>0</v>
      </c>
      <c r="J18" s="20" t="n">
        <v>0</v>
      </c>
      <c r="K18" s="18" t="n">
        <v>1.9560292</v>
      </c>
      <c r="L18" s="20" t="n">
        <v>0.60947384</v>
      </c>
      <c r="M18" s="18" t="n">
        <v>0</v>
      </c>
      <c r="N18" s="20" t="n">
        <v>0</v>
      </c>
      <c r="O18" s="18" t="n">
        <v>0</v>
      </c>
      <c r="P18" s="20" t="n">
        <v>0</v>
      </c>
      <c r="Q18" s="18" t="n">
        <v>1.97026054</v>
      </c>
      <c r="R18" s="20" t="n">
        <v>0.58787447</v>
      </c>
    </row>
    <row r="19" spans="1:18">
      <c r="A19" s="15" t="s">
        <v>577</v>
      </c>
      <c r="B19" s="17" t="n">
        <v>2850</v>
      </c>
      <c r="C19" s="18">
        <f>(2254.0/B19*100)</f>
        <v/>
      </c>
      <c r="D19" s="19" t="n">
        <v>596</v>
      </c>
      <c r="E19" s="18" t="n">
        <v>54.67170294</v>
      </c>
      <c r="F19" s="20" t="n">
        <v>2.5548921</v>
      </c>
      <c r="G19" s="18" t="n">
        <v>42.06658272</v>
      </c>
      <c r="H19" s="20" t="n">
        <v>2.43649826</v>
      </c>
      <c r="I19" s="18" t="n">
        <v>0</v>
      </c>
      <c r="J19" s="20" t="n">
        <v>0</v>
      </c>
      <c r="K19" s="18" t="n">
        <v>0.76870493</v>
      </c>
      <c r="L19" s="20" t="n">
        <v>0.315153</v>
      </c>
      <c r="M19" s="18" t="n">
        <v>0</v>
      </c>
      <c r="N19" s="20" t="n">
        <v>0</v>
      </c>
      <c r="O19" s="18" t="n">
        <v>0</v>
      </c>
      <c r="P19" s="20" t="n">
        <v>0</v>
      </c>
      <c r="Q19" s="18" t="n">
        <v>2.49300941</v>
      </c>
      <c r="R19" s="20" t="n">
        <v>0.79840278</v>
      </c>
    </row>
    <row r="20" spans="1:18">
      <c r="A20" s="15" t="s">
        <v>578</v>
      </c>
      <c r="B20" s="17" t="n">
        <v>1741</v>
      </c>
      <c r="C20" s="18">
        <f>(1364.0/B20*100)</f>
        <v/>
      </c>
      <c r="D20" s="19" t="n">
        <v>377</v>
      </c>
      <c r="E20" s="18" t="n">
        <v>53.2817939</v>
      </c>
      <c r="F20" s="20" t="n">
        <v>2.4175523</v>
      </c>
      <c r="G20" s="18" t="n">
        <v>43.42138939</v>
      </c>
      <c r="H20" s="20" t="n">
        <v>2.48532996</v>
      </c>
      <c r="I20" s="18" t="n">
        <v>0</v>
      </c>
      <c r="J20" s="20" t="n">
        <v>0</v>
      </c>
      <c r="K20" s="18" t="n">
        <v>1.61919663</v>
      </c>
      <c r="L20" s="20" t="n">
        <v>0.6651906</v>
      </c>
      <c r="M20" s="18" t="n">
        <v>0.40889865</v>
      </c>
      <c r="N20" s="20" t="n">
        <v>0.39454636</v>
      </c>
      <c r="O20" s="18" t="n">
        <v>0</v>
      </c>
      <c r="P20" s="20" t="n">
        <v>0</v>
      </c>
      <c r="Q20" s="18" t="n">
        <v>1.26872143</v>
      </c>
      <c r="R20" s="20" t="n">
        <v>0.57557627</v>
      </c>
    </row>
    <row r="21" spans="1:18">
      <c r="A21" s="15" t="s">
        <v>579</v>
      </c>
      <c r="B21" s="17" t="n">
        <v>2833</v>
      </c>
      <c r="C21" s="18">
        <f>(2227.0/B21*100)</f>
        <v/>
      </c>
      <c r="D21" s="19" t="n">
        <v>606</v>
      </c>
      <c r="E21" s="18" t="n">
        <v>44.48833651</v>
      </c>
      <c r="F21" s="20" t="n">
        <v>2.63441804</v>
      </c>
      <c r="G21" s="18" t="n">
        <v>53.53572214</v>
      </c>
      <c r="H21" s="20" t="n">
        <v>2.74914642</v>
      </c>
      <c r="I21" s="18" t="n">
        <v>0</v>
      </c>
      <c r="J21" s="20" t="n">
        <v>0</v>
      </c>
      <c r="K21" s="18" t="n">
        <v>0.97219963</v>
      </c>
      <c r="L21" s="20" t="n">
        <v>0.38867251</v>
      </c>
      <c r="M21" s="18" t="n">
        <v>0</v>
      </c>
      <c r="N21" s="20" t="n">
        <v>0</v>
      </c>
      <c r="O21" s="18" t="n">
        <v>0</v>
      </c>
      <c r="P21" s="20" t="n">
        <v>0</v>
      </c>
      <c r="Q21" s="18" t="n">
        <v>1.00374172</v>
      </c>
      <c r="R21" s="20" t="n">
        <v>0.4976748</v>
      </c>
    </row>
    <row r="22" spans="1:18">
      <c r="A22" s="15" t="s">
        <v>580</v>
      </c>
      <c r="B22" s="17" t="n">
        <v>3667</v>
      </c>
      <c r="C22" s="18">
        <f>(3005.0/B22*100)</f>
        <v/>
      </c>
      <c r="D22" s="19" t="n">
        <v>662</v>
      </c>
      <c r="E22" s="18" t="n">
        <v>53.50092729</v>
      </c>
      <c r="F22" s="20" t="n">
        <v>2.01266499</v>
      </c>
      <c r="G22" s="18" t="n">
        <v>41.8579981</v>
      </c>
      <c r="H22" s="20" t="n">
        <v>2.21400413</v>
      </c>
      <c r="I22" s="18" t="n">
        <v>0</v>
      </c>
      <c r="J22" s="20" t="n">
        <v>0</v>
      </c>
      <c r="K22" s="18" t="n">
        <v>1.9114685</v>
      </c>
      <c r="L22" s="20" t="n">
        <v>0.62208606</v>
      </c>
      <c r="M22" s="18" t="n">
        <v>0</v>
      </c>
      <c r="N22" s="20" t="n">
        <v>0</v>
      </c>
      <c r="O22" s="18" t="n">
        <v>0</v>
      </c>
      <c r="P22" s="20" t="n">
        <v>0</v>
      </c>
      <c r="Q22" s="18" t="n">
        <v>2.72960612</v>
      </c>
      <c r="R22" s="20" t="n">
        <v>0.75409654</v>
      </c>
    </row>
    <row r="23" spans="1:18">
      <c r="A23" s="15" t="s">
        <v>581</v>
      </c>
      <c r="B23" s="17" t="n">
        <v>5792</v>
      </c>
      <c r="C23" s="18">
        <f>(4553.0/B23*100)</f>
        <v/>
      </c>
      <c r="D23" s="19" t="n">
        <v>1239</v>
      </c>
      <c r="E23" s="18" t="n">
        <v>48.92994321</v>
      </c>
      <c r="F23" s="20" t="n">
        <v>2.40108794</v>
      </c>
      <c r="G23" s="18" t="n">
        <v>45.98107255</v>
      </c>
      <c r="H23" s="20" t="n">
        <v>2.35923721</v>
      </c>
      <c r="I23" s="18" t="n">
        <v>0</v>
      </c>
      <c r="J23" s="20" t="n">
        <v>0</v>
      </c>
      <c r="K23" s="18" t="n">
        <v>1.48880727</v>
      </c>
      <c r="L23" s="20" t="n">
        <v>0.5056377399999999</v>
      </c>
      <c r="M23" s="18" t="n">
        <v>0</v>
      </c>
      <c r="N23" s="20" t="n">
        <v>0</v>
      </c>
      <c r="O23" s="18" t="n">
        <v>0</v>
      </c>
      <c r="P23" s="20" t="n">
        <v>0</v>
      </c>
      <c r="Q23" s="18" t="n">
        <v>3.60017696</v>
      </c>
      <c r="R23" s="20" t="n">
        <v>0.85162611</v>
      </c>
    </row>
    <row r="24" spans="1:18">
      <c r="A24" s="15" t="s">
        <v>582</v>
      </c>
      <c r="B24" s="17" t="n">
        <v>3309</v>
      </c>
      <c r="C24" s="18">
        <f>(2618.0/B24*100)</f>
        <v/>
      </c>
      <c r="D24" s="19" t="n">
        <v>691</v>
      </c>
      <c r="E24" s="18" t="n">
        <v>47.02089772</v>
      </c>
      <c r="F24" s="20" t="n">
        <v>1.73335468</v>
      </c>
      <c r="G24" s="18" t="n">
        <v>51.77885201</v>
      </c>
      <c r="H24" s="20" t="n">
        <v>1.65127552</v>
      </c>
      <c r="I24" s="18" t="n">
        <v>0</v>
      </c>
      <c r="J24" s="20" t="n">
        <v>0</v>
      </c>
      <c r="K24" s="18" t="n">
        <v>0.15568503</v>
      </c>
      <c r="L24" s="20" t="n">
        <v>0.15637872</v>
      </c>
      <c r="M24" s="18" t="n">
        <v>0</v>
      </c>
      <c r="N24" s="20" t="n">
        <v>0</v>
      </c>
      <c r="O24" s="18" t="n">
        <v>0</v>
      </c>
      <c r="P24" s="20" t="n">
        <v>0</v>
      </c>
      <c r="Q24" s="18" t="n">
        <v>1.04456524</v>
      </c>
      <c r="R24" s="20" t="n">
        <v>0.32264215</v>
      </c>
    </row>
    <row r="25" spans="1:18">
      <c r="A25" s="15" t="s">
        <v>583</v>
      </c>
      <c r="B25" s="17" t="n">
        <v>2669</v>
      </c>
      <c r="C25" s="18">
        <f>(2054.0/B25*100)</f>
        <v/>
      </c>
      <c r="D25" s="19" t="n">
        <v>615</v>
      </c>
      <c r="E25" s="18" t="n">
        <v>38.29014955</v>
      </c>
      <c r="F25" s="20" t="n">
        <v>2.02642726</v>
      </c>
      <c r="G25" s="18" t="n">
        <v>61.24107373</v>
      </c>
      <c r="H25" s="20" t="n">
        <v>2.07595261</v>
      </c>
      <c r="I25" s="18" t="n">
        <v>0</v>
      </c>
      <c r="J25" s="20" t="n">
        <v>0</v>
      </c>
      <c r="K25" s="18" t="n">
        <v>0.15976891</v>
      </c>
      <c r="L25" s="20" t="n">
        <v>0.16043107</v>
      </c>
      <c r="M25" s="18" t="n">
        <v>0</v>
      </c>
      <c r="N25" s="20" t="n">
        <v>0</v>
      </c>
      <c r="O25" s="18" t="n">
        <v>0</v>
      </c>
      <c r="P25" s="20" t="n">
        <v>0</v>
      </c>
      <c r="Q25" s="18" t="n">
        <v>0.30900781</v>
      </c>
      <c r="R25" s="20" t="n">
        <v>0.21795299</v>
      </c>
    </row>
    <row r="26" spans="1:18">
      <c r="A26" s="15" t="s">
        <v>584</v>
      </c>
      <c r="B26" s="17" t="n">
        <v>2419</v>
      </c>
      <c r="C26" s="18">
        <f>(1893.0/B26*100)</f>
        <v/>
      </c>
      <c r="D26" s="19" t="n">
        <v>526</v>
      </c>
      <c r="E26" s="18" t="n">
        <v>47.1353044</v>
      </c>
      <c r="F26" s="20" t="n">
        <v>2.25430512</v>
      </c>
      <c r="G26" s="18" t="n">
        <v>50.83342197</v>
      </c>
      <c r="H26" s="20" t="n">
        <v>2.27950143</v>
      </c>
      <c r="I26" s="18" t="n">
        <v>0</v>
      </c>
      <c r="J26" s="20" t="n">
        <v>0</v>
      </c>
      <c r="K26" s="18" t="n">
        <v>1.20857311</v>
      </c>
      <c r="L26" s="20" t="n">
        <v>0.59193111</v>
      </c>
      <c r="M26" s="18" t="n">
        <v>0.13102887</v>
      </c>
      <c r="N26" s="20" t="n">
        <v>0.13328519</v>
      </c>
      <c r="O26" s="18" t="n">
        <v>0</v>
      </c>
      <c r="P26" s="20" t="n">
        <v>0</v>
      </c>
      <c r="Q26" s="18" t="n">
        <v>0.69167164</v>
      </c>
      <c r="R26" s="20" t="n">
        <v>0.48421963</v>
      </c>
    </row>
    <row r="27" spans="1:18">
      <c r="A27" s="15" t="s">
        <v>585</v>
      </c>
      <c r="B27" s="17" t="n">
        <v>2683</v>
      </c>
      <c r="C27" s="18">
        <f>(2120.0/B27*100)</f>
        <v/>
      </c>
      <c r="D27" s="19" t="n">
        <v>563</v>
      </c>
      <c r="E27" s="18" t="n">
        <v>51.55179219</v>
      </c>
      <c r="F27" s="20" t="n">
        <v>1.8074131</v>
      </c>
      <c r="G27" s="18" t="n">
        <v>44.54771768</v>
      </c>
      <c r="H27" s="20" t="n">
        <v>1.94359369</v>
      </c>
      <c r="I27" s="18" t="n">
        <v>0</v>
      </c>
      <c r="J27" s="20" t="n">
        <v>0</v>
      </c>
      <c r="K27" s="18" t="n">
        <v>1.05530001</v>
      </c>
      <c r="L27" s="20" t="n">
        <v>0.42096506</v>
      </c>
      <c r="M27" s="18" t="n">
        <v>0</v>
      </c>
      <c r="N27" s="20" t="n">
        <v>0</v>
      </c>
      <c r="O27" s="18" t="n">
        <v>0</v>
      </c>
      <c r="P27" s="20" t="n">
        <v>0</v>
      </c>
      <c r="Q27" s="18" t="n">
        <v>2.84519011</v>
      </c>
      <c r="R27" s="20" t="n">
        <v>0.65285682</v>
      </c>
    </row>
    <row r="28" spans="1:18">
      <c r="A28" s="15" t="s">
        <v>586</v>
      </c>
      <c r="B28" s="17" t="n">
        <v>3803</v>
      </c>
      <c r="C28" s="18">
        <f>(3056.0/B28*100)</f>
        <v/>
      </c>
      <c r="D28" s="19" t="n">
        <v>747</v>
      </c>
      <c r="E28" s="18" t="n">
        <v>71.93808453</v>
      </c>
      <c r="F28" s="20" t="n">
        <v>2.08153652</v>
      </c>
      <c r="G28" s="18" t="n">
        <v>24.83726853</v>
      </c>
      <c r="H28" s="20" t="n">
        <v>1.77189503</v>
      </c>
      <c r="I28" s="18" t="n">
        <v>0</v>
      </c>
      <c r="J28" s="20" t="n">
        <v>0</v>
      </c>
      <c r="K28" s="18" t="n">
        <v>1.87810625</v>
      </c>
      <c r="L28" s="20" t="n">
        <v>0.91075599</v>
      </c>
      <c r="M28" s="18" t="n">
        <v>0.12087864</v>
      </c>
      <c r="N28" s="20" t="n">
        <v>0.12101093</v>
      </c>
      <c r="O28" s="18" t="n">
        <v>0</v>
      </c>
      <c r="P28" s="20" t="n">
        <v>0</v>
      </c>
      <c r="Q28" s="18" t="n">
        <v>1.22566205</v>
      </c>
      <c r="R28" s="20" t="n">
        <v>0.36077216</v>
      </c>
    </row>
    <row r="29" spans="1:18">
      <c r="A29" s="15" t="s">
        <v>587</v>
      </c>
      <c r="B29" s="17" t="n">
        <v>2700</v>
      </c>
      <c r="C29" s="18">
        <f>(2142.0/B29*100)</f>
        <v/>
      </c>
      <c r="D29" s="19" t="n">
        <v>558</v>
      </c>
      <c r="E29" s="18" t="n">
        <v>37.47416713</v>
      </c>
      <c r="F29" s="20" t="n">
        <v>2.2101569</v>
      </c>
      <c r="G29" s="18" t="n">
        <v>62.32498658</v>
      </c>
      <c r="H29" s="20" t="n">
        <v>2.23107103</v>
      </c>
      <c r="I29" s="18" t="n">
        <v>0</v>
      </c>
      <c r="J29" s="20" t="n">
        <v>0</v>
      </c>
      <c r="K29" s="18" t="n">
        <v>0</v>
      </c>
      <c r="L29" s="20" t="n">
        <v>0</v>
      </c>
      <c r="M29" s="18" t="n">
        <v>0</v>
      </c>
      <c r="N29" s="20" t="n">
        <v>0</v>
      </c>
      <c r="O29" s="18" t="n">
        <v>0</v>
      </c>
      <c r="P29" s="20" t="n">
        <v>0</v>
      </c>
      <c r="Q29" s="18" t="n">
        <v>0.2008463</v>
      </c>
      <c r="R29" s="20" t="n">
        <v>0.20383688</v>
      </c>
    </row>
    <row r="30" spans="1:18">
      <c r="A30" s="15" t="s">
        <v>588</v>
      </c>
      <c r="B30" s="17" t="n">
        <v>2257</v>
      </c>
      <c r="C30" s="18">
        <f>(1800.0/B30*100)</f>
        <v/>
      </c>
      <c r="D30" s="19" t="n">
        <v>457</v>
      </c>
      <c r="E30" s="18" t="n">
        <v>38.51639501</v>
      </c>
      <c r="F30" s="20" t="n">
        <v>2.43057473</v>
      </c>
      <c r="G30" s="18" t="n">
        <v>57.95771212</v>
      </c>
      <c r="H30" s="20" t="n">
        <v>2.53532959</v>
      </c>
      <c r="I30" s="18" t="n">
        <v>0</v>
      </c>
      <c r="J30" s="20" t="n">
        <v>0</v>
      </c>
      <c r="K30" s="18" t="n">
        <v>1.61002247</v>
      </c>
      <c r="L30" s="20" t="n">
        <v>0.64843428</v>
      </c>
      <c r="M30" s="18" t="n">
        <v>0</v>
      </c>
      <c r="N30" s="20" t="n">
        <v>0</v>
      </c>
      <c r="O30" s="18" t="n">
        <v>0</v>
      </c>
      <c r="P30" s="20" t="n">
        <v>0</v>
      </c>
      <c r="Q30" s="18" t="n">
        <v>1.9158704</v>
      </c>
      <c r="R30" s="20" t="n">
        <v>0.60391353</v>
      </c>
    </row>
    <row r="31" spans="1:18">
      <c r="A31" s="15" t="s">
        <v>589</v>
      </c>
      <c r="B31" s="17" t="n">
        <v>2706</v>
      </c>
      <c r="C31" s="18">
        <f>(2097.0/B31*100)</f>
        <v/>
      </c>
      <c r="D31" s="19" t="n">
        <v>609</v>
      </c>
      <c r="E31" s="18" t="n">
        <v>43.77676579</v>
      </c>
      <c r="F31" s="20" t="n">
        <v>1.98964931</v>
      </c>
      <c r="G31" s="18" t="n">
        <v>52.11834558</v>
      </c>
      <c r="H31" s="20" t="n">
        <v>2.03665566</v>
      </c>
      <c r="I31" s="18" t="n">
        <v>0</v>
      </c>
      <c r="J31" s="20" t="n">
        <v>0</v>
      </c>
      <c r="K31" s="18" t="n">
        <v>1.5445033</v>
      </c>
      <c r="L31" s="20" t="n">
        <v>0.49995559</v>
      </c>
      <c r="M31" s="18" t="n">
        <v>0</v>
      </c>
      <c r="N31" s="20" t="n">
        <v>0</v>
      </c>
      <c r="O31" s="18" t="n">
        <v>0</v>
      </c>
      <c r="P31" s="20" t="n">
        <v>0</v>
      </c>
      <c r="Q31" s="18" t="n">
        <v>2.56038533</v>
      </c>
      <c r="R31" s="20" t="n">
        <v>0.60045551</v>
      </c>
    </row>
    <row r="32" spans="1:18">
      <c r="A32" s="15" t="s">
        <v>590</v>
      </c>
      <c r="B32" s="17" t="n">
        <v>2209</v>
      </c>
      <c r="C32" s="18">
        <f>(1707.0/B32*100)</f>
        <v/>
      </c>
      <c r="D32" s="19" t="n">
        <v>502</v>
      </c>
      <c r="E32" s="18" t="n">
        <v>50.05295481</v>
      </c>
      <c r="F32" s="20" t="n">
        <v>2.44636015</v>
      </c>
      <c r="G32" s="18" t="n">
        <v>48.7217634</v>
      </c>
      <c r="H32" s="20" t="n">
        <v>2.38498158</v>
      </c>
      <c r="I32" s="18" t="n">
        <v>0</v>
      </c>
      <c r="J32" s="20" t="n">
        <v>0</v>
      </c>
      <c r="K32" s="18" t="n">
        <v>0.40436868</v>
      </c>
      <c r="L32" s="20" t="n">
        <v>0.29604547</v>
      </c>
      <c r="M32" s="18" t="n">
        <v>0</v>
      </c>
      <c r="N32" s="20" t="n">
        <v>0</v>
      </c>
      <c r="O32" s="18" t="n">
        <v>0</v>
      </c>
      <c r="P32" s="20" t="n">
        <v>0</v>
      </c>
      <c r="Q32" s="18" t="n">
        <v>0.82091311</v>
      </c>
      <c r="R32" s="20" t="n">
        <v>0.37793157</v>
      </c>
    </row>
    <row r="33" spans="1:18">
      <c r="A33" s="15" t="s">
        <v>591</v>
      </c>
      <c r="B33" s="17" t="n">
        <v>3651</v>
      </c>
      <c r="C33" s="18">
        <f>(2894.0/B33*100)</f>
        <v/>
      </c>
      <c r="D33" s="19" t="n">
        <v>757</v>
      </c>
      <c r="E33" s="18" t="n">
        <v>56.60865101</v>
      </c>
      <c r="F33" s="20" t="n">
        <v>2.09793674</v>
      </c>
      <c r="G33" s="18" t="n">
        <v>40.08815352</v>
      </c>
      <c r="H33" s="20" t="n">
        <v>2.07691015</v>
      </c>
      <c r="I33" s="18" t="n">
        <v>0</v>
      </c>
      <c r="J33" s="20" t="n">
        <v>0</v>
      </c>
      <c r="K33" s="18" t="n">
        <v>1.31311333</v>
      </c>
      <c r="L33" s="20" t="n">
        <v>0.4734265</v>
      </c>
      <c r="M33" s="18" t="n">
        <v>0</v>
      </c>
      <c r="N33" s="20" t="n">
        <v>0</v>
      </c>
      <c r="O33" s="18" t="n">
        <v>0</v>
      </c>
      <c r="P33" s="20" t="n">
        <v>0</v>
      </c>
      <c r="Q33" s="18" t="n">
        <v>1.99008214</v>
      </c>
      <c r="R33" s="20" t="n">
        <v>0.66525137</v>
      </c>
    </row>
    <row r="34" spans="1:18">
      <c r="A34" s="15" t="s">
        <v>592</v>
      </c>
      <c r="B34" s="17" t="n">
        <v>3035</v>
      </c>
      <c r="C34" s="18">
        <f>(2439.0/B34*100)</f>
        <v/>
      </c>
      <c r="D34" s="19" t="n">
        <v>596</v>
      </c>
      <c r="E34" s="18" t="n">
        <v>64.30550408000001</v>
      </c>
      <c r="F34" s="20" t="n">
        <v>2.03726731</v>
      </c>
      <c r="G34" s="18" t="n">
        <v>33.04038017</v>
      </c>
      <c r="H34" s="20" t="n">
        <v>2.18957171</v>
      </c>
      <c r="I34" s="18" t="n">
        <v>0</v>
      </c>
      <c r="J34" s="20" t="n">
        <v>0</v>
      </c>
      <c r="K34" s="18" t="n">
        <v>1.52750418</v>
      </c>
      <c r="L34" s="20" t="n">
        <v>0.55790937</v>
      </c>
      <c r="M34" s="18" t="n">
        <v>0.31671431</v>
      </c>
      <c r="N34" s="20" t="n">
        <v>0.20545326</v>
      </c>
      <c r="O34" s="18" t="n">
        <v>0</v>
      </c>
      <c r="P34" s="20" t="n">
        <v>0</v>
      </c>
      <c r="Q34" s="18" t="n">
        <v>0.80989726</v>
      </c>
      <c r="R34" s="20" t="n">
        <v>0.34667229</v>
      </c>
    </row>
    <row r="35" spans="1:18">
      <c r="A35" s="15" t="s">
        <v>593</v>
      </c>
      <c r="B35" s="17" t="n">
        <v>2901</v>
      </c>
      <c r="C35" s="18">
        <f>(2275.0/B35*100)</f>
        <v/>
      </c>
      <c r="D35" s="19" t="n">
        <v>626</v>
      </c>
      <c r="E35" s="18" t="n">
        <v>45.6653852</v>
      </c>
      <c r="F35" s="20" t="n">
        <v>2.6807361</v>
      </c>
      <c r="G35" s="18" t="n">
        <v>51.88186055</v>
      </c>
      <c r="H35" s="20" t="n">
        <v>2.69428211</v>
      </c>
      <c r="I35" s="18" t="n">
        <v>0</v>
      </c>
      <c r="J35" s="20" t="n">
        <v>0</v>
      </c>
      <c r="K35" s="18" t="n">
        <v>0.07436362000000001</v>
      </c>
      <c r="L35" s="20" t="n">
        <v>0.07503650000000001</v>
      </c>
      <c r="M35" s="18" t="n">
        <v>0</v>
      </c>
      <c r="N35" s="20" t="n">
        <v>0</v>
      </c>
      <c r="O35" s="18" t="n">
        <v>0</v>
      </c>
      <c r="P35" s="20" t="n">
        <v>0</v>
      </c>
      <c r="Q35" s="18" t="n">
        <v>2.37839062</v>
      </c>
      <c r="R35" s="20" t="n">
        <v>0.67871495</v>
      </c>
    </row>
    <row r="36" spans="1:18">
      <c r="A36" s="15" t="s">
        <v>594</v>
      </c>
      <c r="B36" s="17" t="n">
        <v>3404</v>
      </c>
      <c r="C36" s="18">
        <f>(2703.0/B36*100)</f>
        <v/>
      </c>
      <c r="D36" s="19" t="n">
        <v>701</v>
      </c>
      <c r="E36" s="18" t="n">
        <v>47.14571246</v>
      </c>
      <c r="F36" s="20" t="n">
        <v>2.13672199</v>
      </c>
      <c r="G36" s="18" t="n">
        <v>50.2683509</v>
      </c>
      <c r="H36" s="20" t="n">
        <v>2.08404358</v>
      </c>
      <c r="I36" s="18" t="n">
        <v>0</v>
      </c>
      <c r="J36" s="20" t="n">
        <v>0</v>
      </c>
      <c r="K36" s="18" t="n">
        <v>0.6437860399999999</v>
      </c>
      <c r="L36" s="20" t="n">
        <v>0.41127734</v>
      </c>
      <c r="M36" s="18" t="n">
        <v>0.14440898</v>
      </c>
      <c r="N36" s="20" t="n">
        <v>0.13930506</v>
      </c>
      <c r="O36" s="18" t="n">
        <v>0</v>
      </c>
      <c r="P36" s="20" t="n">
        <v>0</v>
      </c>
      <c r="Q36" s="18" t="n">
        <v>1.79774162</v>
      </c>
      <c r="R36" s="20" t="n">
        <v>0.51483768</v>
      </c>
    </row>
    <row r="37" spans="1:18">
      <c r="A37" s="15" t="s">
        <v>595</v>
      </c>
      <c r="B37" s="17" t="n">
        <v>2731</v>
      </c>
      <c r="C37" s="18">
        <f>(2195.0/B37*100)</f>
        <v/>
      </c>
      <c r="D37" s="19" t="n">
        <v>536</v>
      </c>
      <c r="E37" s="18" t="n">
        <v>48.10843589</v>
      </c>
      <c r="F37" s="20" t="n">
        <v>2.20008094</v>
      </c>
      <c r="G37" s="18" t="n">
        <v>48.27409221</v>
      </c>
      <c r="H37" s="20" t="n">
        <v>2.23466145</v>
      </c>
      <c r="I37" s="18" t="n">
        <v>0</v>
      </c>
      <c r="J37" s="20" t="n">
        <v>0</v>
      </c>
      <c r="K37" s="18" t="n">
        <v>1.55252209</v>
      </c>
      <c r="L37" s="20" t="n">
        <v>0.53966194</v>
      </c>
      <c r="M37" s="18" t="n">
        <v>0</v>
      </c>
      <c r="N37" s="20" t="n">
        <v>0</v>
      </c>
      <c r="O37" s="18" t="n">
        <v>0</v>
      </c>
      <c r="P37" s="20" t="n">
        <v>0</v>
      </c>
      <c r="Q37" s="18" t="n">
        <v>2.06494981</v>
      </c>
      <c r="R37" s="20" t="n">
        <v>0.65146467</v>
      </c>
    </row>
    <row r="38" spans="1:18">
      <c r="A38" s="15" t="s">
        <v>596</v>
      </c>
      <c r="B38" s="17" t="n">
        <v>2807</v>
      </c>
      <c r="C38" s="18">
        <f>(2217.0/B38*100)</f>
        <v/>
      </c>
      <c r="D38" s="19" t="n">
        <v>590</v>
      </c>
      <c r="E38" s="18" t="n">
        <v>48.68957209</v>
      </c>
      <c r="F38" s="20" t="n">
        <v>2.34134782</v>
      </c>
      <c r="G38" s="18" t="n">
        <v>46.96410542</v>
      </c>
      <c r="H38" s="20" t="n">
        <v>2.42255663</v>
      </c>
      <c r="I38" s="18" t="n">
        <v>0</v>
      </c>
      <c r="J38" s="20" t="n">
        <v>0</v>
      </c>
      <c r="K38" s="18" t="n">
        <v>0.86750242</v>
      </c>
      <c r="L38" s="20" t="n">
        <v>0.36141352</v>
      </c>
      <c r="M38" s="18" t="n">
        <v>1.43101762</v>
      </c>
      <c r="N38" s="20" t="n">
        <v>0.47628038</v>
      </c>
      <c r="O38" s="18" t="n">
        <v>0</v>
      </c>
      <c r="P38" s="20" t="n">
        <v>0</v>
      </c>
      <c r="Q38" s="18" t="n">
        <v>2.04780245</v>
      </c>
      <c r="R38" s="20" t="n">
        <v>0.64623609</v>
      </c>
    </row>
    <row r="39" spans="1:18">
      <c r="A39" s="15" t="s">
        <v>597</v>
      </c>
      <c r="B39" s="17" t="n">
        <v>2938</v>
      </c>
      <c r="C39" s="18">
        <f>(2309.0/B39*100)</f>
        <v/>
      </c>
      <c r="D39" s="19" t="n">
        <v>629</v>
      </c>
      <c r="E39" s="18" t="n">
        <v>66.16702767</v>
      </c>
      <c r="F39" s="20" t="n">
        <v>2.47397081</v>
      </c>
      <c r="G39" s="18" t="n">
        <v>29.70037519</v>
      </c>
      <c r="H39" s="20" t="n">
        <v>2.59444949</v>
      </c>
      <c r="I39" s="18" t="n">
        <v>0</v>
      </c>
      <c r="J39" s="20" t="n">
        <v>0</v>
      </c>
      <c r="K39" s="18" t="n">
        <v>0.59092721</v>
      </c>
      <c r="L39" s="20" t="n">
        <v>0.24658029</v>
      </c>
      <c r="M39" s="18" t="n">
        <v>0</v>
      </c>
      <c r="N39" s="20" t="n">
        <v>0</v>
      </c>
      <c r="O39" s="18" t="n">
        <v>0</v>
      </c>
      <c r="P39" s="20" t="n">
        <v>0</v>
      </c>
      <c r="Q39" s="18" t="n">
        <v>3.54166992</v>
      </c>
      <c r="R39" s="20" t="n">
        <v>0.71257761</v>
      </c>
    </row>
    <row r="40" spans="1:18">
      <c r="A40" s="15" t="s">
        <v>598</v>
      </c>
      <c r="B40" s="17" t="n">
        <v>6922</v>
      </c>
      <c r="C40" s="18">
        <f>(5345.0/B40*100)</f>
        <v/>
      </c>
      <c r="D40" s="19" t="n">
        <v>1577</v>
      </c>
      <c r="E40" s="18" t="n">
        <v>39.02193485</v>
      </c>
      <c r="F40" s="20" t="n">
        <v>2.12720131</v>
      </c>
      <c r="G40" s="18" t="n">
        <v>57.43015115</v>
      </c>
      <c r="H40" s="20" t="n">
        <v>2.13421868</v>
      </c>
      <c r="I40" s="18" t="n">
        <v>0</v>
      </c>
      <c r="J40" s="20" t="n">
        <v>0</v>
      </c>
      <c r="K40" s="18" t="n">
        <v>0.69295481</v>
      </c>
      <c r="L40" s="20" t="n">
        <v>0.28125503</v>
      </c>
      <c r="M40" s="18" t="n">
        <v>0</v>
      </c>
      <c r="N40" s="20" t="n">
        <v>0</v>
      </c>
      <c r="O40" s="18" t="n">
        <v>0</v>
      </c>
      <c r="P40" s="20" t="n">
        <v>0</v>
      </c>
      <c r="Q40" s="18" t="n">
        <v>2.8549592</v>
      </c>
      <c r="R40" s="20" t="n">
        <v>0.7097142400000001</v>
      </c>
    </row>
    <row r="41" spans="1:18">
      <c r="A41" s="15" t="s">
        <v>599</v>
      </c>
      <c r="B41" s="17" t="n">
        <v>2854</v>
      </c>
      <c r="C41" s="18">
        <f>(2229.0/B41*100)</f>
        <v/>
      </c>
      <c r="D41" s="19" t="n">
        <v>625</v>
      </c>
      <c r="E41" s="18" t="n">
        <v>44.1567577</v>
      </c>
      <c r="F41" s="20" t="n">
        <v>2.38036867</v>
      </c>
      <c r="G41" s="18" t="n">
        <v>54.37252411</v>
      </c>
      <c r="H41" s="20" t="n">
        <v>2.31683423</v>
      </c>
      <c r="I41" s="18" t="n">
        <v>0</v>
      </c>
      <c r="J41" s="20" t="n">
        <v>0</v>
      </c>
      <c r="K41" s="18" t="n">
        <v>0.80796148</v>
      </c>
      <c r="L41" s="20" t="n">
        <v>0.51388433</v>
      </c>
      <c r="M41" s="18" t="n">
        <v>0</v>
      </c>
      <c r="N41" s="20" t="n">
        <v>0</v>
      </c>
      <c r="O41" s="18" t="n">
        <v>0</v>
      </c>
      <c r="P41" s="20" t="n">
        <v>0</v>
      </c>
      <c r="Q41" s="18" t="n">
        <v>0.66275671</v>
      </c>
      <c r="R41" s="20" t="n">
        <v>0.31167367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(10288.0/B46*100)</f>
        <v/>
      </c>
      <c r="D46" s="19" t="n">
        <v>1785</v>
      </c>
      <c r="E46" s="18" t="n">
        <v>72.08892446</v>
      </c>
      <c r="F46" s="20" t="n">
        <v>1.51484402</v>
      </c>
      <c r="G46" s="18" t="n">
        <v>18.59420353</v>
      </c>
      <c r="H46" s="20" t="n">
        <v>1.54280791</v>
      </c>
      <c r="I46" s="18" t="n">
        <v>0</v>
      </c>
      <c r="J46" s="20" t="n">
        <v>0</v>
      </c>
      <c r="K46" s="18" t="n">
        <v>2.94635924</v>
      </c>
      <c r="L46" s="20" t="n">
        <v>0.62713112</v>
      </c>
      <c r="M46" s="18" t="n">
        <v>0.20554644</v>
      </c>
      <c r="N46" s="20" t="n">
        <v>0.10567496</v>
      </c>
      <c r="O46" s="18" t="n">
        <v>0</v>
      </c>
      <c r="P46" s="20" t="n">
        <v>0</v>
      </c>
      <c r="Q46" s="18" t="n">
        <v>6.16496633</v>
      </c>
      <c r="R46" s="20" t="n">
        <v>0.70234579</v>
      </c>
    </row>
    <row r="47" spans="1:18">
      <c r="A47" s="15" t="s">
        <v>606</v>
      </c>
      <c r="B47" s="17" t="n">
        <v>2823</v>
      </c>
      <c r="C47" s="18">
        <f>(2220.0/B47*100)</f>
        <v/>
      </c>
      <c r="D47" s="19" t="n">
        <v>603</v>
      </c>
      <c r="E47" s="18" t="n">
        <v>60.65060433</v>
      </c>
      <c r="F47" s="20" t="n">
        <v>2.30137326</v>
      </c>
      <c r="G47" s="18" t="n">
        <v>35.93380217</v>
      </c>
      <c r="H47" s="20" t="n">
        <v>2.39525227</v>
      </c>
      <c r="I47" s="18" t="n">
        <v>0</v>
      </c>
      <c r="J47" s="20" t="n">
        <v>0</v>
      </c>
      <c r="K47" s="18" t="n">
        <v>1.31119465</v>
      </c>
      <c r="L47" s="20" t="n">
        <v>0.52741592</v>
      </c>
      <c r="M47" s="18" t="n">
        <v>0</v>
      </c>
      <c r="N47" s="20" t="n">
        <v>0</v>
      </c>
      <c r="O47" s="18" t="n">
        <v>0</v>
      </c>
      <c r="P47" s="20" t="n">
        <v>0</v>
      </c>
      <c r="Q47" s="18" t="n">
        <v>2.10439885</v>
      </c>
      <c r="R47" s="20" t="n">
        <v>0.61560757</v>
      </c>
    </row>
    <row r="48" spans="1:18">
      <c r="A48" s="15" t="s">
        <v>607</v>
      </c>
      <c r="B48" s="17" t="n">
        <v>4682</v>
      </c>
      <c r="C48" s="18">
        <f>(3648.0/B48*100)</f>
        <v/>
      </c>
      <c r="D48" s="19" t="n">
        <v>1034</v>
      </c>
      <c r="E48" s="18" t="n">
        <v>46.70850679</v>
      </c>
      <c r="F48" s="20" t="n">
        <v>2.22471181</v>
      </c>
      <c r="G48" s="18" t="n">
        <v>50.90590243</v>
      </c>
      <c r="H48" s="20" t="n">
        <v>2.23063631</v>
      </c>
      <c r="I48" s="18" t="n">
        <v>0</v>
      </c>
      <c r="J48" s="20" t="n">
        <v>0</v>
      </c>
      <c r="K48" s="18" t="n">
        <v>0.95312198</v>
      </c>
      <c r="L48" s="20" t="n">
        <v>0.43449612</v>
      </c>
      <c r="M48" s="18" t="n">
        <v>0</v>
      </c>
      <c r="N48" s="20" t="n">
        <v>0</v>
      </c>
      <c r="O48" s="18" t="n">
        <v>0</v>
      </c>
      <c r="P48" s="20" t="n">
        <v>0</v>
      </c>
      <c r="Q48" s="18" t="n">
        <v>1.4324688</v>
      </c>
      <c r="R48" s="20" t="n">
        <v>0.59152335</v>
      </c>
    </row>
    <row r="49" spans="1:18">
      <c r="A49" s="15" t="s">
        <v>608</v>
      </c>
      <c r="B49" s="17" t="n">
        <v>6158</v>
      </c>
      <c r="C49" s="18">
        <f>(4890.0/B49*100)</f>
        <v/>
      </c>
      <c r="D49" s="19" t="n">
        <v>1268</v>
      </c>
      <c r="E49" s="18" t="n">
        <v>74.814939</v>
      </c>
      <c r="F49" s="20" t="n">
        <v>1.82265114</v>
      </c>
      <c r="G49" s="18" t="n">
        <v>18.15334111</v>
      </c>
      <c r="H49" s="20" t="n">
        <v>1.51713438</v>
      </c>
      <c r="I49" s="18" t="n">
        <v>0</v>
      </c>
      <c r="J49" s="20" t="n">
        <v>0</v>
      </c>
      <c r="K49" s="18" t="n">
        <v>4.09995007</v>
      </c>
      <c r="L49" s="20" t="n">
        <v>0.8618652</v>
      </c>
      <c r="M49" s="18" t="n">
        <v>0.02150309</v>
      </c>
      <c r="N49" s="20" t="n">
        <v>0.01975486</v>
      </c>
      <c r="O49" s="18" t="n">
        <v>0</v>
      </c>
      <c r="P49" s="20" t="n">
        <v>0</v>
      </c>
      <c r="Q49" s="18" t="n">
        <v>2.91026672</v>
      </c>
      <c r="R49" s="20" t="n">
        <v>0.74046346</v>
      </c>
    </row>
    <row r="50" spans="1:18">
      <c r="A50" s="15" t="s">
        <v>609</v>
      </c>
      <c r="B50" s="17" t="n">
        <v>3494</v>
      </c>
      <c r="C50" s="18">
        <f>(2911.0/B50*100)</f>
        <v/>
      </c>
      <c r="D50" s="19" t="n">
        <v>583</v>
      </c>
      <c r="E50" s="18" t="n">
        <v>82.59397006</v>
      </c>
      <c r="F50" s="20" t="n">
        <v>1.66129844</v>
      </c>
      <c r="G50" s="18" t="n">
        <v>13.77577763</v>
      </c>
      <c r="H50" s="20" t="n">
        <v>1.48943695</v>
      </c>
      <c r="I50" s="18" t="n">
        <v>0</v>
      </c>
      <c r="J50" s="20" t="n">
        <v>0</v>
      </c>
      <c r="K50" s="18" t="n">
        <v>1.87225838</v>
      </c>
      <c r="L50" s="20" t="n">
        <v>0.56757675</v>
      </c>
      <c r="M50" s="18" t="n">
        <v>0</v>
      </c>
      <c r="N50" s="20" t="n">
        <v>0</v>
      </c>
      <c r="O50" s="18" t="n">
        <v>0</v>
      </c>
      <c r="P50" s="20" t="n">
        <v>0</v>
      </c>
      <c r="Q50" s="18" t="n">
        <v>1.75799393</v>
      </c>
      <c r="R50" s="20" t="n">
        <v>0.5735678</v>
      </c>
    </row>
    <row r="51" spans="1:18">
      <c r="A51" s="15" t="s">
        <v>610</v>
      </c>
      <c r="B51" s="17" t="n">
        <v>3013</v>
      </c>
      <c r="C51" s="18">
        <f>(2339.0/B51*100)</f>
        <v/>
      </c>
      <c r="D51" s="19" t="n">
        <v>674</v>
      </c>
      <c r="E51" s="18" t="n">
        <v>54.24888189</v>
      </c>
      <c r="F51" s="20" t="n">
        <v>2.09282802</v>
      </c>
      <c r="G51" s="18" t="n">
        <v>42.86204531</v>
      </c>
      <c r="H51" s="20" t="n">
        <v>2.14583737</v>
      </c>
      <c r="I51" s="18" t="n">
        <v>0</v>
      </c>
      <c r="J51" s="20" t="n">
        <v>0</v>
      </c>
      <c r="K51" s="18" t="n">
        <v>0.27372354</v>
      </c>
      <c r="L51" s="20" t="n">
        <v>0.24043138</v>
      </c>
      <c r="M51" s="18" t="n">
        <v>0</v>
      </c>
      <c r="N51" s="20" t="n">
        <v>0</v>
      </c>
      <c r="O51" s="18" t="n">
        <v>0</v>
      </c>
      <c r="P51" s="20" t="n">
        <v>0</v>
      </c>
      <c r="Q51" s="18" t="n">
        <v>2.61534926</v>
      </c>
      <c r="R51" s="20" t="n">
        <v>0.6116844299999999</v>
      </c>
    </row>
    <row r="52" spans="1:18">
      <c r="A52" s="15" t="s">
        <v>611</v>
      </c>
      <c r="B52" s="17" t="n">
        <v>2760</v>
      </c>
      <c r="C52" s="18">
        <f>(2130.0/B52*100)</f>
        <v/>
      </c>
      <c r="D52" s="19" t="n">
        <v>630</v>
      </c>
      <c r="E52" s="18" t="n">
        <v>56.58190205</v>
      </c>
      <c r="F52" s="20" t="n">
        <v>2.00768698</v>
      </c>
      <c r="G52" s="18" t="n">
        <v>40.07951021</v>
      </c>
      <c r="H52" s="20" t="n">
        <v>2.04473414</v>
      </c>
      <c r="I52" s="18" t="n">
        <v>0</v>
      </c>
      <c r="J52" s="20" t="n">
        <v>0</v>
      </c>
      <c r="K52" s="18" t="n">
        <v>0.99817463</v>
      </c>
      <c r="L52" s="20" t="n">
        <v>0.39217403</v>
      </c>
      <c r="M52" s="18" t="n">
        <v>0</v>
      </c>
      <c r="N52" s="20" t="n">
        <v>0</v>
      </c>
      <c r="O52" s="18" t="n">
        <v>0</v>
      </c>
      <c r="P52" s="20" t="n">
        <v>0</v>
      </c>
      <c r="Q52" s="18" t="n">
        <v>2.34041311</v>
      </c>
      <c r="R52" s="20" t="n">
        <v>0.49413771</v>
      </c>
    </row>
    <row r="53" spans="1:18">
      <c r="A53" s="15" t="s">
        <v>612</v>
      </c>
      <c r="B53" s="17" t="n">
        <v>2474</v>
      </c>
      <c r="C53" s="18">
        <f>(1944.0/B53*100)</f>
        <v/>
      </c>
      <c r="D53" s="19" t="n">
        <v>530</v>
      </c>
      <c r="E53" s="18" t="n">
        <v>66.87654899</v>
      </c>
      <c r="F53" s="20" t="n">
        <v>2.57662234</v>
      </c>
      <c r="G53" s="18" t="n">
        <v>6.52823568</v>
      </c>
      <c r="H53" s="20" t="n">
        <v>0.93548108</v>
      </c>
      <c r="I53" s="18" t="n">
        <v>0</v>
      </c>
      <c r="J53" s="20" t="n">
        <v>0</v>
      </c>
      <c r="K53" s="18" t="n">
        <v>21.42547224</v>
      </c>
      <c r="L53" s="20" t="n">
        <v>2.06354403</v>
      </c>
      <c r="M53" s="18" t="n">
        <v>1.26354106</v>
      </c>
      <c r="N53" s="20" t="n">
        <v>1.37603176</v>
      </c>
      <c r="O53" s="18" t="n">
        <v>0</v>
      </c>
      <c r="P53" s="20" t="n">
        <v>0</v>
      </c>
      <c r="Q53" s="18" t="n">
        <v>3.90620203</v>
      </c>
      <c r="R53" s="20" t="n">
        <v>0.77280172</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(2124.0/B55*100)</f>
        <v/>
      </c>
      <c r="D55" s="19" t="n">
        <v>551</v>
      </c>
      <c r="E55" s="18" t="n">
        <v>33.55250881</v>
      </c>
      <c r="F55" s="20" t="n">
        <v>2.15289044</v>
      </c>
      <c r="G55" s="18" t="n">
        <v>66.08107552</v>
      </c>
      <c r="H55" s="20" t="n">
        <v>2.1834315</v>
      </c>
      <c r="I55" s="18" t="n">
        <v>0</v>
      </c>
      <c r="J55" s="20" t="n">
        <v>0</v>
      </c>
      <c r="K55" s="18" t="n">
        <v>0.36641568</v>
      </c>
      <c r="L55" s="20" t="n">
        <v>0.26684329</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(2507.0/B61*100)</f>
        <v/>
      </c>
      <c r="D61" s="19" t="n">
        <v>694</v>
      </c>
      <c r="E61" s="18" t="n">
        <v>64.45570379999999</v>
      </c>
      <c r="F61" s="20" t="n">
        <v>1.94233798</v>
      </c>
      <c r="G61" s="18" t="n">
        <v>33.42529051</v>
      </c>
      <c r="H61" s="20" t="n">
        <v>1.90796775</v>
      </c>
      <c r="I61" s="18" t="n">
        <v>0</v>
      </c>
      <c r="J61" s="20" t="n">
        <v>0</v>
      </c>
      <c r="K61" s="18" t="n">
        <v>0.454032</v>
      </c>
      <c r="L61" s="20" t="n">
        <v>0.28984108</v>
      </c>
      <c r="M61" s="18" t="n">
        <v>0</v>
      </c>
      <c r="N61" s="20" t="n">
        <v>0</v>
      </c>
      <c r="O61" s="18" t="n">
        <v>0</v>
      </c>
      <c r="P61" s="20" t="n">
        <v>0</v>
      </c>
      <c r="Q61" s="18" t="n">
        <v>1.6649737</v>
      </c>
      <c r="R61" s="20" t="n">
        <v>0.44711591</v>
      </c>
    </row>
    <row r="62" spans="1:18">
      <c r="A62" s="15" t="s">
        <v>622</v>
      </c>
      <c r="B62" s="17" t="n">
        <v>2230</v>
      </c>
      <c r="C62" s="18">
        <f>(1790.0/B62*100)</f>
        <v/>
      </c>
      <c r="D62" s="19" t="n">
        <v>440</v>
      </c>
      <c r="E62" s="18" t="n">
        <v>32.549536</v>
      </c>
      <c r="F62" s="20" t="n">
        <v>2.38917641</v>
      </c>
      <c r="G62" s="18" t="n">
        <v>66.99272753</v>
      </c>
      <c r="H62" s="20" t="n">
        <v>2.29067955</v>
      </c>
      <c r="I62" s="18" t="n">
        <v>0</v>
      </c>
      <c r="J62" s="20" t="n">
        <v>0</v>
      </c>
      <c r="K62" s="18" t="n">
        <v>0</v>
      </c>
      <c r="L62" s="20" t="n">
        <v>0</v>
      </c>
      <c r="M62" s="18" t="n">
        <v>0</v>
      </c>
      <c r="N62" s="20" t="n">
        <v>0</v>
      </c>
      <c r="O62" s="18" t="n">
        <v>0</v>
      </c>
      <c r="P62" s="20" t="n">
        <v>0</v>
      </c>
      <c r="Q62" s="18" t="n">
        <v>0.45773647</v>
      </c>
      <c r="R62" s="20" t="n">
        <v>0.32472365</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(2197.0/B67*100)</f>
        <v/>
      </c>
      <c r="D67" s="19" t="n">
        <v>574</v>
      </c>
      <c r="E67" s="18" t="n">
        <v>45.72078349</v>
      </c>
      <c r="F67" s="20" t="n">
        <v>2.20936051</v>
      </c>
      <c r="G67" s="18" t="n">
        <v>15.68463652</v>
      </c>
      <c r="H67" s="20" t="n">
        <v>1.52128462</v>
      </c>
      <c r="I67" s="18" t="n">
        <v>0</v>
      </c>
      <c r="J67" s="20" t="n">
        <v>0</v>
      </c>
      <c r="K67" s="18" t="n">
        <v>1.39427603</v>
      </c>
      <c r="L67" s="20" t="n">
        <v>0.49311554</v>
      </c>
      <c r="M67" s="18" t="n">
        <v>30.91697607</v>
      </c>
      <c r="N67" s="20" t="n">
        <v>2.20216491</v>
      </c>
      <c r="O67" s="18" t="n">
        <v>0</v>
      </c>
      <c r="P67" s="20" t="n">
        <v>0</v>
      </c>
      <c r="Q67" s="18" t="n">
        <v>6.2833279</v>
      </c>
      <c r="R67" s="20" t="n">
        <v>1.09092856</v>
      </c>
    </row>
    <row r="68" spans="1:18">
      <c r="A68" s="15" t="s">
        <v>628</v>
      </c>
      <c r="B68" s="17" t="n">
        <v>3460</v>
      </c>
      <c r="C68" s="18">
        <f>(2869.0/B68*100)</f>
        <v/>
      </c>
      <c r="D68" s="19" t="n">
        <v>591</v>
      </c>
      <c r="E68" s="18" t="n">
        <v>71.81721398000001</v>
      </c>
      <c r="F68" s="20" t="n">
        <v>2.06905389</v>
      </c>
      <c r="G68" s="18" t="n">
        <v>20.58955738</v>
      </c>
      <c r="H68" s="20" t="n">
        <v>1.8206403</v>
      </c>
      <c r="I68" s="18" t="n">
        <v>0</v>
      </c>
      <c r="J68" s="20" t="n">
        <v>0</v>
      </c>
      <c r="K68" s="18" t="n">
        <v>0.76320937</v>
      </c>
      <c r="L68" s="20" t="n">
        <v>0.38537842</v>
      </c>
      <c r="M68" s="18" t="n">
        <v>0.83030381</v>
      </c>
      <c r="N68" s="20" t="n">
        <v>0.44406774</v>
      </c>
      <c r="O68" s="18" t="n">
        <v>0</v>
      </c>
      <c r="P68" s="20" t="n">
        <v>0</v>
      </c>
      <c r="Q68" s="18" t="n">
        <v>5.99971545</v>
      </c>
      <c r="R68" s="20" t="n">
        <v>1.01754168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(4684.0/B70*100)</f>
        <v/>
      </c>
      <c r="D70" s="19" t="n">
        <v>1350</v>
      </c>
      <c r="E70" s="18" t="n">
        <v>64.12923237</v>
      </c>
      <c r="F70" s="20" t="n">
        <v>1.25891117</v>
      </c>
      <c r="G70" s="18" t="n">
        <v>28.99083658</v>
      </c>
      <c r="H70" s="20" t="n">
        <v>1.18843471</v>
      </c>
      <c r="I70" s="18" t="n">
        <v>0</v>
      </c>
      <c r="J70" s="20" t="n">
        <v>0</v>
      </c>
      <c r="K70" s="18" t="n">
        <v>4.54973952</v>
      </c>
      <c r="L70" s="20" t="n">
        <v>0.58807893</v>
      </c>
      <c r="M70" s="18" t="n">
        <v>0</v>
      </c>
      <c r="N70" s="20" t="n">
        <v>0</v>
      </c>
      <c r="O70" s="18" t="n">
        <v>0</v>
      </c>
      <c r="P70" s="20" t="n">
        <v>0</v>
      </c>
      <c r="Q70" s="18" t="n">
        <v>2.33019154</v>
      </c>
      <c r="R70" s="20" t="n">
        <v>0.44545698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(2466.0/B72*100)</f>
        <v/>
      </c>
      <c r="D72" s="19" t="n">
        <v>641</v>
      </c>
      <c r="E72" s="18" t="n">
        <v>54.263721</v>
      </c>
      <c r="F72" s="20" t="n">
        <v>2.02621445</v>
      </c>
      <c r="G72" s="18" t="n">
        <v>43.88189721</v>
      </c>
      <c r="H72" s="20" t="n">
        <v>2.13902822</v>
      </c>
      <c r="I72" s="18" t="n">
        <v>0</v>
      </c>
      <c r="J72" s="20" t="n">
        <v>0</v>
      </c>
      <c r="K72" s="18" t="n">
        <v>0.75048394</v>
      </c>
      <c r="L72" s="20" t="n">
        <v>0.32210579</v>
      </c>
      <c r="M72" s="18" t="n">
        <v>0</v>
      </c>
      <c r="N72" s="20" t="n">
        <v>0</v>
      </c>
      <c r="O72" s="18" t="n">
        <v>0</v>
      </c>
      <c r="P72" s="20" t="n">
        <v>0</v>
      </c>
      <c r="Q72" s="18" t="n">
        <v>1.10389785</v>
      </c>
      <c r="R72" s="20" t="n">
        <v>0.39578871</v>
      </c>
    </row>
    <row r="73" spans="1:18">
      <c r="A73" s="15" t="s">
        <v>633</v>
      </c>
      <c r="B73" s="17" t="n">
        <v>2973</v>
      </c>
      <c r="C73" s="18">
        <f>(2324.0/B73*100)</f>
        <v/>
      </c>
      <c r="D73" s="19" t="n">
        <v>649</v>
      </c>
      <c r="E73" s="18" t="n">
        <v>33.97412578</v>
      </c>
      <c r="F73" s="20" t="n">
        <v>1.53638023</v>
      </c>
      <c r="G73" s="18" t="n">
        <v>64.93927681</v>
      </c>
      <c r="H73" s="20" t="n">
        <v>1.49411556</v>
      </c>
      <c r="I73" s="18" t="n">
        <v>0</v>
      </c>
      <c r="J73" s="20" t="n">
        <v>0</v>
      </c>
      <c r="K73" s="18" t="n">
        <v>0.50465563</v>
      </c>
      <c r="L73" s="20" t="n">
        <v>0.2811118</v>
      </c>
      <c r="M73" s="18" t="n">
        <v>0.16744836</v>
      </c>
      <c r="N73" s="20" t="n">
        <v>0.16679281</v>
      </c>
      <c r="O73" s="18" t="n">
        <v>0</v>
      </c>
      <c r="P73" s="20" t="n">
        <v>0</v>
      </c>
      <c r="Q73" s="18" t="n">
        <v>0.41449343</v>
      </c>
      <c r="R73" s="20" t="n">
        <v>0.21582061</v>
      </c>
    </row>
    <row r="74" spans="1:18">
      <c r="A74" s="15" t="s">
        <v>634</v>
      </c>
      <c r="B74" s="17" t="n">
        <v>3819</v>
      </c>
      <c r="C74" s="18">
        <f>(3005.0/B74*100)</f>
        <v/>
      </c>
      <c r="D74" s="19" t="n">
        <v>814</v>
      </c>
      <c r="E74" s="18" t="n">
        <v>36.56540028</v>
      </c>
      <c r="F74" s="20" t="n">
        <v>1.90643531</v>
      </c>
      <c r="G74" s="18" t="n">
        <v>62.67866101</v>
      </c>
      <c r="H74" s="20" t="n">
        <v>1.97071031</v>
      </c>
      <c r="I74" s="18" t="n">
        <v>0</v>
      </c>
      <c r="J74" s="20" t="n">
        <v>0</v>
      </c>
      <c r="K74" s="18" t="n">
        <v>0</v>
      </c>
      <c r="L74" s="20" t="n">
        <v>0</v>
      </c>
      <c r="M74" s="18" t="n">
        <v>0</v>
      </c>
      <c r="N74" s="20" t="n">
        <v>0</v>
      </c>
      <c r="O74" s="18" t="n">
        <v>0</v>
      </c>
      <c r="P74" s="20" t="n">
        <v>0</v>
      </c>
      <c r="Q74" s="18" t="n">
        <v>0.75593871</v>
      </c>
      <c r="R74" s="20" t="n">
        <v>0.32828252</v>
      </c>
    </row>
    <row r="75" spans="1:18">
      <c r="A75" s="15" t="s">
        <v>635</v>
      </c>
      <c r="B75" s="17" t="n">
        <v>4652</v>
      </c>
      <c r="C75" s="18">
        <f>(3743.0/B75*100)</f>
        <v/>
      </c>
      <c r="D75" s="19" t="n">
        <v>909</v>
      </c>
      <c r="E75" s="18" t="n">
        <v>79.27634673999999</v>
      </c>
      <c r="F75" s="20" t="n">
        <v>1.91978079</v>
      </c>
      <c r="G75" s="18" t="n">
        <v>19.78292642</v>
      </c>
      <c r="H75" s="20" t="n">
        <v>1.92645535</v>
      </c>
      <c r="I75" s="18" t="n">
        <v>0</v>
      </c>
      <c r="J75" s="20" t="n">
        <v>0</v>
      </c>
      <c r="K75" s="18" t="n">
        <v>0</v>
      </c>
      <c r="L75" s="20" t="n">
        <v>0</v>
      </c>
      <c r="M75" s="18" t="n">
        <v>0.59456427</v>
      </c>
      <c r="N75" s="20" t="n">
        <v>0.35061505</v>
      </c>
      <c r="O75" s="18" t="n">
        <v>0</v>
      </c>
      <c r="P75" s="20" t="n">
        <v>0</v>
      </c>
      <c r="Q75" s="18" t="n">
        <v>0.34616257</v>
      </c>
      <c r="R75" s="20" t="n">
        <v>0.20715618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(2429.0/B77*100)</f>
        <v/>
      </c>
      <c r="D77" s="19" t="n">
        <v>540</v>
      </c>
      <c r="E77" s="18" t="n">
        <v>73.85934222</v>
      </c>
      <c r="F77" s="20" t="n">
        <v>1.98735582</v>
      </c>
      <c r="G77" s="18" t="n">
        <v>14.04152904</v>
      </c>
      <c r="H77" s="20" t="n">
        <v>1.51464431</v>
      </c>
      <c r="I77" s="18" t="n">
        <v>0</v>
      </c>
      <c r="J77" s="20" t="n">
        <v>0</v>
      </c>
      <c r="K77" s="18" t="n">
        <v>7.92229771</v>
      </c>
      <c r="L77" s="20" t="n">
        <v>1.40589474</v>
      </c>
      <c r="M77" s="18" t="n">
        <v>0</v>
      </c>
      <c r="N77" s="20" t="n">
        <v>0</v>
      </c>
      <c r="O77" s="18" t="n">
        <v>0</v>
      </c>
      <c r="P77" s="20" t="n">
        <v>0</v>
      </c>
      <c r="Q77" s="18" t="n">
        <v>4.17683103</v>
      </c>
      <c r="R77" s="20" t="n">
        <v>0.85194388</v>
      </c>
    </row>
    <row r="78" spans="1:18">
      <c r="A78" s="15" t="s">
        <v>638</v>
      </c>
      <c r="B78" s="17" t="n">
        <v>7115</v>
      </c>
      <c r="C78" s="18">
        <f>(5619.0/B78*100)</f>
        <v/>
      </c>
      <c r="D78" s="19" t="n">
        <v>1496</v>
      </c>
      <c r="E78" s="18" t="n">
        <v>61.12333015</v>
      </c>
      <c r="F78" s="20" t="n">
        <v>1.70105983</v>
      </c>
      <c r="G78" s="18" t="n">
        <v>35.96110354</v>
      </c>
      <c r="H78" s="20" t="n">
        <v>1.62522414</v>
      </c>
      <c r="I78" s="18" t="n">
        <v>0</v>
      </c>
      <c r="J78" s="20" t="n">
        <v>0</v>
      </c>
      <c r="K78" s="18" t="n">
        <v>1.27785543</v>
      </c>
      <c r="L78" s="20" t="n">
        <v>0.27104667</v>
      </c>
      <c r="M78" s="18" t="n">
        <v>0.10856493</v>
      </c>
      <c r="N78" s="20" t="n">
        <v>0.08827986</v>
      </c>
      <c r="O78" s="18" t="n">
        <v>0</v>
      </c>
      <c r="P78" s="20" t="n">
        <v>0</v>
      </c>
      <c r="Q78" s="18" t="n">
        <v>1.52914596</v>
      </c>
      <c r="R78" s="20" t="n">
        <v>0.4203729</v>
      </c>
    </row>
    <row r="79" spans="1:18">
      <c r="A79" s="15" t="s">
        <v>639</v>
      </c>
      <c r="B79" s="17" t="n">
        <v>3154</v>
      </c>
      <c r="C79" s="18">
        <f>(2501.0/B79*100)</f>
        <v/>
      </c>
      <c r="D79" s="19" t="n">
        <v>653</v>
      </c>
      <c r="E79" s="18" t="n">
        <v>64.69960788</v>
      </c>
      <c r="F79" s="20" t="n">
        <v>1.71556731</v>
      </c>
      <c r="G79" s="18" t="n">
        <v>26.46273878</v>
      </c>
      <c r="H79" s="20" t="n">
        <v>1.59581984</v>
      </c>
      <c r="I79" s="18" t="n">
        <v>0</v>
      </c>
      <c r="J79" s="20" t="n">
        <v>0</v>
      </c>
      <c r="K79" s="18" t="n">
        <v>2.4938105</v>
      </c>
      <c r="L79" s="20" t="n">
        <v>0.65459502</v>
      </c>
      <c r="M79" s="18" t="n">
        <v>0.15821959</v>
      </c>
      <c r="N79" s="20" t="n">
        <v>0.18794485</v>
      </c>
      <c r="O79" s="18" t="n">
        <v>0</v>
      </c>
      <c r="P79" s="20" t="n">
        <v>0</v>
      </c>
      <c r="Q79" s="18" t="n">
        <v>6.18562325</v>
      </c>
      <c r="R79" s="20" t="n">
        <v>1.1535155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(12641.0/B82*100)</f>
        <v/>
      </c>
      <c r="D82" s="19" t="n">
        <v>3320</v>
      </c>
      <c r="E82" s="18" t="n">
        <v>46.80649163</v>
      </c>
      <c r="F82" s="20" t="n">
        <v>1.27188281</v>
      </c>
      <c r="G82" s="18" t="n">
        <v>50.14001827</v>
      </c>
      <c r="H82" s="20" t="n">
        <v>1.24471424</v>
      </c>
      <c r="I82" s="18" t="n">
        <v>0</v>
      </c>
      <c r="J82" s="20" t="n">
        <v>0</v>
      </c>
      <c r="K82" s="18" t="n">
        <v>0.96515244</v>
      </c>
      <c r="L82" s="20" t="n">
        <v>0.18135377</v>
      </c>
      <c r="M82" s="18" t="n">
        <v>0.10792947</v>
      </c>
      <c r="N82" s="20" t="n">
        <v>0.09413589</v>
      </c>
      <c r="O82" s="18" t="n">
        <v>0</v>
      </c>
      <c r="P82" s="20" t="n">
        <v>0</v>
      </c>
      <c r="Q82" s="18" t="n">
        <v>1.98040819</v>
      </c>
      <c r="R82" s="20" t="n">
        <v>0.31748525</v>
      </c>
    </row>
    <row r="83" spans="1:18">
      <c r="A83" s="15" t="s">
        <v>643</v>
      </c>
      <c r="B83" s="17" t="n">
        <v>808</v>
      </c>
      <c r="C83" s="18">
        <f>(650.0/B83*100)</f>
        <v/>
      </c>
      <c r="D83" s="19" t="n">
        <v>158</v>
      </c>
      <c r="E83" s="18" t="n">
        <v>35.31638106</v>
      </c>
      <c r="F83" s="20" t="n">
        <v>3.83219388</v>
      </c>
      <c r="G83" s="18" t="n">
        <v>63.17426388</v>
      </c>
      <c r="H83" s="20" t="n">
        <v>3.82467443</v>
      </c>
      <c r="I83" s="18" t="n">
        <v>0</v>
      </c>
      <c r="J83" s="20" t="n">
        <v>0</v>
      </c>
      <c r="K83" s="18" t="n">
        <v>0</v>
      </c>
      <c r="L83" s="20" t="n">
        <v>0</v>
      </c>
      <c r="M83" s="18" t="n">
        <v>0</v>
      </c>
      <c r="N83" s="20" t="n">
        <v>0</v>
      </c>
      <c r="O83" s="18" t="n">
        <v>0</v>
      </c>
      <c r="P83" s="20" t="n">
        <v>0</v>
      </c>
      <c r="Q83" s="18" t="n">
        <v>1.50935506</v>
      </c>
      <c r="R83" s="20" t="n">
        <v>1.10661878</v>
      </c>
    </row>
    <row r="84" spans="1:18">
      <c r="A84" s="23" t="s">
        <v>644</v>
      </c>
      <c r="B84" s="24" t="n">
        <v>938</v>
      </c>
      <c r="C84" s="25">
        <f>(769.0/B84*100)</f>
        <v/>
      </c>
      <c r="D84" s="19" t="n">
        <v>169</v>
      </c>
      <c r="E84" s="18" t="n">
        <v>42.75375862</v>
      </c>
      <c r="F84" s="20" t="n">
        <v>3.48697477</v>
      </c>
      <c r="G84" s="18" t="n">
        <v>56.60423922</v>
      </c>
      <c r="H84" s="20" t="n">
        <v>3.5676894</v>
      </c>
      <c r="I84" s="18" t="n">
        <v>0</v>
      </c>
      <c r="J84" s="20" t="n">
        <v>0</v>
      </c>
      <c r="K84" s="18" t="n">
        <v>0.64200216</v>
      </c>
      <c r="L84" s="20" t="n">
        <v>0.63224015</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(5635.0/B7*100)</f>
        <v/>
      </c>
      <c r="D7" s="19" t="n">
        <v>1528</v>
      </c>
      <c r="E7" s="18" t="n">
        <v>38.07373046</v>
      </c>
      <c r="F7" s="20" t="n">
        <v>1.67922607</v>
      </c>
      <c r="G7" s="18" t="n">
        <v>41.66122427</v>
      </c>
      <c r="H7" s="20" t="n">
        <v>1.7100061</v>
      </c>
      <c r="I7" s="18" t="n">
        <v>0</v>
      </c>
      <c r="J7" s="20" t="n">
        <v>0</v>
      </c>
      <c r="K7" s="18" t="n">
        <v>1.47120643</v>
      </c>
      <c r="L7" s="20" t="n">
        <v>0.35097169</v>
      </c>
      <c r="M7" s="18" t="n">
        <v>0</v>
      </c>
      <c r="N7" s="20" t="n">
        <v>0</v>
      </c>
      <c r="O7" s="18" t="n">
        <v>0</v>
      </c>
      <c r="P7" s="20" t="n">
        <v>0</v>
      </c>
      <c r="Q7" s="18" t="n">
        <v>18.79383883</v>
      </c>
      <c r="R7" s="20" t="n">
        <v>1.27911759</v>
      </c>
    </row>
    <row r="8" spans="1:18">
      <c r="A8" s="15" t="s">
        <v>566</v>
      </c>
      <c r="B8" s="17" t="n">
        <v>3443</v>
      </c>
      <c r="C8" s="18">
        <f>(2664.0/B8*100)</f>
        <v/>
      </c>
      <c r="D8" s="19" t="n">
        <v>779</v>
      </c>
      <c r="E8" s="18" t="n">
        <v>40.26391483</v>
      </c>
      <c r="F8" s="20" t="n">
        <v>2.07429591</v>
      </c>
      <c r="G8" s="18" t="n">
        <v>43.79181549</v>
      </c>
      <c r="H8" s="20" t="n">
        <v>2.07808919</v>
      </c>
      <c r="I8" s="18" t="n">
        <v>0</v>
      </c>
      <c r="J8" s="20" t="n">
        <v>0</v>
      </c>
      <c r="K8" s="18" t="n">
        <v>1.08674144</v>
      </c>
      <c r="L8" s="20" t="n">
        <v>0.40153398</v>
      </c>
      <c r="M8" s="18" t="n">
        <v>0</v>
      </c>
      <c r="N8" s="20" t="n">
        <v>0</v>
      </c>
      <c r="O8" s="18" t="n">
        <v>0</v>
      </c>
      <c r="P8" s="20" t="n">
        <v>0</v>
      </c>
      <c r="Q8" s="18" t="n">
        <v>14.85752824</v>
      </c>
      <c r="R8" s="20" t="n">
        <v>1.19733822</v>
      </c>
    </row>
    <row r="9" spans="1:18">
      <c r="A9" s="15" t="s">
        <v>567</v>
      </c>
      <c r="B9" s="17" t="n">
        <v>4752</v>
      </c>
      <c r="C9" s="18">
        <f>(3765.0/B9*100)</f>
        <v/>
      </c>
      <c r="D9" s="19" t="n">
        <v>987</v>
      </c>
      <c r="E9" s="18" t="n">
        <v>40.87378953</v>
      </c>
      <c r="F9" s="20" t="n">
        <v>1.84601825</v>
      </c>
      <c r="G9" s="18" t="n">
        <v>42.06634583</v>
      </c>
      <c r="H9" s="20" t="n">
        <v>1.54820027</v>
      </c>
      <c r="I9" s="18" t="n">
        <v>0</v>
      </c>
      <c r="J9" s="20" t="n">
        <v>0</v>
      </c>
      <c r="K9" s="18" t="n">
        <v>2.63531289</v>
      </c>
      <c r="L9" s="20" t="n">
        <v>0.45059806</v>
      </c>
      <c r="M9" s="18" t="n">
        <v>0</v>
      </c>
      <c r="N9" s="20" t="n">
        <v>0</v>
      </c>
      <c r="O9" s="18" t="n">
        <v>0</v>
      </c>
      <c r="P9" s="20" t="n">
        <v>0</v>
      </c>
      <c r="Q9" s="18" t="n">
        <v>14.42455175</v>
      </c>
      <c r="R9" s="20" t="n">
        <v>1.28157256</v>
      </c>
    </row>
    <row r="10" spans="1:18">
      <c r="A10" s="15" t="s">
        <v>568</v>
      </c>
      <c r="B10" s="17" t="n">
        <v>10022</v>
      </c>
      <c r="C10" s="18">
        <f>(7841.0/B10*100)</f>
        <v/>
      </c>
      <c r="D10" s="19" t="n">
        <v>2181</v>
      </c>
      <c r="E10" s="18" t="n">
        <v>35.80515174</v>
      </c>
      <c r="F10" s="20" t="n">
        <v>1.63445515</v>
      </c>
      <c r="G10" s="18" t="n">
        <v>49.32588869</v>
      </c>
      <c r="H10" s="20" t="n">
        <v>1.53392611</v>
      </c>
      <c r="I10" s="18" t="n">
        <v>0</v>
      </c>
      <c r="J10" s="20" t="n">
        <v>0</v>
      </c>
      <c r="K10" s="18" t="n">
        <v>1.53055176</v>
      </c>
      <c r="L10" s="20" t="n">
        <v>0.32687381</v>
      </c>
      <c r="M10" s="18" t="n">
        <v>0</v>
      </c>
      <c r="N10" s="20" t="n">
        <v>0</v>
      </c>
      <c r="O10" s="18" t="n">
        <v>0</v>
      </c>
      <c r="P10" s="20" t="n">
        <v>0</v>
      </c>
      <c r="Q10" s="18" t="n">
        <v>13.33840781</v>
      </c>
      <c r="R10" s="20" t="n">
        <v>1.01011046</v>
      </c>
    </row>
    <row r="11" spans="1:18">
      <c r="A11" s="15" t="s">
        <v>569</v>
      </c>
      <c r="B11" s="17" t="n">
        <v>3500</v>
      </c>
      <c r="C11" s="18">
        <f>(2799.0/B11*100)</f>
        <v/>
      </c>
      <c r="D11" s="19" t="n">
        <v>701</v>
      </c>
      <c r="E11" s="18" t="n">
        <v>43.20044373</v>
      </c>
      <c r="F11" s="20" t="n">
        <v>2.12677497</v>
      </c>
      <c r="G11" s="18" t="n">
        <v>23.4095352</v>
      </c>
      <c r="H11" s="20" t="n">
        <v>1.7970296</v>
      </c>
      <c r="I11" s="18" t="n">
        <v>0</v>
      </c>
      <c r="J11" s="20" t="n">
        <v>0</v>
      </c>
      <c r="K11" s="18" t="n">
        <v>3.68978933</v>
      </c>
      <c r="L11" s="20" t="n">
        <v>0.95065272</v>
      </c>
      <c r="M11" s="18" t="n">
        <v>0</v>
      </c>
      <c r="N11" s="20" t="n">
        <v>0</v>
      </c>
      <c r="O11" s="18" t="n">
        <v>0</v>
      </c>
      <c r="P11" s="20" t="n">
        <v>0</v>
      </c>
      <c r="Q11" s="18" t="n">
        <v>29.70023173</v>
      </c>
      <c r="R11" s="20" t="n">
        <v>2.25213601</v>
      </c>
    </row>
    <row r="12" spans="1:18">
      <c r="A12" s="15" t="s">
        <v>570</v>
      </c>
      <c r="B12" s="17" t="n">
        <v>3422</v>
      </c>
      <c r="C12" s="18">
        <f>(2699.0/B12*100)</f>
        <v/>
      </c>
      <c r="D12" s="19" t="n">
        <v>723</v>
      </c>
      <c r="E12" s="18" t="n">
        <v>35.01781081</v>
      </c>
      <c r="F12" s="20" t="n">
        <v>2.45936398</v>
      </c>
      <c r="G12" s="18" t="n">
        <v>48.41727192</v>
      </c>
      <c r="H12" s="20" t="n">
        <v>2.62012279</v>
      </c>
      <c r="I12" s="18" t="n">
        <v>0</v>
      </c>
      <c r="J12" s="20" t="n">
        <v>0</v>
      </c>
      <c r="K12" s="18" t="n">
        <v>1.14669403</v>
      </c>
      <c r="L12" s="20" t="n">
        <v>0.43985765</v>
      </c>
      <c r="M12" s="18" t="n">
        <v>0</v>
      </c>
      <c r="N12" s="20" t="n">
        <v>0</v>
      </c>
      <c r="O12" s="18" t="n">
        <v>0</v>
      </c>
      <c r="P12" s="20" t="n">
        <v>0</v>
      </c>
      <c r="Q12" s="18" t="n">
        <v>15.41822325</v>
      </c>
      <c r="R12" s="20" t="n">
        <v>1.80731265</v>
      </c>
    </row>
    <row r="13" spans="1:18">
      <c r="A13" s="15" t="s">
        <v>571</v>
      </c>
      <c r="B13" s="17" t="n">
        <v>3602</v>
      </c>
      <c r="C13" s="18">
        <f>(2819.0/B13*100)</f>
        <v/>
      </c>
      <c r="D13" s="19" t="n">
        <v>783</v>
      </c>
      <c r="E13" s="18" t="n">
        <v>39.26949412</v>
      </c>
      <c r="F13" s="20" t="n">
        <v>1.97773893</v>
      </c>
      <c r="G13" s="18" t="n">
        <v>43.741628</v>
      </c>
      <c r="H13" s="20" t="n">
        <v>1.94206935</v>
      </c>
      <c r="I13" s="18" t="n">
        <v>0</v>
      </c>
      <c r="J13" s="20" t="n">
        <v>0</v>
      </c>
      <c r="K13" s="18" t="n">
        <v>1.76896723</v>
      </c>
      <c r="L13" s="20" t="n">
        <v>0.5115286</v>
      </c>
      <c r="M13" s="18" t="n">
        <v>0</v>
      </c>
      <c r="N13" s="20" t="n">
        <v>0</v>
      </c>
      <c r="O13" s="18" t="n">
        <v>0</v>
      </c>
      <c r="P13" s="20" t="n">
        <v>0</v>
      </c>
      <c r="Q13" s="18" t="n">
        <v>15.21991066</v>
      </c>
      <c r="R13" s="20" t="n">
        <v>1.79972363</v>
      </c>
    </row>
    <row r="14" spans="1:18">
      <c r="A14" s="15" t="s">
        <v>572</v>
      </c>
      <c r="B14" s="17" t="n">
        <v>2788</v>
      </c>
      <c r="C14" s="18">
        <f>(2147.0/B14*100)</f>
        <v/>
      </c>
      <c r="D14" s="19" t="n">
        <v>641</v>
      </c>
      <c r="E14" s="18" t="n">
        <v>41.92375484</v>
      </c>
      <c r="F14" s="20" t="n">
        <v>2.35367937</v>
      </c>
      <c r="G14" s="18" t="n">
        <v>44.34969962</v>
      </c>
      <c r="H14" s="20" t="n">
        <v>2.12353446</v>
      </c>
      <c r="I14" s="18" t="n">
        <v>0</v>
      </c>
      <c r="J14" s="20" t="n">
        <v>0</v>
      </c>
      <c r="K14" s="18" t="n">
        <v>1.02854912</v>
      </c>
      <c r="L14" s="20" t="n">
        <v>0.48623776</v>
      </c>
      <c r="M14" s="18" t="n">
        <v>0</v>
      </c>
      <c r="N14" s="20" t="n">
        <v>0</v>
      </c>
      <c r="O14" s="18" t="n">
        <v>0</v>
      </c>
      <c r="P14" s="20" t="n">
        <v>0</v>
      </c>
      <c r="Q14" s="18" t="n">
        <v>12.69799642</v>
      </c>
      <c r="R14" s="20" t="n">
        <v>1.51914458</v>
      </c>
    </row>
    <row r="15" spans="1:18">
      <c r="A15" s="15" t="s">
        <v>573</v>
      </c>
      <c r="B15" s="17" t="n">
        <v>2863</v>
      </c>
      <c r="C15" s="18">
        <f>(2270.0/B15*100)</f>
        <v/>
      </c>
      <c r="D15" s="19" t="n">
        <v>593</v>
      </c>
      <c r="E15" s="18" t="n">
        <v>27.47089486</v>
      </c>
      <c r="F15" s="20" t="n">
        <v>2.07919196</v>
      </c>
      <c r="G15" s="18" t="n">
        <v>66.34829329</v>
      </c>
      <c r="H15" s="20" t="n">
        <v>2.07952352</v>
      </c>
      <c r="I15" s="18" t="n">
        <v>0</v>
      </c>
      <c r="J15" s="20" t="n">
        <v>0</v>
      </c>
      <c r="K15" s="18" t="n">
        <v>0.34046959</v>
      </c>
      <c r="L15" s="20" t="n">
        <v>0.23518459</v>
      </c>
      <c r="M15" s="18" t="n">
        <v>0</v>
      </c>
      <c r="N15" s="20" t="n">
        <v>0</v>
      </c>
      <c r="O15" s="18" t="n">
        <v>0</v>
      </c>
      <c r="P15" s="20" t="n">
        <v>0</v>
      </c>
      <c r="Q15" s="18" t="n">
        <v>5.84034227</v>
      </c>
      <c r="R15" s="20" t="n">
        <v>1.05104457</v>
      </c>
    </row>
    <row r="16" spans="1:18">
      <c r="A16" s="15" t="s">
        <v>574</v>
      </c>
      <c r="B16" s="17" t="n">
        <v>3111</v>
      </c>
      <c r="C16" s="18">
        <f>(2412.0/B16*100)</f>
        <v/>
      </c>
      <c r="D16" s="19" t="n">
        <v>699</v>
      </c>
      <c r="E16" s="18" t="n">
        <v>33.68911802</v>
      </c>
      <c r="F16" s="20" t="n">
        <v>1.82225985</v>
      </c>
      <c r="G16" s="18" t="n">
        <v>44.4333897</v>
      </c>
      <c r="H16" s="20" t="n">
        <v>2.07352522</v>
      </c>
      <c r="I16" s="18" t="n">
        <v>0</v>
      </c>
      <c r="J16" s="20" t="n">
        <v>0</v>
      </c>
      <c r="K16" s="18" t="n">
        <v>3.83296737</v>
      </c>
      <c r="L16" s="20" t="n">
        <v>0.8103108999999999</v>
      </c>
      <c r="M16" s="18" t="n">
        <v>0</v>
      </c>
      <c r="N16" s="20" t="n">
        <v>0</v>
      </c>
      <c r="O16" s="18" t="n">
        <v>0</v>
      </c>
      <c r="P16" s="20" t="n">
        <v>0</v>
      </c>
      <c r="Q16" s="18" t="n">
        <v>18.04452491</v>
      </c>
      <c r="R16" s="20" t="n">
        <v>1.42217953</v>
      </c>
    </row>
    <row r="17" spans="1:18">
      <c r="A17" s="15" t="s">
        <v>575</v>
      </c>
      <c r="B17" s="17" t="n">
        <v>3197</v>
      </c>
      <c r="C17" s="18">
        <f>(2518.0/B17*100)</f>
        <v/>
      </c>
      <c r="D17" s="19" t="n">
        <v>679</v>
      </c>
      <c r="E17" s="18" t="n">
        <v>39.93111926</v>
      </c>
      <c r="F17" s="20" t="n">
        <v>1.98937451</v>
      </c>
      <c r="G17" s="18" t="n">
        <v>43.92963714</v>
      </c>
      <c r="H17" s="20" t="n">
        <v>1.83409899</v>
      </c>
      <c r="I17" s="18" t="n">
        <v>0</v>
      </c>
      <c r="J17" s="20" t="n">
        <v>0</v>
      </c>
      <c r="K17" s="18" t="n">
        <v>1.125537</v>
      </c>
      <c r="L17" s="20" t="n">
        <v>0.44230593</v>
      </c>
      <c r="M17" s="18" t="n">
        <v>0</v>
      </c>
      <c r="N17" s="20" t="n">
        <v>0</v>
      </c>
      <c r="O17" s="18" t="n">
        <v>0</v>
      </c>
      <c r="P17" s="20" t="n">
        <v>0</v>
      </c>
      <c r="Q17" s="18" t="n">
        <v>15.0137066</v>
      </c>
      <c r="R17" s="20" t="n">
        <v>1.39911126</v>
      </c>
    </row>
    <row r="18" spans="1:18">
      <c r="A18" s="15" t="s">
        <v>576</v>
      </c>
      <c r="B18" s="17" t="n">
        <v>2706</v>
      </c>
      <c r="C18" s="18">
        <f>(2095.0/B18*100)</f>
        <v/>
      </c>
      <c r="D18" s="19" t="n">
        <v>611</v>
      </c>
      <c r="E18" s="18" t="n">
        <v>46.39920842</v>
      </c>
      <c r="F18" s="20" t="n">
        <v>2.18324031</v>
      </c>
      <c r="G18" s="18" t="n">
        <v>32.7022253</v>
      </c>
      <c r="H18" s="20" t="n">
        <v>2.0056117</v>
      </c>
      <c r="I18" s="18" t="n">
        <v>0</v>
      </c>
      <c r="J18" s="20" t="n">
        <v>0</v>
      </c>
      <c r="K18" s="18" t="n">
        <v>2.55196245</v>
      </c>
      <c r="L18" s="20" t="n">
        <v>0.72716459</v>
      </c>
      <c r="M18" s="18" t="n">
        <v>0</v>
      </c>
      <c r="N18" s="20" t="n">
        <v>0</v>
      </c>
      <c r="O18" s="18" t="n">
        <v>0</v>
      </c>
      <c r="P18" s="20" t="n">
        <v>0</v>
      </c>
      <c r="Q18" s="18" t="n">
        <v>18.34660383</v>
      </c>
      <c r="R18" s="20" t="n">
        <v>1.46731414</v>
      </c>
    </row>
    <row r="19" spans="1:18">
      <c r="A19" s="15" t="s">
        <v>577</v>
      </c>
      <c r="B19" s="17" t="n">
        <v>2850</v>
      </c>
      <c r="C19" s="18">
        <f>(2255.0/B19*100)</f>
        <v/>
      </c>
      <c r="D19" s="19" t="n">
        <v>595</v>
      </c>
      <c r="E19" s="18" t="n">
        <v>44.72760511</v>
      </c>
      <c r="F19" s="20" t="n">
        <v>2.39212681</v>
      </c>
      <c r="G19" s="18" t="n">
        <v>34.80979011</v>
      </c>
      <c r="H19" s="20" t="n">
        <v>2.12128251</v>
      </c>
      <c r="I19" s="18" t="n">
        <v>0</v>
      </c>
      <c r="J19" s="20" t="n">
        <v>0</v>
      </c>
      <c r="K19" s="18" t="n">
        <v>1.07287601</v>
      </c>
      <c r="L19" s="20" t="n">
        <v>0.37920964</v>
      </c>
      <c r="M19" s="18" t="n">
        <v>0</v>
      </c>
      <c r="N19" s="20" t="n">
        <v>0</v>
      </c>
      <c r="O19" s="18" t="n">
        <v>0</v>
      </c>
      <c r="P19" s="20" t="n">
        <v>0</v>
      </c>
      <c r="Q19" s="18" t="n">
        <v>19.38972876</v>
      </c>
      <c r="R19" s="20" t="n">
        <v>2.10199787</v>
      </c>
    </row>
    <row r="20" spans="1:18">
      <c r="A20" s="15" t="s">
        <v>578</v>
      </c>
      <c r="B20" s="17" t="n">
        <v>1741</v>
      </c>
      <c r="C20" s="18">
        <f>(1364.0/B20*100)</f>
        <v/>
      </c>
      <c r="D20" s="19" t="n">
        <v>377</v>
      </c>
      <c r="E20" s="18" t="n">
        <v>43.65639849</v>
      </c>
      <c r="F20" s="20" t="n">
        <v>2.24495507</v>
      </c>
      <c r="G20" s="18" t="n">
        <v>36.44111526</v>
      </c>
      <c r="H20" s="20" t="n">
        <v>2.62571331</v>
      </c>
      <c r="I20" s="18" t="n">
        <v>0</v>
      </c>
      <c r="J20" s="20" t="n">
        <v>0</v>
      </c>
      <c r="K20" s="18" t="n">
        <v>2.55422729</v>
      </c>
      <c r="L20" s="20" t="n">
        <v>0.79013489</v>
      </c>
      <c r="M20" s="18" t="n">
        <v>0</v>
      </c>
      <c r="N20" s="20" t="n">
        <v>0</v>
      </c>
      <c r="O20" s="18" t="n">
        <v>0</v>
      </c>
      <c r="P20" s="20" t="n">
        <v>0</v>
      </c>
      <c r="Q20" s="18" t="n">
        <v>17.34825896</v>
      </c>
      <c r="R20" s="20" t="n">
        <v>2.16325772</v>
      </c>
    </row>
    <row r="21" spans="1:18">
      <c r="A21" s="15" t="s">
        <v>579</v>
      </c>
      <c r="B21" s="17" t="n">
        <v>2833</v>
      </c>
      <c r="C21" s="18">
        <f>(2228.0/B21*100)</f>
        <v/>
      </c>
      <c r="D21" s="19" t="n">
        <v>605</v>
      </c>
      <c r="E21" s="18" t="n">
        <v>44.24619991</v>
      </c>
      <c r="F21" s="20" t="n">
        <v>1.95115681</v>
      </c>
      <c r="G21" s="18" t="n">
        <v>42.70675206</v>
      </c>
      <c r="H21" s="20" t="n">
        <v>1.96658587</v>
      </c>
      <c r="I21" s="18" t="n">
        <v>0</v>
      </c>
      <c r="J21" s="20" t="n">
        <v>0</v>
      </c>
      <c r="K21" s="18" t="n">
        <v>1.50546495</v>
      </c>
      <c r="L21" s="20" t="n">
        <v>0.49850973</v>
      </c>
      <c r="M21" s="18" t="n">
        <v>0</v>
      </c>
      <c r="N21" s="20" t="n">
        <v>0</v>
      </c>
      <c r="O21" s="18" t="n">
        <v>0</v>
      </c>
      <c r="P21" s="20" t="n">
        <v>0</v>
      </c>
      <c r="Q21" s="18" t="n">
        <v>11.54158307</v>
      </c>
      <c r="R21" s="20" t="n">
        <v>1.37320366</v>
      </c>
    </row>
    <row r="22" spans="1:18">
      <c r="A22" s="15" t="s">
        <v>580</v>
      </c>
      <c r="B22" s="17" t="n">
        <v>3667</v>
      </c>
      <c r="C22" s="18">
        <f>(2890.0/B22*100)</f>
        <v/>
      </c>
      <c r="D22" s="19" t="n">
        <v>777</v>
      </c>
      <c r="E22" s="18" t="n">
        <v>47.52346124</v>
      </c>
      <c r="F22" s="20" t="n">
        <v>1.89461029</v>
      </c>
      <c r="G22" s="18" t="n">
        <v>30.5774994</v>
      </c>
      <c r="H22" s="20" t="n">
        <v>1.66303831</v>
      </c>
      <c r="I22" s="18" t="n">
        <v>0</v>
      </c>
      <c r="J22" s="20" t="n">
        <v>0</v>
      </c>
      <c r="K22" s="18" t="n">
        <v>1.99089507</v>
      </c>
      <c r="L22" s="20" t="n">
        <v>0.5660755</v>
      </c>
      <c r="M22" s="18" t="n">
        <v>0</v>
      </c>
      <c r="N22" s="20" t="n">
        <v>0</v>
      </c>
      <c r="O22" s="18" t="n">
        <v>0</v>
      </c>
      <c r="P22" s="20" t="n">
        <v>0</v>
      </c>
      <c r="Q22" s="18" t="n">
        <v>19.90814429</v>
      </c>
      <c r="R22" s="20" t="n">
        <v>1.4390369</v>
      </c>
    </row>
    <row r="23" spans="1:18">
      <c r="A23" s="15" t="s">
        <v>581</v>
      </c>
      <c r="B23" s="17" t="n">
        <v>5792</v>
      </c>
      <c r="C23" s="18">
        <f>(4552.0/B23*100)</f>
        <v/>
      </c>
      <c r="D23" s="19" t="n">
        <v>1240</v>
      </c>
      <c r="E23" s="18" t="n">
        <v>34.30218579</v>
      </c>
      <c r="F23" s="20" t="n">
        <v>2.53997725</v>
      </c>
      <c r="G23" s="18" t="n">
        <v>42.3408983</v>
      </c>
      <c r="H23" s="20" t="n">
        <v>1.98762157</v>
      </c>
      <c r="I23" s="18" t="n">
        <v>0</v>
      </c>
      <c r="J23" s="20" t="n">
        <v>0</v>
      </c>
      <c r="K23" s="18" t="n">
        <v>2.19447798</v>
      </c>
      <c r="L23" s="20" t="n">
        <v>0.58633921</v>
      </c>
      <c r="M23" s="18" t="n">
        <v>0</v>
      </c>
      <c r="N23" s="20" t="n">
        <v>0</v>
      </c>
      <c r="O23" s="18" t="n">
        <v>0</v>
      </c>
      <c r="P23" s="20" t="n">
        <v>0</v>
      </c>
      <c r="Q23" s="18" t="n">
        <v>21.16243793</v>
      </c>
      <c r="R23" s="20" t="n">
        <v>2.08850114</v>
      </c>
    </row>
    <row r="24" spans="1:18">
      <c r="A24" s="15" t="s">
        <v>582</v>
      </c>
      <c r="B24" s="17" t="n">
        <v>3309</v>
      </c>
      <c r="C24" s="18">
        <f>(2619.0/B24*100)</f>
        <v/>
      </c>
      <c r="D24" s="19" t="n">
        <v>690</v>
      </c>
      <c r="E24" s="18" t="n">
        <v>35.35816216</v>
      </c>
      <c r="F24" s="20" t="n">
        <v>1.95410639</v>
      </c>
      <c r="G24" s="18" t="n">
        <v>49.89293857</v>
      </c>
      <c r="H24" s="20" t="n">
        <v>2.04590596</v>
      </c>
      <c r="I24" s="18" t="n">
        <v>0</v>
      </c>
      <c r="J24" s="20" t="n">
        <v>0</v>
      </c>
      <c r="K24" s="18" t="n">
        <v>0.28828025</v>
      </c>
      <c r="L24" s="20" t="n">
        <v>0.2043056</v>
      </c>
      <c r="M24" s="18" t="n">
        <v>0</v>
      </c>
      <c r="N24" s="20" t="n">
        <v>0</v>
      </c>
      <c r="O24" s="18" t="n">
        <v>0</v>
      </c>
      <c r="P24" s="20" t="n">
        <v>0</v>
      </c>
      <c r="Q24" s="18" t="n">
        <v>14.46061902</v>
      </c>
      <c r="R24" s="20" t="n">
        <v>1.31738027</v>
      </c>
    </row>
    <row r="25" spans="1:18">
      <c r="A25" s="15" t="s">
        <v>583</v>
      </c>
      <c r="B25" s="17" t="n">
        <v>2669</v>
      </c>
      <c r="C25" s="18">
        <f>(2053.0/B25*100)</f>
        <v/>
      </c>
      <c r="D25" s="19" t="n">
        <v>616</v>
      </c>
      <c r="E25" s="18" t="n">
        <v>41.22705902</v>
      </c>
      <c r="F25" s="20" t="n">
        <v>2.44415541</v>
      </c>
      <c r="G25" s="18" t="n">
        <v>51.47828765</v>
      </c>
      <c r="H25" s="20" t="n">
        <v>2.4306593</v>
      </c>
      <c r="I25" s="18" t="n">
        <v>0</v>
      </c>
      <c r="J25" s="20" t="n">
        <v>0</v>
      </c>
      <c r="K25" s="18" t="n">
        <v>0.15952706</v>
      </c>
      <c r="L25" s="20" t="n">
        <v>0.16018449</v>
      </c>
      <c r="M25" s="18" t="n">
        <v>0</v>
      </c>
      <c r="N25" s="20" t="n">
        <v>0</v>
      </c>
      <c r="O25" s="18" t="n">
        <v>0</v>
      </c>
      <c r="P25" s="20" t="n">
        <v>0</v>
      </c>
      <c r="Q25" s="18" t="n">
        <v>7.13512626</v>
      </c>
      <c r="R25" s="20" t="n">
        <v>1.11705733</v>
      </c>
    </row>
    <row r="26" spans="1:18">
      <c r="A26" s="15" t="s">
        <v>584</v>
      </c>
      <c r="B26" s="17" t="n">
        <v>2419</v>
      </c>
      <c r="C26" s="18">
        <f>(1893.0/B26*100)</f>
        <v/>
      </c>
      <c r="D26" s="19" t="n">
        <v>526</v>
      </c>
      <c r="E26" s="18" t="n">
        <v>55.45379653</v>
      </c>
      <c r="F26" s="20" t="n">
        <v>2.0306456</v>
      </c>
      <c r="G26" s="18" t="n">
        <v>30.05996443</v>
      </c>
      <c r="H26" s="20" t="n">
        <v>2.12479469</v>
      </c>
      <c r="I26" s="18" t="n">
        <v>0</v>
      </c>
      <c r="J26" s="20" t="n">
        <v>0</v>
      </c>
      <c r="K26" s="18" t="n">
        <v>1.35416082</v>
      </c>
      <c r="L26" s="20" t="n">
        <v>0.60785114</v>
      </c>
      <c r="M26" s="18" t="n">
        <v>0</v>
      </c>
      <c r="N26" s="20" t="n">
        <v>0</v>
      </c>
      <c r="O26" s="18" t="n">
        <v>0</v>
      </c>
      <c r="P26" s="20" t="n">
        <v>0</v>
      </c>
      <c r="Q26" s="18" t="n">
        <v>13.13207823</v>
      </c>
      <c r="R26" s="20" t="n">
        <v>1.481346</v>
      </c>
    </row>
    <row r="27" spans="1:18">
      <c r="A27" s="15" t="s">
        <v>585</v>
      </c>
      <c r="B27" s="17" t="n">
        <v>2683</v>
      </c>
      <c r="C27" s="18">
        <f>(2121.0/B27*100)</f>
        <v/>
      </c>
      <c r="D27" s="19" t="n">
        <v>562</v>
      </c>
      <c r="E27" s="18" t="n">
        <v>39.99644427</v>
      </c>
      <c r="F27" s="20" t="n">
        <v>2.00706586</v>
      </c>
      <c r="G27" s="18" t="n">
        <v>38.40677948</v>
      </c>
      <c r="H27" s="20" t="n">
        <v>2.0005023</v>
      </c>
      <c r="I27" s="18" t="n">
        <v>0</v>
      </c>
      <c r="J27" s="20" t="n">
        <v>0</v>
      </c>
      <c r="K27" s="18" t="n">
        <v>1.42200152</v>
      </c>
      <c r="L27" s="20" t="n">
        <v>0.42054617</v>
      </c>
      <c r="M27" s="18" t="n">
        <v>0</v>
      </c>
      <c r="N27" s="20" t="n">
        <v>0</v>
      </c>
      <c r="O27" s="18" t="n">
        <v>0</v>
      </c>
      <c r="P27" s="20" t="n">
        <v>0</v>
      </c>
      <c r="Q27" s="18" t="n">
        <v>20.17477473</v>
      </c>
      <c r="R27" s="20" t="n">
        <v>1.60686281</v>
      </c>
    </row>
    <row r="28" spans="1:18">
      <c r="A28" s="15" t="s">
        <v>586</v>
      </c>
      <c r="B28" s="17" t="n">
        <v>3803</v>
      </c>
      <c r="C28" s="18">
        <f>(3056.0/B28*100)</f>
        <v/>
      </c>
      <c r="D28" s="19" t="n">
        <v>747</v>
      </c>
      <c r="E28" s="18" t="n">
        <v>40.25571008</v>
      </c>
      <c r="F28" s="20" t="n">
        <v>2.11037314</v>
      </c>
      <c r="G28" s="18" t="n">
        <v>25.09992578</v>
      </c>
      <c r="H28" s="20" t="n">
        <v>1.94191896</v>
      </c>
      <c r="I28" s="18" t="n">
        <v>0</v>
      </c>
      <c r="J28" s="20" t="n">
        <v>0</v>
      </c>
      <c r="K28" s="18" t="n">
        <v>2.55086014</v>
      </c>
      <c r="L28" s="20" t="n">
        <v>0.99106536</v>
      </c>
      <c r="M28" s="18" t="n">
        <v>0</v>
      </c>
      <c r="N28" s="20" t="n">
        <v>0</v>
      </c>
      <c r="O28" s="18" t="n">
        <v>0</v>
      </c>
      <c r="P28" s="20" t="n">
        <v>0</v>
      </c>
      <c r="Q28" s="18" t="n">
        <v>32.093504</v>
      </c>
      <c r="R28" s="20" t="n">
        <v>1.89941138</v>
      </c>
    </row>
    <row r="29" spans="1:18">
      <c r="A29" s="15" t="s">
        <v>587</v>
      </c>
      <c r="B29" s="17" t="n">
        <v>2700</v>
      </c>
      <c r="C29" s="18">
        <f>(2142.0/B29*100)</f>
        <v/>
      </c>
      <c r="D29" s="19" t="n">
        <v>558</v>
      </c>
      <c r="E29" s="18" t="n">
        <v>44.19295813</v>
      </c>
      <c r="F29" s="20" t="n">
        <v>1.99590558</v>
      </c>
      <c r="G29" s="18" t="n">
        <v>43.30594595</v>
      </c>
      <c r="H29" s="20" t="n">
        <v>2.32140801</v>
      </c>
      <c r="I29" s="18" t="n">
        <v>0</v>
      </c>
      <c r="J29" s="20" t="n">
        <v>0</v>
      </c>
      <c r="K29" s="18" t="n">
        <v>0</v>
      </c>
      <c r="L29" s="20" t="n">
        <v>0</v>
      </c>
      <c r="M29" s="18" t="n">
        <v>0</v>
      </c>
      <c r="N29" s="20" t="n">
        <v>0</v>
      </c>
      <c r="O29" s="18" t="n">
        <v>0</v>
      </c>
      <c r="P29" s="20" t="n">
        <v>0</v>
      </c>
      <c r="Q29" s="18" t="n">
        <v>12.50109592</v>
      </c>
      <c r="R29" s="20" t="n">
        <v>1.47869531</v>
      </c>
    </row>
    <row r="30" spans="1:18">
      <c r="A30" s="15" t="s">
        <v>588</v>
      </c>
      <c r="B30" s="17" t="n">
        <v>2257</v>
      </c>
      <c r="C30" s="18">
        <f>(1800.0/B30*100)</f>
        <v/>
      </c>
      <c r="D30" s="19" t="n">
        <v>457</v>
      </c>
      <c r="E30" s="18" t="n">
        <v>35.75979569</v>
      </c>
      <c r="F30" s="20" t="n">
        <v>2.36111327</v>
      </c>
      <c r="G30" s="18" t="n">
        <v>40.9665331</v>
      </c>
      <c r="H30" s="20" t="n">
        <v>2.41206981</v>
      </c>
      <c r="I30" s="18" t="n">
        <v>0</v>
      </c>
      <c r="J30" s="20" t="n">
        <v>0</v>
      </c>
      <c r="K30" s="18" t="n">
        <v>2.32759412</v>
      </c>
      <c r="L30" s="20" t="n">
        <v>0.85754131</v>
      </c>
      <c r="M30" s="18" t="n">
        <v>0</v>
      </c>
      <c r="N30" s="20" t="n">
        <v>0</v>
      </c>
      <c r="O30" s="18" t="n">
        <v>0</v>
      </c>
      <c r="P30" s="20" t="n">
        <v>0</v>
      </c>
      <c r="Q30" s="18" t="n">
        <v>20.94607709</v>
      </c>
      <c r="R30" s="20" t="n">
        <v>2.05747767</v>
      </c>
    </row>
    <row r="31" spans="1:18">
      <c r="A31" s="15" t="s">
        <v>589</v>
      </c>
      <c r="B31" s="17" t="n">
        <v>2706</v>
      </c>
      <c r="C31" s="18">
        <f>(2098.0/B31*100)</f>
        <v/>
      </c>
      <c r="D31" s="19" t="n">
        <v>608</v>
      </c>
      <c r="E31" s="18" t="n">
        <v>39.75099567</v>
      </c>
      <c r="F31" s="20" t="n">
        <v>2.01643486</v>
      </c>
      <c r="G31" s="18" t="n">
        <v>41.82279177</v>
      </c>
      <c r="H31" s="20" t="n">
        <v>2.0765809</v>
      </c>
      <c r="I31" s="18" t="n">
        <v>0</v>
      </c>
      <c r="J31" s="20" t="n">
        <v>0</v>
      </c>
      <c r="K31" s="18" t="n">
        <v>1.83461875</v>
      </c>
      <c r="L31" s="20" t="n">
        <v>0.4544258</v>
      </c>
      <c r="M31" s="18" t="n">
        <v>0</v>
      </c>
      <c r="N31" s="20" t="n">
        <v>0</v>
      </c>
      <c r="O31" s="18" t="n">
        <v>0</v>
      </c>
      <c r="P31" s="20" t="n">
        <v>0</v>
      </c>
      <c r="Q31" s="18" t="n">
        <v>16.59159381</v>
      </c>
      <c r="R31" s="20" t="n">
        <v>1.53222883</v>
      </c>
    </row>
    <row r="32" spans="1:18">
      <c r="A32" s="15" t="s">
        <v>590</v>
      </c>
      <c r="B32" s="17" t="n">
        <v>2209</v>
      </c>
      <c r="C32" s="18">
        <f>(1707.0/B32*100)</f>
        <v/>
      </c>
      <c r="D32" s="19" t="n">
        <v>502</v>
      </c>
      <c r="E32" s="18" t="n">
        <v>38.82218874</v>
      </c>
      <c r="F32" s="20" t="n">
        <v>2.12145468</v>
      </c>
      <c r="G32" s="18" t="n">
        <v>42.50583424</v>
      </c>
      <c r="H32" s="20" t="n">
        <v>2.35762951</v>
      </c>
      <c r="I32" s="18" t="n">
        <v>0</v>
      </c>
      <c r="J32" s="20" t="n">
        <v>0</v>
      </c>
      <c r="K32" s="18" t="n">
        <v>0.61787067</v>
      </c>
      <c r="L32" s="20" t="n">
        <v>0.49791219</v>
      </c>
      <c r="M32" s="18" t="n">
        <v>0</v>
      </c>
      <c r="N32" s="20" t="n">
        <v>0</v>
      </c>
      <c r="O32" s="18" t="n">
        <v>0</v>
      </c>
      <c r="P32" s="20" t="n">
        <v>0</v>
      </c>
      <c r="Q32" s="18" t="n">
        <v>18.05410635</v>
      </c>
      <c r="R32" s="20" t="n">
        <v>1.56041284</v>
      </c>
    </row>
    <row r="33" spans="1:18">
      <c r="A33" s="15" t="s">
        <v>591</v>
      </c>
      <c r="B33" s="17" t="n">
        <v>3651</v>
      </c>
      <c r="C33" s="18">
        <f>(2895.0/B33*100)</f>
        <v/>
      </c>
      <c r="D33" s="19" t="n">
        <v>756</v>
      </c>
      <c r="E33" s="18" t="n">
        <v>44.49110335</v>
      </c>
      <c r="F33" s="20" t="n">
        <v>1.98920617</v>
      </c>
      <c r="G33" s="18" t="n">
        <v>35.5962952</v>
      </c>
      <c r="H33" s="20" t="n">
        <v>1.97693392</v>
      </c>
      <c r="I33" s="18" t="n">
        <v>0</v>
      </c>
      <c r="J33" s="20" t="n">
        <v>0</v>
      </c>
      <c r="K33" s="18" t="n">
        <v>1.93373651</v>
      </c>
      <c r="L33" s="20" t="n">
        <v>0.62649939</v>
      </c>
      <c r="M33" s="18" t="n">
        <v>0</v>
      </c>
      <c r="N33" s="20" t="n">
        <v>0</v>
      </c>
      <c r="O33" s="18" t="n">
        <v>0</v>
      </c>
      <c r="P33" s="20" t="n">
        <v>0</v>
      </c>
      <c r="Q33" s="18" t="n">
        <v>17.97886495</v>
      </c>
      <c r="R33" s="20" t="n">
        <v>1.57021918</v>
      </c>
    </row>
    <row r="34" spans="1:18">
      <c r="A34" s="15" t="s">
        <v>592</v>
      </c>
      <c r="B34" s="17" t="n">
        <v>3035</v>
      </c>
      <c r="C34" s="18">
        <f>(2441.0/B34*100)</f>
        <v/>
      </c>
      <c r="D34" s="19" t="n">
        <v>594</v>
      </c>
      <c r="E34" s="18" t="n">
        <v>42.90904534</v>
      </c>
      <c r="F34" s="20" t="n">
        <v>1.94676962</v>
      </c>
      <c r="G34" s="18" t="n">
        <v>34.25007676</v>
      </c>
      <c r="H34" s="20" t="n">
        <v>2.09727861</v>
      </c>
      <c r="I34" s="18" t="n">
        <v>0</v>
      </c>
      <c r="J34" s="20" t="n">
        <v>0</v>
      </c>
      <c r="K34" s="18" t="n">
        <v>2.18721119</v>
      </c>
      <c r="L34" s="20" t="n">
        <v>0.63527945</v>
      </c>
      <c r="M34" s="18" t="n">
        <v>0</v>
      </c>
      <c r="N34" s="20" t="n">
        <v>0</v>
      </c>
      <c r="O34" s="18" t="n">
        <v>0</v>
      </c>
      <c r="P34" s="20" t="n">
        <v>0</v>
      </c>
      <c r="Q34" s="18" t="n">
        <v>20.65366671</v>
      </c>
      <c r="R34" s="20" t="n">
        <v>1.61116547</v>
      </c>
    </row>
    <row r="35" spans="1:18">
      <c r="A35" s="15" t="s">
        <v>593</v>
      </c>
      <c r="B35" s="17" t="n">
        <v>2901</v>
      </c>
      <c r="C35" s="18">
        <f>(2275.0/B35*100)</f>
        <v/>
      </c>
      <c r="D35" s="19" t="n">
        <v>626</v>
      </c>
      <c r="E35" s="18" t="n">
        <v>45.35111808</v>
      </c>
      <c r="F35" s="20" t="n">
        <v>2.42438009</v>
      </c>
      <c r="G35" s="18" t="n">
        <v>42.95114498</v>
      </c>
      <c r="H35" s="20" t="n">
        <v>2.20256413</v>
      </c>
      <c r="I35" s="18" t="n">
        <v>0</v>
      </c>
      <c r="J35" s="20" t="n">
        <v>0</v>
      </c>
      <c r="K35" s="18" t="n">
        <v>0.33490866</v>
      </c>
      <c r="L35" s="20" t="n">
        <v>0.15741624</v>
      </c>
      <c r="M35" s="18" t="n">
        <v>0</v>
      </c>
      <c r="N35" s="20" t="n">
        <v>0</v>
      </c>
      <c r="O35" s="18" t="n">
        <v>0</v>
      </c>
      <c r="P35" s="20" t="n">
        <v>0</v>
      </c>
      <c r="Q35" s="18" t="n">
        <v>11.36282828</v>
      </c>
      <c r="R35" s="20" t="n">
        <v>1.41934434</v>
      </c>
    </row>
    <row r="36" spans="1:18">
      <c r="A36" s="15" t="s">
        <v>594</v>
      </c>
      <c r="B36" s="17" t="n">
        <v>3404</v>
      </c>
      <c r="C36" s="18">
        <f>(2703.0/B36*100)</f>
        <v/>
      </c>
      <c r="D36" s="19" t="n">
        <v>701</v>
      </c>
      <c r="E36" s="18" t="n">
        <v>42.5571339</v>
      </c>
      <c r="F36" s="20" t="n">
        <v>1.860211</v>
      </c>
      <c r="G36" s="18" t="n">
        <v>34.90237247</v>
      </c>
      <c r="H36" s="20" t="n">
        <v>1.72353981</v>
      </c>
      <c r="I36" s="18" t="n">
        <v>0</v>
      </c>
      <c r="J36" s="20" t="n">
        <v>0</v>
      </c>
      <c r="K36" s="18" t="n">
        <v>0.6437860399999999</v>
      </c>
      <c r="L36" s="20" t="n">
        <v>0.41127734</v>
      </c>
      <c r="M36" s="18" t="n">
        <v>0</v>
      </c>
      <c r="N36" s="20" t="n">
        <v>0</v>
      </c>
      <c r="O36" s="18" t="n">
        <v>0</v>
      </c>
      <c r="P36" s="20" t="n">
        <v>0</v>
      </c>
      <c r="Q36" s="18" t="n">
        <v>21.89670758</v>
      </c>
      <c r="R36" s="20" t="n">
        <v>1.83899394</v>
      </c>
    </row>
    <row r="37" spans="1:18">
      <c r="A37" s="15" t="s">
        <v>595</v>
      </c>
      <c r="B37" s="17" t="n">
        <v>2731</v>
      </c>
      <c r="C37" s="18">
        <f>(2195.0/B37*100)</f>
        <v/>
      </c>
      <c r="D37" s="19" t="n">
        <v>536</v>
      </c>
      <c r="E37" s="18" t="n">
        <v>38.3747891</v>
      </c>
      <c r="F37" s="20" t="n">
        <v>1.99968765</v>
      </c>
      <c r="G37" s="18" t="n">
        <v>40.0143424</v>
      </c>
      <c r="H37" s="20" t="n">
        <v>2.13090291</v>
      </c>
      <c r="I37" s="18" t="n">
        <v>0</v>
      </c>
      <c r="J37" s="20" t="n">
        <v>0</v>
      </c>
      <c r="K37" s="18" t="n">
        <v>2.77613023</v>
      </c>
      <c r="L37" s="20" t="n">
        <v>0.82834598</v>
      </c>
      <c r="M37" s="18" t="n">
        <v>0</v>
      </c>
      <c r="N37" s="20" t="n">
        <v>0</v>
      </c>
      <c r="O37" s="18" t="n">
        <v>0</v>
      </c>
      <c r="P37" s="20" t="n">
        <v>0</v>
      </c>
      <c r="Q37" s="18" t="n">
        <v>18.83473827</v>
      </c>
      <c r="R37" s="20" t="n">
        <v>1.66206013</v>
      </c>
    </row>
    <row r="38" spans="1:18">
      <c r="A38" s="15" t="s">
        <v>596</v>
      </c>
      <c r="B38" s="17" t="n">
        <v>2807</v>
      </c>
      <c r="C38" s="18">
        <f>(2216.0/B38*100)</f>
        <v/>
      </c>
      <c r="D38" s="19" t="n">
        <v>591</v>
      </c>
      <c r="E38" s="18" t="n">
        <v>44.15943429</v>
      </c>
      <c r="F38" s="20" t="n">
        <v>2.34216947</v>
      </c>
      <c r="G38" s="18" t="n">
        <v>39.23121283</v>
      </c>
      <c r="H38" s="20" t="n">
        <v>2.50704304</v>
      </c>
      <c r="I38" s="18" t="n">
        <v>0</v>
      </c>
      <c r="J38" s="20" t="n">
        <v>0</v>
      </c>
      <c r="K38" s="18" t="n">
        <v>1.12198019</v>
      </c>
      <c r="L38" s="20" t="n">
        <v>0.40590514</v>
      </c>
      <c r="M38" s="18" t="n">
        <v>0</v>
      </c>
      <c r="N38" s="20" t="n">
        <v>0</v>
      </c>
      <c r="O38" s="18" t="n">
        <v>0</v>
      </c>
      <c r="P38" s="20" t="n">
        <v>0</v>
      </c>
      <c r="Q38" s="18" t="n">
        <v>15.48737269</v>
      </c>
      <c r="R38" s="20" t="n">
        <v>1.9488996</v>
      </c>
    </row>
    <row r="39" spans="1:18">
      <c r="A39" s="15" t="s">
        <v>597</v>
      </c>
      <c r="B39" s="17" t="n">
        <v>2938</v>
      </c>
      <c r="C39" s="18">
        <f>(2309.0/B39*100)</f>
        <v/>
      </c>
      <c r="D39" s="19" t="n">
        <v>629</v>
      </c>
      <c r="E39" s="18" t="n">
        <v>45.23324171</v>
      </c>
      <c r="F39" s="20" t="n">
        <v>1.91931832</v>
      </c>
      <c r="G39" s="18" t="n">
        <v>23.43825037</v>
      </c>
      <c r="H39" s="20" t="n">
        <v>1.62564149</v>
      </c>
      <c r="I39" s="18" t="n">
        <v>0</v>
      </c>
      <c r="J39" s="20" t="n">
        <v>0</v>
      </c>
      <c r="K39" s="18" t="n">
        <v>0.65970505</v>
      </c>
      <c r="L39" s="20" t="n">
        <v>0.25789918</v>
      </c>
      <c r="M39" s="18" t="n">
        <v>0</v>
      </c>
      <c r="N39" s="20" t="n">
        <v>0</v>
      </c>
      <c r="O39" s="18" t="n">
        <v>0</v>
      </c>
      <c r="P39" s="20" t="n">
        <v>0</v>
      </c>
      <c r="Q39" s="18" t="n">
        <v>30.66880287</v>
      </c>
      <c r="R39" s="20" t="n">
        <v>2.12666308</v>
      </c>
    </row>
    <row r="40" spans="1:18">
      <c r="A40" s="15" t="s">
        <v>598</v>
      </c>
      <c r="B40" s="17" t="n">
        <v>6922</v>
      </c>
      <c r="C40" s="18">
        <f>(5346.0/B40*100)</f>
        <v/>
      </c>
      <c r="D40" s="19" t="n">
        <v>1576</v>
      </c>
      <c r="E40" s="18" t="n">
        <v>36.33576563</v>
      </c>
      <c r="F40" s="20" t="n">
        <v>1.99120283</v>
      </c>
      <c r="G40" s="18" t="n">
        <v>49.15415961</v>
      </c>
      <c r="H40" s="20" t="n">
        <v>1.9197562</v>
      </c>
      <c r="I40" s="18" t="n">
        <v>0</v>
      </c>
      <c r="J40" s="20" t="n">
        <v>0</v>
      </c>
      <c r="K40" s="18" t="n">
        <v>1.17756408</v>
      </c>
      <c r="L40" s="20" t="n">
        <v>0.3990906</v>
      </c>
      <c r="M40" s="18" t="n">
        <v>0</v>
      </c>
      <c r="N40" s="20" t="n">
        <v>0</v>
      </c>
      <c r="O40" s="18" t="n">
        <v>0</v>
      </c>
      <c r="P40" s="20" t="n">
        <v>0</v>
      </c>
      <c r="Q40" s="18" t="n">
        <v>13.33251068</v>
      </c>
      <c r="R40" s="20" t="n">
        <v>1.47326087</v>
      </c>
    </row>
    <row r="41" spans="1:18">
      <c r="A41" s="15" t="s">
        <v>599</v>
      </c>
      <c r="B41" s="17" t="n">
        <v>2854</v>
      </c>
      <c r="C41" s="18">
        <f>(2230.0/B41*100)</f>
        <v/>
      </c>
      <c r="D41" s="19" t="n">
        <v>624</v>
      </c>
      <c r="E41" s="18" t="n">
        <v>42.43168966</v>
      </c>
      <c r="F41" s="20" t="n">
        <v>1.90080399</v>
      </c>
      <c r="G41" s="18" t="n">
        <v>39.04828998</v>
      </c>
      <c r="H41" s="20" t="n">
        <v>2.03740281</v>
      </c>
      <c r="I41" s="18" t="n">
        <v>0</v>
      </c>
      <c r="J41" s="20" t="n">
        <v>0</v>
      </c>
      <c r="K41" s="18" t="n">
        <v>1.23657147</v>
      </c>
      <c r="L41" s="20" t="n">
        <v>0.56886305</v>
      </c>
      <c r="M41" s="18" t="n">
        <v>0</v>
      </c>
      <c r="N41" s="20" t="n">
        <v>0</v>
      </c>
      <c r="O41" s="18" t="n">
        <v>0</v>
      </c>
      <c r="P41" s="20" t="n">
        <v>0</v>
      </c>
      <c r="Q41" s="18" t="n">
        <v>17.28344889</v>
      </c>
      <c r="R41" s="20" t="n">
        <v>1.65363517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(10290.0/B46*100)</f>
        <v/>
      </c>
      <c r="D46" s="19" t="n">
        <v>1783</v>
      </c>
      <c r="E46" s="18" t="n">
        <v>37.03821887</v>
      </c>
      <c r="F46" s="20" t="n">
        <v>1.59077069</v>
      </c>
      <c r="G46" s="18" t="n">
        <v>20.91749446</v>
      </c>
      <c r="H46" s="20" t="n">
        <v>1.40989788</v>
      </c>
      <c r="I46" s="18" t="n">
        <v>0</v>
      </c>
      <c r="J46" s="20" t="n">
        <v>0</v>
      </c>
      <c r="K46" s="18" t="n">
        <v>4.02310275</v>
      </c>
      <c r="L46" s="20" t="n">
        <v>0.75591007</v>
      </c>
      <c r="M46" s="18" t="n">
        <v>0</v>
      </c>
      <c r="N46" s="20" t="n">
        <v>0</v>
      </c>
      <c r="O46" s="18" t="n">
        <v>0</v>
      </c>
      <c r="P46" s="20" t="n">
        <v>0</v>
      </c>
      <c r="Q46" s="18" t="n">
        <v>38.02118392</v>
      </c>
      <c r="R46" s="20" t="n">
        <v>1.75472302</v>
      </c>
    </row>
    <row r="47" spans="1:18">
      <c r="A47" s="15" t="s">
        <v>606</v>
      </c>
      <c r="B47" s="17" t="n">
        <v>2823</v>
      </c>
      <c r="C47" s="18">
        <f>(2221.0/B47*100)</f>
        <v/>
      </c>
      <c r="D47" s="19" t="n">
        <v>602</v>
      </c>
      <c r="E47" s="18" t="n">
        <v>41.50590866</v>
      </c>
      <c r="F47" s="20" t="n">
        <v>1.93619132</v>
      </c>
      <c r="G47" s="18" t="n">
        <v>29.42523203</v>
      </c>
      <c r="H47" s="20" t="n">
        <v>2.04988193</v>
      </c>
      <c r="I47" s="18" t="n">
        <v>0</v>
      </c>
      <c r="J47" s="20" t="n">
        <v>0</v>
      </c>
      <c r="K47" s="18" t="n">
        <v>2.0036432</v>
      </c>
      <c r="L47" s="20" t="n">
        <v>0.55434945</v>
      </c>
      <c r="M47" s="18" t="n">
        <v>0</v>
      </c>
      <c r="N47" s="20" t="n">
        <v>0</v>
      </c>
      <c r="O47" s="18" t="n">
        <v>0</v>
      </c>
      <c r="P47" s="20" t="n">
        <v>0</v>
      </c>
      <c r="Q47" s="18" t="n">
        <v>27.06521611</v>
      </c>
      <c r="R47" s="20" t="n">
        <v>1.95257253</v>
      </c>
    </row>
    <row r="48" spans="1:18">
      <c r="A48" s="15" t="s">
        <v>607</v>
      </c>
      <c r="B48" s="17" t="n">
        <v>4682</v>
      </c>
      <c r="C48" s="18">
        <f>(3648.0/B48*100)</f>
        <v/>
      </c>
      <c r="D48" s="19" t="n">
        <v>1034</v>
      </c>
      <c r="E48" s="18" t="n">
        <v>33.06055341</v>
      </c>
      <c r="F48" s="20" t="n">
        <v>2.08282445</v>
      </c>
      <c r="G48" s="18" t="n">
        <v>28.14736513</v>
      </c>
      <c r="H48" s="20" t="n">
        <v>2.37700879</v>
      </c>
      <c r="I48" s="18" t="n">
        <v>0</v>
      </c>
      <c r="J48" s="20" t="n">
        <v>0</v>
      </c>
      <c r="K48" s="18" t="n">
        <v>0.95312198</v>
      </c>
      <c r="L48" s="20" t="n">
        <v>0.43449612</v>
      </c>
      <c r="M48" s="18" t="n">
        <v>0</v>
      </c>
      <c r="N48" s="20" t="n">
        <v>0</v>
      </c>
      <c r="O48" s="18" t="n">
        <v>0</v>
      </c>
      <c r="P48" s="20" t="n">
        <v>0</v>
      </c>
      <c r="Q48" s="18" t="n">
        <v>37.83895948</v>
      </c>
      <c r="R48" s="20" t="n">
        <v>2.71308647</v>
      </c>
    </row>
    <row r="49" spans="1:18">
      <c r="A49" s="15" t="s">
        <v>608</v>
      </c>
      <c r="B49" s="17" t="n">
        <v>6158</v>
      </c>
      <c r="C49" s="18">
        <f>(4892.0/B49*100)</f>
        <v/>
      </c>
      <c r="D49" s="19" t="n">
        <v>1266</v>
      </c>
      <c r="E49" s="18" t="n">
        <v>45.25591055</v>
      </c>
      <c r="F49" s="20" t="n">
        <v>1.85412548</v>
      </c>
      <c r="G49" s="18" t="n">
        <v>16.20548502</v>
      </c>
      <c r="H49" s="20" t="n">
        <v>1.53028051</v>
      </c>
      <c r="I49" s="18" t="n">
        <v>0</v>
      </c>
      <c r="J49" s="20" t="n">
        <v>0</v>
      </c>
      <c r="K49" s="18" t="n">
        <v>4.96774279</v>
      </c>
      <c r="L49" s="20" t="n">
        <v>0.95366726</v>
      </c>
      <c r="M49" s="18" t="n">
        <v>0</v>
      </c>
      <c r="N49" s="20" t="n">
        <v>0</v>
      </c>
      <c r="O49" s="18" t="n">
        <v>0</v>
      </c>
      <c r="P49" s="20" t="n">
        <v>0</v>
      </c>
      <c r="Q49" s="18" t="n">
        <v>33.57086163</v>
      </c>
      <c r="R49" s="20" t="n">
        <v>1.79455009</v>
      </c>
    </row>
    <row r="50" spans="1:18">
      <c r="A50" s="15" t="s">
        <v>609</v>
      </c>
      <c r="B50" s="17" t="n">
        <v>3494</v>
      </c>
      <c r="C50" s="18">
        <f>(2914.0/B50*100)</f>
        <v/>
      </c>
      <c r="D50" s="19" t="n">
        <v>580</v>
      </c>
      <c r="E50" s="18" t="n">
        <v>45.51734085</v>
      </c>
      <c r="F50" s="20" t="n">
        <v>1.87088032</v>
      </c>
      <c r="G50" s="18" t="n">
        <v>18.1715042</v>
      </c>
      <c r="H50" s="20" t="n">
        <v>1.7558845</v>
      </c>
      <c r="I50" s="18" t="n">
        <v>0</v>
      </c>
      <c r="J50" s="20" t="n">
        <v>0</v>
      </c>
      <c r="K50" s="18" t="n">
        <v>2.23263217</v>
      </c>
      <c r="L50" s="20" t="n">
        <v>0.60807773</v>
      </c>
      <c r="M50" s="18" t="n">
        <v>0</v>
      </c>
      <c r="N50" s="20" t="n">
        <v>0</v>
      </c>
      <c r="O50" s="18" t="n">
        <v>0</v>
      </c>
      <c r="P50" s="20" t="n">
        <v>0</v>
      </c>
      <c r="Q50" s="18" t="n">
        <v>34.07852277</v>
      </c>
      <c r="R50" s="20" t="n">
        <v>1.76866294</v>
      </c>
    </row>
    <row r="51" spans="1:18">
      <c r="A51" s="15" t="s">
        <v>610</v>
      </c>
      <c r="B51" s="17" t="n">
        <v>3013</v>
      </c>
      <c r="C51" s="18">
        <f>(2338.0/B51*100)</f>
        <v/>
      </c>
      <c r="D51" s="19" t="n">
        <v>675</v>
      </c>
      <c r="E51" s="18" t="n">
        <v>52.85131707</v>
      </c>
      <c r="F51" s="20" t="n">
        <v>1.94328962</v>
      </c>
      <c r="G51" s="18" t="n">
        <v>30.85663476</v>
      </c>
      <c r="H51" s="20" t="n">
        <v>1.65919812</v>
      </c>
      <c r="I51" s="18" t="n">
        <v>0</v>
      </c>
      <c r="J51" s="20" t="n">
        <v>0</v>
      </c>
      <c r="K51" s="18" t="n">
        <v>0.6515278</v>
      </c>
      <c r="L51" s="20" t="n">
        <v>0.50156913</v>
      </c>
      <c r="M51" s="18" t="n">
        <v>0</v>
      </c>
      <c r="N51" s="20" t="n">
        <v>0</v>
      </c>
      <c r="O51" s="18" t="n">
        <v>0</v>
      </c>
      <c r="P51" s="20" t="n">
        <v>0</v>
      </c>
      <c r="Q51" s="18" t="n">
        <v>15.64052038</v>
      </c>
      <c r="R51" s="20" t="n">
        <v>1.58630549</v>
      </c>
    </row>
    <row r="52" spans="1:18">
      <c r="A52" s="15" t="s">
        <v>611</v>
      </c>
      <c r="B52" s="17" t="n">
        <v>2760</v>
      </c>
      <c r="C52" s="18">
        <f>(2130.0/B52*100)</f>
        <v/>
      </c>
      <c r="D52" s="19" t="n">
        <v>630</v>
      </c>
      <c r="E52" s="18" t="n">
        <v>44.18057528</v>
      </c>
      <c r="F52" s="20" t="n">
        <v>1.8067192</v>
      </c>
      <c r="G52" s="18" t="n">
        <v>35.08240234</v>
      </c>
      <c r="H52" s="20" t="n">
        <v>2.04104588</v>
      </c>
      <c r="I52" s="18" t="n">
        <v>0</v>
      </c>
      <c r="J52" s="20" t="n">
        <v>0</v>
      </c>
      <c r="K52" s="18" t="n">
        <v>1.37749783</v>
      </c>
      <c r="L52" s="20" t="n">
        <v>0.46662522</v>
      </c>
      <c r="M52" s="18" t="n">
        <v>0</v>
      </c>
      <c r="N52" s="20" t="n">
        <v>0</v>
      </c>
      <c r="O52" s="18" t="n">
        <v>0</v>
      </c>
      <c r="P52" s="20" t="n">
        <v>0</v>
      </c>
      <c r="Q52" s="18" t="n">
        <v>19.35952455</v>
      </c>
      <c r="R52" s="20" t="n">
        <v>1.58271817</v>
      </c>
    </row>
    <row r="53" spans="1:18">
      <c r="A53" s="15" t="s">
        <v>612</v>
      </c>
      <c r="B53" s="17" t="n">
        <v>2474</v>
      </c>
      <c r="C53" s="18">
        <f>(1944.0/B53*100)</f>
        <v/>
      </c>
      <c r="D53" s="19" t="n">
        <v>530</v>
      </c>
      <c r="E53" s="18" t="n">
        <v>26.01544658</v>
      </c>
      <c r="F53" s="20" t="n">
        <v>1.73552986</v>
      </c>
      <c r="G53" s="18" t="n">
        <v>4.95346846</v>
      </c>
      <c r="H53" s="20" t="n">
        <v>0.83709944</v>
      </c>
      <c r="I53" s="18" t="n">
        <v>0</v>
      </c>
      <c r="J53" s="20" t="n">
        <v>0</v>
      </c>
      <c r="K53" s="18" t="n">
        <v>24.59381137</v>
      </c>
      <c r="L53" s="20" t="n">
        <v>2.21341222</v>
      </c>
      <c r="M53" s="18" t="n">
        <v>0</v>
      </c>
      <c r="N53" s="20" t="n">
        <v>0</v>
      </c>
      <c r="O53" s="18" t="n">
        <v>0</v>
      </c>
      <c r="P53" s="20" t="n">
        <v>0</v>
      </c>
      <c r="Q53" s="18" t="n">
        <v>44.43727358</v>
      </c>
      <c r="R53" s="20" t="n">
        <v>2.57751647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(2124.0/B55*100)</f>
        <v/>
      </c>
      <c r="D55" s="19" t="n">
        <v>551</v>
      </c>
      <c r="E55" s="18" t="n">
        <v>29.38001837</v>
      </c>
      <c r="F55" s="20" t="n">
        <v>2.44838155</v>
      </c>
      <c r="G55" s="18" t="n">
        <v>53.21991102</v>
      </c>
      <c r="H55" s="20" t="n">
        <v>2.34132807</v>
      </c>
      <c r="I55" s="18" t="n">
        <v>0</v>
      </c>
      <c r="J55" s="20" t="n">
        <v>0</v>
      </c>
      <c r="K55" s="18" t="n">
        <v>0.58529631</v>
      </c>
      <c r="L55" s="20" t="n">
        <v>0.45333072</v>
      </c>
      <c r="M55" s="18" t="n">
        <v>0</v>
      </c>
      <c r="N55" s="20" t="n">
        <v>0</v>
      </c>
      <c r="O55" s="18" t="n">
        <v>0</v>
      </c>
      <c r="P55" s="20" t="n">
        <v>0</v>
      </c>
      <c r="Q55" s="18" t="n">
        <v>16.8147743</v>
      </c>
      <c r="R55" s="20" t="n">
        <v>1.47932747</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(2507.0/B61*100)</f>
        <v/>
      </c>
      <c r="D61" s="19" t="n">
        <v>694</v>
      </c>
      <c r="E61" s="18" t="n">
        <v>53.23259315</v>
      </c>
      <c r="F61" s="20" t="n">
        <v>2.32531946</v>
      </c>
      <c r="G61" s="18" t="n">
        <v>32.13610937</v>
      </c>
      <c r="H61" s="20" t="n">
        <v>2.24366543</v>
      </c>
      <c r="I61" s="18" t="n">
        <v>0</v>
      </c>
      <c r="J61" s="20" t="n">
        <v>0</v>
      </c>
      <c r="K61" s="18" t="n">
        <v>1.29836403</v>
      </c>
      <c r="L61" s="20" t="n">
        <v>0.49115321</v>
      </c>
      <c r="M61" s="18" t="n">
        <v>0</v>
      </c>
      <c r="N61" s="20" t="n">
        <v>0</v>
      </c>
      <c r="O61" s="18" t="n">
        <v>0</v>
      </c>
      <c r="P61" s="20" t="n">
        <v>0</v>
      </c>
      <c r="Q61" s="18" t="n">
        <v>13.33293345</v>
      </c>
      <c r="R61" s="20" t="n">
        <v>1.46027907</v>
      </c>
    </row>
    <row r="62" spans="1:18">
      <c r="A62" s="15" t="s">
        <v>622</v>
      </c>
      <c r="B62" s="17" t="n">
        <v>2230</v>
      </c>
      <c r="C62" s="18">
        <f>(1790.0/B62*100)</f>
        <v/>
      </c>
      <c r="D62" s="19" t="n">
        <v>440</v>
      </c>
      <c r="E62" s="18" t="n">
        <v>27.31948369</v>
      </c>
      <c r="F62" s="20" t="n">
        <v>2.20098748</v>
      </c>
      <c r="G62" s="18" t="n">
        <v>57.84664198</v>
      </c>
      <c r="H62" s="20" t="n">
        <v>2.17645467</v>
      </c>
      <c r="I62" s="18" t="n">
        <v>0</v>
      </c>
      <c r="J62" s="20" t="n">
        <v>0</v>
      </c>
      <c r="K62" s="18" t="n">
        <v>0</v>
      </c>
      <c r="L62" s="20" t="n">
        <v>0</v>
      </c>
      <c r="M62" s="18" t="n">
        <v>0</v>
      </c>
      <c r="N62" s="20" t="n">
        <v>0</v>
      </c>
      <c r="O62" s="18" t="n">
        <v>0</v>
      </c>
      <c r="P62" s="20" t="n">
        <v>0</v>
      </c>
      <c r="Q62" s="18" t="n">
        <v>14.83387433</v>
      </c>
      <c r="R62" s="20" t="n">
        <v>1.78446332</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(2200.0/B67*100)</f>
        <v/>
      </c>
      <c r="D67" s="19" t="n">
        <v>571</v>
      </c>
      <c r="E67" s="18" t="n">
        <v>41.490478</v>
      </c>
      <c r="F67" s="20" t="n">
        <v>1.97731564</v>
      </c>
      <c r="G67" s="18" t="n">
        <v>18.58559746</v>
      </c>
      <c r="H67" s="20" t="n">
        <v>1.77303481</v>
      </c>
      <c r="I67" s="18" t="n">
        <v>0</v>
      </c>
      <c r="J67" s="20" t="n">
        <v>0</v>
      </c>
      <c r="K67" s="18" t="n">
        <v>4.25743242</v>
      </c>
      <c r="L67" s="20" t="n">
        <v>0.91792342</v>
      </c>
      <c r="M67" s="18" t="n">
        <v>0</v>
      </c>
      <c r="N67" s="20" t="n">
        <v>0</v>
      </c>
      <c r="O67" s="18" t="n">
        <v>0</v>
      </c>
      <c r="P67" s="20" t="n">
        <v>0</v>
      </c>
      <c r="Q67" s="18" t="n">
        <v>35.66649212</v>
      </c>
      <c r="R67" s="20" t="n">
        <v>2.10765359</v>
      </c>
    </row>
    <row r="68" spans="1:18">
      <c r="A68" s="15" t="s">
        <v>628</v>
      </c>
      <c r="B68" s="17" t="n">
        <v>3460</v>
      </c>
      <c r="C68" s="18">
        <f>(2869.0/B68*100)</f>
        <v/>
      </c>
      <c r="D68" s="19" t="n">
        <v>591</v>
      </c>
      <c r="E68" s="18" t="n">
        <v>48.7308386</v>
      </c>
      <c r="F68" s="20" t="n">
        <v>2.17891439</v>
      </c>
      <c r="G68" s="18" t="n">
        <v>12.88300702</v>
      </c>
      <c r="H68" s="20" t="n">
        <v>1.34983194</v>
      </c>
      <c r="I68" s="18" t="n">
        <v>0</v>
      </c>
      <c r="J68" s="20" t="n">
        <v>0</v>
      </c>
      <c r="K68" s="18" t="n">
        <v>0.98399072</v>
      </c>
      <c r="L68" s="20" t="n">
        <v>0.54351664</v>
      </c>
      <c r="M68" s="18" t="n">
        <v>0</v>
      </c>
      <c r="N68" s="20" t="n">
        <v>0</v>
      </c>
      <c r="O68" s="18" t="n">
        <v>0</v>
      </c>
      <c r="P68" s="20" t="n">
        <v>0</v>
      </c>
      <c r="Q68" s="18" t="n">
        <v>37.40216366</v>
      </c>
      <c r="R68" s="20" t="n">
        <v>2.00158841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(4683.0/B70*100)</f>
        <v/>
      </c>
      <c r="D70" s="19" t="n">
        <v>1351</v>
      </c>
      <c r="E70" s="18" t="n">
        <v>46.32374523</v>
      </c>
      <c r="F70" s="20" t="n">
        <v>1.30870142</v>
      </c>
      <c r="G70" s="18" t="n">
        <v>26.70846301</v>
      </c>
      <c r="H70" s="20" t="n">
        <v>1.10107805</v>
      </c>
      <c r="I70" s="18" t="n">
        <v>0</v>
      </c>
      <c r="J70" s="20" t="n">
        <v>0</v>
      </c>
      <c r="K70" s="18" t="n">
        <v>5.97106454</v>
      </c>
      <c r="L70" s="20" t="n">
        <v>0.58240207</v>
      </c>
      <c r="M70" s="18" t="n">
        <v>0</v>
      </c>
      <c r="N70" s="20" t="n">
        <v>0</v>
      </c>
      <c r="O70" s="18" t="n">
        <v>0</v>
      </c>
      <c r="P70" s="20" t="n">
        <v>0</v>
      </c>
      <c r="Q70" s="18" t="n">
        <v>20.99672721</v>
      </c>
      <c r="R70" s="20" t="n">
        <v>0.9624952</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(2466.0/B72*100)</f>
        <v/>
      </c>
      <c r="D72" s="19" t="n">
        <v>641</v>
      </c>
      <c r="E72" s="18" t="n">
        <v>44.32512385</v>
      </c>
      <c r="F72" s="20" t="n">
        <v>2.13324456</v>
      </c>
      <c r="G72" s="18" t="n">
        <v>27.96857078</v>
      </c>
      <c r="H72" s="20" t="n">
        <v>2.88850888</v>
      </c>
      <c r="I72" s="18" t="n">
        <v>0</v>
      </c>
      <c r="J72" s="20" t="n">
        <v>0</v>
      </c>
      <c r="K72" s="18" t="n">
        <v>2.0928969</v>
      </c>
      <c r="L72" s="20" t="n">
        <v>0.66572816</v>
      </c>
      <c r="M72" s="18" t="n">
        <v>0</v>
      </c>
      <c r="N72" s="20" t="n">
        <v>0</v>
      </c>
      <c r="O72" s="18" t="n">
        <v>0</v>
      </c>
      <c r="P72" s="20" t="n">
        <v>0</v>
      </c>
      <c r="Q72" s="18" t="n">
        <v>25.61340847</v>
      </c>
      <c r="R72" s="20" t="n">
        <v>2.28309276</v>
      </c>
    </row>
    <row r="73" spans="1:18">
      <c r="A73" s="15" t="s">
        <v>633</v>
      </c>
      <c r="B73" s="17" t="n">
        <v>2973</v>
      </c>
      <c r="C73" s="18">
        <f>(2325.0/B73*100)</f>
        <v/>
      </c>
      <c r="D73" s="19" t="n">
        <v>648</v>
      </c>
      <c r="E73" s="18" t="n">
        <v>29.12351115</v>
      </c>
      <c r="F73" s="20" t="n">
        <v>1.80792944</v>
      </c>
      <c r="G73" s="18" t="n">
        <v>56.82639227</v>
      </c>
      <c r="H73" s="20" t="n">
        <v>1.94799523</v>
      </c>
      <c r="I73" s="18" t="n">
        <v>0</v>
      </c>
      <c r="J73" s="20" t="n">
        <v>0</v>
      </c>
      <c r="K73" s="18" t="n">
        <v>0.68241898</v>
      </c>
      <c r="L73" s="20" t="n">
        <v>0.327492</v>
      </c>
      <c r="M73" s="18" t="n">
        <v>0</v>
      </c>
      <c r="N73" s="20" t="n">
        <v>0</v>
      </c>
      <c r="O73" s="18" t="n">
        <v>0</v>
      </c>
      <c r="P73" s="20" t="n">
        <v>0</v>
      </c>
      <c r="Q73" s="18" t="n">
        <v>13.3676776</v>
      </c>
      <c r="R73" s="20" t="n">
        <v>1.34900389</v>
      </c>
    </row>
    <row r="74" spans="1:18">
      <c r="A74" s="15" t="s">
        <v>634</v>
      </c>
      <c r="B74" s="17" t="n">
        <v>3819</v>
      </c>
      <c r="C74" s="18">
        <f>(3005.0/B74*100)</f>
        <v/>
      </c>
      <c r="D74" s="19" t="n">
        <v>814</v>
      </c>
      <c r="E74" s="18" t="n">
        <v>38.74831123</v>
      </c>
      <c r="F74" s="20" t="n">
        <v>1.71498608</v>
      </c>
      <c r="G74" s="18" t="n">
        <v>41.67020448</v>
      </c>
      <c r="H74" s="20" t="n">
        <v>2.06840056</v>
      </c>
      <c r="I74" s="18" t="n">
        <v>0</v>
      </c>
      <c r="J74" s="20" t="n">
        <v>0</v>
      </c>
      <c r="K74" s="18" t="n">
        <v>0.13512716</v>
      </c>
      <c r="L74" s="20" t="n">
        <v>0.13645231</v>
      </c>
      <c r="M74" s="18" t="n">
        <v>0</v>
      </c>
      <c r="N74" s="20" t="n">
        <v>0</v>
      </c>
      <c r="O74" s="18" t="n">
        <v>0</v>
      </c>
      <c r="P74" s="20" t="n">
        <v>0</v>
      </c>
      <c r="Q74" s="18" t="n">
        <v>19.44635713</v>
      </c>
      <c r="R74" s="20" t="n">
        <v>1.39039385</v>
      </c>
    </row>
    <row r="75" spans="1:18">
      <c r="A75" s="15" t="s">
        <v>635</v>
      </c>
      <c r="B75" s="17" t="n">
        <v>4652</v>
      </c>
      <c r="C75" s="18">
        <f>(3744.0/B75*100)</f>
        <v/>
      </c>
      <c r="D75" s="19" t="n">
        <v>908</v>
      </c>
      <c r="E75" s="18" t="n">
        <v>39.30022948</v>
      </c>
      <c r="F75" s="20" t="n">
        <v>1.70619833</v>
      </c>
      <c r="G75" s="18" t="n">
        <v>23.95214805</v>
      </c>
      <c r="H75" s="20" t="n">
        <v>1.82139272</v>
      </c>
      <c r="I75" s="18" t="n">
        <v>0</v>
      </c>
      <c r="J75" s="20" t="n">
        <v>0</v>
      </c>
      <c r="K75" s="18" t="n">
        <v>0.15602027</v>
      </c>
      <c r="L75" s="20" t="n">
        <v>0.15685352</v>
      </c>
      <c r="M75" s="18" t="n">
        <v>0</v>
      </c>
      <c r="N75" s="20" t="n">
        <v>0</v>
      </c>
      <c r="O75" s="18" t="n">
        <v>0</v>
      </c>
      <c r="P75" s="20" t="n">
        <v>0</v>
      </c>
      <c r="Q75" s="18" t="n">
        <v>36.5916022</v>
      </c>
      <c r="R75" s="20" t="n">
        <v>1.78122356</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(2430.0/B77*100)</f>
        <v/>
      </c>
      <c r="D77" s="19" t="n">
        <v>539</v>
      </c>
      <c r="E77" s="18" t="n">
        <v>43.08949056</v>
      </c>
      <c r="F77" s="20" t="n">
        <v>2.33701235</v>
      </c>
      <c r="G77" s="18" t="n">
        <v>13.19373372</v>
      </c>
      <c r="H77" s="20" t="n">
        <v>1.21738873</v>
      </c>
      <c r="I77" s="18" t="n">
        <v>0</v>
      </c>
      <c r="J77" s="20" t="n">
        <v>0</v>
      </c>
      <c r="K77" s="18" t="n">
        <v>8.607123639999999</v>
      </c>
      <c r="L77" s="20" t="n">
        <v>1.45452583</v>
      </c>
      <c r="M77" s="18" t="n">
        <v>0</v>
      </c>
      <c r="N77" s="20" t="n">
        <v>0</v>
      </c>
      <c r="O77" s="18" t="n">
        <v>0</v>
      </c>
      <c r="P77" s="20" t="n">
        <v>0</v>
      </c>
      <c r="Q77" s="18" t="n">
        <v>35.10965208</v>
      </c>
      <c r="R77" s="20" t="n">
        <v>2.31771804</v>
      </c>
    </row>
    <row r="78" spans="1:18">
      <c r="A78" s="15" t="s">
        <v>638</v>
      </c>
      <c r="B78" s="17" t="n">
        <v>7115</v>
      </c>
      <c r="C78" s="18">
        <f>(5621.0/B78*100)</f>
        <v/>
      </c>
      <c r="D78" s="19" t="n">
        <v>1494</v>
      </c>
      <c r="E78" s="18" t="n">
        <v>43.45817594</v>
      </c>
      <c r="F78" s="20" t="n">
        <v>1.64746986</v>
      </c>
      <c r="G78" s="18" t="n">
        <v>33.17687083</v>
      </c>
      <c r="H78" s="20" t="n">
        <v>1.78152517</v>
      </c>
      <c r="I78" s="18" t="n">
        <v>0</v>
      </c>
      <c r="J78" s="20" t="n">
        <v>0</v>
      </c>
      <c r="K78" s="18" t="n">
        <v>1.68930323</v>
      </c>
      <c r="L78" s="20" t="n">
        <v>0.378491</v>
      </c>
      <c r="M78" s="18" t="n">
        <v>0</v>
      </c>
      <c r="N78" s="20" t="n">
        <v>0</v>
      </c>
      <c r="O78" s="18" t="n">
        <v>0</v>
      </c>
      <c r="P78" s="20" t="n">
        <v>0</v>
      </c>
      <c r="Q78" s="18" t="n">
        <v>21.67565</v>
      </c>
      <c r="R78" s="20" t="n">
        <v>1.3270501</v>
      </c>
    </row>
    <row r="79" spans="1:18">
      <c r="A79" s="15" t="s">
        <v>639</v>
      </c>
      <c r="B79" s="17" t="n">
        <v>3154</v>
      </c>
      <c r="C79" s="18">
        <f>(2502.0/B79*100)</f>
        <v/>
      </c>
      <c r="D79" s="19" t="n">
        <v>652</v>
      </c>
      <c r="E79" s="18" t="n">
        <v>46.03115054</v>
      </c>
      <c r="F79" s="20" t="n">
        <v>2.17432303</v>
      </c>
      <c r="G79" s="18" t="n">
        <v>22.22561249</v>
      </c>
      <c r="H79" s="20" t="n">
        <v>1.87796399</v>
      </c>
      <c r="I79" s="18" t="n">
        <v>0</v>
      </c>
      <c r="J79" s="20" t="n">
        <v>0</v>
      </c>
      <c r="K79" s="18" t="n">
        <v>3.99364382</v>
      </c>
      <c r="L79" s="20" t="n">
        <v>0.7356962</v>
      </c>
      <c r="M79" s="18" t="n">
        <v>0</v>
      </c>
      <c r="N79" s="20" t="n">
        <v>0</v>
      </c>
      <c r="O79" s="18" t="n">
        <v>0</v>
      </c>
      <c r="P79" s="20" t="n">
        <v>0</v>
      </c>
      <c r="Q79" s="18" t="n">
        <v>27.74959315</v>
      </c>
      <c r="R79" s="20" t="n">
        <v>1.71640023</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(12642.0/B82*100)</f>
        <v/>
      </c>
      <c r="D82" s="19" t="n">
        <v>3319</v>
      </c>
      <c r="E82" s="18" t="n">
        <v>41.44009897</v>
      </c>
      <c r="F82" s="20" t="n">
        <v>1.14439468</v>
      </c>
      <c r="G82" s="18" t="n">
        <v>34.12606935</v>
      </c>
      <c r="H82" s="20" t="n">
        <v>1.04732157</v>
      </c>
      <c r="I82" s="18" t="n">
        <v>0</v>
      </c>
      <c r="J82" s="20" t="n">
        <v>0</v>
      </c>
      <c r="K82" s="18" t="n">
        <v>1.34840338</v>
      </c>
      <c r="L82" s="20" t="n">
        <v>0.23820347</v>
      </c>
      <c r="M82" s="18" t="n">
        <v>0</v>
      </c>
      <c r="N82" s="20" t="n">
        <v>0</v>
      </c>
      <c r="O82" s="18" t="n">
        <v>0</v>
      </c>
      <c r="P82" s="20" t="n">
        <v>0</v>
      </c>
      <c r="Q82" s="18" t="n">
        <v>23.0854283</v>
      </c>
      <c r="R82" s="20" t="n">
        <v>1.04210933</v>
      </c>
    </row>
    <row r="83" spans="1:18">
      <c r="A83" s="15" t="s">
        <v>643</v>
      </c>
      <c r="B83" s="17" t="n">
        <v>808</v>
      </c>
      <c r="C83" s="18">
        <f>(650.0/B83*100)</f>
        <v/>
      </c>
      <c r="D83" s="19" t="n">
        <v>158</v>
      </c>
      <c r="E83" s="18" t="n">
        <v>40.8912546</v>
      </c>
      <c r="F83" s="20" t="n">
        <v>4.61693075</v>
      </c>
      <c r="G83" s="18" t="n">
        <v>38.05527481</v>
      </c>
      <c r="H83" s="20" t="n">
        <v>3.75364646</v>
      </c>
      <c r="I83" s="18" t="n">
        <v>0</v>
      </c>
      <c r="J83" s="20" t="n">
        <v>0</v>
      </c>
      <c r="K83" s="18" t="n">
        <v>0</v>
      </c>
      <c r="L83" s="20" t="n">
        <v>0</v>
      </c>
      <c r="M83" s="18" t="n">
        <v>0</v>
      </c>
      <c r="N83" s="20" t="n">
        <v>0</v>
      </c>
      <c r="O83" s="18" t="n">
        <v>0</v>
      </c>
      <c r="P83" s="20" t="n">
        <v>0</v>
      </c>
      <c r="Q83" s="18" t="n">
        <v>21.05347059</v>
      </c>
      <c r="R83" s="20" t="n">
        <v>2.85748652</v>
      </c>
    </row>
    <row r="84" spans="1:18">
      <c r="A84" s="23" t="s">
        <v>644</v>
      </c>
      <c r="B84" s="24" t="n">
        <v>938</v>
      </c>
      <c r="C84" s="25">
        <f>(770.0/B84*100)</f>
        <v/>
      </c>
      <c r="D84" s="19" t="n">
        <v>168</v>
      </c>
      <c r="E84" s="18" t="n">
        <v>40.74662317</v>
      </c>
      <c r="F84" s="20" t="n">
        <v>4.3216719</v>
      </c>
      <c r="G84" s="18" t="n">
        <v>41.79800855</v>
      </c>
      <c r="H84" s="20" t="n">
        <v>4.34615534</v>
      </c>
      <c r="I84" s="18" t="n">
        <v>0</v>
      </c>
      <c r="J84" s="20" t="n">
        <v>0</v>
      </c>
      <c r="K84" s="18" t="n">
        <v>0.64614479</v>
      </c>
      <c r="L84" s="20" t="n">
        <v>0.63603385</v>
      </c>
      <c r="M84" s="18" t="n">
        <v>0</v>
      </c>
      <c r="N84" s="20" t="n">
        <v>0</v>
      </c>
      <c r="O84" s="18" t="n">
        <v>0</v>
      </c>
      <c r="P84" s="20" t="n">
        <v>0</v>
      </c>
      <c r="Q84" s="18" t="n">
        <v>16.80922349</v>
      </c>
      <c r="R84" s="20" t="n">
        <v>1.90050517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(5670.0/B7*100)</f>
        <v/>
      </c>
      <c r="D7" s="19" t="n">
        <v>1493</v>
      </c>
      <c r="E7" s="18" t="n">
        <v>65.77129115</v>
      </c>
      <c r="F7" s="20" t="n">
        <v>1.47116404</v>
      </c>
      <c r="G7" s="18" t="n">
        <v>32.31161472</v>
      </c>
      <c r="H7" s="20" t="n">
        <v>1.379502</v>
      </c>
      <c r="I7" s="18" t="n">
        <v>0</v>
      </c>
      <c r="J7" s="20" t="n">
        <v>0</v>
      </c>
      <c r="K7" s="18" t="n">
        <v>1.50172305</v>
      </c>
      <c r="L7" s="20" t="n">
        <v>0.36007929</v>
      </c>
      <c r="M7" s="18" t="n">
        <v>0</v>
      </c>
      <c r="N7" s="20" t="n">
        <v>0</v>
      </c>
      <c r="O7" s="18" t="n">
        <v>0</v>
      </c>
      <c r="P7" s="20" t="n">
        <v>0</v>
      </c>
      <c r="Q7" s="18" t="n">
        <v>0.41537108</v>
      </c>
      <c r="R7" s="20" t="n">
        <v>0.17998744</v>
      </c>
    </row>
    <row r="8" spans="1:18">
      <c r="A8" s="15" t="s">
        <v>566</v>
      </c>
      <c r="B8" s="17" t="n">
        <v>3443</v>
      </c>
      <c r="C8" s="18">
        <f>(2672.0/B8*100)</f>
        <v/>
      </c>
      <c r="D8" s="19" t="n">
        <v>771</v>
      </c>
      <c r="E8" s="18" t="n">
        <v>68.32538925</v>
      </c>
      <c r="F8" s="20" t="n">
        <v>1.94711959</v>
      </c>
      <c r="G8" s="18" t="n">
        <v>29.38750224</v>
      </c>
      <c r="H8" s="20" t="n">
        <v>1.87229582</v>
      </c>
      <c r="I8" s="18" t="n">
        <v>0</v>
      </c>
      <c r="J8" s="20" t="n">
        <v>0</v>
      </c>
      <c r="K8" s="18" t="n">
        <v>1.76416797</v>
      </c>
      <c r="L8" s="20" t="n">
        <v>0.49933394</v>
      </c>
      <c r="M8" s="18" t="n">
        <v>0</v>
      </c>
      <c r="N8" s="20" t="n">
        <v>0</v>
      </c>
      <c r="O8" s="18" t="n">
        <v>0</v>
      </c>
      <c r="P8" s="20" t="n">
        <v>0</v>
      </c>
      <c r="Q8" s="18" t="n">
        <v>0.52294054</v>
      </c>
      <c r="R8" s="20" t="n">
        <v>0.25194831</v>
      </c>
    </row>
    <row r="9" spans="1:18">
      <c r="A9" s="15" t="s">
        <v>567</v>
      </c>
      <c r="B9" s="17" t="n">
        <v>4752</v>
      </c>
      <c r="C9" s="18">
        <f>(3792.0/B9*100)</f>
        <v/>
      </c>
      <c r="D9" s="19" t="n">
        <v>960</v>
      </c>
      <c r="E9" s="18" t="n">
        <v>67.78373041</v>
      </c>
      <c r="F9" s="20" t="n">
        <v>1.47270384</v>
      </c>
      <c r="G9" s="18" t="n">
        <v>28.46932715</v>
      </c>
      <c r="H9" s="20" t="n">
        <v>1.36950364</v>
      </c>
      <c r="I9" s="18" t="n">
        <v>0</v>
      </c>
      <c r="J9" s="20" t="n">
        <v>0</v>
      </c>
      <c r="K9" s="18" t="n">
        <v>3.26302797</v>
      </c>
      <c r="L9" s="20" t="n">
        <v>0.52388223</v>
      </c>
      <c r="M9" s="18" t="n">
        <v>0</v>
      </c>
      <c r="N9" s="20" t="n">
        <v>0</v>
      </c>
      <c r="O9" s="18" t="n">
        <v>0</v>
      </c>
      <c r="P9" s="20" t="n">
        <v>0</v>
      </c>
      <c r="Q9" s="18" t="n">
        <v>0.48391448</v>
      </c>
      <c r="R9" s="20" t="n">
        <v>0.21140323</v>
      </c>
    </row>
    <row r="10" spans="1:18">
      <c r="A10" s="15" t="s">
        <v>568</v>
      </c>
      <c r="B10" s="17" t="n">
        <v>10022</v>
      </c>
      <c r="C10" s="18">
        <f>(7859.0/B10*100)</f>
        <v/>
      </c>
      <c r="D10" s="19" t="n">
        <v>2163</v>
      </c>
      <c r="E10" s="18" t="n">
        <v>61.29361226</v>
      </c>
      <c r="F10" s="20" t="n">
        <v>1.39245519</v>
      </c>
      <c r="G10" s="18" t="n">
        <v>36.63178058</v>
      </c>
      <c r="H10" s="20" t="n">
        <v>1.35003919</v>
      </c>
      <c r="I10" s="18" t="n">
        <v>0</v>
      </c>
      <c r="J10" s="20" t="n">
        <v>0</v>
      </c>
      <c r="K10" s="18" t="n">
        <v>1.64075695</v>
      </c>
      <c r="L10" s="20" t="n">
        <v>0.34523034</v>
      </c>
      <c r="M10" s="18" t="n">
        <v>0</v>
      </c>
      <c r="N10" s="20" t="n">
        <v>0</v>
      </c>
      <c r="O10" s="18" t="n">
        <v>0</v>
      </c>
      <c r="P10" s="20" t="n">
        <v>0</v>
      </c>
      <c r="Q10" s="18" t="n">
        <v>0.43385021</v>
      </c>
      <c r="R10" s="20" t="n">
        <v>0.20231932</v>
      </c>
    </row>
    <row r="11" spans="1:18">
      <c r="A11" s="15" t="s">
        <v>569</v>
      </c>
      <c r="B11" s="17" t="n">
        <v>3500</v>
      </c>
      <c r="C11" s="18">
        <f>(2819.0/B11*100)</f>
        <v/>
      </c>
      <c r="D11" s="19" t="n">
        <v>681</v>
      </c>
      <c r="E11" s="18" t="n">
        <v>78.2409732</v>
      </c>
      <c r="F11" s="20" t="n">
        <v>1.77918843</v>
      </c>
      <c r="G11" s="18" t="n">
        <v>16.50183647</v>
      </c>
      <c r="H11" s="20" t="n">
        <v>1.6124317</v>
      </c>
      <c r="I11" s="18" t="n">
        <v>0</v>
      </c>
      <c r="J11" s="20" t="n">
        <v>0</v>
      </c>
      <c r="K11" s="18" t="n">
        <v>4.24358751</v>
      </c>
      <c r="L11" s="20" t="n">
        <v>1.03700349</v>
      </c>
      <c r="M11" s="18" t="n">
        <v>0</v>
      </c>
      <c r="N11" s="20" t="n">
        <v>0</v>
      </c>
      <c r="O11" s="18" t="n">
        <v>0</v>
      </c>
      <c r="P11" s="20" t="n">
        <v>0</v>
      </c>
      <c r="Q11" s="18" t="n">
        <v>1.01360281</v>
      </c>
      <c r="R11" s="20" t="n">
        <v>0.31036843</v>
      </c>
    </row>
    <row r="12" spans="1:18">
      <c r="A12" s="15" t="s">
        <v>570</v>
      </c>
      <c r="B12" s="17" t="n">
        <v>3422</v>
      </c>
      <c r="C12" s="18">
        <f>(2708.0/B12*100)</f>
        <v/>
      </c>
      <c r="D12" s="19" t="n">
        <v>714</v>
      </c>
      <c r="E12" s="18" t="n">
        <v>68.43197382</v>
      </c>
      <c r="F12" s="20" t="n">
        <v>2.04257329</v>
      </c>
      <c r="G12" s="18" t="n">
        <v>30.01982213</v>
      </c>
      <c r="H12" s="20" t="n">
        <v>2.02084963</v>
      </c>
      <c r="I12" s="18" t="n">
        <v>0</v>
      </c>
      <c r="J12" s="20" t="n">
        <v>0</v>
      </c>
      <c r="K12" s="18" t="n">
        <v>1.28497488</v>
      </c>
      <c r="L12" s="20" t="n">
        <v>0.45333236</v>
      </c>
      <c r="M12" s="18" t="n">
        <v>0</v>
      </c>
      <c r="N12" s="20" t="n">
        <v>0</v>
      </c>
      <c r="O12" s="18" t="n">
        <v>0</v>
      </c>
      <c r="P12" s="20" t="n">
        <v>0</v>
      </c>
      <c r="Q12" s="18" t="n">
        <v>0.26322917</v>
      </c>
      <c r="R12" s="20" t="n">
        <v>0.26234714</v>
      </c>
    </row>
    <row r="13" spans="1:18">
      <c r="A13" s="15" t="s">
        <v>571</v>
      </c>
      <c r="B13" s="17" t="n">
        <v>3602</v>
      </c>
      <c r="C13" s="18">
        <f>(2835.0/B13*100)</f>
        <v/>
      </c>
      <c r="D13" s="19" t="n">
        <v>767</v>
      </c>
      <c r="E13" s="18" t="n">
        <v>69.05260719</v>
      </c>
      <c r="F13" s="20" t="n">
        <v>2.33298839</v>
      </c>
      <c r="G13" s="18" t="n">
        <v>28.49837644</v>
      </c>
      <c r="H13" s="20" t="n">
        <v>2.10971669</v>
      </c>
      <c r="I13" s="18" t="n">
        <v>0</v>
      </c>
      <c r="J13" s="20" t="n">
        <v>0</v>
      </c>
      <c r="K13" s="18" t="n">
        <v>2.08970911</v>
      </c>
      <c r="L13" s="20" t="n">
        <v>0.59315928</v>
      </c>
      <c r="M13" s="18" t="n">
        <v>0</v>
      </c>
      <c r="N13" s="20" t="n">
        <v>0</v>
      </c>
      <c r="O13" s="18" t="n">
        <v>0</v>
      </c>
      <c r="P13" s="20" t="n">
        <v>0</v>
      </c>
      <c r="Q13" s="18" t="n">
        <v>0.35930727</v>
      </c>
      <c r="R13" s="20" t="n">
        <v>0.25034515</v>
      </c>
    </row>
    <row r="14" spans="1:18">
      <c r="A14" s="15" t="s">
        <v>572</v>
      </c>
      <c r="B14" s="17" t="n">
        <v>2788</v>
      </c>
      <c r="C14" s="18">
        <f>(2150.0/B14*100)</f>
        <v/>
      </c>
      <c r="D14" s="19" t="n">
        <v>638</v>
      </c>
      <c r="E14" s="18" t="n">
        <v>54.92699746</v>
      </c>
      <c r="F14" s="20" t="n">
        <v>2.11026063</v>
      </c>
      <c r="G14" s="18" t="n">
        <v>43.9164688</v>
      </c>
      <c r="H14" s="20" t="n">
        <v>2.04481576</v>
      </c>
      <c r="I14" s="18" t="n">
        <v>0</v>
      </c>
      <c r="J14" s="20" t="n">
        <v>0</v>
      </c>
      <c r="K14" s="18" t="n">
        <v>1.15653374</v>
      </c>
      <c r="L14" s="20" t="n">
        <v>0.50234241</v>
      </c>
      <c r="M14" s="18" t="n">
        <v>0</v>
      </c>
      <c r="N14" s="20" t="n">
        <v>0</v>
      </c>
      <c r="O14" s="18" t="n">
        <v>0</v>
      </c>
      <c r="P14" s="20" t="n">
        <v>0</v>
      </c>
      <c r="Q14" s="18" t="n">
        <v>0</v>
      </c>
      <c r="R14" s="20" t="n">
        <v>0</v>
      </c>
    </row>
    <row r="15" spans="1:18">
      <c r="A15" s="15" t="s">
        <v>573</v>
      </c>
      <c r="B15" s="17" t="n">
        <v>2863</v>
      </c>
      <c r="C15" s="18">
        <f>(2276.0/B15*100)</f>
        <v/>
      </c>
      <c r="D15" s="19" t="n">
        <v>587</v>
      </c>
      <c r="E15" s="18" t="n">
        <v>58.45682422</v>
      </c>
      <c r="F15" s="20" t="n">
        <v>2.23190085</v>
      </c>
      <c r="G15" s="18" t="n">
        <v>41.04762167</v>
      </c>
      <c r="H15" s="20" t="n">
        <v>2.18910311</v>
      </c>
      <c r="I15" s="18" t="n">
        <v>0</v>
      </c>
      <c r="J15" s="20" t="n">
        <v>0</v>
      </c>
      <c r="K15" s="18" t="n">
        <v>0.34466976</v>
      </c>
      <c r="L15" s="20" t="n">
        <v>0.23811938</v>
      </c>
      <c r="M15" s="18" t="n">
        <v>0</v>
      </c>
      <c r="N15" s="20" t="n">
        <v>0</v>
      </c>
      <c r="O15" s="18" t="n">
        <v>0</v>
      </c>
      <c r="P15" s="20" t="n">
        <v>0</v>
      </c>
      <c r="Q15" s="18" t="n">
        <v>0.15088434</v>
      </c>
      <c r="R15" s="20" t="n">
        <v>0.15091766</v>
      </c>
    </row>
    <row r="16" spans="1:18">
      <c r="A16" s="15" t="s">
        <v>574</v>
      </c>
      <c r="B16" s="17" t="n">
        <v>3111</v>
      </c>
      <c r="C16" s="18">
        <f>(2424.0/B16*100)</f>
        <v/>
      </c>
      <c r="D16" s="19" t="n">
        <v>687</v>
      </c>
      <c r="E16" s="18" t="n">
        <v>67.99613549999999</v>
      </c>
      <c r="F16" s="20" t="n">
        <v>2.15473609</v>
      </c>
      <c r="G16" s="18" t="n">
        <v>26.76603903</v>
      </c>
      <c r="H16" s="20" t="n">
        <v>1.93178427</v>
      </c>
      <c r="I16" s="18" t="n">
        <v>0</v>
      </c>
      <c r="J16" s="20" t="n">
        <v>0</v>
      </c>
      <c r="K16" s="18" t="n">
        <v>4.48076312</v>
      </c>
      <c r="L16" s="20" t="n">
        <v>0.92575396</v>
      </c>
      <c r="M16" s="18" t="n">
        <v>0</v>
      </c>
      <c r="N16" s="20" t="n">
        <v>0</v>
      </c>
      <c r="O16" s="18" t="n">
        <v>0</v>
      </c>
      <c r="P16" s="20" t="n">
        <v>0</v>
      </c>
      <c r="Q16" s="18" t="n">
        <v>0.75706235</v>
      </c>
      <c r="R16" s="20" t="n">
        <v>0.33734408</v>
      </c>
    </row>
    <row r="17" spans="1:18">
      <c r="A17" s="15" t="s">
        <v>575</v>
      </c>
      <c r="B17" s="17" t="n">
        <v>3197</v>
      </c>
      <c r="C17" s="18">
        <f>(2525.0/B17*100)</f>
        <v/>
      </c>
      <c r="D17" s="19" t="n">
        <v>672</v>
      </c>
      <c r="E17" s="18" t="n">
        <v>65.83093929</v>
      </c>
      <c r="F17" s="20" t="n">
        <v>1.66649894</v>
      </c>
      <c r="G17" s="18" t="n">
        <v>32.4785336</v>
      </c>
      <c r="H17" s="20" t="n">
        <v>1.67819859</v>
      </c>
      <c r="I17" s="18" t="n">
        <v>0</v>
      </c>
      <c r="J17" s="20" t="n">
        <v>0</v>
      </c>
      <c r="K17" s="18" t="n">
        <v>1.57722937</v>
      </c>
      <c r="L17" s="20" t="n">
        <v>0.52720308</v>
      </c>
      <c r="M17" s="18" t="n">
        <v>0</v>
      </c>
      <c r="N17" s="20" t="n">
        <v>0</v>
      </c>
      <c r="O17" s="18" t="n">
        <v>0</v>
      </c>
      <c r="P17" s="20" t="n">
        <v>0</v>
      </c>
      <c r="Q17" s="18" t="n">
        <v>0.11329774</v>
      </c>
      <c r="R17" s="20" t="n">
        <v>0.11324828</v>
      </c>
    </row>
    <row r="18" spans="1:18">
      <c r="A18" s="15" t="s">
        <v>576</v>
      </c>
      <c r="B18" s="17" t="n">
        <v>2706</v>
      </c>
      <c r="C18" s="18">
        <f>(2098.0/B18*100)</f>
        <v/>
      </c>
      <c r="D18" s="19" t="n">
        <v>608</v>
      </c>
      <c r="E18" s="18" t="n">
        <v>72.66990681999999</v>
      </c>
      <c r="F18" s="20" t="n">
        <v>1.98319022</v>
      </c>
      <c r="G18" s="18" t="n">
        <v>23.83620176</v>
      </c>
      <c r="H18" s="20" t="n">
        <v>1.62780131</v>
      </c>
      <c r="I18" s="18" t="n">
        <v>0</v>
      </c>
      <c r="J18" s="20" t="n">
        <v>0</v>
      </c>
      <c r="K18" s="18" t="n">
        <v>3.09897553</v>
      </c>
      <c r="L18" s="20" t="n">
        <v>0.80814425</v>
      </c>
      <c r="M18" s="18" t="n">
        <v>0</v>
      </c>
      <c r="N18" s="20" t="n">
        <v>0</v>
      </c>
      <c r="O18" s="18" t="n">
        <v>0</v>
      </c>
      <c r="P18" s="20" t="n">
        <v>0</v>
      </c>
      <c r="Q18" s="18" t="n">
        <v>0.39491589</v>
      </c>
      <c r="R18" s="20" t="n">
        <v>0.25612148</v>
      </c>
    </row>
    <row r="19" spans="1:18">
      <c r="A19" s="15" t="s">
        <v>577</v>
      </c>
      <c r="B19" s="17" t="n">
        <v>2850</v>
      </c>
      <c r="C19" s="18">
        <f>(2268.0/B19*100)</f>
        <v/>
      </c>
      <c r="D19" s="19" t="n">
        <v>582</v>
      </c>
      <c r="E19" s="18" t="n">
        <v>69.88523587</v>
      </c>
      <c r="F19" s="20" t="n">
        <v>2.29760156</v>
      </c>
      <c r="G19" s="18" t="n">
        <v>27.65687244</v>
      </c>
      <c r="H19" s="20" t="n">
        <v>2.23267873</v>
      </c>
      <c r="I19" s="18" t="n">
        <v>0</v>
      </c>
      <c r="J19" s="20" t="n">
        <v>0</v>
      </c>
      <c r="K19" s="18" t="n">
        <v>1.48235662</v>
      </c>
      <c r="L19" s="20" t="n">
        <v>0.5308797200000001</v>
      </c>
      <c r="M19" s="18" t="n">
        <v>0</v>
      </c>
      <c r="N19" s="20" t="n">
        <v>0</v>
      </c>
      <c r="O19" s="18" t="n">
        <v>0</v>
      </c>
      <c r="P19" s="20" t="n">
        <v>0</v>
      </c>
      <c r="Q19" s="18" t="n">
        <v>0.9755350699999999</v>
      </c>
      <c r="R19" s="20" t="n">
        <v>0.4388807</v>
      </c>
    </row>
    <row r="20" spans="1:18">
      <c r="A20" s="15" t="s">
        <v>578</v>
      </c>
      <c r="B20" s="17" t="n">
        <v>1741</v>
      </c>
      <c r="C20" s="18">
        <f>(1372.0/B20*100)</f>
        <v/>
      </c>
      <c r="D20" s="19" t="n">
        <v>369</v>
      </c>
      <c r="E20" s="18" t="n">
        <v>70.78460392</v>
      </c>
      <c r="F20" s="20" t="n">
        <v>2.82411516</v>
      </c>
      <c r="G20" s="18" t="n">
        <v>25.828698</v>
      </c>
      <c r="H20" s="20" t="n">
        <v>2.64033286</v>
      </c>
      <c r="I20" s="18" t="n">
        <v>0</v>
      </c>
      <c r="J20" s="20" t="n">
        <v>0</v>
      </c>
      <c r="K20" s="18" t="n">
        <v>3.14664178</v>
      </c>
      <c r="L20" s="20" t="n">
        <v>0.97906925</v>
      </c>
      <c r="M20" s="18" t="n">
        <v>0</v>
      </c>
      <c r="N20" s="20" t="n">
        <v>0</v>
      </c>
      <c r="O20" s="18" t="n">
        <v>0</v>
      </c>
      <c r="P20" s="20" t="n">
        <v>0</v>
      </c>
      <c r="Q20" s="18" t="n">
        <v>0.2400563</v>
      </c>
      <c r="R20" s="20" t="n">
        <v>0.2412631</v>
      </c>
    </row>
    <row r="21" spans="1:18">
      <c r="A21" s="15" t="s">
        <v>579</v>
      </c>
      <c r="B21" s="17" t="n">
        <v>2833</v>
      </c>
      <c r="C21" s="18">
        <f>(2239.0/B21*100)</f>
        <v/>
      </c>
      <c r="D21" s="19" t="n">
        <v>594</v>
      </c>
      <c r="E21" s="18" t="n">
        <v>70.15743139999999</v>
      </c>
      <c r="F21" s="20" t="n">
        <v>1.78353737</v>
      </c>
      <c r="G21" s="18" t="n">
        <v>28.16110963</v>
      </c>
      <c r="H21" s="20" t="n">
        <v>1.89262575</v>
      </c>
      <c r="I21" s="18" t="n">
        <v>0</v>
      </c>
      <c r="J21" s="20" t="n">
        <v>0</v>
      </c>
      <c r="K21" s="18" t="n">
        <v>1.68145897</v>
      </c>
      <c r="L21" s="20" t="n">
        <v>0.5219968</v>
      </c>
      <c r="M21" s="18" t="n">
        <v>0</v>
      </c>
      <c r="N21" s="20" t="n">
        <v>0</v>
      </c>
      <c r="O21" s="18" t="n">
        <v>0</v>
      </c>
      <c r="P21" s="20" t="n">
        <v>0</v>
      </c>
      <c r="Q21" s="18" t="n">
        <v>0</v>
      </c>
      <c r="R21" s="20" t="n">
        <v>0</v>
      </c>
    </row>
    <row r="22" spans="1:18">
      <c r="A22" s="15" t="s">
        <v>580</v>
      </c>
      <c r="B22" s="17" t="n">
        <v>3667</v>
      </c>
      <c r="C22" s="18">
        <f>(2914.0/B22*100)</f>
        <v/>
      </c>
      <c r="D22" s="19" t="n">
        <v>753</v>
      </c>
      <c r="E22" s="18" t="n">
        <v>75.85245754</v>
      </c>
      <c r="F22" s="20" t="n">
        <v>1.44529748</v>
      </c>
      <c r="G22" s="18" t="n">
        <v>21.3033457</v>
      </c>
      <c r="H22" s="20" t="n">
        <v>1.35514573</v>
      </c>
      <c r="I22" s="18" t="n">
        <v>0</v>
      </c>
      <c r="J22" s="20" t="n">
        <v>0</v>
      </c>
      <c r="K22" s="18" t="n">
        <v>2.30673988</v>
      </c>
      <c r="L22" s="20" t="n">
        <v>0.61324645</v>
      </c>
      <c r="M22" s="18" t="n">
        <v>0</v>
      </c>
      <c r="N22" s="20" t="n">
        <v>0</v>
      </c>
      <c r="O22" s="18" t="n">
        <v>0</v>
      </c>
      <c r="P22" s="20" t="n">
        <v>0</v>
      </c>
      <c r="Q22" s="18" t="n">
        <v>0.53745688</v>
      </c>
      <c r="R22" s="20" t="n">
        <v>0.27063459</v>
      </c>
    </row>
    <row r="23" spans="1:18">
      <c r="A23" s="15" t="s">
        <v>581</v>
      </c>
      <c r="B23" s="17" t="n">
        <v>5792</v>
      </c>
      <c r="C23" s="18">
        <f>(4565.0/B23*100)</f>
        <v/>
      </c>
      <c r="D23" s="19" t="n">
        <v>1227</v>
      </c>
      <c r="E23" s="18" t="n">
        <v>71.68692462</v>
      </c>
      <c r="F23" s="20" t="n">
        <v>1.66418264</v>
      </c>
      <c r="G23" s="18" t="n">
        <v>25.2061178</v>
      </c>
      <c r="H23" s="20" t="n">
        <v>1.72198526</v>
      </c>
      <c r="I23" s="18" t="n">
        <v>0</v>
      </c>
      <c r="J23" s="20" t="n">
        <v>0</v>
      </c>
      <c r="K23" s="18" t="n">
        <v>2.21566036</v>
      </c>
      <c r="L23" s="20" t="n">
        <v>0.58991159</v>
      </c>
      <c r="M23" s="18" t="n">
        <v>0</v>
      </c>
      <c r="N23" s="20" t="n">
        <v>0</v>
      </c>
      <c r="O23" s="18" t="n">
        <v>0</v>
      </c>
      <c r="P23" s="20" t="n">
        <v>0</v>
      </c>
      <c r="Q23" s="18" t="n">
        <v>0.89129722</v>
      </c>
      <c r="R23" s="20" t="n">
        <v>0.50593624</v>
      </c>
    </row>
    <row r="24" spans="1:18">
      <c r="A24" s="15" t="s">
        <v>582</v>
      </c>
      <c r="B24" s="17" t="n">
        <v>3309</v>
      </c>
      <c r="C24" s="18">
        <f>(2631.0/B24*100)</f>
        <v/>
      </c>
      <c r="D24" s="19" t="n">
        <v>678</v>
      </c>
      <c r="E24" s="18" t="n">
        <v>64.79483064</v>
      </c>
      <c r="F24" s="20" t="n">
        <v>2.11874706</v>
      </c>
      <c r="G24" s="18" t="n">
        <v>34.30085522</v>
      </c>
      <c r="H24" s="20" t="n">
        <v>2.12014813</v>
      </c>
      <c r="I24" s="18" t="n">
        <v>0</v>
      </c>
      <c r="J24" s="20" t="n">
        <v>0</v>
      </c>
      <c r="K24" s="18" t="n">
        <v>0.29276073</v>
      </c>
      <c r="L24" s="20" t="n">
        <v>0.20744388</v>
      </c>
      <c r="M24" s="18" t="n">
        <v>0</v>
      </c>
      <c r="N24" s="20" t="n">
        <v>0</v>
      </c>
      <c r="O24" s="18" t="n">
        <v>0</v>
      </c>
      <c r="P24" s="20" t="n">
        <v>0</v>
      </c>
      <c r="Q24" s="18" t="n">
        <v>0.6115534</v>
      </c>
      <c r="R24" s="20" t="n">
        <v>0.30091328</v>
      </c>
    </row>
    <row r="25" spans="1:18">
      <c r="A25" s="15" t="s">
        <v>583</v>
      </c>
      <c r="B25" s="17" t="n">
        <v>2669</v>
      </c>
      <c r="C25" s="18">
        <f>(2053.0/B25*100)</f>
        <v/>
      </c>
      <c r="D25" s="19" t="n">
        <v>616</v>
      </c>
      <c r="E25" s="18" t="n">
        <v>51.68766955</v>
      </c>
      <c r="F25" s="20" t="n">
        <v>2.28262731</v>
      </c>
      <c r="G25" s="18" t="n">
        <v>48.15280338</v>
      </c>
      <c r="H25" s="20" t="n">
        <v>2.28272272</v>
      </c>
      <c r="I25" s="18" t="n">
        <v>0</v>
      </c>
      <c r="J25" s="20" t="n">
        <v>0</v>
      </c>
      <c r="K25" s="18" t="n">
        <v>0.15952706</v>
      </c>
      <c r="L25" s="20" t="n">
        <v>0.16018449</v>
      </c>
      <c r="M25" s="18" t="n">
        <v>0</v>
      </c>
      <c r="N25" s="20" t="n">
        <v>0</v>
      </c>
      <c r="O25" s="18" t="n">
        <v>0</v>
      </c>
      <c r="P25" s="20" t="n">
        <v>0</v>
      </c>
      <c r="Q25" s="18" t="n">
        <v>0</v>
      </c>
      <c r="R25" s="20" t="n">
        <v>0</v>
      </c>
    </row>
    <row r="26" spans="1:18">
      <c r="A26" s="15" t="s">
        <v>584</v>
      </c>
      <c r="B26" s="17" t="n">
        <v>2419</v>
      </c>
      <c r="C26" s="18">
        <f>(1901.0/B26*100)</f>
        <v/>
      </c>
      <c r="D26" s="19" t="n">
        <v>518</v>
      </c>
      <c r="E26" s="18" t="n">
        <v>65.46386953</v>
      </c>
      <c r="F26" s="20" t="n">
        <v>2.26864462</v>
      </c>
      <c r="G26" s="18" t="n">
        <v>32.78913826</v>
      </c>
      <c r="H26" s="20" t="n">
        <v>2.27061197</v>
      </c>
      <c r="I26" s="18" t="n">
        <v>0</v>
      </c>
      <c r="J26" s="20" t="n">
        <v>0</v>
      </c>
      <c r="K26" s="18" t="n">
        <v>1.37326079</v>
      </c>
      <c r="L26" s="20" t="n">
        <v>0.6153919799999999</v>
      </c>
      <c r="M26" s="18" t="n">
        <v>0</v>
      </c>
      <c r="N26" s="20" t="n">
        <v>0</v>
      </c>
      <c r="O26" s="18" t="n">
        <v>0</v>
      </c>
      <c r="P26" s="20" t="n">
        <v>0</v>
      </c>
      <c r="Q26" s="18" t="n">
        <v>0.37373142</v>
      </c>
      <c r="R26" s="20" t="n">
        <v>0.41492055</v>
      </c>
    </row>
    <row r="27" spans="1:18">
      <c r="A27" s="15" t="s">
        <v>585</v>
      </c>
      <c r="B27" s="17" t="n">
        <v>2683</v>
      </c>
      <c r="C27" s="18">
        <f>(2144.0/B27*100)</f>
        <v/>
      </c>
      <c r="D27" s="19" t="n">
        <v>539</v>
      </c>
      <c r="E27" s="18" t="n">
        <v>70.44566112</v>
      </c>
      <c r="F27" s="20" t="n">
        <v>1.71561095</v>
      </c>
      <c r="G27" s="18" t="n">
        <v>27.52069846</v>
      </c>
      <c r="H27" s="20" t="n">
        <v>1.7198892</v>
      </c>
      <c r="I27" s="18" t="n">
        <v>0</v>
      </c>
      <c r="J27" s="20" t="n">
        <v>0</v>
      </c>
      <c r="K27" s="18" t="n">
        <v>1.48194963</v>
      </c>
      <c r="L27" s="20" t="n">
        <v>0.43931863</v>
      </c>
      <c r="M27" s="18" t="n">
        <v>0</v>
      </c>
      <c r="N27" s="20" t="n">
        <v>0</v>
      </c>
      <c r="O27" s="18" t="n">
        <v>0</v>
      </c>
      <c r="P27" s="20" t="n">
        <v>0</v>
      </c>
      <c r="Q27" s="18" t="n">
        <v>0.55169079</v>
      </c>
      <c r="R27" s="20" t="n">
        <v>0.31904034</v>
      </c>
    </row>
    <row r="28" spans="1:18">
      <c r="A28" s="15" t="s">
        <v>586</v>
      </c>
      <c r="B28" s="17" t="n">
        <v>3803</v>
      </c>
      <c r="C28" s="18">
        <f>(3075.0/B28*100)</f>
        <v/>
      </c>
      <c r="D28" s="19" t="n">
        <v>728</v>
      </c>
      <c r="E28" s="18" t="n">
        <v>88.03761679</v>
      </c>
      <c r="F28" s="20" t="n">
        <v>1.46939922</v>
      </c>
      <c r="G28" s="18" t="n">
        <v>8.30853228</v>
      </c>
      <c r="H28" s="20" t="n">
        <v>1.08135763</v>
      </c>
      <c r="I28" s="18" t="n">
        <v>0</v>
      </c>
      <c r="J28" s="20" t="n">
        <v>0</v>
      </c>
      <c r="K28" s="18" t="n">
        <v>2.66450563</v>
      </c>
      <c r="L28" s="20" t="n">
        <v>1.01860832</v>
      </c>
      <c r="M28" s="18" t="n">
        <v>0</v>
      </c>
      <c r="N28" s="20" t="n">
        <v>0</v>
      </c>
      <c r="O28" s="18" t="n">
        <v>0</v>
      </c>
      <c r="P28" s="20" t="n">
        <v>0</v>
      </c>
      <c r="Q28" s="18" t="n">
        <v>0.98934529</v>
      </c>
      <c r="R28" s="20" t="n">
        <v>0.44380697</v>
      </c>
    </row>
    <row r="29" spans="1:18">
      <c r="A29" s="15" t="s">
        <v>587</v>
      </c>
      <c r="B29" s="17" t="n">
        <v>2700</v>
      </c>
      <c r="C29" s="18">
        <f>(2142.0/B29*100)</f>
        <v/>
      </c>
      <c r="D29" s="19" t="n">
        <v>558</v>
      </c>
      <c r="E29" s="18" t="n">
        <v>75.78910553</v>
      </c>
      <c r="F29" s="20" t="n">
        <v>1.77090064</v>
      </c>
      <c r="G29" s="18" t="n">
        <v>23.94038987</v>
      </c>
      <c r="H29" s="20" t="n">
        <v>1.79157711</v>
      </c>
      <c r="I29" s="18" t="n">
        <v>0</v>
      </c>
      <c r="J29" s="20" t="n">
        <v>0</v>
      </c>
      <c r="K29" s="18" t="n">
        <v>0</v>
      </c>
      <c r="L29" s="20" t="n">
        <v>0</v>
      </c>
      <c r="M29" s="18" t="n">
        <v>0</v>
      </c>
      <c r="N29" s="20" t="n">
        <v>0</v>
      </c>
      <c r="O29" s="18" t="n">
        <v>0</v>
      </c>
      <c r="P29" s="20" t="n">
        <v>0</v>
      </c>
      <c r="Q29" s="18" t="n">
        <v>0.2705046</v>
      </c>
      <c r="R29" s="20" t="n">
        <v>0.27571449</v>
      </c>
    </row>
    <row r="30" spans="1:18">
      <c r="A30" s="15" t="s">
        <v>588</v>
      </c>
      <c r="B30" s="17" t="n">
        <v>2257</v>
      </c>
      <c r="C30" s="18">
        <f>(1811.0/B30*100)</f>
        <v/>
      </c>
      <c r="D30" s="19" t="n">
        <v>446</v>
      </c>
      <c r="E30" s="18" t="n">
        <v>60.70242033</v>
      </c>
      <c r="F30" s="20" t="n">
        <v>2.63674512</v>
      </c>
      <c r="G30" s="18" t="n">
        <v>35.78228234</v>
      </c>
      <c r="H30" s="20" t="n">
        <v>2.43417935</v>
      </c>
      <c r="I30" s="18" t="n">
        <v>0</v>
      </c>
      <c r="J30" s="20" t="n">
        <v>0</v>
      </c>
      <c r="K30" s="18" t="n">
        <v>2.79250094</v>
      </c>
      <c r="L30" s="20" t="n">
        <v>0.91800322</v>
      </c>
      <c r="M30" s="18" t="n">
        <v>0</v>
      </c>
      <c r="N30" s="20" t="n">
        <v>0</v>
      </c>
      <c r="O30" s="18" t="n">
        <v>0</v>
      </c>
      <c r="P30" s="20" t="n">
        <v>0</v>
      </c>
      <c r="Q30" s="18" t="n">
        <v>0.7227964</v>
      </c>
      <c r="R30" s="20" t="n">
        <v>0.38501929</v>
      </c>
    </row>
    <row r="31" spans="1:18">
      <c r="A31" s="15" t="s">
        <v>589</v>
      </c>
      <c r="B31" s="17" t="n">
        <v>2706</v>
      </c>
      <c r="C31" s="18">
        <f>(2101.0/B31*100)</f>
        <v/>
      </c>
      <c r="D31" s="19" t="n">
        <v>605</v>
      </c>
      <c r="E31" s="18" t="n">
        <v>68.53099419999999</v>
      </c>
      <c r="F31" s="20" t="n">
        <v>1.99919075</v>
      </c>
      <c r="G31" s="18" t="n">
        <v>28.01202475</v>
      </c>
      <c r="H31" s="20" t="n">
        <v>1.9655557</v>
      </c>
      <c r="I31" s="18" t="n">
        <v>0</v>
      </c>
      <c r="J31" s="20" t="n">
        <v>0</v>
      </c>
      <c r="K31" s="18" t="n">
        <v>2.64934131</v>
      </c>
      <c r="L31" s="20" t="n">
        <v>0.616133</v>
      </c>
      <c r="M31" s="18" t="n">
        <v>0</v>
      </c>
      <c r="N31" s="20" t="n">
        <v>0</v>
      </c>
      <c r="O31" s="18" t="n">
        <v>0</v>
      </c>
      <c r="P31" s="20" t="n">
        <v>0</v>
      </c>
      <c r="Q31" s="18" t="n">
        <v>0.80763975</v>
      </c>
      <c r="R31" s="20" t="n">
        <v>0.36849452</v>
      </c>
    </row>
    <row r="32" spans="1:18">
      <c r="A32" s="15" t="s">
        <v>590</v>
      </c>
      <c r="B32" s="17" t="n">
        <v>2209</v>
      </c>
      <c r="C32" s="18">
        <f>(1712.0/B32*100)</f>
        <v/>
      </c>
      <c r="D32" s="19" t="n">
        <v>497</v>
      </c>
      <c r="E32" s="18" t="n">
        <v>72.49502526000001</v>
      </c>
      <c r="F32" s="20" t="n">
        <v>2.26116248</v>
      </c>
      <c r="G32" s="18" t="n">
        <v>26.14094368</v>
      </c>
      <c r="H32" s="20" t="n">
        <v>2.05404724</v>
      </c>
      <c r="I32" s="18" t="n">
        <v>0</v>
      </c>
      <c r="J32" s="20" t="n">
        <v>0</v>
      </c>
      <c r="K32" s="18" t="n">
        <v>1.36403106</v>
      </c>
      <c r="L32" s="20" t="n">
        <v>0.68620981</v>
      </c>
      <c r="M32" s="18" t="n">
        <v>0</v>
      </c>
      <c r="N32" s="20" t="n">
        <v>0</v>
      </c>
      <c r="O32" s="18" t="n">
        <v>0</v>
      </c>
      <c r="P32" s="20" t="n">
        <v>0</v>
      </c>
      <c r="Q32" s="18" t="n">
        <v>0</v>
      </c>
      <c r="R32" s="20" t="n">
        <v>0</v>
      </c>
    </row>
    <row r="33" spans="1:18">
      <c r="A33" s="15" t="s">
        <v>591</v>
      </c>
      <c r="B33" s="17" t="n">
        <v>3651</v>
      </c>
      <c r="C33" s="18">
        <f>(2912.0/B33*100)</f>
        <v/>
      </c>
      <c r="D33" s="19" t="n">
        <v>739</v>
      </c>
      <c r="E33" s="18" t="n">
        <v>75.87672825</v>
      </c>
      <c r="F33" s="20" t="n">
        <v>1.89990922</v>
      </c>
      <c r="G33" s="18" t="n">
        <v>21.76512303</v>
      </c>
      <c r="H33" s="20" t="n">
        <v>1.89406239</v>
      </c>
      <c r="I33" s="18" t="n">
        <v>0</v>
      </c>
      <c r="J33" s="20" t="n">
        <v>0</v>
      </c>
      <c r="K33" s="18" t="n">
        <v>2.18153299</v>
      </c>
      <c r="L33" s="20" t="n">
        <v>0.72458796</v>
      </c>
      <c r="M33" s="18" t="n">
        <v>0</v>
      </c>
      <c r="N33" s="20" t="n">
        <v>0</v>
      </c>
      <c r="O33" s="18" t="n">
        <v>0</v>
      </c>
      <c r="P33" s="20" t="n">
        <v>0</v>
      </c>
      <c r="Q33" s="18" t="n">
        <v>0.17661574</v>
      </c>
      <c r="R33" s="20" t="n">
        <v>0.1524863</v>
      </c>
    </row>
    <row r="34" spans="1:18">
      <c r="A34" s="15" t="s">
        <v>592</v>
      </c>
      <c r="B34" s="17" t="n">
        <v>3035</v>
      </c>
      <c r="C34" s="18">
        <f>(2452.0/B34*100)</f>
        <v/>
      </c>
      <c r="D34" s="19" t="n">
        <v>583</v>
      </c>
      <c r="E34" s="18" t="n">
        <v>83.06324665</v>
      </c>
      <c r="F34" s="20" t="n">
        <v>1.75217137</v>
      </c>
      <c r="G34" s="18" t="n">
        <v>13.55507646</v>
      </c>
      <c r="H34" s="20" t="n">
        <v>1.69350881</v>
      </c>
      <c r="I34" s="18" t="n">
        <v>0</v>
      </c>
      <c r="J34" s="20" t="n">
        <v>0</v>
      </c>
      <c r="K34" s="18" t="n">
        <v>2.39167548</v>
      </c>
      <c r="L34" s="20" t="n">
        <v>0.66027064</v>
      </c>
      <c r="M34" s="18" t="n">
        <v>0</v>
      </c>
      <c r="N34" s="20" t="n">
        <v>0</v>
      </c>
      <c r="O34" s="18" t="n">
        <v>0</v>
      </c>
      <c r="P34" s="20" t="n">
        <v>0</v>
      </c>
      <c r="Q34" s="18" t="n">
        <v>0.99000141</v>
      </c>
      <c r="R34" s="20" t="n">
        <v>0.44355134</v>
      </c>
    </row>
    <row r="35" spans="1:18">
      <c r="A35" s="15" t="s">
        <v>593</v>
      </c>
      <c r="B35" s="17" t="n">
        <v>2901</v>
      </c>
      <c r="C35" s="18">
        <f>(2278.0/B35*100)</f>
        <v/>
      </c>
      <c r="D35" s="19" t="n">
        <v>623</v>
      </c>
      <c r="E35" s="18" t="n">
        <v>64.43635435</v>
      </c>
      <c r="F35" s="20" t="n">
        <v>2.744789</v>
      </c>
      <c r="G35" s="18" t="n">
        <v>34.81151725</v>
      </c>
      <c r="H35" s="20" t="n">
        <v>2.72424682</v>
      </c>
      <c r="I35" s="18" t="n">
        <v>0</v>
      </c>
      <c r="J35" s="20" t="n">
        <v>0</v>
      </c>
      <c r="K35" s="18" t="n">
        <v>0.33753586</v>
      </c>
      <c r="L35" s="20" t="n">
        <v>0.1586162</v>
      </c>
      <c r="M35" s="18" t="n">
        <v>0</v>
      </c>
      <c r="N35" s="20" t="n">
        <v>0</v>
      </c>
      <c r="O35" s="18" t="n">
        <v>0</v>
      </c>
      <c r="P35" s="20" t="n">
        <v>0</v>
      </c>
      <c r="Q35" s="18" t="n">
        <v>0.41459254</v>
      </c>
      <c r="R35" s="20" t="n">
        <v>0.19298052</v>
      </c>
    </row>
    <row r="36" spans="1:18">
      <c r="A36" s="15" t="s">
        <v>594</v>
      </c>
      <c r="B36" s="17" t="n">
        <v>3404</v>
      </c>
      <c r="C36" s="18">
        <f>(2720.0/B36*100)</f>
        <v/>
      </c>
      <c r="D36" s="19" t="n">
        <v>684</v>
      </c>
      <c r="E36" s="18" t="n">
        <v>73.89059992999999</v>
      </c>
      <c r="F36" s="20" t="n">
        <v>1.57798125</v>
      </c>
      <c r="G36" s="18" t="n">
        <v>24.48318542</v>
      </c>
      <c r="H36" s="20" t="n">
        <v>1.46040783</v>
      </c>
      <c r="I36" s="18" t="n">
        <v>0</v>
      </c>
      <c r="J36" s="20" t="n">
        <v>0</v>
      </c>
      <c r="K36" s="18" t="n">
        <v>1.00287143</v>
      </c>
      <c r="L36" s="20" t="n">
        <v>0.40175334</v>
      </c>
      <c r="M36" s="18" t="n">
        <v>0</v>
      </c>
      <c r="N36" s="20" t="n">
        <v>0</v>
      </c>
      <c r="O36" s="18" t="n">
        <v>0</v>
      </c>
      <c r="P36" s="20" t="n">
        <v>0</v>
      </c>
      <c r="Q36" s="18" t="n">
        <v>0.62334321</v>
      </c>
      <c r="R36" s="20" t="n">
        <v>0.29643679</v>
      </c>
    </row>
    <row r="37" spans="1:18">
      <c r="A37" s="15" t="s">
        <v>595</v>
      </c>
      <c r="B37" s="17" t="n">
        <v>2731</v>
      </c>
      <c r="C37" s="18">
        <f>(2206.0/B37*100)</f>
        <v/>
      </c>
      <c r="D37" s="19" t="n">
        <v>525</v>
      </c>
      <c r="E37" s="18" t="n">
        <v>67.58056689</v>
      </c>
      <c r="F37" s="20" t="n">
        <v>2.12641861</v>
      </c>
      <c r="G37" s="18" t="n">
        <v>28.13832328</v>
      </c>
      <c r="H37" s="20" t="n">
        <v>1.9895752</v>
      </c>
      <c r="I37" s="18" t="n">
        <v>0</v>
      </c>
      <c r="J37" s="20" t="n">
        <v>0</v>
      </c>
      <c r="K37" s="18" t="n">
        <v>3.3733519</v>
      </c>
      <c r="L37" s="20" t="n">
        <v>0.9002285</v>
      </c>
      <c r="M37" s="18" t="n">
        <v>0</v>
      </c>
      <c r="N37" s="20" t="n">
        <v>0</v>
      </c>
      <c r="O37" s="18" t="n">
        <v>0</v>
      </c>
      <c r="P37" s="20" t="n">
        <v>0</v>
      </c>
      <c r="Q37" s="18" t="n">
        <v>0.90775793</v>
      </c>
      <c r="R37" s="20" t="n">
        <v>0.49881557</v>
      </c>
    </row>
    <row r="38" spans="1:18">
      <c r="A38" s="15" t="s">
        <v>596</v>
      </c>
      <c r="B38" s="17" t="n">
        <v>2807</v>
      </c>
      <c r="C38" s="18">
        <f>(2225.0/B38*100)</f>
        <v/>
      </c>
      <c r="D38" s="19" t="n">
        <v>582</v>
      </c>
      <c r="E38" s="18" t="n">
        <v>64.96384895</v>
      </c>
      <c r="F38" s="20" t="n">
        <v>2.73875523</v>
      </c>
      <c r="G38" s="18" t="n">
        <v>32.54228085</v>
      </c>
      <c r="H38" s="20" t="n">
        <v>2.74504625</v>
      </c>
      <c r="I38" s="18" t="n">
        <v>0</v>
      </c>
      <c r="J38" s="20" t="n">
        <v>0</v>
      </c>
      <c r="K38" s="18" t="n">
        <v>1.40632292</v>
      </c>
      <c r="L38" s="20" t="n">
        <v>0.54185299</v>
      </c>
      <c r="M38" s="18" t="n">
        <v>0</v>
      </c>
      <c r="N38" s="20" t="n">
        <v>0</v>
      </c>
      <c r="O38" s="18" t="n">
        <v>0</v>
      </c>
      <c r="P38" s="20" t="n">
        <v>0</v>
      </c>
      <c r="Q38" s="18" t="n">
        <v>1.08754728</v>
      </c>
      <c r="R38" s="20" t="n">
        <v>0.73447897</v>
      </c>
    </row>
    <row r="39" spans="1:18">
      <c r="A39" s="15" t="s">
        <v>597</v>
      </c>
      <c r="B39" s="17" t="n">
        <v>2938</v>
      </c>
      <c r="C39" s="18">
        <f>(2309.0/B39*100)</f>
        <v/>
      </c>
      <c r="D39" s="19" t="n">
        <v>629</v>
      </c>
      <c r="E39" s="18" t="n">
        <v>78.53038979</v>
      </c>
      <c r="F39" s="20" t="n">
        <v>1.88684916</v>
      </c>
      <c r="G39" s="18" t="n">
        <v>19.16291626</v>
      </c>
      <c r="H39" s="20" t="n">
        <v>1.86488354</v>
      </c>
      <c r="I39" s="18" t="n">
        <v>0</v>
      </c>
      <c r="J39" s="20" t="n">
        <v>0</v>
      </c>
      <c r="K39" s="18" t="n">
        <v>0.65970505</v>
      </c>
      <c r="L39" s="20" t="n">
        <v>0.25789918</v>
      </c>
      <c r="M39" s="18" t="n">
        <v>0</v>
      </c>
      <c r="N39" s="20" t="n">
        <v>0</v>
      </c>
      <c r="O39" s="18" t="n">
        <v>0</v>
      </c>
      <c r="P39" s="20" t="n">
        <v>0</v>
      </c>
      <c r="Q39" s="18" t="n">
        <v>1.6469889</v>
      </c>
      <c r="R39" s="20" t="n">
        <v>0.5045822599999999</v>
      </c>
    </row>
    <row r="40" spans="1:18">
      <c r="A40" s="15" t="s">
        <v>598</v>
      </c>
      <c r="B40" s="17" t="n">
        <v>6922</v>
      </c>
      <c r="C40" s="18">
        <f>(5355.0/B40*100)</f>
        <v/>
      </c>
      <c r="D40" s="19" t="n">
        <v>1567</v>
      </c>
      <c r="E40" s="18" t="n">
        <v>68.92344821</v>
      </c>
      <c r="F40" s="20" t="n">
        <v>1.86171432</v>
      </c>
      <c r="G40" s="18" t="n">
        <v>29.77315638</v>
      </c>
      <c r="H40" s="20" t="n">
        <v>1.78068168</v>
      </c>
      <c r="I40" s="18" t="n">
        <v>0</v>
      </c>
      <c r="J40" s="20" t="n">
        <v>0</v>
      </c>
      <c r="K40" s="18" t="n">
        <v>1.2236748</v>
      </c>
      <c r="L40" s="20" t="n">
        <v>0.4043794</v>
      </c>
      <c r="M40" s="18" t="n">
        <v>0</v>
      </c>
      <c r="N40" s="20" t="n">
        <v>0</v>
      </c>
      <c r="O40" s="18" t="n">
        <v>0</v>
      </c>
      <c r="P40" s="20" t="n">
        <v>0</v>
      </c>
      <c r="Q40" s="18" t="n">
        <v>0.07972061</v>
      </c>
      <c r="R40" s="20" t="n">
        <v>0.0445089</v>
      </c>
    </row>
    <row r="41" spans="1:18">
      <c r="A41" s="15" t="s">
        <v>599</v>
      </c>
      <c r="B41" s="17" t="n">
        <v>2854</v>
      </c>
      <c r="C41" s="18">
        <f>(2232.0/B41*100)</f>
        <v/>
      </c>
      <c r="D41" s="19" t="n">
        <v>622</v>
      </c>
      <c r="E41" s="18" t="n">
        <v>66.70640045</v>
      </c>
      <c r="F41" s="20" t="n">
        <v>2.18968789</v>
      </c>
      <c r="G41" s="18" t="n">
        <v>31.4484582</v>
      </c>
      <c r="H41" s="20" t="n">
        <v>2.09663826</v>
      </c>
      <c r="I41" s="18" t="n">
        <v>0</v>
      </c>
      <c r="J41" s="20" t="n">
        <v>0</v>
      </c>
      <c r="K41" s="18" t="n">
        <v>1.69705476</v>
      </c>
      <c r="L41" s="20" t="n">
        <v>0.64163771</v>
      </c>
      <c r="M41" s="18" t="n">
        <v>0</v>
      </c>
      <c r="N41" s="20" t="n">
        <v>0</v>
      </c>
      <c r="O41" s="18" t="n">
        <v>0</v>
      </c>
      <c r="P41" s="20" t="n">
        <v>0</v>
      </c>
      <c r="Q41" s="18" t="n">
        <v>0.14808659</v>
      </c>
      <c r="R41" s="20" t="n">
        <v>0.14347388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(10412.0/B46*100)</f>
        <v/>
      </c>
      <c r="D46" s="19" t="n">
        <v>1661</v>
      </c>
      <c r="E46" s="18" t="n">
        <v>81.78128316</v>
      </c>
      <c r="F46" s="20" t="n">
        <v>1.39216548</v>
      </c>
      <c r="G46" s="18" t="n">
        <v>9.27386179</v>
      </c>
      <c r="H46" s="20" t="n">
        <v>1.11222236</v>
      </c>
      <c r="I46" s="18" t="n">
        <v>0</v>
      </c>
      <c r="J46" s="20" t="n">
        <v>0</v>
      </c>
      <c r="K46" s="18" t="n">
        <v>4.42361067</v>
      </c>
      <c r="L46" s="20" t="n">
        <v>0.79747354</v>
      </c>
      <c r="M46" s="18" t="n">
        <v>0</v>
      </c>
      <c r="N46" s="20" t="n">
        <v>0</v>
      </c>
      <c r="O46" s="18" t="n">
        <v>0</v>
      </c>
      <c r="P46" s="20" t="n">
        <v>0</v>
      </c>
      <c r="Q46" s="18" t="n">
        <v>4.52124437</v>
      </c>
      <c r="R46" s="20" t="n">
        <v>0.54806603</v>
      </c>
    </row>
    <row r="47" spans="1:18">
      <c r="A47" s="15" t="s">
        <v>606</v>
      </c>
      <c r="B47" s="17" t="n">
        <v>2823</v>
      </c>
      <c r="C47" s="18">
        <f>(2236.0/B47*100)</f>
        <v/>
      </c>
      <c r="D47" s="19" t="n">
        <v>587</v>
      </c>
      <c r="E47" s="18" t="n">
        <v>75.28914303000001</v>
      </c>
      <c r="F47" s="20" t="n">
        <v>1.96854637</v>
      </c>
      <c r="G47" s="18" t="n">
        <v>21.25612621</v>
      </c>
      <c r="H47" s="20" t="n">
        <v>2.02156741</v>
      </c>
      <c r="I47" s="18" t="n">
        <v>0</v>
      </c>
      <c r="J47" s="20" t="n">
        <v>0</v>
      </c>
      <c r="K47" s="18" t="n">
        <v>2.39719965</v>
      </c>
      <c r="L47" s="20" t="n">
        <v>0.62440244</v>
      </c>
      <c r="M47" s="18" t="n">
        <v>0</v>
      </c>
      <c r="N47" s="20" t="n">
        <v>0</v>
      </c>
      <c r="O47" s="18" t="n">
        <v>0</v>
      </c>
      <c r="P47" s="20" t="n">
        <v>0</v>
      </c>
      <c r="Q47" s="18" t="n">
        <v>1.05753111</v>
      </c>
      <c r="R47" s="20" t="n">
        <v>0.49573896</v>
      </c>
    </row>
    <row r="48" spans="1:18">
      <c r="A48" s="15" t="s">
        <v>607</v>
      </c>
      <c r="B48" s="17" t="n">
        <v>4682</v>
      </c>
      <c r="C48" s="18">
        <f>(3652.0/B48*100)</f>
        <v/>
      </c>
      <c r="D48" s="19" t="n">
        <v>1030</v>
      </c>
      <c r="E48" s="18" t="n">
        <v>64.13278758</v>
      </c>
      <c r="F48" s="20" t="n">
        <v>2.19615839</v>
      </c>
      <c r="G48" s="18" t="n">
        <v>33.69948256</v>
      </c>
      <c r="H48" s="20" t="n">
        <v>2.19372045</v>
      </c>
      <c r="I48" s="18" t="n">
        <v>0</v>
      </c>
      <c r="J48" s="20" t="n">
        <v>0</v>
      </c>
      <c r="K48" s="18" t="n">
        <v>1.1306133</v>
      </c>
      <c r="L48" s="20" t="n">
        <v>0.46807137</v>
      </c>
      <c r="M48" s="18" t="n">
        <v>0</v>
      </c>
      <c r="N48" s="20" t="n">
        <v>0</v>
      </c>
      <c r="O48" s="18" t="n">
        <v>0</v>
      </c>
      <c r="P48" s="20" t="n">
        <v>0</v>
      </c>
      <c r="Q48" s="18" t="n">
        <v>1.03711657</v>
      </c>
      <c r="R48" s="20" t="n">
        <v>0.42687355</v>
      </c>
    </row>
    <row r="49" spans="1:18">
      <c r="A49" s="15" t="s">
        <v>608</v>
      </c>
      <c r="B49" s="17" t="n">
        <v>6158</v>
      </c>
      <c r="C49" s="18">
        <f>(4922.0/B49*100)</f>
        <v/>
      </c>
      <c r="D49" s="19" t="n">
        <v>1236</v>
      </c>
      <c r="E49" s="18" t="n">
        <v>83.67195312</v>
      </c>
      <c r="F49" s="20" t="n">
        <v>1.4543935</v>
      </c>
      <c r="G49" s="18" t="n">
        <v>8.81591688</v>
      </c>
      <c r="H49" s="20" t="n">
        <v>1.05427313</v>
      </c>
      <c r="I49" s="18" t="n">
        <v>0</v>
      </c>
      <c r="J49" s="20" t="n">
        <v>0</v>
      </c>
      <c r="K49" s="18" t="n">
        <v>5.57012965</v>
      </c>
      <c r="L49" s="20" t="n">
        <v>1.0031987</v>
      </c>
      <c r="M49" s="18" t="n">
        <v>0</v>
      </c>
      <c r="N49" s="20" t="n">
        <v>0</v>
      </c>
      <c r="O49" s="18" t="n">
        <v>0</v>
      </c>
      <c r="P49" s="20" t="n">
        <v>0</v>
      </c>
      <c r="Q49" s="18" t="n">
        <v>1.94200034</v>
      </c>
      <c r="R49" s="20" t="n">
        <v>0.62451322</v>
      </c>
    </row>
    <row r="50" spans="1:18">
      <c r="A50" s="15" t="s">
        <v>609</v>
      </c>
      <c r="B50" s="17" t="n">
        <v>3494</v>
      </c>
      <c r="C50" s="18">
        <f>(2933.0/B50*100)</f>
        <v/>
      </c>
      <c r="D50" s="19" t="n">
        <v>561</v>
      </c>
      <c r="E50" s="18" t="n">
        <v>89.24045975999999</v>
      </c>
      <c r="F50" s="20" t="n">
        <v>1.19491616</v>
      </c>
      <c r="G50" s="18" t="n">
        <v>7.15217711</v>
      </c>
      <c r="H50" s="20" t="n">
        <v>1.13518538</v>
      </c>
      <c r="I50" s="18" t="n">
        <v>0</v>
      </c>
      <c r="J50" s="20" t="n">
        <v>0</v>
      </c>
      <c r="K50" s="18" t="n">
        <v>2.40177806</v>
      </c>
      <c r="L50" s="20" t="n">
        <v>0.6151444700000001</v>
      </c>
      <c r="M50" s="18" t="n">
        <v>0</v>
      </c>
      <c r="N50" s="20" t="n">
        <v>0</v>
      </c>
      <c r="O50" s="18" t="n">
        <v>0</v>
      </c>
      <c r="P50" s="20" t="n">
        <v>0</v>
      </c>
      <c r="Q50" s="18" t="n">
        <v>1.20558506</v>
      </c>
      <c r="R50" s="20" t="n">
        <v>0.36171642</v>
      </c>
    </row>
    <row r="51" spans="1:18">
      <c r="A51" s="15" t="s">
        <v>610</v>
      </c>
      <c r="B51" s="17" t="n">
        <v>3013</v>
      </c>
      <c r="C51" s="18">
        <f>(2351.0/B51*100)</f>
        <v/>
      </c>
      <c r="D51" s="19" t="n">
        <v>662</v>
      </c>
      <c r="E51" s="18" t="n">
        <v>73.35952736</v>
      </c>
      <c r="F51" s="20" t="n">
        <v>1.95440562</v>
      </c>
      <c r="G51" s="18" t="n">
        <v>25.0228396</v>
      </c>
      <c r="H51" s="20" t="n">
        <v>1.94900346</v>
      </c>
      <c r="I51" s="18" t="n">
        <v>0</v>
      </c>
      <c r="J51" s="20" t="n">
        <v>0</v>
      </c>
      <c r="K51" s="18" t="n">
        <v>1.20531255</v>
      </c>
      <c r="L51" s="20" t="n">
        <v>0.59970321</v>
      </c>
      <c r="M51" s="18" t="n">
        <v>0</v>
      </c>
      <c r="N51" s="20" t="n">
        <v>0</v>
      </c>
      <c r="O51" s="18" t="n">
        <v>0</v>
      </c>
      <c r="P51" s="20" t="n">
        <v>0</v>
      </c>
      <c r="Q51" s="18" t="n">
        <v>0.41232048</v>
      </c>
      <c r="R51" s="20" t="n">
        <v>0.24812212</v>
      </c>
    </row>
    <row r="52" spans="1:18">
      <c r="A52" s="15" t="s">
        <v>611</v>
      </c>
      <c r="B52" s="17" t="n">
        <v>2760</v>
      </c>
      <c r="C52" s="18">
        <f>(2132.0/B52*100)</f>
        <v/>
      </c>
      <c r="D52" s="19" t="n">
        <v>628</v>
      </c>
      <c r="E52" s="18" t="n">
        <v>84.50732966</v>
      </c>
      <c r="F52" s="20" t="n">
        <v>1.64297006</v>
      </c>
      <c r="G52" s="18" t="n">
        <v>13.48078409</v>
      </c>
      <c r="H52" s="20" t="n">
        <v>1.38094568</v>
      </c>
      <c r="I52" s="18" t="n">
        <v>0</v>
      </c>
      <c r="J52" s="20" t="n">
        <v>0</v>
      </c>
      <c r="K52" s="18" t="n">
        <v>1.67040249</v>
      </c>
      <c r="L52" s="20" t="n">
        <v>0.63060695</v>
      </c>
      <c r="M52" s="18" t="n">
        <v>0</v>
      </c>
      <c r="N52" s="20" t="n">
        <v>0</v>
      </c>
      <c r="O52" s="18" t="n">
        <v>0</v>
      </c>
      <c r="P52" s="20" t="n">
        <v>0</v>
      </c>
      <c r="Q52" s="18" t="n">
        <v>0.34148377</v>
      </c>
      <c r="R52" s="20" t="n">
        <v>0.24929728</v>
      </c>
    </row>
    <row r="53" spans="1:18">
      <c r="A53" s="15" t="s">
        <v>612</v>
      </c>
      <c r="B53" s="17" t="n">
        <v>2474</v>
      </c>
      <c r="C53" s="18">
        <f>(1944.0/B53*100)</f>
        <v/>
      </c>
      <c r="D53" s="19" t="n">
        <v>530</v>
      </c>
      <c r="E53" s="18" t="n">
        <v>62.23370207</v>
      </c>
      <c r="F53" s="20" t="n">
        <v>2.37619893</v>
      </c>
      <c r="G53" s="18" t="n">
        <v>4.38199971</v>
      </c>
      <c r="H53" s="20" t="n">
        <v>0.96471808</v>
      </c>
      <c r="I53" s="18" t="n">
        <v>0</v>
      </c>
      <c r="J53" s="20" t="n">
        <v>0</v>
      </c>
      <c r="K53" s="18" t="n">
        <v>26.13098127</v>
      </c>
      <c r="L53" s="20" t="n">
        <v>2.23643922</v>
      </c>
      <c r="M53" s="18" t="n">
        <v>0</v>
      </c>
      <c r="N53" s="20" t="n">
        <v>0</v>
      </c>
      <c r="O53" s="18" t="n">
        <v>0</v>
      </c>
      <c r="P53" s="20" t="n">
        <v>0</v>
      </c>
      <c r="Q53" s="18" t="n">
        <v>7.25331695</v>
      </c>
      <c r="R53" s="20" t="n">
        <v>1.13032153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(2130.0/B55*100)</f>
        <v/>
      </c>
      <c r="D55" s="19" t="n">
        <v>545</v>
      </c>
      <c r="E55" s="18" t="n">
        <v>63.7635023</v>
      </c>
      <c r="F55" s="20" t="n">
        <v>1.69922472</v>
      </c>
      <c r="G55" s="18" t="n">
        <v>35.11212675</v>
      </c>
      <c r="H55" s="20" t="n">
        <v>1.69712807</v>
      </c>
      <c r="I55" s="18" t="n">
        <v>0</v>
      </c>
      <c r="J55" s="20" t="n">
        <v>0</v>
      </c>
      <c r="K55" s="18" t="n">
        <v>0.94566105</v>
      </c>
      <c r="L55" s="20" t="n">
        <v>0.52549745</v>
      </c>
      <c r="M55" s="18" t="n">
        <v>0</v>
      </c>
      <c r="N55" s="20" t="n">
        <v>0</v>
      </c>
      <c r="O55" s="18" t="n">
        <v>0</v>
      </c>
      <c r="P55" s="20" t="n">
        <v>0</v>
      </c>
      <c r="Q55" s="18" t="n">
        <v>0.1787099</v>
      </c>
      <c r="R55" s="20" t="n">
        <v>0.17736746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(2516.0/B61*100)</f>
        <v/>
      </c>
      <c r="D61" s="19" t="n">
        <v>685</v>
      </c>
      <c r="E61" s="18" t="n">
        <v>70.79465602000001</v>
      </c>
      <c r="F61" s="20" t="n">
        <v>2.26632269</v>
      </c>
      <c r="G61" s="18" t="n">
        <v>27.17733077</v>
      </c>
      <c r="H61" s="20" t="n">
        <v>2.25008775</v>
      </c>
      <c r="I61" s="18" t="n">
        <v>0</v>
      </c>
      <c r="J61" s="20" t="n">
        <v>0</v>
      </c>
      <c r="K61" s="18" t="n">
        <v>1.70464543</v>
      </c>
      <c r="L61" s="20" t="n">
        <v>0.50437916</v>
      </c>
      <c r="M61" s="18" t="n">
        <v>0</v>
      </c>
      <c r="N61" s="20" t="n">
        <v>0</v>
      </c>
      <c r="O61" s="18" t="n">
        <v>0</v>
      </c>
      <c r="P61" s="20" t="n">
        <v>0</v>
      </c>
      <c r="Q61" s="18" t="n">
        <v>0.32336778</v>
      </c>
      <c r="R61" s="20" t="n">
        <v>0.22031624</v>
      </c>
    </row>
    <row r="62" spans="1:18">
      <c r="A62" s="15" t="s">
        <v>622</v>
      </c>
      <c r="B62" s="17" t="n">
        <v>2230</v>
      </c>
      <c r="C62" s="18">
        <f>(1805.0/B62*100)</f>
        <v/>
      </c>
      <c r="D62" s="19" t="n">
        <v>425</v>
      </c>
      <c r="E62" s="18" t="n">
        <v>65.73027709</v>
      </c>
      <c r="F62" s="20" t="n">
        <v>2.27499161</v>
      </c>
      <c r="G62" s="18" t="n">
        <v>34.26972291</v>
      </c>
      <c r="H62" s="20" t="n">
        <v>2.27499161</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(2211.0/B67*100)</f>
        <v/>
      </c>
      <c r="D67" s="19" t="n">
        <v>560</v>
      </c>
      <c r="E67" s="18" t="n">
        <v>81.03750676</v>
      </c>
      <c r="F67" s="20" t="n">
        <v>1.54355001</v>
      </c>
      <c r="G67" s="18" t="n">
        <v>11.48322905</v>
      </c>
      <c r="H67" s="20" t="n">
        <v>1.3580404</v>
      </c>
      <c r="I67" s="18" t="n">
        <v>0</v>
      </c>
      <c r="J67" s="20" t="n">
        <v>0</v>
      </c>
      <c r="K67" s="18" t="n">
        <v>4.94857292</v>
      </c>
      <c r="L67" s="20" t="n">
        <v>0.95546358</v>
      </c>
      <c r="M67" s="18" t="n">
        <v>0</v>
      </c>
      <c r="N67" s="20" t="n">
        <v>0</v>
      </c>
      <c r="O67" s="18" t="n">
        <v>0</v>
      </c>
      <c r="P67" s="20" t="n">
        <v>0</v>
      </c>
      <c r="Q67" s="18" t="n">
        <v>2.53069127</v>
      </c>
      <c r="R67" s="20" t="n">
        <v>0.6396204599999999</v>
      </c>
    </row>
    <row r="68" spans="1:18">
      <c r="A68" s="15" t="s">
        <v>628</v>
      </c>
      <c r="B68" s="17" t="n">
        <v>3460</v>
      </c>
      <c r="C68" s="18">
        <f>(2902.0/B68*100)</f>
        <v/>
      </c>
      <c r="D68" s="19" t="n">
        <v>558</v>
      </c>
      <c r="E68" s="18" t="n">
        <v>87.84525807</v>
      </c>
      <c r="F68" s="20" t="n">
        <v>1.46090762</v>
      </c>
      <c r="G68" s="18" t="n">
        <v>8.41060914</v>
      </c>
      <c r="H68" s="20" t="n">
        <v>1.07698952</v>
      </c>
      <c r="I68" s="18" t="n">
        <v>0</v>
      </c>
      <c r="J68" s="20" t="n">
        <v>0</v>
      </c>
      <c r="K68" s="18" t="n">
        <v>1.22889628</v>
      </c>
      <c r="L68" s="20" t="n">
        <v>0.6035846</v>
      </c>
      <c r="M68" s="18" t="n">
        <v>0</v>
      </c>
      <c r="N68" s="20" t="n">
        <v>0</v>
      </c>
      <c r="O68" s="18" t="n">
        <v>0</v>
      </c>
      <c r="P68" s="20" t="n">
        <v>0</v>
      </c>
      <c r="Q68" s="18" t="n">
        <v>2.51523651</v>
      </c>
      <c r="R68" s="20" t="n">
        <v>0.72607712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(4684.0/B70*100)</f>
        <v/>
      </c>
      <c r="D70" s="19" t="n">
        <v>1350</v>
      </c>
      <c r="E70" s="18" t="n">
        <v>77.24712569</v>
      </c>
      <c r="F70" s="20" t="n">
        <v>1.01630016</v>
      </c>
      <c r="G70" s="18" t="n">
        <v>15.11613399</v>
      </c>
      <c r="H70" s="20" t="n">
        <v>0.89969713</v>
      </c>
      <c r="I70" s="18" t="n">
        <v>0</v>
      </c>
      <c r="J70" s="20" t="n">
        <v>0</v>
      </c>
      <c r="K70" s="18" t="n">
        <v>6.80236744</v>
      </c>
      <c r="L70" s="20" t="n">
        <v>0.63856326</v>
      </c>
      <c r="M70" s="18" t="n">
        <v>0</v>
      </c>
      <c r="N70" s="20" t="n">
        <v>0</v>
      </c>
      <c r="O70" s="18" t="n">
        <v>0</v>
      </c>
      <c r="P70" s="20" t="n">
        <v>0</v>
      </c>
      <c r="Q70" s="18" t="n">
        <v>0.83437288</v>
      </c>
      <c r="R70" s="20" t="n">
        <v>0.25363069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(2487.0/B72*100)</f>
        <v/>
      </c>
      <c r="D72" s="19" t="n">
        <v>620</v>
      </c>
      <c r="E72" s="18" t="n">
        <v>71.47993728</v>
      </c>
      <c r="F72" s="20" t="n">
        <v>2.22055875</v>
      </c>
      <c r="G72" s="18" t="n">
        <v>26.13900117</v>
      </c>
      <c r="H72" s="20" t="n">
        <v>2.41624718</v>
      </c>
      <c r="I72" s="18" t="n">
        <v>0</v>
      </c>
      <c r="J72" s="20" t="n">
        <v>0</v>
      </c>
      <c r="K72" s="18" t="n">
        <v>2.16261168</v>
      </c>
      <c r="L72" s="20" t="n">
        <v>0.69031864</v>
      </c>
      <c r="M72" s="18" t="n">
        <v>0</v>
      </c>
      <c r="N72" s="20" t="n">
        <v>0</v>
      </c>
      <c r="O72" s="18" t="n">
        <v>0</v>
      </c>
      <c r="P72" s="20" t="n">
        <v>0</v>
      </c>
      <c r="Q72" s="18" t="n">
        <v>0.21844987</v>
      </c>
      <c r="R72" s="20" t="n">
        <v>0.15676225</v>
      </c>
    </row>
    <row r="73" spans="1:18">
      <c r="A73" s="15" t="s">
        <v>633</v>
      </c>
      <c r="B73" s="17" t="n">
        <v>2973</v>
      </c>
      <c r="C73" s="18">
        <f>(2332.0/B73*100)</f>
        <v/>
      </c>
      <c r="D73" s="19" t="n">
        <v>641</v>
      </c>
      <c r="E73" s="18" t="n">
        <v>53.78420311</v>
      </c>
      <c r="F73" s="20" t="n">
        <v>2.10367531</v>
      </c>
      <c r="G73" s="18" t="n">
        <v>45.38193396</v>
      </c>
      <c r="H73" s="20" t="n">
        <v>2.09759279</v>
      </c>
      <c r="I73" s="18" t="n">
        <v>0</v>
      </c>
      <c r="J73" s="20" t="n">
        <v>0</v>
      </c>
      <c r="K73" s="18" t="n">
        <v>0.6888229</v>
      </c>
      <c r="L73" s="20" t="n">
        <v>0.33091842</v>
      </c>
      <c r="M73" s="18" t="n">
        <v>0</v>
      </c>
      <c r="N73" s="20" t="n">
        <v>0</v>
      </c>
      <c r="O73" s="18" t="n">
        <v>0</v>
      </c>
      <c r="P73" s="20" t="n">
        <v>0</v>
      </c>
      <c r="Q73" s="18" t="n">
        <v>0.14504003</v>
      </c>
      <c r="R73" s="20" t="n">
        <v>0.14444812</v>
      </c>
    </row>
    <row r="74" spans="1:18">
      <c r="A74" s="15" t="s">
        <v>634</v>
      </c>
      <c r="B74" s="17" t="n">
        <v>3819</v>
      </c>
      <c r="C74" s="18">
        <f>(3008.0/B74*100)</f>
        <v/>
      </c>
      <c r="D74" s="19" t="n">
        <v>811</v>
      </c>
      <c r="E74" s="18" t="n">
        <v>61.65875729</v>
      </c>
      <c r="F74" s="20" t="n">
        <v>2.13554804</v>
      </c>
      <c r="G74" s="18" t="n">
        <v>38.07675468</v>
      </c>
      <c r="H74" s="20" t="n">
        <v>2.13343985</v>
      </c>
      <c r="I74" s="18" t="n">
        <v>0</v>
      </c>
      <c r="J74" s="20" t="n">
        <v>0</v>
      </c>
      <c r="K74" s="18" t="n">
        <v>0.13550305</v>
      </c>
      <c r="L74" s="20" t="n">
        <v>0.13683992</v>
      </c>
      <c r="M74" s="18" t="n">
        <v>0</v>
      </c>
      <c r="N74" s="20" t="n">
        <v>0</v>
      </c>
      <c r="O74" s="18" t="n">
        <v>0</v>
      </c>
      <c r="P74" s="20" t="n">
        <v>0</v>
      </c>
      <c r="Q74" s="18" t="n">
        <v>0.12898497</v>
      </c>
      <c r="R74" s="20" t="n">
        <v>0.09146532</v>
      </c>
    </row>
    <row r="75" spans="1:18">
      <c r="A75" s="15" t="s">
        <v>635</v>
      </c>
      <c r="B75" s="17" t="n">
        <v>4652</v>
      </c>
      <c r="C75" s="18">
        <f>(3781.0/B75*100)</f>
        <v/>
      </c>
      <c r="D75" s="19" t="n">
        <v>871</v>
      </c>
      <c r="E75" s="18" t="n">
        <v>88.39920589</v>
      </c>
      <c r="F75" s="20" t="n">
        <v>1.11905974</v>
      </c>
      <c r="G75" s="18" t="n">
        <v>11.08250295</v>
      </c>
      <c r="H75" s="20" t="n">
        <v>1.09284621</v>
      </c>
      <c r="I75" s="18" t="n">
        <v>0</v>
      </c>
      <c r="J75" s="20" t="n">
        <v>0</v>
      </c>
      <c r="K75" s="18" t="n">
        <v>0.16167802</v>
      </c>
      <c r="L75" s="20" t="n">
        <v>0.16238337</v>
      </c>
      <c r="M75" s="18" t="n">
        <v>0</v>
      </c>
      <c r="N75" s="20" t="n">
        <v>0</v>
      </c>
      <c r="O75" s="18" t="n">
        <v>0</v>
      </c>
      <c r="P75" s="20" t="n">
        <v>0</v>
      </c>
      <c r="Q75" s="18" t="n">
        <v>0.35661314</v>
      </c>
      <c r="R75" s="20" t="n">
        <v>0.26248188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(2434.0/B77*100)</f>
        <v/>
      </c>
      <c r="D77" s="19" t="n">
        <v>535</v>
      </c>
      <c r="E77" s="18" t="n">
        <v>78.32441575999999</v>
      </c>
      <c r="F77" s="20" t="n">
        <v>1.71356025</v>
      </c>
      <c r="G77" s="18" t="n">
        <v>10.20288711</v>
      </c>
      <c r="H77" s="20" t="n">
        <v>1.38647433</v>
      </c>
      <c r="I77" s="18" t="n">
        <v>0</v>
      </c>
      <c r="J77" s="20" t="n">
        <v>0</v>
      </c>
      <c r="K77" s="18" t="n">
        <v>9.073509680000001</v>
      </c>
      <c r="L77" s="20" t="n">
        <v>1.48805469</v>
      </c>
      <c r="M77" s="18" t="n">
        <v>0</v>
      </c>
      <c r="N77" s="20" t="n">
        <v>0</v>
      </c>
      <c r="O77" s="18" t="n">
        <v>0</v>
      </c>
      <c r="P77" s="20" t="n">
        <v>0</v>
      </c>
      <c r="Q77" s="18" t="n">
        <v>2.39918745</v>
      </c>
      <c r="R77" s="20" t="n">
        <v>0.59713614</v>
      </c>
    </row>
    <row r="78" spans="1:18">
      <c r="A78" s="15" t="s">
        <v>638</v>
      </c>
      <c r="B78" s="17" t="n">
        <v>7115</v>
      </c>
      <c r="C78" s="18">
        <f>(5631.0/B78*100)</f>
        <v/>
      </c>
      <c r="D78" s="19" t="n">
        <v>1484</v>
      </c>
      <c r="E78" s="18" t="n">
        <v>73.02715129000001</v>
      </c>
      <c r="F78" s="20" t="n">
        <v>1.77883693</v>
      </c>
      <c r="G78" s="18" t="n">
        <v>24.0312243</v>
      </c>
      <c r="H78" s="20" t="n">
        <v>1.85248133</v>
      </c>
      <c r="I78" s="18" t="n">
        <v>0</v>
      </c>
      <c r="J78" s="20" t="n">
        <v>0</v>
      </c>
      <c r="K78" s="18" t="n">
        <v>2.06197866</v>
      </c>
      <c r="L78" s="20" t="n">
        <v>0.41807556</v>
      </c>
      <c r="M78" s="18" t="n">
        <v>0</v>
      </c>
      <c r="N78" s="20" t="n">
        <v>0</v>
      </c>
      <c r="O78" s="18" t="n">
        <v>0</v>
      </c>
      <c r="P78" s="20" t="n">
        <v>0</v>
      </c>
      <c r="Q78" s="18" t="n">
        <v>0.87964575</v>
      </c>
      <c r="R78" s="20" t="n">
        <v>0.32916369</v>
      </c>
    </row>
    <row r="79" spans="1:18">
      <c r="A79" s="15" t="s">
        <v>639</v>
      </c>
      <c r="B79" s="17" t="n">
        <v>3154</v>
      </c>
      <c r="C79" s="18">
        <f>(2511.0/B79*100)</f>
        <v/>
      </c>
      <c r="D79" s="19" t="n">
        <v>643</v>
      </c>
      <c r="E79" s="18" t="n">
        <v>79.96856793000001</v>
      </c>
      <c r="F79" s="20" t="n">
        <v>1.51856198</v>
      </c>
      <c r="G79" s="18" t="n">
        <v>13.43538007</v>
      </c>
      <c r="H79" s="20" t="n">
        <v>1.30555527</v>
      </c>
      <c r="I79" s="18" t="n">
        <v>0</v>
      </c>
      <c r="J79" s="20" t="n">
        <v>0</v>
      </c>
      <c r="K79" s="18" t="n">
        <v>5.13460107</v>
      </c>
      <c r="L79" s="20" t="n">
        <v>0.8672178699999999</v>
      </c>
      <c r="M79" s="18" t="n">
        <v>0</v>
      </c>
      <c r="N79" s="20" t="n">
        <v>0</v>
      </c>
      <c r="O79" s="18" t="n">
        <v>0</v>
      </c>
      <c r="P79" s="20" t="n">
        <v>0</v>
      </c>
      <c r="Q79" s="18" t="n">
        <v>1.46145094</v>
      </c>
      <c r="R79" s="20" t="n">
        <v>0.46558316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(12707.0/B82*100)</f>
        <v/>
      </c>
      <c r="D82" s="19" t="n">
        <v>3254</v>
      </c>
      <c r="E82" s="18" t="n">
        <v>72.63342837</v>
      </c>
      <c r="F82" s="20" t="n">
        <v>1.03853735</v>
      </c>
      <c r="G82" s="18" t="n">
        <v>25.14490826</v>
      </c>
      <c r="H82" s="20" t="n">
        <v>1.00099138</v>
      </c>
      <c r="I82" s="18" t="n">
        <v>0</v>
      </c>
      <c r="J82" s="20" t="n">
        <v>0</v>
      </c>
      <c r="K82" s="18" t="n">
        <v>1.60229963</v>
      </c>
      <c r="L82" s="20" t="n">
        <v>0.25407142</v>
      </c>
      <c r="M82" s="18" t="n">
        <v>0</v>
      </c>
      <c r="N82" s="20" t="n">
        <v>0</v>
      </c>
      <c r="O82" s="18" t="n">
        <v>0</v>
      </c>
      <c r="P82" s="20" t="n">
        <v>0</v>
      </c>
      <c r="Q82" s="18" t="n">
        <v>0.6193637400000001</v>
      </c>
      <c r="R82" s="20" t="n">
        <v>0.21326782</v>
      </c>
    </row>
    <row r="83" spans="1:18">
      <c r="A83" s="15" t="s">
        <v>643</v>
      </c>
      <c r="B83" s="17" t="n">
        <v>808</v>
      </c>
      <c r="C83" s="18">
        <f>(651.0/B83*100)</f>
        <v/>
      </c>
      <c r="D83" s="19" t="n">
        <v>157</v>
      </c>
      <c r="E83" s="18" t="n">
        <v>62.06141906</v>
      </c>
      <c r="F83" s="20" t="n">
        <v>3.79619987</v>
      </c>
      <c r="G83" s="18" t="n">
        <v>37.93858094</v>
      </c>
      <c r="H83" s="20" t="n">
        <v>3.79619987</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(770.0/B84*100)</f>
        <v/>
      </c>
      <c r="D84" s="19" t="n">
        <v>168</v>
      </c>
      <c r="E84" s="18" t="n">
        <v>63.8713294</v>
      </c>
      <c r="F84" s="20" t="n">
        <v>3.04285434</v>
      </c>
      <c r="G84" s="18" t="n">
        <v>35.48134496</v>
      </c>
      <c r="H84" s="20" t="n">
        <v>3.02662338</v>
      </c>
      <c r="I84" s="18" t="n">
        <v>0</v>
      </c>
      <c r="J84" s="20" t="n">
        <v>0</v>
      </c>
      <c r="K84" s="18" t="n">
        <v>0.64732565</v>
      </c>
      <c r="L84" s="20" t="n">
        <v>0.63755697</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(5680.0/B7*100)</f>
        <v/>
      </c>
      <c r="D7" s="19" t="n">
        <v>1483</v>
      </c>
      <c r="E7" s="18" t="n">
        <v>45.64976896</v>
      </c>
      <c r="F7" s="20" t="n">
        <v>1.71146873</v>
      </c>
      <c r="G7" s="18" t="n">
        <v>50.70124793</v>
      </c>
      <c r="H7" s="20" t="n">
        <v>1.69941371</v>
      </c>
      <c r="I7" s="18" t="n">
        <v>0</v>
      </c>
      <c r="J7" s="20" t="n">
        <v>0</v>
      </c>
      <c r="K7" s="18" t="n">
        <v>3.16409629</v>
      </c>
      <c r="L7" s="20" t="n">
        <v>0.50609176</v>
      </c>
      <c r="M7" s="18" t="n">
        <v>0</v>
      </c>
      <c r="N7" s="20" t="n">
        <v>0</v>
      </c>
      <c r="O7" s="18" t="n">
        <v>0</v>
      </c>
      <c r="P7" s="20" t="n">
        <v>0</v>
      </c>
      <c r="Q7" s="18" t="n">
        <v>0.48488682</v>
      </c>
      <c r="R7" s="20" t="n">
        <v>0.18777028</v>
      </c>
    </row>
    <row r="8" spans="1:18">
      <c r="A8" s="15" t="s">
        <v>566</v>
      </c>
      <c r="B8" s="17" t="n">
        <v>3443</v>
      </c>
      <c r="C8" s="18">
        <f>(2675.0/B8*100)</f>
        <v/>
      </c>
      <c r="D8" s="19" t="n">
        <v>768</v>
      </c>
      <c r="E8" s="18" t="n">
        <v>46.8977748</v>
      </c>
      <c r="F8" s="20" t="n">
        <v>1.91746023</v>
      </c>
      <c r="G8" s="18" t="n">
        <v>44.34114715</v>
      </c>
      <c r="H8" s="20" t="n">
        <v>2.04402548</v>
      </c>
      <c r="I8" s="18" t="n">
        <v>0</v>
      </c>
      <c r="J8" s="20" t="n">
        <v>0</v>
      </c>
      <c r="K8" s="18" t="n">
        <v>5.85533922</v>
      </c>
      <c r="L8" s="20" t="n">
        <v>0.8830757</v>
      </c>
      <c r="M8" s="18" t="n">
        <v>0</v>
      </c>
      <c r="N8" s="20" t="n">
        <v>0</v>
      </c>
      <c r="O8" s="18" t="n">
        <v>0</v>
      </c>
      <c r="P8" s="20" t="n">
        <v>0</v>
      </c>
      <c r="Q8" s="18" t="n">
        <v>2.90573882</v>
      </c>
      <c r="R8" s="20" t="n">
        <v>0.62858962</v>
      </c>
    </row>
    <row r="9" spans="1:18">
      <c r="A9" s="15" t="s">
        <v>567</v>
      </c>
      <c r="B9" s="17" t="n">
        <v>4752</v>
      </c>
      <c r="C9" s="18">
        <f>(3800.0/B9*100)</f>
        <v/>
      </c>
      <c r="D9" s="19" t="n">
        <v>952</v>
      </c>
      <c r="E9" s="18" t="n">
        <v>40.16551598</v>
      </c>
      <c r="F9" s="20" t="n">
        <v>1.7245258</v>
      </c>
      <c r="G9" s="18" t="n">
        <v>52.51584412</v>
      </c>
      <c r="H9" s="20" t="n">
        <v>1.80702987</v>
      </c>
      <c r="I9" s="18" t="n">
        <v>0</v>
      </c>
      <c r="J9" s="20" t="n">
        <v>0</v>
      </c>
      <c r="K9" s="18" t="n">
        <v>5.44015749</v>
      </c>
      <c r="L9" s="20" t="n">
        <v>0.67141541</v>
      </c>
      <c r="M9" s="18" t="n">
        <v>0</v>
      </c>
      <c r="N9" s="20" t="n">
        <v>0</v>
      </c>
      <c r="O9" s="18" t="n">
        <v>0</v>
      </c>
      <c r="P9" s="20" t="n">
        <v>0</v>
      </c>
      <c r="Q9" s="18" t="n">
        <v>1.87848242</v>
      </c>
      <c r="R9" s="20" t="n">
        <v>0.41443407</v>
      </c>
    </row>
    <row r="10" spans="1:18">
      <c r="A10" s="15" t="s">
        <v>568</v>
      </c>
      <c r="B10" s="17" t="n">
        <v>10022</v>
      </c>
      <c r="C10" s="18">
        <f>(7865.0/B10*100)</f>
        <v/>
      </c>
      <c r="D10" s="19" t="n">
        <v>2157</v>
      </c>
      <c r="E10" s="18" t="n">
        <v>43.23266065</v>
      </c>
      <c r="F10" s="20" t="n">
        <v>1.53045342</v>
      </c>
      <c r="G10" s="18" t="n">
        <v>53.78916339</v>
      </c>
      <c r="H10" s="20" t="n">
        <v>1.59573466</v>
      </c>
      <c r="I10" s="18" t="n">
        <v>0</v>
      </c>
      <c r="J10" s="20" t="n">
        <v>0</v>
      </c>
      <c r="K10" s="18" t="n">
        <v>2.5328143</v>
      </c>
      <c r="L10" s="20" t="n">
        <v>0.38667511</v>
      </c>
      <c r="M10" s="18" t="n">
        <v>0</v>
      </c>
      <c r="N10" s="20" t="n">
        <v>0</v>
      </c>
      <c r="O10" s="18" t="n">
        <v>0</v>
      </c>
      <c r="P10" s="20" t="n">
        <v>0</v>
      </c>
      <c r="Q10" s="18" t="n">
        <v>0.44536166</v>
      </c>
      <c r="R10" s="20" t="n">
        <v>0.15919855</v>
      </c>
    </row>
    <row r="11" spans="1:18">
      <c r="A11" s="15" t="s">
        <v>569</v>
      </c>
      <c r="B11" s="17" t="n">
        <v>3500</v>
      </c>
      <c r="C11" s="18">
        <f>(2825.0/B11*100)</f>
        <v/>
      </c>
      <c r="D11" s="19" t="n">
        <v>675</v>
      </c>
      <c r="E11" s="18" t="n">
        <v>48.10859514</v>
      </c>
      <c r="F11" s="20" t="n">
        <v>2.38049413</v>
      </c>
      <c r="G11" s="18" t="n">
        <v>41.06533871</v>
      </c>
      <c r="H11" s="20" t="n">
        <v>2.18044453</v>
      </c>
      <c r="I11" s="18" t="n">
        <v>0</v>
      </c>
      <c r="J11" s="20" t="n">
        <v>0</v>
      </c>
      <c r="K11" s="18" t="n">
        <v>9.45578109</v>
      </c>
      <c r="L11" s="20" t="n">
        <v>1.3308875</v>
      </c>
      <c r="M11" s="18" t="n">
        <v>0</v>
      </c>
      <c r="N11" s="20" t="n">
        <v>0</v>
      </c>
      <c r="O11" s="18" t="n">
        <v>0</v>
      </c>
      <c r="P11" s="20" t="n">
        <v>0</v>
      </c>
      <c r="Q11" s="18" t="n">
        <v>1.37028506</v>
      </c>
      <c r="R11" s="20" t="n">
        <v>0.50541276</v>
      </c>
    </row>
    <row r="12" spans="1:18">
      <c r="A12" s="15" t="s">
        <v>570</v>
      </c>
      <c r="B12" s="17" t="n">
        <v>3422</v>
      </c>
      <c r="C12" s="18">
        <f>(2714.0/B12*100)</f>
        <v/>
      </c>
      <c r="D12" s="19" t="n">
        <v>708</v>
      </c>
      <c r="E12" s="18" t="n">
        <v>50.16161683</v>
      </c>
      <c r="F12" s="20" t="n">
        <v>2.25154377</v>
      </c>
      <c r="G12" s="18" t="n">
        <v>44.58047989</v>
      </c>
      <c r="H12" s="20" t="n">
        <v>2.08380809</v>
      </c>
      <c r="I12" s="18" t="n">
        <v>0</v>
      </c>
      <c r="J12" s="20" t="n">
        <v>0</v>
      </c>
      <c r="K12" s="18" t="n">
        <v>3.62398984</v>
      </c>
      <c r="L12" s="20" t="n">
        <v>0.7497433100000001</v>
      </c>
      <c r="M12" s="18" t="n">
        <v>0</v>
      </c>
      <c r="N12" s="20" t="n">
        <v>0</v>
      </c>
      <c r="O12" s="18" t="n">
        <v>0</v>
      </c>
      <c r="P12" s="20" t="n">
        <v>0</v>
      </c>
      <c r="Q12" s="18" t="n">
        <v>1.63391344</v>
      </c>
      <c r="R12" s="20" t="n">
        <v>0.70460462</v>
      </c>
    </row>
    <row r="13" spans="1:18">
      <c r="A13" s="15" t="s">
        <v>571</v>
      </c>
      <c r="B13" s="17" t="n">
        <v>3602</v>
      </c>
      <c r="C13" s="18">
        <f>(2838.0/B13*100)</f>
        <v/>
      </c>
      <c r="D13" s="19" t="n">
        <v>764</v>
      </c>
      <c r="E13" s="18" t="n">
        <v>47.49115104</v>
      </c>
      <c r="F13" s="20" t="n">
        <v>1.93973889</v>
      </c>
      <c r="G13" s="18" t="n">
        <v>47.52247324</v>
      </c>
      <c r="H13" s="20" t="n">
        <v>1.75811649</v>
      </c>
      <c r="I13" s="18" t="n">
        <v>0</v>
      </c>
      <c r="J13" s="20" t="n">
        <v>0</v>
      </c>
      <c r="K13" s="18" t="n">
        <v>4.17244217</v>
      </c>
      <c r="L13" s="20" t="n">
        <v>0.9137200599999999</v>
      </c>
      <c r="M13" s="18" t="n">
        <v>0</v>
      </c>
      <c r="N13" s="20" t="n">
        <v>0</v>
      </c>
      <c r="O13" s="18" t="n">
        <v>0</v>
      </c>
      <c r="P13" s="20" t="n">
        <v>0</v>
      </c>
      <c r="Q13" s="18" t="n">
        <v>0.81393355</v>
      </c>
      <c r="R13" s="20" t="n">
        <v>0.33678227</v>
      </c>
    </row>
    <row r="14" spans="1:18">
      <c r="A14" s="15" t="s">
        <v>572</v>
      </c>
      <c r="B14" s="17" t="n">
        <v>2788</v>
      </c>
      <c r="C14" s="18">
        <f>(2153.0/B14*100)</f>
        <v/>
      </c>
      <c r="D14" s="19" t="n">
        <v>635</v>
      </c>
      <c r="E14" s="18" t="n">
        <v>41.44062716</v>
      </c>
      <c r="F14" s="20" t="n">
        <v>1.90871231</v>
      </c>
      <c r="G14" s="18" t="n">
        <v>55.22149094</v>
      </c>
      <c r="H14" s="20" t="n">
        <v>1.84441188</v>
      </c>
      <c r="I14" s="18" t="n">
        <v>0</v>
      </c>
      <c r="J14" s="20" t="n">
        <v>0</v>
      </c>
      <c r="K14" s="18" t="n">
        <v>2.59254778</v>
      </c>
      <c r="L14" s="20" t="n">
        <v>0.61843908</v>
      </c>
      <c r="M14" s="18" t="n">
        <v>0</v>
      </c>
      <c r="N14" s="20" t="n">
        <v>0</v>
      </c>
      <c r="O14" s="18" t="n">
        <v>0</v>
      </c>
      <c r="P14" s="20" t="n">
        <v>0</v>
      </c>
      <c r="Q14" s="18" t="n">
        <v>0.74533412</v>
      </c>
      <c r="R14" s="20" t="n">
        <v>0.27360186</v>
      </c>
    </row>
    <row r="15" spans="1:18">
      <c r="A15" s="15" t="s">
        <v>573</v>
      </c>
      <c r="B15" s="17" t="n">
        <v>2863</v>
      </c>
      <c r="C15" s="18">
        <f>(2279.0/B15*100)</f>
        <v/>
      </c>
      <c r="D15" s="19" t="n">
        <v>584</v>
      </c>
      <c r="E15" s="18" t="n">
        <v>39.99001001</v>
      </c>
      <c r="F15" s="20" t="n">
        <v>2.17478302</v>
      </c>
      <c r="G15" s="18" t="n">
        <v>57.69168828</v>
      </c>
      <c r="H15" s="20" t="n">
        <v>2.14576297</v>
      </c>
      <c r="I15" s="18" t="n">
        <v>0</v>
      </c>
      <c r="J15" s="20" t="n">
        <v>0</v>
      </c>
      <c r="K15" s="18" t="n">
        <v>1.49829277</v>
      </c>
      <c r="L15" s="20" t="n">
        <v>0.5010544</v>
      </c>
      <c r="M15" s="18" t="n">
        <v>0</v>
      </c>
      <c r="N15" s="20" t="n">
        <v>0</v>
      </c>
      <c r="O15" s="18" t="n">
        <v>0</v>
      </c>
      <c r="P15" s="20" t="n">
        <v>0</v>
      </c>
      <c r="Q15" s="18" t="n">
        <v>0.82000894</v>
      </c>
      <c r="R15" s="20" t="n">
        <v>0.36676341</v>
      </c>
    </row>
    <row r="16" spans="1:18">
      <c r="A16" s="15" t="s">
        <v>574</v>
      </c>
      <c r="B16" s="17" t="n">
        <v>3111</v>
      </c>
      <c r="C16" s="18">
        <f>(2428.0/B16*100)</f>
        <v/>
      </c>
      <c r="D16" s="19" t="n">
        <v>683</v>
      </c>
      <c r="E16" s="18" t="n">
        <v>42.79947572</v>
      </c>
      <c r="F16" s="20" t="n">
        <v>1.85998887</v>
      </c>
      <c r="G16" s="18" t="n">
        <v>47.62691321</v>
      </c>
      <c r="H16" s="20" t="n">
        <v>1.98137404</v>
      </c>
      <c r="I16" s="18" t="n">
        <v>0</v>
      </c>
      <c r="J16" s="20" t="n">
        <v>0</v>
      </c>
      <c r="K16" s="18" t="n">
        <v>7.70731559</v>
      </c>
      <c r="L16" s="20" t="n">
        <v>1.14203113</v>
      </c>
      <c r="M16" s="18" t="n">
        <v>0</v>
      </c>
      <c r="N16" s="20" t="n">
        <v>0</v>
      </c>
      <c r="O16" s="18" t="n">
        <v>0</v>
      </c>
      <c r="P16" s="20" t="n">
        <v>0</v>
      </c>
      <c r="Q16" s="18" t="n">
        <v>1.86629549</v>
      </c>
      <c r="R16" s="20" t="n">
        <v>0.56706419</v>
      </c>
    </row>
    <row r="17" spans="1:18">
      <c r="A17" s="15" t="s">
        <v>575</v>
      </c>
      <c r="B17" s="17" t="n">
        <v>3197</v>
      </c>
      <c r="C17" s="18">
        <f>(2532.0/B17*100)</f>
        <v/>
      </c>
      <c r="D17" s="19" t="n">
        <v>665</v>
      </c>
      <c r="E17" s="18" t="n">
        <v>43.24703509</v>
      </c>
      <c r="F17" s="20" t="n">
        <v>2.13334895</v>
      </c>
      <c r="G17" s="18" t="n">
        <v>51.66483961</v>
      </c>
      <c r="H17" s="20" t="n">
        <v>2.09645653</v>
      </c>
      <c r="I17" s="18" t="n">
        <v>0</v>
      </c>
      <c r="J17" s="20" t="n">
        <v>0</v>
      </c>
      <c r="K17" s="18" t="n">
        <v>3.92717705</v>
      </c>
      <c r="L17" s="20" t="n">
        <v>0.76588252</v>
      </c>
      <c r="M17" s="18" t="n">
        <v>0</v>
      </c>
      <c r="N17" s="20" t="n">
        <v>0</v>
      </c>
      <c r="O17" s="18" t="n">
        <v>0</v>
      </c>
      <c r="P17" s="20" t="n">
        <v>0</v>
      </c>
      <c r="Q17" s="18" t="n">
        <v>1.16094825</v>
      </c>
      <c r="R17" s="20" t="n">
        <v>0.4170494</v>
      </c>
    </row>
    <row r="18" spans="1:18">
      <c r="A18" s="15" t="s">
        <v>576</v>
      </c>
      <c r="B18" s="17" t="n">
        <v>2706</v>
      </c>
      <c r="C18" s="18">
        <f>(2099.0/B18*100)</f>
        <v/>
      </c>
      <c r="D18" s="19" t="n">
        <v>607</v>
      </c>
      <c r="E18" s="18" t="n">
        <v>52.25406814</v>
      </c>
      <c r="F18" s="20" t="n">
        <v>1.86512499</v>
      </c>
      <c r="G18" s="18" t="n">
        <v>42.9011178</v>
      </c>
      <c r="H18" s="20" t="n">
        <v>1.85499455</v>
      </c>
      <c r="I18" s="18" t="n">
        <v>0</v>
      </c>
      <c r="J18" s="20" t="n">
        <v>0</v>
      </c>
      <c r="K18" s="18" t="n">
        <v>4.5400286</v>
      </c>
      <c r="L18" s="20" t="n">
        <v>0.92053063</v>
      </c>
      <c r="M18" s="18" t="n">
        <v>0</v>
      </c>
      <c r="N18" s="20" t="n">
        <v>0</v>
      </c>
      <c r="O18" s="18" t="n">
        <v>0</v>
      </c>
      <c r="P18" s="20" t="n">
        <v>0</v>
      </c>
      <c r="Q18" s="18" t="n">
        <v>0.30478546</v>
      </c>
      <c r="R18" s="20" t="n">
        <v>0.21310132</v>
      </c>
    </row>
    <row r="19" spans="1:18">
      <c r="A19" s="15" t="s">
        <v>577</v>
      </c>
      <c r="B19" s="17" t="n">
        <v>2850</v>
      </c>
      <c r="C19" s="18">
        <f>(2271.0/B19*100)</f>
        <v/>
      </c>
      <c r="D19" s="19" t="n">
        <v>579</v>
      </c>
      <c r="E19" s="18" t="n">
        <v>51.37594738</v>
      </c>
      <c r="F19" s="20" t="n">
        <v>2.19405189</v>
      </c>
      <c r="G19" s="18" t="n">
        <v>46.05912653</v>
      </c>
      <c r="H19" s="20" t="n">
        <v>2.22942842</v>
      </c>
      <c r="I19" s="18" t="n">
        <v>0</v>
      </c>
      <c r="J19" s="20" t="n">
        <v>0</v>
      </c>
      <c r="K19" s="18" t="n">
        <v>1.88701931</v>
      </c>
      <c r="L19" s="20" t="n">
        <v>0.62686231</v>
      </c>
      <c r="M19" s="18" t="n">
        <v>0</v>
      </c>
      <c r="N19" s="20" t="n">
        <v>0</v>
      </c>
      <c r="O19" s="18" t="n">
        <v>0</v>
      </c>
      <c r="P19" s="20" t="n">
        <v>0</v>
      </c>
      <c r="Q19" s="18" t="n">
        <v>0.67790678</v>
      </c>
      <c r="R19" s="20" t="n">
        <v>0.40357828</v>
      </c>
    </row>
    <row r="20" spans="1:18">
      <c r="A20" s="15" t="s">
        <v>578</v>
      </c>
      <c r="B20" s="17" t="n">
        <v>1741</v>
      </c>
      <c r="C20" s="18">
        <f>(1377.0/B20*100)</f>
        <v/>
      </c>
      <c r="D20" s="19" t="n">
        <v>364</v>
      </c>
      <c r="E20" s="18" t="n">
        <v>40.67908829</v>
      </c>
      <c r="F20" s="20" t="n">
        <v>2.78801656</v>
      </c>
      <c r="G20" s="18" t="n">
        <v>50.86042191</v>
      </c>
      <c r="H20" s="20" t="n">
        <v>2.73366013</v>
      </c>
      <c r="I20" s="18" t="n">
        <v>0</v>
      </c>
      <c r="J20" s="20" t="n">
        <v>0</v>
      </c>
      <c r="K20" s="18" t="n">
        <v>7.14385628</v>
      </c>
      <c r="L20" s="20" t="n">
        <v>1.40685281</v>
      </c>
      <c r="M20" s="18" t="n">
        <v>0</v>
      </c>
      <c r="N20" s="20" t="n">
        <v>0</v>
      </c>
      <c r="O20" s="18" t="n">
        <v>0</v>
      </c>
      <c r="P20" s="20" t="n">
        <v>0</v>
      </c>
      <c r="Q20" s="18" t="n">
        <v>1.31663352</v>
      </c>
      <c r="R20" s="20" t="n">
        <v>0.59970902</v>
      </c>
    </row>
    <row r="21" spans="1:18">
      <c r="A21" s="15" t="s">
        <v>579</v>
      </c>
      <c r="B21" s="17" t="n">
        <v>2833</v>
      </c>
      <c r="C21" s="18">
        <f>(2240.0/B21*100)</f>
        <v/>
      </c>
      <c r="D21" s="19" t="n">
        <v>593</v>
      </c>
      <c r="E21" s="18" t="n">
        <v>40.14496568</v>
      </c>
      <c r="F21" s="20" t="n">
        <v>1.88697732</v>
      </c>
      <c r="G21" s="18" t="n">
        <v>57.19120452</v>
      </c>
      <c r="H21" s="20" t="n">
        <v>1.94096292</v>
      </c>
      <c r="I21" s="18" t="n">
        <v>0</v>
      </c>
      <c r="J21" s="20" t="n">
        <v>0</v>
      </c>
      <c r="K21" s="18" t="n">
        <v>2.28959185</v>
      </c>
      <c r="L21" s="20" t="n">
        <v>0.64078168</v>
      </c>
      <c r="M21" s="18" t="n">
        <v>0</v>
      </c>
      <c r="N21" s="20" t="n">
        <v>0</v>
      </c>
      <c r="O21" s="18" t="n">
        <v>0</v>
      </c>
      <c r="P21" s="20" t="n">
        <v>0</v>
      </c>
      <c r="Q21" s="18" t="n">
        <v>0.37423795</v>
      </c>
      <c r="R21" s="20" t="n">
        <v>0.2564731</v>
      </c>
    </row>
    <row r="22" spans="1:18">
      <c r="A22" s="15" t="s">
        <v>580</v>
      </c>
      <c r="B22" s="17" t="n">
        <v>3667</v>
      </c>
      <c r="C22" s="18">
        <f>(2923.0/B22*100)</f>
        <v/>
      </c>
      <c r="D22" s="19" t="n">
        <v>744</v>
      </c>
      <c r="E22" s="18" t="n">
        <v>45.59199358</v>
      </c>
      <c r="F22" s="20" t="n">
        <v>1.9590075</v>
      </c>
      <c r="G22" s="18" t="n">
        <v>49.25725419</v>
      </c>
      <c r="H22" s="20" t="n">
        <v>1.90984481</v>
      </c>
      <c r="I22" s="18" t="n">
        <v>0</v>
      </c>
      <c r="J22" s="20" t="n">
        <v>0</v>
      </c>
      <c r="K22" s="18" t="n">
        <v>4.15780754</v>
      </c>
      <c r="L22" s="20" t="n">
        <v>0.74266563</v>
      </c>
      <c r="M22" s="18" t="n">
        <v>0</v>
      </c>
      <c r="N22" s="20" t="n">
        <v>0</v>
      </c>
      <c r="O22" s="18" t="n">
        <v>0</v>
      </c>
      <c r="P22" s="20" t="n">
        <v>0</v>
      </c>
      <c r="Q22" s="18" t="n">
        <v>0.99294469</v>
      </c>
      <c r="R22" s="20" t="n">
        <v>0.39845824</v>
      </c>
    </row>
    <row r="23" spans="1:18">
      <c r="A23" s="15" t="s">
        <v>581</v>
      </c>
      <c r="B23" s="17" t="n">
        <v>5792</v>
      </c>
      <c r="C23" s="18">
        <f>(4570.0/B23*100)</f>
        <v/>
      </c>
      <c r="D23" s="19" t="n">
        <v>1222</v>
      </c>
      <c r="E23" s="18" t="n">
        <v>48.53720203</v>
      </c>
      <c r="F23" s="20" t="n">
        <v>1.864804</v>
      </c>
      <c r="G23" s="18" t="n">
        <v>44.84989827</v>
      </c>
      <c r="H23" s="20" t="n">
        <v>1.88857125</v>
      </c>
      <c r="I23" s="18" t="n">
        <v>0</v>
      </c>
      <c r="J23" s="20" t="n">
        <v>0</v>
      </c>
      <c r="K23" s="18" t="n">
        <v>4.39226978</v>
      </c>
      <c r="L23" s="20" t="n">
        <v>0.8602290500000001</v>
      </c>
      <c r="M23" s="18" t="n">
        <v>0</v>
      </c>
      <c r="N23" s="20" t="n">
        <v>0</v>
      </c>
      <c r="O23" s="18" t="n">
        <v>0</v>
      </c>
      <c r="P23" s="20" t="n">
        <v>0</v>
      </c>
      <c r="Q23" s="18" t="n">
        <v>2.22062992</v>
      </c>
      <c r="R23" s="20" t="n">
        <v>0.57980593</v>
      </c>
    </row>
    <row r="24" spans="1:18">
      <c r="A24" s="15" t="s">
        <v>582</v>
      </c>
      <c r="B24" s="17" t="n">
        <v>3309</v>
      </c>
      <c r="C24" s="18">
        <f>(2635.0/B24*100)</f>
        <v/>
      </c>
      <c r="D24" s="19" t="n">
        <v>674</v>
      </c>
      <c r="E24" s="18" t="n">
        <v>43.64799036</v>
      </c>
      <c r="F24" s="20" t="n">
        <v>2.08955283</v>
      </c>
      <c r="G24" s="18" t="n">
        <v>54.72239274</v>
      </c>
      <c r="H24" s="20" t="n">
        <v>2.05887773</v>
      </c>
      <c r="I24" s="18" t="n">
        <v>0</v>
      </c>
      <c r="J24" s="20" t="n">
        <v>0</v>
      </c>
      <c r="K24" s="18" t="n">
        <v>0.60068664</v>
      </c>
      <c r="L24" s="20" t="n">
        <v>0.35866309</v>
      </c>
      <c r="M24" s="18" t="n">
        <v>0</v>
      </c>
      <c r="N24" s="20" t="n">
        <v>0</v>
      </c>
      <c r="O24" s="18" t="n">
        <v>0</v>
      </c>
      <c r="P24" s="20" t="n">
        <v>0</v>
      </c>
      <c r="Q24" s="18" t="n">
        <v>1.02893026</v>
      </c>
      <c r="R24" s="20" t="n">
        <v>0.42138936</v>
      </c>
    </row>
    <row r="25" spans="1:18">
      <c r="A25" s="15" t="s">
        <v>583</v>
      </c>
      <c r="B25" s="17" t="n">
        <v>2669</v>
      </c>
      <c r="C25" s="18">
        <f>(2053.0/B25*100)</f>
        <v/>
      </c>
      <c r="D25" s="19" t="n">
        <v>616</v>
      </c>
      <c r="E25" s="18" t="n">
        <v>31.1910096</v>
      </c>
      <c r="F25" s="20" t="n">
        <v>2.23257913</v>
      </c>
      <c r="G25" s="18" t="n">
        <v>67.61668971</v>
      </c>
      <c r="H25" s="20" t="n">
        <v>2.26380511</v>
      </c>
      <c r="I25" s="18" t="n">
        <v>0</v>
      </c>
      <c r="J25" s="20" t="n">
        <v>0</v>
      </c>
      <c r="K25" s="18" t="n">
        <v>0.5793943</v>
      </c>
      <c r="L25" s="20" t="n">
        <v>0.29057589</v>
      </c>
      <c r="M25" s="18" t="n">
        <v>0</v>
      </c>
      <c r="N25" s="20" t="n">
        <v>0</v>
      </c>
      <c r="O25" s="18" t="n">
        <v>0</v>
      </c>
      <c r="P25" s="20" t="n">
        <v>0</v>
      </c>
      <c r="Q25" s="18" t="n">
        <v>0.61290638</v>
      </c>
      <c r="R25" s="20" t="n">
        <v>0.30760443</v>
      </c>
    </row>
    <row r="26" spans="1:18">
      <c r="A26" s="15" t="s">
        <v>584</v>
      </c>
      <c r="B26" s="17" t="n">
        <v>2419</v>
      </c>
      <c r="C26" s="18">
        <f>(1902.0/B26*100)</f>
        <v/>
      </c>
      <c r="D26" s="19" t="n">
        <v>517</v>
      </c>
      <c r="E26" s="18" t="n">
        <v>53.00394847</v>
      </c>
      <c r="F26" s="20" t="n">
        <v>2.36051487</v>
      </c>
      <c r="G26" s="18" t="n">
        <v>43.92823003</v>
      </c>
      <c r="H26" s="20" t="n">
        <v>2.41528</v>
      </c>
      <c r="I26" s="18" t="n">
        <v>0</v>
      </c>
      <c r="J26" s="20" t="n">
        <v>0</v>
      </c>
      <c r="K26" s="18" t="n">
        <v>2.35689116</v>
      </c>
      <c r="L26" s="20" t="n">
        <v>0.74440706</v>
      </c>
      <c r="M26" s="18" t="n">
        <v>0</v>
      </c>
      <c r="N26" s="20" t="n">
        <v>0</v>
      </c>
      <c r="O26" s="18" t="n">
        <v>0</v>
      </c>
      <c r="P26" s="20" t="n">
        <v>0</v>
      </c>
      <c r="Q26" s="18" t="n">
        <v>0.71093035</v>
      </c>
      <c r="R26" s="20" t="n">
        <v>0.36075087</v>
      </c>
    </row>
    <row r="27" spans="1:18">
      <c r="A27" s="15" t="s">
        <v>585</v>
      </c>
      <c r="B27" s="17" t="n">
        <v>2683</v>
      </c>
      <c r="C27" s="18">
        <f>(2149.0/B27*100)</f>
        <v/>
      </c>
      <c r="D27" s="19" t="n">
        <v>534</v>
      </c>
      <c r="E27" s="18" t="n">
        <v>49.00965575</v>
      </c>
      <c r="F27" s="20" t="n">
        <v>2.14140466</v>
      </c>
      <c r="G27" s="18" t="n">
        <v>44.26717193</v>
      </c>
      <c r="H27" s="20" t="n">
        <v>2.26829686</v>
      </c>
      <c r="I27" s="18" t="n">
        <v>0</v>
      </c>
      <c r="J27" s="20" t="n">
        <v>0</v>
      </c>
      <c r="K27" s="18" t="n">
        <v>5.25815018</v>
      </c>
      <c r="L27" s="20" t="n">
        <v>0.9970727</v>
      </c>
      <c r="M27" s="18" t="n">
        <v>0</v>
      </c>
      <c r="N27" s="20" t="n">
        <v>0</v>
      </c>
      <c r="O27" s="18" t="n">
        <v>0</v>
      </c>
      <c r="P27" s="20" t="n">
        <v>0</v>
      </c>
      <c r="Q27" s="18" t="n">
        <v>1.46502214</v>
      </c>
      <c r="R27" s="20" t="n">
        <v>0.51402263</v>
      </c>
    </row>
    <row r="28" spans="1:18">
      <c r="A28" s="15" t="s">
        <v>586</v>
      </c>
      <c r="B28" s="17" t="n">
        <v>3803</v>
      </c>
      <c r="C28" s="18">
        <f>(3085.0/B28*100)</f>
        <v/>
      </c>
      <c r="D28" s="19" t="n">
        <v>718</v>
      </c>
      <c r="E28" s="18" t="n">
        <v>53.71513933</v>
      </c>
      <c r="F28" s="20" t="n">
        <v>2.22855943</v>
      </c>
      <c r="G28" s="18" t="n">
        <v>42.80469807</v>
      </c>
      <c r="H28" s="20" t="n">
        <v>1.99333955</v>
      </c>
      <c r="I28" s="18" t="n">
        <v>0</v>
      </c>
      <c r="J28" s="20" t="n">
        <v>0</v>
      </c>
      <c r="K28" s="18" t="n">
        <v>3.10772162</v>
      </c>
      <c r="L28" s="20" t="n">
        <v>1.05466707</v>
      </c>
      <c r="M28" s="18" t="n">
        <v>0</v>
      </c>
      <c r="N28" s="20" t="n">
        <v>0</v>
      </c>
      <c r="O28" s="18" t="n">
        <v>0</v>
      </c>
      <c r="P28" s="20" t="n">
        <v>0</v>
      </c>
      <c r="Q28" s="18" t="n">
        <v>0.37244098</v>
      </c>
      <c r="R28" s="20" t="n">
        <v>0.21649998</v>
      </c>
    </row>
    <row r="29" spans="1:18">
      <c r="A29" s="15" t="s">
        <v>587</v>
      </c>
      <c r="B29" s="17" t="n">
        <v>2700</v>
      </c>
      <c r="C29" s="18">
        <f>(2142.0/B29*100)</f>
        <v/>
      </c>
      <c r="D29" s="19" t="n">
        <v>558</v>
      </c>
      <c r="E29" s="18" t="n">
        <v>39.99233647</v>
      </c>
      <c r="F29" s="20" t="n">
        <v>1.95084911</v>
      </c>
      <c r="G29" s="18" t="n">
        <v>58.82907031</v>
      </c>
      <c r="H29" s="20" t="n">
        <v>1.96078814</v>
      </c>
      <c r="I29" s="18" t="n">
        <v>0</v>
      </c>
      <c r="J29" s="20" t="n">
        <v>0</v>
      </c>
      <c r="K29" s="18" t="n">
        <v>0.41124131</v>
      </c>
      <c r="L29" s="20" t="n">
        <v>0.27215589</v>
      </c>
      <c r="M29" s="18" t="n">
        <v>0</v>
      </c>
      <c r="N29" s="20" t="n">
        <v>0</v>
      </c>
      <c r="O29" s="18" t="n">
        <v>0</v>
      </c>
      <c r="P29" s="20" t="n">
        <v>0</v>
      </c>
      <c r="Q29" s="18" t="n">
        <v>0.7673519</v>
      </c>
      <c r="R29" s="20" t="n">
        <v>0.47772993</v>
      </c>
    </row>
    <row r="30" spans="1:18">
      <c r="A30" s="15" t="s">
        <v>588</v>
      </c>
      <c r="B30" s="17" t="n">
        <v>2257</v>
      </c>
      <c r="C30" s="18">
        <f>(1817.0/B30*100)</f>
        <v/>
      </c>
      <c r="D30" s="19" t="n">
        <v>440</v>
      </c>
      <c r="E30" s="18" t="n">
        <v>48.89637755</v>
      </c>
      <c r="F30" s="20" t="n">
        <v>3.01012869</v>
      </c>
      <c r="G30" s="18" t="n">
        <v>45.60993449</v>
      </c>
      <c r="H30" s="20" t="n">
        <v>2.89228045</v>
      </c>
      <c r="I30" s="18" t="n">
        <v>0</v>
      </c>
      <c r="J30" s="20" t="n">
        <v>0</v>
      </c>
      <c r="K30" s="18" t="n">
        <v>4.41154258</v>
      </c>
      <c r="L30" s="20" t="n">
        <v>1.0623852</v>
      </c>
      <c r="M30" s="18" t="n">
        <v>0</v>
      </c>
      <c r="N30" s="20" t="n">
        <v>0</v>
      </c>
      <c r="O30" s="18" t="n">
        <v>0</v>
      </c>
      <c r="P30" s="20" t="n">
        <v>0</v>
      </c>
      <c r="Q30" s="18" t="n">
        <v>1.08214538</v>
      </c>
      <c r="R30" s="20" t="n">
        <v>0.49084564</v>
      </c>
    </row>
    <row r="31" spans="1:18">
      <c r="A31" s="15" t="s">
        <v>589</v>
      </c>
      <c r="B31" s="17" t="n">
        <v>2706</v>
      </c>
      <c r="C31" s="18">
        <f>(2105.0/B31*100)</f>
        <v/>
      </c>
      <c r="D31" s="19" t="n">
        <v>601</v>
      </c>
      <c r="E31" s="18" t="n">
        <v>38.42566963</v>
      </c>
      <c r="F31" s="20" t="n">
        <v>1.99797182</v>
      </c>
      <c r="G31" s="18" t="n">
        <v>55.89807724</v>
      </c>
      <c r="H31" s="20" t="n">
        <v>1.95139879</v>
      </c>
      <c r="I31" s="18" t="n">
        <v>0</v>
      </c>
      <c r="J31" s="20" t="n">
        <v>0</v>
      </c>
      <c r="K31" s="18" t="n">
        <v>3.88319224</v>
      </c>
      <c r="L31" s="20" t="n">
        <v>0.7587074700000001</v>
      </c>
      <c r="M31" s="18" t="n">
        <v>0</v>
      </c>
      <c r="N31" s="20" t="n">
        <v>0</v>
      </c>
      <c r="O31" s="18" t="n">
        <v>0</v>
      </c>
      <c r="P31" s="20" t="n">
        <v>0</v>
      </c>
      <c r="Q31" s="18" t="n">
        <v>1.79306089</v>
      </c>
      <c r="R31" s="20" t="n">
        <v>0.56916405</v>
      </c>
    </row>
    <row r="32" spans="1:18">
      <c r="A32" s="15" t="s">
        <v>590</v>
      </c>
      <c r="B32" s="17" t="n">
        <v>2209</v>
      </c>
      <c r="C32" s="18">
        <f>(1714.0/B32*100)</f>
        <v/>
      </c>
      <c r="D32" s="19" t="n">
        <v>495</v>
      </c>
      <c r="E32" s="18" t="n">
        <v>55.90855593</v>
      </c>
      <c r="F32" s="20" t="n">
        <v>2.40393789</v>
      </c>
      <c r="G32" s="18" t="n">
        <v>42.16972672</v>
      </c>
      <c r="H32" s="20" t="n">
        <v>2.23413687</v>
      </c>
      <c r="I32" s="18" t="n">
        <v>0</v>
      </c>
      <c r="J32" s="20" t="n">
        <v>0</v>
      </c>
      <c r="K32" s="18" t="n">
        <v>1.7354875</v>
      </c>
      <c r="L32" s="20" t="n">
        <v>0.72730347</v>
      </c>
      <c r="M32" s="18" t="n">
        <v>0</v>
      </c>
      <c r="N32" s="20" t="n">
        <v>0</v>
      </c>
      <c r="O32" s="18" t="n">
        <v>0</v>
      </c>
      <c r="P32" s="20" t="n">
        <v>0</v>
      </c>
      <c r="Q32" s="18" t="n">
        <v>0.18622984</v>
      </c>
      <c r="R32" s="20" t="n">
        <v>0.18464374</v>
      </c>
    </row>
    <row r="33" spans="1:18">
      <c r="A33" s="15" t="s">
        <v>591</v>
      </c>
      <c r="B33" s="17" t="n">
        <v>3651</v>
      </c>
      <c r="C33" s="18">
        <f>(2920.0/B33*100)</f>
        <v/>
      </c>
      <c r="D33" s="19" t="n">
        <v>731</v>
      </c>
      <c r="E33" s="18" t="n">
        <v>43.45110522</v>
      </c>
      <c r="F33" s="20" t="n">
        <v>2.17988806</v>
      </c>
      <c r="G33" s="18" t="n">
        <v>52.93070023</v>
      </c>
      <c r="H33" s="20" t="n">
        <v>2.2085336</v>
      </c>
      <c r="I33" s="18" t="n">
        <v>0</v>
      </c>
      <c r="J33" s="20" t="n">
        <v>0</v>
      </c>
      <c r="K33" s="18" t="n">
        <v>2.9339858</v>
      </c>
      <c r="L33" s="20" t="n">
        <v>0.80232267</v>
      </c>
      <c r="M33" s="18" t="n">
        <v>0</v>
      </c>
      <c r="N33" s="20" t="n">
        <v>0</v>
      </c>
      <c r="O33" s="18" t="n">
        <v>0</v>
      </c>
      <c r="P33" s="20" t="n">
        <v>0</v>
      </c>
      <c r="Q33" s="18" t="n">
        <v>0.68420876</v>
      </c>
      <c r="R33" s="20" t="n">
        <v>0.3071696</v>
      </c>
    </row>
    <row r="34" spans="1:18">
      <c r="A34" s="15" t="s">
        <v>592</v>
      </c>
      <c r="B34" s="17" t="n">
        <v>3035</v>
      </c>
      <c r="C34" s="18">
        <f>(2455.0/B34*100)</f>
        <v/>
      </c>
      <c r="D34" s="19" t="n">
        <v>580</v>
      </c>
      <c r="E34" s="18" t="n">
        <v>62.21583185</v>
      </c>
      <c r="F34" s="20" t="n">
        <v>2.02005437</v>
      </c>
      <c r="G34" s="18" t="n">
        <v>33.53586441</v>
      </c>
      <c r="H34" s="20" t="n">
        <v>2.0685083</v>
      </c>
      <c r="I34" s="18" t="n">
        <v>0</v>
      </c>
      <c r="J34" s="20" t="n">
        <v>0</v>
      </c>
      <c r="K34" s="18" t="n">
        <v>3.07587477</v>
      </c>
      <c r="L34" s="20" t="n">
        <v>0.76587119</v>
      </c>
      <c r="M34" s="18" t="n">
        <v>0</v>
      </c>
      <c r="N34" s="20" t="n">
        <v>0</v>
      </c>
      <c r="O34" s="18" t="n">
        <v>0</v>
      </c>
      <c r="P34" s="20" t="n">
        <v>0</v>
      </c>
      <c r="Q34" s="18" t="n">
        <v>1.17242897</v>
      </c>
      <c r="R34" s="20" t="n">
        <v>0.41351835</v>
      </c>
    </row>
    <row r="35" spans="1:18">
      <c r="A35" s="15" t="s">
        <v>593</v>
      </c>
      <c r="B35" s="17" t="n">
        <v>2901</v>
      </c>
      <c r="C35" s="18">
        <f>(2281.0/B35*100)</f>
        <v/>
      </c>
      <c r="D35" s="19" t="n">
        <v>620</v>
      </c>
      <c r="E35" s="18" t="n">
        <v>56.32549855</v>
      </c>
      <c r="F35" s="20" t="n">
        <v>2.36374541</v>
      </c>
      <c r="G35" s="18" t="n">
        <v>42.14156617</v>
      </c>
      <c r="H35" s="20" t="n">
        <v>2.37382479</v>
      </c>
      <c r="I35" s="18" t="n">
        <v>0</v>
      </c>
      <c r="J35" s="20" t="n">
        <v>0</v>
      </c>
      <c r="K35" s="18" t="n">
        <v>1.2364958</v>
      </c>
      <c r="L35" s="20" t="n">
        <v>0.35788606</v>
      </c>
      <c r="M35" s="18" t="n">
        <v>0</v>
      </c>
      <c r="N35" s="20" t="n">
        <v>0</v>
      </c>
      <c r="O35" s="18" t="n">
        <v>0</v>
      </c>
      <c r="P35" s="20" t="n">
        <v>0</v>
      </c>
      <c r="Q35" s="18" t="n">
        <v>0.29643948</v>
      </c>
      <c r="R35" s="20" t="n">
        <v>0.15040975</v>
      </c>
    </row>
    <row r="36" spans="1:18">
      <c r="A36" s="15" t="s">
        <v>594</v>
      </c>
      <c r="B36" s="17" t="n">
        <v>3404</v>
      </c>
      <c r="C36" s="18">
        <f>(2732.0/B36*100)</f>
        <v/>
      </c>
      <c r="D36" s="19" t="n">
        <v>672</v>
      </c>
      <c r="E36" s="18" t="n">
        <v>40.64277847</v>
      </c>
      <c r="F36" s="20" t="n">
        <v>2.12096075</v>
      </c>
      <c r="G36" s="18" t="n">
        <v>55.16116035</v>
      </c>
      <c r="H36" s="20" t="n">
        <v>2.30307564</v>
      </c>
      <c r="I36" s="18" t="n">
        <v>0</v>
      </c>
      <c r="J36" s="20" t="n">
        <v>0</v>
      </c>
      <c r="K36" s="18" t="n">
        <v>2.58639579</v>
      </c>
      <c r="L36" s="20" t="n">
        <v>0.59451559</v>
      </c>
      <c r="M36" s="18" t="n">
        <v>0</v>
      </c>
      <c r="N36" s="20" t="n">
        <v>0</v>
      </c>
      <c r="O36" s="18" t="n">
        <v>0</v>
      </c>
      <c r="P36" s="20" t="n">
        <v>0</v>
      </c>
      <c r="Q36" s="18" t="n">
        <v>1.60966539</v>
      </c>
      <c r="R36" s="20" t="n">
        <v>0.57131732</v>
      </c>
    </row>
    <row r="37" spans="1:18">
      <c r="A37" s="15" t="s">
        <v>595</v>
      </c>
      <c r="B37" s="17" t="n">
        <v>2731</v>
      </c>
      <c r="C37" s="18">
        <f>(2218.0/B37*100)</f>
        <v/>
      </c>
      <c r="D37" s="19" t="n">
        <v>513</v>
      </c>
      <c r="E37" s="18" t="n">
        <v>42.06359852</v>
      </c>
      <c r="F37" s="20" t="n">
        <v>2.27924019</v>
      </c>
      <c r="G37" s="18" t="n">
        <v>50.18754957</v>
      </c>
      <c r="H37" s="20" t="n">
        <v>2.3088966</v>
      </c>
      <c r="I37" s="18" t="n">
        <v>0</v>
      </c>
      <c r="J37" s="20" t="n">
        <v>0</v>
      </c>
      <c r="K37" s="18" t="n">
        <v>5.83592087</v>
      </c>
      <c r="L37" s="20" t="n">
        <v>1.24668801</v>
      </c>
      <c r="M37" s="18" t="n">
        <v>0</v>
      </c>
      <c r="N37" s="20" t="n">
        <v>0</v>
      </c>
      <c r="O37" s="18" t="n">
        <v>0</v>
      </c>
      <c r="P37" s="20" t="n">
        <v>0</v>
      </c>
      <c r="Q37" s="18" t="n">
        <v>1.91293103</v>
      </c>
      <c r="R37" s="20" t="n">
        <v>0.68056412</v>
      </c>
    </row>
    <row r="38" spans="1:18">
      <c r="A38" s="15" t="s">
        <v>596</v>
      </c>
      <c r="B38" s="17" t="n">
        <v>2807</v>
      </c>
      <c r="C38" s="18">
        <f>(2231.0/B38*100)</f>
        <v/>
      </c>
      <c r="D38" s="19" t="n">
        <v>576</v>
      </c>
      <c r="E38" s="18" t="n">
        <v>42.84003498</v>
      </c>
      <c r="F38" s="20" t="n">
        <v>2.74534235</v>
      </c>
      <c r="G38" s="18" t="n">
        <v>53.09868726</v>
      </c>
      <c r="H38" s="20" t="n">
        <v>2.65881602</v>
      </c>
      <c r="I38" s="18" t="n">
        <v>0</v>
      </c>
      <c r="J38" s="20" t="n">
        <v>0</v>
      </c>
      <c r="K38" s="18" t="n">
        <v>2.60624293</v>
      </c>
      <c r="L38" s="20" t="n">
        <v>0.72232737</v>
      </c>
      <c r="M38" s="18" t="n">
        <v>0</v>
      </c>
      <c r="N38" s="20" t="n">
        <v>0</v>
      </c>
      <c r="O38" s="18" t="n">
        <v>0</v>
      </c>
      <c r="P38" s="20" t="n">
        <v>0</v>
      </c>
      <c r="Q38" s="18" t="n">
        <v>1.45503484</v>
      </c>
      <c r="R38" s="20" t="n">
        <v>0.4924887</v>
      </c>
    </row>
    <row r="39" spans="1:18">
      <c r="A39" s="15" t="s">
        <v>597</v>
      </c>
      <c r="B39" s="17" t="n">
        <v>2938</v>
      </c>
      <c r="C39" s="18">
        <f>(2309.0/B39*100)</f>
        <v/>
      </c>
      <c r="D39" s="19" t="n">
        <v>629</v>
      </c>
      <c r="E39" s="18" t="n">
        <v>57.6257844</v>
      </c>
      <c r="F39" s="20" t="n">
        <v>2.20403687</v>
      </c>
      <c r="G39" s="18" t="n">
        <v>38.60865631</v>
      </c>
      <c r="H39" s="20" t="n">
        <v>2.10109575</v>
      </c>
      <c r="I39" s="18" t="n">
        <v>0</v>
      </c>
      <c r="J39" s="20" t="n">
        <v>0</v>
      </c>
      <c r="K39" s="18" t="n">
        <v>1.90781634</v>
      </c>
      <c r="L39" s="20" t="n">
        <v>0.53188651</v>
      </c>
      <c r="M39" s="18" t="n">
        <v>0</v>
      </c>
      <c r="N39" s="20" t="n">
        <v>0</v>
      </c>
      <c r="O39" s="18" t="n">
        <v>0</v>
      </c>
      <c r="P39" s="20" t="n">
        <v>0</v>
      </c>
      <c r="Q39" s="18" t="n">
        <v>1.85774295</v>
      </c>
      <c r="R39" s="20" t="n">
        <v>0.6950902799999999</v>
      </c>
    </row>
    <row r="40" spans="1:18">
      <c r="A40" s="15" t="s">
        <v>598</v>
      </c>
      <c r="B40" s="17" t="n">
        <v>6922</v>
      </c>
      <c r="C40" s="18">
        <f>(5357.0/B40*100)</f>
        <v/>
      </c>
      <c r="D40" s="19" t="n">
        <v>1565</v>
      </c>
      <c r="E40" s="18" t="n">
        <v>39.83771128</v>
      </c>
      <c r="F40" s="20" t="n">
        <v>2.05149244</v>
      </c>
      <c r="G40" s="18" t="n">
        <v>55.30586695</v>
      </c>
      <c r="H40" s="20" t="n">
        <v>1.87964396</v>
      </c>
      <c r="I40" s="18" t="n">
        <v>0</v>
      </c>
      <c r="J40" s="20" t="n">
        <v>0</v>
      </c>
      <c r="K40" s="18" t="n">
        <v>3.8434449</v>
      </c>
      <c r="L40" s="20" t="n">
        <v>0.71587908</v>
      </c>
      <c r="M40" s="18" t="n">
        <v>0</v>
      </c>
      <c r="N40" s="20" t="n">
        <v>0</v>
      </c>
      <c r="O40" s="18" t="n">
        <v>0</v>
      </c>
      <c r="P40" s="20" t="n">
        <v>0</v>
      </c>
      <c r="Q40" s="18" t="n">
        <v>1.01297687</v>
      </c>
      <c r="R40" s="20" t="n">
        <v>0.33833627</v>
      </c>
    </row>
    <row r="41" spans="1:18">
      <c r="A41" s="15" t="s">
        <v>599</v>
      </c>
      <c r="B41" s="17" t="n">
        <v>2854</v>
      </c>
      <c r="C41" s="18">
        <f>(2236.0/B41*100)</f>
        <v/>
      </c>
      <c r="D41" s="19" t="n">
        <v>618</v>
      </c>
      <c r="E41" s="18" t="n">
        <v>46.8568262</v>
      </c>
      <c r="F41" s="20" t="n">
        <v>2.20261009</v>
      </c>
      <c r="G41" s="18" t="n">
        <v>50.30936804</v>
      </c>
      <c r="H41" s="20" t="n">
        <v>2.23256093</v>
      </c>
      <c r="I41" s="18" t="n">
        <v>0</v>
      </c>
      <c r="J41" s="20" t="n">
        <v>0</v>
      </c>
      <c r="K41" s="18" t="n">
        <v>2.36994344</v>
      </c>
      <c r="L41" s="20" t="n">
        <v>0.76134088</v>
      </c>
      <c r="M41" s="18" t="n">
        <v>0</v>
      </c>
      <c r="N41" s="20" t="n">
        <v>0</v>
      </c>
      <c r="O41" s="18" t="n">
        <v>0</v>
      </c>
      <c r="P41" s="20" t="n">
        <v>0</v>
      </c>
      <c r="Q41" s="18" t="n">
        <v>0.46386233</v>
      </c>
      <c r="R41" s="20" t="n">
        <v>0.29026718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(10457.0/B46*100)</f>
        <v/>
      </c>
      <c r="D46" s="19" t="n">
        <v>1616</v>
      </c>
      <c r="E46" s="18" t="n">
        <v>56.70063159</v>
      </c>
      <c r="F46" s="20" t="n">
        <v>1.51941165</v>
      </c>
      <c r="G46" s="18" t="n">
        <v>35.17475574</v>
      </c>
      <c r="H46" s="20" t="n">
        <v>1.35377628</v>
      </c>
      <c r="I46" s="18" t="n">
        <v>0</v>
      </c>
      <c r="J46" s="20" t="n">
        <v>0</v>
      </c>
      <c r="K46" s="18" t="n">
        <v>6.9284284</v>
      </c>
      <c r="L46" s="20" t="n">
        <v>0.92847206</v>
      </c>
      <c r="M46" s="18" t="n">
        <v>0</v>
      </c>
      <c r="N46" s="20" t="n">
        <v>0</v>
      </c>
      <c r="O46" s="18" t="n">
        <v>0</v>
      </c>
      <c r="P46" s="20" t="n">
        <v>0</v>
      </c>
      <c r="Q46" s="18" t="n">
        <v>1.19618427</v>
      </c>
      <c r="R46" s="20" t="n">
        <v>0.35755958</v>
      </c>
    </row>
    <row r="47" spans="1:18">
      <c r="A47" s="15" t="s">
        <v>606</v>
      </c>
      <c r="B47" s="17" t="n">
        <v>2823</v>
      </c>
      <c r="C47" s="18">
        <f>(2236.0/B47*100)</f>
        <v/>
      </c>
      <c r="D47" s="19" t="n">
        <v>587</v>
      </c>
      <c r="E47" s="18" t="n">
        <v>49.01714301</v>
      </c>
      <c r="F47" s="20" t="n">
        <v>2.10035177</v>
      </c>
      <c r="G47" s="18" t="n">
        <v>46.4659169</v>
      </c>
      <c r="H47" s="20" t="n">
        <v>2.02014087</v>
      </c>
      <c r="I47" s="18" t="n">
        <v>0</v>
      </c>
      <c r="J47" s="20" t="n">
        <v>0</v>
      </c>
      <c r="K47" s="18" t="n">
        <v>4.35560521</v>
      </c>
      <c r="L47" s="20" t="n">
        <v>0.88138986</v>
      </c>
      <c r="M47" s="18" t="n">
        <v>0</v>
      </c>
      <c r="N47" s="20" t="n">
        <v>0</v>
      </c>
      <c r="O47" s="18" t="n">
        <v>0</v>
      </c>
      <c r="P47" s="20" t="n">
        <v>0</v>
      </c>
      <c r="Q47" s="18" t="n">
        <v>0.16133488</v>
      </c>
      <c r="R47" s="20" t="n">
        <v>0.16184945</v>
      </c>
    </row>
    <row r="48" spans="1:18">
      <c r="A48" s="15" t="s">
        <v>607</v>
      </c>
      <c r="B48" s="17" t="n">
        <v>4682</v>
      </c>
      <c r="C48" s="18">
        <f>(3652.0/B48*100)</f>
        <v/>
      </c>
      <c r="D48" s="19" t="n">
        <v>1030</v>
      </c>
      <c r="E48" s="18" t="n">
        <v>25.28133475</v>
      </c>
      <c r="F48" s="20" t="n">
        <v>1.75122757</v>
      </c>
      <c r="G48" s="18" t="n">
        <v>72.72727473</v>
      </c>
      <c r="H48" s="20" t="n">
        <v>1.80257572</v>
      </c>
      <c r="I48" s="18" t="n">
        <v>0</v>
      </c>
      <c r="J48" s="20" t="n">
        <v>0</v>
      </c>
      <c r="K48" s="18" t="n">
        <v>1.83777815</v>
      </c>
      <c r="L48" s="20" t="n">
        <v>0.57886377</v>
      </c>
      <c r="M48" s="18" t="n">
        <v>0</v>
      </c>
      <c r="N48" s="20" t="n">
        <v>0</v>
      </c>
      <c r="O48" s="18" t="n">
        <v>0</v>
      </c>
      <c r="P48" s="20" t="n">
        <v>0</v>
      </c>
      <c r="Q48" s="18" t="n">
        <v>0.15361237</v>
      </c>
      <c r="R48" s="20" t="n">
        <v>0.14228545</v>
      </c>
    </row>
    <row r="49" spans="1:18">
      <c r="A49" s="15" t="s">
        <v>608</v>
      </c>
      <c r="B49" s="17" t="n">
        <v>6158</v>
      </c>
      <c r="C49" s="18">
        <f>(4925.0/B49*100)</f>
        <v/>
      </c>
      <c r="D49" s="19" t="n">
        <v>1233</v>
      </c>
      <c r="E49" s="18" t="n">
        <v>49.56289465</v>
      </c>
      <c r="F49" s="20" t="n">
        <v>1.61981673</v>
      </c>
      <c r="G49" s="18" t="n">
        <v>43.09094802</v>
      </c>
      <c r="H49" s="20" t="n">
        <v>1.53828356</v>
      </c>
      <c r="I49" s="18" t="n">
        <v>0</v>
      </c>
      <c r="J49" s="20" t="n">
        <v>0</v>
      </c>
      <c r="K49" s="18" t="n">
        <v>7.07324862</v>
      </c>
      <c r="L49" s="20" t="n">
        <v>1.20810067</v>
      </c>
      <c r="M49" s="18" t="n">
        <v>0</v>
      </c>
      <c r="N49" s="20" t="n">
        <v>0</v>
      </c>
      <c r="O49" s="18" t="n">
        <v>0</v>
      </c>
      <c r="P49" s="20" t="n">
        <v>0</v>
      </c>
      <c r="Q49" s="18" t="n">
        <v>0.27290871</v>
      </c>
      <c r="R49" s="20" t="n">
        <v>0.19053638</v>
      </c>
    </row>
    <row r="50" spans="1:18">
      <c r="A50" s="15" t="s">
        <v>609</v>
      </c>
      <c r="B50" s="17" t="n">
        <v>3494</v>
      </c>
      <c r="C50" s="18">
        <f>(2933.0/B50*100)</f>
        <v/>
      </c>
      <c r="D50" s="19" t="n">
        <v>561</v>
      </c>
      <c r="E50" s="18" t="n">
        <v>55.07579609</v>
      </c>
      <c r="F50" s="20" t="n">
        <v>2.2306423</v>
      </c>
      <c r="G50" s="18" t="n">
        <v>39.23530908</v>
      </c>
      <c r="H50" s="20" t="n">
        <v>2.21297328</v>
      </c>
      <c r="I50" s="18" t="n">
        <v>0</v>
      </c>
      <c r="J50" s="20" t="n">
        <v>0</v>
      </c>
      <c r="K50" s="18" t="n">
        <v>5.05251971</v>
      </c>
      <c r="L50" s="20" t="n">
        <v>0.92398503</v>
      </c>
      <c r="M50" s="18" t="n">
        <v>0</v>
      </c>
      <c r="N50" s="20" t="n">
        <v>0</v>
      </c>
      <c r="O50" s="18" t="n">
        <v>0</v>
      </c>
      <c r="P50" s="20" t="n">
        <v>0</v>
      </c>
      <c r="Q50" s="18" t="n">
        <v>0.63637513</v>
      </c>
      <c r="R50" s="20" t="n">
        <v>0.33834523</v>
      </c>
    </row>
    <row r="51" spans="1:18">
      <c r="A51" s="15" t="s">
        <v>610</v>
      </c>
      <c r="B51" s="17" t="n">
        <v>3013</v>
      </c>
      <c r="C51" s="18">
        <f>(2355.0/B51*100)</f>
        <v/>
      </c>
      <c r="D51" s="19" t="n">
        <v>658</v>
      </c>
      <c r="E51" s="18" t="n">
        <v>55.40238465</v>
      </c>
      <c r="F51" s="20" t="n">
        <v>1.68262384</v>
      </c>
      <c r="G51" s="18" t="n">
        <v>39.18952981</v>
      </c>
      <c r="H51" s="20" t="n">
        <v>1.92476454</v>
      </c>
      <c r="I51" s="18" t="n">
        <v>0</v>
      </c>
      <c r="J51" s="20" t="n">
        <v>0</v>
      </c>
      <c r="K51" s="18" t="n">
        <v>4.5574678</v>
      </c>
      <c r="L51" s="20" t="n">
        <v>0.90441208</v>
      </c>
      <c r="M51" s="18" t="n">
        <v>0</v>
      </c>
      <c r="N51" s="20" t="n">
        <v>0</v>
      </c>
      <c r="O51" s="18" t="n">
        <v>0</v>
      </c>
      <c r="P51" s="20" t="n">
        <v>0</v>
      </c>
      <c r="Q51" s="18" t="n">
        <v>0.85061774</v>
      </c>
      <c r="R51" s="20" t="n">
        <v>0.36101656</v>
      </c>
    </row>
    <row r="52" spans="1:18">
      <c r="A52" s="15" t="s">
        <v>611</v>
      </c>
      <c r="B52" s="17" t="n">
        <v>2760</v>
      </c>
      <c r="C52" s="18">
        <f>(2134.0/B52*100)</f>
        <v/>
      </c>
      <c r="D52" s="19" t="n">
        <v>626</v>
      </c>
      <c r="E52" s="18" t="n">
        <v>53.04063209</v>
      </c>
      <c r="F52" s="20" t="n">
        <v>2.10744554</v>
      </c>
      <c r="G52" s="18" t="n">
        <v>43.39066292</v>
      </c>
      <c r="H52" s="20" t="n">
        <v>2.05789436</v>
      </c>
      <c r="I52" s="18" t="n">
        <v>0</v>
      </c>
      <c r="J52" s="20" t="n">
        <v>0</v>
      </c>
      <c r="K52" s="18" t="n">
        <v>2.8738071</v>
      </c>
      <c r="L52" s="20" t="n">
        <v>0.76794014</v>
      </c>
      <c r="M52" s="18" t="n">
        <v>0</v>
      </c>
      <c r="N52" s="20" t="n">
        <v>0</v>
      </c>
      <c r="O52" s="18" t="n">
        <v>0</v>
      </c>
      <c r="P52" s="20" t="n">
        <v>0</v>
      </c>
      <c r="Q52" s="18" t="n">
        <v>0.69489788</v>
      </c>
      <c r="R52" s="20" t="n">
        <v>0.36283386</v>
      </c>
    </row>
    <row r="53" spans="1:18">
      <c r="A53" s="15" t="s">
        <v>612</v>
      </c>
      <c r="B53" s="17" t="n">
        <v>2474</v>
      </c>
      <c r="C53" s="18">
        <f>(1944.0/B53*100)</f>
        <v/>
      </c>
      <c r="D53" s="19" t="n">
        <v>530</v>
      </c>
      <c r="E53" s="18" t="n">
        <v>43.61341017</v>
      </c>
      <c r="F53" s="20" t="n">
        <v>2.46557815</v>
      </c>
      <c r="G53" s="18" t="n">
        <v>24.57038453</v>
      </c>
      <c r="H53" s="20" t="n">
        <v>1.88507271</v>
      </c>
      <c r="I53" s="18" t="n">
        <v>0</v>
      </c>
      <c r="J53" s="20" t="n">
        <v>0</v>
      </c>
      <c r="K53" s="18" t="n">
        <v>29.94372652</v>
      </c>
      <c r="L53" s="20" t="n">
        <v>2.31866548</v>
      </c>
      <c r="M53" s="18" t="n">
        <v>0</v>
      </c>
      <c r="N53" s="20" t="n">
        <v>0</v>
      </c>
      <c r="O53" s="18" t="n">
        <v>0</v>
      </c>
      <c r="P53" s="20" t="n">
        <v>0</v>
      </c>
      <c r="Q53" s="18" t="n">
        <v>1.87247878</v>
      </c>
      <c r="R53" s="20" t="n">
        <v>0.67892877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(2131.0/B55*100)</f>
        <v/>
      </c>
      <c r="D55" s="19" t="n">
        <v>544</v>
      </c>
      <c r="E55" s="18" t="n">
        <v>29.59682899</v>
      </c>
      <c r="F55" s="20" t="n">
        <v>2.10105397</v>
      </c>
      <c r="G55" s="18" t="n">
        <v>69.09379103000001</v>
      </c>
      <c r="H55" s="20" t="n">
        <v>2.15459172</v>
      </c>
      <c r="I55" s="18" t="n">
        <v>0</v>
      </c>
      <c r="J55" s="20" t="n">
        <v>0</v>
      </c>
      <c r="K55" s="18" t="n">
        <v>1.13038825</v>
      </c>
      <c r="L55" s="20" t="n">
        <v>0.56070535</v>
      </c>
      <c r="M55" s="18" t="n">
        <v>0</v>
      </c>
      <c r="N55" s="20" t="n">
        <v>0</v>
      </c>
      <c r="O55" s="18" t="n">
        <v>0</v>
      </c>
      <c r="P55" s="20" t="n">
        <v>0</v>
      </c>
      <c r="Q55" s="18" t="n">
        <v>0.17899173</v>
      </c>
      <c r="R55" s="20" t="n">
        <v>0.17764524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(2518.0/B61*100)</f>
        <v/>
      </c>
      <c r="D61" s="19" t="n">
        <v>683</v>
      </c>
      <c r="E61" s="18" t="n">
        <v>42.32600091</v>
      </c>
      <c r="F61" s="20" t="n">
        <v>1.93023868</v>
      </c>
      <c r="G61" s="18" t="n">
        <v>53.96728978</v>
      </c>
      <c r="H61" s="20" t="n">
        <v>2.01735481</v>
      </c>
      <c r="I61" s="18" t="n">
        <v>0</v>
      </c>
      <c r="J61" s="20" t="n">
        <v>0</v>
      </c>
      <c r="K61" s="18" t="n">
        <v>3.2950207</v>
      </c>
      <c r="L61" s="20" t="n">
        <v>0.75616657</v>
      </c>
      <c r="M61" s="18" t="n">
        <v>0</v>
      </c>
      <c r="N61" s="20" t="n">
        <v>0</v>
      </c>
      <c r="O61" s="18" t="n">
        <v>0</v>
      </c>
      <c r="P61" s="20" t="n">
        <v>0</v>
      </c>
      <c r="Q61" s="18" t="n">
        <v>0.4116886</v>
      </c>
      <c r="R61" s="20" t="n">
        <v>0.26941752</v>
      </c>
    </row>
    <row r="62" spans="1:18">
      <c r="A62" s="15" t="s">
        <v>622</v>
      </c>
      <c r="B62" s="17" t="n">
        <v>2230</v>
      </c>
      <c r="C62" s="18">
        <f>(1813.0/B62*100)</f>
        <v/>
      </c>
      <c r="D62" s="19" t="n">
        <v>417</v>
      </c>
      <c r="E62" s="18" t="n">
        <v>31.15447553</v>
      </c>
      <c r="F62" s="20" t="n">
        <v>2.14199021</v>
      </c>
      <c r="G62" s="18" t="n">
        <v>68.60749063</v>
      </c>
      <c r="H62" s="20" t="n">
        <v>2.11937702</v>
      </c>
      <c r="I62" s="18" t="n">
        <v>0</v>
      </c>
      <c r="J62" s="20" t="n">
        <v>0</v>
      </c>
      <c r="K62" s="18" t="n">
        <v>0.23803384</v>
      </c>
      <c r="L62" s="20" t="n">
        <v>0.24012189</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(2210.0/B67*100)</f>
        <v/>
      </c>
      <c r="D67" s="19" t="n">
        <v>561</v>
      </c>
      <c r="E67" s="18" t="n">
        <v>59.42942668</v>
      </c>
      <c r="F67" s="20" t="n">
        <v>2.22043734</v>
      </c>
      <c r="G67" s="18" t="n">
        <v>28.3488374</v>
      </c>
      <c r="H67" s="20" t="n">
        <v>1.8876066</v>
      </c>
      <c r="I67" s="18" t="n">
        <v>0</v>
      </c>
      <c r="J67" s="20" t="n">
        <v>0</v>
      </c>
      <c r="K67" s="18" t="n">
        <v>10.74559672</v>
      </c>
      <c r="L67" s="20" t="n">
        <v>1.45606994</v>
      </c>
      <c r="M67" s="18" t="n">
        <v>0</v>
      </c>
      <c r="N67" s="20" t="n">
        <v>0</v>
      </c>
      <c r="O67" s="18" t="n">
        <v>0</v>
      </c>
      <c r="P67" s="20" t="n">
        <v>0</v>
      </c>
      <c r="Q67" s="18" t="n">
        <v>1.4761392</v>
      </c>
      <c r="R67" s="20" t="n">
        <v>0.49042149</v>
      </c>
    </row>
    <row r="68" spans="1:18">
      <c r="A68" s="15" t="s">
        <v>628</v>
      </c>
      <c r="B68" s="17" t="n">
        <v>3460</v>
      </c>
      <c r="C68" s="18">
        <f>(2908.0/B68*100)</f>
        <v/>
      </c>
      <c r="D68" s="19" t="n">
        <v>552</v>
      </c>
      <c r="E68" s="18" t="n">
        <v>51.24420821</v>
      </c>
      <c r="F68" s="20" t="n">
        <v>2.15155489</v>
      </c>
      <c r="G68" s="18" t="n">
        <v>43.19178422</v>
      </c>
      <c r="H68" s="20" t="n">
        <v>2.09603744</v>
      </c>
      <c r="I68" s="18" t="n">
        <v>0</v>
      </c>
      <c r="J68" s="20" t="n">
        <v>0</v>
      </c>
      <c r="K68" s="18" t="n">
        <v>4.72090146</v>
      </c>
      <c r="L68" s="20" t="n">
        <v>1.06132417</v>
      </c>
      <c r="M68" s="18" t="n">
        <v>0</v>
      </c>
      <c r="N68" s="20" t="n">
        <v>0</v>
      </c>
      <c r="O68" s="18" t="n">
        <v>0</v>
      </c>
      <c r="P68" s="20" t="n">
        <v>0</v>
      </c>
      <c r="Q68" s="18" t="n">
        <v>0.8431061</v>
      </c>
      <c r="R68" s="20" t="n">
        <v>0.30649994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(4683.0/B70*100)</f>
        <v/>
      </c>
      <c r="D70" s="19" t="n">
        <v>1351</v>
      </c>
      <c r="E70" s="18" t="n">
        <v>48.67132223</v>
      </c>
      <c r="F70" s="20" t="n">
        <v>1.26123673</v>
      </c>
      <c r="G70" s="18" t="n">
        <v>42.18808248</v>
      </c>
      <c r="H70" s="20" t="n">
        <v>1.19472365</v>
      </c>
      <c r="I70" s="18" t="n">
        <v>0</v>
      </c>
      <c r="J70" s="20" t="n">
        <v>0</v>
      </c>
      <c r="K70" s="18" t="n">
        <v>8.415341209999999</v>
      </c>
      <c r="L70" s="20" t="n">
        <v>0.67519082</v>
      </c>
      <c r="M70" s="18" t="n">
        <v>0</v>
      </c>
      <c r="N70" s="20" t="n">
        <v>0</v>
      </c>
      <c r="O70" s="18" t="n">
        <v>0</v>
      </c>
      <c r="P70" s="20" t="n">
        <v>0</v>
      </c>
      <c r="Q70" s="18" t="n">
        <v>0.72525408</v>
      </c>
      <c r="R70" s="20" t="n">
        <v>0.20531367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(2489.0/B72*100)</f>
        <v/>
      </c>
      <c r="D72" s="19" t="n">
        <v>618</v>
      </c>
      <c r="E72" s="18" t="n">
        <v>46.62546232</v>
      </c>
      <c r="F72" s="20" t="n">
        <v>1.84983606</v>
      </c>
      <c r="G72" s="18" t="n">
        <v>48.55028376</v>
      </c>
      <c r="H72" s="20" t="n">
        <v>1.92498336</v>
      </c>
      <c r="I72" s="18" t="n">
        <v>0</v>
      </c>
      <c r="J72" s="20" t="n">
        <v>0</v>
      </c>
      <c r="K72" s="18" t="n">
        <v>3.79372847</v>
      </c>
      <c r="L72" s="20" t="n">
        <v>1.00300479</v>
      </c>
      <c r="M72" s="18" t="n">
        <v>0</v>
      </c>
      <c r="N72" s="20" t="n">
        <v>0</v>
      </c>
      <c r="O72" s="18" t="n">
        <v>0</v>
      </c>
      <c r="P72" s="20" t="n">
        <v>0</v>
      </c>
      <c r="Q72" s="18" t="n">
        <v>1.03052545</v>
      </c>
      <c r="R72" s="20" t="n">
        <v>0.48300976</v>
      </c>
    </row>
    <row r="73" spans="1:18">
      <c r="A73" s="15" t="s">
        <v>633</v>
      </c>
      <c r="B73" s="17" t="n">
        <v>2973</v>
      </c>
      <c r="C73" s="18">
        <f>(2334.0/B73*100)</f>
        <v/>
      </c>
      <c r="D73" s="19" t="n">
        <v>639</v>
      </c>
      <c r="E73" s="18" t="n">
        <v>34.93640767</v>
      </c>
      <c r="F73" s="20" t="n">
        <v>2.3353741</v>
      </c>
      <c r="G73" s="18" t="n">
        <v>62.76980118</v>
      </c>
      <c r="H73" s="20" t="n">
        <v>2.29451313</v>
      </c>
      <c r="I73" s="18" t="n">
        <v>0</v>
      </c>
      <c r="J73" s="20" t="n">
        <v>0</v>
      </c>
      <c r="K73" s="18" t="n">
        <v>1.85222406</v>
      </c>
      <c r="L73" s="20" t="n">
        <v>0.61551124</v>
      </c>
      <c r="M73" s="18" t="n">
        <v>0</v>
      </c>
      <c r="N73" s="20" t="n">
        <v>0</v>
      </c>
      <c r="O73" s="18" t="n">
        <v>0</v>
      </c>
      <c r="P73" s="20" t="n">
        <v>0</v>
      </c>
      <c r="Q73" s="18" t="n">
        <v>0.44156709</v>
      </c>
      <c r="R73" s="20" t="n">
        <v>0.2496304</v>
      </c>
    </row>
    <row r="74" spans="1:18">
      <c r="A74" s="15" t="s">
        <v>634</v>
      </c>
      <c r="B74" s="17" t="n">
        <v>3819</v>
      </c>
      <c r="C74" s="18">
        <f>(3010.0/B74*100)</f>
        <v/>
      </c>
      <c r="D74" s="19" t="n">
        <v>809</v>
      </c>
      <c r="E74" s="18" t="n">
        <v>29.58868813</v>
      </c>
      <c r="F74" s="20" t="n">
        <v>1.96928484</v>
      </c>
      <c r="G74" s="18" t="n">
        <v>69.93847923</v>
      </c>
      <c r="H74" s="20" t="n">
        <v>1.95418332</v>
      </c>
      <c r="I74" s="18" t="n">
        <v>0</v>
      </c>
      <c r="J74" s="20" t="n">
        <v>0</v>
      </c>
      <c r="K74" s="18" t="n">
        <v>0.22337311</v>
      </c>
      <c r="L74" s="20" t="n">
        <v>0.16292679</v>
      </c>
      <c r="M74" s="18" t="n">
        <v>0</v>
      </c>
      <c r="N74" s="20" t="n">
        <v>0</v>
      </c>
      <c r="O74" s="18" t="n">
        <v>0</v>
      </c>
      <c r="P74" s="20" t="n">
        <v>0</v>
      </c>
      <c r="Q74" s="18" t="n">
        <v>0.24945953</v>
      </c>
      <c r="R74" s="20" t="n">
        <v>0.19711419</v>
      </c>
    </row>
    <row r="75" spans="1:18">
      <c r="A75" s="15" t="s">
        <v>635</v>
      </c>
      <c r="B75" s="17" t="n">
        <v>4652</v>
      </c>
      <c r="C75" s="18">
        <f>(3787.0/B75*100)</f>
        <v/>
      </c>
      <c r="D75" s="19" t="n">
        <v>865</v>
      </c>
      <c r="E75" s="18" t="n">
        <v>55.23098886</v>
      </c>
      <c r="F75" s="20" t="n">
        <v>2.01592959</v>
      </c>
      <c r="G75" s="18" t="n">
        <v>44.22114499</v>
      </c>
      <c r="H75" s="20" t="n">
        <v>1.99737188</v>
      </c>
      <c r="I75" s="18" t="n">
        <v>0</v>
      </c>
      <c r="J75" s="20" t="n">
        <v>0</v>
      </c>
      <c r="K75" s="18" t="n">
        <v>0.2115253</v>
      </c>
      <c r="L75" s="20" t="n">
        <v>0.17034031</v>
      </c>
      <c r="M75" s="18" t="n">
        <v>0</v>
      </c>
      <c r="N75" s="20" t="n">
        <v>0</v>
      </c>
      <c r="O75" s="18" t="n">
        <v>0</v>
      </c>
      <c r="P75" s="20" t="n">
        <v>0</v>
      </c>
      <c r="Q75" s="18" t="n">
        <v>0.33634084</v>
      </c>
      <c r="R75" s="20" t="n">
        <v>0.23013789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(2440.0/B77*100)</f>
        <v/>
      </c>
      <c r="D77" s="19" t="n">
        <v>529</v>
      </c>
      <c r="E77" s="18" t="n">
        <v>57.81181585</v>
      </c>
      <c r="F77" s="20" t="n">
        <v>2.21232224</v>
      </c>
      <c r="G77" s="18" t="n">
        <v>28.01469401</v>
      </c>
      <c r="H77" s="20" t="n">
        <v>1.91737787</v>
      </c>
      <c r="I77" s="18" t="n">
        <v>0</v>
      </c>
      <c r="J77" s="20" t="n">
        <v>0</v>
      </c>
      <c r="K77" s="18" t="n">
        <v>13.42658417</v>
      </c>
      <c r="L77" s="20" t="n">
        <v>1.81838994</v>
      </c>
      <c r="M77" s="18" t="n">
        <v>0</v>
      </c>
      <c r="N77" s="20" t="n">
        <v>0</v>
      </c>
      <c r="O77" s="18" t="n">
        <v>0</v>
      </c>
      <c r="P77" s="20" t="n">
        <v>0</v>
      </c>
      <c r="Q77" s="18" t="n">
        <v>0.74690596</v>
      </c>
      <c r="R77" s="20" t="n">
        <v>0.39295684</v>
      </c>
    </row>
    <row r="78" spans="1:18">
      <c r="A78" s="15" t="s">
        <v>638</v>
      </c>
      <c r="B78" s="17" t="n">
        <v>7115</v>
      </c>
      <c r="C78" s="18">
        <f>(5633.0/B78*100)</f>
        <v/>
      </c>
      <c r="D78" s="19" t="n">
        <v>1482</v>
      </c>
      <c r="E78" s="18" t="n">
        <v>53.10040247</v>
      </c>
      <c r="F78" s="20" t="n">
        <v>1.3112482</v>
      </c>
      <c r="G78" s="18" t="n">
        <v>43.28861269</v>
      </c>
      <c r="H78" s="20" t="n">
        <v>1.34385607</v>
      </c>
      <c r="I78" s="18" t="n">
        <v>0</v>
      </c>
      <c r="J78" s="20" t="n">
        <v>0</v>
      </c>
      <c r="K78" s="18" t="n">
        <v>2.68099007</v>
      </c>
      <c r="L78" s="20" t="n">
        <v>0.52504197</v>
      </c>
      <c r="M78" s="18" t="n">
        <v>0</v>
      </c>
      <c r="N78" s="20" t="n">
        <v>0</v>
      </c>
      <c r="O78" s="18" t="n">
        <v>0</v>
      </c>
      <c r="P78" s="20" t="n">
        <v>0</v>
      </c>
      <c r="Q78" s="18" t="n">
        <v>0.92999477</v>
      </c>
      <c r="R78" s="20" t="n">
        <v>0.30243699</v>
      </c>
    </row>
    <row r="79" spans="1:18">
      <c r="A79" s="15" t="s">
        <v>639</v>
      </c>
      <c r="B79" s="17" t="n">
        <v>3154</v>
      </c>
      <c r="C79" s="18">
        <f>(2515.0/B79*100)</f>
        <v/>
      </c>
      <c r="D79" s="19" t="n">
        <v>639</v>
      </c>
      <c r="E79" s="18" t="n">
        <v>45.47492737</v>
      </c>
      <c r="F79" s="20" t="n">
        <v>1.84842971</v>
      </c>
      <c r="G79" s="18" t="n">
        <v>40.92148924</v>
      </c>
      <c r="H79" s="20" t="n">
        <v>1.83666667</v>
      </c>
      <c r="I79" s="18" t="n">
        <v>0</v>
      </c>
      <c r="J79" s="20" t="n">
        <v>0</v>
      </c>
      <c r="K79" s="18" t="n">
        <v>11.70964954</v>
      </c>
      <c r="L79" s="20" t="n">
        <v>1.36004697</v>
      </c>
      <c r="M79" s="18" t="n">
        <v>0</v>
      </c>
      <c r="N79" s="20" t="n">
        <v>0</v>
      </c>
      <c r="O79" s="18" t="n">
        <v>0</v>
      </c>
      <c r="P79" s="20" t="n">
        <v>0</v>
      </c>
      <c r="Q79" s="18" t="n">
        <v>1.89393385</v>
      </c>
      <c r="R79" s="20" t="n">
        <v>0.56353153</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(12737.0/B82*100)</f>
        <v/>
      </c>
      <c r="D82" s="19" t="n">
        <v>3224</v>
      </c>
      <c r="E82" s="18" t="n">
        <v>41.9905955</v>
      </c>
      <c r="F82" s="20" t="n">
        <v>1.29149647</v>
      </c>
      <c r="G82" s="18" t="n">
        <v>52.73377496</v>
      </c>
      <c r="H82" s="20" t="n">
        <v>1.25040939</v>
      </c>
      <c r="I82" s="18" t="n">
        <v>0</v>
      </c>
      <c r="J82" s="20" t="n">
        <v>0</v>
      </c>
      <c r="K82" s="18" t="n">
        <v>3.89923489</v>
      </c>
      <c r="L82" s="20" t="n">
        <v>0.44162344</v>
      </c>
      <c r="M82" s="18" t="n">
        <v>0</v>
      </c>
      <c r="N82" s="20" t="n">
        <v>0</v>
      </c>
      <c r="O82" s="18" t="n">
        <v>0</v>
      </c>
      <c r="P82" s="20" t="n">
        <v>0</v>
      </c>
      <c r="Q82" s="18" t="n">
        <v>1.37639465</v>
      </c>
      <c r="R82" s="20" t="n">
        <v>0.34601619</v>
      </c>
    </row>
    <row r="83" spans="1:18">
      <c r="A83" s="15" t="s">
        <v>643</v>
      </c>
      <c r="B83" s="17" t="n">
        <v>808</v>
      </c>
      <c r="C83" s="18">
        <f>(651.0/B83*100)</f>
        <v/>
      </c>
      <c r="D83" s="19" t="n">
        <v>157</v>
      </c>
      <c r="E83" s="18" t="n">
        <v>37.53345064</v>
      </c>
      <c r="F83" s="20" t="n">
        <v>3.93892654</v>
      </c>
      <c r="G83" s="18" t="n">
        <v>60.70050689</v>
      </c>
      <c r="H83" s="20" t="n">
        <v>3.83284656</v>
      </c>
      <c r="I83" s="18" t="n">
        <v>0</v>
      </c>
      <c r="J83" s="20" t="n">
        <v>0</v>
      </c>
      <c r="K83" s="18" t="n">
        <v>0.66705809</v>
      </c>
      <c r="L83" s="20" t="n">
        <v>0.68561392</v>
      </c>
      <c r="M83" s="18" t="n">
        <v>0</v>
      </c>
      <c r="N83" s="20" t="n">
        <v>0</v>
      </c>
      <c r="O83" s="18" t="n">
        <v>0</v>
      </c>
      <c r="P83" s="20" t="n">
        <v>0</v>
      </c>
      <c r="Q83" s="18" t="n">
        <v>1.09898438</v>
      </c>
      <c r="R83" s="20" t="n">
        <v>0.76098434</v>
      </c>
    </row>
    <row r="84" spans="1:18">
      <c r="A84" s="23" t="s">
        <v>644</v>
      </c>
      <c r="B84" s="24" t="n">
        <v>938</v>
      </c>
      <c r="C84" s="25">
        <f>(770.0/B84*100)</f>
        <v/>
      </c>
      <c r="D84" s="19" t="n">
        <v>168</v>
      </c>
      <c r="E84" s="18" t="n">
        <v>52.64687179</v>
      </c>
      <c r="F84" s="20" t="n">
        <v>4.13797127</v>
      </c>
      <c r="G84" s="18" t="n">
        <v>45.43025744</v>
      </c>
      <c r="H84" s="20" t="n">
        <v>4.71071653</v>
      </c>
      <c r="I84" s="18" t="n">
        <v>0</v>
      </c>
      <c r="J84" s="20" t="n">
        <v>0</v>
      </c>
      <c r="K84" s="18" t="n">
        <v>1.25738556</v>
      </c>
      <c r="L84" s="20" t="n">
        <v>0.8891748900000001</v>
      </c>
      <c r="M84" s="18" t="n">
        <v>0</v>
      </c>
      <c r="N84" s="20" t="n">
        <v>0</v>
      </c>
      <c r="O84" s="18" t="n">
        <v>0</v>
      </c>
      <c r="P84" s="20" t="n">
        <v>0</v>
      </c>
      <c r="Q84" s="18" t="n">
        <v>0.6654852</v>
      </c>
      <c r="R84" s="20" t="n">
        <v>0.67749417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781</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(5694.0/B7*100)</f>
        <v/>
      </c>
      <c r="D7" s="19" t="n">
        <v>1469</v>
      </c>
      <c r="E7" s="18" t="n">
        <v>29.32638868</v>
      </c>
      <c r="F7" s="20" t="n">
        <v>1.36710772</v>
      </c>
      <c r="G7" s="18" t="n">
        <v>7.63798147</v>
      </c>
      <c r="H7" s="20" t="n">
        <v>0.90871849</v>
      </c>
      <c r="I7" s="18" t="n">
        <v>35.8299374</v>
      </c>
      <c r="J7" s="20" t="n">
        <v>1.52899055</v>
      </c>
      <c r="K7" s="18" t="n">
        <v>0</v>
      </c>
      <c r="L7" s="20" t="n">
        <v>0</v>
      </c>
      <c r="M7" s="18" t="n">
        <v>27.08062875</v>
      </c>
      <c r="N7" s="20" t="n">
        <v>1.31776395</v>
      </c>
      <c r="O7" s="18" t="n">
        <v>0.12506371</v>
      </c>
      <c r="P7" s="20" t="n">
        <v>0.1006968</v>
      </c>
      <c r="Q7" s="18" t="n">
        <v>0</v>
      </c>
      <c r="R7" s="20" t="n">
        <v>0</v>
      </c>
      <c r="S7" s="18" t="n">
        <v>0</v>
      </c>
      <c r="T7" s="20" t="n">
        <v>0</v>
      </c>
    </row>
    <row r="8" spans="1:20">
      <c r="A8" s="15" t="s">
        <v>566</v>
      </c>
      <c r="B8" s="17" t="n">
        <v>3443</v>
      </c>
      <c r="C8" s="18">
        <f>(2678.0/B8*100)</f>
        <v/>
      </c>
      <c r="D8" s="19" t="n">
        <v>765</v>
      </c>
      <c r="E8" s="18" t="n">
        <v>17.70883519</v>
      </c>
      <c r="F8" s="20" t="n">
        <v>1.57223374</v>
      </c>
      <c r="G8" s="18" t="n">
        <v>18.29840115</v>
      </c>
      <c r="H8" s="20" t="n">
        <v>1.39118807</v>
      </c>
      <c r="I8" s="18" t="n">
        <v>32.92849824</v>
      </c>
      <c r="J8" s="20" t="n">
        <v>1.98859904</v>
      </c>
      <c r="K8" s="18" t="n">
        <v>0</v>
      </c>
      <c r="L8" s="20" t="n">
        <v>0</v>
      </c>
      <c r="M8" s="18" t="n">
        <v>31.06426542</v>
      </c>
      <c r="N8" s="20" t="n">
        <v>1.69490027</v>
      </c>
      <c r="O8" s="18" t="n">
        <v>0</v>
      </c>
      <c r="P8" s="20" t="n">
        <v>0</v>
      </c>
      <c r="Q8" s="18" t="n">
        <v>0</v>
      </c>
      <c r="R8" s="20" t="n">
        <v>0</v>
      </c>
      <c r="S8" s="18" t="n">
        <v>0</v>
      </c>
      <c r="T8" s="20" t="n">
        <v>0</v>
      </c>
    </row>
    <row r="9" spans="1:20">
      <c r="A9" s="15" t="s">
        <v>567</v>
      </c>
      <c r="B9" s="17" t="n">
        <v>4752</v>
      </c>
      <c r="C9" s="18">
        <f>(3811.0/B9*100)</f>
        <v/>
      </c>
      <c r="D9" s="19" t="n">
        <v>941</v>
      </c>
      <c r="E9" s="18" t="n">
        <v>22.45782934</v>
      </c>
      <c r="F9" s="20" t="n">
        <v>1.26576204</v>
      </c>
      <c r="G9" s="18" t="n">
        <v>13.21237701</v>
      </c>
      <c r="H9" s="20" t="n">
        <v>1.08981005</v>
      </c>
      <c r="I9" s="18" t="n">
        <v>33.45957402</v>
      </c>
      <c r="J9" s="20" t="n">
        <v>1.49638458</v>
      </c>
      <c r="K9" s="18" t="n">
        <v>0</v>
      </c>
      <c r="L9" s="20" t="n">
        <v>0</v>
      </c>
      <c r="M9" s="18" t="n">
        <v>30.21856704</v>
      </c>
      <c r="N9" s="20" t="n">
        <v>1.44680509</v>
      </c>
      <c r="O9" s="18" t="n">
        <v>0.65165258</v>
      </c>
      <c r="P9" s="20" t="n">
        <v>0.18935735</v>
      </c>
      <c r="Q9" s="18" t="n">
        <v>0</v>
      </c>
      <c r="R9" s="20" t="n">
        <v>0</v>
      </c>
      <c r="S9" s="18" t="n">
        <v>0</v>
      </c>
      <c r="T9" s="20" t="n">
        <v>0</v>
      </c>
    </row>
    <row r="10" spans="1:20">
      <c r="A10" s="15" t="s">
        <v>568</v>
      </c>
      <c r="B10" s="17" t="n">
        <v>10022</v>
      </c>
      <c r="C10" s="18">
        <f>(7870.0/B10*100)</f>
        <v/>
      </c>
      <c r="D10" s="19" t="n">
        <v>2152</v>
      </c>
      <c r="E10" s="18" t="n">
        <v>19.30696997</v>
      </c>
      <c r="F10" s="20" t="n">
        <v>1.4116462</v>
      </c>
      <c r="G10" s="18" t="n">
        <v>16.38274403</v>
      </c>
      <c r="H10" s="20" t="n">
        <v>0.9645927</v>
      </c>
      <c r="I10" s="18" t="n">
        <v>47.57061022</v>
      </c>
      <c r="J10" s="20" t="n">
        <v>1.37837914</v>
      </c>
      <c r="K10" s="18" t="n">
        <v>0</v>
      </c>
      <c r="L10" s="20" t="n">
        <v>0</v>
      </c>
      <c r="M10" s="18" t="n">
        <v>16.73501679</v>
      </c>
      <c r="N10" s="20" t="n">
        <v>1.0722411</v>
      </c>
      <c r="O10" s="18" t="n">
        <v>0.00465898</v>
      </c>
      <c r="P10" s="20" t="n">
        <v>0.00455226</v>
      </c>
      <c r="Q10" s="18" t="n">
        <v>0</v>
      </c>
      <c r="R10" s="20" t="n">
        <v>0</v>
      </c>
      <c r="S10" s="18" t="n">
        <v>0</v>
      </c>
      <c r="T10" s="20" t="n">
        <v>0</v>
      </c>
    </row>
    <row r="11" spans="1:20">
      <c r="A11" s="15" t="s">
        <v>569</v>
      </c>
      <c r="B11" s="17" t="n">
        <v>3500</v>
      </c>
      <c r="C11" s="18">
        <f>(2835.0/B11*100)</f>
        <v/>
      </c>
      <c r="D11" s="19" t="n">
        <v>665</v>
      </c>
      <c r="E11" s="18" t="n">
        <v>15.81469359</v>
      </c>
      <c r="F11" s="20" t="n">
        <v>1.69131868</v>
      </c>
      <c r="G11" s="18" t="n">
        <v>19.54408067</v>
      </c>
      <c r="H11" s="20" t="n">
        <v>1.93657835</v>
      </c>
      <c r="I11" s="18" t="n">
        <v>15.18107576</v>
      </c>
      <c r="J11" s="20" t="n">
        <v>1.53166553</v>
      </c>
      <c r="K11" s="18" t="n">
        <v>0</v>
      </c>
      <c r="L11" s="20" t="n">
        <v>0</v>
      </c>
      <c r="M11" s="18" t="n">
        <v>49.46014998</v>
      </c>
      <c r="N11" s="20" t="n">
        <v>2.0289229</v>
      </c>
      <c r="O11" s="18" t="n">
        <v>0</v>
      </c>
      <c r="P11" s="20" t="n">
        <v>0</v>
      </c>
      <c r="Q11" s="18" t="n">
        <v>0</v>
      </c>
      <c r="R11" s="20" t="n">
        <v>0</v>
      </c>
      <c r="S11" s="18" t="n">
        <v>0</v>
      </c>
      <c r="T11" s="20" t="n">
        <v>0</v>
      </c>
    </row>
    <row r="12" spans="1:20">
      <c r="A12" s="15" t="s">
        <v>570</v>
      </c>
      <c r="B12" s="17" t="n">
        <v>3422</v>
      </c>
      <c r="C12" s="18">
        <f>(2721.0/B12*100)</f>
        <v/>
      </c>
      <c r="D12" s="19" t="n">
        <v>701</v>
      </c>
      <c r="E12" s="18" t="n">
        <v>11.0355598</v>
      </c>
      <c r="F12" s="20" t="n">
        <v>1.18706179</v>
      </c>
      <c r="G12" s="18" t="n">
        <v>31.21891768</v>
      </c>
      <c r="H12" s="20" t="n">
        <v>1.86124928</v>
      </c>
      <c r="I12" s="18" t="n">
        <v>34.33012883</v>
      </c>
      <c r="J12" s="20" t="n">
        <v>2.04146939</v>
      </c>
      <c r="K12" s="18" t="n">
        <v>0</v>
      </c>
      <c r="L12" s="20" t="n">
        <v>0</v>
      </c>
      <c r="M12" s="18" t="n">
        <v>23.4153937</v>
      </c>
      <c r="N12" s="20" t="n">
        <v>2.00804605</v>
      </c>
      <c r="O12" s="18" t="n">
        <v>0</v>
      </c>
      <c r="P12" s="20" t="n">
        <v>0</v>
      </c>
      <c r="Q12" s="18" t="n">
        <v>0</v>
      </c>
      <c r="R12" s="20" t="n">
        <v>0</v>
      </c>
      <c r="S12" s="18" t="n">
        <v>0</v>
      </c>
      <c r="T12" s="20" t="n">
        <v>0</v>
      </c>
    </row>
    <row r="13" spans="1:20">
      <c r="A13" s="15" t="s">
        <v>571</v>
      </c>
      <c r="B13" s="17" t="n">
        <v>3602</v>
      </c>
      <c r="C13" s="18">
        <f>(2847.0/B13*100)</f>
        <v/>
      </c>
      <c r="D13" s="19" t="n">
        <v>755</v>
      </c>
      <c r="E13" s="18" t="n">
        <v>24.04734609</v>
      </c>
      <c r="F13" s="20" t="n">
        <v>1.82797804</v>
      </c>
      <c r="G13" s="18" t="n">
        <v>15.27808329</v>
      </c>
      <c r="H13" s="20" t="n">
        <v>1.68664852</v>
      </c>
      <c r="I13" s="18" t="n">
        <v>32.80655936</v>
      </c>
      <c r="J13" s="20" t="n">
        <v>1.99435104</v>
      </c>
      <c r="K13" s="18" t="n">
        <v>0</v>
      </c>
      <c r="L13" s="20" t="n">
        <v>0</v>
      </c>
      <c r="M13" s="18" t="n">
        <v>27.86801127</v>
      </c>
      <c r="N13" s="20" t="n">
        <v>1.92300334</v>
      </c>
      <c r="O13" s="18" t="n">
        <v>0</v>
      </c>
      <c r="P13" s="20" t="n">
        <v>0</v>
      </c>
      <c r="Q13" s="18" t="n">
        <v>0</v>
      </c>
      <c r="R13" s="20" t="n">
        <v>0</v>
      </c>
      <c r="S13" s="18" t="n">
        <v>0</v>
      </c>
      <c r="T13" s="20" t="n">
        <v>0</v>
      </c>
    </row>
    <row r="14" spans="1:20">
      <c r="A14" s="15" t="s">
        <v>572</v>
      </c>
      <c r="B14" s="17" t="n">
        <v>2788</v>
      </c>
      <c r="C14" s="18">
        <f>(2154.0/B14*100)</f>
        <v/>
      </c>
      <c r="D14" s="19" t="n">
        <v>634</v>
      </c>
      <c r="E14" s="18" t="n">
        <v>18.80394713</v>
      </c>
      <c r="F14" s="20" t="n">
        <v>1.85024796</v>
      </c>
      <c r="G14" s="18" t="n">
        <v>13.71390661</v>
      </c>
      <c r="H14" s="20" t="n">
        <v>1.62662059</v>
      </c>
      <c r="I14" s="18" t="n">
        <v>44.95037065</v>
      </c>
      <c r="J14" s="20" t="n">
        <v>2.31426324</v>
      </c>
      <c r="K14" s="18" t="n">
        <v>0</v>
      </c>
      <c r="L14" s="20" t="n">
        <v>0</v>
      </c>
      <c r="M14" s="18" t="n">
        <v>22.53177561</v>
      </c>
      <c r="N14" s="20" t="n">
        <v>1.87137514</v>
      </c>
      <c r="O14" s="18" t="n">
        <v>0</v>
      </c>
      <c r="P14" s="20" t="n">
        <v>0</v>
      </c>
      <c r="Q14" s="18" t="n">
        <v>0</v>
      </c>
      <c r="R14" s="20" t="n">
        <v>0</v>
      </c>
      <c r="S14" s="18" t="n">
        <v>0</v>
      </c>
      <c r="T14" s="20" t="n">
        <v>0</v>
      </c>
    </row>
    <row r="15" spans="1:20">
      <c r="A15" s="15" t="s">
        <v>573</v>
      </c>
      <c r="B15" s="17" t="n">
        <v>2863</v>
      </c>
      <c r="C15" s="18">
        <f>(2281.0/B15*100)</f>
        <v/>
      </c>
      <c r="D15" s="19" t="n">
        <v>582</v>
      </c>
      <c r="E15" s="18" t="n">
        <v>13.07236256</v>
      </c>
      <c r="F15" s="20" t="n">
        <v>1.54084941</v>
      </c>
      <c r="G15" s="18" t="n">
        <v>11.96814729</v>
      </c>
      <c r="H15" s="20" t="n">
        <v>1.35987944</v>
      </c>
      <c r="I15" s="18" t="n">
        <v>55.37180825</v>
      </c>
      <c r="J15" s="20" t="n">
        <v>2.39434618</v>
      </c>
      <c r="K15" s="18" t="n">
        <v>0</v>
      </c>
      <c r="L15" s="20" t="n">
        <v>0</v>
      </c>
      <c r="M15" s="18" t="n">
        <v>19.5876819</v>
      </c>
      <c r="N15" s="20" t="n">
        <v>1.91907013</v>
      </c>
      <c r="O15" s="18" t="n">
        <v>0</v>
      </c>
      <c r="P15" s="20" t="n">
        <v>0</v>
      </c>
      <c r="Q15" s="18" t="n">
        <v>0</v>
      </c>
      <c r="R15" s="20" t="n">
        <v>0</v>
      </c>
      <c r="S15" s="18" t="n">
        <v>0</v>
      </c>
      <c r="T15" s="20" t="n">
        <v>0</v>
      </c>
    </row>
    <row r="16" spans="1:20">
      <c r="A16" s="15" t="s">
        <v>574</v>
      </c>
      <c r="B16" s="17" t="n">
        <v>3111</v>
      </c>
      <c r="C16" s="18">
        <f>(2435.0/B16*100)</f>
        <v/>
      </c>
      <c r="D16" s="19" t="n">
        <v>676</v>
      </c>
      <c r="E16" s="18" t="n">
        <v>14.7843813</v>
      </c>
      <c r="F16" s="20" t="n">
        <v>1.54074703</v>
      </c>
      <c r="G16" s="18" t="n">
        <v>20.09450189</v>
      </c>
      <c r="H16" s="20" t="n">
        <v>1.55763137</v>
      </c>
      <c r="I16" s="18" t="n">
        <v>30.38004428</v>
      </c>
      <c r="J16" s="20" t="n">
        <v>1.63317363</v>
      </c>
      <c r="K16" s="18" t="n">
        <v>0</v>
      </c>
      <c r="L16" s="20" t="n">
        <v>0</v>
      </c>
      <c r="M16" s="18" t="n">
        <v>34.74107253</v>
      </c>
      <c r="N16" s="20" t="n">
        <v>1.91114378</v>
      </c>
      <c r="O16" s="18" t="n">
        <v>0</v>
      </c>
      <c r="P16" s="20" t="n">
        <v>0</v>
      </c>
      <c r="Q16" s="18" t="n">
        <v>0</v>
      </c>
      <c r="R16" s="20" t="n">
        <v>0</v>
      </c>
      <c r="S16" s="18" t="n">
        <v>0</v>
      </c>
      <c r="T16" s="20" t="n">
        <v>0</v>
      </c>
    </row>
    <row r="17" spans="1:20">
      <c r="A17" s="15" t="s">
        <v>575</v>
      </c>
      <c r="B17" s="17" t="n">
        <v>3197</v>
      </c>
      <c r="C17" s="18">
        <f>(2537.0/B17*100)</f>
        <v/>
      </c>
      <c r="D17" s="19" t="n">
        <v>660</v>
      </c>
      <c r="E17" s="18" t="n">
        <v>16.19030675</v>
      </c>
      <c r="F17" s="20" t="n">
        <v>1.4229919</v>
      </c>
      <c r="G17" s="18" t="n">
        <v>16.03444594</v>
      </c>
      <c r="H17" s="20" t="n">
        <v>1.48227253</v>
      </c>
      <c r="I17" s="18" t="n">
        <v>40.73883974</v>
      </c>
      <c r="J17" s="20" t="n">
        <v>1.99472778</v>
      </c>
      <c r="K17" s="18" t="n">
        <v>0</v>
      </c>
      <c r="L17" s="20" t="n">
        <v>0</v>
      </c>
      <c r="M17" s="18" t="n">
        <v>27.03640757</v>
      </c>
      <c r="N17" s="20" t="n">
        <v>1.81408483</v>
      </c>
      <c r="O17" s="18" t="n">
        <v>0</v>
      </c>
      <c r="P17" s="20" t="n">
        <v>0</v>
      </c>
      <c r="Q17" s="18" t="n">
        <v>0</v>
      </c>
      <c r="R17" s="20" t="n">
        <v>0</v>
      </c>
      <c r="S17" s="18" t="n">
        <v>0</v>
      </c>
      <c r="T17" s="20" t="n">
        <v>0</v>
      </c>
    </row>
    <row r="18" spans="1:20">
      <c r="A18" s="15" t="s">
        <v>576</v>
      </c>
      <c r="B18" s="17" t="n">
        <v>2706</v>
      </c>
      <c r="C18" s="18">
        <f>(2102.0/B18*100)</f>
        <v/>
      </c>
      <c r="D18" s="19" t="n">
        <v>604</v>
      </c>
      <c r="E18" s="18" t="n">
        <v>21.29400556</v>
      </c>
      <c r="F18" s="20" t="n">
        <v>1.74197473</v>
      </c>
      <c r="G18" s="18" t="n">
        <v>16.95904451</v>
      </c>
      <c r="H18" s="20" t="n">
        <v>1.62019696</v>
      </c>
      <c r="I18" s="18" t="n">
        <v>24.08628281</v>
      </c>
      <c r="J18" s="20" t="n">
        <v>1.5059494</v>
      </c>
      <c r="K18" s="18" t="n">
        <v>0</v>
      </c>
      <c r="L18" s="20" t="n">
        <v>0</v>
      </c>
      <c r="M18" s="18" t="n">
        <v>37.66066711</v>
      </c>
      <c r="N18" s="20" t="n">
        <v>2.21972853</v>
      </c>
      <c r="O18" s="18" t="n">
        <v>0</v>
      </c>
      <c r="P18" s="20" t="n">
        <v>0</v>
      </c>
      <c r="Q18" s="18" t="n">
        <v>0</v>
      </c>
      <c r="R18" s="20" t="n">
        <v>0</v>
      </c>
      <c r="S18" s="18" t="n">
        <v>0</v>
      </c>
      <c r="T18" s="20" t="n">
        <v>0</v>
      </c>
    </row>
    <row r="19" spans="1:20">
      <c r="A19" s="15" t="s">
        <v>577</v>
      </c>
      <c r="B19" s="17" t="n">
        <v>2850</v>
      </c>
      <c r="C19" s="18">
        <f>(2279.0/B19*100)</f>
        <v/>
      </c>
      <c r="D19" s="19" t="n">
        <v>571</v>
      </c>
      <c r="E19" s="18" t="n">
        <v>12.04871981</v>
      </c>
      <c r="F19" s="20" t="n">
        <v>1.84487558</v>
      </c>
      <c r="G19" s="18" t="n">
        <v>18.02098835</v>
      </c>
      <c r="H19" s="20" t="n">
        <v>1.73071347</v>
      </c>
      <c r="I19" s="18" t="n">
        <v>33.7060678</v>
      </c>
      <c r="J19" s="20" t="n">
        <v>2.37611934</v>
      </c>
      <c r="K19" s="18" t="n">
        <v>0</v>
      </c>
      <c r="L19" s="20" t="n">
        <v>0</v>
      </c>
      <c r="M19" s="18" t="n">
        <v>36.22422404</v>
      </c>
      <c r="N19" s="20" t="n">
        <v>2.22081379</v>
      </c>
      <c r="O19" s="18" t="n">
        <v>0</v>
      </c>
      <c r="P19" s="20" t="n">
        <v>0</v>
      </c>
      <c r="Q19" s="18" t="n">
        <v>0</v>
      </c>
      <c r="R19" s="20" t="n">
        <v>0</v>
      </c>
      <c r="S19" s="18" t="n">
        <v>0</v>
      </c>
      <c r="T19" s="20" t="n">
        <v>0</v>
      </c>
    </row>
    <row r="20" spans="1:20">
      <c r="A20" s="15" t="s">
        <v>578</v>
      </c>
      <c r="B20" s="17" t="n">
        <v>1741</v>
      </c>
      <c r="C20" s="18">
        <f>(1379.0/B20*100)</f>
        <v/>
      </c>
      <c r="D20" s="19" t="n">
        <v>362</v>
      </c>
      <c r="E20" s="18" t="n">
        <v>32.60463862</v>
      </c>
      <c r="F20" s="20" t="n">
        <v>2.56844275</v>
      </c>
      <c r="G20" s="18" t="n">
        <v>14.01263897</v>
      </c>
      <c r="H20" s="20" t="n">
        <v>1.79645053</v>
      </c>
      <c r="I20" s="18" t="n">
        <v>16.94896452</v>
      </c>
      <c r="J20" s="20" t="n">
        <v>1.78227214</v>
      </c>
      <c r="K20" s="18" t="n">
        <v>0</v>
      </c>
      <c r="L20" s="20" t="n">
        <v>0</v>
      </c>
      <c r="M20" s="18" t="n">
        <v>36.00843052</v>
      </c>
      <c r="N20" s="20" t="n">
        <v>2.39963885</v>
      </c>
      <c r="O20" s="18" t="n">
        <v>0.42532736</v>
      </c>
      <c r="P20" s="20" t="n">
        <v>0.41025071</v>
      </c>
      <c r="Q20" s="18" t="n">
        <v>0</v>
      </c>
      <c r="R20" s="20" t="n">
        <v>0</v>
      </c>
      <c r="S20" s="18" t="n">
        <v>0</v>
      </c>
      <c r="T20" s="20" t="n">
        <v>0</v>
      </c>
    </row>
    <row r="21" spans="1:20">
      <c r="A21" s="15" t="s">
        <v>579</v>
      </c>
      <c r="B21" s="17" t="n">
        <v>2833</v>
      </c>
      <c r="C21" s="18">
        <f>(2246.0/B21*100)</f>
        <v/>
      </c>
      <c r="D21" s="19" t="n">
        <v>587</v>
      </c>
      <c r="E21" s="18" t="n">
        <v>18.9028187</v>
      </c>
      <c r="F21" s="20" t="n">
        <v>1.44896808</v>
      </c>
      <c r="G21" s="18" t="n">
        <v>13.23357625</v>
      </c>
      <c r="H21" s="20" t="n">
        <v>1.31344748</v>
      </c>
      <c r="I21" s="18" t="n">
        <v>46.61952537</v>
      </c>
      <c r="J21" s="20" t="n">
        <v>2.10243215</v>
      </c>
      <c r="K21" s="18" t="n">
        <v>0</v>
      </c>
      <c r="L21" s="20" t="n">
        <v>0</v>
      </c>
      <c r="M21" s="18" t="n">
        <v>21.24407968</v>
      </c>
      <c r="N21" s="20" t="n">
        <v>1.79309781</v>
      </c>
      <c r="O21" s="18" t="n">
        <v>0</v>
      </c>
      <c r="P21" s="20" t="n">
        <v>0</v>
      </c>
      <c r="Q21" s="18" t="n">
        <v>0</v>
      </c>
      <c r="R21" s="20" t="n">
        <v>0</v>
      </c>
      <c r="S21" s="18" t="n">
        <v>0</v>
      </c>
      <c r="T21" s="20" t="n">
        <v>0</v>
      </c>
    </row>
    <row r="22" spans="1:20">
      <c r="A22" s="15" t="s">
        <v>580</v>
      </c>
      <c r="B22" s="17" t="n">
        <v>3667</v>
      </c>
      <c r="C22" s="18">
        <f>(2928.0/B22*100)</f>
        <v/>
      </c>
      <c r="D22" s="19" t="n">
        <v>739</v>
      </c>
      <c r="E22" s="18" t="n">
        <v>25.3598642</v>
      </c>
      <c r="F22" s="20" t="n">
        <v>1.72404572</v>
      </c>
      <c r="G22" s="18" t="n">
        <v>11.67705497</v>
      </c>
      <c r="H22" s="20" t="n">
        <v>1.16618306</v>
      </c>
      <c r="I22" s="18" t="n">
        <v>26.3697454</v>
      </c>
      <c r="J22" s="20" t="n">
        <v>1.98462479</v>
      </c>
      <c r="K22" s="18" t="n">
        <v>0</v>
      </c>
      <c r="L22" s="20" t="n">
        <v>0</v>
      </c>
      <c r="M22" s="18" t="n">
        <v>36.59333543</v>
      </c>
      <c r="N22" s="20" t="n">
        <v>1.81717165</v>
      </c>
      <c r="O22" s="18" t="n">
        <v>0</v>
      </c>
      <c r="P22" s="20" t="n">
        <v>0</v>
      </c>
      <c r="Q22" s="18" t="n">
        <v>0</v>
      </c>
      <c r="R22" s="20" t="n">
        <v>0</v>
      </c>
      <c r="S22" s="18" t="n">
        <v>0</v>
      </c>
      <c r="T22" s="20" t="n">
        <v>0</v>
      </c>
    </row>
    <row r="23" spans="1:20">
      <c r="A23" s="15" t="s">
        <v>581</v>
      </c>
      <c r="B23" s="17" t="n">
        <v>5792</v>
      </c>
      <c r="C23" s="18">
        <f>(4578.0/B23*100)</f>
        <v/>
      </c>
      <c r="D23" s="19" t="n">
        <v>1214</v>
      </c>
      <c r="E23" s="18" t="n">
        <v>8.97928141</v>
      </c>
      <c r="F23" s="20" t="n">
        <v>0.96389612</v>
      </c>
      <c r="G23" s="18" t="n">
        <v>25.30662753</v>
      </c>
      <c r="H23" s="20" t="n">
        <v>2.02028759</v>
      </c>
      <c r="I23" s="18" t="n">
        <v>29.36537712</v>
      </c>
      <c r="J23" s="20" t="n">
        <v>1.62267179</v>
      </c>
      <c r="K23" s="18" t="n">
        <v>0</v>
      </c>
      <c r="L23" s="20" t="n">
        <v>0</v>
      </c>
      <c r="M23" s="18" t="n">
        <v>36.34871393</v>
      </c>
      <c r="N23" s="20" t="n">
        <v>1.97686912</v>
      </c>
      <c r="O23" s="18" t="n">
        <v>0</v>
      </c>
      <c r="P23" s="20" t="n">
        <v>0</v>
      </c>
      <c r="Q23" s="18" t="n">
        <v>0</v>
      </c>
      <c r="R23" s="20" t="n">
        <v>0</v>
      </c>
      <c r="S23" s="18" t="n">
        <v>0</v>
      </c>
      <c r="T23" s="20" t="n">
        <v>0</v>
      </c>
    </row>
    <row r="24" spans="1:20">
      <c r="A24" s="15" t="s">
        <v>582</v>
      </c>
      <c r="B24" s="17" t="n">
        <v>3309</v>
      </c>
      <c r="C24" s="18">
        <f>(2645.0/B24*100)</f>
        <v/>
      </c>
      <c r="D24" s="19" t="n">
        <v>664</v>
      </c>
      <c r="E24" s="18" t="n">
        <v>8.64640962</v>
      </c>
      <c r="F24" s="20" t="n">
        <v>1.49427022</v>
      </c>
      <c r="G24" s="18" t="n">
        <v>28.54031558</v>
      </c>
      <c r="H24" s="20" t="n">
        <v>1.78095632</v>
      </c>
      <c r="I24" s="18" t="n">
        <v>47.04335865</v>
      </c>
      <c r="J24" s="20" t="n">
        <v>2.47555804</v>
      </c>
      <c r="K24" s="18" t="n">
        <v>0</v>
      </c>
      <c r="L24" s="20" t="n">
        <v>0</v>
      </c>
      <c r="M24" s="18" t="n">
        <v>15.76991614</v>
      </c>
      <c r="N24" s="20" t="n">
        <v>1.67635174</v>
      </c>
      <c r="O24" s="18" t="n">
        <v>0</v>
      </c>
      <c r="P24" s="20" t="n">
        <v>0</v>
      </c>
      <c r="Q24" s="18" t="n">
        <v>0</v>
      </c>
      <c r="R24" s="20" t="n">
        <v>0</v>
      </c>
      <c r="S24" s="18" t="n">
        <v>0</v>
      </c>
      <c r="T24" s="20" t="n">
        <v>0</v>
      </c>
    </row>
    <row r="25" spans="1:20">
      <c r="A25" s="15" t="s">
        <v>583</v>
      </c>
      <c r="B25" s="17" t="n">
        <v>2669</v>
      </c>
      <c r="C25" s="18">
        <f>(2053.0/B25*100)</f>
        <v/>
      </c>
      <c r="D25" s="19" t="n">
        <v>616</v>
      </c>
      <c r="E25" s="18" t="n">
        <v>15.20213545</v>
      </c>
      <c r="F25" s="20" t="n">
        <v>1.42834716</v>
      </c>
      <c r="G25" s="18" t="n">
        <v>43.07229528</v>
      </c>
      <c r="H25" s="20" t="n">
        <v>1.75749262</v>
      </c>
      <c r="I25" s="18" t="n">
        <v>22.8289693</v>
      </c>
      <c r="J25" s="20" t="n">
        <v>1.59255409</v>
      </c>
      <c r="K25" s="18" t="n">
        <v>0</v>
      </c>
      <c r="L25" s="20" t="n">
        <v>0</v>
      </c>
      <c r="M25" s="18" t="n">
        <v>18.89659997</v>
      </c>
      <c r="N25" s="20" t="n">
        <v>1.93076547</v>
      </c>
      <c r="O25" s="18" t="n">
        <v>0</v>
      </c>
      <c r="P25" s="20" t="n">
        <v>0</v>
      </c>
      <c r="Q25" s="18" t="n">
        <v>0</v>
      </c>
      <c r="R25" s="20" t="n">
        <v>0</v>
      </c>
      <c r="S25" s="18" t="n">
        <v>0</v>
      </c>
      <c r="T25" s="20" t="n">
        <v>0</v>
      </c>
    </row>
    <row r="26" spans="1:20">
      <c r="A26" s="15" t="s">
        <v>584</v>
      </c>
      <c r="B26" s="17" t="n">
        <v>2419</v>
      </c>
      <c r="C26" s="18">
        <f>(1904.0/B26*100)</f>
        <v/>
      </c>
      <c r="D26" s="19" t="n">
        <v>515</v>
      </c>
      <c r="E26" s="18" t="n">
        <v>29.53330512</v>
      </c>
      <c r="F26" s="20" t="n">
        <v>2.51451099</v>
      </c>
      <c r="G26" s="18" t="n">
        <v>28.97800909</v>
      </c>
      <c r="H26" s="20" t="n">
        <v>1.99557362</v>
      </c>
      <c r="I26" s="18" t="n">
        <v>10.89511911</v>
      </c>
      <c r="J26" s="20" t="n">
        <v>1.55643073</v>
      </c>
      <c r="K26" s="18" t="n">
        <v>0</v>
      </c>
      <c r="L26" s="20" t="n">
        <v>0</v>
      </c>
      <c r="M26" s="18" t="n">
        <v>30.59356668</v>
      </c>
      <c r="N26" s="20" t="n">
        <v>2.14476392</v>
      </c>
      <c r="O26" s="18" t="n">
        <v>0</v>
      </c>
      <c r="P26" s="20" t="n">
        <v>0</v>
      </c>
      <c r="Q26" s="18" t="n">
        <v>0</v>
      </c>
      <c r="R26" s="20" t="n">
        <v>0</v>
      </c>
      <c r="S26" s="18" t="n">
        <v>0</v>
      </c>
      <c r="T26" s="20" t="n">
        <v>0</v>
      </c>
    </row>
    <row r="27" spans="1:20">
      <c r="A27" s="15" t="s">
        <v>585</v>
      </c>
      <c r="B27" s="17" t="n">
        <v>2683</v>
      </c>
      <c r="C27" s="18">
        <f>(2156.0/B27*100)</f>
        <v/>
      </c>
      <c r="D27" s="19" t="n">
        <v>527</v>
      </c>
      <c r="E27" s="18" t="n">
        <v>19.72012158</v>
      </c>
      <c r="F27" s="20" t="n">
        <v>1.68949838</v>
      </c>
      <c r="G27" s="18" t="n">
        <v>10.74480309</v>
      </c>
      <c r="H27" s="20" t="n">
        <v>1.29698542</v>
      </c>
      <c r="I27" s="18" t="n">
        <v>29.91944464</v>
      </c>
      <c r="J27" s="20" t="n">
        <v>2.15040988</v>
      </c>
      <c r="K27" s="18" t="n">
        <v>0</v>
      </c>
      <c r="L27" s="20" t="n">
        <v>0</v>
      </c>
      <c r="M27" s="18" t="n">
        <v>39.61563069</v>
      </c>
      <c r="N27" s="20" t="n">
        <v>2.19112435</v>
      </c>
      <c r="O27" s="18" t="n">
        <v>0</v>
      </c>
      <c r="P27" s="20" t="n">
        <v>0</v>
      </c>
      <c r="Q27" s="18" t="n">
        <v>0</v>
      </c>
      <c r="R27" s="20" t="n">
        <v>0</v>
      </c>
      <c r="S27" s="18" t="n">
        <v>0</v>
      </c>
      <c r="T27" s="20" t="n">
        <v>0</v>
      </c>
    </row>
    <row r="28" spans="1:20">
      <c r="A28" s="15" t="s">
        <v>586</v>
      </c>
      <c r="B28" s="17" t="n">
        <v>3803</v>
      </c>
      <c r="C28" s="18">
        <f>(3100.0/B28*100)</f>
        <v/>
      </c>
      <c r="D28" s="19" t="n">
        <v>703</v>
      </c>
      <c r="E28" s="18" t="n">
        <v>38.03164841</v>
      </c>
      <c r="F28" s="20" t="n">
        <v>2.33149929</v>
      </c>
      <c r="G28" s="18" t="n">
        <v>23.3027294</v>
      </c>
      <c r="H28" s="20" t="n">
        <v>1.66399914</v>
      </c>
      <c r="I28" s="18" t="n">
        <v>11.59010672</v>
      </c>
      <c r="J28" s="20" t="n">
        <v>1.38945336</v>
      </c>
      <c r="K28" s="18" t="n">
        <v>0</v>
      </c>
      <c r="L28" s="20" t="n">
        <v>0</v>
      </c>
      <c r="M28" s="18" t="n">
        <v>26.94670882</v>
      </c>
      <c r="N28" s="20" t="n">
        <v>2.32239129</v>
      </c>
      <c r="O28" s="18" t="n">
        <v>0.12880666</v>
      </c>
      <c r="P28" s="20" t="n">
        <v>0.12897553</v>
      </c>
      <c r="Q28" s="18" t="n">
        <v>0</v>
      </c>
      <c r="R28" s="20" t="n">
        <v>0</v>
      </c>
      <c r="S28" s="18" t="n">
        <v>0</v>
      </c>
      <c r="T28" s="20" t="n">
        <v>0</v>
      </c>
    </row>
    <row r="29" spans="1:20">
      <c r="A29" s="15" t="s">
        <v>587</v>
      </c>
      <c r="B29" s="17" t="n">
        <v>2700</v>
      </c>
      <c r="C29" s="18">
        <f>(2142.0/B29*100)</f>
        <v/>
      </c>
      <c r="D29" s="19" t="n">
        <v>558</v>
      </c>
      <c r="E29" s="18" t="n">
        <v>24.31319237</v>
      </c>
      <c r="F29" s="20" t="n">
        <v>1.78098804</v>
      </c>
      <c r="G29" s="18" t="n">
        <v>18.86705548</v>
      </c>
      <c r="H29" s="20" t="n">
        <v>1.64910008</v>
      </c>
      <c r="I29" s="18" t="n">
        <v>44.69920813</v>
      </c>
      <c r="J29" s="20" t="n">
        <v>2.25621359</v>
      </c>
      <c r="K29" s="18" t="n">
        <v>0</v>
      </c>
      <c r="L29" s="20" t="n">
        <v>0</v>
      </c>
      <c r="M29" s="18" t="n">
        <v>12.12054402</v>
      </c>
      <c r="N29" s="20" t="n">
        <v>1.71693957</v>
      </c>
      <c r="O29" s="18" t="n">
        <v>0</v>
      </c>
      <c r="P29" s="20" t="n">
        <v>0</v>
      </c>
      <c r="Q29" s="18" t="n">
        <v>0</v>
      </c>
      <c r="R29" s="20" t="n">
        <v>0</v>
      </c>
      <c r="S29" s="18" t="n">
        <v>0</v>
      </c>
      <c r="T29" s="20" t="n">
        <v>0</v>
      </c>
    </row>
    <row r="30" spans="1:20">
      <c r="A30" s="15" t="s">
        <v>588</v>
      </c>
      <c r="B30" s="17" t="n">
        <v>2257</v>
      </c>
      <c r="C30" s="18">
        <f>(1819.0/B30*100)</f>
        <v/>
      </c>
      <c r="D30" s="19" t="n">
        <v>438</v>
      </c>
      <c r="E30" s="18" t="n">
        <v>23.07106556</v>
      </c>
      <c r="F30" s="20" t="n">
        <v>1.85874576</v>
      </c>
      <c r="G30" s="18" t="n">
        <v>10.69945984</v>
      </c>
      <c r="H30" s="20" t="n">
        <v>1.29309306</v>
      </c>
      <c r="I30" s="18" t="n">
        <v>35.34891804</v>
      </c>
      <c r="J30" s="20" t="n">
        <v>2.18826958</v>
      </c>
      <c r="K30" s="18" t="n">
        <v>0</v>
      </c>
      <c r="L30" s="20" t="n">
        <v>0</v>
      </c>
      <c r="M30" s="18" t="n">
        <v>30.88055657</v>
      </c>
      <c r="N30" s="20" t="n">
        <v>2.36174762</v>
      </c>
      <c r="O30" s="18" t="n">
        <v>0</v>
      </c>
      <c r="P30" s="20" t="n">
        <v>0</v>
      </c>
      <c r="Q30" s="18" t="n">
        <v>0</v>
      </c>
      <c r="R30" s="20" t="n">
        <v>0</v>
      </c>
      <c r="S30" s="18" t="n">
        <v>0</v>
      </c>
      <c r="T30" s="20" t="n">
        <v>0</v>
      </c>
    </row>
    <row r="31" spans="1:20">
      <c r="A31" s="15" t="s">
        <v>589</v>
      </c>
      <c r="B31" s="17" t="n">
        <v>2706</v>
      </c>
      <c r="C31" s="18">
        <f>(2106.0/B31*100)</f>
        <v/>
      </c>
      <c r="D31" s="19" t="n">
        <v>600</v>
      </c>
      <c r="E31" s="18" t="n">
        <v>11.95462472</v>
      </c>
      <c r="F31" s="20" t="n">
        <v>1.34522626</v>
      </c>
      <c r="G31" s="18" t="n">
        <v>19.1489504</v>
      </c>
      <c r="H31" s="20" t="n">
        <v>1.92726704</v>
      </c>
      <c r="I31" s="18" t="n">
        <v>48.67967527</v>
      </c>
      <c r="J31" s="20" t="n">
        <v>2.57325629</v>
      </c>
      <c r="K31" s="18" t="n">
        <v>0</v>
      </c>
      <c r="L31" s="20" t="n">
        <v>0</v>
      </c>
      <c r="M31" s="18" t="n">
        <v>20.21674961</v>
      </c>
      <c r="N31" s="20" t="n">
        <v>1.97516153</v>
      </c>
      <c r="O31" s="18" t="n">
        <v>0</v>
      </c>
      <c r="P31" s="20" t="n">
        <v>0</v>
      </c>
      <c r="Q31" s="18" t="n">
        <v>0</v>
      </c>
      <c r="R31" s="20" t="n">
        <v>0</v>
      </c>
      <c r="S31" s="18" t="n">
        <v>0</v>
      </c>
      <c r="T31" s="20" t="n">
        <v>0</v>
      </c>
    </row>
    <row r="32" spans="1:20">
      <c r="A32" s="15" t="s">
        <v>590</v>
      </c>
      <c r="B32" s="17" t="n">
        <v>2209</v>
      </c>
      <c r="C32" s="18">
        <f>(1718.0/B32*100)</f>
        <v/>
      </c>
      <c r="D32" s="19" t="n">
        <v>491</v>
      </c>
      <c r="E32" s="18" t="n">
        <v>28.55882812</v>
      </c>
      <c r="F32" s="20" t="n">
        <v>1.86322482</v>
      </c>
      <c r="G32" s="18" t="n">
        <v>17.19779474</v>
      </c>
      <c r="H32" s="20" t="n">
        <v>1.96177478</v>
      </c>
      <c r="I32" s="18" t="n">
        <v>19.73626556</v>
      </c>
      <c r="J32" s="20" t="n">
        <v>1.89718306</v>
      </c>
      <c r="K32" s="18" t="n">
        <v>0</v>
      </c>
      <c r="L32" s="20" t="n">
        <v>0</v>
      </c>
      <c r="M32" s="18" t="n">
        <v>34.50711157</v>
      </c>
      <c r="N32" s="20" t="n">
        <v>2.31444063</v>
      </c>
      <c r="O32" s="18" t="n">
        <v>0</v>
      </c>
      <c r="P32" s="20" t="n">
        <v>0</v>
      </c>
      <c r="Q32" s="18" t="n">
        <v>0</v>
      </c>
      <c r="R32" s="20" t="n">
        <v>0</v>
      </c>
      <c r="S32" s="18" t="n">
        <v>0</v>
      </c>
      <c r="T32" s="20" t="n">
        <v>0</v>
      </c>
    </row>
    <row r="33" spans="1:20">
      <c r="A33" s="15" t="s">
        <v>591</v>
      </c>
      <c r="B33" s="17" t="n">
        <v>3651</v>
      </c>
      <c r="C33" s="18">
        <f>(2932.0/B33*100)</f>
        <v/>
      </c>
      <c r="D33" s="19" t="n">
        <v>719</v>
      </c>
      <c r="E33" s="18" t="n">
        <v>13.97849451</v>
      </c>
      <c r="F33" s="20" t="n">
        <v>1.63290465</v>
      </c>
      <c r="G33" s="18" t="n">
        <v>20.25112231</v>
      </c>
      <c r="H33" s="20" t="n">
        <v>1.48609271</v>
      </c>
      <c r="I33" s="18" t="n">
        <v>32.88488558</v>
      </c>
      <c r="J33" s="20" t="n">
        <v>2.11005842</v>
      </c>
      <c r="K33" s="18" t="n">
        <v>0</v>
      </c>
      <c r="L33" s="20" t="n">
        <v>0</v>
      </c>
      <c r="M33" s="18" t="n">
        <v>32.88549761</v>
      </c>
      <c r="N33" s="20" t="n">
        <v>2.17792021</v>
      </c>
      <c r="O33" s="18" t="n">
        <v>0</v>
      </c>
      <c r="P33" s="20" t="n">
        <v>0</v>
      </c>
      <c r="Q33" s="18" t="n">
        <v>0</v>
      </c>
      <c r="R33" s="20" t="n">
        <v>0</v>
      </c>
      <c r="S33" s="18" t="n">
        <v>0</v>
      </c>
      <c r="T33" s="20" t="n">
        <v>0</v>
      </c>
    </row>
    <row r="34" spans="1:20">
      <c r="A34" s="15" t="s">
        <v>592</v>
      </c>
      <c r="B34" s="17" t="n">
        <v>3035</v>
      </c>
      <c r="C34" s="18">
        <f>(2459.0/B34*100)</f>
        <v/>
      </c>
      <c r="D34" s="19" t="n">
        <v>576</v>
      </c>
      <c r="E34" s="18" t="n">
        <v>28.20663628</v>
      </c>
      <c r="F34" s="20" t="n">
        <v>2.08835648</v>
      </c>
      <c r="G34" s="18" t="n">
        <v>25.59276093</v>
      </c>
      <c r="H34" s="20" t="n">
        <v>2.11998955</v>
      </c>
      <c r="I34" s="18" t="n">
        <v>21.61999174</v>
      </c>
      <c r="J34" s="20" t="n">
        <v>1.92051687</v>
      </c>
      <c r="K34" s="18" t="n">
        <v>0</v>
      </c>
      <c r="L34" s="20" t="n">
        <v>0</v>
      </c>
      <c r="M34" s="18" t="n">
        <v>24.43140365</v>
      </c>
      <c r="N34" s="20" t="n">
        <v>2.20938881</v>
      </c>
      <c r="O34" s="18" t="n">
        <v>0.14920741</v>
      </c>
      <c r="P34" s="20" t="n">
        <v>0.10484021</v>
      </c>
      <c r="Q34" s="18" t="n">
        <v>0</v>
      </c>
      <c r="R34" s="20" t="n">
        <v>0</v>
      </c>
      <c r="S34" s="18" t="n">
        <v>0</v>
      </c>
      <c r="T34" s="20" t="n">
        <v>0</v>
      </c>
    </row>
    <row r="35" spans="1:20">
      <c r="A35" s="15" t="s">
        <v>593</v>
      </c>
      <c r="B35" s="17" t="n">
        <v>2901</v>
      </c>
      <c r="C35" s="18">
        <f>(2284.0/B35*100)</f>
        <v/>
      </c>
      <c r="D35" s="19" t="n">
        <v>617</v>
      </c>
      <c r="E35" s="18" t="n">
        <v>22.75086994</v>
      </c>
      <c r="F35" s="20" t="n">
        <v>1.93072149</v>
      </c>
      <c r="G35" s="18" t="n">
        <v>22.04740601</v>
      </c>
      <c r="H35" s="20" t="n">
        <v>2.08862324</v>
      </c>
      <c r="I35" s="18" t="n">
        <v>36.18678408</v>
      </c>
      <c r="J35" s="20" t="n">
        <v>2.36614895</v>
      </c>
      <c r="K35" s="18" t="n">
        <v>0</v>
      </c>
      <c r="L35" s="20" t="n">
        <v>0</v>
      </c>
      <c r="M35" s="18" t="n">
        <v>19.01493998</v>
      </c>
      <c r="N35" s="20" t="n">
        <v>1.54992641</v>
      </c>
      <c r="O35" s="18" t="n">
        <v>0</v>
      </c>
      <c r="P35" s="20" t="n">
        <v>0</v>
      </c>
      <c r="Q35" s="18" t="n">
        <v>0</v>
      </c>
      <c r="R35" s="20" t="n">
        <v>0</v>
      </c>
      <c r="S35" s="18" t="n">
        <v>0</v>
      </c>
      <c r="T35" s="20" t="n">
        <v>0</v>
      </c>
    </row>
    <row r="36" spans="1:20">
      <c r="A36" s="15" t="s">
        <v>594</v>
      </c>
      <c r="B36" s="17" t="n">
        <v>3404</v>
      </c>
      <c r="C36" s="18">
        <f>(2744.0/B36*100)</f>
        <v/>
      </c>
      <c r="D36" s="19" t="n">
        <v>660</v>
      </c>
      <c r="E36" s="18" t="n">
        <v>13.32076441</v>
      </c>
      <c r="F36" s="20" t="n">
        <v>1.37598065</v>
      </c>
      <c r="G36" s="18" t="n">
        <v>24.48937845</v>
      </c>
      <c r="H36" s="20" t="n">
        <v>1.84698856</v>
      </c>
      <c r="I36" s="18" t="n">
        <v>34.51335806</v>
      </c>
      <c r="J36" s="20" t="n">
        <v>1.87100299</v>
      </c>
      <c r="K36" s="18" t="n">
        <v>0</v>
      </c>
      <c r="L36" s="20" t="n">
        <v>0</v>
      </c>
      <c r="M36" s="18" t="n">
        <v>27.67649908</v>
      </c>
      <c r="N36" s="20" t="n">
        <v>2.22318296</v>
      </c>
      <c r="O36" s="18" t="n">
        <v>0</v>
      </c>
      <c r="P36" s="20" t="n">
        <v>0</v>
      </c>
      <c r="Q36" s="18" t="n">
        <v>0</v>
      </c>
      <c r="R36" s="20" t="n">
        <v>0</v>
      </c>
      <c r="S36" s="18" t="n">
        <v>0</v>
      </c>
      <c r="T36" s="20" t="n">
        <v>0</v>
      </c>
    </row>
    <row r="37" spans="1:20">
      <c r="A37" s="15" t="s">
        <v>595</v>
      </c>
      <c r="B37" s="17" t="n">
        <v>2731</v>
      </c>
      <c r="C37" s="18">
        <f>(2225.0/B37*100)</f>
        <v/>
      </c>
      <c r="D37" s="19" t="n">
        <v>506</v>
      </c>
      <c r="E37" s="18" t="n">
        <v>7.69255299</v>
      </c>
      <c r="F37" s="20" t="n">
        <v>1.12961215</v>
      </c>
      <c r="G37" s="18" t="n">
        <v>18.04407637</v>
      </c>
      <c r="H37" s="20" t="n">
        <v>1.72163032</v>
      </c>
      <c r="I37" s="18" t="n">
        <v>49.0058835</v>
      </c>
      <c r="J37" s="20" t="n">
        <v>2.1350044</v>
      </c>
      <c r="K37" s="18" t="n">
        <v>0</v>
      </c>
      <c r="L37" s="20" t="n">
        <v>0</v>
      </c>
      <c r="M37" s="18" t="n">
        <v>25.25748713</v>
      </c>
      <c r="N37" s="20" t="n">
        <v>2.30032953</v>
      </c>
      <c r="O37" s="18" t="n">
        <v>0</v>
      </c>
      <c r="P37" s="20" t="n">
        <v>0</v>
      </c>
      <c r="Q37" s="18" t="n">
        <v>0</v>
      </c>
      <c r="R37" s="20" t="n">
        <v>0</v>
      </c>
      <c r="S37" s="18" t="n">
        <v>0</v>
      </c>
      <c r="T37" s="20" t="n">
        <v>0</v>
      </c>
    </row>
    <row r="38" spans="1:20">
      <c r="A38" s="15" t="s">
        <v>596</v>
      </c>
      <c r="B38" s="17" t="n">
        <v>2807</v>
      </c>
      <c r="C38" s="18">
        <f>(2237.0/B38*100)</f>
        <v/>
      </c>
      <c r="D38" s="19" t="n">
        <v>570</v>
      </c>
      <c r="E38" s="18" t="n">
        <v>18.54442447</v>
      </c>
      <c r="F38" s="20" t="n">
        <v>2.11198011</v>
      </c>
      <c r="G38" s="18" t="n">
        <v>12.68288976</v>
      </c>
      <c r="H38" s="20" t="n">
        <v>1.65931778</v>
      </c>
      <c r="I38" s="18" t="n">
        <v>35.82428581</v>
      </c>
      <c r="J38" s="20" t="n">
        <v>2.79140653</v>
      </c>
      <c r="K38" s="18" t="n">
        <v>0</v>
      </c>
      <c r="L38" s="20" t="n">
        <v>0</v>
      </c>
      <c r="M38" s="18" t="n">
        <v>31.61904403</v>
      </c>
      <c r="N38" s="20" t="n">
        <v>2.69832773</v>
      </c>
      <c r="O38" s="18" t="n">
        <v>1.32935594</v>
      </c>
      <c r="P38" s="20" t="n">
        <v>0.49312926</v>
      </c>
      <c r="Q38" s="18" t="n">
        <v>0</v>
      </c>
      <c r="R38" s="20" t="n">
        <v>0</v>
      </c>
      <c r="S38" s="18" t="n">
        <v>0</v>
      </c>
      <c r="T38" s="20" t="n">
        <v>0</v>
      </c>
    </row>
    <row r="39" spans="1:20">
      <c r="A39" s="15" t="s">
        <v>597</v>
      </c>
      <c r="B39" s="17" t="n">
        <v>2938</v>
      </c>
      <c r="C39" s="18">
        <f>(2309.0/B39*100)</f>
        <v/>
      </c>
      <c r="D39" s="19" t="n">
        <v>629</v>
      </c>
      <c r="E39" s="18" t="n">
        <v>28.74291202</v>
      </c>
      <c r="F39" s="20" t="n">
        <v>2.402592</v>
      </c>
      <c r="G39" s="18" t="n">
        <v>25.34660066</v>
      </c>
      <c r="H39" s="20" t="n">
        <v>1.65741996</v>
      </c>
      <c r="I39" s="18" t="n">
        <v>16.46145715</v>
      </c>
      <c r="J39" s="20" t="n">
        <v>2.13768821</v>
      </c>
      <c r="K39" s="18" t="n">
        <v>0</v>
      </c>
      <c r="L39" s="20" t="n">
        <v>0</v>
      </c>
      <c r="M39" s="18" t="n">
        <v>29.44903017</v>
      </c>
      <c r="N39" s="20" t="n">
        <v>1.87215419</v>
      </c>
      <c r="O39" s="18" t="n">
        <v>0</v>
      </c>
      <c r="P39" s="20" t="n">
        <v>0</v>
      </c>
      <c r="Q39" s="18" t="n">
        <v>0</v>
      </c>
      <c r="R39" s="20" t="n">
        <v>0</v>
      </c>
      <c r="S39" s="18" t="n">
        <v>0</v>
      </c>
      <c r="T39" s="20" t="n">
        <v>0</v>
      </c>
    </row>
    <row r="40" spans="1:20">
      <c r="A40" s="15" t="s">
        <v>598</v>
      </c>
      <c r="B40" s="17" t="n">
        <v>6922</v>
      </c>
      <c r="C40" s="18">
        <f>(5362.0/B40*100)</f>
        <v/>
      </c>
      <c r="D40" s="19" t="n">
        <v>1560</v>
      </c>
      <c r="E40" s="18" t="n">
        <v>15.38047624</v>
      </c>
      <c r="F40" s="20" t="n">
        <v>1.34777474</v>
      </c>
      <c r="G40" s="18" t="n">
        <v>11.91932913</v>
      </c>
      <c r="H40" s="20" t="n">
        <v>1.33870783</v>
      </c>
      <c r="I40" s="18" t="n">
        <v>47.45035084</v>
      </c>
      <c r="J40" s="20" t="n">
        <v>2.09812441</v>
      </c>
      <c r="K40" s="18" t="n">
        <v>0</v>
      </c>
      <c r="L40" s="20" t="n">
        <v>0</v>
      </c>
      <c r="M40" s="18" t="n">
        <v>25.24984379</v>
      </c>
      <c r="N40" s="20" t="n">
        <v>1.60542956</v>
      </c>
      <c r="O40" s="18" t="n">
        <v>0</v>
      </c>
      <c r="P40" s="20" t="n">
        <v>0</v>
      </c>
      <c r="Q40" s="18" t="n">
        <v>0</v>
      </c>
      <c r="R40" s="20" t="n">
        <v>0</v>
      </c>
      <c r="S40" s="18" t="n">
        <v>0</v>
      </c>
      <c r="T40" s="20" t="n">
        <v>0</v>
      </c>
    </row>
    <row r="41" spans="1:20">
      <c r="A41" s="15" t="s">
        <v>599</v>
      </c>
      <c r="B41" s="17" t="n">
        <v>2854</v>
      </c>
      <c r="C41" s="18">
        <f>(2245.0/B41*100)</f>
        <v/>
      </c>
      <c r="D41" s="19" t="n">
        <v>609</v>
      </c>
      <c r="E41" s="18" t="n">
        <v>49.19938985</v>
      </c>
      <c r="F41" s="20" t="n">
        <v>2.22819971</v>
      </c>
      <c r="G41" s="18" t="n">
        <v>7.88318206</v>
      </c>
      <c r="H41" s="20" t="n">
        <v>1.06649539</v>
      </c>
      <c r="I41" s="18" t="n">
        <v>27.5777443</v>
      </c>
      <c r="J41" s="20" t="n">
        <v>2.0543566</v>
      </c>
      <c r="K41" s="18" t="n">
        <v>0</v>
      </c>
      <c r="L41" s="20" t="n">
        <v>0</v>
      </c>
      <c r="M41" s="18" t="n">
        <v>15.33968379</v>
      </c>
      <c r="N41" s="20" t="n">
        <v>1.55103147</v>
      </c>
      <c r="O41" s="18" t="n">
        <v>0</v>
      </c>
      <c r="P41" s="20" t="n">
        <v>0</v>
      </c>
      <c r="Q41" s="18" t="n">
        <v>0</v>
      </c>
      <c r="R41" s="20" t="n">
        <v>0</v>
      </c>
      <c r="S41" s="18" t="n">
        <v>0</v>
      </c>
      <c r="T41" s="20" t="n">
        <v>0</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12073</v>
      </c>
      <c r="C46" s="18">
        <f>(10514.0/B46*100)</f>
        <v/>
      </c>
      <c r="D46" s="19" t="n">
        <v>1559</v>
      </c>
      <c r="E46" s="18" t="n">
        <v>27.85357126</v>
      </c>
      <c r="F46" s="20" t="n">
        <v>1.52530741</v>
      </c>
      <c r="G46" s="18" t="n">
        <v>14.10851671</v>
      </c>
      <c r="H46" s="20" t="n">
        <v>1.22584558</v>
      </c>
      <c r="I46" s="18" t="n">
        <v>17.78357167</v>
      </c>
      <c r="J46" s="20" t="n">
        <v>1.4639015</v>
      </c>
      <c r="K46" s="18" t="n">
        <v>0</v>
      </c>
      <c r="L46" s="20" t="n">
        <v>0</v>
      </c>
      <c r="M46" s="18" t="n">
        <v>40.16847084</v>
      </c>
      <c r="N46" s="20" t="n">
        <v>1.69006574</v>
      </c>
      <c r="O46" s="18" t="n">
        <v>0.08586952</v>
      </c>
      <c r="P46" s="20" t="n">
        <v>0.05070741</v>
      </c>
      <c r="Q46" s="18" t="n">
        <v>0</v>
      </c>
      <c r="R46" s="20" t="n">
        <v>0</v>
      </c>
      <c r="S46" s="18" t="n">
        <v>0</v>
      </c>
      <c r="T46" s="20" t="n">
        <v>0</v>
      </c>
    </row>
    <row r="47" spans="1:20">
      <c r="A47" s="15" t="s">
        <v>606</v>
      </c>
      <c r="B47" s="17" t="n">
        <v>2823</v>
      </c>
      <c r="C47" s="18">
        <f>(2243.0/B47*100)</f>
        <v/>
      </c>
      <c r="D47" s="19" t="n">
        <v>580</v>
      </c>
      <c r="E47" s="18" t="n">
        <v>20.99396549</v>
      </c>
      <c r="F47" s="20" t="n">
        <v>1.70287079</v>
      </c>
      <c r="G47" s="18" t="n">
        <v>18.18959595</v>
      </c>
      <c r="H47" s="20" t="n">
        <v>1.64300717</v>
      </c>
      <c r="I47" s="18" t="n">
        <v>11.12431776</v>
      </c>
      <c r="J47" s="20" t="n">
        <v>1.33698237</v>
      </c>
      <c r="K47" s="18" t="n">
        <v>0</v>
      </c>
      <c r="L47" s="20" t="n">
        <v>0</v>
      </c>
      <c r="M47" s="18" t="n">
        <v>49.6921208</v>
      </c>
      <c r="N47" s="20" t="n">
        <v>1.9454009</v>
      </c>
      <c r="O47" s="18" t="n">
        <v>0</v>
      </c>
      <c r="P47" s="20" t="n">
        <v>0</v>
      </c>
      <c r="Q47" s="18" t="n">
        <v>0</v>
      </c>
      <c r="R47" s="20" t="n">
        <v>0</v>
      </c>
      <c r="S47" s="18" t="n">
        <v>0</v>
      </c>
      <c r="T47" s="20" t="n">
        <v>0</v>
      </c>
    </row>
    <row r="48" spans="1:20">
      <c r="A48" s="15" t="s">
        <v>607</v>
      </c>
      <c r="B48" s="17" t="n">
        <v>4682</v>
      </c>
      <c r="C48" s="18">
        <f>(3655.0/B48*100)</f>
        <v/>
      </c>
      <c r="D48" s="19" t="n">
        <v>1027</v>
      </c>
      <c r="E48" s="18" t="n">
        <v>29.0642431</v>
      </c>
      <c r="F48" s="20" t="n">
        <v>1.98950704</v>
      </c>
      <c r="G48" s="18" t="n">
        <v>26.6982552</v>
      </c>
      <c r="H48" s="20" t="n">
        <v>1.96047175</v>
      </c>
      <c r="I48" s="18" t="n">
        <v>22.67367071</v>
      </c>
      <c r="J48" s="20" t="n">
        <v>1.89940824</v>
      </c>
      <c r="K48" s="18" t="n">
        <v>0</v>
      </c>
      <c r="L48" s="20" t="n">
        <v>0</v>
      </c>
      <c r="M48" s="18" t="n">
        <v>21.56383099</v>
      </c>
      <c r="N48" s="20" t="n">
        <v>2.23326653</v>
      </c>
      <c r="O48" s="18" t="n">
        <v>0</v>
      </c>
      <c r="P48" s="20" t="n">
        <v>0</v>
      </c>
      <c r="Q48" s="18" t="n">
        <v>0</v>
      </c>
      <c r="R48" s="20" t="n">
        <v>0</v>
      </c>
      <c r="S48" s="18" t="n">
        <v>0</v>
      </c>
      <c r="T48" s="20" t="n">
        <v>0</v>
      </c>
    </row>
    <row r="49" spans="1:20">
      <c r="A49" s="15" t="s">
        <v>608</v>
      </c>
      <c r="B49" s="17" t="n">
        <v>6158</v>
      </c>
      <c r="C49" s="18">
        <f>(4934.0/B49*100)</f>
        <v/>
      </c>
      <c r="D49" s="19" t="n">
        <v>1224</v>
      </c>
      <c r="E49" s="18" t="n">
        <v>42.28104559</v>
      </c>
      <c r="F49" s="20" t="n">
        <v>1.82142632</v>
      </c>
      <c r="G49" s="18" t="n">
        <v>14.29470465</v>
      </c>
      <c r="H49" s="20" t="n">
        <v>1.32889233</v>
      </c>
      <c r="I49" s="18" t="n">
        <v>8.731224060000001</v>
      </c>
      <c r="J49" s="20" t="n">
        <v>1.14577851</v>
      </c>
      <c r="K49" s="18" t="n">
        <v>0</v>
      </c>
      <c r="L49" s="20" t="n">
        <v>0</v>
      </c>
      <c r="M49" s="18" t="n">
        <v>34.67067377</v>
      </c>
      <c r="N49" s="20" t="n">
        <v>1.85137151</v>
      </c>
      <c r="O49" s="18" t="n">
        <v>0.02235192</v>
      </c>
      <c r="P49" s="20" t="n">
        <v>0.02053292</v>
      </c>
      <c r="Q49" s="18" t="n">
        <v>0</v>
      </c>
      <c r="R49" s="20" t="n">
        <v>0</v>
      </c>
      <c r="S49" s="18" t="n">
        <v>0</v>
      </c>
      <c r="T49" s="20" t="n">
        <v>0</v>
      </c>
    </row>
    <row r="50" spans="1:20">
      <c r="A50" s="15" t="s">
        <v>609</v>
      </c>
      <c r="B50" s="17" t="n">
        <v>3494</v>
      </c>
      <c r="C50" s="18">
        <f>(2942.0/B50*100)</f>
        <v/>
      </c>
      <c r="D50" s="19" t="n">
        <v>552</v>
      </c>
      <c r="E50" s="18" t="n">
        <v>34.11495324</v>
      </c>
      <c r="F50" s="20" t="n">
        <v>2.0320204</v>
      </c>
      <c r="G50" s="18" t="n">
        <v>19.01723877</v>
      </c>
      <c r="H50" s="20" t="n">
        <v>1.76410555</v>
      </c>
      <c r="I50" s="18" t="n">
        <v>12.81227723</v>
      </c>
      <c r="J50" s="20" t="n">
        <v>1.52123654</v>
      </c>
      <c r="K50" s="18" t="n">
        <v>0</v>
      </c>
      <c r="L50" s="20" t="n">
        <v>0</v>
      </c>
      <c r="M50" s="18" t="n">
        <v>34.05553076</v>
      </c>
      <c r="N50" s="20" t="n">
        <v>1.79885874</v>
      </c>
      <c r="O50" s="18" t="n">
        <v>0</v>
      </c>
      <c r="P50" s="20" t="n">
        <v>0</v>
      </c>
      <c r="Q50" s="18" t="n">
        <v>0</v>
      </c>
      <c r="R50" s="20" t="n">
        <v>0</v>
      </c>
      <c r="S50" s="18" t="n">
        <v>0</v>
      </c>
      <c r="T50" s="20" t="n">
        <v>0</v>
      </c>
    </row>
    <row r="51" spans="1:20">
      <c r="A51" s="15" t="s">
        <v>610</v>
      </c>
      <c r="B51" s="17" t="n">
        <v>3013</v>
      </c>
      <c r="C51" s="18">
        <f>(2359.0/B51*100)</f>
        <v/>
      </c>
      <c r="D51" s="19" t="n">
        <v>654</v>
      </c>
      <c r="E51" s="18" t="n">
        <v>14.75079976</v>
      </c>
      <c r="F51" s="20" t="n">
        <v>1.38805878</v>
      </c>
      <c r="G51" s="18" t="n">
        <v>23.97235214</v>
      </c>
      <c r="H51" s="20" t="n">
        <v>1.45258514</v>
      </c>
      <c r="I51" s="18" t="n">
        <v>21.73970852</v>
      </c>
      <c r="J51" s="20" t="n">
        <v>1.78751705</v>
      </c>
      <c r="K51" s="18" t="n">
        <v>0</v>
      </c>
      <c r="L51" s="20" t="n">
        <v>0</v>
      </c>
      <c r="M51" s="18" t="n">
        <v>39.53713958</v>
      </c>
      <c r="N51" s="20" t="n">
        <v>1.93326683</v>
      </c>
      <c r="O51" s="18" t="n">
        <v>0</v>
      </c>
      <c r="P51" s="20" t="n">
        <v>0</v>
      </c>
      <c r="Q51" s="18" t="n">
        <v>0</v>
      </c>
      <c r="R51" s="20" t="n">
        <v>0</v>
      </c>
      <c r="S51" s="18" t="n">
        <v>0</v>
      </c>
      <c r="T51" s="20" t="n">
        <v>0</v>
      </c>
    </row>
    <row r="52" spans="1:20">
      <c r="A52" s="15" t="s">
        <v>611</v>
      </c>
      <c r="B52" s="17" t="n">
        <v>2760</v>
      </c>
      <c r="C52" s="18">
        <f>(2137.0/B52*100)</f>
        <v/>
      </c>
      <c r="D52" s="19" t="n">
        <v>623</v>
      </c>
      <c r="E52" s="18" t="n">
        <v>21.97892904</v>
      </c>
      <c r="F52" s="20" t="n">
        <v>1.91058636</v>
      </c>
      <c r="G52" s="18" t="n">
        <v>22.21027497</v>
      </c>
      <c r="H52" s="20" t="n">
        <v>1.87357343</v>
      </c>
      <c r="I52" s="18" t="n">
        <v>12.30622962</v>
      </c>
      <c r="J52" s="20" t="n">
        <v>1.31339736</v>
      </c>
      <c r="K52" s="18" t="n">
        <v>0</v>
      </c>
      <c r="L52" s="20" t="n">
        <v>0</v>
      </c>
      <c r="M52" s="18" t="n">
        <v>43.50456637</v>
      </c>
      <c r="N52" s="20" t="n">
        <v>2.06159632</v>
      </c>
      <c r="O52" s="18" t="n">
        <v>0</v>
      </c>
      <c r="P52" s="20" t="n">
        <v>0</v>
      </c>
      <c r="Q52" s="18" t="n">
        <v>0</v>
      </c>
      <c r="R52" s="20" t="n">
        <v>0</v>
      </c>
      <c r="S52" s="18" t="n">
        <v>0</v>
      </c>
      <c r="T52" s="20" t="n">
        <v>0</v>
      </c>
    </row>
    <row r="53" spans="1:20">
      <c r="A53" s="15" t="s">
        <v>612</v>
      </c>
      <c r="B53" s="17" t="n">
        <v>2474</v>
      </c>
      <c r="C53" s="18">
        <f>(1948.0/B53*100)</f>
        <v/>
      </c>
      <c r="D53" s="19" t="n">
        <v>526</v>
      </c>
      <c r="E53" s="18" t="n">
        <v>29.78563131</v>
      </c>
      <c r="F53" s="20" t="n">
        <v>2.00601873</v>
      </c>
      <c r="G53" s="18" t="n">
        <v>5.81650388</v>
      </c>
      <c r="H53" s="20" t="n">
        <v>0.87077216</v>
      </c>
      <c r="I53" s="18" t="n">
        <v>1.6313528</v>
      </c>
      <c r="J53" s="20" t="n">
        <v>0.6286691</v>
      </c>
      <c r="K53" s="18" t="n">
        <v>0</v>
      </c>
      <c r="L53" s="20" t="n">
        <v>0</v>
      </c>
      <c r="M53" s="18" t="n">
        <v>61.48724163</v>
      </c>
      <c r="N53" s="20" t="n">
        <v>2.34382259</v>
      </c>
      <c r="O53" s="18" t="n">
        <v>1.27927038</v>
      </c>
      <c r="P53" s="20" t="n">
        <v>1.39287097</v>
      </c>
      <c r="Q53" s="18" t="n">
        <v>0</v>
      </c>
      <c r="R53" s="20" t="n">
        <v>0</v>
      </c>
      <c r="S53" s="18" t="n">
        <v>0</v>
      </c>
      <c r="T53" s="20" t="n">
        <v>0</v>
      </c>
    </row>
    <row r="54" spans="1:20">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2675</v>
      </c>
      <c r="C55" s="18">
        <f>(2138.0/B55*100)</f>
        <v/>
      </c>
      <c r="D55" s="19" t="n">
        <v>537</v>
      </c>
      <c r="E55" s="18" t="n">
        <v>20.28396481</v>
      </c>
      <c r="F55" s="20" t="n">
        <v>2.06170272</v>
      </c>
      <c r="G55" s="18" t="n">
        <v>16.66297996</v>
      </c>
      <c r="H55" s="20" t="n">
        <v>1.74338682</v>
      </c>
      <c r="I55" s="18" t="n">
        <v>47.07371175</v>
      </c>
      <c r="J55" s="20" t="n">
        <v>2.3891915</v>
      </c>
      <c r="K55" s="18" t="n">
        <v>0</v>
      </c>
      <c r="L55" s="20" t="n">
        <v>0</v>
      </c>
      <c r="M55" s="18" t="n">
        <v>15.84890821</v>
      </c>
      <c r="N55" s="20" t="n">
        <v>1.55072762</v>
      </c>
      <c r="O55" s="18" t="n">
        <v>0.13043527</v>
      </c>
      <c r="P55" s="20" t="n">
        <v>0.1306688</v>
      </c>
      <c r="Q55" s="18" t="n">
        <v>0</v>
      </c>
      <c r="R55" s="20" t="n">
        <v>0</v>
      </c>
      <c r="S55" s="18" t="n">
        <v>0</v>
      </c>
      <c r="T55" s="20" t="n">
        <v>0</v>
      </c>
    </row>
    <row r="56" spans="1:20">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3201</v>
      </c>
      <c r="C61" s="18">
        <f>(2519.0/B61*100)</f>
        <v/>
      </c>
      <c r="D61" s="19" t="n">
        <v>682</v>
      </c>
      <c r="E61" s="18" t="n">
        <v>27.23036806</v>
      </c>
      <c r="F61" s="20" t="n">
        <v>2.01634641</v>
      </c>
      <c r="G61" s="18" t="n">
        <v>13.54569182</v>
      </c>
      <c r="H61" s="20" t="n">
        <v>1.61597573</v>
      </c>
      <c r="I61" s="18" t="n">
        <v>22.20169542</v>
      </c>
      <c r="J61" s="20" t="n">
        <v>1.87248631</v>
      </c>
      <c r="K61" s="18" t="n">
        <v>0</v>
      </c>
      <c r="L61" s="20" t="n">
        <v>0</v>
      </c>
      <c r="M61" s="18" t="n">
        <v>37.0222447</v>
      </c>
      <c r="N61" s="20" t="n">
        <v>2.11791353</v>
      </c>
      <c r="O61" s="18" t="n">
        <v>0</v>
      </c>
      <c r="P61" s="20" t="n">
        <v>0</v>
      </c>
      <c r="Q61" s="18" t="n">
        <v>0</v>
      </c>
      <c r="R61" s="20" t="n">
        <v>0</v>
      </c>
      <c r="S61" s="18" t="n">
        <v>0</v>
      </c>
      <c r="T61" s="20" t="n">
        <v>0</v>
      </c>
    </row>
    <row r="62" spans="1:20">
      <c r="A62" s="15" t="s">
        <v>622</v>
      </c>
      <c r="B62" s="17" t="n">
        <v>2230</v>
      </c>
      <c r="C62" s="18">
        <f>(1829.0/B62*100)</f>
        <v/>
      </c>
      <c r="D62" s="19" t="n">
        <v>401</v>
      </c>
      <c r="E62" s="18" t="n">
        <v>27.98419402</v>
      </c>
      <c r="F62" s="20" t="n">
        <v>2.2155634</v>
      </c>
      <c r="G62" s="18" t="n">
        <v>31.82222127</v>
      </c>
      <c r="H62" s="20" t="n">
        <v>2.15078942</v>
      </c>
      <c r="I62" s="18" t="n">
        <v>25.95581244</v>
      </c>
      <c r="J62" s="20" t="n">
        <v>2.25381157</v>
      </c>
      <c r="K62" s="18" t="n">
        <v>0</v>
      </c>
      <c r="L62" s="20" t="n">
        <v>0</v>
      </c>
      <c r="M62" s="18" t="n">
        <v>14.23777227</v>
      </c>
      <c r="N62" s="20" t="n">
        <v>1.63742369</v>
      </c>
      <c r="O62" s="18" t="n">
        <v>0</v>
      </c>
      <c r="P62" s="20" t="n">
        <v>0</v>
      </c>
      <c r="Q62" s="18" t="n">
        <v>0</v>
      </c>
      <c r="R62" s="20" t="n">
        <v>0</v>
      </c>
      <c r="S62" s="18" t="n">
        <v>0</v>
      </c>
      <c r="T62" s="20" t="n">
        <v>0</v>
      </c>
    </row>
    <row r="63" spans="1:20">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2771</v>
      </c>
      <c r="C67" s="18">
        <f>(2214.0/B67*100)</f>
        <v/>
      </c>
      <c r="D67" s="19" t="n">
        <v>557</v>
      </c>
      <c r="E67" s="18" t="n">
        <v>22.03169122</v>
      </c>
      <c r="F67" s="20" t="n">
        <v>1.69414092</v>
      </c>
      <c r="G67" s="18" t="n">
        <v>7.24850048</v>
      </c>
      <c r="H67" s="20" t="n">
        <v>1.03969186</v>
      </c>
      <c r="I67" s="18" t="n">
        <v>6.08418607</v>
      </c>
      <c r="J67" s="20" t="n">
        <v>1.11404401</v>
      </c>
      <c r="K67" s="18" t="n">
        <v>0</v>
      </c>
      <c r="L67" s="20" t="n">
        <v>0</v>
      </c>
      <c r="M67" s="18" t="n">
        <v>64.32532917</v>
      </c>
      <c r="N67" s="20" t="n">
        <v>1.76117815</v>
      </c>
      <c r="O67" s="18" t="n">
        <v>0.31029306</v>
      </c>
      <c r="P67" s="20" t="n">
        <v>0.21800525</v>
      </c>
      <c r="Q67" s="18" t="n">
        <v>0</v>
      </c>
      <c r="R67" s="20" t="n">
        <v>0</v>
      </c>
      <c r="S67" s="18" t="n">
        <v>0</v>
      </c>
      <c r="T67" s="20" t="n">
        <v>0</v>
      </c>
    </row>
    <row r="68" spans="1:20">
      <c r="A68" s="15" t="s">
        <v>628</v>
      </c>
      <c r="B68" s="17" t="n">
        <v>3460</v>
      </c>
      <c r="C68" s="18">
        <f>(2935.0/B68*100)</f>
        <v/>
      </c>
      <c r="D68" s="19" t="n">
        <v>525</v>
      </c>
      <c r="E68" s="18" t="n">
        <v>39.07140183</v>
      </c>
      <c r="F68" s="20" t="n">
        <v>2.08825035</v>
      </c>
      <c r="G68" s="18" t="n">
        <v>11.47908707</v>
      </c>
      <c r="H68" s="20" t="n">
        <v>1.2007533</v>
      </c>
      <c r="I68" s="18" t="n">
        <v>5.28160141</v>
      </c>
      <c r="J68" s="20" t="n">
        <v>1.1274125</v>
      </c>
      <c r="K68" s="18" t="n">
        <v>0</v>
      </c>
      <c r="L68" s="20" t="n">
        <v>0</v>
      </c>
      <c r="M68" s="18" t="n">
        <v>43.59953963</v>
      </c>
      <c r="N68" s="20" t="n">
        <v>2.24612649</v>
      </c>
      <c r="O68" s="18" t="n">
        <v>0.56837005</v>
      </c>
      <c r="P68" s="20" t="n">
        <v>0.42692761</v>
      </c>
      <c r="Q68" s="18" t="n">
        <v>0</v>
      </c>
      <c r="R68" s="20" t="n">
        <v>0</v>
      </c>
      <c r="S68" s="18" t="n">
        <v>0</v>
      </c>
      <c r="T68" s="20" t="n">
        <v>0</v>
      </c>
    </row>
    <row r="69" spans="1:20">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6034</v>
      </c>
      <c r="C70" s="18">
        <f>(4683.0/B70*100)</f>
        <v/>
      </c>
      <c r="D70" s="19" t="n">
        <v>1351</v>
      </c>
      <c r="E70" s="18" t="n">
        <v>41.99881315</v>
      </c>
      <c r="F70" s="20" t="n">
        <v>1.30627698</v>
      </c>
      <c r="G70" s="18" t="n">
        <v>12.10751747</v>
      </c>
      <c r="H70" s="20" t="n">
        <v>0.85437855</v>
      </c>
      <c r="I70" s="18" t="n">
        <v>16.19862671</v>
      </c>
      <c r="J70" s="20" t="n">
        <v>0.95349677</v>
      </c>
      <c r="K70" s="18" t="n">
        <v>0</v>
      </c>
      <c r="L70" s="20" t="n">
        <v>0</v>
      </c>
      <c r="M70" s="18" t="n">
        <v>29.69504267</v>
      </c>
      <c r="N70" s="20" t="n">
        <v>1.09567282</v>
      </c>
      <c r="O70" s="18" t="n">
        <v>0</v>
      </c>
      <c r="P70" s="20" t="n">
        <v>0</v>
      </c>
      <c r="Q70" s="18" t="n">
        <v>0</v>
      </c>
      <c r="R70" s="20" t="n">
        <v>0</v>
      </c>
      <c r="S70" s="18" t="n">
        <v>0</v>
      </c>
      <c r="T70" s="20" t="n">
        <v>0</v>
      </c>
    </row>
    <row r="71" spans="1:20">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3107</v>
      </c>
      <c r="C72" s="18">
        <f>(2491.0/B72*100)</f>
        <v/>
      </c>
      <c r="D72" s="19" t="n">
        <v>616</v>
      </c>
      <c r="E72" s="18" t="n">
        <v>35.30876404</v>
      </c>
      <c r="F72" s="20" t="n">
        <v>1.74388021</v>
      </c>
      <c r="G72" s="18" t="n">
        <v>19.68107287</v>
      </c>
      <c r="H72" s="20" t="n">
        <v>1.94717169</v>
      </c>
      <c r="I72" s="18" t="n">
        <v>12.27806693</v>
      </c>
      <c r="J72" s="20" t="n">
        <v>1.1756682</v>
      </c>
      <c r="K72" s="18" t="n">
        <v>0</v>
      </c>
      <c r="L72" s="20" t="n">
        <v>0</v>
      </c>
      <c r="M72" s="18" t="n">
        <v>32.73209616</v>
      </c>
      <c r="N72" s="20" t="n">
        <v>2.44382094</v>
      </c>
      <c r="O72" s="18" t="n">
        <v>0</v>
      </c>
      <c r="P72" s="20" t="n">
        <v>0</v>
      </c>
      <c r="Q72" s="18" t="n">
        <v>0</v>
      </c>
      <c r="R72" s="20" t="n">
        <v>0</v>
      </c>
      <c r="S72" s="18" t="n">
        <v>0</v>
      </c>
      <c r="T72" s="20" t="n">
        <v>0</v>
      </c>
    </row>
    <row r="73" spans="1:20">
      <c r="A73" s="15" t="s">
        <v>633</v>
      </c>
      <c r="B73" s="17" t="n">
        <v>2973</v>
      </c>
      <c r="C73" s="18">
        <f>(2336.0/B73*100)</f>
        <v/>
      </c>
      <c r="D73" s="19" t="n">
        <v>637</v>
      </c>
      <c r="E73" s="18" t="n">
        <v>27.58819112</v>
      </c>
      <c r="F73" s="20" t="n">
        <v>1.70060868</v>
      </c>
      <c r="G73" s="18" t="n">
        <v>13.08514888</v>
      </c>
      <c r="H73" s="20" t="n">
        <v>1.58101783</v>
      </c>
      <c r="I73" s="18" t="n">
        <v>43.50647716</v>
      </c>
      <c r="J73" s="20" t="n">
        <v>2.03269549</v>
      </c>
      <c r="K73" s="18" t="n">
        <v>0</v>
      </c>
      <c r="L73" s="20" t="n">
        <v>0</v>
      </c>
      <c r="M73" s="18" t="n">
        <v>15.82018285</v>
      </c>
      <c r="N73" s="20" t="n">
        <v>1.41985377</v>
      </c>
      <c r="O73" s="18" t="n">
        <v>0</v>
      </c>
      <c r="P73" s="20" t="n">
        <v>0</v>
      </c>
      <c r="Q73" s="18" t="n">
        <v>0</v>
      </c>
      <c r="R73" s="20" t="n">
        <v>0</v>
      </c>
      <c r="S73" s="18" t="n">
        <v>0</v>
      </c>
      <c r="T73" s="20" t="n">
        <v>0</v>
      </c>
    </row>
    <row r="74" spans="1:20">
      <c r="A74" s="15" t="s">
        <v>634</v>
      </c>
      <c r="B74" s="17" t="n">
        <v>3819</v>
      </c>
      <c r="C74" s="18">
        <f>(3013.0/B74*100)</f>
        <v/>
      </c>
      <c r="D74" s="19" t="n">
        <v>806</v>
      </c>
      <c r="E74" s="18" t="n">
        <v>21.56745583</v>
      </c>
      <c r="F74" s="20" t="n">
        <v>1.74426723</v>
      </c>
      <c r="G74" s="18" t="n">
        <v>14.63753508</v>
      </c>
      <c r="H74" s="20" t="n">
        <v>1.38019183</v>
      </c>
      <c r="I74" s="18" t="n">
        <v>48.70097826</v>
      </c>
      <c r="J74" s="20" t="n">
        <v>2.02861945</v>
      </c>
      <c r="K74" s="18" t="n">
        <v>0</v>
      </c>
      <c r="L74" s="20" t="n">
        <v>0</v>
      </c>
      <c r="M74" s="18" t="n">
        <v>15.09403083</v>
      </c>
      <c r="N74" s="20" t="n">
        <v>1.44533699</v>
      </c>
      <c r="O74" s="18" t="n">
        <v>0</v>
      </c>
      <c r="P74" s="20" t="n">
        <v>0</v>
      </c>
      <c r="Q74" s="18" t="n">
        <v>0</v>
      </c>
      <c r="R74" s="20" t="n">
        <v>0</v>
      </c>
      <c r="S74" s="18" t="n">
        <v>0</v>
      </c>
      <c r="T74" s="20" t="n">
        <v>0</v>
      </c>
    </row>
    <row r="75" spans="1:20">
      <c r="A75" s="15" t="s">
        <v>635</v>
      </c>
      <c r="B75" s="17" t="n">
        <v>4652</v>
      </c>
      <c r="C75" s="18">
        <f>(3799.0/B75*100)</f>
        <v/>
      </c>
      <c r="D75" s="19" t="n">
        <v>853</v>
      </c>
      <c r="E75" s="18" t="n">
        <v>59.11471853</v>
      </c>
      <c r="F75" s="20" t="n">
        <v>1.96785755</v>
      </c>
      <c r="G75" s="18" t="n">
        <v>17.8740199</v>
      </c>
      <c r="H75" s="20" t="n">
        <v>1.49629015</v>
      </c>
      <c r="I75" s="18" t="n">
        <v>13.93460311</v>
      </c>
      <c r="J75" s="20" t="n">
        <v>1.40603316</v>
      </c>
      <c r="K75" s="18" t="n">
        <v>0</v>
      </c>
      <c r="L75" s="20" t="n">
        <v>0</v>
      </c>
      <c r="M75" s="18" t="n">
        <v>8.63349356</v>
      </c>
      <c r="N75" s="20" t="n">
        <v>1.12092049</v>
      </c>
      <c r="O75" s="18" t="n">
        <v>0.4431649</v>
      </c>
      <c r="P75" s="20" t="n">
        <v>0.31779027</v>
      </c>
      <c r="Q75" s="18" t="n">
        <v>0</v>
      </c>
      <c r="R75" s="20" t="n">
        <v>0</v>
      </c>
      <c r="S75" s="18" t="n">
        <v>0</v>
      </c>
      <c r="T75" s="20" t="n">
        <v>0</v>
      </c>
    </row>
    <row r="76" spans="1:20">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2969</v>
      </c>
      <c r="C77" s="18">
        <f>(2445.0/B77*100)</f>
        <v/>
      </c>
      <c r="D77" s="19" t="n">
        <v>524</v>
      </c>
      <c r="E77" s="18" t="n">
        <v>27.01044939</v>
      </c>
      <c r="F77" s="20" t="n">
        <v>2.22915416</v>
      </c>
      <c r="G77" s="18" t="n">
        <v>10.75816734</v>
      </c>
      <c r="H77" s="20" t="n">
        <v>1.34679288</v>
      </c>
      <c r="I77" s="18" t="n">
        <v>0.65086917</v>
      </c>
      <c r="J77" s="20" t="n">
        <v>0.33513136</v>
      </c>
      <c r="K77" s="18" t="n">
        <v>0</v>
      </c>
      <c r="L77" s="20" t="n">
        <v>0</v>
      </c>
      <c r="M77" s="18" t="n">
        <v>61.5805141</v>
      </c>
      <c r="N77" s="20" t="n">
        <v>2.46009129</v>
      </c>
      <c r="O77" s="18" t="n">
        <v>0</v>
      </c>
      <c r="P77" s="20" t="n">
        <v>0</v>
      </c>
      <c r="Q77" s="18" t="n">
        <v>0</v>
      </c>
      <c r="R77" s="20" t="n">
        <v>0</v>
      </c>
      <c r="S77" s="18" t="n">
        <v>0</v>
      </c>
      <c r="T77" s="20" t="n">
        <v>0</v>
      </c>
    </row>
    <row r="78" spans="1:20">
      <c r="A78" s="15" t="s">
        <v>638</v>
      </c>
      <c r="B78" s="17" t="n">
        <v>7115</v>
      </c>
      <c r="C78" s="18">
        <f>(5633.0/B78*100)</f>
        <v/>
      </c>
      <c r="D78" s="19" t="n">
        <v>1482</v>
      </c>
      <c r="E78" s="18" t="n">
        <v>42.08716756</v>
      </c>
      <c r="F78" s="20" t="n">
        <v>1.79304802</v>
      </c>
      <c r="G78" s="18" t="n">
        <v>21.01889421</v>
      </c>
      <c r="H78" s="20" t="n">
        <v>1.55974091</v>
      </c>
      <c r="I78" s="18" t="n">
        <v>20.2303035</v>
      </c>
      <c r="J78" s="20" t="n">
        <v>1.65313914</v>
      </c>
      <c r="K78" s="18" t="n">
        <v>0</v>
      </c>
      <c r="L78" s="20" t="n">
        <v>0</v>
      </c>
      <c r="M78" s="18" t="n">
        <v>16.55396461</v>
      </c>
      <c r="N78" s="20" t="n">
        <v>1.26512973</v>
      </c>
      <c r="O78" s="18" t="n">
        <v>0.10967011</v>
      </c>
      <c r="P78" s="20" t="n">
        <v>0.08905217999999999</v>
      </c>
      <c r="Q78" s="18" t="n">
        <v>0</v>
      </c>
      <c r="R78" s="20" t="n">
        <v>0</v>
      </c>
      <c r="S78" s="18" t="n">
        <v>0</v>
      </c>
      <c r="T78" s="20" t="n">
        <v>0</v>
      </c>
    </row>
    <row r="79" spans="1:20">
      <c r="A79" s="15" t="s">
        <v>639</v>
      </c>
      <c r="B79" s="17" t="n">
        <v>3154</v>
      </c>
      <c r="C79" s="18">
        <f>(2519.0/B79*100)</f>
        <v/>
      </c>
      <c r="D79" s="19" t="n">
        <v>635</v>
      </c>
      <c r="E79" s="18" t="n">
        <v>13.22839312</v>
      </c>
      <c r="F79" s="20" t="n">
        <v>1.52730525</v>
      </c>
      <c r="G79" s="18" t="n">
        <v>19.13176556</v>
      </c>
      <c r="H79" s="20" t="n">
        <v>1.16693261</v>
      </c>
      <c r="I79" s="18" t="n">
        <v>15.28455881</v>
      </c>
      <c r="J79" s="20" t="n">
        <v>1.3478074</v>
      </c>
      <c r="K79" s="18" t="n">
        <v>0</v>
      </c>
      <c r="L79" s="20" t="n">
        <v>0</v>
      </c>
      <c r="M79" s="18" t="n">
        <v>52.19228215</v>
      </c>
      <c r="N79" s="20" t="n">
        <v>1.97808251</v>
      </c>
      <c r="O79" s="18" t="n">
        <v>0.16300035</v>
      </c>
      <c r="P79" s="20" t="n">
        <v>0.19366348</v>
      </c>
      <c r="Q79" s="18" t="n">
        <v>0</v>
      </c>
      <c r="R79" s="20" t="n">
        <v>0</v>
      </c>
      <c r="S79" s="18" t="n">
        <v>0</v>
      </c>
      <c r="T79" s="20" t="n">
        <v>0</v>
      </c>
    </row>
    <row r="80" spans="1:20">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15961</v>
      </c>
      <c r="C82" s="18">
        <f>(12775.0/B82*100)</f>
        <v/>
      </c>
      <c r="D82" s="19" t="n">
        <v>3186</v>
      </c>
      <c r="E82" s="18" t="n">
        <v>12.96947522</v>
      </c>
      <c r="F82" s="20" t="n">
        <v>0.89359096</v>
      </c>
      <c r="G82" s="18" t="n">
        <v>23.23603064</v>
      </c>
      <c r="H82" s="20" t="n">
        <v>1.09211164</v>
      </c>
      <c r="I82" s="18" t="n">
        <v>35.71883465</v>
      </c>
      <c r="J82" s="20" t="n">
        <v>1.17407662</v>
      </c>
      <c r="K82" s="18" t="n">
        <v>0</v>
      </c>
      <c r="L82" s="20" t="n">
        <v>0</v>
      </c>
      <c r="M82" s="18" t="n">
        <v>28.06075079</v>
      </c>
      <c r="N82" s="20" t="n">
        <v>1.22967695</v>
      </c>
      <c r="O82" s="18" t="n">
        <v>0.0149087</v>
      </c>
      <c r="P82" s="20" t="n">
        <v>0.01434204</v>
      </c>
      <c r="Q82" s="18" t="n">
        <v>0</v>
      </c>
      <c r="R82" s="20" t="n">
        <v>0</v>
      </c>
      <c r="S82" s="18" t="n">
        <v>0</v>
      </c>
      <c r="T82" s="20" t="n">
        <v>0</v>
      </c>
    </row>
    <row r="83" spans="1:20">
      <c r="A83" s="15" t="s">
        <v>643</v>
      </c>
      <c r="B83" s="17" t="n">
        <v>808</v>
      </c>
      <c r="C83" s="18">
        <f>(653.0/B83*100)</f>
        <v/>
      </c>
      <c r="D83" s="19" t="n">
        <v>155</v>
      </c>
      <c r="E83" s="18" t="n">
        <v>49.94283406</v>
      </c>
      <c r="F83" s="20" t="n">
        <v>3.3328301</v>
      </c>
      <c r="G83" s="18" t="n">
        <v>8.64299546</v>
      </c>
      <c r="H83" s="20" t="n">
        <v>1.64835936</v>
      </c>
      <c r="I83" s="18" t="n">
        <v>33.69261443</v>
      </c>
      <c r="J83" s="20" t="n">
        <v>3.07717807</v>
      </c>
      <c r="K83" s="18" t="n">
        <v>0</v>
      </c>
      <c r="L83" s="20" t="n">
        <v>0</v>
      </c>
      <c r="M83" s="18" t="n">
        <v>7.72155604</v>
      </c>
      <c r="N83" s="20" t="n">
        <v>2.79268414</v>
      </c>
      <c r="O83" s="18" t="n">
        <v>0</v>
      </c>
      <c r="P83" s="20" t="n">
        <v>0</v>
      </c>
      <c r="Q83" s="18" t="n">
        <v>0</v>
      </c>
      <c r="R83" s="20" t="n">
        <v>0</v>
      </c>
      <c r="S83" s="18" t="n">
        <v>0</v>
      </c>
      <c r="T83" s="20" t="n">
        <v>0</v>
      </c>
    </row>
    <row r="84" spans="1:20">
      <c r="A84" s="23" t="s">
        <v>644</v>
      </c>
      <c r="B84" s="24" t="n">
        <v>938</v>
      </c>
      <c r="C84" s="25">
        <f>(770.0/B84*100)</f>
        <v/>
      </c>
      <c r="D84" s="19" t="n">
        <v>168</v>
      </c>
      <c r="E84" s="18" t="n">
        <v>41.91864153</v>
      </c>
      <c r="F84" s="20" t="n">
        <v>3.8750013</v>
      </c>
      <c r="G84" s="18" t="n">
        <v>9.614841759999999</v>
      </c>
      <c r="H84" s="20" t="n">
        <v>2.07277809</v>
      </c>
      <c r="I84" s="18" t="n">
        <v>35.26749758</v>
      </c>
      <c r="J84" s="20" t="n">
        <v>4.21161771</v>
      </c>
      <c r="K84" s="18" t="n">
        <v>0</v>
      </c>
      <c r="L84" s="20" t="n">
        <v>0</v>
      </c>
      <c r="M84" s="18" t="n">
        <v>13.19901913</v>
      </c>
      <c r="N84" s="20" t="n">
        <v>2.60667532</v>
      </c>
      <c r="O84" s="18" t="n">
        <v>0</v>
      </c>
      <c r="P84" s="20" t="n">
        <v>0</v>
      </c>
      <c r="Q84" s="18" t="n">
        <v>0</v>
      </c>
      <c r="R84" s="20" t="n">
        <v>0</v>
      </c>
      <c r="S84" s="18" t="n">
        <v>0</v>
      </c>
      <c r="T84" s="20" t="n">
        <v>0</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(5574.0/B7*100)</f>
        <v/>
      </c>
      <c r="D7" s="19" t="n">
        <v>1589</v>
      </c>
      <c r="E7" s="18" t="n">
        <v>76.08216176000001</v>
      </c>
      <c r="F7" s="20" t="n">
        <v>1.34951305</v>
      </c>
      <c r="G7" s="18" t="n">
        <v>23.42012664</v>
      </c>
      <c r="H7" s="20" t="n">
        <v>1.33724609</v>
      </c>
      <c r="I7" s="18" t="n">
        <v>0</v>
      </c>
      <c r="J7" s="20" t="n">
        <v>0</v>
      </c>
      <c r="K7" s="18" t="n">
        <v>0.06049366</v>
      </c>
      <c r="L7" s="20" t="n">
        <v>0.05832228</v>
      </c>
      <c r="M7" s="18" t="n">
        <v>0</v>
      </c>
      <c r="N7" s="20" t="n">
        <v>0</v>
      </c>
      <c r="O7" s="18" t="n">
        <v>0</v>
      </c>
      <c r="P7" s="20" t="n">
        <v>0</v>
      </c>
      <c r="Q7" s="18" t="n">
        <v>0.43721793</v>
      </c>
      <c r="R7" s="20" t="n">
        <v>0.18370916</v>
      </c>
    </row>
    <row r="8" spans="1:18">
      <c r="A8" s="15" t="s">
        <v>566</v>
      </c>
      <c r="B8" s="17" t="n">
        <v>3443</v>
      </c>
      <c r="C8" s="18">
        <f>(2722.0/B8*100)</f>
        <v/>
      </c>
      <c r="D8" s="19" t="n">
        <v>721</v>
      </c>
      <c r="E8" s="18" t="n">
        <v>70.71572526</v>
      </c>
      <c r="F8" s="20" t="n">
        <v>1.87743391</v>
      </c>
      <c r="G8" s="18" t="n">
        <v>28.81477491</v>
      </c>
      <c r="H8" s="20" t="n">
        <v>1.89945433</v>
      </c>
      <c r="I8" s="18" t="n">
        <v>0</v>
      </c>
      <c r="J8" s="20" t="n">
        <v>0</v>
      </c>
      <c r="K8" s="18" t="n">
        <v>0</v>
      </c>
      <c r="L8" s="20" t="n">
        <v>0</v>
      </c>
      <c r="M8" s="18" t="n">
        <v>0</v>
      </c>
      <c r="N8" s="20" t="n">
        <v>0</v>
      </c>
      <c r="O8" s="18" t="n">
        <v>0</v>
      </c>
      <c r="P8" s="20" t="n">
        <v>0</v>
      </c>
      <c r="Q8" s="18" t="n">
        <v>0.46949983</v>
      </c>
      <c r="R8" s="20" t="n">
        <v>0.22349042</v>
      </c>
    </row>
    <row r="9" spans="1:18">
      <c r="A9" s="15" t="s">
        <v>567</v>
      </c>
      <c r="B9" s="17" t="n">
        <v>4752</v>
      </c>
      <c r="C9" s="18">
        <f>(3749.0/B9*100)</f>
        <v/>
      </c>
      <c r="D9" s="19" t="n">
        <v>1003</v>
      </c>
      <c r="E9" s="18" t="n">
        <v>79.07345544</v>
      </c>
      <c r="F9" s="20" t="n">
        <v>1.28414558</v>
      </c>
      <c r="G9" s="18" t="n">
        <v>20.5268352</v>
      </c>
      <c r="H9" s="20" t="n">
        <v>1.31570694</v>
      </c>
      <c r="I9" s="18" t="n">
        <v>0</v>
      </c>
      <c r="J9" s="20" t="n">
        <v>0</v>
      </c>
      <c r="K9" s="18" t="n">
        <v>0</v>
      </c>
      <c r="L9" s="20" t="n">
        <v>0</v>
      </c>
      <c r="M9" s="18" t="n">
        <v>0</v>
      </c>
      <c r="N9" s="20" t="n">
        <v>0</v>
      </c>
      <c r="O9" s="18" t="n">
        <v>0</v>
      </c>
      <c r="P9" s="20" t="n">
        <v>0</v>
      </c>
      <c r="Q9" s="18" t="n">
        <v>0.39970935</v>
      </c>
      <c r="R9" s="20" t="n">
        <v>0.20256296</v>
      </c>
    </row>
    <row r="10" spans="1:18">
      <c r="A10" s="15" t="s">
        <v>568</v>
      </c>
      <c r="B10" s="17" t="n">
        <v>10022</v>
      </c>
      <c r="C10" s="18">
        <f>(7763.0/B10*100)</f>
        <v/>
      </c>
      <c r="D10" s="19" t="n">
        <v>2259</v>
      </c>
      <c r="E10" s="18" t="n">
        <v>77.58708489</v>
      </c>
      <c r="F10" s="20" t="n">
        <v>1.26534544</v>
      </c>
      <c r="G10" s="18" t="n">
        <v>22.38033794</v>
      </c>
      <c r="H10" s="20" t="n">
        <v>1.26388625</v>
      </c>
      <c r="I10" s="18" t="n">
        <v>0</v>
      </c>
      <c r="J10" s="20" t="n">
        <v>0</v>
      </c>
      <c r="K10" s="18" t="n">
        <v>0</v>
      </c>
      <c r="L10" s="20" t="n">
        <v>0</v>
      </c>
      <c r="M10" s="18" t="n">
        <v>0</v>
      </c>
      <c r="N10" s="20" t="n">
        <v>0</v>
      </c>
      <c r="O10" s="18" t="n">
        <v>0</v>
      </c>
      <c r="P10" s="20" t="n">
        <v>0</v>
      </c>
      <c r="Q10" s="18" t="n">
        <v>0.03257717</v>
      </c>
      <c r="R10" s="20" t="n">
        <v>0.01986366</v>
      </c>
    </row>
    <row r="11" spans="1:18">
      <c r="A11" s="15" t="s">
        <v>569</v>
      </c>
      <c r="B11" s="17" t="n">
        <v>3500</v>
      </c>
      <c r="C11" s="18">
        <f>(2703.0/B11*100)</f>
        <v/>
      </c>
      <c r="D11" s="19" t="n">
        <v>797</v>
      </c>
      <c r="E11" s="18" t="n">
        <v>78.83270142000001</v>
      </c>
      <c r="F11" s="20" t="n">
        <v>1.35065689</v>
      </c>
      <c r="G11" s="18" t="n">
        <v>20.23636497</v>
      </c>
      <c r="H11" s="20" t="n">
        <v>1.41332372</v>
      </c>
      <c r="I11" s="18" t="n">
        <v>0</v>
      </c>
      <c r="J11" s="20" t="n">
        <v>0</v>
      </c>
      <c r="K11" s="18" t="n">
        <v>0</v>
      </c>
      <c r="L11" s="20" t="n">
        <v>0</v>
      </c>
      <c r="M11" s="18" t="n">
        <v>0</v>
      </c>
      <c r="N11" s="20" t="n">
        <v>0</v>
      </c>
      <c r="O11" s="18" t="n">
        <v>0</v>
      </c>
      <c r="P11" s="20" t="n">
        <v>0</v>
      </c>
      <c r="Q11" s="18" t="n">
        <v>0.93093361</v>
      </c>
      <c r="R11" s="20" t="n">
        <v>0.36948127</v>
      </c>
    </row>
    <row r="12" spans="1:18">
      <c r="A12" s="15" t="s">
        <v>570</v>
      </c>
      <c r="B12" s="17" t="n">
        <v>3422</v>
      </c>
      <c r="C12" s="18">
        <f>(2646.0/B12*100)</f>
        <v/>
      </c>
      <c r="D12" s="19" t="n">
        <v>776</v>
      </c>
      <c r="E12" s="18" t="n">
        <v>65.10197273999999</v>
      </c>
      <c r="F12" s="20" t="n">
        <v>1.85499607</v>
      </c>
      <c r="G12" s="18" t="n">
        <v>34.37014526</v>
      </c>
      <c r="H12" s="20" t="n">
        <v>1.87039758</v>
      </c>
      <c r="I12" s="18" t="n">
        <v>0</v>
      </c>
      <c r="J12" s="20" t="n">
        <v>0</v>
      </c>
      <c r="K12" s="18" t="n">
        <v>0.12053502</v>
      </c>
      <c r="L12" s="20" t="n">
        <v>0.11951093</v>
      </c>
      <c r="M12" s="18" t="n">
        <v>0</v>
      </c>
      <c r="N12" s="20" t="n">
        <v>0</v>
      </c>
      <c r="O12" s="18" t="n">
        <v>0</v>
      </c>
      <c r="P12" s="20" t="n">
        <v>0</v>
      </c>
      <c r="Q12" s="18" t="n">
        <v>0.40734697</v>
      </c>
      <c r="R12" s="20" t="n">
        <v>0.28408946</v>
      </c>
    </row>
    <row r="13" spans="1:18">
      <c r="A13" s="15" t="s">
        <v>571</v>
      </c>
      <c r="B13" s="17" t="n">
        <v>3602</v>
      </c>
      <c r="C13" s="18">
        <f>(2838.0/B13*100)</f>
        <v/>
      </c>
      <c r="D13" s="19" t="n">
        <v>764</v>
      </c>
      <c r="E13" s="18" t="n">
        <v>73.3372174</v>
      </c>
      <c r="F13" s="20" t="n">
        <v>2.02975696</v>
      </c>
      <c r="G13" s="18" t="n">
        <v>26.0543142</v>
      </c>
      <c r="H13" s="20" t="n">
        <v>1.99779762</v>
      </c>
      <c r="I13" s="18" t="n">
        <v>0</v>
      </c>
      <c r="J13" s="20" t="n">
        <v>0</v>
      </c>
      <c r="K13" s="18" t="n">
        <v>0.35374753</v>
      </c>
      <c r="L13" s="20" t="n">
        <v>0.24834322</v>
      </c>
      <c r="M13" s="18" t="n">
        <v>0</v>
      </c>
      <c r="N13" s="20" t="n">
        <v>0</v>
      </c>
      <c r="O13" s="18" t="n">
        <v>0</v>
      </c>
      <c r="P13" s="20" t="n">
        <v>0</v>
      </c>
      <c r="Q13" s="18" t="n">
        <v>0.25472088</v>
      </c>
      <c r="R13" s="20" t="n">
        <v>0.18782573</v>
      </c>
    </row>
    <row r="14" spans="1:18">
      <c r="A14" s="15" t="s">
        <v>572</v>
      </c>
      <c r="B14" s="17" t="n">
        <v>2788</v>
      </c>
      <c r="C14" s="18">
        <f>(2177.0/B14*100)</f>
        <v/>
      </c>
      <c r="D14" s="19" t="n">
        <v>611</v>
      </c>
      <c r="E14" s="18" t="n">
        <v>72.65385737</v>
      </c>
      <c r="F14" s="20" t="n">
        <v>1.88099201</v>
      </c>
      <c r="G14" s="18" t="n">
        <v>27.21912233</v>
      </c>
      <c r="H14" s="20" t="n">
        <v>1.88975301</v>
      </c>
      <c r="I14" s="18" t="n">
        <v>0</v>
      </c>
      <c r="J14" s="20" t="n">
        <v>0</v>
      </c>
      <c r="K14" s="18" t="n">
        <v>0.12702029</v>
      </c>
      <c r="L14" s="20" t="n">
        <v>0.11939279</v>
      </c>
      <c r="M14" s="18" t="n">
        <v>0</v>
      </c>
      <c r="N14" s="20" t="n">
        <v>0</v>
      </c>
      <c r="O14" s="18" t="n">
        <v>0</v>
      </c>
      <c r="P14" s="20" t="n">
        <v>0</v>
      </c>
      <c r="Q14" s="18" t="n">
        <v>0</v>
      </c>
      <c r="R14" s="20" t="n">
        <v>0</v>
      </c>
    </row>
    <row r="15" spans="1:18">
      <c r="A15" s="15" t="s">
        <v>573</v>
      </c>
      <c r="B15" s="17" t="n">
        <v>2863</v>
      </c>
      <c r="C15" s="18">
        <f>(2221.0/B15*100)</f>
        <v/>
      </c>
      <c r="D15" s="19" t="n">
        <v>642</v>
      </c>
      <c r="E15" s="18" t="n">
        <v>71.42671863</v>
      </c>
      <c r="F15" s="20" t="n">
        <v>2.00577062</v>
      </c>
      <c r="G15" s="18" t="n">
        <v>28.42082971</v>
      </c>
      <c r="H15" s="20" t="n">
        <v>2.01184687</v>
      </c>
      <c r="I15" s="18" t="n">
        <v>0</v>
      </c>
      <c r="J15" s="20" t="n">
        <v>0</v>
      </c>
      <c r="K15" s="18" t="n">
        <v>0</v>
      </c>
      <c r="L15" s="20" t="n">
        <v>0</v>
      </c>
      <c r="M15" s="18" t="n">
        <v>0</v>
      </c>
      <c r="N15" s="20" t="n">
        <v>0</v>
      </c>
      <c r="O15" s="18" t="n">
        <v>0</v>
      </c>
      <c r="P15" s="20" t="n">
        <v>0</v>
      </c>
      <c r="Q15" s="18" t="n">
        <v>0.15245166</v>
      </c>
      <c r="R15" s="20" t="n">
        <v>0.15232567</v>
      </c>
    </row>
    <row r="16" spans="1:18">
      <c r="A16" s="15" t="s">
        <v>574</v>
      </c>
      <c r="B16" s="17" t="n">
        <v>3111</v>
      </c>
      <c r="C16" s="18">
        <f>(2413.0/B16*100)</f>
        <v/>
      </c>
      <c r="D16" s="19" t="n">
        <v>698</v>
      </c>
      <c r="E16" s="18" t="n">
        <v>80.06745389</v>
      </c>
      <c r="F16" s="20" t="n">
        <v>1.58821175</v>
      </c>
      <c r="G16" s="18" t="n">
        <v>19.64581856</v>
      </c>
      <c r="H16" s="20" t="n">
        <v>1.58636374</v>
      </c>
      <c r="I16" s="18" t="n">
        <v>0</v>
      </c>
      <c r="J16" s="20" t="n">
        <v>0</v>
      </c>
      <c r="K16" s="18" t="n">
        <v>0</v>
      </c>
      <c r="L16" s="20" t="n">
        <v>0</v>
      </c>
      <c r="M16" s="18" t="n">
        <v>0</v>
      </c>
      <c r="N16" s="20" t="n">
        <v>0</v>
      </c>
      <c r="O16" s="18" t="n">
        <v>0</v>
      </c>
      <c r="P16" s="20" t="n">
        <v>0</v>
      </c>
      <c r="Q16" s="18" t="n">
        <v>0.28672755</v>
      </c>
      <c r="R16" s="20" t="n">
        <v>0.24726253</v>
      </c>
    </row>
    <row r="17" spans="1:18">
      <c r="A17" s="15" t="s">
        <v>575</v>
      </c>
      <c r="B17" s="17" t="n">
        <v>3197</v>
      </c>
      <c r="C17" s="18">
        <f>(2523.0/B17*100)</f>
        <v/>
      </c>
      <c r="D17" s="19" t="n">
        <v>674</v>
      </c>
      <c r="E17" s="18" t="n">
        <v>67.98613731</v>
      </c>
      <c r="F17" s="20" t="n">
        <v>1.91135303</v>
      </c>
      <c r="G17" s="18" t="n">
        <v>31.85927038</v>
      </c>
      <c r="H17" s="20" t="n">
        <v>1.91325226</v>
      </c>
      <c r="I17" s="18" t="n">
        <v>0</v>
      </c>
      <c r="J17" s="20" t="n">
        <v>0</v>
      </c>
      <c r="K17" s="18" t="n">
        <v>0.15459232</v>
      </c>
      <c r="L17" s="20" t="n">
        <v>0.15311268</v>
      </c>
      <c r="M17" s="18" t="n">
        <v>0</v>
      </c>
      <c r="N17" s="20" t="n">
        <v>0</v>
      </c>
      <c r="O17" s="18" t="n">
        <v>0</v>
      </c>
      <c r="P17" s="20" t="n">
        <v>0</v>
      </c>
      <c r="Q17" s="18" t="n">
        <v>0</v>
      </c>
      <c r="R17" s="20" t="n">
        <v>0</v>
      </c>
    </row>
    <row r="18" spans="1:18">
      <c r="A18" s="15" t="s">
        <v>576</v>
      </c>
      <c r="B18" s="17" t="n">
        <v>2706</v>
      </c>
      <c r="C18" s="18">
        <f>(2095.0/B18*100)</f>
        <v/>
      </c>
      <c r="D18" s="19" t="n">
        <v>611</v>
      </c>
      <c r="E18" s="18" t="n">
        <v>77.9474965</v>
      </c>
      <c r="F18" s="20" t="n">
        <v>1.67161106</v>
      </c>
      <c r="G18" s="18" t="n">
        <v>20.93157654</v>
      </c>
      <c r="H18" s="20" t="n">
        <v>1.57248425</v>
      </c>
      <c r="I18" s="18" t="n">
        <v>0</v>
      </c>
      <c r="J18" s="20" t="n">
        <v>0</v>
      </c>
      <c r="K18" s="18" t="n">
        <v>0.31943334</v>
      </c>
      <c r="L18" s="20" t="n">
        <v>0.22247279</v>
      </c>
      <c r="M18" s="18" t="n">
        <v>0</v>
      </c>
      <c r="N18" s="20" t="n">
        <v>0</v>
      </c>
      <c r="O18" s="18" t="n">
        <v>0</v>
      </c>
      <c r="P18" s="20" t="n">
        <v>0</v>
      </c>
      <c r="Q18" s="18" t="n">
        <v>0.80149363</v>
      </c>
      <c r="R18" s="20" t="n">
        <v>0.395568</v>
      </c>
    </row>
    <row r="19" spans="1:18">
      <c r="A19" s="15" t="s">
        <v>577</v>
      </c>
      <c r="B19" s="17" t="n">
        <v>2850</v>
      </c>
      <c r="C19" s="18">
        <f>(2168.0/B19*100)</f>
        <v/>
      </c>
      <c r="D19" s="19" t="n">
        <v>682</v>
      </c>
      <c r="E19" s="18" t="n">
        <v>67.13377121000001</v>
      </c>
      <c r="F19" s="20" t="n">
        <v>1.9939522</v>
      </c>
      <c r="G19" s="18" t="n">
        <v>32.16436998</v>
      </c>
      <c r="H19" s="20" t="n">
        <v>1.88993707</v>
      </c>
      <c r="I19" s="18" t="n">
        <v>0</v>
      </c>
      <c r="J19" s="20" t="n">
        <v>0</v>
      </c>
      <c r="K19" s="18" t="n">
        <v>0</v>
      </c>
      <c r="L19" s="20" t="n">
        <v>0</v>
      </c>
      <c r="M19" s="18" t="n">
        <v>0</v>
      </c>
      <c r="N19" s="20" t="n">
        <v>0</v>
      </c>
      <c r="O19" s="18" t="n">
        <v>0</v>
      </c>
      <c r="P19" s="20" t="n">
        <v>0</v>
      </c>
      <c r="Q19" s="18" t="n">
        <v>0.7018588100000001</v>
      </c>
      <c r="R19" s="20" t="n">
        <v>0.36629185</v>
      </c>
    </row>
    <row r="20" spans="1:18">
      <c r="A20" s="15" t="s">
        <v>578</v>
      </c>
      <c r="B20" s="17" t="n">
        <v>1741</v>
      </c>
      <c r="C20" s="18">
        <f>(1341.0/B20*100)</f>
        <v/>
      </c>
      <c r="D20" s="19" t="n">
        <v>400</v>
      </c>
      <c r="E20" s="18" t="n">
        <v>80.5831146</v>
      </c>
      <c r="F20" s="20" t="n">
        <v>2.00617022</v>
      </c>
      <c r="G20" s="18" t="n">
        <v>18.34222237</v>
      </c>
      <c r="H20" s="20" t="n">
        <v>1.93467957</v>
      </c>
      <c r="I20" s="18" t="n">
        <v>0</v>
      </c>
      <c r="J20" s="20" t="n">
        <v>0</v>
      </c>
      <c r="K20" s="18" t="n">
        <v>0.26284618</v>
      </c>
      <c r="L20" s="20" t="n">
        <v>0.26140854</v>
      </c>
      <c r="M20" s="18" t="n">
        <v>0</v>
      </c>
      <c r="N20" s="20" t="n">
        <v>0</v>
      </c>
      <c r="O20" s="18" t="n">
        <v>0</v>
      </c>
      <c r="P20" s="20" t="n">
        <v>0</v>
      </c>
      <c r="Q20" s="18" t="n">
        <v>0.81181685</v>
      </c>
      <c r="R20" s="20" t="n">
        <v>0.45410377</v>
      </c>
    </row>
    <row r="21" spans="1:18">
      <c r="A21" s="15" t="s">
        <v>579</v>
      </c>
      <c r="B21" s="17" t="n">
        <v>2833</v>
      </c>
      <c r="C21" s="18">
        <f>(2198.0/B21*100)</f>
        <v/>
      </c>
      <c r="D21" s="19" t="n">
        <v>635</v>
      </c>
      <c r="E21" s="18" t="n">
        <v>78.27064659</v>
      </c>
      <c r="F21" s="20" t="n">
        <v>1.56628845</v>
      </c>
      <c r="G21" s="18" t="n">
        <v>21.01008438</v>
      </c>
      <c r="H21" s="20" t="n">
        <v>1.54235488</v>
      </c>
      <c r="I21" s="18" t="n">
        <v>0</v>
      </c>
      <c r="J21" s="20" t="n">
        <v>0</v>
      </c>
      <c r="K21" s="18" t="n">
        <v>0</v>
      </c>
      <c r="L21" s="20" t="n">
        <v>0</v>
      </c>
      <c r="M21" s="18" t="n">
        <v>0</v>
      </c>
      <c r="N21" s="20" t="n">
        <v>0</v>
      </c>
      <c r="O21" s="18" t="n">
        <v>0</v>
      </c>
      <c r="P21" s="20" t="n">
        <v>0</v>
      </c>
      <c r="Q21" s="18" t="n">
        <v>0.71926903</v>
      </c>
      <c r="R21" s="20" t="n">
        <v>0.38580521</v>
      </c>
    </row>
    <row r="22" spans="1:18">
      <c r="A22" s="15" t="s">
        <v>580</v>
      </c>
      <c r="B22" s="17" t="n">
        <v>3667</v>
      </c>
      <c r="C22" s="18">
        <f>(2857.0/B22*100)</f>
        <v/>
      </c>
      <c r="D22" s="19" t="n">
        <v>810</v>
      </c>
      <c r="E22" s="18" t="n">
        <v>77.02717697</v>
      </c>
      <c r="F22" s="20" t="n">
        <v>1.38710223</v>
      </c>
      <c r="G22" s="18" t="n">
        <v>21.81759016</v>
      </c>
      <c r="H22" s="20" t="n">
        <v>1.3369619</v>
      </c>
      <c r="I22" s="18" t="n">
        <v>0</v>
      </c>
      <c r="J22" s="20" t="n">
        <v>0</v>
      </c>
      <c r="K22" s="18" t="n">
        <v>0.12220352</v>
      </c>
      <c r="L22" s="20" t="n">
        <v>0.12751269</v>
      </c>
      <c r="M22" s="18" t="n">
        <v>0</v>
      </c>
      <c r="N22" s="20" t="n">
        <v>0</v>
      </c>
      <c r="O22" s="18" t="n">
        <v>0</v>
      </c>
      <c r="P22" s="20" t="n">
        <v>0</v>
      </c>
      <c r="Q22" s="18" t="n">
        <v>1.03302935</v>
      </c>
      <c r="R22" s="20" t="n">
        <v>0.36939472</v>
      </c>
    </row>
    <row r="23" spans="1:18">
      <c r="A23" s="15" t="s">
        <v>581</v>
      </c>
      <c r="B23" s="17" t="n">
        <v>5792</v>
      </c>
      <c r="C23" s="18">
        <f>(4558.0/B23*100)</f>
        <v/>
      </c>
      <c r="D23" s="19" t="n">
        <v>1234</v>
      </c>
      <c r="E23" s="18" t="n">
        <v>79.88455455</v>
      </c>
      <c r="F23" s="20" t="n">
        <v>1.64339327</v>
      </c>
      <c r="G23" s="18" t="n">
        <v>18.91773018</v>
      </c>
      <c r="H23" s="20" t="n">
        <v>1.70619071</v>
      </c>
      <c r="I23" s="18" t="n">
        <v>0</v>
      </c>
      <c r="J23" s="20" t="n">
        <v>0</v>
      </c>
      <c r="K23" s="18" t="n">
        <v>0.59917274</v>
      </c>
      <c r="L23" s="20" t="n">
        <v>0.37753811</v>
      </c>
      <c r="M23" s="18" t="n">
        <v>0</v>
      </c>
      <c r="N23" s="20" t="n">
        <v>0</v>
      </c>
      <c r="O23" s="18" t="n">
        <v>0</v>
      </c>
      <c r="P23" s="20" t="n">
        <v>0</v>
      </c>
      <c r="Q23" s="18" t="n">
        <v>0.59854253</v>
      </c>
      <c r="R23" s="20" t="n">
        <v>0.34027503</v>
      </c>
    </row>
    <row r="24" spans="1:18">
      <c r="A24" s="15" t="s">
        <v>582</v>
      </c>
      <c r="B24" s="17" t="n">
        <v>3309</v>
      </c>
      <c r="C24" s="18">
        <f>(2566.0/B24*100)</f>
        <v/>
      </c>
      <c r="D24" s="19" t="n">
        <v>743</v>
      </c>
      <c r="E24" s="18" t="n">
        <v>79.95271326</v>
      </c>
      <c r="F24" s="20" t="n">
        <v>1.63029338</v>
      </c>
      <c r="G24" s="18" t="n">
        <v>19.2517059</v>
      </c>
      <c r="H24" s="20" t="n">
        <v>1.60751289</v>
      </c>
      <c r="I24" s="18" t="n">
        <v>0</v>
      </c>
      <c r="J24" s="20" t="n">
        <v>0</v>
      </c>
      <c r="K24" s="18" t="n">
        <v>0</v>
      </c>
      <c r="L24" s="20" t="n">
        <v>0</v>
      </c>
      <c r="M24" s="18" t="n">
        <v>0</v>
      </c>
      <c r="N24" s="20" t="n">
        <v>0</v>
      </c>
      <c r="O24" s="18" t="n">
        <v>0</v>
      </c>
      <c r="P24" s="20" t="n">
        <v>0</v>
      </c>
      <c r="Q24" s="18" t="n">
        <v>0.79558084</v>
      </c>
      <c r="R24" s="20" t="n">
        <v>0.33172613</v>
      </c>
    </row>
    <row r="25" spans="1:18">
      <c r="A25" s="15" t="s">
        <v>583</v>
      </c>
      <c r="B25" s="17" t="n">
        <v>2669</v>
      </c>
      <c r="C25" s="18">
        <f>(2096.0/B25*100)</f>
        <v/>
      </c>
      <c r="D25" s="19" t="n">
        <v>573</v>
      </c>
      <c r="E25" s="18" t="n">
        <v>90.70710015</v>
      </c>
      <c r="F25" s="20" t="n">
        <v>1.13106787</v>
      </c>
      <c r="G25" s="18" t="n">
        <v>8.634059990000001</v>
      </c>
      <c r="H25" s="20" t="n">
        <v>1.05843611</v>
      </c>
      <c r="I25" s="18" t="n">
        <v>0</v>
      </c>
      <c r="J25" s="20" t="n">
        <v>0</v>
      </c>
      <c r="K25" s="18" t="n">
        <v>0.16069487</v>
      </c>
      <c r="L25" s="20" t="n">
        <v>0.22390008</v>
      </c>
      <c r="M25" s="18" t="n">
        <v>0</v>
      </c>
      <c r="N25" s="20" t="n">
        <v>0</v>
      </c>
      <c r="O25" s="18" t="n">
        <v>0</v>
      </c>
      <c r="P25" s="20" t="n">
        <v>0</v>
      </c>
      <c r="Q25" s="18" t="n">
        <v>0.498145</v>
      </c>
      <c r="R25" s="20" t="n">
        <v>0.28974881</v>
      </c>
    </row>
    <row r="26" spans="1:18">
      <c r="A26" s="15" t="s">
        <v>584</v>
      </c>
      <c r="B26" s="17" t="n">
        <v>2419</v>
      </c>
      <c r="C26" s="18">
        <f>(1922.0/B26*100)</f>
        <v/>
      </c>
      <c r="D26" s="19" t="n">
        <v>497</v>
      </c>
      <c r="E26" s="18" t="n">
        <v>74.98623499999999</v>
      </c>
      <c r="F26" s="20" t="n">
        <v>1.65438739</v>
      </c>
      <c r="G26" s="18" t="n">
        <v>24.48053585</v>
      </c>
      <c r="H26" s="20" t="n">
        <v>1.66434173</v>
      </c>
      <c r="I26" s="18" t="n">
        <v>0</v>
      </c>
      <c r="J26" s="20" t="n">
        <v>0</v>
      </c>
      <c r="K26" s="18" t="n">
        <v>0</v>
      </c>
      <c r="L26" s="20" t="n">
        <v>0</v>
      </c>
      <c r="M26" s="18" t="n">
        <v>0</v>
      </c>
      <c r="N26" s="20" t="n">
        <v>0</v>
      </c>
      <c r="O26" s="18" t="n">
        <v>0</v>
      </c>
      <c r="P26" s="20" t="n">
        <v>0</v>
      </c>
      <c r="Q26" s="18" t="n">
        <v>0.53322915</v>
      </c>
      <c r="R26" s="20" t="n">
        <v>0.30550998</v>
      </c>
    </row>
    <row r="27" spans="1:18">
      <c r="A27" s="15" t="s">
        <v>585</v>
      </c>
      <c r="B27" s="17" t="n">
        <v>2683</v>
      </c>
      <c r="C27" s="18">
        <f>(2091.0/B27*100)</f>
        <v/>
      </c>
      <c r="D27" s="19" t="n">
        <v>592</v>
      </c>
      <c r="E27" s="18" t="n">
        <v>76.12536181999999</v>
      </c>
      <c r="F27" s="20" t="n">
        <v>1.89481931</v>
      </c>
      <c r="G27" s="18" t="n">
        <v>23.16306255</v>
      </c>
      <c r="H27" s="20" t="n">
        <v>1.91845108</v>
      </c>
      <c r="I27" s="18" t="n">
        <v>0</v>
      </c>
      <c r="J27" s="20" t="n">
        <v>0</v>
      </c>
      <c r="K27" s="18" t="n">
        <v>0.18536581</v>
      </c>
      <c r="L27" s="20" t="n">
        <v>0.17957338</v>
      </c>
      <c r="M27" s="18" t="n">
        <v>0</v>
      </c>
      <c r="N27" s="20" t="n">
        <v>0</v>
      </c>
      <c r="O27" s="18" t="n">
        <v>0</v>
      </c>
      <c r="P27" s="20" t="n">
        <v>0</v>
      </c>
      <c r="Q27" s="18" t="n">
        <v>0.5262098200000001</v>
      </c>
      <c r="R27" s="20" t="n">
        <v>0.30452836</v>
      </c>
    </row>
    <row r="28" spans="1:18">
      <c r="A28" s="15" t="s">
        <v>586</v>
      </c>
      <c r="B28" s="17" t="n">
        <v>3803</v>
      </c>
      <c r="C28" s="18">
        <f>(2949.0/B28*100)</f>
        <v/>
      </c>
      <c r="D28" s="19" t="n">
        <v>854</v>
      </c>
      <c r="E28" s="18" t="n">
        <v>93.18560832</v>
      </c>
      <c r="F28" s="20" t="n">
        <v>1.04881126</v>
      </c>
      <c r="G28" s="18" t="n">
        <v>5.93115604</v>
      </c>
      <c r="H28" s="20" t="n">
        <v>0.95663502</v>
      </c>
      <c r="I28" s="18" t="n">
        <v>0</v>
      </c>
      <c r="J28" s="20" t="n">
        <v>0</v>
      </c>
      <c r="K28" s="18" t="n">
        <v>0.32997926</v>
      </c>
      <c r="L28" s="20" t="n">
        <v>0.24403625</v>
      </c>
      <c r="M28" s="18" t="n">
        <v>0</v>
      </c>
      <c r="N28" s="20" t="n">
        <v>0</v>
      </c>
      <c r="O28" s="18" t="n">
        <v>0</v>
      </c>
      <c r="P28" s="20" t="n">
        <v>0</v>
      </c>
      <c r="Q28" s="18" t="n">
        <v>0.55325638</v>
      </c>
      <c r="R28" s="20" t="n">
        <v>0.27535898</v>
      </c>
    </row>
    <row r="29" spans="1:18">
      <c r="A29" s="15" t="s">
        <v>587</v>
      </c>
      <c r="B29" s="17" t="n">
        <v>2700</v>
      </c>
      <c r="C29" s="18">
        <f>(2100.0/B29*100)</f>
        <v/>
      </c>
      <c r="D29" s="19" t="n">
        <v>600</v>
      </c>
      <c r="E29" s="18" t="n">
        <v>72.54821904000001</v>
      </c>
      <c r="F29" s="20" t="n">
        <v>1.66872409</v>
      </c>
      <c r="G29" s="18" t="n">
        <v>26.90911019</v>
      </c>
      <c r="H29" s="20" t="n">
        <v>1.66171586</v>
      </c>
      <c r="I29" s="18" t="n">
        <v>0</v>
      </c>
      <c r="J29" s="20" t="n">
        <v>0</v>
      </c>
      <c r="K29" s="18" t="n">
        <v>0</v>
      </c>
      <c r="L29" s="20" t="n">
        <v>0</v>
      </c>
      <c r="M29" s="18" t="n">
        <v>0</v>
      </c>
      <c r="N29" s="20" t="n">
        <v>0</v>
      </c>
      <c r="O29" s="18" t="n">
        <v>0</v>
      </c>
      <c r="P29" s="20" t="n">
        <v>0</v>
      </c>
      <c r="Q29" s="18" t="n">
        <v>0.54267076</v>
      </c>
      <c r="R29" s="20" t="n">
        <v>0.33704198</v>
      </c>
    </row>
    <row r="30" spans="1:18">
      <c r="A30" s="15" t="s">
        <v>588</v>
      </c>
      <c r="B30" s="17" t="n">
        <v>2257</v>
      </c>
      <c r="C30" s="18">
        <f>(1726.0/B30*100)</f>
        <v/>
      </c>
      <c r="D30" s="19" t="n">
        <v>531</v>
      </c>
      <c r="E30" s="18" t="n">
        <v>75.63043737</v>
      </c>
      <c r="F30" s="20" t="n">
        <v>1.72528441</v>
      </c>
      <c r="G30" s="18" t="n">
        <v>24.19415334</v>
      </c>
      <c r="H30" s="20" t="n">
        <v>1.73392145</v>
      </c>
      <c r="I30" s="18" t="n">
        <v>0</v>
      </c>
      <c r="J30" s="20" t="n">
        <v>0</v>
      </c>
      <c r="K30" s="18" t="n">
        <v>0</v>
      </c>
      <c r="L30" s="20" t="n">
        <v>0</v>
      </c>
      <c r="M30" s="18" t="n">
        <v>0</v>
      </c>
      <c r="N30" s="20" t="n">
        <v>0</v>
      </c>
      <c r="O30" s="18" t="n">
        <v>0</v>
      </c>
      <c r="P30" s="20" t="n">
        <v>0</v>
      </c>
      <c r="Q30" s="18" t="n">
        <v>0.17540929</v>
      </c>
      <c r="R30" s="20" t="n">
        <v>0.17551474</v>
      </c>
    </row>
    <row r="31" spans="1:18">
      <c r="A31" s="15" t="s">
        <v>589</v>
      </c>
      <c r="B31" s="17" t="n">
        <v>2706</v>
      </c>
      <c r="C31" s="18">
        <f>(2088.0/B31*100)</f>
        <v/>
      </c>
      <c r="D31" s="19" t="n">
        <v>618</v>
      </c>
      <c r="E31" s="18" t="n">
        <v>77.40850365</v>
      </c>
      <c r="F31" s="20" t="n">
        <v>1.55341241</v>
      </c>
      <c r="G31" s="18" t="n">
        <v>22.59149635</v>
      </c>
      <c r="H31" s="20" t="n">
        <v>1.55341241</v>
      </c>
      <c r="I31" s="18" t="n">
        <v>0</v>
      </c>
      <c r="J31" s="20" t="n">
        <v>0</v>
      </c>
      <c r="K31" s="18" t="n">
        <v>0</v>
      </c>
      <c r="L31" s="20" t="n">
        <v>0</v>
      </c>
      <c r="M31" s="18" t="n">
        <v>0</v>
      </c>
      <c r="N31" s="20" t="n">
        <v>0</v>
      </c>
      <c r="O31" s="18" t="n">
        <v>0</v>
      </c>
      <c r="P31" s="20" t="n">
        <v>0</v>
      </c>
      <c r="Q31" s="18" t="n">
        <v>0</v>
      </c>
      <c r="R31" s="20" t="n">
        <v>0</v>
      </c>
    </row>
    <row r="32" spans="1:18">
      <c r="A32" s="15" t="s">
        <v>590</v>
      </c>
      <c r="B32" s="17" t="n">
        <v>2209</v>
      </c>
      <c r="C32" s="18">
        <f>(1746.0/B32*100)</f>
        <v/>
      </c>
      <c r="D32" s="19" t="n">
        <v>463</v>
      </c>
      <c r="E32" s="18" t="n">
        <v>72.32121626999999</v>
      </c>
      <c r="F32" s="20" t="n">
        <v>2.01716719</v>
      </c>
      <c r="G32" s="18" t="n">
        <v>27.47284691</v>
      </c>
      <c r="H32" s="20" t="n">
        <v>2.05024189</v>
      </c>
      <c r="I32" s="18" t="n">
        <v>0</v>
      </c>
      <c r="J32" s="20" t="n">
        <v>0</v>
      </c>
      <c r="K32" s="18" t="n">
        <v>0</v>
      </c>
      <c r="L32" s="20" t="n">
        <v>0</v>
      </c>
      <c r="M32" s="18" t="n">
        <v>0</v>
      </c>
      <c r="N32" s="20" t="n">
        <v>0</v>
      </c>
      <c r="O32" s="18" t="n">
        <v>0</v>
      </c>
      <c r="P32" s="20" t="n">
        <v>0</v>
      </c>
      <c r="Q32" s="18" t="n">
        <v>0.20593682</v>
      </c>
      <c r="R32" s="20" t="n">
        <v>0.22006224</v>
      </c>
    </row>
    <row r="33" spans="1:18">
      <c r="A33" s="15" t="s">
        <v>591</v>
      </c>
      <c r="B33" s="17" t="n">
        <v>3651</v>
      </c>
      <c r="C33" s="18">
        <f>(2877.0/B33*100)</f>
        <v/>
      </c>
      <c r="D33" s="19" t="n">
        <v>774</v>
      </c>
      <c r="E33" s="18" t="n">
        <v>89.8869189</v>
      </c>
      <c r="F33" s="20" t="n">
        <v>1.35915984</v>
      </c>
      <c r="G33" s="18" t="n">
        <v>9.61518577</v>
      </c>
      <c r="H33" s="20" t="n">
        <v>1.35138375</v>
      </c>
      <c r="I33" s="18" t="n">
        <v>0</v>
      </c>
      <c r="J33" s="20" t="n">
        <v>0</v>
      </c>
      <c r="K33" s="18" t="n">
        <v>0</v>
      </c>
      <c r="L33" s="20" t="n">
        <v>0</v>
      </c>
      <c r="M33" s="18" t="n">
        <v>0</v>
      </c>
      <c r="N33" s="20" t="n">
        <v>0</v>
      </c>
      <c r="O33" s="18" t="n">
        <v>0</v>
      </c>
      <c r="P33" s="20" t="n">
        <v>0</v>
      </c>
      <c r="Q33" s="18" t="n">
        <v>0.49789533</v>
      </c>
      <c r="R33" s="20" t="n">
        <v>0.27029747</v>
      </c>
    </row>
    <row r="34" spans="1:18">
      <c r="A34" s="15" t="s">
        <v>592</v>
      </c>
      <c r="B34" s="17" t="n">
        <v>3035</v>
      </c>
      <c r="C34" s="18">
        <f>(2351.0/B34*100)</f>
        <v/>
      </c>
      <c r="D34" s="19" t="n">
        <v>684</v>
      </c>
      <c r="E34" s="18" t="n">
        <v>78.05315856999999</v>
      </c>
      <c r="F34" s="20" t="n">
        <v>1.61183694</v>
      </c>
      <c r="G34" s="18" t="n">
        <v>21.14673996</v>
      </c>
      <c r="H34" s="20" t="n">
        <v>1.65912863</v>
      </c>
      <c r="I34" s="18" t="n">
        <v>0</v>
      </c>
      <c r="J34" s="20" t="n">
        <v>0</v>
      </c>
      <c r="K34" s="18" t="n">
        <v>0.26114926</v>
      </c>
      <c r="L34" s="20" t="n">
        <v>0.18544655</v>
      </c>
      <c r="M34" s="18" t="n">
        <v>0</v>
      </c>
      <c r="N34" s="20" t="n">
        <v>0</v>
      </c>
      <c r="O34" s="18" t="n">
        <v>0</v>
      </c>
      <c r="P34" s="20" t="n">
        <v>0</v>
      </c>
      <c r="Q34" s="18" t="n">
        <v>0.53895221</v>
      </c>
      <c r="R34" s="20" t="n">
        <v>0.36252115</v>
      </c>
    </row>
    <row r="35" spans="1:18">
      <c r="A35" s="15" t="s">
        <v>593</v>
      </c>
      <c r="B35" s="17" t="n">
        <v>2901</v>
      </c>
      <c r="C35" s="18">
        <f>(2266.0/B35*100)</f>
        <v/>
      </c>
      <c r="D35" s="19" t="n">
        <v>635</v>
      </c>
      <c r="E35" s="18" t="n">
        <v>60.36526694</v>
      </c>
      <c r="F35" s="20" t="n">
        <v>1.99731748</v>
      </c>
      <c r="G35" s="18" t="n">
        <v>39.63473306</v>
      </c>
      <c r="H35" s="20" t="n">
        <v>1.99731748</v>
      </c>
      <c r="I35" s="18" t="n">
        <v>0</v>
      </c>
      <c r="J35" s="20" t="n">
        <v>0</v>
      </c>
      <c r="K35" s="18" t="n">
        <v>0</v>
      </c>
      <c r="L35" s="20" t="n">
        <v>0</v>
      </c>
      <c r="M35" s="18" t="n">
        <v>0</v>
      </c>
      <c r="N35" s="20" t="n">
        <v>0</v>
      </c>
      <c r="O35" s="18" t="n">
        <v>0</v>
      </c>
      <c r="P35" s="20" t="n">
        <v>0</v>
      </c>
      <c r="Q35" s="18" t="n">
        <v>0</v>
      </c>
      <c r="R35" s="20" t="n">
        <v>0</v>
      </c>
    </row>
    <row r="36" spans="1:18">
      <c r="A36" s="15" t="s">
        <v>594</v>
      </c>
      <c r="B36" s="17" t="n">
        <v>3404</v>
      </c>
      <c r="C36" s="18">
        <f>(2649.0/B36*100)</f>
        <v/>
      </c>
      <c r="D36" s="19" t="n">
        <v>755</v>
      </c>
      <c r="E36" s="18" t="n">
        <v>78.25215312</v>
      </c>
      <c r="F36" s="20" t="n">
        <v>1.45504618</v>
      </c>
      <c r="G36" s="18" t="n">
        <v>21.60511427</v>
      </c>
      <c r="H36" s="20" t="n">
        <v>1.44064379</v>
      </c>
      <c r="I36" s="18" t="n">
        <v>0</v>
      </c>
      <c r="J36" s="20" t="n">
        <v>0</v>
      </c>
      <c r="K36" s="18" t="n">
        <v>0</v>
      </c>
      <c r="L36" s="20" t="n">
        <v>0</v>
      </c>
      <c r="M36" s="18" t="n">
        <v>0</v>
      </c>
      <c r="N36" s="20" t="n">
        <v>0</v>
      </c>
      <c r="O36" s="18" t="n">
        <v>0</v>
      </c>
      <c r="P36" s="20" t="n">
        <v>0</v>
      </c>
      <c r="Q36" s="18" t="n">
        <v>0.14273261</v>
      </c>
      <c r="R36" s="20" t="n">
        <v>0.13599461</v>
      </c>
    </row>
    <row r="37" spans="1:18">
      <c r="A37" s="15" t="s">
        <v>595</v>
      </c>
      <c r="B37" s="17" t="n">
        <v>2731</v>
      </c>
      <c r="C37" s="18">
        <f>(2137.0/B37*100)</f>
        <v/>
      </c>
      <c r="D37" s="19" t="n">
        <v>594</v>
      </c>
      <c r="E37" s="18" t="n">
        <v>72.37592008999999</v>
      </c>
      <c r="F37" s="20" t="n">
        <v>1.85694623</v>
      </c>
      <c r="G37" s="18" t="n">
        <v>27.11334933</v>
      </c>
      <c r="H37" s="20" t="n">
        <v>1.82395515</v>
      </c>
      <c r="I37" s="18" t="n">
        <v>0</v>
      </c>
      <c r="J37" s="20" t="n">
        <v>0</v>
      </c>
      <c r="K37" s="18" t="n">
        <v>0</v>
      </c>
      <c r="L37" s="20" t="n">
        <v>0</v>
      </c>
      <c r="M37" s="18" t="n">
        <v>0</v>
      </c>
      <c r="N37" s="20" t="n">
        <v>0</v>
      </c>
      <c r="O37" s="18" t="n">
        <v>0</v>
      </c>
      <c r="P37" s="20" t="n">
        <v>0</v>
      </c>
      <c r="Q37" s="18" t="n">
        <v>0.51073058</v>
      </c>
      <c r="R37" s="20" t="n">
        <v>0.29013898</v>
      </c>
    </row>
    <row r="38" spans="1:18">
      <c r="A38" s="15" t="s">
        <v>596</v>
      </c>
      <c r="B38" s="17" t="n">
        <v>2807</v>
      </c>
      <c r="C38" s="18">
        <f>(2223.0/B38*100)</f>
        <v/>
      </c>
      <c r="D38" s="19" t="n">
        <v>584</v>
      </c>
      <c r="E38" s="18" t="n">
        <v>73.9692591</v>
      </c>
      <c r="F38" s="20" t="n">
        <v>2.13087866</v>
      </c>
      <c r="G38" s="18" t="n">
        <v>24.44928511</v>
      </c>
      <c r="H38" s="20" t="n">
        <v>2.1121536</v>
      </c>
      <c r="I38" s="18" t="n">
        <v>0</v>
      </c>
      <c r="J38" s="20" t="n">
        <v>0</v>
      </c>
      <c r="K38" s="18" t="n">
        <v>0</v>
      </c>
      <c r="L38" s="20" t="n">
        <v>0</v>
      </c>
      <c r="M38" s="18" t="n">
        <v>0</v>
      </c>
      <c r="N38" s="20" t="n">
        <v>0</v>
      </c>
      <c r="O38" s="18" t="n">
        <v>0</v>
      </c>
      <c r="P38" s="20" t="n">
        <v>0</v>
      </c>
      <c r="Q38" s="18" t="n">
        <v>1.58145579</v>
      </c>
      <c r="R38" s="20" t="n">
        <v>0.58441241</v>
      </c>
    </row>
    <row r="39" spans="1:18">
      <c r="A39" s="15" t="s">
        <v>597</v>
      </c>
      <c r="B39" s="17" t="n">
        <v>2938</v>
      </c>
      <c r="C39" s="18">
        <f>(2268.0/B39*100)</f>
        <v/>
      </c>
      <c r="D39" s="19" t="n">
        <v>670</v>
      </c>
      <c r="E39" s="18" t="n">
        <v>75.91315899</v>
      </c>
      <c r="F39" s="20" t="n">
        <v>1.87643456</v>
      </c>
      <c r="G39" s="18" t="n">
        <v>23.21634079</v>
      </c>
      <c r="H39" s="20" t="n">
        <v>1.86251389</v>
      </c>
      <c r="I39" s="18" t="n">
        <v>0</v>
      </c>
      <c r="J39" s="20" t="n">
        <v>0</v>
      </c>
      <c r="K39" s="18" t="n">
        <v>0.11654498</v>
      </c>
      <c r="L39" s="20" t="n">
        <v>0.16264593</v>
      </c>
      <c r="M39" s="18" t="n">
        <v>0</v>
      </c>
      <c r="N39" s="20" t="n">
        <v>0</v>
      </c>
      <c r="O39" s="18" t="n">
        <v>0</v>
      </c>
      <c r="P39" s="20" t="n">
        <v>0</v>
      </c>
      <c r="Q39" s="18" t="n">
        <v>0.75395523</v>
      </c>
      <c r="R39" s="20" t="n">
        <v>0.31558928</v>
      </c>
    </row>
    <row r="40" spans="1:18">
      <c r="A40" s="15" t="s">
        <v>598</v>
      </c>
      <c r="B40" s="17" t="n">
        <v>6922</v>
      </c>
      <c r="C40" s="18">
        <f>(5376.0/B40*100)</f>
        <v/>
      </c>
      <c r="D40" s="19" t="n">
        <v>1546</v>
      </c>
      <c r="E40" s="18" t="n">
        <v>77.15954584000001</v>
      </c>
      <c r="F40" s="20" t="n">
        <v>1.75103024</v>
      </c>
      <c r="G40" s="18" t="n">
        <v>22.3807465</v>
      </c>
      <c r="H40" s="20" t="n">
        <v>1.75463067</v>
      </c>
      <c r="I40" s="18" t="n">
        <v>0</v>
      </c>
      <c r="J40" s="20" t="n">
        <v>0</v>
      </c>
      <c r="K40" s="18" t="n">
        <v>0</v>
      </c>
      <c r="L40" s="20" t="n">
        <v>0</v>
      </c>
      <c r="M40" s="18" t="n">
        <v>0</v>
      </c>
      <c r="N40" s="20" t="n">
        <v>0</v>
      </c>
      <c r="O40" s="18" t="n">
        <v>0</v>
      </c>
      <c r="P40" s="20" t="n">
        <v>0</v>
      </c>
      <c r="Q40" s="18" t="n">
        <v>0.45970766</v>
      </c>
      <c r="R40" s="20" t="n">
        <v>0.26365755</v>
      </c>
    </row>
    <row r="41" spans="1:18">
      <c r="A41" s="15" t="s">
        <v>599</v>
      </c>
      <c r="B41" s="17" t="n">
        <v>2854</v>
      </c>
      <c r="C41" s="18">
        <f>(2216.0/B41*100)</f>
        <v/>
      </c>
      <c r="D41" s="19" t="n">
        <v>638</v>
      </c>
      <c r="E41" s="18" t="n">
        <v>74.35042848000001</v>
      </c>
      <c r="F41" s="20" t="n">
        <v>1.88603754</v>
      </c>
      <c r="G41" s="18" t="n">
        <v>25.64957152</v>
      </c>
      <c r="H41" s="20" t="n">
        <v>1.88603754</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(9621.0/B46*100)</f>
        <v/>
      </c>
      <c r="D46" s="19" t="n">
        <v>2452</v>
      </c>
      <c r="E46" s="18" t="n">
        <v>82.24237156</v>
      </c>
      <c r="F46" s="20" t="n">
        <v>0.80432056</v>
      </c>
      <c r="G46" s="18" t="n">
        <v>16.26685836</v>
      </c>
      <c r="H46" s="20" t="n">
        <v>0.79074469</v>
      </c>
      <c r="I46" s="18" t="n">
        <v>0</v>
      </c>
      <c r="J46" s="20" t="n">
        <v>0</v>
      </c>
      <c r="K46" s="18" t="n">
        <v>0.30994976</v>
      </c>
      <c r="L46" s="20" t="n">
        <v>0.16944356</v>
      </c>
      <c r="M46" s="18" t="n">
        <v>0</v>
      </c>
      <c r="N46" s="20" t="n">
        <v>0</v>
      </c>
      <c r="O46" s="18" t="n">
        <v>0</v>
      </c>
      <c r="P46" s="20" t="n">
        <v>0</v>
      </c>
      <c r="Q46" s="18" t="n">
        <v>1.18082032</v>
      </c>
      <c r="R46" s="20" t="n">
        <v>0.29913315</v>
      </c>
    </row>
    <row r="47" spans="1:18">
      <c r="A47" s="15" t="s">
        <v>606</v>
      </c>
      <c r="B47" s="17" t="n">
        <v>2823</v>
      </c>
      <c r="C47" s="18">
        <f>(2184.0/B47*100)</f>
        <v/>
      </c>
      <c r="D47" s="19" t="n">
        <v>639</v>
      </c>
      <c r="E47" s="18" t="n">
        <v>74.28904308</v>
      </c>
      <c r="F47" s="20" t="n">
        <v>1.71814451</v>
      </c>
      <c r="G47" s="18" t="n">
        <v>24.81627562</v>
      </c>
      <c r="H47" s="20" t="n">
        <v>1.67865731</v>
      </c>
      <c r="I47" s="18" t="n">
        <v>0</v>
      </c>
      <c r="J47" s="20" t="n">
        <v>0</v>
      </c>
      <c r="K47" s="18" t="n">
        <v>0</v>
      </c>
      <c r="L47" s="20" t="n">
        <v>0</v>
      </c>
      <c r="M47" s="18" t="n">
        <v>0</v>
      </c>
      <c r="N47" s="20" t="n">
        <v>0</v>
      </c>
      <c r="O47" s="18" t="n">
        <v>0</v>
      </c>
      <c r="P47" s="20" t="n">
        <v>0</v>
      </c>
      <c r="Q47" s="18" t="n">
        <v>0.89468131</v>
      </c>
      <c r="R47" s="20" t="n">
        <v>0.34282764</v>
      </c>
    </row>
    <row r="48" spans="1:18">
      <c r="A48" s="15" t="s">
        <v>607</v>
      </c>
      <c r="B48" s="17" t="n">
        <v>4682</v>
      </c>
      <c r="C48" s="18">
        <f>(3690.0/B48*100)</f>
        <v/>
      </c>
      <c r="D48" s="19" t="n">
        <v>992</v>
      </c>
      <c r="E48" s="18" t="n">
        <v>82.39385493</v>
      </c>
      <c r="F48" s="20" t="n">
        <v>1.43979447</v>
      </c>
      <c r="G48" s="18" t="n">
        <v>15.3440418</v>
      </c>
      <c r="H48" s="20" t="n">
        <v>1.43046676</v>
      </c>
      <c r="I48" s="18" t="n">
        <v>0</v>
      </c>
      <c r="J48" s="20" t="n">
        <v>0</v>
      </c>
      <c r="K48" s="18" t="n">
        <v>0.17301656</v>
      </c>
      <c r="L48" s="20" t="n">
        <v>0.17245634</v>
      </c>
      <c r="M48" s="18" t="n">
        <v>0</v>
      </c>
      <c r="N48" s="20" t="n">
        <v>0</v>
      </c>
      <c r="O48" s="18" t="n">
        <v>0</v>
      </c>
      <c r="P48" s="20" t="n">
        <v>0</v>
      </c>
      <c r="Q48" s="18" t="n">
        <v>2.08908671</v>
      </c>
      <c r="R48" s="20" t="n">
        <v>0.48792148</v>
      </c>
    </row>
    <row r="49" spans="1:18">
      <c r="A49" s="15" t="s">
        <v>608</v>
      </c>
      <c r="B49" s="17" t="n">
        <v>6158</v>
      </c>
      <c r="C49" s="18">
        <f>(4821.0/B49*100)</f>
        <v/>
      </c>
      <c r="D49" s="19" t="n">
        <v>1337</v>
      </c>
      <c r="E49" s="18" t="n">
        <v>89.79651665</v>
      </c>
      <c r="F49" s="20" t="n">
        <v>0.84924009</v>
      </c>
      <c r="G49" s="18" t="n">
        <v>9.87902401</v>
      </c>
      <c r="H49" s="20" t="n">
        <v>0.85444939</v>
      </c>
      <c r="I49" s="18" t="n">
        <v>0</v>
      </c>
      <c r="J49" s="20" t="n">
        <v>0</v>
      </c>
      <c r="K49" s="18" t="n">
        <v>0.17516189</v>
      </c>
      <c r="L49" s="20" t="n">
        <v>0.12256669</v>
      </c>
      <c r="M49" s="18" t="n">
        <v>0</v>
      </c>
      <c r="N49" s="20" t="n">
        <v>0</v>
      </c>
      <c r="O49" s="18" t="n">
        <v>0</v>
      </c>
      <c r="P49" s="20" t="n">
        <v>0</v>
      </c>
      <c r="Q49" s="18" t="n">
        <v>0.14929745</v>
      </c>
      <c r="R49" s="20" t="n">
        <v>0.0726774</v>
      </c>
    </row>
    <row r="50" spans="1:18">
      <c r="A50" s="15" t="s">
        <v>609</v>
      </c>
      <c r="B50" s="17" t="n">
        <v>3494</v>
      </c>
      <c r="C50" s="18">
        <f>(2833.0/B50*100)</f>
        <v/>
      </c>
      <c r="D50" s="19" t="n">
        <v>661</v>
      </c>
      <c r="E50" s="18" t="n">
        <v>89.43279388000001</v>
      </c>
      <c r="F50" s="20" t="n">
        <v>1.22654508</v>
      </c>
      <c r="G50" s="18" t="n">
        <v>9.704892340000001</v>
      </c>
      <c r="H50" s="20" t="n">
        <v>1.22260556</v>
      </c>
      <c r="I50" s="18" t="n">
        <v>0</v>
      </c>
      <c r="J50" s="20" t="n">
        <v>0</v>
      </c>
      <c r="K50" s="18" t="n">
        <v>0.13893487</v>
      </c>
      <c r="L50" s="20" t="n">
        <v>0.13839983</v>
      </c>
      <c r="M50" s="18" t="n">
        <v>0</v>
      </c>
      <c r="N50" s="20" t="n">
        <v>0</v>
      </c>
      <c r="O50" s="18" t="n">
        <v>0</v>
      </c>
      <c r="P50" s="20" t="n">
        <v>0</v>
      </c>
      <c r="Q50" s="18" t="n">
        <v>0.72337891</v>
      </c>
      <c r="R50" s="20" t="n">
        <v>0.27140486</v>
      </c>
    </row>
    <row r="51" spans="1:18">
      <c r="A51" s="15" t="s">
        <v>610</v>
      </c>
      <c r="B51" s="17" t="n">
        <v>3013</v>
      </c>
      <c r="C51" s="18">
        <f>(2362.0/B51*100)</f>
        <v/>
      </c>
      <c r="D51" s="19" t="n">
        <v>651</v>
      </c>
      <c r="E51" s="18" t="n">
        <v>74.32362949</v>
      </c>
      <c r="F51" s="20" t="n">
        <v>2.04198179</v>
      </c>
      <c r="G51" s="18" t="n">
        <v>24.99426499</v>
      </c>
      <c r="H51" s="20" t="n">
        <v>2.10579551</v>
      </c>
      <c r="I51" s="18" t="n">
        <v>0</v>
      </c>
      <c r="J51" s="20" t="n">
        <v>0</v>
      </c>
      <c r="K51" s="18" t="n">
        <v>0</v>
      </c>
      <c r="L51" s="20" t="n">
        <v>0</v>
      </c>
      <c r="M51" s="18" t="n">
        <v>0</v>
      </c>
      <c r="N51" s="20" t="n">
        <v>0</v>
      </c>
      <c r="O51" s="18" t="n">
        <v>0</v>
      </c>
      <c r="P51" s="20" t="n">
        <v>0</v>
      </c>
      <c r="Q51" s="18" t="n">
        <v>0.68210552</v>
      </c>
      <c r="R51" s="20" t="n">
        <v>0.34713095</v>
      </c>
    </row>
    <row r="52" spans="1:18">
      <c r="A52" s="15" t="s">
        <v>611</v>
      </c>
      <c r="B52" s="17" t="n">
        <v>2760</v>
      </c>
      <c r="C52" s="18">
        <f>(2181.0/B52*100)</f>
        <v/>
      </c>
      <c r="D52" s="19" t="n">
        <v>579</v>
      </c>
      <c r="E52" s="18" t="n">
        <v>80.42799726</v>
      </c>
      <c r="F52" s="20" t="n">
        <v>1.85842956</v>
      </c>
      <c r="G52" s="18" t="n">
        <v>18.48204149</v>
      </c>
      <c r="H52" s="20" t="n">
        <v>1.81089168</v>
      </c>
      <c r="I52" s="18" t="n">
        <v>0</v>
      </c>
      <c r="J52" s="20" t="n">
        <v>0</v>
      </c>
      <c r="K52" s="18" t="n">
        <v>0</v>
      </c>
      <c r="L52" s="20" t="n">
        <v>0</v>
      </c>
      <c r="M52" s="18" t="n">
        <v>0</v>
      </c>
      <c r="N52" s="20" t="n">
        <v>0</v>
      </c>
      <c r="O52" s="18" t="n">
        <v>0</v>
      </c>
      <c r="P52" s="20" t="n">
        <v>0</v>
      </c>
      <c r="Q52" s="18" t="n">
        <v>1.08996125</v>
      </c>
      <c r="R52" s="20" t="n">
        <v>0.54935568</v>
      </c>
    </row>
    <row r="53" spans="1:18">
      <c r="A53" s="15" t="s">
        <v>612</v>
      </c>
      <c r="B53" s="17" t="n">
        <v>2474</v>
      </c>
      <c r="C53" s="18">
        <f>(1892.0/B53*100)</f>
        <v/>
      </c>
      <c r="D53" s="19" t="n">
        <v>582</v>
      </c>
      <c r="E53" s="18" t="n">
        <v>76.33760521000001</v>
      </c>
      <c r="F53" s="20" t="n">
        <v>2.1766767</v>
      </c>
      <c r="G53" s="18" t="n">
        <v>13.05215045</v>
      </c>
      <c r="H53" s="20" t="n">
        <v>1.40889261</v>
      </c>
      <c r="I53" s="18" t="n">
        <v>0</v>
      </c>
      <c r="J53" s="20" t="n">
        <v>0</v>
      </c>
      <c r="K53" s="18" t="n">
        <v>7.62841149</v>
      </c>
      <c r="L53" s="20" t="n">
        <v>1.4195956</v>
      </c>
      <c r="M53" s="18" t="n">
        <v>0</v>
      </c>
      <c r="N53" s="20" t="n">
        <v>0</v>
      </c>
      <c r="O53" s="18" t="n">
        <v>0</v>
      </c>
      <c r="P53" s="20" t="n">
        <v>0</v>
      </c>
      <c r="Q53" s="18" t="n">
        <v>2.98183285</v>
      </c>
      <c r="R53" s="20" t="n">
        <v>1.00705887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(2072.0/B55*100)</f>
        <v/>
      </c>
      <c r="D55" s="19" t="n">
        <v>603</v>
      </c>
      <c r="E55" s="18" t="n">
        <v>80.23401139000001</v>
      </c>
      <c r="F55" s="20" t="n">
        <v>1.57187382</v>
      </c>
      <c r="G55" s="18" t="n">
        <v>19.61401058</v>
      </c>
      <c r="H55" s="20" t="n">
        <v>1.54423627</v>
      </c>
      <c r="I55" s="18" t="n">
        <v>0</v>
      </c>
      <c r="J55" s="20" t="n">
        <v>0</v>
      </c>
      <c r="K55" s="18" t="n">
        <v>0.15197803</v>
      </c>
      <c r="L55" s="20" t="n">
        <v>0.17001726</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(2517.0/B61*100)</f>
        <v/>
      </c>
      <c r="D61" s="19" t="n">
        <v>684</v>
      </c>
      <c r="E61" s="18" t="n">
        <v>70.91992481</v>
      </c>
      <c r="F61" s="20" t="n">
        <v>1.8721853</v>
      </c>
      <c r="G61" s="18" t="n">
        <v>28.56827</v>
      </c>
      <c r="H61" s="20" t="n">
        <v>1.8467187</v>
      </c>
      <c r="I61" s="18" t="n">
        <v>0</v>
      </c>
      <c r="J61" s="20" t="n">
        <v>0</v>
      </c>
      <c r="K61" s="18" t="n">
        <v>0.16503113</v>
      </c>
      <c r="L61" s="20" t="n">
        <v>0.17978078</v>
      </c>
      <c r="M61" s="18" t="n">
        <v>0</v>
      </c>
      <c r="N61" s="20" t="n">
        <v>0</v>
      </c>
      <c r="O61" s="18" t="n">
        <v>0</v>
      </c>
      <c r="P61" s="20" t="n">
        <v>0</v>
      </c>
      <c r="Q61" s="18" t="n">
        <v>0.34677406</v>
      </c>
      <c r="R61" s="20" t="n">
        <v>0.24314805</v>
      </c>
    </row>
    <row r="62" spans="1:18">
      <c r="A62" s="15" t="s">
        <v>622</v>
      </c>
      <c r="B62" s="17" t="n">
        <v>2230</v>
      </c>
      <c r="C62" s="18">
        <f>(1750.0/B62*100)</f>
        <v/>
      </c>
      <c r="D62" s="19" t="n">
        <v>480</v>
      </c>
      <c r="E62" s="18" t="n">
        <v>84.00648409</v>
      </c>
      <c r="F62" s="20" t="n">
        <v>1.63155446</v>
      </c>
      <c r="G62" s="18" t="n">
        <v>15.99351591</v>
      </c>
      <c r="H62" s="20" t="n">
        <v>1.63155446</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(2168.0/B67*100)</f>
        <v/>
      </c>
      <c r="D67" s="19" t="n">
        <v>603</v>
      </c>
      <c r="E67" s="18" t="n">
        <v>83.97987363</v>
      </c>
      <c r="F67" s="20" t="n">
        <v>1.33751579</v>
      </c>
      <c r="G67" s="18" t="n">
        <v>13.76312824</v>
      </c>
      <c r="H67" s="20" t="n">
        <v>1.34996181</v>
      </c>
      <c r="I67" s="18" t="n">
        <v>0</v>
      </c>
      <c r="J67" s="20" t="n">
        <v>0</v>
      </c>
      <c r="K67" s="18" t="n">
        <v>0</v>
      </c>
      <c r="L67" s="20" t="n">
        <v>0</v>
      </c>
      <c r="M67" s="18" t="n">
        <v>0</v>
      </c>
      <c r="N67" s="20" t="n">
        <v>0</v>
      </c>
      <c r="O67" s="18" t="n">
        <v>0</v>
      </c>
      <c r="P67" s="20" t="n">
        <v>0</v>
      </c>
      <c r="Q67" s="18" t="n">
        <v>2.25699813</v>
      </c>
      <c r="R67" s="20" t="n">
        <v>0.68436245</v>
      </c>
    </row>
    <row r="68" spans="1:18">
      <c r="A68" s="15" t="s">
        <v>628</v>
      </c>
      <c r="B68" s="17" t="n">
        <v>3460</v>
      </c>
      <c r="C68" s="18">
        <f>(2733.0/B68*100)</f>
        <v/>
      </c>
      <c r="D68" s="19" t="n">
        <v>727</v>
      </c>
      <c r="E68" s="18" t="n">
        <v>87.79659791</v>
      </c>
      <c r="F68" s="20" t="n">
        <v>1.05783026</v>
      </c>
      <c r="G68" s="18" t="n">
        <v>10.51493477</v>
      </c>
      <c r="H68" s="20" t="n">
        <v>1.0149146</v>
      </c>
      <c r="I68" s="18" t="n">
        <v>0</v>
      </c>
      <c r="J68" s="20" t="n">
        <v>0</v>
      </c>
      <c r="K68" s="18" t="n">
        <v>0</v>
      </c>
      <c r="L68" s="20" t="n">
        <v>0</v>
      </c>
      <c r="M68" s="18" t="n">
        <v>0</v>
      </c>
      <c r="N68" s="20" t="n">
        <v>0</v>
      </c>
      <c r="O68" s="18" t="n">
        <v>0</v>
      </c>
      <c r="P68" s="20" t="n">
        <v>0</v>
      </c>
      <c r="Q68" s="18" t="n">
        <v>1.68846733</v>
      </c>
      <c r="R68" s="20" t="n">
        <v>0.43018042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78.91471055</v>
      </c>
      <c r="F70" s="20" t="n">
        <v>1.04565257</v>
      </c>
      <c r="G70" s="18" t="n">
        <v>19.72082176</v>
      </c>
      <c r="H70" s="20" t="n">
        <v>0.9981135</v>
      </c>
      <c r="I70" s="18" t="n">
        <v>0</v>
      </c>
      <c r="J70" s="20" t="n">
        <v>0</v>
      </c>
      <c r="K70" s="18" t="n">
        <v>0.14474538</v>
      </c>
      <c r="L70" s="20" t="n">
        <v>0.10264684</v>
      </c>
      <c r="M70" s="18" t="n">
        <v>0</v>
      </c>
      <c r="N70" s="20" t="n">
        <v>0</v>
      </c>
      <c r="O70" s="18" t="n">
        <v>0</v>
      </c>
      <c r="P70" s="20" t="n">
        <v>0</v>
      </c>
      <c r="Q70" s="18" t="n">
        <v>1.21972231</v>
      </c>
      <c r="R70" s="20" t="n">
        <v>0.30608771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(2446.0/B72*100)</f>
        <v/>
      </c>
      <c r="D72" s="19" t="n">
        <v>661</v>
      </c>
      <c r="E72" s="18" t="n">
        <v>82.86453577</v>
      </c>
      <c r="F72" s="20" t="n">
        <v>1.90552281</v>
      </c>
      <c r="G72" s="18" t="n">
        <v>16.52153295</v>
      </c>
      <c r="H72" s="20" t="n">
        <v>1.9053544</v>
      </c>
      <c r="I72" s="18" t="n">
        <v>0</v>
      </c>
      <c r="J72" s="20" t="n">
        <v>0</v>
      </c>
      <c r="K72" s="18" t="n">
        <v>0</v>
      </c>
      <c r="L72" s="20" t="n">
        <v>0</v>
      </c>
      <c r="M72" s="18" t="n">
        <v>0</v>
      </c>
      <c r="N72" s="20" t="n">
        <v>0</v>
      </c>
      <c r="O72" s="18" t="n">
        <v>0</v>
      </c>
      <c r="P72" s="20" t="n">
        <v>0</v>
      </c>
      <c r="Q72" s="18" t="n">
        <v>0.61393128</v>
      </c>
      <c r="R72" s="20" t="n">
        <v>0.41126718</v>
      </c>
    </row>
    <row r="73" spans="1:18">
      <c r="A73" s="15" t="s">
        <v>633</v>
      </c>
      <c r="B73" s="17" t="n">
        <v>2973</v>
      </c>
      <c r="C73" s="18">
        <f>(2275.0/B73*100)</f>
        <v/>
      </c>
      <c r="D73" s="19" t="n">
        <v>698</v>
      </c>
      <c r="E73" s="18" t="n">
        <v>73.3793333</v>
      </c>
      <c r="F73" s="20" t="n">
        <v>1.7482887</v>
      </c>
      <c r="G73" s="18" t="n">
        <v>26.33045562</v>
      </c>
      <c r="H73" s="20" t="n">
        <v>1.7518554</v>
      </c>
      <c r="I73" s="18" t="n">
        <v>0</v>
      </c>
      <c r="J73" s="20" t="n">
        <v>0</v>
      </c>
      <c r="K73" s="18" t="n">
        <v>0</v>
      </c>
      <c r="L73" s="20" t="n">
        <v>0</v>
      </c>
      <c r="M73" s="18" t="n">
        <v>0</v>
      </c>
      <c r="N73" s="20" t="n">
        <v>0</v>
      </c>
      <c r="O73" s="18" t="n">
        <v>0</v>
      </c>
      <c r="P73" s="20" t="n">
        <v>0</v>
      </c>
      <c r="Q73" s="18" t="n">
        <v>0.29021108</v>
      </c>
      <c r="R73" s="20" t="n">
        <v>0.2038302</v>
      </c>
    </row>
    <row r="74" spans="1:18">
      <c r="A74" s="15" t="s">
        <v>634</v>
      </c>
      <c r="B74" s="17" t="n">
        <v>3819</v>
      </c>
      <c r="C74" s="18">
        <f>(2941.0/B74*100)</f>
        <v/>
      </c>
      <c r="D74" s="19" t="n">
        <v>878</v>
      </c>
      <c r="E74" s="18" t="n">
        <v>66.49040376000001</v>
      </c>
      <c r="F74" s="20" t="n">
        <v>1.84006143</v>
      </c>
      <c r="G74" s="18" t="n">
        <v>33.37846956</v>
      </c>
      <c r="H74" s="20" t="n">
        <v>1.82761126</v>
      </c>
      <c r="I74" s="18" t="n">
        <v>0</v>
      </c>
      <c r="J74" s="20" t="n">
        <v>0</v>
      </c>
      <c r="K74" s="18" t="n">
        <v>0.13112668</v>
      </c>
      <c r="L74" s="20" t="n">
        <v>0.09468809</v>
      </c>
      <c r="M74" s="18" t="n">
        <v>0</v>
      </c>
      <c r="N74" s="20" t="n">
        <v>0</v>
      </c>
      <c r="O74" s="18" t="n">
        <v>0</v>
      </c>
      <c r="P74" s="20" t="n">
        <v>0</v>
      </c>
      <c r="Q74" s="18" t="n">
        <v>0</v>
      </c>
      <c r="R74" s="20" t="n">
        <v>0</v>
      </c>
    </row>
    <row r="75" spans="1:18">
      <c r="A75" s="15" t="s">
        <v>635</v>
      </c>
      <c r="B75" s="17" t="n">
        <v>4652</v>
      </c>
      <c r="C75" s="18">
        <f>(3655.0/B75*100)</f>
        <v/>
      </c>
      <c r="D75" s="19" t="n">
        <v>997</v>
      </c>
      <c r="E75" s="18" t="n">
        <v>82.27410802999999</v>
      </c>
      <c r="F75" s="20" t="n">
        <v>1.5412456</v>
      </c>
      <c r="G75" s="18" t="n">
        <v>17.67692371</v>
      </c>
      <c r="H75" s="20" t="n">
        <v>1.53906417</v>
      </c>
      <c r="I75" s="18" t="n">
        <v>0</v>
      </c>
      <c r="J75" s="20" t="n">
        <v>0</v>
      </c>
      <c r="K75" s="18" t="n">
        <v>0</v>
      </c>
      <c r="L75" s="20" t="n">
        <v>0</v>
      </c>
      <c r="M75" s="18" t="n">
        <v>0</v>
      </c>
      <c r="N75" s="20" t="n">
        <v>0</v>
      </c>
      <c r="O75" s="18" t="n">
        <v>0</v>
      </c>
      <c r="P75" s="20" t="n">
        <v>0</v>
      </c>
      <c r="Q75" s="18" t="n">
        <v>0.04896825</v>
      </c>
      <c r="R75" s="20" t="n">
        <v>0.04109374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(2383.0/B77*100)</f>
        <v/>
      </c>
      <c r="D77" s="19" t="n">
        <v>586</v>
      </c>
      <c r="E77" s="18" t="n">
        <v>69.08161969</v>
      </c>
      <c r="F77" s="20" t="n">
        <v>2.03730235</v>
      </c>
      <c r="G77" s="18" t="n">
        <v>28.0796817</v>
      </c>
      <c r="H77" s="20" t="n">
        <v>1.97503094</v>
      </c>
      <c r="I77" s="18" t="n">
        <v>0</v>
      </c>
      <c r="J77" s="20" t="n">
        <v>0</v>
      </c>
      <c r="K77" s="18" t="n">
        <v>1.31237929</v>
      </c>
      <c r="L77" s="20" t="n">
        <v>0.48022662</v>
      </c>
      <c r="M77" s="18" t="n">
        <v>0</v>
      </c>
      <c r="N77" s="20" t="n">
        <v>0</v>
      </c>
      <c r="O77" s="18" t="n">
        <v>0</v>
      </c>
      <c r="P77" s="20" t="n">
        <v>0</v>
      </c>
      <c r="Q77" s="18" t="n">
        <v>1.52631932</v>
      </c>
      <c r="R77" s="20" t="n">
        <v>0.5069323100000001</v>
      </c>
    </row>
    <row r="78" spans="1:18">
      <c r="A78" s="15" t="s">
        <v>638</v>
      </c>
      <c r="B78" s="17" t="n">
        <v>7115</v>
      </c>
      <c r="C78" s="18">
        <f>(5530.0/B78*100)</f>
        <v/>
      </c>
      <c r="D78" s="19" t="n">
        <v>1585</v>
      </c>
      <c r="E78" s="18" t="n">
        <v>78.63325487</v>
      </c>
      <c r="F78" s="20" t="n">
        <v>1.50404386</v>
      </c>
      <c r="G78" s="18" t="n">
        <v>20.77212794</v>
      </c>
      <c r="H78" s="20" t="n">
        <v>1.42115806</v>
      </c>
      <c r="I78" s="18" t="n">
        <v>0</v>
      </c>
      <c r="J78" s="20" t="n">
        <v>0</v>
      </c>
      <c r="K78" s="18" t="n">
        <v>0.10184452</v>
      </c>
      <c r="L78" s="20" t="n">
        <v>0.08460347999999999</v>
      </c>
      <c r="M78" s="18" t="n">
        <v>0</v>
      </c>
      <c r="N78" s="20" t="n">
        <v>0</v>
      </c>
      <c r="O78" s="18" t="n">
        <v>0</v>
      </c>
      <c r="P78" s="20" t="n">
        <v>0</v>
      </c>
      <c r="Q78" s="18" t="n">
        <v>0.49277266</v>
      </c>
      <c r="R78" s="20" t="n">
        <v>0.21065139</v>
      </c>
    </row>
    <row r="79" spans="1:18">
      <c r="A79" s="15" t="s">
        <v>639</v>
      </c>
      <c r="B79" s="17" t="n">
        <v>3154</v>
      </c>
      <c r="C79" s="18">
        <f>(2482.0/B79*100)</f>
        <v/>
      </c>
      <c r="D79" s="19" t="n">
        <v>672</v>
      </c>
      <c r="E79" s="18" t="n">
        <v>77.94644311</v>
      </c>
      <c r="F79" s="20" t="n">
        <v>1.65681555</v>
      </c>
      <c r="G79" s="18" t="n">
        <v>20.25757684</v>
      </c>
      <c r="H79" s="20" t="n">
        <v>1.40096042</v>
      </c>
      <c r="I79" s="18" t="n">
        <v>0</v>
      </c>
      <c r="J79" s="20" t="n">
        <v>0</v>
      </c>
      <c r="K79" s="18" t="n">
        <v>0.24872392</v>
      </c>
      <c r="L79" s="20" t="n">
        <v>0.25050355</v>
      </c>
      <c r="M79" s="18" t="n">
        <v>0</v>
      </c>
      <c r="N79" s="20" t="n">
        <v>0</v>
      </c>
      <c r="O79" s="18" t="n">
        <v>0</v>
      </c>
      <c r="P79" s="20" t="n">
        <v>0</v>
      </c>
      <c r="Q79" s="18" t="n">
        <v>1.54725614</v>
      </c>
      <c r="R79" s="20" t="n">
        <v>0.63531065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(12412.0/B82*100)</f>
        <v/>
      </c>
      <c r="D82" s="19" t="n">
        <v>3549</v>
      </c>
      <c r="E82" s="18" t="n">
        <v>78.65438315999999</v>
      </c>
      <c r="F82" s="20" t="n">
        <v>0.82695038</v>
      </c>
      <c r="G82" s="18" t="n">
        <v>20.88238098</v>
      </c>
      <c r="H82" s="20" t="n">
        <v>0.84851558</v>
      </c>
      <c r="I82" s="18" t="n">
        <v>0</v>
      </c>
      <c r="J82" s="20" t="n">
        <v>0</v>
      </c>
      <c r="K82" s="18" t="n">
        <v>0</v>
      </c>
      <c r="L82" s="20" t="n">
        <v>0</v>
      </c>
      <c r="M82" s="18" t="n">
        <v>0</v>
      </c>
      <c r="N82" s="20" t="n">
        <v>0</v>
      </c>
      <c r="O82" s="18" t="n">
        <v>0</v>
      </c>
      <c r="P82" s="20" t="n">
        <v>0</v>
      </c>
      <c r="Q82" s="18" t="n">
        <v>0.46323586</v>
      </c>
      <c r="R82" s="20" t="n">
        <v>0.18054074</v>
      </c>
    </row>
    <row r="83" spans="1:18">
      <c r="A83" s="15" t="s">
        <v>643</v>
      </c>
      <c r="B83" s="17" t="n">
        <v>808</v>
      </c>
      <c r="C83" s="18">
        <f>(647.0/B83*100)</f>
        <v/>
      </c>
      <c r="D83" s="19" t="n">
        <v>161</v>
      </c>
      <c r="E83" s="18" t="n">
        <v>71.7211056</v>
      </c>
      <c r="F83" s="20" t="n">
        <v>3.82926036</v>
      </c>
      <c r="G83" s="18" t="n">
        <v>27.66145054</v>
      </c>
      <c r="H83" s="20" t="n">
        <v>3.84300967</v>
      </c>
      <c r="I83" s="18" t="n">
        <v>0</v>
      </c>
      <c r="J83" s="20" t="n">
        <v>0</v>
      </c>
      <c r="K83" s="18" t="n">
        <v>0</v>
      </c>
      <c r="L83" s="20" t="n">
        <v>0</v>
      </c>
      <c r="M83" s="18" t="n">
        <v>0</v>
      </c>
      <c r="N83" s="20" t="n">
        <v>0</v>
      </c>
      <c r="O83" s="18" t="n">
        <v>0</v>
      </c>
      <c r="P83" s="20" t="n">
        <v>0</v>
      </c>
      <c r="Q83" s="18" t="n">
        <v>0.61744386</v>
      </c>
      <c r="R83" s="20" t="n">
        <v>0.58361651</v>
      </c>
    </row>
    <row r="84" spans="1:18">
      <c r="A84" s="23" t="s">
        <v>644</v>
      </c>
      <c r="B84" s="24" t="n">
        <v>938</v>
      </c>
      <c r="C84" s="25">
        <f>(709.0/B84*100)</f>
        <v/>
      </c>
      <c r="D84" s="19" t="n">
        <v>229</v>
      </c>
      <c r="E84" s="18" t="n">
        <v>71.21761315000001</v>
      </c>
      <c r="F84" s="20" t="n">
        <v>2.86842592</v>
      </c>
      <c r="G84" s="18" t="n">
        <v>28.78238685</v>
      </c>
      <c r="H84" s="20" t="n">
        <v>2.86842592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(5574.0/B7*100)</f>
        <v/>
      </c>
      <c r="D7" s="19" t="n">
        <v>1589</v>
      </c>
      <c r="E7" s="18" t="n">
        <v>85.2966042</v>
      </c>
      <c r="F7" s="20" t="n">
        <v>0.9189308899999999</v>
      </c>
      <c r="G7" s="18" t="n">
        <v>7.21391574</v>
      </c>
      <c r="H7" s="20" t="n">
        <v>0.76418688</v>
      </c>
      <c r="I7" s="18" t="n">
        <v>0</v>
      </c>
      <c r="J7" s="20" t="n">
        <v>0</v>
      </c>
      <c r="K7" s="18" t="n">
        <v>0.13376234</v>
      </c>
      <c r="L7" s="20" t="n">
        <v>0.09283905000000001</v>
      </c>
      <c r="M7" s="18" t="n">
        <v>0.06273138</v>
      </c>
      <c r="N7" s="20" t="n">
        <v>0.04505758</v>
      </c>
      <c r="O7" s="18" t="n">
        <v>0</v>
      </c>
      <c r="P7" s="20" t="n">
        <v>0</v>
      </c>
      <c r="Q7" s="18" t="n">
        <v>7.29298633</v>
      </c>
      <c r="R7" s="20" t="n">
        <v>0.70464209</v>
      </c>
    </row>
    <row r="8" spans="1:18">
      <c r="A8" s="15" t="s">
        <v>566</v>
      </c>
      <c r="B8" s="17" t="n">
        <v>3443</v>
      </c>
      <c r="C8" s="18">
        <f>(2722.0/B8*100)</f>
        <v/>
      </c>
      <c r="D8" s="19" t="n">
        <v>721</v>
      </c>
      <c r="E8" s="18" t="n">
        <v>66.2107481</v>
      </c>
      <c r="F8" s="20" t="n">
        <v>1.98412708</v>
      </c>
      <c r="G8" s="18" t="n">
        <v>9.986738470000001</v>
      </c>
      <c r="H8" s="20" t="n">
        <v>0.92912552</v>
      </c>
      <c r="I8" s="18" t="n">
        <v>0</v>
      </c>
      <c r="J8" s="20" t="n">
        <v>0</v>
      </c>
      <c r="K8" s="18" t="n">
        <v>0</v>
      </c>
      <c r="L8" s="20" t="n">
        <v>0</v>
      </c>
      <c r="M8" s="18" t="n">
        <v>0</v>
      </c>
      <c r="N8" s="20" t="n">
        <v>0</v>
      </c>
      <c r="O8" s="18" t="n">
        <v>0</v>
      </c>
      <c r="P8" s="20" t="n">
        <v>0</v>
      </c>
      <c r="Q8" s="18" t="n">
        <v>23.80251343</v>
      </c>
      <c r="R8" s="20" t="n">
        <v>1.82966718</v>
      </c>
    </row>
    <row r="9" spans="1:18">
      <c r="A9" s="15" t="s">
        <v>567</v>
      </c>
      <c r="B9" s="17" t="n">
        <v>4752</v>
      </c>
      <c r="C9" s="18">
        <f>(3750.0/B9*100)</f>
        <v/>
      </c>
      <c r="D9" s="19" t="n">
        <v>1002</v>
      </c>
      <c r="E9" s="18" t="n">
        <v>75.79713726</v>
      </c>
      <c r="F9" s="20" t="n">
        <v>1.50479167</v>
      </c>
      <c r="G9" s="18" t="n">
        <v>5.81194514</v>
      </c>
      <c r="H9" s="20" t="n">
        <v>0.85895788</v>
      </c>
      <c r="I9" s="18" t="n">
        <v>0</v>
      </c>
      <c r="J9" s="20" t="n">
        <v>0</v>
      </c>
      <c r="K9" s="18" t="n">
        <v>0</v>
      </c>
      <c r="L9" s="20" t="n">
        <v>0</v>
      </c>
      <c r="M9" s="18" t="n">
        <v>0.30380989</v>
      </c>
      <c r="N9" s="20" t="n">
        <v>0.1617467</v>
      </c>
      <c r="O9" s="18" t="n">
        <v>0</v>
      </c>
      <c r="P9" s="20" t="n">
        <v>0</v>
      </c>
      <c r="Q9" s="18" t="n">
        <v>18.08710771</v>
      </c>
      <c r="R9" s="20" t="n">
        <v>1.32646594</v>
      </c>
    </row>
    <row r="10" spans="1:18">
      <c r="A10" s="15" t="s">
        <v>568</v>
      </c>
      <c r="B10" s="17" t="n">
        <v>10022</v>
      </c>
      <c r="C10" s="18">
        <f>(7765.0/B10*100)</f>
        <v/>
      </c>
      <c r="D10" s="19" t="n">
        <v>2257</v>
      </c>
      <c r="E10" s="18" t="n">
        <v>82.7522848</v>
      </c>
      <c r="F10" s="20" t="n">
        <v>0.91455888</v>
      </c>
      <c r="G10" s="18" t="n">
        <v>11.72225188</v>
      </c>
      <c r="H10" s="20" t="n">
        <v>0.84214908</v>
      </c>
      <c r="I10" s="18" t="n">
        <v>0</v>
      </c>
      <c r="J10" s="20" t="n">
        <v>0</v>
      </c>
      <c r="K10" s="18" t="n">
        <v>0</v>
      </c>
      <c r="L10" s="20" t="n">
        <v>0</v>
      </c>
      <c r="M10" s="18" t="n">
        <v>0</v>
      </c>
      <c r="N10" s="20" t="n">
        <v>0</v>
      </c>
      <c r="O10" s="18" t="n">
        <v>0</v>
      </c>
      <c r="P10" s="20" t="n">
        <v>0</v>
      </c>
      <c r="Q10" s="18" t="n">
        <v>5.52546331</v>
      </c>
      <c r="R10" s="20" t="n">
        <v>0.6802675500000001</v>
      </c>
    </row>
    <row r="11" spans="1:18">
      <c r="A11" s="15" t="s">
        <v>569</v>
      </c>
      <c r="B11" s="17" t="n">
        <v>3500</v>
      </c>
      <c r="C11" s="18">
        <f>(2706.0/B11*100)</f>
        <v/>
      </c>
      <c r="D11" s="19" t="n">
        <v>794</v>
      </c>
      <c r="E11" s="18" t="n">
        <v>84.79872383999999</v>
      </c>
      <c r="F11" s="20" t="n">
        <v>1.4614322</v>
      </c>
      <c r="G11" s="18" t="n">
        <v>0.70921116</v>
      </c>
      <c r="H11" s="20" t="n">
        <v>0.29311115</v>
      </c>
      <c r="I11" s="18" t="n">
        <v>0</v>
      </c>
      <c r="J11" s="20" t="n">
        <v>0</v>
      </c>
      <c r="K11" s="18" t="n">
        <v>0.16777578</v>
      </c>
      <c r="L11" s="20" t="n">
        <v>0.17419106</v>
      </c>
      <c r="M11" s="18" t="n">
        <v>0.01336164</v>
      </c>
      <c r="N11" s="20" t="n">
        <v>0.01344232</v>
      </c>
      <c r="O11" s="18" t="n">
        <v>0</v>
      </c>
      <c r="P11" s="20" t="n">
        <v>0</v>
      </c>
      <c r="Q11" s="18" t="n">
        <v>14.31092759</v>
      </c>
      <c r="R11" s="20" t="n">
        <v>1.43877913</v>
      </c>
    </row>
    <row r="12" spans="1:18">
      <c r="A12" s="15" t="s">
        <v>570</v>
      </c>
      <c r="B12" s="17" t="n">
        <v>3422</v>
      </c>
      <c r="C12" s="18">
        <f>(2645.0/B12*100)</f>
        <v/>
      </c>
      <c r="D12" s="19" t="n">
        <v>777</v>
      </c>
      <c r="E12" s="18" t="n">
        <v>62.79444888</v>
      </c>
      <c r="F12" s="20" t="n">
        <v>1.88226712</v>
      </c>
      <c r="G12" s="18" t="n">
        <v>13.18957989</v>
      </c>
      <c r="H12" s="20" t="n">
        <v>1.38721801</v>
      </c>
      <c r="I12" s="18" t="n">
        <v>0</v>
      </c>
      <c r="J12" s="20" t="n">
        <v>0</v>
      </c>
      <c r="K12" s="18" t="n">
        <v>0.12037498</v>
      </c>
      <c r="L12" s="20" t="n">
        <v>0.11935067</v>
      </c>
      <c r="M12" s="18" t="n">
        <v>0</v>
      </c>
      <c r="N12" s="20" t="n">
        <v>0</v>
      </c>
      <c r="O12" s="18" t="n">
        <v>0</v>
      </c>
      <c r="P12" s="20" t="n">
        <v>0</v>
      </c>
      <c r="Q12" s="18" t="n">
        <v>23.89559626</v>
      </c>
      <c r="R12" s="20" t="n">
        <v>1.74581604</v>
      </c>
    </row>
    <row r="13" spans="1:18">
      <c r="A13" s="15" t="s">
        <v>571</v>
      </c>
      <c r="B13" s="17" t="n">
        <v>3602</v>
      </c>
      <c r="C13" s="18">
        <f>(2839.0/B13*100)</f>
        <v/>
      </c>
      <c r="D13" s="19" t="n">
        <v>763</v>
      </c>
      <c r="E13" s="18" t="n">
        <v>72.80317257999999</v>
      </c>
      <c r="F13" s="20" t="n">
        <v>2.05524939</v>
      </c>
      <c r="G13" s="18" t="n">
        <v>16.67982054</v>
      </c>
      <c r="H13" s="20" t="n">
        <v>1.55898026</v>
      </c>
      <c r="I13" s="18" t="n">
        <v>0</v>
      </c>
      <c r="J13" s="20" t="n">
        <v>0</v>
      </c>
      <c r="K13" s="18" t="n">
        <v>0.35440597</v>
      </c>
      <c r="L13" s="20" t="n">
        <v>0.24881486</v>
      </c>
      <c r="M13" s="18" t="n">
        <v>0</v>
      </c>
      <c r="N13" s="20" t="n">
        <v>0</v>
      </c>
      <c r="O13" s="18" t="n">
        <v>0</v>
      </c>
      <c r="P13" s="20" t="n">
        <v>0</v>
      </c>
      <c r="Q13" s="18" t="n">
        <v>10.16260091</v>
      </c>
      <c r="R13" s="20" t="n">
        <v>1.40207355</v>
      </c>
    </row>
    <row r="14" spans="1:18">
      <c r="A14" s="15" t="s">
        <v>572</v>
      </c>
      <c r="B14" s="17" t="n">
        <v>2788</v>
      </c>
      <c r="C14" s="18">
        <f>(2177.0/B14*100)</f>
        <v/>
      </c>
      <c r="D14" s="19" t="n">
        <v>611</v>
      </c>
      <c r="E14" s="18" t="n">
        <v>76.13040749</v>
      </c>
      <c r="F14" s="20" t="n">
        <v>1.72750998</v>
      </c>
      <c r="G14" s="18" t="n">
        <v>13.85599616</v>
      </c>
      <c r="H14" s="20" t="n">
        <v>1.42650356</v>
      </c>
      <c r="I14" s="18" t="n">
        <v>0</v>
      </c>
      <c r="J14" s="20" t="n">
        <v>0</v>
      </c>
      <c r="K14" s="18" t="n">
        <v>0.12702029</v>
      </c>
      <c r="L14" s="20" t="n">
        <v>0.11939279</v>
      </c>
      <c r="M14" s="18" t="n">
        <v>0</v>
      </c>
      <c r="N14" s="20" t="n">
        <v>0</v>
      </c>
      <c r="O14" s="18" t="n">
        <v>0</v>
      </c>
      <c r="P14" s="20" t="n">
        <v>0</v>
      </c>
      <c r="Q14" s="18" t="n">
        <v>9.886576059999999</v>
      </c>
      <c r="R14" s="20" t="n">
        <v>1.0303559</v>
      </c>
    </row>
    <row r="15" spans="1:18">
      <c r="A15" s="15" t="s">
        <v>573</v>
      </c>
      <c r="B15" s="17" t="n">
        <v>2863</v>
      </c>
      <c r="C15" s="18">
        <f>(2221.0/B15*100)</f>
        <v/>
      </c>
      <c r="D15" s="19" t="n">
        <v>642</v>
      </c>
      <c r="E15" s="18" t="n">
        <v>77.80858922</v>
      </c>
      <c r="F15" s="20" t="n">
        <v>1.69712813</v>
      </c>
      <c r="G15" s="18" t="n">
        <v>11.6809167</v>
      </c>
      <c r="H15" s="20" t="n">
        <v>1.14772748</v>
      </c>
      <c r="I15" s="18" t="n">
        <v>0</v>
      </c>
      <c r="J15" s="20" t="n">
        <v>0</v>
      </c>
      <c r="K15" s="18" t="n">
        <v>0</v>
      </c>
      <c r="L15" s="20" t="n">
        <v>0</v>
      </c>
      <c r="M15" s="18" t="n">
        <v>0</v>
      </c>
      <c r="N15" s="20" t="n">
        <v>0</v>
      </c>
      <c r="O15" s="18" t="n">
        <v>0</v>
      </c>
      <c r="P15" s="20" t="n">
        <v>0</v>
      </c>
      <c r="Q15" s="18" t="n">
        <v>10.51049409</v>
      </c>
      <c r="R15" s="20" t="n">
        <v>1.3969465</v>
      </c>
    </row>
    <row r="16" spans="1:18">
      <c r="A16" s="15" t="s">
        <v>574</v>
      </c>
      <c r="B16" s="17" t="n">
        <v>3111</v>
      </c>
      <c r="C16" s="18">
        <f>(2415.0/B16*100)</f>
        <v/>
      </c>
      <c r="D16" s="19" t="n">
        <v>696</v>
      </c>
      <c r="E16" s="18" t="n">
        <v>73.14180825</v>
      </c>
      <c r="F16" s="20" t="n">
        <v>1.50251545</v>
      </c>
      <c r="G16" s="18" t="n">
        <v>3.75998682</v>
      </c>
      <c r="H16" s="20" t="n">
        <v>0.77723334</v>
      </c>
      <c r="I16" s="18" t="n">
        <v>0</v>
      </c>
      <c r="J16" s="20" t="n">
        <v>0</v>
      </c>
      <c r="K16" s="18" t="n">
        <v>0</v>
      </c>
      <c r="L16" s="20" t="n">
        <v>0</v>
      </c>
      <c r="M16" s="18" t="n">
        <v>0.12635642</v>
      </c>
      <c r="N16" s="20" t="n">
        <v>0.13016025</v>
      </c>
      <c r="O16" s="18" t="n">
        <v>0</v>
      </c>
      <c r="P16" s="20" t="n">
        <v>0</v>
      </c>
      <c r="Q16" s="18" t="n">
        <v>22.97184851</v>
      </c>
      <c r="R16" s="20" t="n">
        <v>1.52580702</v>
      </c>
    </row>
    <row r="17" spans="1:18">
      <c r="A17" s="15" t="s">
        <v>575</v>
      </c>
      <c r="B17" s="17" t="n">
        <v>3197</v>
      </c>
      <c r="C17" s="18">
        <f>(2523.0/B17*100)</f>
        <v/>
      </c>
      <c r="D17" s="19" t="n">
        <v>674</v>
      </c>
      <c r="E17" s="18" t="n">
        <v>65.64741875999999</v>
      </c>
      <c r="F17" s="20" t="n">
        <v>1.98999275</v>
      </c>
      <c r="G17" s="18" t="n">
        <v>12.78048445</v>
      </c>
      <c r="H17" s="20" t="n">
        <v>1.37220887</v>
      </c>
      <c r="I17" s="18" t="n">
        <v>0</v>
      </c>
      <c r="J17" s="20" t="n">
        <v>0</v>
      </c>
      <c r="K17" s="18" t="n">
        <v>0.15459232</v>
      </c>
      <c r="L17" s="20" t="n">
        <v>0.15311268</v>
      </c>
      <c r="M17" s="18" t="n">
        <v>0</v>
      </c>
      <c r="N17" s="20" t="n">
        <v>0</v>
      </c>
      <c r="O17" s="18" t="n">
        <v>0</v>
      </c>
      <c r="P17" s="20" t="n">
        <v>0</v>
      </c>
      <c r="Q17" s="18" t="n">
        <v>21.41750447</v>
      </c>
      <c r="R17" s="20" t="n">
        <v>1.74094529</v>
      </c>
    </row>
    <row r="18" spans="1:18">
      <c r="A18" s="15" t="s">
        <v>576</v>
      </c>
      <c r="B18" s="17" t="n">
        <v>2706</v>
      </c>
      <c r="C18" s="18">
        <f>(2096.0/B18*100)</f>
        <v/>
      </c>
      <c r="D18" s="19" t="n">
        <v>610</v>
      </c>
      <c r="E18" s="18" t="n">
        <v>72.47983112999999</v>
      </c>
      <c r="F18" s="20" t="n">
        <v>2.36041105</v>
      </c>
      <c r="G18" s="18" t="n">
        <v>7.84542617</v>
      </c>
      <c r="H18" s="20" t="n">
        <v>1.22838965</v>
      </c>
      <c r="I18" s="18" t="n">
        <v>0</v>
      </c>
      <c r="J18" s="20" t="n">
        <v>0</v>
      </c>
      <c r="K18" s="18" t="n">
        <v>0.32000133</v>
      </c>
      <c r="L18" s="20" t="n">
        <v>0.22287154</v>
      </c>
      <c r="M18" s="18" t="n">
        <v>0</v>
      </c>
      <c r="N18" s="20" t="n">
        <v>0</v>
      </c>
      <c r="O18" s="18" t="n">
        <v>0</v>
      </c>
      <c r="P18" s="20" t="n">
        <v>0</v>
      </c>
      <c r="Q18" s="18" t="n">
        <v>19.35474137</v>
      </c>
      <c r="R18" s="20" t="n">
        <v>2.13431437</v>
      </c>
    </row>
    <row r="19" spans="1:18">
      <c r="A19" s="15" t="s">
        <v>577</v>
      </c>
      <c r="B19" s="17" t="n">
        <v>2850</v>
      </c>
      <c r="C19" s="18">
        <f>(2168.0/B19*100)</f>
        <v/>
      </c>
      <c r="D19" s="19" t="n">
        <v>682</v>
      </c>
      <c r="E19" s="18" t="n">
        <v>64.93657700999999</v>
      </c>
      <c r="F19" s="20" t="n">
        <v>2.00680766</v>
      </c>
      <c r="G19" s="18" t="n">
        <v>11.01494169</v>
      </c>
      <c r="H19" s="20" t="n">
        <v>1.02815113</v>
      </c>
      <c r="I19" s="18" t="n">
        <v>0</v>
      </c>
      <c r="J19" s="20" t="n">
        <v>0</v>
      </c>
      <c r="K19" s="18" t="n">
        <v>0</v>
      </c>
      <c r="L19" s="20" t="n">
        <v>0</v>
      </c>
      <c r="M19" s="18" t="n">
        <v>0.13680401</v>
      </c>
      <c r="N19" s="20" t="n">
        <v>0.13691149</v>
      </c>
      <c r="O19" s="18" t="n">
        <v>0</v>
      </c>
      <c r="P19" s="20" t="n">
        <v>0</v>
      </c>
      <c r="Q19" s="18" t="n">
        <v>23.9116773</v>
      </c>
      <c r="R19" s="20" t="n">
        <v>1.85267057</v>
      </c>
    </row>
    <row r="20" spans="1:18">
      <c r="A20" s="15" t="s">
        <v>578</v>
      </c>
      <c r="B20" s="17" t="n">
        <v>1741</v>
      </c>
      <c r="C20" s="18">
        <f>(1342.0/B20*100)</f>
        <v/>
      </c>
      <c r="D20" s="19" t="n">
        <v>399</v>
      </c>
      <c r="E20" s="18" t="n">
        <v>82.50693421</v>
      </c>
      <c r="F20" s="20" t="n">
        <v>1.75325277</v>
      </c>
      <c r="G20" s="18" t="n">
        <v>2.51352619</v>
      </c>
      <c r="H20" s="20" t="n">
        <v>0.63817813</v>
      </c>
      <c r="I20" s="18" t="n">
        <v>0</v>
      </c>
      <c r="J20" s="20" t="n">
        <v>0</v>
      </c>
      <c r="K20" s="18" t="n">
        <v>0.26345049</v>
      </c>
      <c r="L20" s="20" t="n">
        <v>0.26200181</v>
      </c>
      <c r="M20" s="18" t="n">
        <v>0.3872975</v>
      </c>
      <c r="N20" s="20" t="n">
        <v>0.37368605</v>
      </c>
      <c r="O20" s="18" t="n">
        <v>0</v>
      </c>
      <c r="P20" s="20" t="n">
        <v>0</v>
      </c>
      <c r="Q20" s="18" t="n">
        <v>14.32879161</v>
      </c>
      <c r="R20" s="20" t="n">
        <v>1.53073782</v>
      </c>
    </row>
    <row r="21" spans="1:18">
      <c r="A21" s="15" t="s">
        <v>579</v>
      </c>
      <c r="B21" s="17" t="n">
        <v>2833</v>
      </c>
      <c r="C21" s="18">
        <f>(2198.0/B21*100)</f>
        <v/>
      </c>
      <c r="D21" s="19" t="n">
        <v>635</v>
      </c>
      <c r="E21" s="18" t="n">
        <v>86.92699763</v>
      </c>
      <c r="F21" s="20" t="n">
        <v>1.38604428</v>
      </c>
      <c r="G21" s="18" t="n">
        <v>9.94212549</v>
      </c>
      <c r="H21" s="20" t="n">
        <v>1.08041</v>
      </c>
      <c r="I21" s="18" t="n">
        <v>0</v>
      </c>
      <c r="J21" s="20" t="n">
        <v>0</v>
      </c>
      <c r="K21" s="18" t="n">
        <v>0</v>
      </c>
      <c r="L21" s="20" t="n">
        <v>0</v>
      </c>
      <c r="M21" s="18" t="n">
        <v>0</v>
      </c>
      <c r="N21" s="20" t="n">
        <v>0</v>
      </c>
      <c r="O21" s="18" t="n">
        <v>0</v>
      </c>
      <c r="P21" s="20" t="n">
        <v>0</v>
      </c>
      <c r="Q21" s="18" t="n">
        <v>3.13087688</v>
      </c>
      <c r="R21" s="20" t="n">
        <v>0.7022183</v>
      </c>
    </row>
    <row r="22" spans="1:18">
      <c r="A22" s="15" t="s">
        <v>580</v>
      </c>
      <c r="B22" s="17" t="n">
        <v>3667</v>
      </c>
      <c r="C22" s="18">
        <f>(2861.0/B22*100)</f>
        <v/>
      </c>
      <c r="D22" s="19" t="n">
        <v>806</v>
      </c>
      <c r="E22" s="18" t="n">
        <v>72.38201891999999</v>
      </c>
      <c r="F22" s="20" t="n">
        <v>1.73104157</v>
      </c>
      <c r="G22" s="18" t="n">
        <v>9.54348952</v>
      </c>
      <c r="H22" s="20" t="n">
        <v>1.10622087</v>
      </c>
      <c r="I22" s="18" t="n">
        <v>0</v>
      </c>
      <c r="J22" s="20" t="n">
        <v>0</v>
      </c>
      <c r="K22" s="18" t="n">
        <v>0.25008992</v>
      </c>
      <c r="L22" s="20" t="n">
        <v>0.18153432</v>
      </c>
      <c r="M22" s="18" t="n">
        <v>0.11157951</v>
      </c>
      <c r="N22" s="20" t="n">
        <v>0.11126983</v>
      </c>
      <c r="O22" s="18" t="n">
        <v>0</v>
      </c>
      <c r="P22" s="20" t="n">
        <v>0</v>
      </c>
      <c r="Q22" s="18" t="n">
        <v>17.71282213</v>
      </c>
      <c r="R22" s="20" t="n">
        <v>1.45018646</v>
      </c>
    </row>
    <row r="23" spans="1:18">
      <c r="A23" s="15" t="s">
        <v>581</v>
      </c>
      <c r="B23" s="17" t="n">
        <v>5792</v>
      </c>
      <c r="C23" s="18">
        <f>(4557.0/B23*100)</f>
        <v/>
      </c>
      <c r="D23" s="19" t="n">
        <v>1235</v>
      </c>
      <c r="E23" s="18" t="n">
        <v>74.5836941</v>
      </c>
      <c r="F23" s="20" t="n">
        <v>1.77441789</v>
      </c>
      <c r="G23" s="18" t="n">
        <v>2.60532108</v>
      </c>
      <c r="H23" s="20" t="n">
        <v>0.59114511</v>
      </c>
      <c r="I23" s="18" t="n">
        <v>0</v>
      </c>
      <c r="J23" s="20" t="n">
        <v>0</v>
      </c>
      <c r="K23" s="18" t="n">
        <v>0.59801584</v>
      </c>
      <c r="L23" s="20" t="n">
        <v>0.37674557</v>
      </c>
      <c r="M23" s="18" t="n">
        <v>0</v>
      </c>
      <c r="N23" s="20" t="n">
        <v>0</v>
      </c>
      <c r="O23" s="18" t="n">
        <v>0</v>
      </c>
      <c r="P23" s="20" t="n">
        <v>0</v>
      </c>
      <c r="Q23" s="18" t="n">
        <v>22.21296897</v>
      </c>
      <c r="R23" s="20" t="n">
        <v>1.76021781</v>
      </c>
    </row>
    <row r="24" spans="1:18">
      <c r="A24" s="15" t="s">
        <v>582</v>
      </c>
      <c r="B24" s="17" t="n">
        <v>3309</v>
      </c>
      <c r="C24" s="18">
        <f>(2567.0/B24*100)</f>
        <v/>
      </c>
      <c r="D24" s="19" t="n">
        <v>742</v>
      </c>
      <c r="E24" s="18" t="n">
        <v>53.94321749</v>
      </c>
      <c r="F24" s="20" t="n">
        <v>2.23392631</v>
      </c>
      <c r="G24" s="18" t="n">
        <v>31.40049491</v>
      </c>
      <c r="H24" s="20" t="n">
        <v>1.99511585</v>
      </c>
      <c r="I24" s="18" t="n">
        <v>0</v>
      </c>
      <c r="J24" s="20" t="n">
        <v>0</v>
      </c>
      <c r="K24" s="18" t="n">
        <v>0</v>
      </c>
      <c r="L24" s="20" t="n">
        <v>0</v>
      </c>
      <c r="M24" s="18" t="n">
        <v>0</v>
      </c>
      <c r="N24" s="20" t="n">
        <v>0</v>
      </c>
      <c r="O24" s="18" t="n">
        <v>0</v>
      </c>
      <c r="P24" s="20" t="n">
        <v>0</v>
      </c>
      <c r="Q24" s="18" t="n">
        <v>14.6562876</v>
      </c>
      <c r="R24" s="20" t="n">
        <v>1.3334994</v>
      </c>
    </row>
    <row r="25" spans="1:18">
      <c r="A25" s="15" t="s">
        <v>583</v>
      </c>
      <c r="B25" s="17" t="n">
        <v>2669</v>
      </c>
      <c r="C25" s="18">
        <f>(2096.0/B25*100)</f>
        <v/>
      </c>
      <c r="D25" s="19" t="n">
        <v>573</v>
      </c>
      <c r="E25" s="18" t="n">
        <v>56.84397549</v>
      </c>
      <c r="F25" s="20" t="n">
        <v>2.18357066</v>
      </c>
      <c r="G25" s="18" t="n">
        <v>27.75065228</v>
      </c>
      <c r="H25" s="20" t="n">
        <v>2.18566474</v>
      </c>
      <c r="I25" s="18" t="n">
        <v>0</v>
      </c>
      <c r="J25" s="20" t="n">
        <v>0</v>
      </c>
      <c r="K25" s="18" t="n">
        <v>0.16069487</v>
      </c>
      <c r="L25" s="20" t="n">
        <v>0.22390008</v>
      </c>
      <c r="M25" s="18" t="n">
        <v>0</v>
      </c>
      <c r="N25" s="20" t="n">
        <v>0</v>
      </c>
      <c r="O25" s="18" t="n">
        <v>0</v>
      </c>
      <c r="P25" s="20" t="n">
        <v>0</v>
      </c>
      <c r="Q25" s="18" t="n">
        <v>15.24467737</v>
      </c>
      <c r="R25" s="20" t="n">
        <v>1.61707884</v>
      </c>
    </row>
    <row r="26" spans="1:18">
      <c r="A26" s="15" t="s">
        <v>584</v>
      </c>
      <c r="B26" s="17" t="n">
        <v>2419</v>
      </c>
      <c r="C26" s="18">
        <f>(1922.0/B26*100)</f>
        <v/>
      </c>
      <c r="D26" s="19" t="n">
        <v>497</v>
      </c>
      <c r="E26" s="18" t="n">
        <v>78.79778339000001</v>
      </c>
      <c r="F26" s="20" t="n">
        <v>2.06536889</v>
      </c>
      <c r="G26" s="18" t="n">
        <v>14.20370525</v>
      </c>
      <c r="H26" s="20" t="n">
        <v>1.7853695</v>
      </c>
      <c r="I26" s="18" t="n">
        <v>0</v>
      </c>
      <c r="J26" s="20" t="n">
        <v>0</v>
      </c>
      <c r="K26" s="18" t="n">
        <v>0</v>
      </c>
      <c r="L26" s="20" t="n">
        <v>0</v>
      </c>
      <c r="M26" s="18" t="n">
        <v>0</v>
      </c>
      <c r="N26" s="20" t="n">
        <v>0</v>
      </c>
      <c r="O26" s="18" t="n">
        <v>0</v>
      </c>
      <c r="P26" s="20" t="n">
        <v>0</v>
      </c>
      <c r="Q26" s="18" t="n">
        <v>6.99851136</v>
      </c>
      <c r="R26" s="20" t="n">
        <v>1.09442364</v>
      </c>
    </row>
    <row r="27" spans="1:18">
      <c r="A27" s="15" t="s">
        <v>585</v>
      </c>
      <c r="B27" s="17" t="n">
        <v>2683</v>
      </c>
      <c r="C27" s="18">
        <f>(2092.0/B27*100)</f>
        <v/>
      </c>
      <c r="D27" s="19" t="n">
        <v>591</v>
      </c>
      <c r="E27" s="18" t="n">
        <v>70.82218895</v>
      </c>
      <c r="F27" s="20" t="n">
        <v>1.91888906</v>
      </c>
      <c r="G27" s="18" t="n">
        <v>9.556656889999999</v>
      </c>
      <c r="H27" s="20" t="n">
        <v>1.26517937</v>
      </c>
      <c r="I27" s="18" t="n">
        <v>0</v>
      </c>
      <c r="J27" s="20" t="n">
        <v>0</v>
      </c>
      <c r="K27" s="18" t="n">
        <v>0.35312238</v>
      </c>
      <c r="L27" s="20" t="n">
        <v>0.24444435</v>
      </c>
      <c r="M27" s="18" t="n">
        <v>0</v>
      </c>
      <c r="N27" s="20" t="n">
        <v>0</v>
      </c>
      <c r="O27" s="18" t="n">
        <v>0</v>
      </c>
      <c r="P27" s="20" t="n">
        <v>0</v>
      </c>
      <c r="Q27" s="18" t="n">
        <v>19.26803178</v>
      </c>
      <c r="R27" s="20" t="n">
        <v>1.9139374</v>
      </c>
    </row>
    <row r="28" spans="1:18">
      <c r="A28" s="15" t="s">
        <v>586</v>
      </c>
      <c r="B28" s="17" t="n">
        <v>3803</v>
      </c>
      <c r="C28" s="18">
        <f>(2964.0/B28*100)</f>
        <v/>
      </c>
      <c r="D28" s="19" t="n">
        <v>839</v>
      </c>
      <c r="E28" s="18" t="n">
        <v>94.39019772</v>
      </c>
      <c r="F28" s="20" t="n">
        <v>0.94965418</v>
      </c>
      <c r="G28" s="18" t="n">
        <v>1.42719541</v>
      </c>
      <c r="H28" s="20" t="n">
        <v>0.45137994</v>
      </c>
      <c r="I28" s="18" t="n">
        <v>0</v>
      </c>
      <c r="J28" s="20" t="n">
        <v>0</v>
      </c>
      <c r="K28" s="18" t="n">
        <v>0.55445883</v>
      </c>
      <c r="L28" s="20" t="n">
        <v>0.44496904</v>
      </c>
      <c r="M28" s="18" t="n">
        <v>0</v>
      </c>
      <c r="N28" s="20" t="n">
        <v>0</v>
      </c>
      <c r="O28" s="18" t="n">
        <v>0</v>
      </c>
      <c r="P28" s="20" t="n">
        <v>0</v>
      </c>
      <c r="Q28" s="18" t="n">
        <v>3.62814804</v>
      </c>
      <c r="R28" s="20" t="n">
        <v>0.64191719</v>
      </c>
    </row>
    <row r="29" spans="1:18">
      <c r="A29" s="15" t="s">
        <v>587</v>
      </c>
      <c r="B29" s="17" t="n">
        <v>2700</v>
      </c>
      <c r="C29" s="18">
        <f>(2100.0/B29*100)</f>
        <v/>
      </c>
      <c r="D29" s="19" t="n">
        <v>600</v>
      </c>
      <c r="E29" s="18" t="n">
        <v>88.06453587</v>
      </c>
      <c r="F29" s="20" t="n">
        <v>1.38319883</v>
      </c>
      <c r="G29" s="18" t="n">
        <v>7.27565852</v>
      </c>
      <c r="H29" s="20" t="n">
        <v>1.07232885</v>
      </c>
      <c r="I29" s="18" t="n">
        <v>0</v>
      </c>
      <c r="J29" s="20" t="n">
        <v>0</v>
      </c>
      <c r="K29" s="18" t="n">
        <v>0</v>
      </c>
      <c r="L29" s="20" t="n">
        <v>0</v>
      </c>
      <c r="M29" s="18" t="n">
        <v>0</v>
      </c>
      <c r="N29" s="20" t="n">
        <v>0</v>
      </c>
      <c r="O29" s="18" t="n">
        <v>0</v>
      </c>
      <c r="P29" s="20" t="n">
        <v>0</v>
      </c>
      <c r="Q29" s="18" t="n">
        <v>4.65980561</v>
      </c>
      <c r="R29" s="20" t="n">
        <v>0.90607936</v>
      </c>
    </row>
    <row r="30" spans="1:18">
      <c r="A30" s="15" t="s">
        <v>588</v>
      </c>
      <c r="B30" s="17" t="n">
        <v>2257</v>
      </c>
      <c r="C30" s="18">
        <f>(1727.0/B30*100)</f>
        <v/>
      </c>
      <c r="D30" s="19" t="n">
        <v>530</v>
      </c>
      <c r="E30" s="18" t="n">
        <v>80.44797738</v>
      </c>
      <c r="F30" s="20" t="n">
        <v>1.736202</v>
      </c>
      <c r="G30" s="18" t="n">
        <v>10.80079076</v>
      </c>
      <c r="H30" s="20" t="n">
        <v>1.3038848</v>
      </c>
      <c r="I30" s="18" t="n">
        <v>0</v>
      </c>
      <c r="J30" s="20" t="n">
        <v>0</v>
      </c>
      <c r="K30" s="18" t="n">
        <v>0</v>
      </c>
      <c r="L30" s="20" t="n">
        <v>0</v>
      </c>
      <c r="M30" s="18" t="n">
        <v>0.20477093</v>
      </c>
      <c r="N30" s="20" t="n">
        <v>0.20862725</v>
      </c>
      <c r="O30" s="18" t="n">
        <v>0</v>
      </c>
      <c r="P30" s="20" t="n">
        <v>0</v>
      </c>
      <c r="Q30" s="18" t="n">
        <v>8.54646093</v>
      </c>
      <c r="R30" s="20" t="n">
        <v>1.17104756</v>
      </c>
    </row>
    <row r="31" spans="1:18">
      <c r="A31" s="15" t="s">
        <v>589</v>
      </c>
      <c r="B31" s="17" t="n">
        <v>2706</v>
      </c>
      <c r="C31" s="18">
        <f>(2090.0/B31*100)</f>
        <v/>
      </c>
      <c r="D31" s="19" t="n">
        <v>616</v>
      </c>
      <c r="E31" s="18" t="n">
        <v>77.71937130000001</v>
      </c>
      <c r="F31" s="20" t="n">
        <v>1.8723412</v>
      </c>
      <c r="G31" s="18" t="n">
        <v>7.99286319</v>
      </c>
      <c r="H31" s="20" t="n">
        <v>1.16481526</v>
      </c>
      <c r="I31" s="18" t="n">
        <v>0</v>
      </c>
      <c r="J31" s="20" t="n">
        <v>0</v>
      </c>
      <c r="K31" s="18" t="n">
        <v>0</v>
      </c>
      <c r="L31" s="20" t="n">
        <v>0</v>
      </c>
      <c r="M31" s="18" t="n">
        <v>0</v>
      </c>
      <c r="N31" s="20" t="n">
        <v>0</v>
      </c>
      <c r="O31" s="18" t="n">
        <v>0</v>
      </c>
      <c r="P31" s="20" t="n">
        <v>0</v>
      </c>
      <c r="Q31" s="18" t="n">
        <v>14.28776552</v>
      </c>
      <c r="R31" s="20" t="n">
        <v>1.73735531</v>
      </c>
    </row>
    <row r="32" spans="1:18">
      <c r="A32" s="15" t="s">
        <v>590</v>
      </c>
      <c r="B32" s="17" t="n">
        <v>2209</v>
      </c>
      <c r="C32" s="18">
        <f>(1746.0/B32*100)</f>
        <v/>
      </c>
      <c r="D32" s="19" t="n">
        <v>463</v>
      </c>
      <c r="E32" s="18" t="n">
        <v>77.22017448</v>
      </c>
      <c r="F32" s="20" t="n">
        <v>2.0577574</v>
      </c>
      <c r="G32" s="18" t="n">
        <v>5.96511222</v>
      </c>
      <c r="H32" s="20" t="n">
        <v>1.17944103</v>
      </c>
      <c r="I32" s="18" t="n">
        <v>0</v>
      </c>
      <c r="J32" s="20" t="n">
        <v>0</v>
      </c>
      <c r="K32" s="18" t="n">
        <v>0</v>
      </c>
      <c r="L32" s="20" t="n">
        <v>0</v>
      </c>
      <c r="M32" s="18" t="n">
        <v>0</v>
      </c>
      <c r="N32" s="20" t="n">
        <v>0</v>
      </c>
      <c r="O32" s="18" t="n">
        <v>0</v>
      </c>
      <c r="P32" s="20" t="n">
        <v>0</v>
      </c>
      <c r="Q32" s="18" t="n">
        <v>16.8147133</v>
      </c>
      <c r="R32" s="20" t="n">
        <v>1.86692295</v>
      </c>
    </row>
    <row r="33" spans="1:18">
      <c r="A33" s="15" t="s">
        <v>591</v>
      </c>
      <c r="B33" s="17" t="n">
        <v>3651</v>
      </c>
      <c r="C33" s="18">
        <f>(2882.0/B33*100)</f>
        <v/>
      </c>
      <c r="D33" s="19" t="n">
        <v>769</v>
      </c>
      <c r="E33" s="18" t="n">
        <v>80.53432296</v>
      </c>
      <c r="F33" s="20" t="n">
        <v>1.91812341</v>
      </c>
      <c r="G33" s="18" t="n">
        <v>4.15037686</v>
      </c>
      <c r="H33" s="20" t="n">
        <v>1.05352389</v>
      </c>
      <c r="I33" s="18" t="n">
        <v>0</v>
      </c>
      <c r="J33" s="20" t="n">
        <v>0</v>
      </c>
      <c r="K33" s="18" t="n">
        <v>0</v>
      </c>
      <c r="L33" s="20" t="n">
        <v>0</v>
      </c>
      <c r="M33" s="18" t="n">
        <v>0.19220613</v>
      </c>
      <c r="N33" s="20" t="n">
        <v>0.1434398</v>
      </c>
      <c r="O33" s="18" t="n">
        <v>0</v>
      </c>
      <c r="P33" s="20" t="n">
        <v>0</v>
      </c>
      <c r="Q33" s="18" t="n">
        <v>15.12309404</v>
      </c>
      <c r="R33" s="20" t="n">
        <v>1.69266178</v>
      </c>
    </row>
    <row r="34" spans="1:18">
      <c r="A34" s="15" t="s">
        <v>592</v>
      </c>
      <c r="B34" s="17" t="n">
        <v>3035</v>
      </c>
      <c r="C34" s="18">
        <f>(2351.0/B34*100)</f>
        <v/>
      </c>
      <c r="D34" s="19" t="n">
        <v>684</v>
      </c>
      <c r="E34" s="18" t="n">
        <v>66.71622997</v>
      </c>
      <c r="F34" s="20" t="n">
        <v>1.813123</v>
      </c>
      <c r="G34" s="18" t="n">
        <v>11.39887921</v>
      </c>
      <c r="H34" s="20" t="n">
        <v>1.28978668</v>
      </c>
      <c r="I34" s="18" t="n">
        <v>0</v>
      </c>
      <c r="J34" s="20" t="n">
        <v>0</v>
      </c>
      <c r="K34" s="18" t="n">
        <v>0.26125364</v>
      </c>
      <c r="L34" s="20" t="n">
        <v>0.18554115</v>
      </c>
      <c r="M34" s="18" t="n">
        <v>0.5719467</v>
      </c>
      <c r="N34" s="20" t="n">
        <v>0.37327858</v>
      </c>
      <c r="O34" s="18" t="n">
        <v>0</v>
      </c>
      <c r="P34" s="20" t="n">
        <v>0</v>
      </c>
      <c r="Q34" s="18" t="n">
        <v>21.05169048</v>
      </c>
      <c r="R34" s="20" t="n">
        <v>1.50383468</v>
      </c>
    </row>
    <row r="35" spans="1:18">
      <c r="A35" s="15" t="s">
        <v>593</v>
      </c>
      <c r="B35" s="17" t="n">
        <v>2901</v>
      </c>
      <c r="C35" s="18">
        <f>(2266.0/B35*100)</f>
        <v/>
      </c>
      <c r="D35" s="19" t="n">
        <v>635</v>
      </c>
      <c r="E35" s="18" t="n">
        <v>73.03813504999999</v>
      </c>
      <c r="F35" s="20" t="n">
        <v>2.38038793</v>
      </c>
      <c r="G35" s="18" t="n">
        <v>10.17447718</v>
      </c>
      <c r="H35" s="20" t="n">
        <v>1.61879653</v>
      </c>
      <c r="I35" s="18" t="n">
        <v>0</v>
      </c>
      <c r="J35" s="20" t="n">
        <v>0</v>
      </c>
      <c r="K35" s="18" t="n">
        <v>0</v>
      </c>
      <c r="L35" s="20" t="n">
        <v>0</v>
      </c>
      <c r="M35" s="18" t="n">
        <v>0</v>
      </c>
      <c r="N35" s="20" t="n">
        <v>0</v>
      </c>
      <c r="O35" s="18" t="n">
        <v>0</v>
      </c>
      <c r="P35" s="20" t="n">
        <v>0</v>
      </c>
      <c r="Q35" s="18" t="n">
        <v>16.78738777</v>
      </c>
      <c r="R35" s="20" t="n">
        <v>2.03836345</v>
      </c>
    </row>
    <row r="36" spans="1:18">
      <c r="A36" s="15" t="s">
        <v>594</v>
      </c>
      <c r="B36" s="17" t="n">
        <v>3404</v>
      </c>
      <c r="C36" s="18">
        <f>(2653.0/B36*100)</f>
        <v/>
      </c>
      <c r="D36" s="19" t="n">
        <v>751</v>
      </c>
      <c r="E36" s="18" t="n">
        <v>85.17351961999999</v>
      </c>
      <c r="F36" s="20" t="n">
        <v>1.39009586</v>
      </c>
      <c r="G36" s="18" t="n">
        <v>3.86250422</v>
      </c>
      <c r="H36" s="20" t="n">
        <v>0.71368349</v>
      </c>
      <c r="I36" s="18" t="n">
        <v>0</v>
      </c>
      <c r="J36" s="20" t="n">
        <v>0</v>
      </c>
      <c r="K36" s="18" t="n">
        <v>0</v>
      </c>
      <c r="L36" s="20" t="n">
        <v>0</v>
      </c>
      <c r="M36" s="18" t="n">
        <v>0</v>
      </c>
      <c r="N36" s="20" t="n">
        <v>0</v>
      </c>
      <c r="O36" s="18" t="n">
        <v>0</v>
      </c>
      <c r="P36" s="20" t="n">
        <v>0</v>
      </c>
      <c r="Q36" s="18" t="n">
        <v>10.96397616</v>
      </c>
      <c r="R36" s="20" t="n">
        <v>1.24378251</v>
      </c>
    </row>
    <row r="37" spans="1:18">
      <c r="A37" s="15" t="s">
        <v>595</v>
      </c>
      <c r="B37" s="17" t="n">
        <v>2731</v>
      </c>
      <c r="C37" s="18">
        <f>(2140.0/B37*100)</f>
        <v/>
      </c>
      <c r="D37" s="19" t="n">
        <v>591</v>
      </c>
      <c r="E37" s="18" t="n">
        <v>70.48914668</v>
      </c>
      <c r="F37" s="20" t="n">
        <v>1.95751097</v>
      </c>
      <c r="G37" s="18" t="n">
        <v>12.38881758</v>
      </c>
      <c r="H37" s="20" t="n">
        <v>1.56293039</v>
      </c>
      <c r="I37" s="18" t="n">
        <v>0</v>
      </c>
      <c r="J37" s="20" t="n">
        <v>0</v>
      </c>
      <c r="K37" s="18" t="n">
        <v>0</v>
      </c>
      <c r="L37" s="20" t="n">
        <v>0</v>
      </c>
      <c r="M37" s="18" t="n">
        <v>0</v>
      </c>
      <c r="N37" s="20" t="n">
        <v>0</v>
      </c>
      <c r="O37" s="18" t="n">
        <v>0</v>
      </c>
      <c r="P37" s="20" t="n">
        <v>0</v>
      </c>
      <c r="Q37" s="18" t="n">
        <v>17.12203574</v>
      </c>
      <c r="R37" s="20" t="n">
        <v>1.6237807</v>
      </c>
    </row>
    <row r="38" spans="1:18">
      <c r="A38" s="15" t="s">
        <v>596</v>
      </c>
      <c r="B38" s="17" t="n">
        <v>2807</v>
      </c>
      <c r="C38" s="18">
        <f>(2226.0/B38*100)</f>
        <v/>
      </c>
      <c r="D38" s="19" t="n">
        <v>581</v>
      </c>
      <c r="E38" s="18" t="n">
        <v>64.46053746</v>
      </c>
      <c r="F38" s="20" t="n">
        <v>2.60176096</v>
      </c>
      <c r="G38" s="18" t="n">
        <v>14.10129597</v>
      </c>
      <c r="H38" s="20" t="n">
        <v>2.07186774</v>
      </c>
      <c r="I38" s="18" t="n">
        <v>0</v>
      </c>
      <c r="J38" s="20" t="n">
        <v>0</v>
      </c>
      <c r="K38" s="18" t="n">
        <v>0</v>
      </c>
      <c r="L38" s="20" t="n">
        <v>0</v>
      </c>
      <c r="M38" s="18" t="n">
        <v>2.17421665</v>
      </c>
      <c r="N38" s="20" t="n">
        <v>0.75213361</v>
      </c>
      <c r="O38" s="18" t="n">
        <v>0</v>
      </c>
      <c r="P38" s="20" t="n">
        <v>0</v>
      </c>
      <c r="Q38" s="18" t="n">
        <v>19.26394992</v>
      </c>
      <c r="R38" s="20" t="n">
        <v>1.96536785</v>
      </c>
    </row>
    <row r="39" spans="1:18">
      <c r="A39" s="15" t="s">
        <v>597</v>
      </c>
      <c r="B39" s="17" t="n">
        <v>2938</v>
      </c>
      <c r="C39" s="18">
        <f>(2268.0/B39*100)</f>
        <v/>
      </c>
      <c r="D39" s="19" t="n">
        <v>670</v>
      </c>
      <c r="E39" s="18" t="n">
        <v>83.40586768</v>
      </c>
      <c r="F39" s="20" t="n">
        <v>1.22328253</v>
      </c>
      <c r="G39" s="18" t="n">
        <v>5.35298706</v>
      </c>
      <c r="H39" s="20" t="n">
        <v>0.94254369</v>
      </c>
      <c r="I39" s="18" t="n">
        <v>0</v>
      </c>
      <c r="J39" s="20" t="n">
        <v>0</v>
      </c>
      <c r="K39" s="18" t="n">
        <v>0.11654498</v>
      </c>
      <c r="L39" s="20" t="n">
        <v>0.16264593</v>
      </c>
      <c r="M39" s="18" t="n">
        <v>0.30120035</v>
      </c>
      <c r="N39" s="20" t="n">
        <v>0.17488889</v>
      </c>
      <c r="O39" s="18" t="n">
        <v>0</v>
      </c>
      <c r="P39" s="20" t="n">
        <v>0</v>
      </c>
      <c r="Q39" s="18" t="n">
        <v>10.82339992</v>
      </c>
      <c r="R39" s="20" t="n">
        <v>1.3554486</v>
      </c>
    </row>
    <row r="40" spans="1:18">
      <c r="A40" s="15" t="s">
        <v>598</v>
      </c>
      <c r="B40" s="17" t="n">
        <v>6922</v>
      </c>
      <c r="C40" s="18">
        <f>(5375.0/B40*100)</f>
        <v/>
      </c>
      <c r="D40" s="19" t="n">
        <v>1547</v>
      </c>
      <c r="E40" s="18" t="n">
        <v>77.41878757000001</v>
      </c>
      <c r="F40" s="20" t="n">
        <v>1.6229124</v>
      </c>
      <c r="G40" s="18" t="n">
        <v>12.61662969</v>
      </c>
      <c r="H40" s="20" t="n">
        <v>1.21060106</v>
      </c>
      <c r="I40" s="18" t="n">
        <v>0</v>
      </c>
      <c r="J40" s="20" t="n">
        <v>0</v>
      </c>
      <c r="K40" s="18" t="n">
        <v>0.01322615</v>
      </c>
      <c r="L40" s="20" t="n">
        <v>0.01343985</v>
      </c>
      <c r="M40" s="18" t="n">
        <v>0</v>
      </c>
      <c r="N40" s="20" t="n">
        <v>0</v>
      </c>
      <c r="O40" s="18" t="n">
        <v>0</v>
      </c>
      <c r="P40" s="20" t="n">
        <v>0</v>
      </c>
      <c r="Q40" s="18" t="n">
        <v>9.95135659</v>
      </c>
      <c r="R40" s="20" t="n">
        <v>1.24934596</v>
      </c>
    </row>
    <row r="41" spans="1:18">
      <c r="A41" s="15" t="s">
        <v>599</v>
      </c>
      <c r="B41" s="17" t="n">
        <v>2854</v>
      </c>
      <c r="C41" s="18">
        <f>(2217.0/B41*100)</f>
        <v/>
      </c>
      <c r="D41" s="19" t="n">
        <v>637</v>
      </c>
      <c r="E41" s="18" t="n">
        <v>94.77563286</v>
      </c>
      <c r="F41" s="20" t="n">
        <v>0.86440373</v>
      </c>
      <c r="G41" s="18" t="n">
        <v>3.10940652</v>
      </c>
      <c r="H41" s="20" t="n">
        <v>0.6438390899999999</v>
      </c>
      <c r="I41" s="18" t="n">
        <v>0</v>
      </c>
      <c r="J41" s="20" t="n">
        <v>0</v>
      </c>
      <c r="K41" s="18" t="n">
        <v>0</v>
      </c>
      <c r="L41" s="20" t="n">
        <v>0</v>
      </c>
      <c r="M41" s="18" t="n">
        <v>0</v>
      </c>
      <c r="N41" s="20" t="n">
        <v>0</v>
      </c>
      <c r="O41" s="18" t="n">
        <v>0</v>
      </c>
      <c r="P41" s="20" t="n">
        <v>0</v>
      </c>
      <c r="Q41" s="18" t="n">
        <v>2.11496062</v>
      </c>
      <c r="R41" s="20" t="n">
        <v>0.56361288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(9707.0/B46*100)</f>
        <v/>
      </c>
      <c r="D46" s="19" t="n">
        <v>2366</v>
      </c>
      <c r="E46" s="18" t="n">
        <v>77.23256426</v>
      </c>
      <c r="F46" s="20" t="n">
        <v>1.28019788</v>
      </c>
      <c r="G46" s="18" t="n">
        <v>1.43312242</v>
      </c>
      <c r="H46" s="20" t="n">
        <v>0.34603897</v>
      </c>
      <c r="I46" s="18" t="n">
        <v>0</v>
      </c>
      <c r="J46" s="20" t="n">
        <v>0</v>
      </c>
      <c r="K46" s="18" t="n">
        <v>0.37550318</v>
      </c>
      <c r="L46" s="20" t="n">
        <v>0.17480421</v>
      </c>
      <c r="M46" s="18" t="n">
        <v>0.04901841</v>
      </c>
      <c r="N46" s="20" t="n">
        <v>0.03243146</v>
      </c>
      <c r="O46" s="18" t="n">
        <v>0</v>
      </c>
      <c r="P46" s="20" t="n">
        <v>0</v>
      </c>
      <c r="Q46" s="18" t="n">
        <v>20.90979172</v>
      </c>
      <c r="R46" s="20" t="n">
        <v>1.24705888</v>
      </c>
    </row>
    <row r="47" spans="1:18">
      <c r="A47" s="15" t="s">
        <v>606</v>
      </c>
      <c r="B47" s="17" t="n">
        <v>2823</v>
      </c>
      <c r="C47" s="18">
        <f>(2187.0/B47*100)</f>
        <v/>
      </c>
      <c r="D47" s="19" t="n">
        <v>636</v>
      </c>
      <c r="E47" s="18" t="n">
        <v>61.05750702</v>
      </c>
      <c r="F47" s="20" t="n">
        <v>2.29357124</v>
      </c>
      <c r="G47" s="18" t="n">
        <v>6.20328521</v>
      </c>
      <c r="H47" s="20" t="n">
        <v>1.19728433</v>
      </c>
      <c r="I47" s="18" t="n">
        <v>0</v>
      </c>
      <c r="J47" s="20" t="n">
        <v>0</v>
      </c>
      <c r="K47" s="18" t="n">
        <v>0.14814093</v>
      </c>
      <c r="L47" s="20" t="n">
        <v>0.14831057</v>
      </c>
      <c r="M47" s="18" t="n">
        <v>0</v>
      </c>
      <c r="N47" s="20" t="n">
        <v>0</v>
      </c>
      <c r="O47" s="18" t="n">
        <v>0</v>
      </c>
      <c r="P47" s="20" t="n">
        <v>0</v>
      </c>
      <c r="Q47" s="18" t="n">
        <v>32.59106684</v>
      </c>
      <c r="R47" s="20" t="n">
        <v>2.12926651</v>
      </c>
    </row>
    <row r="48" spans="1:18">
      <c r="A48" s="15" t="s">
        <v>607</v>
      </c>
      <c r="B48" s="17" t="n">
        <v>4682</v>
      </c>
      <c r="C48" s="18">
        <f>(3690.0/B48*100)</f>
        <v/>
      </c>
      <c r="D48" s="19" t="n">
        <v>992</v>
      </c>
      <c r="E48" s="18" t="n">
        <v>49.5710985</v>
      </c>
      <c r="F48" s="20" t="n">
        <v>2.29968614</v>
      </c>
      <c r="G48" s="18" t="n">
        <v>41.12901113</v>
      </c>
      <c r="H48" s="20" t="n">
        <v>2.20645482</v>
      </c>
      <c r="I48" s="18" t="n">
        <v>0</v>
      </c>
      <c r="J48" s="20" t="n">
        <v>0</v>
      </c>
      <c r="K48" s="18" t="n">
        <v>0.17301656</v>
      </c>
      <c r="L48" s="20" t="n">
        <v>0.17245634</v>
      </c>
      <c r="M48" s="18" t="n">
        <v>0.009078080000000001</v>
      </c>
      <c r="N48" s="20" t="n">
        <v>0.008977290000000001</v>
      </c>
      <c r="O48" s="18" t="n">
        <v>0</v>
      </c>
      <c r="P48" s="20" t="n">
        <v>0</v>
      </c>
      <c r="Q48" s="18" t="n">
        <v>9.117795729999999</v>
      </c>
      <c r="R48" s="20" t="n">
        <v>1.27785079</v>
      </c>
    </row>
    <row r="49" spans="1:18">
      <c r="A49" s="15" t="s">
        <v>608</v>
      </c>
      <c r="B49" s="17" t="n">
        <v>6158</v>
      </c>
      <c r="C49" s="18">
        <f>(4824.0/B49*100)</f>
        <v/>
      </c>
      <c r="D49" s="19" t="n">
        <v>1334</v>
      </c>
      <c r="E49" s="18" t="n">
        <v>93.6245071</v>
      </c>
      <c r="F49" s="20" t="n">
        <v>0.78838239</v>
      </c>
      <c r="G49" s="18" t="n">
        <v>1.25686426</v>
      </c>
      <c r="H49" s="20" t="n">
        <v>0.37411762</v>
      </c>
      <c r="I49" s="18" t="n">
        <v>0</v>
      </c>
      <c r="J49" s="20" t="n">
        <v>0</v>
      </c>
      <c r="K49" s="18" t="n">
        <v>0.31615952</v>
      </c>
      <c r="L49" s="20" t="n">
        <v>0.18640113</v>
      </c>
      <c r="M49" s="18" t="n">
        <v>0.19990852</v>
      </c>
      <c r="N49" s="20" t="n">
        <v>0.12273301</v>
      </c>
      <c r="O49" s="18" t="n">
        <v>0</v>
      </c>
      <c r="P49" s="20" t="n">
        <v>0</v>
      </c>
      <c r="Q49" s="18" t="n">
        <v>4.6025606</v>
      </c>
      <c r="R49" s="20" t="n">
        <v>0.66883615</v>
      </c>
    </row>
    <row r="50" spans="1:18">
      <c r="A50" s="15" t="s">
        <v>609</v>
      </c>
      <c r="B50" s="17" t="n">
        <v>3494</v>
      </c>
      <c r="C50" s="18">
        <f>(2838.0/B50*100)</f>
        <v/>
      </c>
      <c r="D50" s="19" t="n">
        <v>656</v>
      </c>
      <c r="E50" s="18" t="n">
        <v>89.1132198</v>
      </c>
      <c r="F50" s="20" t="n">
        <v>1.24086749</v>
      </c>
      <c r="G50" s="18" t="n">
        <v>4.97614631</v>
      </c>
      <c r="H50" s="20" t="n">
        <v>0.9257117</v>
      </c>
      <c r="I50" s="18" t="n">
        <v>0</v>
      </c>
      <c r="J50" s="20" t="n">
        <v>0</v>
      </c>
      <c r="K50" s="18" t="n">
        <v>0.14002349</v>
      </c>
      <c r="L50" s="20" t="n">
        <v>0.1394812</v>
      </c>
      <c r="M50" s="18" t="n">
        <v>0</v>
      </c>
      <c r="N50" s="20" t="n">
        <v>0</v>
      </c>
      <c r="O50" s="18" t="n">
        <v>0</v>
      </c>
      <c r="P50" s="20" t="n">
        <v>0</v>
      </c>
      <c r="Q50" s="18" t="n">
        <v>5.7706104</v>
      </c>
      <c r="R50" s="20" t="n">
        <v>0.93446379</v>
      </c>
    </row>
    <row r="51" spans="1:18">
      <c r="A51" s="15" t="s">
        <v>610</v>
      </c>
      <c r="B51" s="17" t="n">
        <v>3013</v>
      </c>
      <c r="C51" s="18">
        <f>(2362.0/B51*100)</f>
        <v/>
      </c>
      <c r="D51" s="19" t="n">
        <v>651</v>
      </c>
      <c r="E51" s="18" t="n">
        <v>57.03901341</v>
      </c>
      <c r="F51" s="20" t="n">
        <v>2.13557901</v>
      </c>
      <c r="G51" s="18" t="n">
        <v>9.904391820000001</v>
      </c>
      <c r="H51" s="20" t="n">
        <v>1.08501884</v>
      </c>
      <c r="I51" s="18" t="n">
        <v>0</v>
      </c>
      <c r="J51" s="20" t="n">
        <v>0</v>
      </c>
      <c r="K51" s="18" t="n">
        <v>0</v>
      </c>
      <c r="L51" s="20" t="n">
        <v>0</v>
      </c>
      <c r="M51" s="18" t="n">
        <v>0</v>
      </c>
      <c r="N51" s="20" t="n">
        <v>0</v>
      </c>
      <c r="O51" s="18" t="n">
        <v>0</v>
      </c>
      <c r="P51" s="20" t="n">
        <v>0</v>
      </c>
      <c r="Q51" s="18" t="n">
        <v>33.05659477</v>
      </c>
      <c r="R51" s="20" t="n">
        <v>1.91092498</v>
      </c>
    </row>
    <row r="52" spans="1:18">
      <c r="A52" s="15" t="s">
        <v>611</v>
      </c>
      <c r="B52" s="17" t="n">
        <v>2760</v>
      </c>
      <c r="C52" s="18">
        <f>(2184.0/B52*100)</f>
        <v/>
      </c>
      <c r="D52" s="19" t="n">
        <v>576</v>
      </c>
      <c r="E52" s="18" t="n">
        <v>75.55532266</v>
      </c>
      <c r="F52" s="20" t="n">
        <v>1.74401592</v>
      </c>
      <c r="G52" s="18" t="n">
        <v>6.89511326</v>
      </c>
      <c r="H52" s="20" t="n">
        <v>1.24191862</v>
      </c>
      <c r="I52" s="18" t="n">
        <v>0</v>
      </c>
      <c r="J52" s="20" t="n">
        <v>0</v>
      </c>
      <c r="K52" s="18" t="n">
        <v>0</v>
      </c>
      <c r="L52" s="20" t="n">
        <v>0</v>
      </c>
      <c r="M52" s="18" t="n">
        <v>0</v>
      </c>
      <c r="N52" s="20" t="n">
        <v>0</v>
      </c>
      <c r="O52" s="18" t="n">
        <v>0</v>
      </c>
      <c r="P52" s="20" t="n">
        <v>0</v>
      </c>
      <c r="Q52" s="18" t="n">
        <v>17.54956408</v>
      </c>
      <c r="R52" s="20" t="n">
        <v>1.59484986</v>
      </c>
    </row>
    <row r="53" spans="1:18">
      <c r="A53" s="15" t="s">
        <v>612</v>
      </c>
      <c r="B53" s="17" t="n">
        <v>2474</v>
      </c>
      <c r="C53" s="18">
        <f>(1891.0/B53*100)</f>
        <v/>
      </c>
      <c r="D53" s="19" t="n">
        <v>583</v>
      </c>
      <c r="E53" s="18" t="n">
        <v>74.12874094</v>
      </c>
      <c r="F53" s="20" t="n">
        <v>2.05619916</v>
      </c>
      <c r="G53" s="18" t="n">
        <v>0.7529785</v>
      </c>
      <c r="H53" s="20" t="n">
        <v>0.34427867</v>
      </c>
      <c r="I53" s="18" t="n">
        <v>0</v>
      </c>
      <c r="J53" s="20" t="n">
        <v>0</v>
      </c>
      <c r="K53" s="18" t="n">
        <v>9.92466819</v>
      </c>
      <c r="L53" s="20" t="n">
        <v>1.29281189</v>
      </c>
      <c r="M53" s="18" t="n">
        <v>0.5754382300000001</v>
      </c>
      <c r="N53" s="20" t="n">
        <v>0.62304954</v>
      </c>
      <c r="O53" s="18" t="n">
        <v>0</v>
      </c>
      <c r="P53" s="20" t="n">
        <v>0</v>
      </c>
      <c r="Q53" s="18" t="n">
        <v>14.61817415</v>
      </c>
      <c r="R53" s="20" t="n">
        <v>1.57054478</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(2072.0/B55*100)</f>
        <v/>
      </c>
      <c r="D55" s="19" t="n">
        <v>603</v>
      </c>
      <c r="E55" s="18" t="n">
        <v>54.48706361</v>
      </c>
      <c r="F55" s="20" t="n">
        <v>2.47032794</v>
      </c>
      <c r="G55" s="18" t="n">
        <v>38.18884114</v>
      </c>
      <c r="H55" s="20" t="n">
        <v>2.39714578</v>
      </c>
      <c r="I55" s="18" t="n">
        <v>0</v>
      </c>
      <c r="J55" s="20" t="n">
        <v>0</v>
      </c>
      <c r="K55" s="18" t="n">
        <v>0.15197803</v>
      </c>
      <c r="L55" s="20" t="n">
        <v>0.17001726</v>
      </c>
      <c r="M55" s="18" t="n">
        <v>0.20611253</v>
      </c>
      <c r="N55" s="20" t="n">
        <v>0.22838344</v>
      </c>
      <c r="O55" s="18" t="n">
        <v>0</v>
      </c>
      <c r="P55" s="20" t="n">
        <v>0</v>
      </c>
      <c r="Q55" s="18" t="n">
        <v>6.96600469</v>
      </c>
      <c r="R55" s="20" t="n">
        <v>1.21085295</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(2517.0/B61*100)</f>
        <v/>
      </c>
      <c r="D61" s="19" t="n">
        <v>684</v>
      </c>
      <c r="E61" s="18" t="n">
        <v>76.10967051</v>
      </c>
      <c r="F61" s="20" t="n">
        <v>1.63435776</v>
      </c>
      <c r="G61" s="18" t="n">
        <v>7.7484604</v>
      </c>
      <c r="H61" s="20" t="n">
        <v>1.18690222</v>
      </c>
      <c r="I61" s="18" t="n">
        <v>0</v>
      </c>
      <c r="J61" s="20" t="n">
        <v>0</v>
      </c>
      <c r="K61" s="18" t="n">
        <v>0.16503113</v>
      </c>
      <c r="L61" s="20" t="n">
        <v>0.17978078</v>
      </c>
      <c r="M61" s="18" t="n">
        <v>0</v>
      </c>
      <c r="N61" s="20" t="n">
        <v>0</v>
      </c>
      <c r="O61" s="18" t="n">
        <v>0</v>
      </c>
      <c r="P61" s="20" t="n">
        <v>0</v>
      </c>
      <c r="Q61" s="18" t="n">
        <v>15.97683797</v>
      </c>
      <c r="R61" s="20" t="n">
        <v>1.54244089</v>
      </c>
    </row>
    <row r="62" spans="1:18">
      <c r="A62" s="15" t="s">
        <v>622</v>
      </c>
      <c r="B62" s="17" t="n">
        <v>2230</v>
      </c>
      <c r="C62" s="18">
        <f>(1750.0/B62*100)</f>
        <v/>
      </c>
      <c r="D62" s="19" t="n">
        <v>480</v>
      </c>
      <c r="E62" s="18" t="n">
        <v>55.65906147</v>
      </c>
      <c r="F62" s="20" t="n">
        <v>2.24964479</v>
      </c>
      <c r="G62" s="18" t="n">
        <v>41.23213537</v>
      </c>
      <c r="H62" s="20" t="n">
        <v>2.12714836</v>
      </c>
      <c r="I62" s="18" t="n">
        <v>0</v>
      </c>
      <c r="J62" s="20" t="n">
        <v>0</v>
      </c>
      <c r="K62" s="18" t="n">
        <v>0</v>
      </c>
      <c r="L62" s="20" t="n">
        <v>0</v>
      </c>
      <c r="M62" s="18" t="n">
        <v>0.20931025</v>
      </c>
      <c r="N62" s="20" t="n">
        <v>0.20966415</v>
      </c>
      <c r="O62" s="18" t="n">
        <v>0</v>
      </c>
      <c r="P62" s="20" t="n">
        <v>0</v>
      </c>
      <c r="Q62" s="18" t="n">
        <v>2.89949291</v>
      </c>
      <c r="R62" s="20" t="n">
        <v>0.84661981</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(2170.0/B67*100)</f>
        <v/>
      </c>
      <c r="D67" s="19" t="n">
        <v>601</v>
      </c>
      <c r="E67" s="18" t="n">
        <v>54.61089968</v>
      </c>
      <c r="F67" s="20" t="n">
        <v>1.92673873</v>
      </c>
      <c r="G67" s="18" t="n">
        <v>2.44628112</v>
      </c>
      <c r="H67" s="20" t="n">
        <v>0.6067933599999999</v>
      </c>
      <c r="I67" s="18" t="n">
        <v>0</v>
      </c>
      <c r="J67" s="20" t="n">
        <v>0</v>
      </c>
      <c r="K67" s="18" t="n">
        <v>0.15228857</v>
      </c>
      <c r="L67" s="20" t="n">
        <v>0.15257085</v>
      </c>
      <c r="M67" s="18" t="n">
        <v>0.15732168</v>
      </c>
      <c r="N67" s="20" t="n">
        <v>0.15628006</v>
      </c>
      <c r="O67" s="18" t="n">
        <v>0</v>
      </c>
      <c r="P67" s="20" t="n">
        <v>0</v>
      </c>
      <c r="Q67" s="18" t="n">
        <v>42.63320895</v>
      </c>
      <c r="R67" s="20" t="n">
        <v>1.95401456</v>
      </c>
    </row>
    <row r="68" spans="1:18">
      <c r="A68" s="15" t="s">
        <v>628</v>
      </c>
      <c r="B68" s="17" t="n">
        <v>3460</v>
      </c>
      <c r="C68" s="18">
        <f>(2753.0/B68*100)</f>
        <v/>
      </c>
      <c r="D68" s="19" t="n">
        <v>707</v>
      </c>
      <c r="E68" s="18" t="n">
        <v>89.88632453</v>
      </c>
      <c r="F68" s="20" t="n">
        <v>1.17207957</v>
      </c>
      <c r="G68" s="18" t="n">
        <v>0.28806076</v>
      </c>
      <c r="H68" s="20" t="n">
        <v>0.24810603</v>
      </c>
      <c r="I68" s="18" t="n">
        <v>0</v>
      </c>
      <c r="J68" s="20" t="n">
        <v>0</v>
      </c>
      <c r="K68" s="18" t="n">
        <v>0</v>
      </c>
      <c r="L68" s="20" t="n">
        <v>0</v>
      </c>
      <c r="M68" s="18" t="n">
        <v>0.37288142</v>
      </c>
      <c r="N68" s="20" t="n">
        <v>0.21836287</v>
      </c>
      <c r="O68" s="18" t="n">
        <v>0</v>
      </c>
      <c r="P68" s="20" t="n">
        <v>0</v>
      </c>
      <c r="Q68" s="18" t="n">
        <v>9.452733289999999</v>
      </c>
      <c r="R68" s="20" t="n">
        <v>1.18125433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(4719.0/B70*100)</f>
        <v/>
      </c>
      <c r="D70" s="19" t="n">
        <v>1315</v>
      </c>
      <c r="E70" s="18" t="n">
        <v>77.91774153999999</v>
      </c>
      <c r="F70" s="20" t="n">
        <v>0.9953062</v>
      </c>
      <c r="G70" s="18" t="n">
        <v>11.89945658</v>
      </c>
      <c r="H70" s="20" t="n">
        <v>0.79312976</v>
      </c>
      <c r="I70" s="18" t="n">
        <v>0</v>
      </c>
      <c r="J70" s="20" t="n">
        <v>0</v>
      </c>
      <c r="K70" s="18" t="n">
        <v>0.2179515</v>
      </c>
      <c r="L70" s="20" t="n">
        <v>0.12624272</v>
      </c>
      <c r="M70" s="18" t="n">
        <v>0.07458019</v>
      </c>
      <c r="N70" s="20" t="n">
        <v>0.07438702</v>
      </c>
      <c r="O70" s="18" t="n">
        <v>0</v>
      </c>
      <c r="P70" s="20" t="n">
        <v>0</v>
      </c>
      <c r="Q70" s="18" t="n">
        <v>9.890270190000001</v>
      </c>
      <c r="R70" s="20" t="n">
        <v>0.75770249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(2454.0/B72*100)</f>
        <v/>
      </c>
      <c r="D72" s="19" t="n">
        <v>653</v>
      </c>
      <c r="E72" s="18" t="n">
        <v>70.55571455</v>
      </c>
      <c r="F72" s="20" t="n">
        <v>2.29025281</v>
      </c>
      <c r="G72" s="18" t="n">
        <v>9.760141369999999</v>
      </c>
      <c r="H72" s="20" t="n">
        <v>2.03175357</v>
      </c>
      <c r="I72" s="18" t="n">
        <v>0</v>
      </c>
      <c r="J72" s="20" t="n">
        <v>0</v>
      </c>
      <c r="K72" s="18" t="n">
        <v>0.07847941</v>
      </c>
      <c r="L72" s="20" t="n">
        <v>0.07918124</v>
      </c>
      <c r="M72" s="18" t="n">
        <v>0.14209249</v>
      </c>
      <c r="N72" s="20" t="n">
        <v>0.13979928</v>
      </c>
      <c r="O72" s="18" t="n">
        <v>0</v>
      </c>
      <c r="P72" s="20" t="n">
        <v>0</v>
      </c>
      <c r="Q72" s="18" t="n">
        <v>19.46357218</v>
      </c>
      <c r="R72" s="20" t="n">
        <v>2.60873515</v>
      </c>
    </row>
    <row r="73" spans="1:18">
      <c r="A73" s="15" t="s">
        <v>633</v>
      </c>
      <c r="B73" s="17" t="n">
        <v>2973</v>
      </c>
      <c r="C73" s="18">
        <f>(2275.0/B73*100)</f>
        <v/>
      </c>
      <c r="D73" s="19" t="n">
        <v>698</v>
      </c>
      <c r="E73" s="18" t="n">
        <v>67.73708151</v>
      </c>
      <c r="F73" s="20" t="n">
        <v>1.86145851</v>
      </c>
      <c r="G73" s="18" t="n">
        <v>28.09783888</v>
      </c>
      <c r="H73" s="20" t="n">
        <v>1.7534312</v>
      </c>
      <c r="I73" s="18" t="n">
        <v>0</v>
      </c>
      <c r="J73" s="20" t="n">
        <v>0</v>
      </c>
      <c r="K73" s="18" t="n">
        <v>0</v>
      </c>
      <c r="L73" s="20" t="n">
        <v>0</v>
      </c>
      <c r="M73" s="18" t="n">
        <v>0</v>
      </c>
      <c r="N73" s="20" t="n">
        <v>0</v>
      </c>
      <c r="O73" s="18" t="n">
        <v>0</v>
      </c>
      <c r="P73" s="20" t="n">
        <v>0</v>
      </c>
      <c r="Q73" s="18" t="n">
        <v>4.16507961</v>
      </c>
      <c r="R73" s="20" t="n">
        <v>0.75935115</v>
      </c>
    </row>
    <row r="74" spans="1:18">
      <c r="A74" s="15" t="s">
        <v>634</v>
      </c>
      <c r="B74" s="17" t="n">
        <v>3819</v>
      </c>
      <c r="C74" s="18">
        <f>(2941.0/B74*100)</f>
        <v/>
      </c>
      <c r="D74" s="19" t="n">
        <v>878</v>
      </c>
      <c r="E74" s="18" t="n">
        <v>37.2883251</v>
      </c>
      <c r="F74" s="20" t="n">
        <v>1.92795515</v>
      </c>
      <c r="G74" s="18" t="n">
        <v>53.44385464</v>
      </c>
      <c r="H74" s="20" t="n">
        <v>2.17386956</v>
      </c>
      <c r="I74" s="18" t="n">
        <v>0</v>
      </c>
      <c r="J74" s="20" t="n">
        <v>0</v>
      </c>
      <c r="K74" s="18" t="n">
        <v>0.13112668</v>
      </c>
      <c r="L74" s="20" t="n">
        <v>0.09468809</v>
      </c>
      <c r="M74" s="18" t="n">
        <v>0</v>
      </c>
      <c r="N74" s="20" t="n">
        <v>0</v>
      </c>
      <c r="O74" s="18" t="n">
        <v>0</v>
      </c>
      <c r="P74" s="20" t="n">
        <v>0</v>
      </c>
      <c r="Q74" s="18" t="n">
        <v>9.136693579999999</v>
      </c>
      <c r="R74" s="20" t="n">
        <v>1.06826761</v>
      </c>
    </row>
    <row r="75" spans="1:18">
      <c r="A75" s="15" t="s">
        <v>635</v>
      </c>
      <c r="B75" s="17" t="n">
        <v>4652</v>
      </c>
      <c r="C75" s="18">
        <f>(3663.0/B75*100)</f>
        <v/>
      </c>
      <c r="D75" s="19" t="n">
        <v>989</v>
      </c>
      <c r="E75" s="18" t="n">
        <v>90.89204347</v>
      </c>
      <c r="F75" s="20" t="n">
        <v>1.1831962</v>
      </c>
      <c r="G75" s="18" t="n">
        <v>6.19381127</v>
      </c>
      <c r="H75" s="20" t="n">
        <v>0.924767</v>
      </c>
      <c r="I75" s="18" t="n">
        <v>0</v>
      </c>
      <c r="J75" s="20" t="n">
        <v>0</v>
      </c>
      <c r="K75" s="18" t="n">
        <v>0</v>
      </c>
      <c r="L75" s="20" t="n">
        <v>0</v>
      </c>
      <c r="M75" s="18" t="n">
        <v>0.14163992</v>
      </c>
      <c r="N75" s="20" t="n">
        <v>0.13999676</v>
      </c>
      <c r="O75" s="18" t="n">
        <v>0</v>
      </c>
      <c r="P75" s="20" t="n">
        <v>0</v>
      </c>
      <c r="Q75" s="18" t="n">
        <v>2.77250533</v>
      </c>
      <c r="R75" s="20" t="n">
        <v>0.6228566</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(2393.0/B77*100)</f>
        <v/>
      </c>
      <c r="D77" s="19" t="n">
        <v>576</v>
      </c>
      <c r="E77" s="18" t="n">
        <v>62.22954248</v>
      </c>
      <c r="F77" s="20" t="n">
        <v>2.23053342</v>
      </c>
      <c r="G77" s="18" t="n">
        <v>0.9740943</v>
      </c>
      <c r="H77" s="20" t="n">
        <v>0.50181602</v>
      </c>
      <c r="I77" s="18" t="n">
        <v>0</v>
      </c>
      <c r="J77" s="20" t="n">
        <v>0</v>
      </c>
      <c r="K77" s="18" t="n">
        <v>1.33587032</v>
      </c>
      <c r="L77" s="20" t="n">
        <v>0.48889674</v>
      </c>
      <c r="M77" s="18" t="n">
        <v>0.33651417</v>
      </c>
      <c r="N77" s="20" t="n">
        <v>0.23937256</v>
      </c>
      <c r="O77" s="18" t="n">
        <v>0</v>
      </c>
      <c r="P77" s="20" t="n">
        <v>0</v>
      </c>
      <c r="Q77" s="18" t="n">
        <v>35.12397873</v>
      </c>
      <c r="R77" s="20" t="n">
        <v>2.17612433</v>
      </c>
    </row>
    <row r="78" spans="1:18">
      <c r="A78" s="15" t="s">
        <v>638</v>
      </c>
      <c r="B78" s="17" t="n">
        <v>7115</v>
      </c>
      <c r="C78" s="18">
        <f>(5533.0/B78*100)</f>
        <v/>
      </c>
      <c r="D78" s="19" t="n">
        <v>1582</v>
      </c>
      <c r="E78" s="18" t="n">
        <v>85.96637796</v>
      </c>
      <c r="F78" s="20" t="n">
        <v>0.93104412</v>
      </c>
      <c r="G78" s="18" t="n">
        <v>10.52046992</v>
      </c>
      <c r="H78" s="20" t="n">
        <v>0.82394472</v>
      </c>
      <c r="I78" s="18" t="n">
        <v>0</v>
      </c>
      <c r="J78" s="20" t="n">
        <v>0</v>
      </c>
      <c r="K78" s="18" t="n">
        <v>0.18399135</v>
      </c>
      <c r="L78" s="20" t="n">
        <v>0.01580518</v>
      </c>
      <c r="M78" s="18" t="n">
        <v>0.15297733</v>
      </c>
      <c r="N78" s="20" t="n">
        <v>0.10616961</v>
      </c>
      <c r="O78" s="18" t="n">
        <v>0</v>
      </c>
      <c r="P78" s="20" t="n">
        <v>0</v>
      </c>
      <c r="Q78" s="18" t="n">
        <v>3.17618343</v>
      </c>
      <c r="R78" s="20" t="n">
        <v>0.5882635899999999</v>
      </c>
    </row>
    <row r="79" spans="1:18">
      <c r="A79" s="15" t="s">
        <v>639</v>
      </c>
      <c r="B79" s="17" t="n">
        <v>3154</v>
      </c>
      <c r="C79" s="18">
        <f>(2486.0/B79*100)</f>
        <v/>
      </c>
      <c r="D79" s="19" t="n">
        <v>668</v>
      </c>
      <c r="E79" s="18" t="n">
        <v>73.91817132</v>
      </c>
      <c r="F79" s="20" t="n">
        <v>1.91626638</v>
      </c>
      <c r="G79" s="18" t="n">
        <v>2.56790924</v>
      </c>
      <c r="H79" s="20" t="n">
        <v>0.65586219</v>
      </c>
      <c r="I79" s="18" t="n">
        <v>0</v>
      </c>
      <c r="J79" s="20" t="n">
        <v>0</v>
      </c>
      <c r="K79" s="18" t="n">
        <v>0.25024749</v>
      </c>
      <c r="L79" s="20" t="n">
        <v>0.25202929</v>
      </c>
      <c r="M79" s="18" t="n">
        <v>0</v>
      </c>
      <c r="N79" s="20" t="n">
        <v>0</v>
      </c>
      <c r="O79" s="18" t="n">
        <v>0</v>
      </c>
      <c r="P79" s="20" t="n">
        <v>0</v>
      </c>
      <c r="Q79" s="18" t="n">
        <v>23.26367194</v>
      </c>
      <c r="R79" s="20" t="n">
        <v>1.76390904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(12422.0/B82*100)</f>
        <v/>
      </c>
      <c r="D82" s="19" t="n">
        <v>3539</v>
      </c>
      <c r="E82" s="18" t="n">
        <v>83.83912553</v>
      </c>
      <c r="F82" s="20" t="n">
        <v>0.7669506699999999</v>
      </c>
      <c r="G82" s="18" t="n">
        <v>3.64066731</v>
      </c>
      <c r="H82" s="20" t="n">
        <v>0.4348525</v>
      </c>
      <c r="I82" s="18" t="n">
        <v>0</v>
      </c>
      <c r="J82" s="20" t="n">
        <v>0</v>
      </c>
      <c r="K82" s="18" t="n">
        <v>0</v>
      </c>
      <c r="L82" s="20" t="n">
        <v>0</v>
      </c>
      <c r="M82" s="18" t="n">
        <v>0</v>
      </c>
      <c r="N82" s="20" t="n">
        <v>0</v>
      </c>
      <c r="O82" s="18" t="n">
        <v>0</v>
      </c>
      <c r="P82" s="20" t="n">
        <v>0</v>
      </c>
      <c r="Q82" s="18" t="n">
        <v>12.52020716</v>
      </c>
      <c r="R82" s="20" t="n">
        <v>0.70002996</v>
      </c>
    </row>
    <row r="83" spans="1:18">
      <c r="A83" s="15" t="s">
        <v>643</v>
      </c>
      <c r="B83" s="17" t="n">
        <v>808</v>
      </c>
      <c r="C83" s="18">
        <f>(647.0/B83*100)</f>
        <v/>
      </c>
      <c r="D83" s="19" t="n">
        <v>161</v>
      </c>
      <c r="E83" s="18" t="n">
        <v>92.54509256999999</v>
      </c>
      <c r="F83" s="20" t="n">
        <v>2.21329816</v>
      </c>
      <c r="G83" s="18" t="n">
        <v>5.42186279</v>
      </c>
      <c r="H83" s="20" t="n">
        <v>1.65794608</v>
      </c>
      <c r="I83" s="18" t="n">
        <v>0</v>
      </c>
      <c r="J83" s="20" t="n">
        <v>0</v>
      </c>
      <c r="K83" s="18" t="n">
        <v>0</v>
      </c>
      <c r="L83" s="20" t="n">
        <v>0</v>
      </c>
      <c r="M83" s="18" t="n">
        <v>0</v>
      </c>
      <c r="N83" s="20" t="n">
        <v>0</v>
      </c>
      <c r="O83" s="18" t="n">
        <v>0</v>
      </c>
      <c r="P83" s="20" t="n">
        <v>0</v>
      </c>
      <c r="Q83" s="18" t="n">
        <v>2.03304464</v>
      </c>
      <c r="R83" s="20" t="n">
        <v>0.8764559</v>
      </c>
    </row>
    <row r="84" spans="1:18">
      <c r="A84" s="23" t="s">
        <v>644</v>
      </c>
      <c r="B84" s="24" t="n">
        <v>938</v>
      </c>
      <c r="C84" s="25">
        <f>(709.0/B84*100)</f>
        <v/>
      </c>
      <c r="D84" s="19" t="n">
        <v>229</v>
      </c>
      <c r="E84" s="18" t="n">
        <v>93.49515461</v>
      </c>
      <c r="F84" s="20" t="n">
        <v>1.61035866</v>
      </c>
      <c r="G84" s="18" t="n">
        <v>5.0063476</v>
      </c>
      <c r="H84" s="20" t="n">
        <v>1.20055756</v>
      </c>
      <c r="I84" s="18" t="n">
        <v>0</v>
      </c>
      <c r="J84" s="20" t="n">
        <v>0</v>
      </c>
      <c r="K84" s="18" t="n">
        <v>0</v>
      </c>
      <c r="L84" s="20" t="n">
        <v>0</v>
      </c>
      <c r="M84" s="18" t="n">
        <v>0</v>
      </c>
      <c r="N84" s="20" t="n">
        <v>0</v>
      </c>
      <c r="O84" s="18" t="n">
        <v>0</v>
      </c>
      <c r="P84" s="20" t="n">
        <v>0</v>
      </c>
      <c r="Q84" s="18" t="n">
        <v>1.49849779</v>
      </c>
      <c r="R84" s="20" t="n">
        <v>0.8569487099999999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(5576.0/B7*100)</f>
        <v/>
      </c>
      <c r="D7" s="19" t="n">
        <v>1587</v>
      </c>
      <c r="E7" s="18" t="n">
        <v>75.59559328</v>
      </c>
      <c r="F7" s="20" t="n">
        <v>1.42991282</v>
      </c>
      <c r="G7" s="18" t="n">
        <v>23.87140835</v>
      </c>
      <c r="H7" s="20" t="n">
        <v>1.40323202</v>
      </c>
      <c r="I7" s="18" t="n">
        <v>0</v>
      </c>
      <c r="J7" s="20" t="n">
        <v>0</v>
      </c>
      <c r="K7" s="18" t="n">
        <v>0.13386671</v>
      </c>
      <c r="L7" s="20" t="n">
        <v>0.09291263</v>
      </c>
      <c r="M7" s="18" t="n">
        <v>0</v>
      </c>
      <c r="N7" s="20" t="n">
        <v>0</v>
      </c>
      <c r="O7" s="18" t="n">
        <v>0</v>
      </c>
      <c r="P7" s="20" t="n">
        <v>0</v>
      </c>
      <c r="Q7" s="18" t="n">
        <v>0.39913166</v>
      </c>
      <c r="R7" s="20" t="n">
        <v>0.17032091</v>
      </c>
    </row>
    <row r="8" spans="1:18">
      <c r="A8" s="15" t="s">
        <v>566</v>
      </c>
      <c r="B8" s="17" t="n">
        <v>3443</v>
      </c>
      <c r="C8" s="18">
        <f>(2722.0/B8*100)</f>
        <v/>
      </c>
      <c r="D8" s="19" t="n">
        <v>721</v>
      </c>
      <c r="E8" s="18" t="n">
        <v>65.97610491</v>
      </c>
      <c r="F8" s="20" t="n">
        <v>2.05924965</v>
      </c>
      <c r="G8" s="18" t="n">
        <v>33.10695493</v>
      </c>
      <c r="H8" s="20" t="n">
        <v>1.99894381</v>
      </c>
      <c r="I8" s="18" t="n">
        <v>0</v>
      </c>
      <c r="J8" s="20" t="n">
        <v>0</v>
      </c>
      <c r="K8" s="18" t="n">
        <v>0</v>
      </c>
      <c r="L8" s="20" t="n">
        <v>0</v>
      </c>
      <c r="M8" s="18" t="n">
        <v>0</v>
      </c>
      <c r="N8" s="20" t="n">
        <v>0</v>
      </c>
      <c r="O8" s="18" t="n">
        <v>0</v>
      </c>
      <c r="P8" s="20" t="n">
        <v>0</v>
      </c>
      <c r="Q8" s="18" t="n">
        <v>0.91694016</v>
      </c>
      <c r="R8" s="20" t="n">
        <v>0.5277674999999999</v>
      </c>
    </row>
    <row r="9" spans="1:18">
      <c r="A9" s="15" t="s">
        <v>567</v>
      </c>
      <c r="B9" s="17" t="n">
        <v>4752</v>
      </c>
      <c r="C9" s="18">
        <f>(3750.0/B9*100)</f>
        <v/>
      </c>
      <c r="D9" s="19" t="n">
        <v>1002</v>
      </c>
      <c r="E9" s="18" t="n">
        <v>66.8781493</v>
      </c>
      <c r="F9" s="20" t="n">
        <v>1.58763841</v>
      </c>
      <c r="G9" s="18" t="n">
        <v>32.31024723</v>
      </c>
      <c r="H9" s="20" t="n">
        <v>1.60135866</v>
      </c>
      <c r="I9" s="18" t="n">
        <v>0</v>
      </c>
      <c r="J9" s="20" t="n">
        <v>0</v>
      </c>
      <c r="K9" s="18" t="n">
        <v>0</v>
      </c>
      <c r="L9" s="20" t="n">
        <v>0</v>
      </c>
      <c r="M9" s="18" t="n">
        <v>0</v>
      </c>
      <c r="N9" s="20" t="n">
        <v>0</v>
      </c>
      <c r="O9" s="18" t="n">
        <v>0</v>
      </c>
      <c r="P9" s="20" t="n">
        <v>0</v>
      </c>
      <c r="Q9" s="18" t="n">
        <v>0.81160347</v>
      </c>
      <c r="R9" s="20" t="n">
        <v>0.31367647</v>
      </c>
    </row>
    <row r="10" spans="1:18">
      <c r="A10" s="15" t="s">
        <v>568</v>
      </c>
      <c r="B10" s="17" t="n">
        <v>10022</v>
      </c>
      <c r="C10" s="18">
        <f>(7762.0/B10*100)</f>
        <v/>
      </c>
      <c r="D10" s="19" t="n">
        <v>2260</v>
      </c>
      <c r="E10" s="18" t="n">
        <v>70.63914023</v>
      </c>
      <c r="F10" s="20" t="n">
        <v>1.22848266</v>
      </c>
      <c r="G10" s="18" t="n">
        <v>29.0369289</v>
      </c>
      <c r="H10" s="20" t="n">
        <v>1.25043244</v>
      </c>
      <c r="I10" s="18" t="n">
        <v>0</v>
      </c>
      <c r="J10" s="20" t="n">
        <v>0</v>
      </c>
      <c r="K10" s="18" t="n">
        <v>0.015681</v>
      </c>
      <c r="L10" s="20" t="n">
        <v>0.0164692</v>
      </c>
      <c r="M10" s="18" t="n">
        <v>0</v>
      </c>
      <c r="N10" s="20" t="n">
        <v>0</v>
      </c>
      <c r="O10" s="18" t="n">
        <v>0</v>
      </c>
      <c r="P10" s="20" t="n">
        <v>0</v>
      </c>
      <c r="Q10" s="18" t="n">
        <v>0.30824987</v>
      </c>
      <c r="R10" s="20" t="n">
        <v>0.13731188</v>
      </c>
    </row>
    <row r="11" spans="1:18">
      <c r="A11" s="15" t="s">
        <v>569</v>
      </c>
      <c r="B11" s="17" t="n">
        <v>3500</v>
      </c>
      <c r="C11" s="18">
        <f>(2704.0/B11*100)</f>
        <v/>
      </c>
      <c r="D11" s="19" t="n">
        <v>796</v>
      </c>
      <c r="E11" s="18" t="n">
        <v>84.66651231</v>
      </c>
      <c r="F11" s="20" t="n">
        <v>1.57470692</v>
      </c>
      <c r="G11" s="18" t="n">
        <v>13.80274813</v>
      </c>
      <c r="H11" s="20" t="n">
        <v>1.50838982</v>
      </c>
      <c r="I11" s="18" t="n">
        <v>0</v>
      </c>
      <c r="J11" s="20" t="n">
        <v>0</v>
      </c>
      <c r="K11" s="18" t="n">
        <v>0.16733033</v>
      </c>
      <c r="L11" s="20" t="n">
        <v>0.17372914</v>
      </c>
      <c r="M11" s="18" t="n">
        <v>0</v>
      </c>
      <c r="N11" s="20" t="n">
        <v>0</v>
      </c>
      <c r="O11" s="18" t="n">
        <v>0</v>
      </c>
      <c r="P11" s="20" t="n">
        <v>0</v>
      </c>
      <c r="Q11" s="18" t="n">
        <v>1.36340923</v>
      </c>
      <c r="R11" s="20" t="n">
        <v>0.42469951</v>
      </c>
    </row>
    <row r="12" spans="1:18">
      <c r="A12" s="15" t="s">
        <v>570</v>
      </c>
      <c r="B12" s="17" t="n">
        <v>3422</v>
      </c>
      <c r="C12" s="18">
        <f>(2645.0/B12*100)</f>
        <v/>
      </c>
      <c r="D12" s="19" t="n">
        <v>777</v>
      </c>
      <c r="E12" s="18" t="n">
        <v>72.67182889999999</v>
      </c>
      <c r="F12" s="20" t="n">
        <v>1.89886591</v>
      </c>
      <c r="G12" s="18" t="n">
        <v>26.83560248</v>
      </c>
      <c r="H12" s="20" t="n">
        <v>1.86322051</v>
      </c>
      <c r="I12" s="18" t="n">
        <v>0</v>
      </c>
      <c r="J12" s="20" t="n">
        <v>0</v>
      </c>
      <c r="K12" s="18" t="n">
        <v>0.12037498</v>
      </c>
      <c r="L12" s="20" t="n">
        <v>0.11935067</v>
      </c>
      <c r="M12" s="18" t="n">
        <v>0</v>
      </c>
      <c r="N12" s="20" t="n">
        <v>0</v>
      </c>
      <c r="O12" s="18" t="n">
        <v>0</v>
      </c>
      <c r="P12" s="20" t="n">
        <v>0</v>
      </c>
      <c r="Q12" s="18" t="n">
        <v>0.37219364</v>
      </c>
      <c r="R12" s="20" t="n">
        <v>0.2396281</v>
      </c>
    </row>
    <row r="13" spans="1:18">
      <c r="A13" s="15" t="s">
        <v>571</v>
      </c>
      <c r="B13" s="17" t="n">
        <v>3602</v>
      </c>
      <c r="C13" s="18">
        <f>(2838.0/B13*100)</f>
        <v/>
      </c>
      <c r="D13" s="19" t="n">
        <v>764</v>
      </c>
      <c r="E13" s="18" t="n">
        <v>62.83759006</v>
      </c>
      <c r="F13" s="20" t="n">
        <v>2.27533623</v>
      </c>
      <c r="G13" s="18" t="n">
        <v>36.43577718</v>
      </c>
      <c r="H13" s="20" t="n">
        <v>2.33834179</v>
      </c>
      <c r="I13" s="18" t="n">
        <v>0</v>
      </c>
      <c r="J13" s="20" t="n">
        <v>0</v>
      </c>
      <c r="K13" s="18" t="n">
        <v>0.35372598</v>
      </c>
      <c r="L13" s="20" t="n">
        <v>0.24832721</v>
      </c>
      <c r="M13" s="18" t="n">
        <v>0</v>
      </c>
      <c r="N13" s="20" t="n">
        <v>0</v>
      </c>
      <c r="O13" s="18" t="n">
        <v>0</v>
      </c>
      <c r="P13" s="20" t="n">
        <v>0</v>
      </c>
      <c r="Q13" s="18" t="n">
        <v>0.37290678</v>
      </c>
      <c r="R13" s="20" t="n">
        <v>0.21198426</v>
      </c>
    </row>
    <row r="14" spans="1:18">
      <c r="A14" s="15" t="s">
        <v>572</v>
      </c>
      <c r="B14" s="17" t="n">
        <v>2788</v>
      </c>
      <c r="C14" s="18">
        <f>(2177.0/B14*100)</f>
        <v/>
      </c>
      <c r="D14" s="19" t="n">
        <v>611</v>
      </c>
      <c r="E14" s="18" t="n">
        <v>65.66526694</v>
      </c>
      <c r="F14" s="20" t="n">
        <v>2.39871286</v>
      </c>
      <c r="G14" s="18" t="n">
        <v>34.20771277</v>
      </c>
      <c r="H14" s="20" t="n">
        <v>2.40650663</v>
      </c>
      <c r="I14" s="18" t="n">
        <v>0</v>
      </c>
      <c r="J14" s="20" t="n">
        <v>0</v>
      </c>
      <c r="K14" s="18" t="n">
        <v>0.12702029</v>
      </c>
      <c r="L14" s="20" t="n">
        <v>0.11939279</v>
      </c>
      <c r="M14" s="18" t="n">
        <v>0</v>
      </c>
      <c r="N14" s="20" t="n">
        <v>0</v>
      </c>
      <c r="O14" s="18" t="n">
        <v>0</v>
      </c>
      <c r="P14" s="20" t="n">
        <v>0</v>
      </c>
      <c r="Q14" s="18" t="n">
        <v>0</v>
      </c>
      <c r="R14" s="20" t="n">
        <v>0</v>
      </c>
    </row>
    <row r="15" spans="1:18">
      <c r="A15" s="15" t="s">
        <v>573</v>
      </c>
      <c r="B15" s="17" t="n">
        <v>2863</v>
      </c>
      <c r="C15" s="18">
        <f>(2221.0/B15*100)</f>
        <v/>
      </c>
      <c r="D15" s="19" t="n">
        <v>642</v>
      </c>
      <c r="E15" s="18" t="n">
        <v>66.40325854</v>
      </c>
      <c r="F15" s="20" t="n">
        <v>2.2049597</v>
      </c>
      <c r="G15" s="18" t="n">
        <v>33.29996129</v>
      </c>
      <c r="H15" s="20" t="n">
        <v>2.19937742</v>
      </c>
      <c r="I15" s="18" t="n">
        <v>0</v>
      </c>
      <c r="J15" s="20" t="n">
        <v>0</v>
      </c>
      <c r="K15" s="18" t="n">
        <v>0</v>
      </c>
      <c r="L15" s="20" t="n">
        <v>0</v>
      </c>
      <c r="M15" s="18" t="n">
        <v>0</v>
      </c>
      <c r="N15" s="20" t="n">
        <v>0</v>
      </c>
      <c r="O15" s="18" t="n">
        <v>0</v>
      </c>
      <c r="P15" s="20" t="n">
        <v>0</v>
      </c>
      <c r="Q15" s="18" t="n">
        <v>0.29678017</v>
      </c>
      <c r="R15" s="20" t="n">
        <v>0.21048596</v>
      </c>
    </row>
    <row r="16" spans="1:18">
      <c r="A16" s="15" t="s">
        <v>574</v>
      </c>
      <c r="B16" s="17" t="n">
        <v>3111</v>
      </c>
      <c r="C16" s="18">
        <f>(2413.0/B16*100)</f>
        <v/>
      </c>
      <c r="D16" s="19" t="n">
        <v>698</v>
      </c>
      <c r="E16" s="18" t="n">
        <v>71.91371891</v>
      </c>
      <c r="F16" s="20" t="n">
        <v>1.63402961</v>
      </c>
      <c r="G16" s="18" t="n">
        <v>26.90857807</v>
      </c>
      <c r="H16" s="20" t="n">
        <v>1.57215822</v>
      </c>
      <c r="I16" s="18" t="n">
        <v>0</v>
      </c>
      <c r="J16" s="20" t="n">
        <v>0</v>
      </c>
      <c r="K16" s="18" t="n">
        <v>0</v>
      </c>
      <c r="L16" s="20" t="n">
        <v>0</v>
      </c>
      <c r="M16" s="18" t="n">
        <v>0</v>
      </c>
      <c r="N16" s="20" t="n">
        <v>0</v>
      </c>
      <c r="O16" s="18" t="n">
        <v>0</v>
      </c>
      <c r="P16" s="20" t="n">
        <v>0</v>
      </c>
      <c r="Q16" s="18" t="n">
        <v>1.17770301</v>
      </c>
      <c r="R16" s="20" t="n">
        <v>0.58156175</v>
      </c>
    </row>
    <row r="17" spans="1:18">
      <c r="A17" s="15" t="s">
        <v>575</v>
      </c>
      <c r="B17" s="17" t="n">
        <v>3197</v>
      </c>
      <c r="C17" s="18">
        <f>(2523.0/B17*100)</f>
        <v/>
      </c>
      <c r="D17" s="19" t="n">
        <v>674</v>
      </c>
      <c r="E17" s="18" t="n">
        <v>67.27354645</v>
      </c>
      <c r="F17" s="20" t="n">
        <v>1.83255046</v>
      </c>
      <c r="G17" s="18" t="n">
        <v>32.20739108</v>
      </c>
      <c r="H17" s="20" t="n">
        <v>1.8270357</v>
      </c>
      <c r="I17" s="18" t="n">
        <v>0</v>
      </c>
      <c r="J17" s="20" t="n">
        <v>0</v>
      </c>
      <c r="K17" s="18" t="n">
        <v>0.15459232</v>
      </c>
      <c r="L17" s="20" t="n">
        <v>0.15311268</v>
      </c>
      <c r="M17" s="18" t="n">
        <v>0</v>
      </c>
      <c r="N17" s="20" t="n">
        <v>0</v>
      </c>
      <c r="O17" s="18" t="n">
        <v>0</v>
      </c>
      <c r="P17" s="20" t="n">
        <v>0</v>
      </c>
      <c r="Q17" s="18" t="n">
        <v>0.36447016</v>
      </c>
      <c r="R17" s="20" t="n">
        <v>0.2160777</v>
      </c>
    </row>
    <row r="18" spans="1:18">
      <c r="A18" s="15" t="s">
        <v>576</v>
      </c>
      <c r="B18" s="17" t="n">
        <v>2706</v>
      </c>
      <c r="C18" s="18">
        <f>(2094.0/B18*100)</f>
        <v/>
      </c>
      <c r="D18" s="19" t="n">
        <v>612</v>
      </c>
      <c r="E18" s="18" t="n">
        <v>78.49938387</v>
      </c>
      <c r="F18" s="20" t="n">
        <v>1.59844871</v>
      </c>
      <c r="G18" s="18" t="n">
        <v>20.46505586</v>
      </c>
      <c r="H18" s="20" t="n">
        <v>1.62293154</v>
      </c>
      <c r="I18" s="18" t="n">
        <v>0</v>
      </c>
      <c r="J18" s="20" t="n">
        <v>0</v>
      </c>
      <c r="K18" s="18" t="n">
        <v>0.31893858</v>
      </c>
      <c r="L18" s="20" t="n">
        <v>0.22214372</v>
      </c>
      <c r="M18" s="18" t="n">
        <v>0</v>
      </c>
      <c r="N18" s="20" t="n">
        <v>0</v>
      </c>
      <c r="O18" s="18" t="n">
        <v>0</v>
      </c>
      <c r="P18" s="20" t="n">
        <v>0</v>
      </c>
      <c r="Q18" s="18" t="n">
        <v>0.71662169</v>
      </c>
      <c r="R18" s="20" t="n">
        <v>0.32861096</v>
      </c>
    </row>
    <row r="19" spans="1:18">
      <c r="A19" s="15" t="s">
        <v>577</v>
      </c>
      <c r="B19" s="17" t="n">
        <v>2850</v>
      </c>
      <c r="C19" s="18">
        <f>(2168.0/B19*100)</f>
        <v/>
      </c>
      <c r="D19" s="19" t="n">
        <v>682</v>
      </c>
      <c r="E19" s="18" t="n">
        <v>72.49177895</v>
      </c>
      <c r="F19" s="20" t="n">
        <v>1.70159971</v>
      </c>
      <c r="G19" s="18" t="n">
        <v>26.56788806</v>
      </c>
      <c r="H19" s="20" t="n">
        <v>1.68613066</v>
      </c>
      <c r="I19" s="18" t="n">
        <v>0</v>
      </c>
      <c r="J19" s="20" t="n">
        <v>0</v>
      </c>
      <c r="K19" s="18" t="n">
        <v>0</v>
      </c>
      <c r="L19" s="20" t="n">
        <v>0</v>
      </c>
      <c r="M19" s="18" t="n">
        <v>0</v>
      </c>
      <c r="N19" s="20" t="n">
        <v>0</v>
      </c>
      <c r="O19" s="18" t="n">
        <v>0</v>
      </c>
      <c r="P19" s="20" t="n">
        <v>0</v>
      </c>
      <c r="Q19" s="18" t="n">
        <v>0.94033298</v>
      </c>
      <c r="R19" s="20" t="n">
        <v>0.34982314</v>
      </c>
    </row>
    <row r="20" spans="1:18">
      <c r="A20" s="15" t="s">
        <v>578</v>
      </c>
      <c r="B20" s="17" t="n">
        <v>1741</v>
      </c>
      <c r="C20" s="18">
        <f>(1341.0/B20*100)</f>
        <v/>
      </c>
      <c r="D20" s="19" t="n">
        <v>400</v>
      </c>
      <c r="E20" s="18" t="n">
        <v>72.52962558999999</v>
      </c>
      <c r="F20" s="20" t="n">
        <v>2.01552687</v>
      </c>
      <c r="G20" s="18" t="n">
        <v>26.00740797</v>
      </c>
      <c r="H20" s="20" t="n">
        <v>2.04953583</v>
      </c>
      <c r="I20" s="18" t="n">
        <v>0</v>
      </c>
      <c r="J20" s="20" t="n">
        <v>0</v>
      </c>
      <c r="K20" s="18" t="n">
        <v>0.26284618</v>
      </c>
      <c r="L20" s="20" t="n">
        <v>0.26140854</v>
      </c>
      <c r="M20" s="18" t="n">
        <v>0</v>
      </c>
      <c r="N20" s="20" t="n">
        <v>0</v>
      </c>
      <c r="O20" s="18" t="n">
        <v>0</v>
      </c>
      <c r="P20" s="20" t="n">
        <v>0</v>
      </c>
      <c r="Q20" s="18" t="n">
        <v>1.20012026</v>
      </c>
      <c r="R20" s="20" t="n">
        <v>0.531276</v>
      </c>
    </row>
    <row r="21" spans="1:18">
      <c r="A21" s="15" t="s">
        <v>579</v>
      </c>
      <c r="B21" s="17" t="n">
        <v>2833</v>
      </c>
      <c r="C21" s="18">
        <f>(2198.0/B21*100)</f>
        <v/>
      </c>
      <c r="D21" s="19" t="n">
        <v>635</v>
      </c>
      <c r="E21" s="18" t="n">
        <v>84.37870362</v>
      </c>
      <c r="F21" s="20" t="n">
        <v>1.36321248</v>
      </c>
      <c r="G21" s="18" t="n">
        <v>15.16529167</v>
      </c>
      <c r="H21" s="20" t="n">
        <v>1.35593027</v>
      </c>
      <c r="I21" s="18" t="n">
        <v>0</v>
      </c>
      <c r="J21" s="20" t="n">
        <v>0</v>
      </c>
      <c r="K21" s="18" t="n">
        <v>0</v>
      </c>
      <c r="L21" s="20" t="n">
        <v>0</v>
      </c>
      <c r="M21" s="18" t="n">
        <v>0</v>
      </c>
      <c r="N21" s="20" t="n">
        <v>0</v>
      </c>
      <c r="O21" s="18" t="n">
        <v>0</v>
      </c>
      <c r="P21" s="20" t="n">
        <v>0</v>
      </c>
      <c r="Q21" s="18" t="n">
        <v>0.45600472</v>
      </c>
      <c r="R21" s="20" t="n">
        <v>0.26013761</v>
      </c>
    </row>
    <row r="22" spans="1:18">
      <c r="A22" s="15" t="s">
        <v>580</v>
      </c>
      <c r="B22" s="17" t="n">
        <v>3667</v>
      </c>
      <c r="C22" s="18">
        <f>(2858.0/B22*100)</f>
        <v/>
      </c>
      <c r="D22" s="19" t="n">
        <v>809</v>
      </c>
      <c r="E22" s="18" t="n">
        <v>69.04571179</v>
      </c>
      <c r="F22" s="20" t="n">
        <v>1.73027789</v>
      </c>
      <c r="G22" s="18" t="n">
        <v>29.14103124</v>
      </c>
      <c r="H22" s="20" t="n">
        <v>1.68605148</v>
      </c>
      <c r="I22" s="18" t="n">
        <v>0</v>
      </c>
      <c r="J22" s="20" t="n">
        <v>0</v>
      </c>
      <c r="K22" s="18" t="n">
        <v>0.24921982</v>
      </c>
      <c r="L22" s="20" t="n">
        <v>0.18092784</v>
      </c>
      <c r="M22" s="18" t="n">
        <v>0</v>
      </c>
      <c r="N22" s="20" t="n">
        <v>0</v>
      </c>
      <c r="O22" s="18" t="n">
        <v>0</v>
      </c>
      <c r="P22" s="20" t="n">
        <v>0</v>
      </c>
      <c r="Q22" s="18" t="n">
        <v>1.56403715</v>
      </c>
      <c r="R22" s="20" t="n">
        <v>0.69519485</v>
      </c>
    </row>
    <row r="23" spans="1:18">
      <c r="A23" s="15" t="s">
        <v>581</v>
      </c>
      <c r="B23" s="17" t="n">
        <v>5792</v>
      </c>
      <c r="C23" s="18">
        <f>(4557.0/B23*100)</f>
        <v/>
      </c>
      <c r="D23" s="19" t="n">
        <v>1235</v>
      </c>
      <c r="E23" s="18" t="n">
        <v>68.46448427</v>
      </c>
      <c r="F23" s="20" t="n">
        <v>2.08392521</v>
      </c>
      <c r="G23" s="18" t="n">
        <v>30.22734707</v>
      </c>
      <c r="H23" s="20" t="n">
        <v>2.03782633</v>
      </c>
      <c r="I23" s="18" t="n">
        <v>0</v>
      </c>
      <c r="J23" s="20" t="n">
        <v>0</v>
      </c>
      <c r="K23" s="18" t="n">
        <v>0.59801584</v>
      </c>
      <c r="L23" s="20" t="n">
        <v>0.37674557</v>
      </c>
      <c r="M23" s="18" t="n">
        <v>0</v>
      </c>
      <c r="N23" s="20" t="n">
        <v>0</v>
      </c>
      <c r="O23" s="18" t="n">
        <v>0</v>
      </c>
      <c r="P23" s="20" t="n">
        <v>0</v>
      </c>
      <c r="Q23" s="18" t="n">
        <v>0.71015282</v>
      </c>
      <c r="R23" s="20" t="n">
        <v>0.39401388</v>
      </c>
    </row>
    <row r="24" spans="1:18">
      <c r="A24" s="15" t="s">
        <v>582</v>
      </c>
      <c r="B24" s="17" t="n">
        <v>3309</v>
      </c>
      <c r="C24" s="18">
        <f>(2565.0/B24*100)</f>
        <v/>
      </c>
      <c r="D24" s="19" t="n">
        <v>744</v>
      </c>
      <c r="E24" s="18" t="n">
        <v>66.85821485</v>
      </c>
      <c r="F24" s="20" t="n">
        <v>1.84256299</v>
      </c>
      <c r="G24" s="18" t="n">
        <v>32.74502987</v>
      </c>
      <c r="H24" s="20" t="n">
        <v>1.8357353</v>
      </c>
      <c r="I24" s="18" t="n">
        <v>0</v>
      </c>
      <c r="J24" s="20" t="n">
        <v>0</v>
      </c>
      <c r="K24" s="18" t="n">
        <v>0</v>
      </c>
      <c r="L24" s="20" t="n">
        <v>0</v>
      </c>
      <c r="M24" s="18" t="n">
        <v>0</v>
      </c>
      <c r="N24" s="20" t="n">
        <v>0</v>
      </c>
      <c r="O24" s="18" t="n">
        <v>0</v>
      </c>
      <c r="P24" s="20" t="n">
        <v>0</v>
      </c>
      <c r="Q24" s="18" t="n">
        <v>0.39675528</v>
      </c>
      <c r="R24" s="20" t="n">
        <v>0.23432439</v>
      </c>
    </row>
    <row r="25" spans="1:18">
      <c r="A25" s="15" t="s">
        <v>583</v>
      </c>
      <c r="B25" s="17" t="n">
        <v>2669</v>
      </c>
      <c r="C25" s="18">
        <f>(2096.0/B25*100)</f>
        <v/>
      </c>
      <c r="D25" s="19" t="n">
        <v>573</v>
      </c>
      <c r="E25" s="18" t="n">
        <v>59.83117107</v>
      </c>
      <c r="F25" s="20" t="n">
        <v>2.14151346</v>
      </c>
      <c r="G25" s="18" t="n">
        <v>39.49162595</v>
      </c>
      <c r="H25" s="20" t="n">
        <v>2.12253421</v>
      </c>
      <c r="I25" s="18" t="n">
        <v>0</v>
      </c>
      <c r="J25" s="20" t="n">
        <v>0</v>
      </c>
      <c r="K25" s="18" t="n">
        <v>0.16069487</v>
      </c>
      <c r="L25" s="20" t="n">
        <v>0.22390008</v>
      </c>
      <c r="M25" s="18" t="n">
        <v>0</v>
      </c>
      <c r="N25" s="20" t="n">
        <v>0</v>
      </c>
      <c r="O25" s="18" t="n">
        <v>0</v>
      </c>
      <c r="P25" s="20" t="n">
        <v>0</v>
      </c>
      <c r="Q25" s="18" t="n">
        <v>0.51650812</v>
      </c>
      <c r="R25" s="20" t="n">
        <v>0.29512869</v>
      </c>
    </row>
    <row r="26" spans="1:18">
      <c r="A26" s="15" t="s">
        <v>584</v>
      </c>
      <c r="B26" s="17" t="n">
        <v>2419</v>
      </c>
      <c r="C26" s="18">
        <f>(1922.0/B26*100)</f>
        <v/>
      </c>
      <c r="D26" s="19" t="n">
        <v>497</v>
      </c>
      <c r="E26" s="18" t="n">
        <v>69.29727084</v>
      </c>
      <c r="F26" s="20" t="n">
        <v>2.16005834</v>
      </c>
      <c r="G26" s="18" t="n">
        <v>30.03950611</v>
      </c>
      <c r="H26" s="20" t="n">
        <v>2.12645597</v>
      </c>
      <c r="I26" s="18" t="n">
        <v>0</v>
      </c>
      <c r="J26" s="20" t="n">
        <v>0</v>
      </c>
      <c r="K26" s="18" t="n">
        <v>0</v>
      </c>
      <c r="L26" s="20" t="n">
        <v>0</v>
      </c>
      <c r="M26" s="18" t="n">
        <v>0</v>
      </c>
      <c r="N26" s="20" t="n">
        <v>0</v>
      </c>
      <c r="O26" s="18" t="n">
        <v>0</v>
      </c>
      <c r="P26" s="20" t="n">
        <v>0</v>
      </c>
      <c r="Q26" s="18" t="n">
        <v>0.66322305</v>
      </c>
      <c r="R26" s="20" t="n">
        <v>0.51206719</v>
      </c>
    </row>
    <row r="27" spans="1:18">
      <c r="A27" s="15" t="s">
        <v>585</v>
      </c>
      <c r="B27" s="17" t="n">
        <v>2683</v>
      </c>
      <c r="C27" s="18">
        <f>(2091.0/B27*100)</f>
        <v/>
      </c>
      <c r="D27" s="19" t="n">
        <v>592</v>
      </c>
      <c r="E27" s="18" t="n">
        <v>68.50772981</v>
      </c>
      <c r="F27" s="20" t="n">
        <v>2.06805097</v>
      </c>
      <c r="G27" s="18" t="n">
        <v>30.13100594</v>
      </c>
      <c r="H27" s="20" t="n">
        <v>2.00629153</v>
      </c>
      <c r="I27" s="18" t="n">
        <v>0</v>
      </c>
      <c r="J27" s="20" t="n">
        <v>0</v>
      </c>
      <c r="K27" s="18" t="n">
        <v>0.35252527</v>
      </c>
      <c r="L27" s="20" t="n">
        <v>0.24405736</v>
      </c>
      <c r="M27" s="18" t="n">
        <v>0</v>
      </c>
      <c r="N27" s="20" t="n">
        <v>0</v>
      </c>
      <c r="O27" s="18" t="n">
        <v>0</v>
      </c>
      <c r="P27" s="20" t="n">
        <v>0</v>
      </c>
      <c r="Q27" s="18" t="n">
        <v>1.00873898</v>
      </c>
      <c r="R27" s="20" t="n">
        <v>0.46938571</v>
      </c>
    </row>
    <row r="28" spans="1:18">
      <c r="A28" s="15" t="s">
        <v>586</v>
      </c>
      <c r="B28" s="17" t="n">
        <v>3803</v>
      </c>
      <c r="C28" s="18">
        <f>(2954.0/B28*100)</f>
        <v/>
      </c>
      <c r="D28" s="19" t="n">
        <v>849</v>
      </c>
      <c r="E28" s="18" t="n">
        <v>85.09826465</v>
      </c>
      <c r="F28" s="20" t="n">
        <v>1.45920157</v>
      </c>
      <c r="G28" s="18" t="n">
        <v>13.01122527</v>
      </c>
      <c r="H28" s="20" t="n">
        <v>1.36127385</v>
      </c>
      <c r="I28" s="18" t="n">
        <v>0</v>
      </c>
      <c r="J28" s="20" t="n">
        <v>0</v>
      </c>
      <c r="K28" s="18" t="n">
        <v>0.54762393</v>
      </c>
      <c r="L28" s="20" t="n">
        <v>0.43948815</v>
      </c>
      <c r="M28" s="18" t="n">
        <v>0</v>
      </c>
      <c r="N28" s="20" t="n">
        <v>0</v>
      </c>
      <c r="O28" s="18" t="n">
        <v>0</v>
      </c>
      <c r="P28" s="20" t="n">
        <v>0</v>
      </c>
      <c r="Q28" s="18" t="n">
        <v>1.34288616</v>
      </c>
      <c r="R28" s="20" t="n">
        <v>0.36205151</v>
      </c>
    </row>
    <row r="29" spans="1:18">
      <c r="A29" s="15" t="s">
        <v>587</v>
      </c>
      <c r="B29" s="17" t="n">
        <v>2700</v>
      </c>
      <c r="C29" s="18">
        <f>(2100.0/B29*100)</f>
        <v/>
      </c>
      <c r="D29" s="19" t="n">
        <v>600</v>
      </c>
      <c r="E29" s="18" t="n">
        <v>67.99769635</v>
      </c>
      <c r="F29" s="20" t="n">
        <v>1.83521649</v>
      </c>
      <c r="G29" s="18" t="n">
        <v>31.78702085</v>
      </c>
      <c r="H29" s="20" t="n">
        <v>1.83846249</v>
      </c>
      <c r="I29" s="18" t="n">
        <v>0</v>
      </c>
      <c r="J29" s="20" t="n">
        <v>0</v>
      </c>
      <c r="K29" s="18" t="n">
        <v>0</v>
      </c>
      <c r="L29" s="20" t="n">
        <v>0</v>
      </c>
      <c r="M29" s="18" t="n">
        <v>0</v>
      </c>
      <c r="N29" s="20" t="n">
        <v>0</v>
      </c>
      <c r="O29" s="18" t="n">
        <v>0</v>
      </c>
      <c r="P29" s="20" t="n">
        <v>0</v>
      </c>
      <c r="Q29" s="18" t="n">
        <v>0.2152828</v>
      </c>
      <c r="R29" s="20" t="n">
        <v>0.16255521</v>
      </c>
    </row>
    <row r="30" spans="1:18">
      <c r="A30" s="15" t="s">
        <v>588</v>
      </c>
      <c r="B30" s="17" t="n">
        <v>2257</v>
      </c>
      <c r="C30" s="18">
        <f>(1727.0/B30*100)</f>
        <v/>
      </c>
      <c r="D30" s="19" t="n">
        <v>530</v>
      </c>
      <c r="E30" s="18" t="n">
        <v>75.85010052</v>
      </c>
      <c r="F30" s="20" t="n">
        <v>1.99073368</v>
      </c>
      <c r="G30" s="18" t="n">
        <v>23.31010825</v>
      </c>
      <c r="H30" s="20" t="n">
        <v>1.93665809</v>
      </c>
      <c r="I30" s="18" t="n">
        <v>0</v>
      </c>
      <c r="J30" s="20" t="n">
        <v>0</v>
      </c>
      <c r="K30" s="18" t="n">
        <v>0</v>
      </c>
      <c r="L30" s="20" t="n">
        <v>0</v>
      </c>
      <c r="M30" s="18" t="n">
        <v>0</v>
      </c>
      <c r="N30" s="20" t="n">
        <v>0</v>
      </c>
      <c r="O30" s="18" t="n">
        <v>0</v>
      </c>
      <c r="P30" s="20" t="n">
        <v>0</v>
      </c>
      <c r="Q30" s="18" t="n">
        <v>0.8397912199999999</v>
      </c>
      <c r="R30" s="20" t="n">
        <v>0.40132545</v>
      </c>
    </row>
    <row r="31" spans="1:18">
      <c r="A31" s="15" t="s">
        <v>589</v>
      </c>
      <c r="B31" s="17" t="n">
        <v>2706</v>
      </c>
      <c r="C31" s="18">
        <f>(2088.0/B31*100)</f>
        <v/>
      </c>
      <c r="D31" s="19" t="n">
        <v>618</v>
      </c>
      <c r="E31" s="18" t="n">
        <v>71.78183202</v>
      </c>
      <c r="F31" s="20" t="n">
        <v>1.69199961</v>
      </c>
      <c r="G31" s="18" t="n">
        <v>26.92003604</v>
      </c>
      <c r="H31" s="20" t="n">
        <v>1.65343401</v>
      </c>
      <c r="I31" s="18" t="n">
        <v>0</v>
      </c>
      <c r="J31" s="20" t="n">
        <v>0</v>
      </c>
      <c r="K31" s="18" t="n">
        <v>0</v>
      </c>
      <c r="L31" s="20" t="n">
        <v>0</v>
      </c>
      <c r="M31" s="18" t="n">
        <v>0</v>
      </c>
      <c r="N31" s="20" t="n">
        <v>0</v>
      </c>
      <c r="O31" s="18" t="n">
        <v>0</v>
      </c>
      <c r="P31" s="20" t="n">
        <v>0</v>
      </c>
      <c r="Q31" s="18" t="n">
        <v>1.29813195</v>
      </c>
      <c r="R31" s="20" t="n">
        <v>0.40126549</v>
      </c>
    </row>
    <row r="32" spans="1:18">
      <c r="A32" s="15" t="s">
        <v>590</v>
      </c>
      <c r="B32" s="17" t="n">
        <v>2209</v>
      </c>
      <c r="C32" s="18">
        <f>(1746.0/B32*100)</f>
        <v/>
      </c>
      <c r="D32" s="19" t="n">
        <v>463</v>
      </c>
      <c r="E32" s="18" t="n">
        <v>73.4657842</v>
      </c>
      <c r="F32" s="20" t="n">
        <v>2.22667875</v>
      </c>
      <c r="G32" s="18" t="n">
        <v>26.1197696</v>
      </c>
      <c r="H32" s="20" t="n">
        <v>2.17722627</v>
      </c>
      <c r="I32" s="18" t="n">
        <v>0</v>
      </c>
      <c r="J32" s="20" t="n">
        <v>0</v>
      </c>
      <c r="K32" s="18" t="n">
        <v>0</v>
      </c>
      <c r="L32" s="20" t="n">
        <v>0</v>
      </c>
      <c r="M32" s="18" t="n">
        <v>0</v>
      </c>
      <c r="N32" s="20" t="n">
        <v>0</v>
      </c>
      <c r="O32" s="18" t="n">
        <v>0</v>
      </c>
      <c r="P32" s="20" t="n">
        <v>0</v>
      </c>
      <c r="Q32" s="18" t="n">
        <v>0.4144462</v>
      </c>
      <c r="R32" s="20" t="n">
        <v>0.30233143</v>
      </c>
    </row>
    <row r="33" spans="1:18">
      <c r="A33" s="15" t="s">
        <v>591</v>
      </c>
      <c r="B33" s="17" t="n">
        <v>3651</v>
      </c>
      <c r="C33" s="18">
        <f>(2880.0/B33*100)</f>
        <v/>
      </c>
      <c r="D33" s="19" t="n">
        <v>771</v>
      </c>
      <c r="E33" s="18" t="n">
        <v>71.41234209</v>
      </c>
      <c r="F33" s="20" t="n">
        <v>2.22421638</v>
      </c>
      <c r="G33" s="18" t="n">
        <v>27.84336119</v>
      </c>
      <c r="H33" s="20" t="n">
        <v>2.26044229</v>
      </c>
      <c r="I33" s="18" t="n">
        <v>0</v>
      </c>
      <c r="J33" s="20" t="n">
        <v>0</v>
      </c>
      <c r="K33" s="18" t="n">
        <v>0</v>
      </c>
      <c r="L33" s="20" t="n">
        <v>0</v>
      </c>
      <c r="M33" s="18" t="n">
        <v>0</v>
      </c>
      <c r="N33" s="20" t="n">
        <v>0</v>
      </c>
      <c r="O33" s="18" t="n">
        <v>0</v>
      </c>
      <c r="P33" s="20" t="n">
        <v>0</v>
      </c>
      <c r="Q33" s="18" t="n">
        <v>0.74429672</v>
      </c>
      <c r="R33" s="20" t="n">
        <v>0.37046989</v>
      </c>
    </row>
    <row r="34" spans="1:18">
      <c r="A34" s="15" t="s">
        <v>592</v>
      </c>
      <c r="B34" s="17" t="n">
        <v>3035</v>
      </c>
      <c r="C34" s="18">
        <f>(2351.0/B34*100)</f>
        <v/>
      </c>
      <c r="D34" s="19" t="n">
        <v>684</v>
      </c>
      <c r="E34" s="18" t="n">
        <v>75.65790641</v>
      </c>
      <c r="F34" s="20" t="n">
        <v>1.61333536</v>
      </c>
      <c r="G34" s="18" t="n">
        <v>23.94424704</v>
      </c>
      <c r="H34" s="20" t="n">
        <v>1.63180156</v>
      </c>
      <c r="I34" s="18" t="n">
        <v>0</v>
      </c>
      <c r="J34" s="20" t="n">
        <v>0</v>
      </c>
      <c r="K34" s="18" t="n">
        <v>0.26130455</v>
      </c>
      <c r="L34" s="20" t="n">
        <v>0.18559129</v>
      </c>
      <c r="M34" s="18" t="n">
        <v>0</v>
      </c>
      <c r="N34" s="20" t="n">
        <v>0</v>
      </c>
      <c r="O34" s="18" t="n">
        <v>0</v>
      </c>
      <c r="P34" s="20" t="n">
        <v>0</v>
      </c>
      <c r="Q34" s="18" t="n">
        <v>0.136542</v>
      </c>
      <c r="R34" s="20" t="n">
        <v>0.13612064</v>
      </c>
    </row>
    <row r="35" spans="1:18">
      <c r="A35" s="15" t="s">
        <v>593</v>
      </c>
      <c r="B35" s="17" t="n">
        <v>2901</v>
      </c>
      <c r="C35" s="18">
        <f>(2266.0/B35*100)</f>
        <v/>
      </c>
      <c r="D35" s="19" t="n">
        <v>635</v>
      </c>
      <c r="E35" s="18" t="n">
        <v>64.77143445999999</v>
      </c>
      <c r="F35" s="20" t="n">
        <v>2.18284386</v>
      </c>
      <c r="G35" s="18" t="n">
        <v>34.76723634</v>
      </c>
      <c r="H35" s="20" t="n">
        <v>2.159538</v>
      </c>
      <c r="I35" s="18" t="n">
        <v>0</v>
      </c>
      <c r="J35" s="20" t="n">
        <v>0</v>
      </c>
      <c r="K35" s="18" t="n">
        <v>0</v>
      </c>
      <c r="L35" s="20" t="n">
        <v>0</v>
      </c>
      <c r="M35" s="18" t="n">
        <v>0</v>
      </c>
      <c r="N35" s="20" t="n">
        <v>0</v>
      </c>
      <c r="O35" s="18" t="n">
        <v>0</v>
      </c>
      <c r="P35" s="20" t="n">
        <v>0</v>
      </c>
      <c r="Q35" s="18" t="n">
        <v>0.4613292</v>
      </c>
      <c r="R35" s="20" t="n">
        <v>0.26347015</v>
      </c>
    </row>
    <row r="36" spans="1:18">
      <c r="A36" s="15" t="s">
        <v>594</v>
      </c>
      <c r="B36" s="17" t="n">
        <v>3404</v>
      </c>
      <c r="C36" s="18">
        <f>(2650.0/B36*100)</f>
        <v/>
      </c>
      <c r="D36" s="19" t="n">
        <v>754</v>
      </c>
      <c r="E36" s="18" t="n">
        <v>70.46822253000001</v>
      </c>
      <c r="F36" s="20" t="n">
        <v>1.75578907</v>
      </c>
      <c r="G36" s="18" t="n">
        <v>29.17851421</v>
      </c>
      <c r="H36" s="20" t="n">
        <v>1.74956875</v>
      </c>
      <c r="I36" s="18" t="n">
        <v>0</v>
      </c>
      <c r="J36" s="20" t="n">
        <v>0</v>
      </c>
      <c r="K36" s="18" t="n">
        <v>0</v>
      </c>
      <c r="L36" s="20" t="n">
        <v>0</v>
      </c>
      <c r="M36" s="18" t="n">
        <v>0</v>
      </c>
      <c r="N36" s="20" t="n">
        <v>0</v>
      </c>
      <c r="O36" s="18" t="n">
        <v>0</v>
      </c>
      <c r="P36" s="20" t="n">
        <v>0</v>
      </c>
      <c r="Q36" s="18" t="n">
        <v>0.35326325</v>
      </c>
      <c r="R36" s="20" t="n">
        <v>0.21814787</v>
      </c>
    </row>
    <row r="37" spans="1:18">
      <c r="A37" s="15" t="s">
        <v>595</v>
      </c>
      <c r="B37" s="17" t="n">
        <v>2731</v>
      </c>
      <c r="C37" s="18">
        <f>(2138.0/B37*100)</f>
        <v/>
      </c>
      <c r="D37" s="19" t="n">
        <v>593</v>
      </c>
      <c r="E37" s="18" t="n">
        <v>74.70741945</v>
      </c>
      <c r="F37" s="20" t="n">
        <v>1.67856293</v>
      </c>
      <c r="G37" s="18" t="n">
        <v>24.01042709</v>
      </c>
      <c r="H37" s="20" t="n">
        <v>1.71793201</v>
      </c>
      <c r="I37" s="18" t="n">
        <v>0</v>
      </c>
      <c r="J37" s="20" t="n">
        <v>0</v>
      </c>
      <c r="K37" s="18" t="n">
        <v>0</v>
      </c>
      <c r="L37" s="20" t="n">
        <v>0</v>
      </c>
      <c r="M37" s="18" t="n">
        <v>0</v>
      </c>
      <c r="N37" s="20" t="n">
        <v>0</v>
      </c>
      <c r="O37" s="18" t="n">
        <v>0</v>
      </c>
      <c r="P37" s="20" t="n">
        <v>0</v>
      </c>
      <c r="Q37" s="18" t="n">
        <v>1.28215347</v>
      </c>
      <c r="R37" s="20" t="n">
        <v>0.49030589</v>
      </c>
    </row>
    <row r="38" spans="1:18">
      <c r="A38" s="15" t="s">
        <v>596</v>
      </c>
      <c r="B38" s="17" t="n">
        <v>2807</v>
      </c>
      <c r="C38" s="18">
        <f>(2224.0/B38*100)</f>
        <v/>
      </c>
      <c r="D38" s="19" t="n">
        <v>583</v>
      </c>
      <c r="E38" s="18" t="n">
        <v>60.54890718</v>
      </c>
      <c r="F38" s="20" t="n">
        <v>2.32999412</v>
      </c>
      <c r="G38" s="18" t="n">
        <v>37.84391558</v>
      </c>
      <c r="H38" s="20" t="n">
        <v>2.37336884</v>
      </c>
      <c r="I38" s="18" t="n">
        <v>0</v>
      </c>
      <c r="J38" s="20" t="n">
        <v>0</v>
      </c>
      <c r="K38" s="18" t="n">
        <v>0</v>
      </c>
      <c r="L38" s="20" t="n">
        <v>0</v>
      </c>
      <c r="M38" s="18" t="n">
        <v>0</v>
      </c>
      <c r="N38" s="20" t="n">
        <v>0</v>
      </c>
      <c r="O38" s="18" t="n">
        <v>0</v>
      </c>
      <c r="P38" s="20" t="n">
        <v>0</v>
      </c>
      <c r="Q38" s="18" t="n">
        <v>1.60717724</v>
      </c>
      <c r="R38" s="20" t="n">
        <v>0.75865298</v>
      </c>
    </row>
    <row r="39" spans="1:18">
      <c r="A39" s="15" t="s">
        <v>597</v>
      </c>
      <c r="B39" s="17" t="n">
        <v>2938</v>
      </c>
      <c r="C39" s="18">
        <f>(2268.0/B39*100)</f>
        <v/>
      </c>
      <c r="D39" s="19" t="n">
        <v>670</v>
      </c>
      <c r="E39" s="18" t="n">
        <v>86.92891806999999</v>
      </c>
      <c r="F39" s="20" t="n">
        <v>1.67288891</v>
      </c>
      <c r="G39" s="18" t="n">
        <v>12.24979346</v>
      </c>
      <c r="H39" s="20" t="n">
        <v>1.69156649</v>
      </c>
      <c r="I39" s="18" t="n">
        <v>0</v>
      </c>
      <c r="J39" s="20" t="n">
        <v>0</v>
      </c>
      <c r="K39" s="18" t="n">
        <v>0.11654498</v>
      </c>
      <c r="L39" s="20" t="n">
        <v>0.16264593</v>
      </c>
      <c r="M39" s="18" t="n">
        <v>0</v>
      </c>
      <c r="N39" s="20" t="n">
        <v>0</v>
      </c>
      <c r="O39" s="18" t="n">
        <v>0</v>
      </c>
      <c r="P39" s="20" t="n">
        <v>0</v>
      </c>
      <c r="Q39" s="18" t="n">
        <v>0.70474349</v>
      </c>
      <c r="R39" s="20" t="n">
        <v>0.39381613</v>
      </c>
    </row>
    <row r="40" spans="1:18">
      <c r="A40" s="15" t="s">
        <v>598</v>
      </c>
      <c r="B40" s="17" t="n">
        <v>6922</v>
      </c>
      <c r="C40" s="18">
        <f>(5375.0/B40*100)</f>
        <v/>
      </c>
      <c r="D40" s="19" t="n">
        <v>1547</v>
      </c>
      <c r="E40" s="18" t="n">
        <v>75.88771412</v>
      </c>
      <c r="F40" s="20" t="n">
        <v>1.98879398</v>
      </c>
      <c r="G40" s="18" t="n">
        <v>23.61538101</v>
      </c>
      <c r="H40" s="20" t="n">
        <v>2.0317032</v>
      </c>
      <c r="I40" s="18" t="n">
        <v>0</v>
      </c>
      <c r="J40" s="20" t="n">
        <v>0</v>
      </c>
      <c r="K40" s="18" t="n">
        <v>0.01322615</v>
      </c>
      <c r="L40" s="20" t="n">
        <v>0.01343985</v>
      </c>
      <c r="M40" s="18" t="n">
        <v>0</v>
      </c>
      <c r="N40" s="20" t="n">
        <v>0</v>
      </c>
      <c r="O40" s="18" t="n">
        <v>0</v>
      </c>
      <c r="P40" s="20" t="n">
        <v>0</v>
      </c>
      <c r="Q40" s="18" t="n">
        <v>0.48367872</v>
      </c>
      <c r="R40" s="20" t="n">
        <v>0.25779509</v>
      </c>
    </row>
    <row r="41" spans="1:18">
      <c r="A41" s="15" t="s">
        <v>599</v>
      </c>
      <c r="B41" s="17" t="n">
        <v>2854</v>
      </c>
      <c r="C41" s="18">
        <f>(2214.0/B41*100)</f>
        <v/>
      </c>
      <c r="D41" s="19" t="n">
        <v>640</v>
      </c>
      <c r="E41" s="18" t="n">
        <v>79.59541959000001</v>
      </c>
      <c r="F41" s="20" t="n">
        <v>1.84376742</v>
      </c>
      <c r="G41" s="18" t="n">
        <v>20.26016496</v>
      </c>
      <c r="H41" s="20" t="n">
        <v>1.84641363</v>
      </c>
      <c r="I41" s="18" t="n">
        <v>0</v>
      </c>
      <c r="J41" s="20" t="n">
        <v>0</v>
      </c>
      <c r="K41" s="18" t="n">
        <v>0</v>
      </c>
      <c r="L41" s="20" t="n">
        <v>0</v>
      </c>
      <c r="M41" s="18" t="n">
        <v>0</v>
      </c>
      <c r="N41" s="20" t="n">
        <v>0</v>
      </c>
      <c r="O41" s="18" t="n">
        <v>0</v>
      </c>
      <c r="P41" s="20" t="n">
        <v>0</v>
      </c>
      <c r="Q41" s="18" t="n">
        <v>0.14441544</v>
      </c>
      <c r="R41" s="20" t="n">
        <v>0.15244767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(9654.0/B46*100)</f>
        <v/>
      </c>
      <c r="D46" s="19" t="n">
        <v>2419</v>
      </c>
      <c r="E46" s="18" t="n">
        <v>80.83739867</v>
      </c>
      <c r="F46" s="20" t="n">
        <v>1.25565903</v>
      </c>
      <c r="G46" s="18" t="n">
        <v>12.48030027</v>
      </c>
      <c r="H46" s="20" t="n">
        <v>1.02237395</v>
      </c>
      <c r="I46" s="18" t="n">
        <v>0</v>
      </c>
      <c r="J46" s="20" t="n">
        <v>0</v>
      </c>
      <c r="K46" s="18" t="n">
        <v>0.3671917</v>
      </c>
      <c r="L46" s="20" t="n">
        <v>0.17053515</v>
      </c>
      <c r="M46" s="18" t="n">
        <v>0</v>
      </c>
      <c r="N46" s="20" t="n">
        <v>0</v>
      </c>
      <c r="O46" s="18" t="n">
        <v>0</v>
      </c>
      <c r="P46" s="20" t="n">
        <v>0</v>
      </c>
      <c r="Q46" s="18" t="n">
        <v>6.31510937</v>
      </c>
      <c r="R46" s="20" t="n">
        <v>0.58892249</v>
      </c>
    </row>
    <row r="47" spans="1:18">
      <c r="A47" s="15" t="s">
        <v>606</v>
      </c>
      <c r="B47" s="17" t="n">
        <v>2823</v>
      </c>
      <c r="C47" s="18">
        <f>(2186.0/B47*100)</f>
        <v/>
      </c>
      <c r="D47" s="19" t="n">
        <v>637</v>
      </c>
      <c r="E47" s="18" t="n">
        <v>75.14628662</v>
      </c>
      <c r="F47" s="20" t="n">
        <v>2.10629031</v>
      </c>
      <c r="G47" s="18" t="n">
        <v>23.43330441</v>
      </c>
      <c r="H47" s="20" t="n">
        <v>2.15030248</v>
      </c>
      <c r="I47" s="18" t="n">
        <v>0</v>
      </c>
      <c r="J47" s="20" t="n">
        <v>0</v>
      </c>
      <c r="K47" s="18" t="n">
        <v>0.14791907</v>
      </c>
      <c r="L47" s="20" t="n">
        <v>0.14808418</v>
      </c>
      <c r="M47" s="18" t="n">
        <v>0</v>
      </c>
      <c r="N47" s="20" t="n">
        <v>0</v>
      </c>
      <c r="O47" s="18" t="n">
        <v>0</v>
      </c>
      <c r="P47" s="20" t="n">
        <v>0</v>
      </c>
      <c r="Q47" s="18" t="n">
        <v>1.2724899</v>
      </c>
      <c r="R47" s="20" t="n">
        <v>0.42849392</v>
      </c>
    </row>
    <row r="48" spans="1:18">
      <c r="A48" s="15" t="s">
        <v>607</v>
      </c>
      <c r="B48" s="17" t="n">
        <v>4682</v>
      </c>
      <c r="C48" s="18">
        <f>(3690.0/B48*100)</f>
        <v/>
      </c>
      <c r="D48" s="19" t="n">
        <v>992</v>
      </c>
      <c r="E48" s="18" t="n">
        <v>60.58798395</v>
      </c>
      <c r="F48" s="20" t="n">
        <v>2.19784268</v>
      </c>
      <c r="G48" s="18" t="n">
        <v>37.80308494</v>
      </c>
      <c r="H48" s="20" t="n">
        <v>2.21783544</v>
      </c>
      <c r="I48" s="18" t="n">
        <v>0</v>
      </c>
      <c r="J48" s="20" t="n">
        <v>0</v>
      </c>
      <c r="K48" s="18" t="n">
        <v>0.17301656</v>
      </c>
      <c r="L48" s="20" t="n">
        <v>0.17245634</v>
      </c>
      <c r="M48" s="18" t="n">
        <v>0</v>
      </c>
      <c r="N48" s="20" t="n">
        <v>0</v>
      </c>
      <c r="O48" s="18" t="n">
        <v>0</v>
      </c>
      <c r="P48" s="20" t="n">
        <v>0</v>
      </c>
      <c r="Q48" s="18" t="n">
        <v>1.43591455</v>
      </c>
      <c r="R48" s="20" t="n">
        <v>0.45830917</v>
      </c>
    </row>
    <row r="49" spans="1:18">
      <c r="A49" s="15" t="s">
        <v>608</v>
      </c>
      <c r="B49" s="17" t="n">
        <v>6158</v>
      </c>
      <c r="C49" s="18">
        <f>(4819.0/B49*100)</f>
        <v/>
      </c>
      <c r="D49" s="19" t="n">
        <v>1339</v>
      </c>
      <c r="E49" s="18" t="n">
        <v>85.08038448000001</v>
      </c>
      <c r="F49" s="20" t="n">
        <v>1.31183852</v>
      </c>
      <c r="G49" s="18" t="n">
        <v>12.80313854</v>
      </c>
      <c r="H49" s="20" t="n">
        <v>1.17878308</v>
      </c>
      <c r="I49" s="18" t="n">
        <v>0</v>
      </c>
      <c r="J49" s="20" t="n">
        <v>0</v>
      </c>
      <c r="K49" s="18" t="n">
        <v>0.32670601</v>
      </c>
      <c r="L49" s="20" t="n">
        <v>0.18586645</v>
      </c>
      <c r="M49" s="18" t="n">
        <v>0</v>
      </c>
      <c r="N49" s="20" t="n">
        <v>0</v>
      </c>
      <c r="O49" s="18" t="n">
        <v>0</v>
      </c>
      <c r="P49" s="20" t="n">
        <v>0</v>
      </c>
      <c r="Q49" s="18" t="n">
        <v>1.78977097</v>
      </c>
      <c r="R49" s="20" t="n">
        <v>0.58046669</v>
      </c>
    </row>
    <row r="50" spans="1:18">
      <c r="A50" s="15" t="s">
        <v>609</v>
      </c>
      <c r="B50" s="17" t="n">
        <v>3494</v>
      </c>
      <c r="C50" s="18">
        <f>(2834.0/B50*100)</f>
        <v/>
      </c>
      <c r="D50" s="19" t="n">
        <v>660</v>
      </c>
      <c r="E50" s="18" t="n">
        <v>82.97558838</v>
      </c>
      <c r="F50" s="20" t="n">
        <v>1.7394266</v>
      </c>
      <c r="G50" s="18" t="n">
        <v>15.72619828</v>
      </c>
      <c r="H50" s="20" t="n">
        <v>1.61029192</v>
      </c>
      <c r="I50" s="18" t="n">
        <v>0</v>
      </c>
      <c r="J50" s="20" t="n">
        <v>0</v>
      </c>
      <c r="K50" s="18" t="n">
        <v>0.1390985</v>
      </c>
      <c r="L50" s="20" t="n">
        <v>0.13856525</v>
      </c>
      <c r="M50" s="18" t="n">
        <v>0</v>
      </c>
      <c r="N50" s="20" t="n">
        <v>0</v>
      </c>
      <c r="O50" s="18" t="n">
        <v>0</v>
      </c>
      <c r="P50" s="20" t="n">
        <v>0</v>
      </c>
      <c r="Q50" s="18" t="n">
        <v>1.15911484</v>
      </c>
      <c r="R50" s="20" t="n">
        <v>0.3951763</v>
      </c>
    </row>
    <row r="51" spans="1:18">
      <c r="A51" s="15" t="s">
        <v>610</v>
      </c>
      <c r="B51" s="17" t="n">
        <v>3013</v>
      </c>
      <c r="C51" s="18">
        <f>(2362.0/B51*100)</f>
        <v/>
      </c>
      <c r="D51" s="19" t="n">
        <v>651</v>
      </c>
      <c r="E51" s="18" t="n">
        <v>69.50073471</v>
      </c>
      <c r="F51" s="20" t="n">
        <v>1.65199543</v>
      </c>
      <c r="G51" s="18" t="n">
        <v>30.33595441</v>
      </c>
      <c r="H51" s="20" t="n">
        <v>1.63673419</v>
      </c>
      <c r="I51" s="18" t="n">
        <v>0</v>
      </c>
      <c r="J51" s="20" t="n">
        <v>0</v>
      </c>
      <c r="K51" s="18" t="n">
        <v>0</v>
      </c>
      <c r="L51" s="20" t="n">
        <v>0</v>
      </c>
      <c r="M51" s="18" t="n">
        <v>0</v>
      </c>
      <c r="N51" s="20" t="n">
        <v>0</v>
      </c>
      <c r="O51" s="18" t="n">
        <v>0</v>
      </c>
      <c r="P51" s="20" t="n">
        <v>0</v>
      </c>
      <c r="Q51" s="18" t="n">
        <v>0.16331088</v>
      </c>
      <c r="R51" s="20" t="n">
        <v>0.16376915</v>
      </c>
    </row>
    <row r="52" spans="1:18">
      <c r="A52" s="15" t="s">
        <v>611</v>
      </c>
      <c r="B52" s="17" t="n">
        <v>2760</v>
      </c>
      <c r="C52" s="18">
        <f>(2182.0/B52*100)</f>
        <v/>
      </c>
      <c r="D52" s="19" t="n">
        <v>578</v>
      </c>
      <c r="E52" s="18" t="n">
        <v>77.4487981</v>
      </c>
      <c r="F52" s="20" t="n">
        <v>1.67434946</v>
      </c>
      <c r="G52" s="18" t="n">
        <v>21.53794514</v>
      </c>
      <c r="H52" s="20" t="n">
        <v>1.58185777</v>
      </c>
      <c r="I52" s="18" t="n">
        <v>0</v>
      </c>
      <c r="J52" s="20" t="n">
        <v>0</v>
      </c>
      <c r="K52" s="18" t="n">
        <v>0</v>
      </c>
      <c r="L52" s="20" t="n">
        <v>0</v>
      </c>
      <c r="M52" s="18" t="n">
        <v>0</v>
      </c>
      <c r="N52" s="20" t="n">
        <v>0</v>
      </c>
      <c r="O52" s="18" t="n">
        <v>0</v>
      </c>
      <c r="P52" s="20" t="n">
        <v>0</v>
      </c>
      <c r="Q52" s="18" t="n">
        <v>1.01325676</v>
      </c>
      <c r="R52" s="20" t="n">
        <v>0.46929247</v>
      </c>
    </row>
    <row r="53" spans="1:18">
      <c r="A53" s="15" t="s">
        <v>612</v>
      </c>
      <c r="B53" s="17" t="n">
        <v>2474</v>
      </c>
      <c r="C53" s="18">
        <f>(1891.0/B53*100)</f>
        <v/>
      </c>
      <c r="D53" s="19" t="n">
        <v>583</v>
      </c>
      <c r="E53" s="18" t="n">
        <v>72.81983176</v>
      </c>
      <c r="F53" s="20" t="n">
        <v>2.23483899</v>
      </c>
      <c r="G53" s="18" t="n">
        <v>5.40645377</v>
      </c>
      <c r="H53" s="20" t="n">
        <v>1.04429225</v>
      </c>
      <c r="I53" s="18" t="n">
        <v>0</v>
      </c>
      <c r="J53" s="20" t="n">
        <v>0</v>
      </c>
      <c r="K53" s="18" t="n">
        <v>11.02594338</v>
      </c>
      <c r="L53" s="20" t="n">
        <v>1.40701006</v>
      </c>
      <c r="M53" s="18" t="n">
        <v>0</v>
      </c>
      <c r="N53" s="20" t="n">
        <v>0</v>
      </c>
      <c r="O53" s="18" t="n">
        <v>0</v>
      </c>
      <c r="P53" s="20" t="n">
        <v>0</v>
      </c>
      <c r="Q53" s="18" t="n">
        <v>10.74777108</v>
      </c>
      <c r="R53" s="20" t="n">
        <v>1.54536668</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(2071.0/B55*100)</f>
        <v/>
      </c>
      <c r="D55" s="19" t="n">
        <v>604</v>
      </c>
      <c r="E55" s="18" t="n">
        <v>74.08017359</v>
      </c>
      <c r="F55" s="20" t="n">
        <v>2.12686644</v>
      </c>
      <c r="G55" s="18" t="n">
        <v>25.76806184</v>
      </c>
      <c r="H55" s="20" t="n">
        <v>2.12246764</v>
      </c>
      <c r="I55" s="18" t="n">
        <v>0</v>
      </c>
      <c r="J55" s="20" t="n">
        <v>0</v>
      </c>
      <c r="K55" s="18" t="n">
        <v>0.15176457</v>
      </c>
      <c r="L55" s="20" t="n">
        <v>0.16977933</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(2516.0/B61*100)</f>
        <v/>
      </c>
      <c r="D61" s="19" t="n">
        <v>685</v>
      </c>
      <c r="E61" s="18" t="n">
        <v>77.13846387</v>
      </c>
      <c r="F61" s="20" t="n">
        <v>1.58204125</v>
      </c>
      <c r="G61" s="18" t="n">
        <v>22.043254</v>
      </c>
      <c r="H61" s="20" t="n">
        <v>1.53969391</v>
      </c>
      <c r="I61" s="18" t="n">
        <v>0</v>
      </c>
      <c r="J61" s="20" t="n">
        <v>0</v>
      </c>
      <c r="K61" s="18" t="n">
        <v>0.16473759</v>
      </c>
      <c r="L61" s="20" t="n">
        <v>0.17946923</v>
      </c>
      <c r="M61" s="18" t="n">
        <v>0</v>
      </c>
      <c r="N61" s="20" t="n">
        <v>0</v>
      </c>
      <c r="O61" s="18" t="n">
        <v>0</v>
      </c>
      <c r="P61" s="20" t="n">
        <v>0</v>
      </c>
      <c r="Q61" s="18" t="n">
        <v>0.65354454</v>
      </c>
      <c r="R61" s="20" t="n">
        <v>0.33804874</v>
      </c>
    </row>
    <row r="62" spans="1:18">
      <c r="A62" s="15" t="s">
        <v>622</v>
      </c>
      <c r="B62" s="17" t="n">
        <v>2230</v>
      </c>
      <c r="C62" s="18">
        <f>(1750.0/B62*100)</f>
        <v/>
      </c>
      <c r="D62" s="19" t="n">
        <v>480</v>
      </c>
      <c r="E62" s="18" t="n">
        <v>73.37851295999999</v>
      </c>
      <c r="F62" s="20" t="n">
        <v>1.9616666</v>
      </c>
      <c r="G62" s="18" t="n">
        <v>26.41438041</v>
      </c>
      <c r="H62" s="20" t="n">
        <v>1.95891911</v>
      </c>
      <c r="I62" s="18" t="n">
        <v>0</v>
      </c>
      <c r="J62" s="20" t="n">
        <v>0</v>
      </c>
      <c r="K62" s="18" t="n">
        <v>0</v>
      </c>
      <c r="L62" s="20" t="n">
        <v>0</v>
      </c>
      <c r="M62" s="18" t="n">
        <v>0</v>
      </c>
      <c r="N62" s="20" t="n">
        <v>0</v>
      </c>
      <c r="O62" s="18" t="n">
        <v>0</v>
      </c>
      <c r="P62" s="20" t="n">
        <v>0</v>
      </c>
      <c r="Q62" s="18" t="n">
        <v>0.20710664</v>
      </c>
      <c r="R62" s="20" t="n">
        <v>0.2050405</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(2169.0/B67*100)</f>
        <v/>
      </c>
      <c r="D67" s="19" t="n">
        <v>602</v>
      </c>
      <c r="E67" s="18" t="n">
        <v>79.21700992</v>
      </c>
      <c r="F67" s="20" t="n">
        <v>1.38824995</v>
      </c>
      <c r="G67" s="18" t="n">
        <v>18.78288539</v>
      </c>
      <c r="H67" s="20" t="n">
        <v>1.43262969</v>
      </c>
      <c r="I67" s="18" t="n">
        <v>0</v>
      </c>
      <c r="J67" s="20" t="n">
        <v>0</v>
      </c>
      <c r="K67" s="18" t="n">
        <v>0.1520139</v>
      </c>
      <c r="L67" s="20" t="n">
        <v>0.1522977</v>
      </c>
      <c r="M67" s="18" t="n">
        <v>0</v>
      </c>
      <c r="N67" s="20" t="n">
        <v>0</v>
      </c>
      <c r="O67" s="18" t="n">
        <v>0</v>
      </c>
      <c r="P67" s="20" t="n">
        <v>0</v>
      </c>
      <c r="Q67" s="18" t="n">
        <v>1.84809079</v>
      </c>
      <c r="R67" s="20" t="n">
        <v>0.49668612</v>
      </c>
    </row>
    <row r="68" spans="1:18">
      <c r="A68" s="15" t="s">
        <v>628</v>
      </c>
      <c r="B68" s="17" t="n">
        <v>3460</v>
      </c>
      <c r="C68" s="18">
        <f>(2741.0/B68*100)</f>
        <v/>
      </c>
      <c r="D68" s="19" t="n">
        <v>719</v>
      </c>
      <c r="E68" s="18" t="n">
        <v>82.52741055</v>
      </c>
      <c r="F68" s="20" t="n">
        <v>1.86069615</v>
      </c>
      <c r="G68" s="18" t="n">
        <v>12.49791494</v>
      </c>
      <c r="H68" s="20" t="n">
        <v>1.48649134</v>
      </c>
      <c r="I68" s="18" t="n">
        <v>0</v>
      </c>
      <c r="J68" s="20" t="n">
        <v>0</v>
      </c>
      <c r="K68" s="18" t="n">
        <v>0</v>
      </c>
      <c r="L68" s="20" t="n">
        <v>0</v>
      </c>
      <c r="M68" s="18" t="n">
        <v>0</v>
      </c>
      <c r="N68" s="20" t="n">
        <v>0</v>
      </c>
      <c r="O68" s="18" t="n">
        <v>0</v>
      </c>
      <c r="P68" s="20" t="n">
        <v>0</v>
      </c>
      <c r="Q68" s="18" t="n">
        <v>4.97467451</v>
      </c>
      <c r="R68" s="20" t="n">
        <v>0.9309909</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85.79890666</v>
      </c>
      <c r="F70" s="20" t="n">
        <v>1.03447579</v>
      </c>
      <c r="G70" s="18" t="n">
        <v>12.67263058</v>
      </c>
      <c r="H70" s="20" t="n">
        <v>0.97828072</v>
      </c>
      <c r="I70" s="18" t="n">
        <v>0</v>
      </c>
      <c r="J70" s="20" t="n">
        <v>0</v>
      </c>
      <c r="K70" s="18" t="n">
        <v>0.29100915</v>
      </c>
      <c r="L70" s="20" t="n">
        <v>0.17822532</v>
      </c>
      <c r="M70" s="18" t="n">
        <v>0</v>
      </c>
      <c r="N70" s="20" t="n">
        <v>0</v>
      </c>
      <c r="O70" s="18" t="n">
        <v>0</v>
      </c>
      <c r="P70" s="20" t="n">
        <v>0</v>
      </c>
      <c r="Q70" s="18" t="n">
        <v>1.23745361</v>
      </c>
      <c r="R70" s="20" t="n">
        <v>0.32940709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(2449.0/B72*100)</f>
        <v/>
      </c>
      <c r="D72" s="19" t="n">
        <v>658</v>
      </c>
      <c r="E72" s="18" t="n">
        <v>68.890011</v>
      </c>
      <c r="F72" s="20" t="n">
        <v>2.1081237</v>
      </c>
      <c r="G72" s="18" t="n">
        <v>30.46358668</v>
      </c>
      <c r="H72" s="20" t="n">
        <v>2.10916048</v>
      </c>
      <c r="I72" s="18" t="n">
        <v>0</v>
      </c>
      <c r="J72" s="20" t="n">
        <v>0</v>
      </c>
      <c r="K72" s="18" t="n">
        <v>0.07800844</v>
      </c>
      <c r="L72" s="20" t="n">
        <v>0.07870219000000001</v>
      </c>
      <c r="M72" s="18" t="n">
        <v>0</v>
      </c>
      <c r="N72" s="20" t="n">
        <v>0</v>
      </c>
      <c r="O72" s="18" t="n">
        <v>0</v>
      </c>
      <c r="P72" s="20" t="n">
        <v>0</v>
      </c>
      <c r="Q72" s="18" t="n">
        <v>0.56839389</v>
      </c>
      <c r="R72" s="20" t="n">
        <v>0.25167964</v>
      </c>
    </row>
    <row r="73" spans="1:18">
      <c r="A73" s="15" t="s">
        <v>633</v>
      </c>
      <c r="B73" s="17" t="n">
        <v>2973</v>
      </c>
      <c r="C73" s="18">
        <f>(2275.0/B73*100)</f>
        <v/>
      </c>
      <c r="D73" s="19" t="n">
        <v>698</v>
      </c>
      <c r="E73" s="18" t="n">
        <v>68.57645193</v>
      </c>
      <c r="F73" s="20" t="n">
        <v>1.85705858</v>
      </c>
      <c r="G73" s="18" t="n">
        <v>31.01050764</v>
      </c>
      <c r="H73" s="20" t="n">
        <v>1.83611918</v>
      </c>
      <c r="I73" s="18" t="n">
        <v>0</v>
      </c>
      <c r="J73" s="20" t="n">
        <v>0</v>
      </c>
      <c r="K73" s="18" t="n">
        <v>0</v>
      </c>
      <c r="L73" s="20" t="n">
        <v>0</v>
      </c>
      <c r="M73" s="18" t="n">
        <v>0</v>
      </c>
      <c r="N73" s="20" t="n">
        <v>0</v>
      </c>
      <c r="O73" s="18" t="n">
        <v>0</v>
      </c>
      <c r="P73" s="20" t="n">
        <v>0</v>
      </c>
      <c r="Q73" s="18" t="n">
        <v>0.41304043</v>
      </c>
      <c r="R73" s="20" t="n">
        <v>0.23811697</v>
      </c>
    </row>
    <row r="74" spans="1:18">
      <c r="A74" s="15" t="s">
        <v>634</v>
      </c>
      <c r="B74" s="17" t="n">
        <v>3819</v>
      </c>
      <c r="C74" s="18">
        <f>(2941.0/B74*100)</f>
        <v/>
      </c>
      <c r="D74" s="19" t="n">
        <v>878</v>
      </c>
      <c r="E74" s="18" t="n">
        <v>63.47318933</v>
      </c>
      <c r="F74" s="20" t="n">
        <v>2.06064147</v>
      </c>
      <c r="G74" s="18" t="n">
        <v>36.24635721</v>
      </c>
      <c r="H74" s="20" t="n">
        <v>2.09619664</v>
      </c>
      <c r="I74" s="18" t="n">
        <v>0</v>
      </c>
      <c r="J74" s="20" t="n">
        <v>0</v>
      </c>
      <c r="K74" s="18" t="n">
        <v>0.13112668</v>
      </c>
      <c r="L74" s="20" t="n">
        <v>0.09468809</v>
      </c>
      <c r="M74" s="18" t="n">
        <v>0</v>
      </c>
      <c r="N74" s="20" t="n">
        <v>0</v>
      </c>
      <c r="O74" s="18" t="n">
        <v>0</v>
      </c>
      <c r="P74" s="20" t="n">
        <v>0</v>
      </c>
      <c r="Q74" s="18" t="n">
        <v>0.14932678</v>
      </c>
      <c r="R74" s="20" t="n">
        <v>0.14833561</v>
      </c>
    </row>
    <row r="75" spans="1:18">
      <c r="A75" s="15" t="s">
        <v>635</v>
      </c>
      <c r="B75" s="17" t="n">
        <v>4652</v>
      </c>
      <c r="C75" s="18">
        <f>(3659.0/B75*100)</f>
        <v/>
      </c>
      <c r="D75" s="19" t="n">
        <v>993</v>
      </c>
      <c r="E75" s="18" t="n">
        <v>87.96406146</v>
      </c>
      <c r="F75" s="20" t="n">
        <v>1.19309518</v>
      </c>
      <c r="G75" s="18" t="n">
        <v>11.42246291</v>
      </c>
      <c r="H75" s="20" t="n">
        <v>1.17010507</v>
      </c>
      <c r="I75" s="18" t="n">
        <v>0</v>
      </c>
      <c r="J75" s="20" t="n">
        <v>0</v>
      </c>
      <c r="K75" s="18" t="n">
        <v>0</v>
      </c>
      <c r="L75" s="20" t="n">
        <v>0</v>
      </c>
      <c r="M75" s="18" t="n">
        <v>0</v>
      </c>
      <c r="N75" s="20" t="n">
        <v>0</v>
      </c>
      <c r="O75" s="18" t="n">
        <v>0</v>
      </c>
      <c r="P75" s="20" t="n">
        <v>0</v>
      </c>
      <c r="Q75" s="18" t="n">
        <v>0.61347563</v>
      </c>
      <c r="R75" s="20" t="n">
        <v>0.26753006</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(2385.0/B77*100)</f>
        <v/>
      </c>
      <c r="D77" s="19" t="n">
        <v>584</v>
      </c>
      <c r="E77" s="18" t="n">
        <v>85.13012035</v>
      </c>
      <c r="F77" s="20" t="n">
        <v>1.73630593</v>
      </c>
      <c r="G77" s="18" t="n">
        <v>9.1745956</v>
      </c>
      <c r="H77" s="20" t="n">
        <v>1.18793833</v>
      </c>
      <c r="I77" s="18" t="n">
        <v>0</v>
      </c>
      <c r="J77" s="20" t="n">
        <v>0</v>
      </c>
      <c r="K77" s="18" t="n">
        <v>1.63481057</v>
      </c>
      <c r="L77" s="20" t="n">
        <v>0.53414852</v>
      </c>
      <c r="M77" s="18" t="n">
        <v>0</v>
      </c>
      <c r="N77" s="20" t="n">
        <v>0</v>
      </c>
      <c r="O77" s="18" t="n">
        <v>0</v>
      </c>
      <c r="P77" s="20" t="n">
        <v>0</v>
      </c>
      <c r="Q77" s="18" t="n">
        <v>4.06047348</v>
      </c>
      <c r="R77" s="20" t="n">
        <v>0.88732825</v>
      </c>
    </row>
    <row r="78" spans="1:18">
      <c r="A78" s="15" t="s">
        <v>638</v>
      </c>
      <c r="B78" s="17" t="n">
        <v>7115</v>
      </c>
      <c r="C78" s="18">
        <f>(5531.0/B78*100)</f>
        <v/>
      </c>
      <c r="D78" s="19" t="n">
        <v>1584</v>
      </c>
      <c r="E78" s="18" t="n">
        <v>78.77024966</v>
      </c>
      <c r="F78" s="20" t="n">
        <v>1.5723832</v>
      </c>
      <c r="G78" s="18" t="n">
        <v>20.2407329</v>
      </c>
      <c r="H78" s="20" t="n">
        <v>1.55068214</v>
      </c>
      <c r="I78" s="18" t="n">
        <v>0</v>
      </c>
      <c r="J78" s="20" t="n">
        <v>0</v>
      </c>
      <c r="K78" s="18" t="n">
        <v>0.27737774</v>
      </c>
      <c r="L78" s="20" t="n">
        <v>0.09398325</v>
      </c>
      <c r="M78" s="18" t="n">
        <v>0</v>
      </c>
      <c r="N78" s="20" t="n">
        <v>0</v>
      </c>
      <c r="O78" s="18" t="n">
        <v>0</v>
      </c>
      <c r="P78" s="20" t="n">
        <v>0</v>
      </c>
      <c r="Q78" s="18" t="n">
        <v>0.7116397</v>
      </c>
      <c r="R78" s="20" t="n">
        <v>0.2340803</v>
      </c>
    </row>
    <row r="79" spans="1:18">
      <c r="A79" s="15" t="s">
        <v>639</v>
      </c>
      <c r="B79" s="17" t="n">
        <v>3154</v>
      </c>
      <c r="C79" s="18">
        <f>(2486.0/B79*100)</f>
        <v/>
      </c>
      <c r="D79" s="19" t="n">
        <v>668</v>
      </c>
      <c r="E79" s="18" t="n">
        <v>80.66359713999999</v>
      </c>
      <c r="F79" s="20" t="n">
        <v>1.68475514</v>
      </c>
      <c r="G79" s="18" t="n">
        <v>17.17004369</v>
      </c>
      <c r="H79" s="20" t="n">
        <v>1.57076235</v>
      </c>
      <c r="I79" s="18" t="n">
        <v>0</v>
      </c>
      <c r="J79" s="20" t="n">
        <v>0</v>
      </c>
      <c r="K79" s="18" t="n">
        <v>0.25024749</v>
      </c>
      <c r="L79" s="20" t="n">
        <v>0.25202929</v>
      </c>
      <c r="M79" s="18" t="n">
        <v>0</v>
      </c>
      <c r="N79" s="20" t="n">
        <v>0</v>
      </c>
      <c r="O79" s="18" t="n">
        <v>0</v>
      </c>
      <c r="P79" s="20" t="n">
        <v>0</v>
      </c>
      <c r="Q79" s="18" t="n">
        <v>1.91611167</v>
      </c>
      <c r="R79" s="20" t="n">
        <v>0.59287619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(12415.0/B82*100)</f>
        <v/>
      </c>
      <c r="D82" s="19" t="n">
        <v>3546</v>
      </c>
      <c r="E82" s="18" t="n">
        <v>69.8894415</v>
      </c>
      <c r="F82" s="20" t="n">
        <v>1.05504623</v>
      </c>
      <c r="G82" s="18" t="n">
        <v>29.69100142</v>
      </c>
      <c r="H82" s="20" t="n">
        <v>1.06974383</v>
      </c>
      <c r="I82" s="18" t="n">
        <v>0</v>
      </c>
      <c r="J82" s="20" t="n">
        <v>0</v>
      </c>
      <c r="K82" s="18" t="n">
        <v>0.0050443</v>
      </c>
      <c r="L82" s="20" t="n">
        <v>0.00482028</v>
      </c>
      <c r="M82" s="18" t="n">
        <v>0</v>
      </c>
      <c r="N82" s="20" t="n">
        <v>0</v>
      </c>
      <c r="O82" s="18" t="n">
        <v>0</v>
      </c>
      <c r="P82" s="20" t="n">
        <v>0</v>
      </c>
      <c r="Q82" s="18" t="n">
        <v>0.41451278</v>
      </c>
      <c r="R82" s="20" t="n">
        <v>0.13352761</v>
      </c>
    </row>
    <row r="83" spans="1:18">
      <c r="A83" s="15" t="s">
        <v>643</v>
      </c>
      <c r="B83" s="17" t="n">
        <v>808</v>
      </c>
      <c r="C83" s="18">
        <f>(647.0/B83*100)</f>
        <v/>
      </c>
      <c r="D83" s="19" t="n">
        <v>161</v>
      </c>
      <c r="E83" s="18" t="n">
        <v>67.92338005000001</v>
      </c>
      <c r="F83" s="20" t="n">
        <v>2.43170119</v>
      </c>
      <c r="G83" s="18" t="n">
        <v>32.07661995</v>
      </c>
      <c r="H83" s="20" t="n">
        <v>2.43170119</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(709.0/B84*100)</f>
        <v/>
      </c>
      <c r="D84" s="19" t="n">
        <v>229</v>
      </c>
      <c r="E84" s="18" t="n">
        <v>78.51038894</v>
      </c>
      <c r="F84" s="20" t="n">
        <v>3.16674589</v>
      </c>
      <c r="G84" s="18" t="n">
        <v>21.48961106</v>
      </c>
      <c r="H84" s="20" t="n">
        <v>3.16674589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(5576.0/B7*100)</f>
        <v/>
      </c>
      <c r="D7" s="19" t="n">
        <v>1587</v>
      </c>
      <c r="E7" s="18" t="n">
        <v>60.18769608</v>
      </c>
      <c r="F7" s="20" t="n">
        <v>1.62858079</v>
      </c>
      <c r="G7" s="18" t="n">
        <v>39.12907355</v>
      </c>
      <c r="H7" s="20" t="n">
        <v>1.62199153</v>
      </c>
      <c r="I7" s="18" t="n">
        <v>0</v>
      </c>
      <c r="J7" s="20" t="n">
        <v>0</v>
      </c>
      <c r="K7" s="18" t="n">
        <v>0.13386671</v>
      </c>
      <c r="L7" s="20" t="n">
        <v>0.09291263</v>
      </c>
      <c r="M7" s="18" t="n">
        <v>0</v>
      </c>
      <c r="N7" s="20" t="n">
        <v>0</v>
      </c>
      <c r="O7" s="18" t="n">
        <v>0</v>
      </c>
      <c r="P7" s="20" t="n">
        <v>0</v>
      </c>
      <c r="Q7" s="18" t="n">
        <v>0.54936366</v>
      </c>
      <c r="R7" s="20" t="n">
        <v>0.19731969</v>
      </c>
    </row>
    <row r="8" spans="1:18">
      <c r="A8" s="15" t="s">
        <v>566</v>
      </c>
      <c r="B8" s="17" t="n">
        <v>3443</v>
      </c>
      <c r="C8" s="18">
        <f>(2722.0/B8*100)</f>
        <v/>
      </c>
      <c r="D8" s="19" t="n">
        <v>721</v>
      </c>
      <c r="E8" s="18" t="n">
        <v>59.12754596</v>
      </c>
      <c r="F8" s="20" t="n">
        <v>2.46148043</v>
      </c>
      <c r="G8" s="18" t="n">
        <v>39.31821941</v>
      </c>
      <c r="H8" s="20" t="n">
        <v>2.5937397</v>
      </c>
      <c r="I8" s="18" t="n">
        <v>0</v>
      </c>
      <c r="J8" s="20" t="n">
        <v>0</v>
      </c>
      <c r="K8" s="18" t="n">
        <v>0</v>
      </c>
      <c r="L8" s="20" t="n">
        <v>0</v>
      </c>
      <c r="M8" s="18" t="n">
        <v>0</v>
      </c>
      <c r="N8" s="20" t="n">
        <v>0</v>
      </c>
      <c r="O8" s="18" t="n">
        <v>0</v>
      </c>
      <c r="P8" s="20" t="n">
        <v>0</v>
      </c>
      <c r="Q8" s="18" t="n">
        <v>1.55423464</v>
      </c>
      <c r="R8" s="20" t="n">
        <v>0.57764901</v>
      </c>
    </row>
    <row r="9" spans="1:18">
      <c r="A9" s="15" t="s">
        <v>567</v>
      </c>
      <c r="B9" s="17" t="n">
        <v>4752</v>
      </c>
      <c r="C9" s="18">
        <f>(3750.0/B9*100)</f>
        <v/>
      </c>
      <c r="D9" s="19" t="n">
        <v>1002</v>
      </c>
      <c r="E9" s="18" t="n">
        <v>53.08740362</v>
      </c>
      <c r="F9" s="20" t="n">
        <v>1.66506892</v>
      </c>
      <c r="G9" s="18" t="n">
        <v>45.06763595</v>
      </c>
      <c r="H9" s="20" t="n">
        <v>1.66958929</v>
      </c>
      <c r="I9" s="18" t="n">
        <v>0</v>
      </c>
      <c r="J9" s="20" t="n">
        <v>0</v>
      </c>
      <c r="K9" s="18" t="n">
        <v>0.23971056</v>
      </c>
      <c r="L9" s="20" t="n">
        <v>0.17768385</v>
      </c>
      <c r="M9" s="18" t="n">
        <v>0</v>
      </c>
      <c r="N9" s="20" t="n">
        <v>0</v>
      </c>
      <c r="O9" s="18" t="n">
        <v>0</v>
      </c>
      <c r="P9" s="20" t="n">
        <v>0</v>
      </c>
      <c r="Q9" s="18" t="n">
        <v>1.60524986</v>
      </c>
      <c r="R9" s="20" t="n">
        <v>0.40062849</v>
      </c>
    </row>
    <row r="10" spans="1:18">
      <c r="A10" s="15" t="s">
        <v>568</v>
      </c>
      <c r="B10" s="17" t="n">
        <v>10022</v>
      </c>
      <c r="C10" s="18">
        <f>(7765.0/B10*100)</f>
        <v/>
      </c>
      <c r="D10" s="19" t="n">
        <v>2257</v>
      </c>
      <c r="E10" s="18" t="n">
        <v>54.24224104</v>
      </c>
      <c r="F10" s="20" t="n">
        <v>1.46706738</v>
      </c>
      <c r="G10" s="18" t="n">
        <v>45.16117876</v>
      </c>
      <c r="H10" s="20" t="n">
        <v>1.48937166</v>
      </c>
      <c r="I10" s="18" t="n">
        <v>0</v>
      </c>
      <c r="J10" s="20" t="n">
        <v>0</v>
      </c>
      <c r="K10" s="18" t="n">
        <v>0.0157082</v>
      </c>
      <c r="L10" s="20" t="n">
        <v>0.01649769</v>
      </c>
      <c r="M10" s="18" t="n">
        <v>0</v>
      </c>
      <c r="N10" s="20" t="n">
        <v>0</v>
      </c>
      <c r="O10" s="18" t="n">
        <v>0</v>
      </c>
      <c r="P10" s="20" t="n">
        <v>0</v>
      </c>
      <c r="Q10" s="18" t="n">
        <v>0.5808720000000001</v>
      </c>
      <c r="R10" s="20" t="n">
        <v>0.23171047</v>
      </c>
    </row>
    <row r="11" spans="1:18">
      <c r="A11" s="15" t="s">
        <v>569</v>
      </c>
      <c r="B11" s="17" t="n">
        <v>3500</v>
      </c>
      <c r="C11" s="18">
        <f>(2705.0/B11*100)</f>
        <v/>
      </c>
      <c r="D11" s="19" t="n">
        <v>795</v>
      </c>
      <c r="E11" s="18" t="n">
        <v>72.79416645000001</v>
      </c>
      <c r="F11" s="20" t="n">
        <v>1.68188869</v>
      </c>
      <c r="G11" s="18" t="n">
        <v>25.6392265</v>
      </c>
      <c r="H11" s="20" t="n">
        <v>1.70632692</v>
      </c>
      <c r="I11" s="18" t="n">
        <v>0</v>
      </c>
      <c r="J11" s="20" t="n">
        <v>0</v>
      </c>
      <c r="K11" s="18" t="n">
        <v>0.1675218</v>
      </c>
      <c r="L11" s="20" t="n">
        <v>0.17392837</v>
      </c>
      <c r="M11" s="18" t="n">
        <v>0</v>
      </c>
      <c r="N11" s="20" t="n">
        <v>0</v>
      </c>
      <c r="O11" s="18" t="n">
        <v>0</v>
      </c>
      <c r="P11" s="20" t="n">
        <v>0</v>
      </c>
      <c r="Q11" s="18" t="n">
        <v>1.39908526</v>
      </c>
      <c r="R11" s="20" t="n">
        <v>0.4488253</v>
      </c>
    </row>
    <row r="12" spans="1:18">
      <c r="A12" s="15" t="s">
        <v>570</v>
      </c>
      <c r="B12" s="17" t="n">
        <v>3422</v>
      </c>
      <c r="C12" s="18">
        <f>(2645.0/B12*100)</f>
        <v/>
      </c>
      <c r="D12" s="19" t="n">
        <v>777</v>
      </c>
      <c r="E12" s="18" t="n">
        <v>45.45914677</v>
      </c>
      <c r="F12" s="20" t="n">
        <v>2.06194419</v>
      </c>
      <c r="G12" s="18" t="n">
        <v>53.2826492</v>
      </c>
      <c r="H12" s="20" t="n">
        <v>2.12447811</v>
      </c>
      <c r="I12" s="18" t="n">
        <v>0</v>
      </c>
      <c r="J12" s="20" t="n">
        <v>0</v>
      </c>
      <c r="K12" s="18" t="n">
        <v>0.12037498</v>
      </c>
      <c r="L12" s="20" t="n">
        <v>0.11935067</v>
      </c>
      <c r="M12" s="18" t="n">
        <v>0</v>
      </c>
      <c r="N12" s="20" t="n">
        <v>0</v>
      </c>
      <c r="O12" s="18" t="n">
        <v>0</v>
      </c>
      <c r="P12" s="20" t="n">
        <v>0</v>
      </c>
      <c r="Q12" s="18" t="n">
        <v>1.13782905</v>
      </c>
      <c r="R12" s="20" t="n">
        <v>0.48903075</v>
      </c>
    </row>
    <row r="13" spans="1:18">
      <c r="A13" s="15" t="s">
        <v>571</v>
      </c>
      <c r="B13" s="17" t="n">
        <v>3602</v>
      </c>
      <c r="C13" s="18">
        <f>(2839.0/B13*100)</f>
        <v/>
      </c>
      <c r="D13" s="19" t="n">
        <v>763</v>
      </c>
      <c r="E13" s="18" t="n">
        <v>53.97483254</v>
      </c>
      <c r="F13" s="20" t="n">
        <v>1.75767525</v>
      </c>
      <c r="G13" s="18" t="n">
        <v>45.37870463</v>
      </c>
      <c r="H13" s="20" t="n">
        <v>1.78654508</v>
      </c>
      <c r="I13" s="18" t="n">
        <v>0</v>
      </c>
      <c r="J13" s="20" t="n">
        <v>0</v>
      </c>
      <c r="K13" s="18" t="n">
        <v>0.35440597</v>
      </c>
      <c r="L13" s="20" t="n">
        <v>0.24881486</v>
      </c>
      <c r="M13" s="18" t="n">
        <v>0</v>
      </c>
      <c r="N13" s="20" t="n">
        <v>0</v>
      </c>
      <c r="O13" s="18" t="n">
        <v>0</v>
      </c>
      <c r="P13" s="20" t="n">
        <v>0</v>
      </c>
      <c r="Q13" s="18" t="n">
        <v>0.29205686</v>
      </c>
      <c r="R13" s="20" t="n">
        <v>0.11945303</v>
      </c>
    </row>
    <row r="14" spans="1:18">
      <c r="A14" s="15" t="s">
        <v>572</v>
      </c>
      <c r="B14" s="17" t="n">
        <v>2788</v>
      </c>
      <c r="C14" s="18">
        <f>(2224.0/B14*100)</f>
        <v/>
      </c>
      <c r="D14" s="19" t="n">
        <v>564</v>
      </c>
      <c r="E14" s="18" t="n">
        <v>58.65535922</v>
      </c>
      <c r="F14" s="20" t="n">
        <v>2.53977366</v>
      </c>
      <c r="G14" s="18" t="n">
        <v>40.66390446</v>
      </c>
      <c r="H14" s="20" t="n">
        <v>2.56066092</v>
      </c>
      <c r="I14" s="18" t="n">
        <v>0</v>
      </c>
      <c r="J14" s="20" t="n">
        <v>0</v>
      </c>
      <c r="K14" s="18" t="n">
        <v>0.13865745</v>
      </c>
      <c r="L14" s="20" t="n">
        <v>0.13028298</v>
      </c>
      <c r="M14" s="18" t="n">
        <v>0</v>
      </c>
      <c r="N14" s="20" t="n">
        <v>0</v>
      </c>
      <c r="O14" s="18" t="n">
        <v>0</v>
      </c>
      <c r="P14" s="20" t="n">
        <v>0</v>
      </c>
      <c r="Q14" s="18" t="n">
        <v>0.54207888</v>
      </c>
      <c r="R14" s="20" t="n">
        <v>0.27065788</v>
      </c>
    </row>
    <row r="15" spans="1:18">
      <c r="A15" s="15" t="s">
        <v>573</v>
      </c>
      <c r="B15" s="17" t="n">
        <v>2863</v>
      </c>
      <c r="C15" s="18">
        <f>(2221.0/B15*100)</f>
        <v/>
      </c>
      <c r="D15" s="19" t="n">
        <v>642</v>
      </c>
      <c r="E15" s="18" t="n">
        <v>58.41036633</v>
      </c>
      <c r="F15" s="20" t="n">
        <v>1.9681254</v>
      </c>
      <c r="G15" s="18" t="n">
        <v>41.13713004</v>
      </c>
      <c r="H15" s="20" t="n">
        <v>1.95305252</v>
      </c>
      <c r="I15" s="18" t="n">
        <v>0</v>
      </c>
      <c r="J15" s="20" t="n">
        <v>0</v>
      </c>
      <c r="K15" s="18" t="n">
        <v>0</v>
      </c>
      <c r="L15" s="20" t="n">
        <v>0</v>
      </c>
      <c r="M15" s="18" t="n">
        <v>0</v>
      </c>
      <c r="N15" s="20" t="n">
        <v>0</v>
      </c>
      <c r="O15" s="18" t="n">
        <v>0</v>
      </c>
      <c r="P15" s="20" t="n">
        <v>0</v>
      </c>
      <c r="Q15" s="18" t="n">
        <v>0.45250363</v>
      </c>
      <c r="R15" s="20" t="n">
        <v>0.26228491</v>
      </c>
    </row>
    <row r="16" spans="1:18">
      <c r="A16" s="15" t="s">
        <v>574</v>
      </c>
      <c r="B16" s="17" t="n">
        <v>3111</v>
      </c>
      <c r="C16" s="18">
        <f>(2415.0/B16*100)</f>
        <v/>
      </c>
      <c r="D16" s="19" t="n">
        <v>696</v>
      </c>
      <c r="E16" s="18" t="n">
        <v>60.72041326</v>
      </c>
      <c r="F16" s="20" t="n">
        <v>1.81019928</v>
      </c>
      <c r="G16" s="18" t="n">
        <v>37.96118983</v>
      </c>
      <c r="H16" s="20" t="n">
        <v>1.73167904</v>
      </c>
      <c r="I16" s="18" t="n">
        <v>0</v>
      </c>
      <c r="J16" s="20" t="n">
        <v>0</v>
      </c>
      <c r="K16" s="18" t="n">
        <v>0</v>
      </c>
      <c r="L16" s="20" t="n">
        <v>0</v>
      </c>
      <c r="M16" s="18" t="n">
        <v>0</v>
      </c>
      <c r="N16" s="20" t="n">
        <v>0</v>
      </c>
      <c r="O16" s="18" t="n">
        <v>0</v>
      </c>
      <c r="P16" s="20" t="n">
        <v>0</v>
      </c>
      <c r="Q16" s="18" t="n">
        <v>1.31839691</v>
      </c>
      <c r="R16" s="20" t="n">
        <v>0.42447446</v>
      </c>
    </row>
    <row r="17" spans="1:18">
      <c r="A17" s="15" t="s">
        <v>575</v>
      </c>
      <c r="B17" s="17" t="n">
        <v>3197</v>
      </c>
      <c r="C17" s="18">
        <f>(2523.0/B17*100)</f>
        <v/>
      </c>
      <c r="D17" s="19" t="n">
        <v>674</v>
      </c>
      <c r="E17" s="18" t="n">
        <v>63.38058516</v>
      </c>
      <c r="F17" s="20" t="n">
        <v>1.94986834</v>
      </c>
      <c r="G17" s="18" t="n">
        <v>35.60509077</v>
      </c>
      <c r="H17" s="20" t="n">
        <v>1.8618826</v>
      </c>
      <c r="I17" s="18" t="n">
        <v>0</v>
      </c>
      <c r="J17" s="20" t="n">
        <v>0</v>
      </c>
      <c r="K17" s="18" t="n">
        <v>0.15459232</v>
      </c>
      <c r="L17" s="20" t="n">
        <v>0.15311268</v>
      </c>
      <c r="M17" s="18" t="n">
        <v>0</v>
      </c>
      <c r="N17" s="20" t="n">
        <v>0</v>
      </c>
      <c r="O17" s="18" t="n">
        <v>0</v>
      </c>
      <c r="P17" s="20" t="n">
        <v>0</v>
      </c>
      <c r="Q17" s="18" t="n">
        <v>0.85973175</v>
      </c>
      <c r="R17" s="20" t="n">
        <v>0.38101191</v>
      </c>
    </row>
    <row r="18" spans="1:18">
      <c r="A18" s="15" t="s">
        <v>576</v>
      </c>
      <c r="B18" s="17" t="n">
        <v>2706</v>
      </c>
      <c r="C18" s="18">
        <f>(2096.0/B18*100)</f>
        <v/>
      </c>
      <c r="D18" s="19" t="n">
        <v>610</v>
      </c>
      <c r="E18" s="18" t="n">
        <v>67.27730165</v>
      </c>
      <c r="F18" s="20" t="n">
        <v>2.11998823</v>
      </c>
      <c r="G18" s="18" t="n">
        <v>30.95163169</v>
      </c>
      <c r="H18" s="20" t="n">
        <v>2.11636203</v>
      </c>
      <c r="I18" s="18" t="n">
        <v>0</v>
      </c>
      <c r="J18" s="20" t="n">
        <v>0</v>
      </c>
      <c r="K18" s="18" t="n">
        <v>0.32000133</v>
      </c>
      <c r="L18" s="20" t="n">
        <v>0.22287154</v>
      </c>
      <c r="M18" s="18" t="n">
        <v>0</v>
      </c>
      <c r="N18" s="20" t="n">
        <v>0</v>
      </c>
      <c r="O18" s="18" t="n">
        <v>0</v>
      </c>
      <c r="P18" s="20" t="n">
        <v>0</v>
      </c>
      <c r="Q18" s="18" t="n">
        <v>1.45106533</v>
      </c>
      <c r="R18" s="20" t="n">
        <v>0.49896999</v>
      </c>
    </row>
    <row r="19" spans="1:18">
      <c r="A19" s="15" t="s">
        <v>577</v>
      </c>
      <c r="B19" s="17" t="n">
        <v>2850</v>
      </c>
      <c r="C19" s="18">
        <f>(2168.0/B19*100)</f>
        <v/>
      </c>
      <c r="D19" s="19" t="n">
        <v>682</v>
      </c>
      <c r="E19" s="18" t="n">
        <v>54.55243856</v>
      </c>
      <c r="F19" s="20" t="n">
        <v>2.09632491</v>
      </c>
      <c r="G19" s="18" t="n">
        <v>44.47949409</v>
      </c>
      <c r="H19" s="20" t="n">
        <v>2.0699269</v>
      </c>
      <c r="I19" s="18" t="n">
        <v>0</v>
      </c>
      <c r="J19" s="20" t="n">
        <v>0</v>
      </c>
      <c r="K19" s="18" t="n">
        <v>0</v>
      </c>
      <c r="L19" s="20" t="n">
        <v>0</v>
      </c>
      <c r="M19" s="18" t="n">
        <v>0</v>
      </c>
      <c r="N19" s="20" t="n">
        <v>0</v>
      </c>
      <c r="O19" s="18" t="n">
        <v>0</v>
      </c>
      <c r="P19" s="20" t="n">
        <v>0</v>
      </c>
      <c r="Q19" s="18" t="n">
        <v>0.9680673400000001</v>
      </c>
      <c r="R19" s="20" t="n">
        <v>0.37799678</v>
      </c>
    </row>
    <row r="20" spans="1:18">
      <c r="A20" s="15" t="s">
        <v>578</v>
      </c>
      <c r="B20" s="17" t="n">
        <v>1741</v>
      </c>
      <c r="C20" s="18">
        <f>(1342.0/B20*100)</f>
        <v/>
      </c>
      <c r="D20" s="19" t="n">
        <v>399</v>
      </c>
      <c r="E20" s="18" t="n">
        <v>60.47935287</v>
      </c>
      <c r="F20" s="20" t="n">
        <v>2.42292002</v>
      </c>
      <c r="G20" s="18" t="n">
        <v>38.5034954</v>
      </c>
      <c r="H20" s="20" t="n">
        <v>2.38177349</v>
      </c>
      <c r="I20" s="18" t="n">
        <v>0</v>
      </c>
      <c r="J20" s="20" t="n">
        <v>0</v>
      </c>
      <c r="K20" s="18" t="n">
        <v>0.26345049</v>
      </c>
      <c r="L20" s="20" t="n">
        <v>0.26200181</v>
      </c>
      <c r="M20" s="18" t="n">
        <v>0</v>
      </c>
      <c r="N20" s="20" t="n">
        <v>0</v>
      </c>
      <c r="O20" s="18" t="n">
        <v>0</v>
      </c>
      <c r="P20" s="20" t="n">
        <v>0</v>
      </c>
      <c r="Q20" s="18" t="n">
        <v>0.75370125</v>
      </c>
      <c r="R20" s="20" t="n">
        <v>0.43015039</v>
      </c>
    </row>
    <row r="21" spans="1:18">
      <c r="A21" s="15" t="s">
        <v>579</v>
      </c>
      <c r="B21" s="17" t="n">
        <v>2833</v>
      </c>
      <c r="C21" s="18">
        <f>(2198.0/B21*100)</f>
        <v/>
      </c>
      <c r="D21" s="19" t="n">
        <v>635</v>
      </c>
      <c r="E21" s="18" t="n">
        <v>64.84606535</v>
      </c>
      <c r="F21" s="20" t="n">
        <v>2.0636423</v>
      </c>
      <c r="G21" s="18" t="n">
        <v>34.86639006</v>
      </c>
      <c r="H21" s="20" t="n">
        <v>2.074308</v>
      </c>
      <c r="I21" s="18" t="n">
        <v>0</v>
      </c>
      <c r="J21" s="20" t="n">
        <v>0</v>
      </c>
      <c r="K21" s="18" t="n">
        <v>0</v>
      </c>
      <c r="L21" s="20" t="n">
        <v>0</v>
      </c>
      <c r="M21" s="18" t="n">
        <v>0</v>
      </c>
      <c r="N21" s="20" t="n">
        <v>0</v>
      </c>
      <c r="O21" s="18" t="n">
        <v>0</v>
      </c>
      <c r="P21" s="20" t="n">
        <v>0</v>
      </c>
      <c r="Q21" s="18" t="n">
        <v>0.28754458</v>
      </c>
      <c r="R21" s="20" t="n">
        <v>0.20479745</v>
      </c>
    </row>
    <row r="22" spans="1:18">
      <c r="A22" s="15" t="s">
        <v>580</v>
      </c>
      <c r="B22" s="17" t="n">
        <v>3667</v>
      </c>
      <c r="C22" s="18">
        <f>(2861.0/B22*100)</f>
        <v/>
      </c>
      <c r="D22" s="19" t="n">
        <v>806</v>
      </c>
      <c r="E22" s="18" t="n">
        <v>53.96117306</v>
      </c>
      <c r="F22" s="20" t="n">
        <v>1.85774585</v>
      </c>
      <c r="G22" s="18" t="n">
        <v>43.86419077</v>
      </c>
      <c r="H22" s="20" t="n">
        <v>1.80055593</v>
      </c>
      <c r="I22" s="18" t="n">
        <v>0</v>
      </c>
      <c r="J22" s="20" t="n">
        <v>0</v>
      </c>
      <c r="K22" s="18" t="n">
        <v>0.25008992</v>
      </c>
      <c r="L22" s="20" t="n">
        <v>0.18153432</v>
      </c>
      <c r="M22" s="18" t="n">
        <v>0</v>
      </c>
      <c r="N22" s="20" t="n">
        <v>0</v>
      </c>
      <c r="O22" s="18" t="n">
        <v>0</v>
      </c>
      <c r="P22" s="20" t="n">
        <v>0</v>
      </c>
      <c r="Q22" s="18" t="n">
        <v>1.92454625</v>
      </c>
      <c r="R22" s="20" t="n">
        <v>0.48747812</v>
      </c>
    </row>
    <row r="23" spans="1:18">
      <c r="A23" s="15" t="s">
        <v>581</v>
      </c>
      <c r="B23" s="17" t="n">
        <v>5792</v>
      </c>
      <c r="C23" s="18">
        <f>(4557.0/B23*100)</f>
        <v/>
      </c>
      <c r="D23" s="19" t="n">
        <v>1235</v>
      </c>
      <c r="E23" s="18" t="n">
        <v>60.1696931</v>
      </c>
      <c r="F23" s="20" t="n">
        <v>2.32468063</v>
      </c>
      <c r="G23" s="18" t="n">
        <v>37.57234882</v>
      </c>
      <c r="H23" s="20" t="n">
        <v>2.31080537</v>
      </c>
      <c r="I23" s="18" t="n">
        <v>0</v>
      </c>
      <c r="J23" s="20" t="n">
        <v>0</v>
      </c>
      <c r="K23" s="18" t="n">
        <v>0.59801584</v>
      </c>
      <c r="L23" s="20" t="n">
        <v>0.37674557</v>
      </c>
      <c r="M23" s="18" t="n">
        <v>0</v>
      </c>
      <c r="N23" s="20" t="n">
        <v>0</v>
      </c>
      <c r="O23" s="18" t="n">
        <v>0</v>
      </c>
      <c r="P23" s="20" t="n">
        <v>0</v>
      </c>
      <c r="Q23" s="18" t="n">
        <v>1.65994223</v>
      </c>
      <c r="R23" s="20" t="n">
        <v>0.62691678</v>
      </c>
    </row>
    <row r="24" spans="1:18">
      <c r="A24" s="15" t="s">
        <v>582</v>
      </c>
      <c r="B24" s="17" t="n">
        <v>3309</v>
      </c>
      <c r="C24" s="18">
        <f>(2566.0/B24*100)</f>
        <v/>
      </c>
      <c r="D24" s="19" t="n">
        <v>743</v>
      </c>
      <c r="E24" s="18" t="n">
        <v>47.89092751</v>
      </c>
      <c r="F24" s="20" t="n">
        <v>1.927817</v>
      </c>
      <c r="G24" s="18" t="n">
        <v>51.82473832</v>
      </c>
      <c r="H24" s="20" t="n">
        <v>1.92180086</v>
      </c>
      <c r="I24" s="18" t="n">
        <v>0</v>
      </c>
      <c r="J24" s="20" t="n">
        <v>0</v>
      </c>
      <c r="K24" s="18" t="n">
        <v>0</v>
      </c>
      <c r="L24" s="20" t="n">
        <v>0</v>
      </c>
      <c r="M24" s="18" t="n">
        <v>0</v>
      </c>
      <c r="N24" s="20" t="n">
        <v>0</v>
      </c>
      <c r="O24" s="18" t="n">
        <v>0</v>
      </c>
      <c r="P24" s="20" t="n">
        <v>0</v>
      </c>
      <c r="Q24" s="18" t="n">
        <v>0.28433417</v>
      </c>
      <c r="R24" s="20" t="n">
        <v>0.20532014</v>
      </c>
    </row>
    <row r="25" spans="1:18">
      <c r="A25" s="15" t="s">
        <v>583</v>
      </c>
      <c r="B25" s="17" t="n">
        <v>2669</v>
      </c>
      <c r="C25" s="18">
        <f>(2096.0/B25*100)</f>
        <v/>
      </c>
      <c r="D25" s="19" t="n">
        <v>573</v>
      </c>
      <c r="E25" s="18" t="n">
        <v>41.32573016</v>
      </c>
      <c r="F25" s="20" t="n">
        <v>2.47239353</v>
      </c>
      <c r="G25" s="18" t="n">
        <v>57.60398577</v>
      </c>
      <c r="H25" s="20" t="n">
        <v>2.49515164</v>
      </c>
      <c r="I25" s="18" t="n">
        <v>0</v>
      </c>
      <c r="J25" s="20" t="n">
        <v>0</v>
      </c>
      <c r="K25" s="18" t="n">
        <v>0.16069487</v>
      </c>
      <c r="L25" s="20" t="n">
        <v>0.22390008</v>
      </c>
      <c r="M25" s="18" t="n">
        <v>0</v>
      </c>
      <c r="N25" s="20" t="n">
        <v>0</v>
      </c>
      <c r="O25" s="18" t="n">
        <v>0</v>
      </c>
      <c r="P25" s="20" t="n">
        <v>0</v>
      </c>
      <c r="Q25" s="18" t="n">
        <v>0.9095892</v>
      </c>
      <c r="R25" s="20" t="n">
        <v>0.39771075</v>
      </c>
    </row>
    <row r="26" spans="1:18">
      <c r="A26" s="15" t="s">
        <v>584</v>
      </c>
      <c r="B26" s="17" t="n">
        <v>2419</v>
      </c>
      <c r="C26" s="18">
        <f>(1922.0/B26*100)</f>
        <v/>
      </c>
      <c r="D26" s="19" t="n">
        <v>497</v>
      </c>
      <c r="E26" s="18" t="n">
        <v>63.3571196</v>
      </c>
      <c r="F26" s="20" t="n">
        <v>2.35906219</v>
      </c>
      <c r="G26" s="18" t="n">
        <v>35.8828701</v>
      </c>
      <c r="H26" s="20" t="n">
        <v>2.34154276</v>
      </c>
      <c r="I26" s="18" t="n">
        <v>0</v>
      </c>
      <c r="J26" s="20" t="n">
        <v>0</v>
      </c>
      <c r="K26" s="18" t="n">
        <v>0</v>
      </c>
      <c r="L26" s="20" t="n">
        <v>0</v>
      </c>
      <c r="M26" s="18" t="n">
        <v>0</v>
      </c>
      <c r="N26" s="20" t="n">
        <v>0</v>
      </c>
      <c r="O26" s="18" t="n">
        <v>0</v>
      </c>
      <c r="P26" s="20" t="n">
        <v>0</v>
      </c>
      <c r="Q26" s="18" t="n">
        <v>0.7600103</v>
      </c>
      <c r="R26" s="20" t="n">
        <v>0.5065291200000001</v>
      </c>
    </row>
    <row r="27" spans="1:18">
      <c r="A27" s="15" t="s">
        <v>585</v>
      </c>
      <c r="B27" s="17" t="n">
        <v>2683</v>
      </c>
      <c r="C27" s="18">
        <f>(2092.0/B27*100)</f>
        <v/>
      </c>
      <c r="D27" s="19" t="n">
        <v>591</v>
      </c>
      <c r="E27" s="18" t="n">
        <v>59.20384076</v>
      </c>
      <c r="F27" s="20" t="n">
        <v>2.1198567</v>
      </c>
      <c r="G27" s="18" t="n">
        <v>38.72779858</v>
      </c>
      <c r="H27" s="20" t="n">
        <v>2.04635714</v>
      </c>
      <c r="I27" s="18" t="n">
        <v>0</v>
      </c>
      <c r="J27" s="20" t="n">
        <v>0</v>
      </c>
      <c r="K27" s="18" t="n">
        <v>0.35312238</v>
      </c>
      <c r="L27" s="20" t="n">
        <v>0.24444435</v>
      </c>
      <c r="M27" s="18" t="n">
        <v>0</v>
      </c>
      <c r="N27" s="20" t="n">
        <v>0</v>
      </c>
      <c r="O27" s="18" t="n">
        <v>0</v>
      </c>
      <c r="P27" s="20" t="n">
        <v>0</v>
      </c>
      <c r="Q27" s="18" t="n">
        <v>1.71523828</v>
      </c>
      <c r="R27" s="20" t="n">
        <v>0.53813322</v>
      </c>
    </row>
    <row r="28" spans="1:18">
      <c r="A28" s="15" t="s">
        <v>586</v>
      </c>
      <c r="B28" s="17" t="n">
        <v>3803</v>
      </c>
      <c r="C28" s="18">
        <f>(2962.0/B28*100)</f>
        <v/>
      </c>
      <c r="D28" s="19" t="n">
        <v>841</v>
      </c>
      <c r="E28" s="18" t="n">
        <v>74.45118693000001</v>
      </c>
      <c r="F28" s="20" t="n">
        <v>1.60607772</v>
      </c>
      <c r="G28" s="18" t="n">
        <v>23.44942178</v>
      </c>
      <c r="H28" s="20" t="n">
        <v>1.53116609</v>
      </c>
      <c r="I28" s="18" t="n">
        <v>0</v>
      </c>
      <c r="J28" s="20" t="n">
        <v>0</v>
      </c>
      <c r="K28" s="18" t="n">
        <v>0.55248707</v>
      </c>
      <c r="L28" s="20" t="n">
        <v>0.44337335</v>
      </c>
      <c r="M28" s="18" t="n">
        <v>0</v>
      </c>
      <c r="N28" s="20" t="n">
        <v>0</v>
      </c>
      <c r="O28" s="18" t="n">
        <v>0</v>
      </c>
      <c r="P28" s="20" t="n">
        <v>0</v>
      </c>
      <c r="Q28" s="18" t="n">
        <v>1.54690423</v>
      </c>
      <c r="R28" s="20" t="n">
        <v>0.45969425</v>
      </c>
    </row>
    <row r="29" spans="1:18">
      <c r="A29" s="15" t="s">
        <v>587</v>
      </c>
      <c r="B29" s="17" t="n">
        <v>2700</v>
      </c>
      <c r="C29" s="18">
        <f>(2100.0/B29*100)</f>
        <v/>
      </c>
      <c r="D29" s="19" t="n">
        <v>600</v>
      </c>
      <c r="E29" s="18" t="n">
        <v>56.76500272</v>
      </c>
      <c r="F29" s="20" t="n">
        <v>2.06878989</v>
      </c>
      <c r="G29" s="18" t="n">
        <v>42.69790664</v>
      </c>
      <c r="H29" s="20" t="n">
        <v>2.08142332</v>
      </c>
      <c r="I29" s="18" t="n">
        <v>0</v>
      </c>
      <c r="J29" s="20" t="n">
        <v>0</v>
      </c>
      <c r="K29" s="18" t="n">
        <v>0</v>
      </c>
      <c r="L29" s="20" t="n">
        <v>0</v>
      </c>
      <c r="M29" s="18" t="n">
        <v>0</v>
      </c>
      <c r="N29" s="20" t="n">
        <v>0</v>
      </c>
      <c r="O29" s="18" t="n">
        <v>0</v>
      </c>
      <c r="P29" s="20" t="n">
        <v>0</v>
      </c>
      <c r="Q29" s="18" t="n">
        <v>0.53709064</v>
      </c>
      <c r="R29" s="20" t="n">
        <v>0.29611515</v>
      </c>
    </row>
    <row r="30" spans="1:18">
      <c r="A30" s="15" t="s">
        <v>588</v>
      </c>
      <c r="B30" s="17" t="n">
        <v>2257</v>
      </c>
      <c r="C30" s="18">
        <f>(1727.0/B30*100)</f>
        <v/>
      </c>
      <c r="D30" s="19" t="n">
        <v>530</v>
      </c>
      <c r="E30" s="18" t="n">
        <v>59.63791433</v>
      </c>
      <c r="F30" s="20" t="n">
        <v>2.27102696</v>
      </c>
      <c r="G30" s="18" t="n">
        <v>39.77678632</v>
      </c>
      <c r="H30" s="20" t="n">
        <v>2.23035533</v>
      </c>
      <c r="I30" s="18" t="n">
        <v>0</v>
      </c>
      <c r="J30" s="20" t="n">
        <v>0</v>
      </c>
      <c r="K30" s="18" t="n">
        <v>0</v>
      </c>
      <c r="L30" s="20" t="n">
        <v>0</v>
      </c>
      <c r="M30" s="18" t="n">
        <v>0</v>
      </c>
      <c r="N30" s="20" t="n">
        <v>0</v>
      </c>
      <c r="O30" s="18" t="n">
        <v>0</v>
      </c>
      <c r="P30" s="20" t="n">
        <v>0</v>
      </c>
      <c r="Q30" s="18" t="n">
        <v>0.5852993399999999</v>
      </c>
      <c r="R30" s="20" t="n">
        <v>0.28008533</v>
      </c>
    </row>
    <row r="31" spans="1:18">
      <c r="A31" s="15" t="s">
        <v>589</v>
      </c>
      <c r="B31" s="17" t="n">
        <v>2706</v>
      </c>
      <c r="C31" s="18">
        <f>(2090.0/B31*100)</f>
        <v/>
      </c>
      <c r="D31" s="19" t="n">
        <v>616</v>
      </c>
      <c r="E31" s="18" t="n">
        <v>50.01572729</v>
      </c>
      <c r="F31" s="20" t="n">
        <v>2.48928484</v>
      </c>
      <c r="G31" s="18" t="n">
        <v>49.21030227</v>
      </c>
      <c r="H31" s="20" t="n">
        <v>2.45657013</v>
      </c>
      <c r="I31" s="18" t="n">
        <v>0</v>
      </c>
      <c r="J31" s="20" t="n">
        <v>0</v>
      </c>
      <c r="K31" s="18" t="n">
        <v>0</v>
      </c>
      <c r="L31" s="20" t="n">
        <v>0</v>
      </c>
      <c r="M31" s="18" t="n">
        <v>0</v>
      </c>
      <c r="N31" s="20" t="n">
        <v>0</v>
      </c>
      <c r="O31" s="18" t="n">
        <v>0</v>
      </c>
      <c r="P31" s="20" t="n">
        <v>0</v>
      </c>
      <c r="Q31" s="18" t="n">
        <v>0.77397043</v>
      </c>
      <c r="R31" s="20" t="n">
        <v>0.34419457</v>
      </c>
    </row>
    <row r="32" spans="1:18">
      <c r="A32" s="15" t="s">
        <v>590</v>
      </c>
      <c r="B32" s="17" t="n">
        <v>2209</v>
      </c>
      <c r="C32" s="18">
        <f>(1746.0/B32*100)</f>
        <v/>
      </c>
      <c r="D32" s="19" t="n">
        <v>463</v>
      </c>
      <c r="E32" s="18" t="n">
        <v>43.41595657</v>
      </c>
      <c r="F32" s="20" t="n">
        <v>2.16314698</v>
      </c>
      <c r="G32" s="18" t="n">
        <v>56.14995466</v>
      </c>
      <c r="H32" s="20" t="n">
        <v>2.21046724</v>
      </c>
      <c r="I32" s="18" t="n">
        <v>0</v>
      </c>
      <c r="J32" s="20" t="n">
        <v>0</v>
      </c>
      <c r="K32" s="18" t="n">
        <v>0</v>
      </c>
      <c r="L32" s="20" t="n">
        <v>0</v>
      </c>
      <c r="M32" s="18" t="n">
        <v>0</v>
      </c>
      <c r="N32" s="20" t="n">
        <v>0</v>
      </c>
      <c r="O32" s="18" t="n">
        <v>0</v>
      </c>
      <c r="P32" s="20" t="n">
        <v>0</v>
      </c>
      <c r="Q32" s="18" t="n">
        <v>0.43408877</v>
      </c>
      <c r="R32" s="20" t="n">
        <v>0.30800202</v>
      </c>
    </row>
    <row r="33" spans="1:18">
      <c r="A33" s="15" t="s">
        <v>591</v>
      </c>
      <c r="B33" s="17" t="n">
        <v>3651</v>
      </c>
      <c r="C33" s="18">
        <f>(2882.0/B33*100)</f>
        <v/>
      </c>
      <c r="D33" s="19" t="n">
        <v>769</v>
      </c>
      <c r="E33" s="18" t="n">
        <v>56.56212418</v>
      </c>
      <c r="F33" s="20" t="n">
        <v>2.00822496</v>
      </c>
      <c r="G33" s="18" t="n">
        <v>43.21966194</v>
      </c>
      <c r="H33" s="20" t="n">
        <v>1.98045432</v>
      </c>
      <c r="I33" s="18" t="n">
        <v>0</v>
      </c>
      <c r="J33" s="20" t="n">
        <v>0</v>
      </c>
      <c r="K33" s="18" t="n">
        <v>0</v>
      </c>
      <c r="L33" s="20" t="n">
        <v>0</v>
      </c>
      <c r="M33" s="18" t="n">
        <v>0</v>
      </c>
      <c r="N33" s="20" t="n">
        <v>0</v>
      </c>
      <c r="O33" s="18" t="n">
        <v>0</v>
      </c>
      <c r="P33" s="20" t="n">
        <v>0</v>
      </c>
      <c r="Q33" s="18" t="n">
        <v>0.21821388</v>
      </c>
      <c r="R33" s="20" t="n">
        <v>0.15930111</v>
      </c>
    </row>
    <row r="34" spans="1:18">
      <c r="A34" s="15" t="s">
        <v>592</v>
      </c>
      <c r="B34" s="17" t="n">
        <v>3035</v>
      </c>
      <c r="C34" s="18">
        <f>(2351.0/B34*100)</f>
        <v/>
      </c>
      <c r="D34" s="19" t="n">
        <v>684</v>
      </c>
      <c r="E34" s="18" t="n">
        <v>64.98626732</v>
      </c>
      <c r="F34" s="20" t="n">
        <v>1.80283058</v>
      </c>
      <c r="G34" s="18" t="n">
        <v>34.15963531</v>
      </c>
      <c r="H34" s="20" t="n">
        <v>1.76682235</v>
      </c>
      <c r="I34" s="18" t="n">
        <v>0</v>
      </c>
      <c r="J34" s="20" t="n">
        <v>0</v>
      </c>
      <c r="K34" s="18" t="n">
        <v>0.26125364</v>
      </c>
      <c r="L34" s="20" t="n">
        <v>0.18554115</v>
      </c>
      <c r="M34" s="18" t="n">
        <v>0</v>
      </c>
      <c r="N34" s="20" t="n">
        <v>0</v>
      </c>
      <c r="O34" s="18" t="n">
        <v>0</v>
      </c>
      <c r="P34" s="20" t="n">
        <v>0</v>
      </c>
      <c r="Q34" s="18" t="n">
        <v>0.59284373</v>
      </c>
      <c r="R34" s="20" t="n">
        <v>0.35231655</v>
      </c>
    </row>
    <row r="35" spans="1:18">
      <c r="A35" s="15" t="s">
        <v>593</v>
      </c>
      <c r="B35" s="17" t="n">
        <v>2901</v>
      </c>
      <c r="C35" s="18">
        <f>(2266.0/B35*100)</f>
        <v/>
      </c>
      <c r="D35" s="19" t="n">
        <v>635</v>
      </c>
      <c r="E35" s="18" t="n">
        <v>50.55384774</v>
      </c>
      <c r="F35" s="20" t="n">
        <v>2.38282297</v>
      </c>
      <c r="G35" s="18" t="n">
        <v>49.03369149</v>
      </c>
      <c r="H35" s="20" t="n">
        <v>2.36601431</v>
      </c>
      <c r="I35" s="18" t="n">
        <v>0</v>
      </c>
      <c r="J35" s="20" t="n">
        <v>0</v>
      </c>
      <c r="K35" s="18" t="n">
        <v>0</v>
      </c>
      <c r="L35" s="20" t="n">
        <v>0</v>
      </c>
      <c r="M35" s="18" t="n">
        <v>0</v>
      </c>
      <c r="N35" s="20" t="n">
        <v>0</v>
      </c>
      <c r="O35" s="18" t="n">
        <v>0</v>
      </c>
      <c r="P35" s="20" t="n">
        <v>0</v>
      </c>
      <c r="Q35" s="18" t="n">
        <v>0.41246077</v>
      </c>
      <c r="R35" s="20" t="n">
        <v>0.2298111</v>
      </c>
    </row>
    <row r="36" spans="1:18">
      <c r="A36" s="15" t="s">
        <v>594</v>
      </c>
      <c r="B36" s="17" t="n">
        <v>3404</v>
      </c>
      <c r="C36" s="18">
        <f>(2653.0/B36*100)</f>
        <v/>
      </c>
      <c r="D36" s="19" t="n">
        <v>751</v>
      </c>
      <c r="E36" s="18" t="n">
        <v>53.08434104</v>
      </c>
      <c r="F36" s="20" t="n">
        <v>1.97265859</v>
      </c>
      <c r="G36" s="18" t="n">
        <v>46.26471009</v>
      </c>
      <c r="H36" s="20" t="n">
        <v>1.9819616</v>
      </c>
      <c r="I36" s="18" t="n">
        <v>0</v>
      </c>
      <c r="J36" s="20" t="n">
        <v>0</v>
      </c>
      <c r="K36" s="18" t="n">
        <v>0</v>
      </c>
      <c r="L36" s="20" t="n">
        <v>0</v>
      </c>
      <c r="M36" s="18" t="n">
        <v>0</v>
      </c>
      <c r="N36" s="20" t="n">
        <v>0</v>
      </c>
      <c r="O36" s="18" t="n">
        <v>0</v>
      </c>
      <c r="P36" s="20" t="n">
        <v>0</v>
      </c>
      <c r="Q36" s="18" t="n">
        <v>0.65094887</v>
      </c>
      <c r="R36" s="20" t="n">
        <v>0.354578</v>
      </c>
    </row>
    <row r="37" spans="1:18">
      <c r="A37" s="15" t="s">
        <v>595</v>
      </c>
      <c r="B37" s="17" t="n">
        <v>2731</v>
      </c>
      <c r="C37" s="18">
        <f>(2140.0/B37*100)</f>
        <v/>
      </c>
      <c r="D37" s="19" t="n">
        <v>591</v>
      </c>
      <c r="E37" s="18" t="n">
        <v>52.20180285</v>
      </c>
      <c r="F37" s="20" t="n">
        <v>2.68690335</v>
      </c>
      <c r="G37" s="18" t="n">
        <v>45.65651975</v>
      </c>
      <c r="H37" s="20" t="n">
        <v>2.77625906</v>
      </c>
      <c r="I37" s="18" t="n">
        <v>0</v>
      </c>
      <c r="J37" s="20" t="n">
        <v>0</v>
      </c>
      <c r="K37" s="18" t="n">
        <v>0.17243044</v>
      </c>
      <c r="L37" s="20" t="n">
        <v>0.17244886</v>
      </c>
      <c r="M37" s="18" t="n">
        <v>0</v>
      </c>
      <c r="N37" s="20" t="n">
        <v>0</v>
      </c>
      <c r="O37" s="18" t="n">
        <v>0</v>
      </c>
      <c r="P37" s="20" t="n">
        <v>0</v>
      </c>
      <c r="Q37" s="18" t="n">
        <v>1.96924696</v>
      </c>
      <c r="R37" s="20" t="n">
        <v>0.60092702</v>
      </c>
    </row>
    <row r="38" spans="1:18">
      <c r="A38" s="15" t="s">
        <v>596</v>
      </c>
      <c r="B38" s="17" t="n">
        <v>2807</v>
      </c>
      <c r="C38" s="18">
        <f>(2226.0/B38*100)</f>
        <v/>
      </c>
      <c r="D38" s="19" t="n">
        <v>581</v>
      </c>
      <c r="E38" s="18" t="n">
        <v>57.09309898</v>
      </c>
      <c r="F38" s="20" t="n">
        <v>2.08127732</v>
      </c>
      <c r="G38" s="18" t="n">
        <v>41.30316655</v>
      </c>
      <c r="H38" s="20" t="n">
        <v>2.1815013</v>
      </c>
      <c r="I38" s="18" t="n">
        <v>0</v>
      </c>
      <c r="J38" s="20" t="n">
        <v>0</v>
      </c>
      <c r="K38" s="18" t="n">
        <v>0</v>
      </c>
      <c r="L38" s="20" t="n">
        <v>0</v>
      </c>
      <c r="M38" s="18" t="n">
        <v>0</v>
      </c>
      <c r="N38" s="20" t="n">
        <v>0</v>
      </c>
      <c r="O38" s="18" t="n">
        <v>0</v>
      </c>
      <c r="P38" s="20" t="n">
        <v>0</v>
      </c>
      <c r="Q38" s="18" t="n">
        <v>1.60373447</v>
      </c>
      <c r="R38" s="20" t="n">
        <v>0.58005082</v>
      </c>
    </row>
    <row r="39" spans="1:18">
      <c r="A39" s="15" t="s">
        <v>597</v>
      </c>
      <c r="B39" s="17" t="n">
        <v>2938</v>
      </c>
      <c r="C39" s="18">
        <f>(2268.0/B39*100)</f>
        <v/>
      </c>
      <c r="D39" s="19" t="n">
        <v>670</v>
      </c>
      <c r="E39" s="18" t="n">
        <v>47.69035989</v>
      </c>
      <c r="F39" s="20" t="n">
        <v>2.06368938</v>
      </c>
      <c r="G39" s="18" t="n">
        <v>50.88443778</v>
      </c>
      <c r="H39" s="20" t="n">
        <v>2.05487103</v>
      </c>
      <c r="I39" s="18" t="n">
        <v>0</v>
      </c>
      <c r="J39" s="20" t="n">
        <v>0</v>
      </c>
      <c r="K39" s="18" t="n">
        <v>0.18698358</v>
      </c>
      <c r="L39" s="20" t="n">
        <v>0.17762481</v>
      </c>
      <c r="M39" s="18" t="n">
        <v>0</v>
      </c>
      <c r="N39" s="20" t="n">
        <v>0</v>
      </c>
      <c r="O39" s="18" t="n">
        <v>0</v>
      </c>
      <c r="P39" s="20" t="n">
        <v>0</v>
      </c>
      <c r="Q39" s="18" t="n">
        <v>1.23821874</v>
      </c>
      <c r="R39" s="20" t="n">
        <v>0.39852747</v>
      </c>
    </row>
    <row r="40" spans="1:18">
      <c r="A40" s="15" t="s">
        <v>598</v>
      </c>
      <c r="B40" s="17" t="n">
        <v>6922</v>
      </c>
      <c r="C40" s="18">
        <f>(5375.0/B40*100)</f>
        <v/>
      </c>
      <c r="D40" s="19" t="n">
        <v>1547</v>
      </c>
      <c r="E40" s="18" t="n">
        <v>69.50944948999999</v>
      </c>
      <c r="F40" s="20" t="n">
        <v>1.86525595</v>
      </c>
      <c r="G40" s="18" t="n">
        <v>29.76068975</v>
      </c>
      <c r="H40" s="20" t="n">
        <v>1.90324749</v>
      </c>
      <c r="I40" s="18" t="n">
        <v>0</v>
      </c>
      <c r="J40" s="20" t="n">
        <v>0</v>
      </c>
      <c r="K40" s="18" t="n">
        <v>0.01322615</v>
      </c>
      <c r="L40" s="20" t="n">
        <v>0.01343985</v>
      </c>
      <c r="M40" s="18" t="n">
        <v>0</v>
      </c>
      <c r="N40" s="20" t="n">
        <v>0</v>
      </c>
      <c r="O40" s="18" t="n">
        <v>0</v>
      </c>
      <c r="P40" s="20" t="n">
        <v>0</v>
      </c>
      <c r="Q40" s="18" t="n">
        <v>0.7166346</v>
      </c>
      <c r="R40" s="20" t="n">
        <v>0.35450078</v>
      </c>
    </row>
    <row r="41" spans="1:18">
      <c r="A41" s="15" t="s">
        <v>599</v>
      </c>
      <c r="B41" s="17" t="n">
        <v>2854</v>
      </c>
      <c r="C41" s="18">
        <f>(2217.0/B41*100)</f>
        <v/>
      </c>
      <c r="D41" s="19" t="n">
        <v>637</v>
      </c>
      <c r="E41" s="18" t="n">
        <v>60.16400274</v>
      </c>
      <c r="F41" s="20" t="n">
        <v>2.05050344</v>
      </c>
      <c r="G41" s="18" t="n">
        <v>39.15193141</v>
      </c>
      <c r="H41" s="20" t="n">
        <v>1.93063715</v>
      </c>
      <c r="I41" s="18" t="n">
        <v>0</v>
      </c>
      <c r="J41" s="20" t="n">
        <v>0</v>
      </c>
      <c r="K41" s="18" t="n">
        <v>0</v>
      </c>
      <c r="L41" s="20" t="n">
        <v>0</v>
      </c>
      <c r="M41" s="18" t="n">
        <v>0</v>
      </c>
      <c r="N41" s="20" t="n">
        <v>0</v>
      </c>
      <c r="O41" s="18" t="n">
        <v>0</v>
      </c>
      <c r="P41" s="20" t="n">
        <v>0</v>
      </c>
      <c r="Q41" s="18" t="n">
        <v>0.68406584</v>
      </c>
      <c r="R41" s="20" t="n">
        <v>0.54668931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(9707.0/B46*100)</f>
        <v/>
      </c>
      <c r="D46" s="19" t="n">
        <v>2366</v>
      </c>
      <c r="E46" s="18" t="n">
        <v>68.72683489000001</v>
      </c>
      <c r="F46" s="20" t="n">
        <v>1.32102685</v>
      </c>
      <c r="G46" s="18" t="n">
        <v>28.87846857</v>
      </c>
      <c r="H46" s="20" t="n">
        <v>1.34348499</v>
      </c>
      <c r="I46" s="18" t="n">
        <v>0</v>
      </c>
      <c r="J46" s="20" t="n">
        <v>0</v>
      </c>
      <c r="K46" s="18" t="n">
        <v>0.37550318</v>
      </c>
      <c r="L46" s="20" t="n">
        <v>0.17480421</v>
      </c>
      <c r="M46" s="18" t="n">
        <v>0</v>
      </c>
      <c r="N46" s="20" t="n">
        <v>0</v>
      </c>
      <c r="O46" s="18" t="n">
        <v>0</v>
      </c>
      <c r="P46" s="20" t="n">
        <v>0</v>
      </c>
      <c r="Q46" s="18" t="n">
        <v>2.01919336</v>
      </c>
      <c r="R46" s="20" t="n">
        <v>0.34624223</v>
      </c>
    </row>
    <row r="47" spans="1:18">
      <c r="A47" s="15" t="s">
        <v>606</v>
      </c>
      <c r="B47" s="17" t="n">
        <v>2823</v>
      </c>
      <c r="C47" s="18">
        <f>(2187.0/B47*100)</f>
        <v/>
      </c>
      <c r="D47" s="19" t="n">
        <v>636</v>
      </c>
      <c r="E47" s="18" t="n">
        <v>64.56708256</v>
      </c>
      <c r="F47" s="20" t="n">
        <v>2.18830896</v>
      </c>
      <c r="G47" s="18" t="n">
        <v>34.6613423</v>
      </c>
      <c r="H47" s="20" t="n">
        <v>2.17082485</v>
      </c>
      <c r="I47" s="18" t="n">
        <v>0</v>
      </c>
      <c r="J47" s="20" t="n">
        <v>0</v>
      </c>
      <c r="K47" s="18" t="n">
        <v>0.14814093</v>
      </c>
      <c r="L47" s="20" t="n">
        <v>0.14831057</v>
      </c>
      <c r="M47" s="18" t="n">
        <v>0</v>
      </c>
      <c r="N47" s="20" t="n">
        <v>0</v>
      </c>
      <c r="O47" s="18" t="n">
        <v>0</v>
      </c>
      <c r="P47" s="20" t="n">
        <v>0</v>
      </c>
      <c r="Q47" s="18" t="n">
        <v>0.6234342</v>
      </c>
      <c r="R47" s="20" t="n">
        <v>0.2573395</v>
      </c>
    </row>
    <row r="48" spans="1:18">
      <c r="A48" s="15" t="s">
        <v>607</v>
      </c>
      <c r="B48" s="17" t="n">
        <v>4682</v>
      </c>
      <c r="C48" s="18">
        <f>(3690.0/B48*100)</f>
        <v/>
      </c>
      <c r="D48" s="19" t="n">
        <v>992</v>
      </c>
      <c r="E48" s="18" t="n">
        <v>69.63652595000001</v>
      </c>
      <c r="F48" s="20" t="n">
        <v>2.38973703</v>
      </c>
      <c r="G48" s="18" t="n">
        <v>28.40960888</v>
      </c>
      <c r="H48" s="20" t="n">
        <v>2.31950982</v>
      </c>
      <c r="I48" s="18" t="n">
        <v>0</v>
      </c>
      <c r="J48" s="20" t="n">
        <v>0</v>
      </c>
      <c r="K48" s="18" t="n">
        <v>0.17301656</v>
      </c>
      <c r="L48" s="20" t="n">
        <v>0.17245634</v>
      </c>
      <c r="M48" s="18" t="n">
        <v>0</v>
      </c>
      <c r="N48" s="20" t="n">
        <v>0</v>
      </c>
      <c r="O48" s="18" t="n">
        <v>0</v>
      </c>
      <c r="P48" s="20" t="n">
        <v>0</v>
      </c>
      <c r="Q48" s="18" t="n">
        <v>1.78084861</v>
      </c>
      <c r="R48" s="20" t="n">
        <v>0.47915205</v>
      </c>
    </row>
    <row r="49" spans="1:18">
      <c r="A49" s="15" t="s">
        <v>608</v>
      </c>
      <c r="B49" s="17" t="n">
        <v>6158</v>
      </c>
      <c r="C49" s="18">
        <f>(4822.0/B49*100)</f>
        <v/>
      </c>
      <c r="D49" s="19" t="n">
        <v>1336</v>
      </c>
      <c r="E49" s="18" t="n">
        <v>77.69859239</v>
      </c>
      <c r="F49" s="20" t="n">
        <v>1.55612833</v>
      </c>
      <c r="G49" s="18" t="n">
        <v>21.37165048</v>
      </c>
      <c r="H49" s="20" t="n">
        <v>1.53615557</v>
      </c>
      <c r="I49" s="18" t="n">
        <v>0</v>
      </c>
      <c r="J49" s="20" t="n">
        <v>0</v>
      </c>
      <c r="K49" s="18" t="n">
        <v>0.32761589</v>
      </c>
      <c r="L49" s="20" t="n">
        <v>0.18641393</v>
      </c>
      <c r="M49" s="18" t="n">
        <v>0</v>
      </c>
      <c r="N49" s="20" t="n">
        <v>0</v>
      </c>
      <c r="O49" s="18" t="n">
        <v>0</v>
      </c>
      <c r="P49" s="20" t="n">
        <v>0</v>
      </c>
      <c r="Q49" s="18" t="n">
        <v>0.60214125</v>
      </c>
      <c r="R49" s="20" t="n">
        <v>0.24450983</v>
      </c>
    </row>
    <row r="50" spans="1:18">
      <c r="A50" s="15" t="s">
        <v>609</v>
      </c>
      <c r="B50" s="17" t="n">
        <v>3494</v>
      </c>
      <c r="C50" s="18">
        <f>(2839.0/B50*100)</f>
        <v/>
      </c>
      <c r="D50" s="19" t="n">
        <v>655</v>
      </c>
      <c r="E50" s="18" t="n">
        <v>71.17825237</v>
      </c>
      <c r="F50" s="20" t="n">
        <v>2.00884255</v>
      </c>
      <c r="G50" s="18" t="n">
        <v>27.40851519</v>
      </c>
      <c r="H50" s="20" t="n">
        <v>1.9795594</v>
      </c>
      <c r="I50" s="18" t="n">
        <v>0</v>
      </c>
      <c r="J50" s="20" t="n">
        <v>0</v>
      </c>
      <c r="K50" s="18" t="n">
        <v>0.22407799</v>
      </c>
      <c r="L50" s="20" t="n">
        <v>0.16729597</v>
      </c>
      <c r="M50" s="18" t="n">
        <v>0</v>
      </c>
      <c r="N50" s="20" t="n">
        <v>0</v>
      </c>
      <c r="O50" s="18" t="n">
        <v>0</v>
      </c>
      <c r="P50" s="20" t="n">
        <v>0</v>
      </c>
      <c r="Q50" s="18" t="n">
        <v>1.18915446</v>
      </c>
      <c r="R50" s="20" t="n">
        <v>0.40378119</v>
      </c>
    </row>
    <row r="51" spans="1:18">
      <c r="A51" s="15" t="s">
        <v>610</v>
      </c>
      <c r="B51" s="17" t="n">
        <v>3013</v>
      </c>
      <c r="C51" s="18">
        <f>(2362.0/B51*100)</f>
        <v/>
      </c>
      <c r="D51" s="19" t="n">
        <v>651</v>
      </c>
      <c r="E51" s="18" t="n">
        <v>64.13240885</v>
      </c>
      <c r="F51" s="20" t="n">
        <v>2.07788472</v>
      </c>
      <c r="G51" s="18" t="n">
        <v>35.23304609</v>
      </c>
      <c r="H51" s="20" t="n">
        <v>2.03685416</v>
      </c>
      <c r="I51" s="18" t="n">
        <v>0</v>
      </c>
      <c r="J51" s="20" t="n">
        <v>0</v>
      </c>
      <c r="K51" s="18" t="n">
        <v>0</v>
      </c>
      <c r="L51" s="20" t="n">
        <v>0</v>
      </c>
      <c r="M51" s="18" t="n">
        <v>0</v>
      </c>
      <c r="N51" s="20" t="n">
        <v>0</v>
      </c>
      <c r="O51" s="18" t="n">
        <v>0</v>
      </c>
      <c r="P51" s="20" t="n">
        <v>0</v>
      </c>
      <c r="Q51" s="18" t="n">
        <v>0.6345450500000001</v>
      </c>
      <c r="R51" s="20" t="n">
        <v>0.28975538</v>
      </c>
    </row>
    <row r="52" spans="1:18">
      <c r="A52" s="15" t="s">
        <v>611</v>
      </c>
      <c r="B52" s="17" t="n">
        <v>2760</v>
      </c>
      <c r="C52" s="18">
        <f>(2184.0/B52*100)</f>
        <v/>
      </c>
      <c r="D52" s="19" t="n">
        <v>576</v>
      </c>
      <c r="E52" s="18" t="n">
        <v>72.36784544</v>
      </c>
      <c r="F52" s="20" t="n">
        <v>2.1050106</v>
      </c>
      <c r="G52" s="18" t="n">
        <v>26.40652424</v>
      </c>
      <c r="H52" s="20" t="n">
        <v>2.13113721</v>
      </c>
      <c r="I52" s="18" t="n">
        <v>0</v>
      </c>
      <c r="J52" s="20" t="n">
        <v>0</v>
      </c>
      <c r="K52" s="18" t="n">
        <v>0</v>
      </c>
      <c r="L52" s="20" t="n">
        <v>0</v>
      </c>
      <c r="M52" s="18" t="n">
        <v>0</v>
      </c>
      <c r="N52" s="20" t="n">
        <v>0</v>
      </c>
      <c r="O52" s="18" t="n">
        <v>0</v>
      </c>
      <c r="P52" s="20" t="n">
        <v>0</v>
      </c>
      <c r="Q52" s="18" t="n">
        <v>1.22563032</v>
      </c>
      <c r="R52" s="20" t="n">
        <v>0.486562</v>
      </c>
    </row>
    <row r="53" spans="1:18">
      <c r="A53" s="15" t="s">
        <v>612</v>
      </c>
      <c r="B53" s="17" t="n">
        <v>2474</v>
      </c>
      <c r="C53" s="18">
        <f>(1891.0/B53*100)</f>
        <v/>
      </c>
      <c r="D53" s="19" t="n">
        <v>583</v>
      </c>
      <c r="E53" s="18" t="n">
        <v>69.35791493000001</v>
      </c>
      <c r="F53" s="20" t="n">
        <v>1.96562785</v>
      </c>
      <c r="G53" s="18" t="n">
        <v>16.55601683</v>
      </c>
      <c r="H53" s="20" t="n">
        <v>1.48938398</v>
      </c>
      <c r="I53" s="18" t="n">
        <v>0</v>
      </c>
      <c r="J53" s="20" t="n">
        <v>0</v>
      </c>
      <c r="K53" s="18" t="n">
        <v>11.85070033</v>
      </c>
      <c r="L53" s="20" t="n">
        <v>1.43493592</v>
      </c>
      <c r="M53" s="18" t="n">
        <v>0</v>
      </c>
      <c r="N53" s="20" t="n">
        <v>0</v>
      </c>
      <c r="O53" s="18" t="n">
        <v>0</v>
      </c>
      <c r="P53" s="20" t="n">
        <v>0</v>
      </c>
      <c r="Q53" s="18" t="n">
        <v>2.23536791</v>
      </c>
      <c r="R53" s="20" t="n">
        <v>0.61267128</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(2071.0/B55*100)</f>
        <v/>
      </c>
      <c r="D55" s="19" t="n">
        <v>604</v>
      </c>
      <c r="E55" s="18" t="n">
        <v>48.94948408</v>
      </c>
      <c r="F55" s="20" t="n">
        <v>2.43295792</v>
      </c>
      <c r="G55" s="18" t="n">
        <v>50.89875135</v>
      </c>
      <c r="H55" s="20" t="n">
        <v>2.47381042</v>
      </c>
      <c r="I55" s="18" t="n">
        <v>0</v>
      </c>
      <c r="J55" s="20" t="n">
        <v>0</v>
      </c>
      <c r="K55" s="18" t="n">
        <v>0.15176457</v>
      </c>
      <c r="L55" s="20" t="n">
        <v>0.16977933</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(2517.0/B61*100)</f>
        <v/>
      </c>
      <c r="D61" s="19" t="n">
        <v>684</v>
      </c>
      <c r="E61" s="18" t="n">
        <v>53.55804145</v>
      </c>
      <c r="F61" s="20" t="n">
        <v>2.04014654</v>
      </c>
      <c r="G61" s="18" t="n">
        <v>45.01554021</v>
      </c>
      <c r="H61" s="20" t="n">
        <v>2.01211396</v>
      </c>
      <c r="I61" s="18" t="n">
        <v>0</v>
      </c>
      <c r="J61" s="20" t="n">
        <v>0</v>
      </c>
      <c r="K61" s="18" t="n">
        <v>0.16503113</v>
      </c>
      <c r="L61" s="20" t="n">
        <v>0.17978078</v>
      </c>
      <c r="M61" s="18" t="n">
        <v>0</v>
      </c>
      <c r="N61" s="20" t="n">
        <v>0</v>
      </c>
      <c r="O61" s="18" t="n">
        <v>0</v>
      </c>
      <c r="P61" s="20" t="n">
        <v>0</v>
      </c>
      <c r="Q61" s="18" t="n">
        <v>1.26138722</v>
      </c>
      <c r="R61" s="20" t="n">
        <v>0.45331689</v>
      </c>
    </row>
    <row r="62" spans="1:18">
      <c r="A62" s="15" t="s">
        <v>622</v>
      </c>
      <c r="B62" s="17" t="n">
        <v>2230</v>
      </c>
      <c r="C62" s="18">
        <f>(1750.0/B62*100)</f>
        <v/>
      </c>
      <c r="D62" s="19" t="n">
        <v>480</v>
      </c>
      <c r="E62" s="18" t="n">
        <v>62.77536355</v>
      </c>
      <c r="F62" s="20" t="n">
        <v>2.17418082</v>
      </c>
      <c r="G62" s="18" t="n">
        <v>37.01752982</v>
      </c>
      <c r="H62" s="20" t="n">
        <v>2.18185062</v>
      </c>
      <c r="I62" s="18" t="n">
        <v>0</v>
      </c>
      <c r="J62" s="20" t="n">
        <v>0</v>
      </c>
      <c r="K62" s="18" t="n">
        <v>0</v>
      </c>
      <c r="L62" s="20" t="n">
        <v>0</v>
      </c>
      <c r="M62" s="18" t="n">
        <v>0</v>
      </c>
      <c r="N62" s="20" t="n">
        <v>0</v>
      </c>
      <c r="O62" s="18" t="n">
        <v>0</v>
      </c>
      <c r="P62" s="20" t="n">
        <v>0</v>
      </c>
      <c r="Q62" s="18" t="n">
        <v>0.20710664</v>
      </c>
      <c r="R62" s="20" t="n">
        <v>0.2050405</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(2170.0/B67*100)</f>
        <v/>
      </c>
      <c r="D67" s="19" t="n">
        <v>601</v>
      </c>
      <c r="E67" s="18" t="n">
        <v>62.95127437</v>
      </c>
      <c r="F67" s="20" t="n">
        <v>1.81320274</v>
      </c>
      <c r="G67" s="18" t="n">
        <v>34.25834313</v>
      </c>
      <c r="H67" s="20" t="n">
        <v>1.90812183</v>
      </c>
      <c r="I67" s="18" t="n">
        <v>0</v>
      </c>
      <c r="J67" s="20" t="n">
        <v>0</v>
      </c>
      <c r="K67" s="18" t="n">
        <v>0.29097985</v>
      </c>
      <c r="L67" s="20" t="n">
        <v>0.20738255</v>
      </c>
      <c r="M67" s="18" t="n">
        <v>0</v>
      </c>
      <c r="N67" s="20" t="n">
        <v>0</v>
      </c>
      <c r="O67" s="18" t="n">
        <v>0</v>
      </c>
      <c r="P67" s="20" t="n">
        <v>0</v>
      </c>
      <c r="Q67" s="18" t="n">
        <v>2.49940266</v>
      </c>
      <c r="R67" s="20" t="n">
        <v>0.65185477</v>
      </c>
    </row>
    <row r="68" spans="1:18">
      <c r="A68" s="15" t="s">
        <v>628</v>
      </c>
      <c r="B68" s="17" t="n">
        <v>3460</v>
      </c>
      <c r="C68" s="18">
        <f>(2753.0/B68*100)</f>
        <v/>
      </c>
      <c r="D68" s="19" t="n">
        <v>707</v>
      </c>
      <c r="E68" s="18" t="n">
        <v>78.73933712</v>
      </c>
      <c r="F68" s="20" t="n">
        <v>1.64559933</v>
      </c>
      <c r="G68" s="18" t="n">
        <v>19.38014945</v>
      </c>
      <c r="H68" s="20" t="n">
        <v>1.54542776</v>
      </c>
      <c r="I68" s="18" t="n">
        <v>0</v>
      </c>
      <c r="J68" s="20" t="n">
        <v>0</v>
      </c>
      <c r="K68" s="18" t="n">
        <v>0.14640301</v>
      </c>
      <c r="L68" s="20" t="n">
        <v>0.14648319</v>
      </c>
      <c r="M68" s="18" t="n">
        <v>0</v>
      </c>
      <c r="N68" s="20" t="n">
        <v>0</v>
      </c>
      <c r="O68" s="18" t="n">
        <v>0</v>
      </c>
      <c r="P68" s="20" t="n">
        <v>0</v>
      </c>
      <c r="Q68" s="18" t="n">
        <v>1.73411042</v>
      </c>
      <c r="R68" s="20" t="n">
        <v>0.47081485</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64.0590091</v>
      </c>
      <c r="F70" s="20" t="n">
        <v>1.3169461</v>
      </c>
      <c r="G70" s="18" t="n">
        <v>34.03040467</v>
      </c>
      <c r="H70" s="20" t="n">
        <v>1.32215782</v>
      </c>
      <c r="I70" s="18" t="n">
        <v>0</v>
      </c>
      <c r="J70" s="20" t="n">
        <v>0</v>
      </c>
      <c r="K70" s="18" t="n">
        <v>0.38704192</v>
      </c>
      <c r="L70" s="20" t="n">
        <v>0.20332709</v>
      </c>
      <c r="M70" s="18" t="n">
        <v>0</v>
      </c>
      <c r="N70" s="20" t="n">
        <v>0</v>
      </c>
      <c r="O70" s="18" t="n">
        <v>0</v>
      </c>
      <c r="P70" s="20" t="n">
        <v>0</v>
      </c>
      <c r="Q70" s="18" t="n">
        <v>1.52354431</v>
      </c>
      <c r="R70" s="20" t="n">
        <v>0.38357711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(2454.0/B72*100)</f>
        <v/>
      </c>
      <c r="D72" s="19" t="n">
        <v>653</v>
      </c>
      <c r="E72" s="18" t="n">
        <v>61.39014473</v>
      </c>
      <c r="F72" s="20" t="n">
        <v>2.29591041</v>
      </c>
      <c r="G72" s="18" t="n">
        <v>37.67240916</v>
      </c>
      <c r="H72" s="20" t="n">
        <v>2.31865445</v>
      </c>
      <c r="I72" s="18" t="n">
        <v>0</v>
      </c>
      <c r="J72" s="20" t="n">
        <v>0</v>
      </c>
      <c r="K72" s="18" t="n">
        <v>0.07847941</v>
      </c>
      <c r="L72" s="20" t="n">
        <v>0.07918124</v>
      </c>
      <c r="M72" s="18" t="n">
        <v>0</v>
      </c>
      <c r="N72" s="20" t="n">
        <v>0</v>
      </c>
      <c r="O72" s="18" t="n">
        <v>0</v>
      </c>
      <c r="P72" s="20" t="n">
        <v>0</v>
      </c>
      <c r="Q72" s="18" t="n">
        <v>0.85896669</v>
      </c>
      <c r="R72" s="20" t="n">
        <v>0.38663372</v>
      </c>
    </row>
    <row r="73" spans="1:18">
      <c r="A73" s="15" t="s">
        <v>633</v>
      </c>
      <c r="B73" s="17" t="n">
        <v>2973</v>
      </c>
      <c r="C73" s="18">
        <f>(2275.0/B73*100)</f>
        <v/>
      </c>
      <c r="D73" s="19" t="n">
        <v>698</v>
      </c>
      <c r="E73" s="18" t="n">
        <v>43.96297085</v>
      </c>
      <c r="F73" s="20" t="n">
        <v>1.9312713</v>
      </c>
      <c r="G73" s="18" t="n">
        <v>55.74681807</v>
      </c>
      <c r="H73" s="20" t="n">
        <v>2.01367727</v>
      </c>
      <c r="I73" s="18" t="n">
        <v>0</v>
      </c>
      <c r="J73" s="20" t="n">
        <v>0</v>
      </c>
      <c r="K73" s="18" t="n">
        <v>0</v>
      </c>
      <c r="L73" s="20" t="n">
        <v>0</v>
      </c>
      <c r="M73" s="18" t="n">
        <v>0</v>
      </c>
      <c r="N73" s="20" t="n">
        <v>0</v>
      </c>
      <c r="O73" s="18" t="n">
        <v>0</v>
      </c>
      <c r="P73" s="20" t="n">
        <v>0</v>
      </c>
      <c r="Q73" s="18" t="n">
        <v>0.29021108</v>
      </c>
      <c r="R73" s="20" t="n">
        <v>0.2038302</v>
      </c>
    </row>
    <row r="74" spans="1:18">
      <c r="A74" s="15" t="s">
        <v>634</v>
      </c>
      <c r="B74" s="17" t="n">
        <v>3819</v>
      </c>
      <c r="C74" s="18">
        <f>(2941.0/B74*100)</f>
        <v/>
      </c>
      <c r="D74" s="19" t="n">
        <v>878</v>
      </c>
      <c r="E74" s="18" t="n">
        <v>69.59960061</v>
      </c>
      <c r="F74" s="20" t="n">
        <v>1.73895846</v>
      </c>
      <c r="G74" s="18" t="n">
        <v>29.96673057</v>
      </c>
      <c r="H74" s="20" t="n">
        <v>1.70480944</v>
      </c>
      <c r="I74" s="18" t="n">
        <v>0</v>
      </c>
      <c r="J74" s="20" t="n">
        <v>0</v>
      </c>
      <c r="K74" s="18" t="n">
        <v>0.13112668</v>
      </c>
      <c r="L74" s="20" t="n">
        <v>0.09468809</v>
      </c>
      <c r="M74" s="18" t="n">
        <v>0</v>
      </c>
      <c r="N74" s="20" t="n">
        <v>0</v>
      </c>
      <c r="O74" s="18" t="n">
        <v>0</v>
      </c>
      <c r="P74" s="20" t="n">
        <v>0</v>
      </c>
      <c r="Q74" s="18" t="n">
        <v>0.30254214</v>
      </c>
      <c r="R74" s="20" t="n">
        <v>0.17759962</v>
      </c>
    </row>
    <row r="75" spans="1:18">
      <c r="A75" s="15" t="s">
        <v>635</v>
      </c>
      <c r="B75" s="17" t="n">
        <v>4652</v>
      </c>
      <c r="C75" s="18">
        <f>(3664.0/B75*100)</f>
        <v/>
      </c>
      <c r="D75" s="19" t="n">
        <v>988</v>
      </c>
      <c r="E75" s="18" t="n">
        <v>73.35745897</v>
      </c>
      <c r="F75" s="20" t="n">
        <v>1.93231379</v>
      </c>
      <c r="G75" s="18" t="n">
        <v>26.37652196</v>
      </c>
      <c r="H75" s="20" t="n">
        <v>1.90896473</v>
      </c>
      <c r="I75" s="18" t="n">
        <v>0</v>
      </c>
      <c r="J75" s="20" t="n">
        <v>0</v>
      </c>
      <c r="K75" s="18" t="n">
        <v>0</v>
      </c>
      <c r="L75" s="20" t="n">
        <v>0</v>
      </c>
      <c r="M75" s="18" t="n">
        <v>0</v>
      </c>
      <c r="N75" s="20" t="n">
        <v>0</v>
      </c>
      <c r="O75" s="18" t="n">
        <v>0</v>
      </c>
      <c r="P75" s="20" t="n">
        <v>0</v>
      </c>
      <c r="Q75" s="18" t="n">
        <v>0.26601907</v>
      </c>
      <c r="R75" s="20" t="n">
        <v>0.16504379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(2392.0/B77*100)</f>
        <v/>
      </c>
      <c r="D77" s="19" t="n">
        <v>577</v>
      </c>
      <c r="E77" s="18" t="n">
        <v>68.93124695</v>
      </c>
      <c r="F77" s="20" t="n">
        <v>1.87097386</v>
      </c>
      <c r="G77" s="18" t="n">
        <v>25.2674848</v>
      </c>
      <c r="H77" s="20" t="n">
        <v>1.82072619</v>
      </c>
      <c r="I77" s="18" t="n">
        <v>0</v>
      </c>
      <c r="J77" s="20" t="n">
        <v>0</v>
      </c>
      <c r="K77" s="18" t="n">
        <v>1.98087366</v>
      </c>
      <c r="L77" s="20" t="n">
        <v>0.58714602</v>
      </c>
      <c r="M77" s="18" t="n">
        <v>0</v>
      </c>
      <c r="N77" s="20" t="n">
        <v>0</v>
      </c>
      <c r="O77" s="18" t="n">
        <v>0</v>
      </c>
      <c r="P77" s="20" t="n">
        <v>0</v>
      </c>
      <c r="Q77" s="18" t="n">
        <v>3.82039459</v>
      </c>
      <c r="R77" s="20" t="n">
        <v>0.91921136</v>
      </c>
    </row>
    <row r="78" spans="1:18">
      <c r="A78" s="15" t="s">
        <v>638</v>
      </c>
      <c r="B78" s="17" t="n">
        <v>7115</v>
      </c>
      <c r="C78" s="18">
        <f>(5533.0/B78*100)</f>
        <v/>
      </c>
      <c r="D78" s="19" t="n">
        <v>1582</v>
      </c>
      <c r="E78" s="18" t="n">
        <v>63.62353624</v>
      </c>
      <c r="F78" s="20" t="n">
        <v>1.48596265</v>
      </c>
      <c r="G78" s="18" t="n">
        <v>35.4021425</v>
      </c>
      <c r="H78" s="20" t="n">
        <v>1.51765104</v>
      </c>
      <c r="I78" s="18" t="n">
        <v>0</v>
      </c>
      <c r="J78" s="20" t="n">
        <v>0</v>
      </c>
      <c r="K78" s="18" t="n">
        <v>0.27762743</v>
      </c>
      <c r="L78" s="20" t="n">
        <v>0.09407973</v>
      </c>
      <c r="M78" s="18" t="n">
        <v>0</v>
      </c>
      <c r="N78" s="20" t="n">
        <v>0</v>
      </c>
      <c r="O78" s="18" t="n">
        <v>0</v>
      </c>
      <c r="P78" s="20" t="n">
        <v>0</v>
      </c>
      <c r="Q78" s="18" t="n">
        <v>0.69669383</v>
      </c>
      <c r="R78" s="20" t="n">
        <v>0.22133466</v>
      </c>
    </row>
    <row r="79" spans="1:18">
      <c r="A79" s="15" t="s">
        <v>639</v>
      </c>
      <c r="B79" s="17" t="n">
        <v>3154</v>
      </c>
      <c r="C79" s="18">
        <f>(2486.0/B79*100)</f>
        <v/>
      </c>
      <c r="D79" s="19" t="n">
        <v>668</v>
      </c>
      <c r="E79" s="18" t="n">
        <v>68.98870064</v>
      </c>
      <c r="F79" s="20" t="n">
        <v>1.66013637</v>
      </c>
      <c r="G79" s="18" t="n">
        <v>28.79376374</v>
      </c>
      <c r="H79" s="20" t="n">
        <v>1.53580752</v>
      </c>
      <c r="I79" s="18" t="n">
        <v>0</v>
      </c>
      <c r="J79" s="20" t="n">
        <v>0</v>
      </c>
      <c r="K79" s="18" t="n">
        <v>0.25024749</v>
      </c>
      <c r="L79" s="20" t="n">
        <v>0.25202929</v>
      </c>
      <c r="M79" s="18" t="n">
        <v>0</v>
      </c>
      <c r="N79" s="20" t="n">
        <v>0</v>
      </c>
      <c r="O79" s="18" t="n">
        <v>0</v>
      </c>
      <c r="P79" s="20" t="n">
        <v>0</v>
      </c>
      <c r="Q79" s="18" t="n">
        <v>1.96728812</v>
      </c>
      <c r="R79" s="20" t="n">
        <v>0.7320386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(12423.0/B82*100)</f>
        <v/>
      </c>
      <c r="D82" s="19" t="n">
        <v>3538</v>
      </c>
      <c r="E82" s="18" t="n">
        <v>55.8741111</v>
      </c>
      <c r="F82" s="20" t="n">
        <v>1.22821135</v>
      </c>
      <c r="G82" s="18" t="n">
        <v>43.57571758</v>
      </c>
      <c r="H82" s="20" t="n">
        <v>1.23643342</v>
      </c>
      <c r="I82" s="18" t="n">
        <v>0</v>
      </c>
      <c r="J82" s="20" t="n">
        <v>0</v>
      </c>
      <c r="K82" s="18" t="n">
        <v>0.00505563</v>
      </c>
      <c r="L82" s="20" t="n">
        <v>0.00483109</v>
      </c>
      <c r="M82" s="18" t="n">
        <v>0</v>
      </c>
      <c r="N82" s="20" t="n">
        <v>0</v>
      </c>
      <c r="O82" s="18" t="n">
        <v>0</v>
      </c>
      <c r="P82" s="20" t="n">
        <v>0</v>
      </c>
      <c r="Q82" s="18" t="n">
        <v>0.54511569</v>
      </c>
      <c r="R82" s="20" t="n">
        <v>0.16376908</v>
      </c>
    </row>
    <row r="83" spans="1:18">
      <c r="A83" s="15" t="s">
        <v>643</v>
      </c>
      <c r="B83" s="17" t="n">
        <v>808</v>
      </c>
      <c r="C83" s="18">
        <f>(647.0/B83*100)</f>
        <v/>
      </c>
      <c r="D83" s="19" t="n">
        <v>161</v>
      </c>
      <c r="E83" s="18" t="n">
        <v>55.17849966</v>
      </c>
      <c r="F83" s="20" t="n">
        <v>4.51746422</v>
      </c>
      <c r="G83" s="18" t="n">
        <v>44.16684514</v>
      </c>
      <c r="H83" s="20" t="n">
        <v>4.55646534</v>
      </c>
      <c r="I83" s="18" t="n">
        <v>0</v>
      </c>
      <c r="J83" s="20" t="n">
        <v>0</v>
      </c>
      <c r="K83" s="18" t="n">
        <v>0</v>
      </c>
      <c r="L83" s="20" t="n">
        <v>0</v>
      </c>
      <c r="M83" s="18" t="n">
        <v>0</v>
      </c>
      <c r="N83" s="20" t="n">
        <v>0</v>
      </c>
      <c r="O83" s="18" t="n">
        <v>0</v>
      </c>
      <c r="P83" s="20" t="n">
        <v>0</v>
      </c>
      <c r="Q83" s="18" t="n">
        <v>0.6546552</v>
      </c>
      <c r="R83" s="20" t="n">
        <v>0.69576918</v>
      </c>
    </row>
    <row r="84" spans="1:18">
      <c r="A84" s="23" t="s">
        <v>644</v>
      </c>
      <c r="B84" s="24" t="n">
        <v>938</v>
      </c>
      <c r="C84" s="25">
        <f>(709.0/B84*100)</f>
        <v/>
      </c>
      <c r="D84" s="19" t="n">
        <v>229</v>
      </c>
      <c r="E84" s="18" t="n">
        <v>67.39484459000001</v>
      </c>
      <c r="F84" s="20" t="n">
        <v>2.7373045</v>
      </c>
      <c r="G84" s="18" t="n">
        <v>32.3654881</v>
      </c>
      <c r="H84" s="20" t="n">
        <v>2.70413102</v>
      </c>
      <c r="I84" s="18" t="n">
        <v>0</v>
      </c>
      <c r="J84" s="20" t="n">
        <v>0</v>
      </c>
      <c r="K84" s="18" t="n">
        <v>0</v>
      </c>
      <c r="L84" s="20" t="n">
        <v>0</v>
      </c>
      <c r="M84" s="18" t="n">
        <v>0</v>
      </c>
      <c r="N84" s="20" t="n">
        <v>0</v>
      </c>
      <c r="O84" s="18" t="n">
        <v>0</v>
      </c>
      <c r="P84" s="20" t="n">
        <v>0</v>
      </c>
      <c r="Q84" s="18" t="n">
        <v>0.23966732</v>
      </c>
      <c r="R84" s="20" t="n">
        <v>0.24504459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(5585.0/B7*100)</f>
        <v/>
      </c>
      <c r="D7" s="19" t="n">
        <v>1578</v>
      </c>
      <c r="E7" s="18" t="n">
        <v>76.22783814</v>
      </c>
      <c r="F7" s="20" t="n">
        <v>1.15579403</v>
      </c>
      <c r="G7" s="18" t="n">
        <v>20.96134697</v>
      </c>
      <c r="H7" s="20" t="n">
        <v>1.14930139</v>
      </c>
      <c r="I7" s="18" t="n">
        <v>0</v>
      </c>
      <c r="J7" s="20" t="n">
        <v>0</v>
      </c>
      <c r="K7" s="18" t="n">
        <v>0.24008548</v>
      </c>
      <c r="L7" s="20" t="n">
        <v>0.15058737</v>
      </c>
      <c r="M7" s="18" t="n">
        <v>0</v>
      </c>
      <c r="N7" s="20" t="n">
        <v>0</v>
      </c>
      <c r="O7" s="18" t="n">
        <v>0</v>
      </c>
      <c r="P7" s="20" t="n">
        <v>0</v>
      </c>
      <c r="Q7" s="18" t="n">
        <v>2.57072941</v>
      </c>
      <c r="R7" s="20" t="n">
        <v>0.4012453</v>
      </c>
    </row>
    <row r="8" spans="1:18">
      <c r="A8" s="15" t="s">
        <v>566</v>
      </c>
      <c r="B8" s="17" t="n">
        <v>3443</v>
      </c>
      <c r="C8" s="18">
        <f>(2723.0/B8*100)</f>
        <v/>
      </c>
      <c r="D8" s="19" t="n">
        <v>720</v>
      </c>
      <c r="E8" s="18" t="n">
        <v>80.02582336</v>
      </c>
      <c r="F8" s="20" t="n">
        <v>1.61660301</v>
      </c>
      <c r="G8" s="18" t="n">
        <v>18.15545321</v>
      </c>
      <c r="H8" s="20" t="n">
        <v>1.61256234</v>
      </c>
      <c r="I8" s="18" t="n">
        <v>0</v>
      </c>
      <c r="J8" s="20" t="n">
        <v>0</v>
      </c>
      <c r="K8" s="18" t="n">
        <v>0</v>
      </c>
      <c r="L8" s="20" t="n">
        <v>0</v>
      </c>
      <c r="M8" s="18" t="n">
        <v>0</v>
      </c>
      <c r="N8" s="20" t="n">
        <v>0</v>
      </c>
      <c r="O8" s="18" t="n">
        <v>0</v>
      </c>
      <c r="P8" s="20" t="n">
        <v>0</v>
      </c>
      <c r="Q8" s="18" t="n">
        <v>1.81872343</v>
      </c>
      <c r="R8" s="20" t="n">
        <v>0.47522116</v>
      </c>
    </row>
    <row r="9" spans="1:18">
      <c r="A9" s="15" t="s">
        <v>567</v>
      </c>
      <c r="B9" s="17" t="n">
        <v>4752</v>
      </c>
      <c r="C9" s="18">
        <f>(3756.0/B9*100)</f>
        <v/>
      </c>
      <c r="D9" s="19" t="n">
        <v>996</v>
      </c>
      <c r="E9" s="18" t="n">
        <v>76.0001</v>
      </c>
      <c r="F9" s="20" t="n">
        <v>1.3257495</v>
      </c>
      <c r="G9" s="18" t="n">
        <v>20.48734956</v>
      </c>
      <c r="H9" s="20" t="n">
        <v>1.22221817</v>
      </c>
      <c r="I9" s="18" t="n">
        <v>0</v>
      </c>
      <c r="J9" s="20" t="n">
        <v>0</v>
      </c>
      <c r="K9" s="18" t="n">
        <v>0.24130112</v>
      </c>
      <c r="L9" s="20" t="n">
        <v>0.17887027</v>
      </c>
      <c r="M9" s="18" t="n">
        <v>0</v>
      </c>
      <c r="N9" s="20" t="n">
        <v>0</v>
      </c>
      <c r="O9" s="18" t="n">
        <v>0</v>
      </c>
      <c r="P9" s="20" t="n">
        <v>0</v>
      </c>
      <c r="Q9" s="18" t="n">
        <v>3.27124931</v>
      </c>
      <c r="R9" s="20" t="n">
        <v>0.58813164</v>
      </c>
    </row>
    <row r="10" spans="1:18">
      <c r="A10" s="15" t="s">
        <v>568</v>
      </c>
      <c r="B10" s="17" t="n">
        <v>10022</v>
      </c>
      <c r="C10" s="18">
        <f>(7770.0/B10*100)</f>
        <v/>
      </c>
      <c r="D10" s="19" t="n">
        <v>2252</v>
      </c>
      <c r="E10" s="18" t="n">
        <v>74.13371259</v>
      </c>
      <c r="F10" s="20" t="n">
        <v>1.4898934</v>
      </c>
      <c r="G10" s="18" t="n">
        <v>23.78503601</v>
      </c>
      <c r="H10" s="20" t="n">
        <v>1.41496956</v>
      </c>
      <c r="I10" s="18" t="n">
        <v>0</v>
      </c>
      <c r="J10" s="20" t="n">
        <v>0</v>
      </c>
      <c r="K10" s="18" t="n">
        <v>0.16364357</v>
      </c>
      <c r="L10" s="20" t="n">
        <v>0.10831014</v>
      </c>
      <c r="M10" s="18" t="n">
        <v>0</v>
      </c>
      <c r="N10" s="20" t="n">
        <v>0</v>
      </c>
      <c r="O10" s="18" t="n">
        <v>0</v>
      </c>
      <c r="P10" s="20" t="n">
        <v>0</v>
      </c>
      <c r="Q10" s="18" t="n">
        <v>1.91760783</v>
      </c>
      <c r="R10" s="20" t="n">
        <v>0.42084014</v>
      </c>
    </row>
    <row r="11" spans="1:18">
      <c r="A11" s="15" t="s">
        <v>569</v>
      </c>
      <c r="B11" s="17" t="n">
        <v>3500</v>
      </c>
      <c r="C11" s="18">
        <f>(2713.0/B11*100)</f>
        <v/>
      </c>
      <c r="D11" s="19" t="n">
        <v>787</v>
      </c>
      <c r="E11" s="18" t="n">
        <v>88.85264082</v>
      </c>
      <c r="F11" s="20" t="n">
        <v>0.9833704599999999</v>
      </c>
      <c r="G11" s="18" t="n">
        <v>7.79704877</v>
      </c>
      <c r="H11" s="20" t="n">
        <v>0.82312808</v>
      </c>
      <c r="I11" s="18" t="n">
        <v>0</v>
      </c>
      <c r="J11" s="20" t="n">
        <v>0</v>
      </c>
      <c r="K11" s="18" t="n">
        <v>0.16911107</v>
      </c>
      <c r="L11" s="20" t="n">
        <v>0.17558871</v>
      </c>
      <c r="M11" s="18" t="n">
        <v>0</v>
      </c>
      <c r="N11" s="20" t="n">
        <v>0</v>
      </c>
      <c r="O11" s="18" t="n">
        <v>0</v>
      </c>
      <c r="P11" s="20" t="n">
        <v>0</v>
      </c>
      <c r="Q11" s="18" t="n">
        <v>3.18119934</v>
      </c>
      <c r="R11" s="20" t="n">
        <v>0.7021876500000001</v>
      </c>
    </row>
    <row r="12" spans="1:18">
      <c r="A12" s="15" t="s">
        <v>570</v>
      </c>
      <c r="B12" s="17" t="n">
        <v>3422</v>
      </c>
      <c r="C12" s="18">
        <f>(2647.0/B12*100)</f>
        <v/>
      </c>
      <c r="D12" s="19" t="n">
        <v>775</v>
      </c>
      <c r="E12" s="18" t="n">
        <v>82.52210869</v>
      </c>
      <c r="F12" s="20" t="n">
        <v>1.67113266</v>
      </c>
      <c r="G12" s="18" t="n">
        <v>15.12878837</v>
      </c>
      <c r="H12" s="20" t="n">
        <v>1.55774801</v>
      </c>
      <c r="I12" s="18" t="n">
        <v>0</v>
      </c>
      <c r="J12" s="20" t="n">
        <v>0</v>
      </c>
      <c r="K12" s="18" t="n">
        <v>0.12082371</v>
      </c>
      <c r="L12" s="20" t="n">
        <v>0.11976661</v>
      </c>
      <c r="M12" s="18" t="n">
        <v>0</v>
      </c>
      <c r="N12" s="20" t="n">
        <v>0</v>
      </c>
      <c r="O12" s="18" t="n">
        <v>0</v>
      </c>
      <c r="P12" s="20" t="n">
        <v>0</v>
      </c>
      <c r="Q12" s="18" t="n">
        <v>2.22827923</v>
      </c>
      <c r="R12" s="20" t="n">
        <v>0.60578126</v>
      </c>
    </row>
    <row r="13" spans="1:18">
      <c r="A13" s="15" t="s">
        <v>571</v>
      </c>
      <c r="B13" s="17" t="n">
        <v>3602</v>
      </c>
      <c r="C13" s="18">
        <f>(2839.0/B13*100)</f>
        <v/>
      </c>
      <c r="D13" s="19" t="n">
        <v>763</v>
      </c>
      <c r="E13" s="18" t="n">
        <v>77.03190506</v>
      </c>
      <c r="F13" s="20" t="n">
        <v>1.72571865</v>
      </c>
      <c r="G13" s="18" t="n">
        <v>20.11938328</v>
      </c>
      <c r="H13" s="20" t="n">
        <v>1.815445</v>
      </c>
      <c r="I13" s="18" t="n">
        <v>0</v>
      </c>
      <c r="J13" s="20" t="n">
        <v>0</v>
      </c>
      <c r="K13" s="18" t="n">
        <v>0.35440597</v>
      </c>
      <c r="L13" s="20" t="n">
        <v>0.24881486</v>
      </c>
      <c r="M13" s="18" t="n">
        <v>0</v>
      </c>
      <c r="N13" s="20" t="n">
        <v>0</v>
      </c>
      <c r="O13" s="18" t="n">
        <v>0</v>
      </c>
      <c r="P13" s="20" t="n">
        <v>0</v>
      </c>
      <c r="Q13" s="18" t="n">
        <v>2.49430569</v>
      </c>
      <c r="R13" s="20" t="n">
        <v>0.67335676</v>
      </c>
    </row>
    <row r="14" spans="1:18">
      <c r="A14" s="15" t="s">
        <v>572</v>
      </c>
      <c r="B14" s="17" t="n">
        <v>2788</v>
      </c>
      <c r="C14" s="18">
        <f>(2178.0/B14*100)</f>
        <v/>
      </c>
      <c r="D14" s="19" t="n">
        <v>610</v>
      </c>
      <c r="E14" s="18" t="n">
        <v>73.59404910000001</v>
      </c>
      <c r="F14" s="20" t="n">
        <v>2.07902077</v>
      </c>
      <c r="G14" s="18" t="n">
        <v>24.63506284</v>
      </c>
      <c r="H14" s="20" t="n">
        <v>2.07625257</v>
      </c>
      <c r="I14" s="18" t="n">
        <v>0</v>
      </c>
      <c r="J14" s="20" t="n">
        <v>0</v>
      </c>
      <c r="K14" s="18" t="n">
        <v>0.12721208</v>
      </c>
      <c r="L14" s="20" t="n">
        <v>0.11957178</v>
      </c>
      <c r="M14" s="18" t="n">
        <v>0</v>
      </c>
      <c r="N14" s="20" t="n">
        <v>0</v>
      </c>
      <c r="O14" s="18" t="n">
        <v>0</v>
      </c>
      <c r="P14" s="20" t="n">
        <v>0</v>
      </c>
      <c r="Q14" s="18" t="n">
        <v>1.64367598</v>
      </c>
      <c r="R14" s="20" t="n">
        <v>0.59397445</v>
      </c>
    </row>
    <row r="15" spans="1:18">
      <c r="A15" s="15" t="s">
        <v>573</v>
      </c>
      <c r="B15" s="17" t="n">
        <v>2863</v>
      </c>
      <c r="C15" s="18">
        <f>(2222.0/B15*100)</f>
        <v/>
      </c>
      <c r="D15" s="19" t="n">
        <v>641</v>
      </c>
      <c r="E15" s="18" t="n">
        <v>76.45982082</v>
      </c>
      <c r="F15" s="20" t="n">
        <v>1.72967181</v>
      </c>
      <c r="G15" s="18" t="n">
        <v>22.38255092</v>
      </c>
      <c r="H15" s="20" t="n">
        <v>1.63679008</v>
      </c>
      <c r="I15" s="18" t="n">
        <v>0</v>
      </c>
      <c r="J15" s="20" t="n">
        <v>0</v>
      </c>
      <c r="K15" s="18" t="n">
        <v>0</v>
      </c>
      <c r="L15" s="20" t="n">
        <v>0</v>
      </c>
      <c r="M15" s="18" t="n">
        <v>0</v>
      </c>
      <c r="N15" s="20" t="n">
        <v>0</v>
      </c>
      <c r="O15" s="18" t="n">
        <v>0</v>
      </c>
      <c r="P15" s="20" t="n">
        <v>0</v>
      </c>
      <c r="Q15" s="18" t="n">
        <v>1.15762826</v>
      </c>
      <c r="R15" s="20" t="n">
        <v>0.5924868</v>
      </c>
    </row>
    <row r="16" spans="1:18">
      <c r="A16" s="15" t="s">
        <v>574</v>
      </c>
      <c r="B16" s="17" t="n">
        <v>3111</v>
      </c>
      <c r="C16" s="18">
        <f>(2418.0/B16*100)</f>
        <v/>
      </c>
      <c r="D16" s="19" t="n">
        <v>693</v>
      </c>
      <c r="E16" s="18" t="n">
        <v>70.58314321</v>
      </c>
      <c r="F16" s="20" t="n">
        <v>2.02769377</v>
      </c>
      <c r="G16" s="18" t="n">
        <v>25.94342226</v>
      </c>
      <c r="H16" s="20" t="n">
        <v>1.87998465</v>
      </c>
      <c r="I16" s="18" t="n">
        <v>0</v>
      </c>
      <c r="J16" s="20" t="n">
        <v>0</v>
      </c>
      <c r="K16" s="18" t="n">
        <v>0</v>
      </c>
      <c r="L16" s="20" t="n">
        <v>0</v>
      </c>
      <c r="M16" s="18" t="n">
        <v>0</v>
      </c>
      <c r="N16" s="20" t="n">
        <v>0</v>
      </c>
      <c r="O16" s="18" t="n">
        <v>0</v>
      </c>
      <c r="P16" s="20" t="n">
        <v>0</v>
      </c>
      <c r="Q16" s="18" t="n">
        <v>3.47343453</v>
      </c>
      <c r="R16" s="20" t="n">
        <v>0.88550927</v>
      </c>
    </row>
    <row r="17" spans="1:18">
      <c r="A17" s="15" t="s">
        <v>575</v>
      </c>
      <c r="B17" s="17" t="n">
        <v>3197</v>
      </c>
      <c r="C17" s="18">
        <f>(2523.0/B17*100)</f>
        <v/>
      </c>
      <c r="D17" s="19" t="n">
        <v>674</v>
      </c>
      <c r="E17" s="18" t="n">
        <v>77.23484371000001</v>
      </c>
      <c r="F17" s="20" t="n">
        <v>1.56366616</v>
      </c>
      <c r="G17" s="18" t="n">
        <v>21.11385269</v>
      </c>
      <c r="H17" s="20" t="n">
        <v>1.54243093</v>
      </c>
      <c r="I17" s="18" t="n">
        <v>0</v>
      </c>
      <c r="J17" s="20" t="n">
        <v>0</v>
      </c>
      <c r="K17" s="18" t="n">
        <v>0.15459232</v>
      </c>
      <c r="L17" s="20" t="n">
        <v>0.15311268</v>
      </c>
      <c r="M17" s="18" t="n">
        <v>0</v>
      </c>
      <c r="N17" s="20" t="n">
        <v>0</v>
      </c>
      <c r="O17" s="18" t="n">
        <v>0</v>
      </c>
      <c r="P17" s="20" t="n">
        <v>0</v>
      </c>
      <c r="Q17" s="18" t="n">
        <v>1.49671129</v>
      </c>
      <c r="R17" s="20" t="n">
        <v>0.42200795</v>
      </c>
    </row>
    <row r="18" spans="1:18">
      <c r="A18" s="15" t="s">
        <v>576</v>
      </c>
      <c r="B18" s="17" t="n">
        <v>2706</v>
      </c>
      <c r="C18" s="18">
        <f>(2099.0/B18*100)</f>
        <v/>
      </c>
      <c r="D18" s="19" t="n">
        <v>607</v>
      </c>
      <c r="E18" s="18" t="n">
        <v>86.39804573000001</v>
      </c>
      <c r="F18" s="20" t="n">
        <v>1.57366713</v>
      </c>
      <c r="G18" s="18" t="n">
        <v>9.122817530000001</v>
      </c>
      <c r="H18" s="20" t="n">
        <v>1.29675936</v>
      </c>
      <c r="I18" s="18" t="n">
        <v>0</v>
      </c>
      <c r="J18" s="20" t="n">
        <v>0</v>
      </c>
      <c r="K18" s="18" t="n">
        <v>0.3215415</v>
      </c>
      <c r="L18" s="20" t="n">
        <v>0.22394395</v>
      </c>
      <c r="M18" s="18" t="n">
        <v>0</v>
      </c>
      <c r="N18" s="20" t="n">
        <v>0</v>
      </c>
      <c r="O18" s="18" t="n">
        <v>0</v>
      </c>
      <c r="P18" s="20" t="n">
        <v>0</v>
      </c>
      <c r="Q18" s="18" t="n">
        <v>4.15759524</v>
      </c>
      <c r="R18" s="20" t="n">
        <v>0.91552704</v>
      </c>
    </row>
    <row r="19" spans="1:18">
      <c r="A19" s="15" t="s">
        <v>577</v>
      </c>
      <c r="B19" s="17" t="n">
        <v>2850</v>
      </c>
      <c r="C19" s="18">
        <f>(2172.0/B19*100)</f>
        <v/>
      </c>
      <c r="D19" s="19" t="n">
        <v>678</v>
      </c>
      <c r="E19" s="18" t="n">
        <v>81.75866087999999</v>
      </c>
      <c r="F19" s="20" t="n">
        <v>1.76382632</v>
      </c>
      <c r="G19" s="18" t="n">
        <v>15.27335212</v>
      </c>
      <c r="H19" s="20" t="n">
        <v>1.45490415</v>
      </c>
      <c r="I19" s="18" t="n">
        <v>0</v>
      </c>
      <c r="J19" s="20" t="n">
        <v>0</v>
      </c>
      <c r="K19" s="18" t="n">
        <v>0</v>
      </c>
      <c r="L19" s="20" t="n">
        <v>0</v>
      </c>
      <c r="M19" s="18" t="n">
        <v>0</v>
      </c>
      <c r="N19" s="20" t="n">
        <v>0</v>
      </c>
      <c r="O19" s="18" t="n">
        <v>0</v>
      </c>
      <c r="P19" s="20" t="n">
        <v>0</v>
      </c>
      <c r="Q19" s="18" t="n">
        <v>2.96798701</v>
      </c>
      <c r="R19" s="20" t="n">
        <v>0.71764529</v>
      </c>
    </row>
    <row r="20" spans="1:18">
      <c r="A20" s="15" t="s">
        <v>578</v>
      </c>
      <c r="B20" s="17" t="n">
        <v>1741</v>
      </c>
      <c r="C20" s="18">
        <f>(1342.0/B20*100)</f>
        <v/>
      </c>
      <c r="D20" s="19" t="n">
        <v>399</v>
      </c>
      <c r="E20" s="18" t="n">
        <v>75.00315139999999</v>
      </c>
      <c r="F20" s="20" t="n">
        <v>2.16361437</v>
      </c>
      <c r="G20" s="18" t="n">
        <v>20.80325803</v>
      </c>
      <c r="H20" s="20" t="n">
        <v>2.05009166</v>
      </c>
      <c r="I20" s="18" t="n">
        <v>0</v>
      </c>
      <c r="J20" s="20" t="n">
        <v>0</v>
      </c>
      <c r="K20" s="18" t="n">
        <v>0.26345049</v>
      </c>
      <c r="L20" s="20" t="n">
        <v>0.26200181</v>
      </c>
      <c r="M20" s="18" t="n">
        <v>0</v>
      </c>
      <c r="N20" s="20" t="n">
        <v>0</v>
      </c>
      <c r="O20" s="18" t="n">
        <v>0</v>
      </c>
      <c r="P20" s="20" t="n">
        <v>0</v>
      </c>
      <c r="Q20" s="18" t="n">
        <v>3.93014008</v>
      </c>
      <c r="R20" s="20" t="n">
        <v>1.01675703</v>
      </c>
    </row>
    <row r="21" spans="1:18">
      <c r="A21" s="15" t="s">
        <v>579</v>
      </c>
      <c r="B21" s="17" t="n">
        <v>2833</v>
      </c>
      <c r="C21" s="18">
        <f>(2199.0/B21*100)</f>
        <v/>
      </c>
      <c r="D21" s="19" t="n">
        <v>634</v>
      </c>
      <c r="E21" s="18" t="n">
        <v>86.33892654</v>
      </c>
      <c r="F21" s="20" t="n">
        <v>1.18758598</v>
      </c>
      <c r="G21" s="18" t="n">
        <v>11.94904291</v>
      </c>
      <c r="H21" s="20" t="n">
        <v>1.05736515</v>
      </c>
      <c r="I21" s="18" t="n">
        <v>0</v>
      </c>
      <c r="J21" s="20" t="n">
        <v>0</v>
      </c>
      <c r="K21" s="18" t="n">
        <v>0</v>
      </c>
      <c r="L21" s="20" t="n">
        <v>0</v>
      </c>
      <c r="M21" s="18" t="n">
        <v>0</v>
      </c>
      <c r="N21" s="20" t="n">
        <v>0</v>
      </c>
      <c r="O21" s="18" t="n">
        <v>0</v>
      </c>
      <c r="P21" s="20" t="n">
        <v>0</v>
      </c>
      <c r="Q21" s="18" t="n">
        <v>1.71203056</v>
      </c>
      <c r="R21" s="20" t="n">
        <v>0.51018019</v>
      </c>
    </row>
    <row r="22" spans="1:18">
      <c r="A22" s="15" t="s">
        <v>580</v>
      </c>
      <c r="B22" s="17" t="n">
        <v>3667</v>
      </c>
      <c r="C22" s="18">
        <f>(2868.0/B22*100)</f>
        <v/>
      </c>
      <c r="D22" s="19" t="n">
        <v>799</v>
      </c>
      <c r="E22" s="18" t="n">
        <v>82.67121108000001</v>
      </c>
      <c r="F22" s="20" t="n">
        <v>1.46533239</v>
      </c>
      <c r="G22" s="18" t="n">
        <v>13.34188124</v>
      </c>
      <c r="H22" s="20" t="n">
        <v>1.29071978</v>
      </c>
      <c r="I22" s="18" t="n">
        <v>0</v>
      </c>
      <c r="J22" s="20" t="n">
        <v>0</v>
      </c>
      <c r="K22" s="18" t="n">
        <v>0.48711586</v>
      </c>
      <c r="L22" s="20" t="n">
        <v>0.249049</v>
      </c>
      <c r="M22" s="18" t="n">
        <v>0</v>
      </c>
      <c r="N22" s="20" t="n">
        <v>0</v>
      </c>
      <c r="O22" s="18" t="n">
        <v>0</v>
      </c>
      <c r="P22" s="20" t="n">
        <v>0</v>
      </c>
      <c r="Q22" s="18" t="n">
        <v>3.49979182</v>
      </c>
      <c r="R22" s="20" t="n">
        <v>0.7710538</v>
      </c>
    </row>
    <row r="23" spans="1:18">
      <c r="A23" s="15" t="s">
        <v>581</v>
      </c>
      <c r="B23" s="17" t="n">
        <v>5792</v>
      </c>
      <c r="C23" s="18">
        <f>(4557.0/B23*100)</f>
        <v/>
      </c>
      <c r="D23" s="19" t="n">
        <v>1235</v>
      </c>
      <c r="E23" s="18" t="n">
        <v>83.27900356000001</v>
      </c>
      <c r="F23" s="20" t="n">
        <v>1.69897872</v>
      </c>
      <c r="G23" s="18" t="n">
        <v>10.65553572</v>
      </c>
      <c r="H23" s="20" t="n">
        <v>1.23489601</v>
      </c>
      <c r="I23" s="18" t="n">
        <v>0</v>
      </c>
      <c r="J23" s="20" t="n">
        <v>0</v>
      </c>
      <c r="K23" s="18" t="n">
        <v>0.59801584</v>
      </c>
      <c r="L23" s="20" t="n">
        <v>0.37674557</v>
      </c>
      <c r="M23" s="18" t="n">
        <v>0</v>
      </c>
      <c r="N23" s="20" t="n">
        <v>0</v>
      </c>
      <c r="O23" s="18" t="n">
        <v>0</v>
      </c>
      <c r="P23" s="20" t="n">
        <v>0</v>
      </c>
      <c r="Q23" s="18" t="n">
        <v>5.46744488</v>
      </c>
      <c r="R23" s="20" t="n">
        <v>1.38662569</v>
      </c>
    </row>
    <row r="24" spans="1:18">
      <c r="A24" s="15" t="s">
        <v>582</v>
      </c>
      <c r="B24" s="17" t="n">
        <v>3309</v>
      </c>
      <c r="C24" s="18">
        <f>(2567.0/B24*100)</f>
        <v/>
      </c>
      <c r="D24" s="19" t="n">
        <v>742</v>
      </c>
      <c r="E24" s="18" t="n">
        <v>77.03739989</v>
      </c>
      <c r="F24" s="20" t="n">
        <v>1.44317117</v>
      </c>
      <c r="G24" s="18" t="n">
        <v>18.52016325</v>
      </c>
      <c r="H24" s="20" t="n">
        <v>1.33553122</v>
      </c>
      <c r="I24" s="18" t="n">
        <v>0</v>
      </c>
      <c r="J24" s="20" t="n">
        <v>0</v>
      </c>
      <c r="K24" s="18" t="n">
        <v>0</v>
      </c>
      <c r="L24" s="20" t="n">
        <v>0</v>
      </c>
      <c r="M24" s="18" t="n">
        <v>0</v>
      </c>
      <c r="N24" s="20" t="n">
        <v>0</v>
      </c>
      <c r="O24" s="18" t="n">
        <v>0</v>
      </c>
      <c r="P24" s="20" t="n">
        <v>0</v>
      </c>
      <c r="Q24" s="18" t="n">
        <v>4.44243686</v>
      </c>
      <c r="R24" s="20" t="n">
        <v>0.68086629</v>
      </c>
    </row>
    <row r="25" spans="1:18">
      <c r="A25" s="15" t="s">
        <v>583</v>
      </c>
      <c r="B25" s="17" t="n">
        <v>2669</v>
      </c>
      <c r="C25" s="18">
        <f>(2097.0/B25*100)</f>
        <v/>
      </c>
      <c r="D25" s="19" t="n">
        <v>572</v>
      </c>
      <c r="E25" s="18" t="n">
        <v>86.02110292</v>
      </c>
      <c r="F25" s="20" t="n">
        <v>1.26081762</v>
      </c>
      <c r="G25" s="18" t="n">
        <v>11.33638203</v>
      </c>
      <c r="H25" s="20" t="n">
        <v>1.11872734</v>
      </c>
      <c r="I25" s="18" t="n">
        <v>0</v>
      </c>
      <c r="J25" s="20" t="n">
        <v>0</v>
      </c>
      <c r="K25" s="18" t="n">
        <v>0.16096099</v>
      </c>
      <c r="L25" s="20" t="n">
        <v>0.22427004</v>
      </c>
      <c r="M25" s="18" t="n">
        <v>0</v>
      </c>
      <c r="N25" s="20" t="n">
        <v>0</v>
      </c>
      <c r="O25" s="18" t="n">
        <v>0</v>
      </c>
      <c r="P25" s="20" t="n">
        <v>0</v>
      </c>
      <c r="Q25" s="18" t="n">
        <v>2.48155407</v>
      </c>
      <c r="R25" s="20" t="n">
        <v>0.61866541</v>
      </c>
    </row>
    <row r="26" spans="1:18">
      <c r="A26" s="15" t="s">
        <v>584</v>
      </c>
      <c r="B26" s="17" t="n">
        <v>2419</v>
      </c>
      <c r="C26" s="18">
        <f>(1944.0/B26*100)</f>
        <v/>
      </c>
      <c r="D26" s="19" t="n">
        <v>475</v>
      </c>
      <c r="E26" s="18" t="n">
        <v>85.15134075</v>
      </c>
      <c r="F26" s="20" t="n">
        <v>1.52695</v>
      </c>
      <c r="G26" s="18" t="n">
        <v>12.82947746</v>
      </c>
      <c r="H26" s="20" t="n">
        <v>1.45140981</v>
      </c>
      <c r="I26" s="18" t="n">
        <v>0</v>
      </c>
      <c r="J26" s="20" t="n">
        <v>0</v>
      </c>
      <c r="K26" s="18" t="n">
        <v>0</v>
      </c>
      <c r="L26" s="20" t="n">
        <v>0</v>
      </c>
      <c r="M26" s="18" t="n">
        <v>0</v>
      </c>
      <c r="N26" s="20" t="n">
        <v>0</v>
      </c>
      <c r="O26" s="18" t="n">
        <v>0</v>
      </c>
      <c r="P26" s="20" t="n">
        <v>0</v>
      </c>
      <c r="Q26" s="18" t="n">
        <v>2.01918179</v>
      </c>
      <c r="R26" s="20" t="n">
        <v>0.7419561099999999</v>
      </c>
    </row>
    <row r="27" spans="1:18">
      <c r="A27" s="15" t="s">
        <v>585</v>
      </c>
      <c r="B27" s="17" t="n">
        <v>2683</v>
      </c>
      <c r="C27" s="18">
        <f>(2094.0/B27*100)</f>
        <v/>
      </c>
      <c r="D27" s="19" t="n">
        <v>589</v>
      </c>
      <c r="E27" s="18" t="n">
        <v>78.16701343</v>
      </c>
      <c r="F27" s="20" t="n">
        <v>1.6061647</v>
      </c>
      <c r="G27" s="18" t="n">
        <v>19.63986445</v>
      </c>
      <c r="H27" s="20" t="n">
        <v>1.56110097</v>
      </c>
      <c r="I27" s="18" t="n">
        <v>0</v>
      </c>
      <c r="J27" s="20" t="n">
        <v>0</v>
      </c>
      <c r="K27" s="18" t="n">
        <v>0.35433215</v>
      </c>
      <c r="L27" s="20" t="n">
        <v>0.2452835</v>
      </c>
      <c r="M27" s="18" t="n">
        <v>0</v>
      </c>
      <c r="N27" s="20" t="n">
        <v>0</v>
      </c>
      <c r="O27" s="18" t="n">
        <v>0</v>
      </c>
      <c r="P27" s="20" t="n">
        <v>0</v>
      </c>
      <c r="Q27" s="18" t="n">
        <v>1.83878997</v>
      </c>
      <c r="R27" s="20" t="n">
        <v>0.56307722</v>
      </c>
    </row>
    <row r="28" spans="1:18">
      <c r="A28" s="15" t="s">
        <v>586</v>
      </c>
      <c r="B28" s="17" t="n">
        <v>3803</v>
      </c>
      <c r="C28" s="18">
        <f>(2980.0/B28*100)</f>
        <v/>
      </c>
      <c r="D28" s="19" t="n">
        <v>823</v>
      </c>
      <c r="E28" s="18" t="n">
        <v>91.57444166000001</v>
      </c>
      <c r="F28" s="20" t="n">
        <v>1.09888726</v>
      </c>
      <c r="G28" s="18" t="n">
        <v>4.8118634</v>
      </c>
      <c r="H28" s="20" t="n">
        <v>0.800843</v>
      </c>
      <c r="I28" s="18" t="n">
        <v>0</v>
      </c>
      <c r="J28" s="20" t="n">
        <v>0</v>
      </c>
      <c r="K28" s="18" t="n">
        <v>0.56410877</v>
      </c>
      <c r="L28" s="20" t="n">
        <v>0.45237358</v>
      </c>
      <c r="M28" s="18" t="n">
        <v>0</v>
      </c>
      <c r="N28" s="20" t="n">
        <v>0</v>
      </c>
      <c r="O28" s="18" t="n">
        <v>0</v>
      </c>
      <c r="P28" s="20" t="n">
        <v>0</v>
      </c>
      <c r="Q28" s="18" t="n">
        <v>3.04958616</v>
      </c>
      <c r="R28" s="20" t="n">
        <v>0.74825676</v>
      </c>
    </row>
    <row r="29" spans="1:18">
      <c r="A29" s="15" t="s">
        <v>587</v>
      </c>
      <c r="B29" s="17" t="n">
        <v>2700</v>
      </c>
      <c r="C29" s="18">
        <f>(2100.0/B29*100)</f>
        <v/>
      </c>
      <c r="D29" s="19" t="n">
        <v>600</v>
      </c>
      <c r="E29" s="18" t="n">
        <v>79.36996203</v>
      </c>
      <c r="F29" s="20" t="n">
        <v>1.52329857</v>
      </c>
      <c r="G29" s="18" t="n">
        <v>17.80108454</v>
      </c>
      <c r="H29" s="20" t="n">
        <v>1.45679581</v>
      </c>
      <c r="I29" s="18" t="n">
        <v>0</v>
      </c>
      <c r="J29" s="20" t="n">
        <v>0</v>
      </c>
      <c r="K29" s="18" t="n">
        <v>0</v>
      </c>
      <c r="L29" s="20" t="n">
        <v>0</v>
      </c>
      <c r="M29" s="18" t="n">
        <v>0</v>
      </c>
      <c r="N29" s="20" t="n">
        <v>0</v>
      </c>
      <c r="O29" s="18" t="n">
        <v>0</v>
      </c>
      <c r="P29" s="20" t="n">
        <v>0</v>
      </c>
      <c r="Q29" s="18" t="n">
        <v>2.82895343</v>
      </c>
      <c r="R29" s="20" t="n">
        <v>0.62275931</v>
      </c>
    </row>
    <row r="30" spans="1:18">
      <c r="A30" s="15" t="s">
        <v>588</v>
      </c>
      <c r="B30" s="17" t="n">
        <v>2257</v>
      </c>
      <c r="C30" s="18">
        <f>(1731.0/B30*100)</f>
        <v/>
      </c>
      <c r="D30" s="19" t="n">
        <v>526</v>
      </c>
      <c r="E30" s="18" t="n">
        <v>79.10513487999999</v>
      </c>
      <c r="F30" s="20" t="n">
        <v>1.80866554</v>
      </c>
      <c r="G30" s="18" t="n">
        <v>18.85081164</v>
      </c>
      <c r="H30" s="20" t="n">
        <v>1.66553768</v>
      </c>
      <c r="I30" s="18" t="n">
        <v>0</v>
      </c>
      <c r="J30" s="20" t="n">
        <v>0</v>
      </c>
      <c r="K30" s="18" t="n">
        <v>0</v>
      </c>
      <c r="L30" s="20" t="n">
        <v>0</v>
      </c>
      <c r="M30" s="18" t="n">
        <v>0</v>
      </c>
      <c r="N30" s="20" t="n">
        <v>0</v>
      </c>
      <c r="O30" s="18" t="n">
        <v>0</v>
      </c>
      <c r="P30" s="20" t="n">
        <v>0</v>
      </c>
      <c r="Q30" s="18" t="n">
        <v>2.04405348</v>
      </c>
      <c r="R30" s="20" t="n">
        <v>0.66960289</v>
      </c>
    </row>
    <row r="31" spans="1:18">
      <c r="A31" s="15" t="s">
        <v>589</v>
      </c>
      <c r="B31" s="17" t="n">
        <v>2706</v>
      </c>
      <c r="C31" s="18">
        <f>(2092.0/B31*100)</f>
        <v/>
      </c>
      <c r="D31" s="19" t="n">
        <v>614</v>
      </c>
      <c r="E31" s="18" t="n">
        <v>76.34570299000001</v>
      </c>
      <c r="F31" s="20" t="n">
        <v>1.54142537</v>
      </c>
      <c r="G31" s="18" t="n">
        <v>21.32643144</v>
      </c>
      <c r="H31" s="20" t="n">
        <v>1.50734802</v>
      </c>
      <c r="I31" s="18" t="n">
        <v>0</v>
      </c>
      <c r="J31" s="20" t="n">
        <v>0</v>
      </c>
      <c r="K31" s="18" t="n">
        <v>0.15797519</v>
      </c>
      <c r="L31" s="20" t="n">
        <v>0.15816276</v>
      </c>
      <c r="M31" s="18" t="n">
        <v>0</v>
      </c>
      <c r="N31" s="20" t="n">
        <v>0</v>
      </c>
      <c r="O31" s="18" t="n">
        <v>0</v>
      </c>
      <c r="P31" s="20" t="n">
        <v>0</v>
      </c>
      <c r="Q31" s="18" t="n">
        <v>2.16989038</v>
      </c>
      <c r="R31" s="20" t="n">
        <v>0.59179308</v>
      </c>
    </row>
    <row r="32" spans="1:18">
      <c r="A32" s="15" t="s">
        <v>590</v>
      </c>
      <c r="B32" s="17" t="n">
        <v>2209</v>
      </c>
      <c r="C32" s="18">
        <f>(1746.0/B32*100)</f>
        <v/>
      </c>
      <c r="D32" s="19" t="n">
        <v>463</v>
      </c>
      <c r="E32" s="18" t="n">
        <v>85.69870154</v>
      </c>
      <c r="F32" s="20" t="n">
        <v>1.67836241</v>
      </c>
      <c r="G32" s="18" t="n">
        <v>11.61085784</v>
      </c>
      <c r="H32" s="20" t="n">
        <v>1.4829119</v>
      </c>
      <c r="I32" s="18" t="n">
        <v>0</v>
      </c>
      <c r="J32" s="20" t="n">
        <v>0</v>
      </c>
      <c r="K32" s="18" t="n">
        <v>0</v>
      </c>
      <c r="L32" s="20" t="n">
        <v>0</v>
      </c>
      <c r="M32" s="18" t="n">
        <v>0</v>
      </c>
      <c r="N32" s="20" t="n">
        <v>0</v>
      </c>
      <c r="O32" s="18" t="n">
        <v>0</v>
      </c>
      <c r="P32" s="20" t="n">
        <v>0</v>
      </c>
      <c r="Q32" s="18" t="n">
        <v>2.69044061</v>
      </c>
      <c r="R32" s="20" t="n">
        <v>0.75318036</v>
      </c>
    </row>
    <row r="33" spans="1:18">
      <c r="A33" s="15" t="s">
        <v>591</v>
      </c>
      <c r="B33" s="17" t="n">
        <v>3651</v>
      </c>
      <c r="C33" s="18">
        <f>(2887.0/B33*100)</f>
        <v/>
      </c>
      <c r="D33" s="19" t="n">
        <v>764</v>
      </c>
      <c r="E33" s="18" t="n">
        <v>86.02548788</v>
      </c>
      <c r="F33" s="20" t="n">
        <v>1.43959411</v>
      </c>
      <c r="G33" s="18" t="n">
        <v>11.63490278</v>
      </c>
      <c r="H33" s="20" t="n">
        <v>1.34412298</v>
      </c>
      <c r="I33" s="18" t="n">
        <v>0</v>
      </c>
      <c r="J33" s="20" t="n">
        <v>0</v>
      </c>
      <c r="K33" s="18" t="n">
        <v>0</v>
      </c>
      <c r="L33" s="20" t="n">
        <v>0</v>
      </c>
      <c r="M33" s="18" t="n">
        <v>0</v>
      </c>
      <c r="N33" s="20" t="n">
        <v>0</v>
      </c>
      <c r="O33" s="18" t="n">
        <v>0</v>
      </c>
      <c r="P33" s="20" t="n">
        <v>0</v>
      </c>
      <c r="Q33" s="18" t="n">
        <v>2.33960934</v>
      </c>
      <c r="R33" s="20" t="n">
        <v>0.7111073</v>
      </c>
    </row>
    <row r="34" spans="1:18">
      <c r="A34" s="15" t="s">
        <v>592</v>
      </c>
      <c r="B34" s="17" t="n">
        <v>3035</v>
      </c>
      <c r="C34" s="18">
        <f>(2354.0/B34*100)</f>
        <v/>
      </c>
      <c r="D34" s="19" t="n">
        <v>681</v>
      </c>
      <c r="E34" s="18" t="n">
        <v>86.56519922</v>
      </c>
      <c r="F34" s="20" t="n">
        <v>1.50619511</v>
      </c>
      <c r="G34" s="18" t="n">
        <v>10.42001481</v>
      </c>
      <c r="H34" s="20" t="n">
        <v>1.27523318</v>
      </c>
      <c r="I34" s="18" t="n">
        <v>0</v>
      </c>
      <c r="J34" s="20" t="n">
        <v>0</v>
      </c>
      <c r="K34" s="18" t="n">
        <v>0.26281353</v>
      </c>
      <c r="L34" s="20" t="n">
        <v>0.18660243</v>
      </c>
      <c r="M34" s="18" t="n">
        <v>0</v>
      </c>
      <c r="N34" s="20" t="n">
        <v>0</v>
      </c>
      <c r="O34" s="18" t="n">
        <v>0</v>
      </c>
      <c r="P34" s="20" t="n">
        <v>0</v>
      </c>
      <c r="Q34" s="18" t="n">
        <v>2.75197244</v>
      </c>
      <c r="R34" s="20" t="n">
        <v>0.7097576</v>
      </c>
    </row>
    <row r="35" spans="1:18">
      <c r="A35" s="15" t="s">
        <v>593</v>
      </c>
      <c r="B35" s="17" t="n">
        <v>2901</v>
      </c>
      <c r="C35" s="18">
        <f>(2267.0/B35*100)</f>
        <v/>
      </c>
      <c r="D35" s="19" t="n">
        <v>634</v>
      </c>
      <c r="E35" s="18" t="n">
        <v>78.36293478</v>
      </c>
      <c r="F35" s="20" t="n">
        <v>2.20130818</v>
      </c>
      <c r="G35" s="18" t="n">
        <v>19.28172648</v>
      </c>
      <c r="H35" s="20" t="n">
        <v>1.98972224</v>
      </c>
      <c r="I35" s="18" t="n">
        <v>0</v>
      </c>
      <c r="J35" s="20" t="n">
        <v>0</v>
      </c>
      <c r="K35" s="18" t="n">
        <v>0</v>
      </c>
      <c r="L35" s="20" t="n">
        <v>0</v>
      </c>
      <c r="M35" s="18" t="n">
        <v>0</v>
      </c>
      <c r="N35" s="20" t="n">
        <v>0</v>
      </c>
      <c r="O35" s="18" t="n">
        <v>0</v>
      </c>
      <c r="P35" s="20" t="n">
        <v>0</v>
      </c>
      <c r="Q35" s="18" t="n">
        <v>2.35533874</v>
      </c>
      <c r="R35" s="20" t="n">
        <v>0.65130864</v>
      </c>
    </row>
    <row r="36" spans="1:18">
      <c r="A36" s="15" t="s">
        <v>594</v>
      </c>
      <c r="B36" s="17" t="n">
        <v>3404</v>
      </c>
      <c r="C36" s="18">
        <f>(2660.0/B36*100)</f>
        <v/>
      </c>
      <c r="D36" s="19" t="n">
        <v>744</v>
      </c>
      <c r="E36" s="18" t="n">
        <v>83.83033936</v>
      </c>
      <c r="F36" s="20" t="n">
        <v>1.34411563</v>
      </c>
      <c r="G36" s="18" t="n">
        <v>13.13324632</v>
      </c>
      <c r="H36" s="20" t="n">
        <v>1.21291694</v>
      </c>
      <c r="I36" s="18" t="n">
        <v>0</v>
      </c>
      <c r="J36" s="20" t="n">
        <v>0</v>
      </c>
      <c r="K36" s="18" t="n">
        <v>0</v>
      </c>
      <c r="L36" s="20" t="n">
        <v>0</v>
      </c>
      <c r="M36" s="18" t="n">
        <v>0</v>
      </c>
      <c r="N36" s="20" t="n">
        <v>0</v>
      </c>
      <c r="O36" s="18" t="n">
        <v>0</v>
      </c>
      <c r="P36" s="20" t="n">
        <v>0</v>
      </c>
      <c r="Q36" s="18" t="n">
        <v>3.03641432</v>
      </c>
      <c r="R36" s="20" t="n">
        <v>0.68042833</v>
      </c>
    </row>
    <row r="37" spans="1:18">
      <c r="A37" s="15" t="s">
        <v>595</v>
      </c>
      <c r="B37" s="17" t="n">
        <v>2731</v>
      </c>
      <c r="C37" s="18">
        <f>(2146.0/B37*100)</f>
        <v/>
      </c>
      <c r="D37" s="19" t="n">
        <v>585</v>
      </c>
      <c r="E37" s="18" t="n">
        <v>81.28385170999999</v>
      </c>
      <c r="F37" s="20" t="n">
        <v>1.60394124</v>
      </c>
      <c r="G37" s="18" t="n">
        <v>15.04450371</v>
      </c>
      <c r="H37" s="20" t="n">
        <v>1.58065233</v>
      </c>
      <c r="I37" s="18" t="n">
        <v>0</v>
      </c>
      <c r="J37" s="20" t="n">
        <v>0</v>
      </c>
      <c r="K37" s="18" t="n">
        <v>0.17407782</v>
      </c>
      <c r="L37" s="20" t="n">
        <v>0.17409153</v>
      </c>
      <c r="M37" s="18" t="n">
        <v>0</v>
      </c>
      <c r="N37" s="20" t="n">
        <v>0</v>
      </c>
      <c r="O37" s="18" t="n">
        <v>0</v>
      </c>
      <c r="P37" s="20" t="n">
        <v>0</v>
      </c>
      <c r="Q37" s="18" t="n">
        <v>3.49756676</v>
      </c>
      <c r="R37" s="20" t="n">
        <v>0.79986291</v>
      </c>
    </row>
    <row r="38" spans="1:18">
      <c r="A38" s="15" t="s">
        <v>596</v>
      </c>
      <c r="B38" s="17" t="n">
        <v>2807</v>
      </c>
      <c r="C38" s="18">
        <f>(2228.0/B38*100)</f>
        <v/>
      </c>
      <c r="D38" s="19" t="n">
        <v>579</v>
      </c>
      <c r="E38" s="18" t="n">
        <v>74.04171076999999</v>
      </c>
      <c r="F38" s="20" t="n">
        <v>1.89781501</v>
      </c>
      <c r="G38" s="18" t="n">
        <v>23.6369558</v>
      </c>
      <c r="H38" s="20" t="n">
        <v>1.86516073</v>
      </c>
      <c r="I38" s="18" t="n">
        <v>0</v>
      </c>
      <c r="J38" s="20" t="n">
        <v>0</v>
      </c>
      <c r="K38" s="18" t="n">
        <v>0</v>
      </c>
      <c r="L38" s="20" t="n">
        <v>0</v>
      </c>
      <c r="M38" s="18" t="n">
        <v>0</v>
      </c>
      <c r="N38" s="20" t="n">
        <v>0</v>
      </c>
      <c r="O38" s="18" t="n">
        <v>0</v>
      </c>
      <c r="P38" s="20" t="n">
        <v>0</v>
      </c>
      <c r="Q38" s="18" t="n">
        <v>2.32133343</v>
      </c>
      <c r="R38" s="20" t="n">
        <v>0.68325611</v>
      </c>
    </row>
    <row r="39" spans="1:18">
      <c r="A39" s="15" t="s">
        <v>597</v>
      </c>
      <c r="B39" s="17" t="n">
        <v>2938</v>
      </c>
      <c r="C39" s="18">
        <f>(2269.0/B39*100)</f>
        <v/>
      </c>
      <c r="D39" s="19" t="n">
        <v>669</v>
      </c>
      <c r="E39" s="18" t="n">
        <v>88.91831103</v>
      </c>
      <c r="F39" s="20" t="n">
        <v>1.23717293</v>
      </c>
      <c r="G39" s="18" t="n">
        <v>7.05974582</v>
      </c>
      <c r="H39" s="20" t="n">
        <v>1.0272702</v>
      </c>
      <c r="I39" s="18" t="n">
        <v>0</v>
      </c>
      <c r="J39" s="20" t="n">
        <v>0</v>
      </c>
      <c r="K39" s="18" t="n">
        <v>0.18710951</v>
      </c>
      <c r="L39" s="20" t="n">
        <v>0.17774833</v>
      </c>
      <c r="M39" s="18" t="n">
        <v>0</v>
      </c>
      <c r="N39" s="20" t="n">
        <v>0</v>
      </c>
      <c r="O39" s="18" t="n">
        <v>0</v>
      </c>
      <c r="P39" s="20" t="n">
        <v>0</v>
      </c>
      <c r="Q39" s="18" t="n">
        <v>3.83483364</v>
      </c>
      <c r="R39" s="20" t="n">
        <v>0.8374402</v>
      </c>
    </row>
    <row r="40" spans="1:18">
      <c r="A40" s="15" t="s">
        <v>598</v>
      </c>
      <c r="B40" s="17" t="n">
        <v>6922</v>
      </c>
      <c r="C40" s="18">
        <f>(5376.0/B40*100)</f>
        <v/>
      </c>
      <c r="D40" s="19" t="n">
        <v>1546</v>
      </c>
      <c r="E40" s="18" t="n">
        <v>80.31323105</v>
      </c>
      <c r="F40" s="20" t="n">
        <v>1.55977206</v>
      </c>
      <c r="G40" s="18" t="n">
        <v>17.71727984</v>
      </c>
      <c r="H40" s="20" t="n">
        <v>1.59600426</v>
      </c>
      <c r="I40" s="18" t="n">
        <v>0</v>
      </c>
      <c r="J40" s="20" t="n">
        <v>0</v>
      </c>
      <c r="K40" s="18" t="n">
        <v>0.01327642</v>
      </c>
      <c r="L40" s="20" t="n">
        <v>0.01349141</v>
      </c>
      <c r="M40" s="18" t="n">
        <v>0</v>
      </c>
      <c r="N40" s="20" t="n">
        <v>0</v>
      </c>
      <c r="O40" s="18" t="n">
        <v>0</v>
      </c>
      <c r="P40" s="20" t="n">
        <v>0</v>
      </c>
      <c r="Q40" s="18" t="n">
        <v>1.95621268</v>
      </c>
      <c r="R40" s="20" t="n">
        <v>0.43210131</v>
      </c>
    </row>
    <row r="41" spans="1:18">
      <c r="A41" s="15" t="s">
        <v>599</v>
      </c>
      <c r="B41" s="17" t="n">
        <v>2854</v>
      </c>
      <c r="C41" s="18">
        <f>(2220.0/B41*100)</f>
        <v/>
      </c>
      <c r="D41" s="19" t="n">
        <v>634</v>
      </c>
      <c r="E41" s="18" t="n">
        <v>79.19137992</v>
      </c>
      <c r="F41" s="20" t="n">
        <v>2.01055508</v>
      </c>
      <c r="G41" s="18" t="n">
        <v>18.61377062</v>
      </c>
      <c r="H41" s="20" t="n">
        <v>1.94157709</v>
      </c>
      <c r="I41" s="18" t="n">
        <v>0</v>
      </c>
      <c r="J41" s="20" t="n">
        <v>0</v>
      </c>
      <c r="K41" s="18" t="n">
        <v>0</v>
      </c>
      <c r="L41" s="20" t="n">
        <v>0</v>
      </c>
      <c r="M41" s="18" t="n">
        <v>0</v>
      </c>
      <c r="N41" s="20" t="n">
        <v>0</v>
      </c>
      <c r="O41" s="18" t="n">
        <v>0</v>
      </c>
      <c r="P41" s="20" t="n">
        <v>0</v>
      </c>
      <c r="Q41" s="18" t="n">
        <v>2.19484946</v>
      </c>
      <c r="R41" s="20" t="n">
        <v>0.48499335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(9813.0/B46*100)</f>
        <v/>
      </c>
      <c r="D46" s="19" t="n">
        <v>2260</v>
      </c>
      <c r="E46" s="18" t="n">
        <v>90.26320204</v>
      </c>
      <c r="F46" s="20" t="n">
        <v>0.86877531</v>
      </c>
      <c r="G46" s="18" t="n">
        <v>3.08745478</v>
      </c>
      <c r="H46" s="20" t="n">
        <v>0.56675299</v>
      </c>
      <c r="I46" s="18" t="n">
        <v>0</v>
      </c>
      <c r="J46" s="20" t="n">
        <v>0</v>
      </c>
      <c r="K46" s="18" t="n">
        <v>0.55657574</v>
      </c>
      <c r="L46" s="20" t="n">
        <v>0.21420851</v>
      </c>
      <c r="M46" s="18" t="n">
        <v>0</v>
      </c>
      <c r="N46" s="20" t="n">
        <v>0</v>
      </c>
      <c r="O46" s="18" t="n">
        <v>0</v>
      </c>
      <c r="P46" s="20" t="n">
        <v>0</v>
      </c>
      <c r="Q46" s="18" t="n">
        <v>6.09276745</v>
      </c>
      <c r="R46" s="20" t="n">
        <v>0.6507278399999999</v>
      </c>
    </row>
    <row r="47" spans="1:18">
      <c r="A47" s="15" t="s">
        <v>606</v>
      </c>
      <c r="B47" s="17" t="n">
        <v>2823</v>
      </c>
      <c r="C47" s="18">
        <f>(2194.0/B47*100)</f>
        <v/>
      </c>
      <c r="D47" s="19" t="n">
        <v>629</v>
      </c>
      <c r="E47" s="18" t="n">
        <v>86.59607148000001</v>
      </c>
      <c r="F47" s="20" t="n">
        <v>1.2798535</v>
      </c>
      <c r="G47" s="18" t="n">
        <v>9.68852848</v>
      </c>
      <c r="H47" s="20" t="n">
        <v>1.03557948</v>
      </c>
      <c r="I47" s="18" t="n">
        <v>0</v>
      </c>
      <c r="J47" s="20" t="n">
        <v>0</v>
      </c>
      <c r="K47" s="18" t="n">
        <v>0.15006008</v>
      </c>
      <c r="L47" s="20" t="n">
        <v>0.15025708</v>
      </c>
      <c r="M47" s="18" t="n">
        <v>0</v>
      </c>
      <c r="N47" s="20" t="n">
        <v>0</v>
      </c>
      <c r="O47" s="18" t="n">
        <v>0</v>
      </c>
      <c r="P47" s="20" t="n">
        <v>0</v>
      </c>
      <c r="Q47" s="18" t="n">
        <v>3.56533997</v>
      </c>
      <c r="R47" s="20" t="n">
        <v>0.759962</v>
      </c>
    </row>
    <row r="48" spans="1:18">
      <c r="A48" s="15" t="s">
        <v>607</v>
      </c>
      <c r="B48" s="17" t="n">
        <v>4682</v>
      </c>
      <c r="C48" s="18">
        <f>(3692.0/B48*100)</f>
        <v/>
      </c>
      <c r="D48" s="19" t="n">
        <v>990</v>
      </c>
      <c r="E48" s="18" t="n">
        <v>78.14358231999999</v>
      </c>
      <c r="F48" s="20" t="n">
        <v>2.15517711</v>
      </c>
      <c r="G48" s="18" t="n">
        <v>18.26733674</v>
      </c>
      <c r="H48" s="20" t="n">
        <v>2.12825269</v>
      </c>
      <c r="I48" s="18" t="n">
        <v>0</v>
      </c>
      <c r="J48" s="20" t="n">
        <v>0</v>
      </c>
      <c r="K48" s="18" t="n">
        <v>0.1733445</v>
      </c>
      <c r="L48" s="20" t="n">
        <v>0.17277591</v>
      </c>
      <c r="M48" s="18" t="n">
        <v>0</v>
      </c>
      <c r="N48" s="20" t="n">
        <v>0</v>
      </c>
      <c r="O48" s="18" t="n">
        <v>0</v>
      </c>
      <c r="P48" s="20" t="n">
        <v>0</v>
      </c>
      <c r="Q48" s="18" t="n">
        <v>3.41573644</v>
      </c>
      <c r="R48" s="20" t="n">
        <v>0.82725503</v>
      </c>
    </row>
    <row r="49" spans="1:18">
      <c r="A49" s="15" t="s">
        <v>608</v>
      </c>
      <c r="B49" s="17" t="n">
        <v>6158</v>
      </c>
      <c r="C49" s="18">
        <f>(4835.0/B49*100)</f>
        <v/>
      </c>
      <c r="D49" s="19" t="n">
        <v>1323</v>
      </c>
      <c r="E49" s="18" t="n">
        <v>91.69056024</v>
      </c>
      <c r="F49" s="20" t="n">
        <v>1.16880324</v>
      </c>
      <c r="G49" s="18" t="n">
        <v>5.55679065</v>
      </c>
      <c r="H49" s="20" t="n">
        <v>0.94242671</v>
      </c>
      <c r="I49" s="18" t="n">
        <v>0</v>
      </c>
      <c r="J49" s="20" t="n">
        <v>0</v>
      </c>
      <c r="K49" s="18" t="n">
        <v>0.35543358</v>
      </c>
      <c r="L49" s="20" t="n">
        <v>0.18955851</v>
      </c>
      <c r="M49" s="18" t="n">
        <v>0</v>
      </c>
      <c r="N49" s="20" t="n">
        <v>0</v>
      </c>
      <c r="O49" s="18" t="n">
        <v>0</v>
      </c>
      <c r="P49" s="20" t="n">
        <v>0</v>
      </c>
      <c r="Q49" s="18" t="n">
        <v>2.39721553</v>
      </c>
      <c r="R49" s="20" t="n">
        <v>0.58742812</v>
      </c>
    </row>
    <row r="50" spans="1:18">
      <c r="A50" s="15" t="s">
        <v>609</v>
      </c>
      <c r="B50" s="17" t="n">
        <v>3494</v>
      </c>
      <c r="C50" s="18">
        <f>(2845.0/B50*100)</f>
        <v/>
      </c>
      <c r="D50" s="19" t="n">
        <v>649</v>
      </c>
      <c r="E50" s="18" t="n">
        <v>91.80153521</v>
      </c>
      <c r="F50" s="20" t="n">
        <v>1.33625911</v>
      </c>
      <c r="G50" s="18" t="n">
        <v>4.93763285</v>
      </c>
      <c r="H50" s="20" t="n">
        <v>0.94850444</v>
      </c>
      <c r="I50" s="18" t="n">
        <v>0</v>
      </c>
      <c r="J50" s="20" t="n">
        <v>0</v>
      </c>
      <c r="K50" s="18" t="n">
        <v>0.22663319</v>
      </c>
      <c r="L50" s="20" t="n">
        <v>0.16930066</v>
      </c>
      <c r="M50" s="18" t="n">
        <v>0</v>
      </c>
      <c r="N50" s="20" t="n">
        <v>0</v>
      </c>
      <c r="O50" s="18" t="n">
        <v>0</v>
      </c>
      <c r="P50" s="20" t="n">
        <v>0</v>
      </c>
      <c r="Q50" s="18" t="n">
        <v>3.03419875</v>
      </c>
      <c r="R50" s="20" t="n">
        <v>0.9696153</v>
      </c>
    </row>
    <row r="51" spans="1:18">
      <c r="A51" s="15" t="s">
        <v>610</v>
      </c>
      <c r="B51" s="17" t="n">
        <v>3013</v>
      </c>
      <c r="C51" s="18">
        <f>(2363.0/B51*100)</f>
        <v/>
      </c>
      <c r="D51" s="19" t="n">
        <v>650</v>
      </c>
      <c r="E51" s="18" t="n">
        <v>92.2822142</v>
      </c>
      <c r="F51" s="20" t="n">
        <v>1.06810163</v>
      </c>
      <c r="G51" s="18" t="n">
        <v>5.29346811</v>
      </c>
      <c r="H51" s="20" t="n">
        <v>0.91058395</v>
      </c>
      <c r="I51" s="18" t="n">
        <v>0</v>
      </c>
      <c r="J51" s="20" t="n">
        <v>0</v>
      </c>
      <c r="K51" s="18" t="n">
        <v>0</v>
      </c>
      <c r="L51" s="20" t="n">
        <v>0</v>
      </c>
      <c r="M51" s="18" t="n">
        <v>0</v>
      </c>
      <c r="N51" s="20" t="n">
        <v>0</v>
      </c>
      <c r="O51" s="18" t="n">
        <v>0</v>
      </c>
      <c r="P51" s="20" t="n">
        <v>0</v>
      </c>
      <c r="Q51" s="18" t="n">
        <v>2.42431769</v>
      </c>
      <c r="R51" s="20" t="n">
        <v>0.5908474500000001</v>
      </c>
    </row>
    <row r="52" spans="1:18">
      <c r="A52" s="15" t="s">
        <v>611</v>
      </c>
      <c r="B52" s="17" t="n">
        <v>2760</v>
      </c>
      <c r="C52" s="18">
        <f>(2186.0/B52*100)</f>
        <v/>
      </c>
      <c r="D52" s="19" t="n">
        <v>574</v>
      </c>
      <c r="E52" s="18" t="n">
        <v>89.43711503</v>
      </c>
      <c r="F52" s="20" t="n">
        <v>1.31923834</v>
      </c>
      <c r="G52" s="18" t="n">
        <v>8.058719050000001</v>
      </c>
      <c r="H52" s="20" t="n">
        <v>1.15894049</v>
      </c>
      <c r="I52" s="18" t="n">
        <v>0</v>
      </c>
      <c r="J52" s="20" t="n">
        <v>0</v>
      </c>
      <c r="K52" s="18" t="n">
        <v>0</v>
      </c>
      <c r="L52" s="20" t="n">
        <v>0</v>
      </c>
      <c r="M52" s="18" t="n">
        <v>0</v>
      </c>
      <c r="N52" s="20" t="n">
        <v>0</v>
      </c>
      <c r="O52" s="18" t="n">
        <v>0</v>
      </c>
      <c r="P52" s="20" t="n">
        <v>0</v>
      </c>
      <c r="Q52" s="18" t="n">
        <v>2.50416592</v>
      </c>
      <c r="R52" s="20" t="n">
        <v>0.70747244</v>
      </c>
    </row>
    <row r="53" spans="1:18">
      <c r="A53" s="15" t="s">
        <v>612</v>
      </c>
      <c r="B53" s="17" t="n">
        <v>2474</v>
      </c>
      <c r="C53" s="18">
        <f>(1892.0/B53*100)</f>
        <v/>
      </c>
      <c r="D53" s="19" t="n">
        <v>582</v>
      </c>
      <c r="E53" s="18" t="n">
        <v>76.62127590999999</v>
      </c>
      <c r="F53" s="20" t="n">
        <v>2.03700782</v>
      </c>
      <c r="G53" s="18" t="n">
        <v>2.13887352</v>
      </c>
      <c r="H53" s="20" t="n">
        <v>0.73239448</v>
      </c>
      <c r="I53" s="18" t="n">
        <v>0</v>
      </c>
      <c r="J53" s="20" t="n">
        <v>0</v>
      </c>
      <c r="K53" s="18" t="n">
        <v>14.13204653</v>
      </c>
      <c r="L53" s="20" t="n">
        <v>1.55217517</v>
      </c>
      <c r="M53" s="18" t="n">
        <v>0</v>
      </c>
      <c r="N53" s="20" t="n">
        <v>0</v>
      </c>
      <c r="O53" s="18" t="n">
        <v>0</v>
      </c>
      <c r="P53" s="20" t="n">
        <v>0</v>
      </c>
      <c r="Q53" s="18" t="n">
        <v>7.10780404</v>
      </c>
      <c r="R53" s="20" t="n">
        <v>1.23413345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(2071.0/B55*100)</f>
        <v/>
      </c>
      <c r="D55" s="19" t="n">
        <v>604</v>
      </c>
      <c r="E55" s="18" t="n">
        <v>84.98902652</v>
      </c>
      <c r="F55" s="20" t="n">
        <v>1.54004239</v>
      </c>
      <c r="G55" s="18" t="n">
        <v>13.54766238</v>
      </c>
      <c r="H55" s="20" t="n">
        <v>1.50872845</v>
      </c>
      <c r="I55" s="18" t="n">
        <v>0</v>
      </c>
      <c r="J55" s="20" t="n">
        <v>0</v>
      </c>
      <c r="K55" s="18" t="n">
        <v>0.15176457</v>
      </c>
      <c r="L55" s="20" t="n">
        <v>0.16977933</v>
      </c>
      <c r="M55" s="18" t="n">
        <v>0</v>
      </c>
      <c r="N55" s="20" t="n">
        <v>0</v>
      </c>
      <c r="O55" s="18" t="n">
        <v>0</v>
      </c>
      <c r="P55" s="20" t="n">
        <v>0</v>
      </c>
      <c r="Q55" s="18" t="n">
        <v>1.31154653</v>
      </c>
      <c r="R55" s="20" t="n">
        <v>0.50453769</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(2519.0/B61*100)</f>
        <v/>
      </c>
      <c r="D61" s="19" t="n">
        <v>682</v>
      </c>
      <c r="E61" s="18" t="n">
        <v>87.86357595</v>
      </c>
      <c r="F61" s="20" t="n">
        <v>1.36961562</v>
      </c>
      <c r="G61" s="18" t="n">
        <v>9.89939154</v>
      </c>
      <c r="H61" s="20" t="n">
        <v>1.36487452</v>
      </c>
      <c r="I61" s="18" t="n">
        <v>0</v>
      </c>
      <c r="J61" s="20" t="n">
        <v>0</v>
      </c>
      <c r="K61" s="18" t="n">
        <v>0.16537051</v>
      </c>
      <c r="L61" s="20" t="n">
        <v>0.18015352</v>
      </c>
      <c r="M61" s="18" t="n">
        <v>0</v>
      </c>
      <c r="N61" s="20" t="n">
        <v>0</v>
      </c>
      <c r="O61" s="18" t="n">
        <v>0</v>
      </c>
      <c r="P61" s="20" t="n">
        <v>0</v>
      </c>
      <c r="Q61" s="18" t="n">
        <v>2.071662</v>
      </c>
      <c r="R61" s="20" t="n">
        <v>0.68887149</v>
      </c>
    </row>
    <row r="62" spans="1:18">
      <c r="A62" s="15" t="s">
        <v>622</v>
      </c>
      <c r="B62" s="17" t="n">
        <v>2230</v>
      </c>
      <c r="C62" s="18">
        <f>(1751.0/B62*100)</f>
        <v/>
      </c>
      <c r="D62" s="19" t="n">
        <v>479</v>
      </c>
      <c r="E62" s="18" t="n">
        <v>79.98175547</v>
      </c>
      <c r="F62" s="20" t="n">
        <v>1.87973054</v>
      </c>
      <c r="G62" s="18" t="n">
        <v>19.39563516</v>
      </c>
      <c r="H62" s="20" t="n">
        <v>1.8944798</v>
      </c>
      <c r="I62" s="18" t="n">
        <v>0</v>
      </c>
      <c r="J62" s="20" t="n">
        <v>0</v>
      </c>
      <c r="K62" s="18" t="n">
        <v>0</v>
      </c>
      <c r="L62" s="20" t="n">
        <v>0</v>
      </c>
      <c r="M62" s="18" t="n">
        <v>0</v>
      </c>
      <c r="N62" s="20" t="n">
        <v>0</v>
      </c>
      <c r="O62" s="18" t="n">
        <v>0</v>
      </c>
      <c r="P62" s="20" t="n">
        <v>0</v>
      </c>
      <c r="Q62" s="18" t="n">
        <v>0.6226093700000001</v>
      </c>
      <c r="R62" s="20" t="n">
        <v>0.35319951</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(2175.0/B67*100)</f>
        <v/>
      </c>
      <c r="D67" s="19" t="n">
        <v>596</v>
      </c>
      <c r="E67" s="18" t="n">
        <v>86.85342738999999</v>
      </c>
      <c r="F67" s="20" t="n">
        <v>1.40204927</v>
      </c>
      <c r="G67" s="18" t="n">
        <v>3.43184133</v>
      </c>
      <c r="H67" s="20" t="n">
        <v>0.75164065</v>
      </c>
      <c r="I67" s="18" t="n">
        <v>0</v>
      </c>
      <c r="J67" s="20" t="n">
        <v>0</v>
      </c>
      <c r="K67" s="18" t="n">
        <v>0.29358119</v>
      </c>
      <c r="L67" s="20" t="n">
        <v>0.20926521</v>
      </c>
      <c r="M67" s="18" t="n">
        <v>0</v>
      </c>
      <c r="N67" s="20" t="n">
        <v>0</v>
      </c>
      <c r="O67" s="18" t="n">
        <v>0</v>
      </c>
      <c r="P67" s="20" t="n">
        <v>0</v>
      </c>
      <c r="Q67" s="18" t="n">
        <v>9.421150089999999</v>
      </c>
      <c r="R67" s="20" t="n">
        <v>1.22894424</v>
      </c>
    </row>
    <row r="68" spans="1:18">
      <c r="A68" s="15" t="s">
        <v>628</v>
      </c>
      <c r="B68" s="17" t="n">
        <v>3460</v>
      </c>
      <c r="C68" s="18">
        <f>(2777.0/B68*100)</f>
        <v/>
      </c>
      <c r="D68" s="19" t="n">
        <v>683</v>
      </c>
      <c r="E68" s="18" t="n">
        <v>89.35329564</v>
      </c>
      <c r="F68" s="20" t="n">
        <v>1.19373825</v>
      </c>
      <c r="G68" s="18" t="n">
        <v>4.73034056</v>
      </c>
      <c r="H68" s="20" t="n">
        <v>0.75414232</v>
      </c>
      <c r="I68" s="18" t="n">
        <v>0</v>
      </c>
      <c r="J68" s="20" t="n">
        <v>0</v>
      </c>
      <c r="K68" s="18" t="n">
        <v>0.15224388</v>
      </c>
      <c r="L68" s="20" t="n">
        <v>0.15253223</v>
      </c>
      <c r="M68" s="18" t="n">
        <v>0</v>
      </c>
      <c r="N68" s="20" t="n">
        <v>0</v>
      </c>
      <c r="O68" s="18" t="n">
        <v>0</v>
      </c>
      <c r="P68" s="20" t="n">
        <v>0</v>
      </c>
      <c r="Q68" s="18" t="n">
        <v>5.76411992</v>
      </c>
      <c r="R68" s="20" t="n">
        <v>0.93946937</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88.5700317</v>
      </c>
      <c r="F70" s="20" t="n">
        <v>0.88608316</v>
      </c>
      <c r="G70" s="18" t="n">
        <v>7.0243726</v>
      </c>
      <c r="H70" s="20" t="n">
        <v>0.67760966</v>
      </c>
      <c r="I70" s="18" t="n">
        <v>0</v>
      </c>
      <c r="J70" s="20" t="n">
        <v>0</v>
      </c>
      <c r="K70" s="18" t="n">
        <v>0.7956784</v>
      </c>
      <c r="L70" s="20" t="n">
        <v>0.22130494</v>
      </c>
      <c r="M70" s="18" t="n">
        <v>0</v>
      </c>
      <c r="N70" s="20" t="n">
        <v>0</v>
      </c>
      <c r="O70" s="18" t="n">
        <v>0</v>
      </c>
      <c r="P70" s="20" t="n">
        <v>0</v>
      </c>
      <c r="Q70" s="18" t="n">
        <v>3.6099173</v>
      </c>
      <c r="R70" s="20" t="n">
        <v>0.49522885</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(2462.0/B72*100)</f>
        <v/>
      </c>
      <c r="D72" s="19" t="n">
        <v>645</v>
      </c>
      <c r="E72" s="18" t="n">
        <v>89.98321172999999</v>
      </c>
      <c r="F72" s="20" t="n">
        <v>1.04292901</v>
      </c>
      <c r="G72" s="18" t="n">
        <v>8.108005779999999</v>
      </c>
      <c r="H72" s="20" t="n">
        <v>0.89164515</v>
      </c>
      <c r="I72" s="18" t="n">
        <v>0</v>
      </c>
      <c r="J72" s="20" t="n">
        <v>0</v>
      </c>
      <c r="K72" s="18" t="n">
        <v>0.07965832</v>
      </c>
      <c r="L72" s="20" t="n">
        <v>0.08039908</v>
      </c>
      <c r="M72" s="18" t="n">
        <v>0</v>
      </c>
      <c r="N72" s="20" t="n">
        <v>0</v>
      </c>
      <c r="O72" s="18" t="n">
        <v>0</v>
      </c>
      <c r="P72" s="20" t="n">
        <v>0</v>
      </c>
      <c r="Q72" s="18" t="n">
        <v>1.82912417</v>
      </c>
      <c r="R72" s="20" t="n">
        <v>0.4863592</v>
      </c>
    </row>
    <row r="73" spans="1:18">
      <c r="A73" s="15" t="s">
        <v>633</v>
      </c>
      <c r="B73" s="17" t="n">
        <v>2973</v>
      </c>
      <c r="C73" s="18">
        <f>(2275.0/B73*100)</f>
        <v/>
      </c>
      <c r="D73" s="19" t="n">
        <v>698</v>
      </c>
      <c r="E73" s="18" t="n">
        <v>73.39532756</v>
      </c>
      <c r="F73" s="20" t="n">
        <v>1.80428342</v>
      </c>
      <c r="G73" s="18" t="n">
        <v>25.56989107</v>
      </c>
      <c r="H73" s="20" t="n">
        <v>1.88412956</v>
      </c>
      <c r="I73" s="18" t="n">
        <v>0</v>
      </c>
      <c r="J73" s="20" t="n">
        <v>0</v>
      </c>
      <c r="K73" s="18" t="n">
        <v>0</v>
      </c>
      <c r="L73" s="20" t="n">
        <v>0</v>
      </c>
      <c r="M73" s="18" t="n">
        <v>0</v>
      </c>
      <c r="N73" s="20" t="n">
        <v>0</v>
      </c>
      <c r="O73" s="18" t="n">
        <v>0</v>
      </c>
      <c r="P73" s="20" t="n">
        <v>0</v>
      </c>
      <c r="Q73" s="18" t="n">
        <v>1.03478137</v>
      </c>
      <c r="R73" s="20" t="n">
        <v>0.36765324</v>
      </c>
    </row>
    <row r="74" spans="1:18">
      <c r="A74" s="15" t="s">
        <v>634</v>
      </c>
      <c r="B74" s="17" t="n">
        <v>3819</v>
      </c>
      <c r="C74" s="18">
        <f>(2941.0/B74*100)</f>
        <v/>
      </c>
      <c r="D74" s="19" t="n">
        <v>878</v>
      </c>
      <c r="E74" s="18" t="n">
        <v>80.39183203</v>
      </c>
      <c r="F74" s="20" t="n">
        <v>1.58924515</v>
      </c>
      <c r="G74" s="18" t="n">
        <v>18.5886589</v>
      </c>
      <c r="H74" s="20" t="n">
        <v>1.573929</v>
      </c>
      <c r="I74" s="18" t="n">
        <v>0</v>
      </c>
      <c r="J74" s="20" t="n">
        <v>0</v>
      </c>
      <c r="K74" s="18" t="n">
        <v>0.13112668</v>
      </c>
      <c r="L74" s="20" t="n">
        <v>0.09468809</v>
      </c>
      <c r="M74" s="18" t="n">
        <v>0</v>
      </c>
      <c r="N74" s="20" t="n">
        <v>0</v>
      </c>
      <c r="O74" s="18" t="n">
        <v>0</v>
      </c>
      <c r="P74" s="20" t="n">
        <v>0</v>
      </c>
      <c r="Q74" s="18" t="n">
        <v>0.88838239</v>
      </c>
      <c r="R74" s="20" t="n">
        <v>0.32589576</v>
      </c>
    </row>
    <row r="75" spans="1:18">
      <c r="A75" s="15" t="s">
        <v>635</v>
      </c>
      <c r="B75" s="17" t="n">
        <v>4652</v>
      </c>
      <c r="C75" s="18">
        <f>(3675.0/B75*100)</f>
        <v/>
      </c>
      <c r="D75" s="19" t="n">
        <v>977</v>
      </c>
      <c r="E75" s="18" t="n">
        <v>91.9688761</v>
      </c>
      <c r="F75" s="20" t="n">
        <v>0.95289042</v>
      </c>
      <c r="G75" s="18" t="n">
        <v>6.00143574</v>
      </c>
      <c r="H75" s="20" t="n">
        <v>0.84872589</v>
      </c>
      <c r="I75" s="18" t="n">
        <v>0</v>
      </c>
      <c r="J75" s="20" t="n">
        <v>0</v>
      </c>
      <c r="K75" s="18" t="n">
        <v>0</v>
      </c>
      <c r="L75" s="20" t="n">
        <v>0</v>
      </c>
      <c r="M75" s="18" t="n">
        <v>0</v>
      </c>
      <c r="N75" s="20" t="n">
        <v>0</v>
      </c>
      <c r="O75" s="18" t="n">
        <v>0</v>
      </c>
      <c r="P75" s="20" t="n">
        <v>0</v>
      </c>
      <c r="Q75" s="18" t="n">
        <v>2.02968816</v>
      </c>
      <c r="R75" s="20" t="n">
        <v>0.5378889100000001</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(2401.0/B77*100)</f>
        <v/>
      </c>
      <c r="D77" s="19" t="n">
        <v>568</v>
      </c>
      <c r="E77" s="18" t="n">
        <v>87.36987474999999</v>
      </c>
      <c r="F77" s="20" t="n">
        <v>1.72991372</v>
      </c>
      <c r="G77" s="18" t="n">
        <v>4.57090051</v>
      </c>
      <c r="H77" s="20" t="n">
        <v>0.91804966</v>
      </c>
      <c r="I77" s="18" t="n">
        <v>0</v>
      </c>
      <c r="J77" s="20" t="n">
        <v>0</v>
      </c>
      <c r="K77" s="18" t="n">
        <v>2.8116672</v>
      </c>
      <c r="L77" s="20" t="n">
        <v>0.70327767</v>
      </c>
      <c r="M77" s="18" t="n">
        <v>0</v>
      </c>
      <c r="N77" s="20" t="n">
        <v>0</v>
      </c>
      <c r="O77" s="18" t="n">
        <v>0</v>
      </c>
      <c r="P77" s="20" t="n">
        <v>0</v>
      </c>
      <c r="Q77" s="18" t="n">
        <v>5.24755755</v>
      </c>
      <c r="R77" s="20" t="n">
        <v>1.13476582</v>
      </c>
    </row>
    <row r="78" spans="1:18">
      <c r="A78" s="15" t="s">
        <v>638</v>
      </c>
      <c r="B78" s="17" t="n">
        <v>7115</v>
      </c>
      <c r="C78" s="18">
        <f>(5538.0/B78*100)</f>
        <v/>
      </c>
      <c r="D78" s="19" t="n">
        <v>1577</v>
      </c>
      <c r="E78" s="18" t="n">
        <v>87.43863725999999</v>
      </c>
      <c r="F78" s="20" t="n">
        <v>1.17047652</v>
      </c>
      <c r="G78" s="18" t="n">
        <v>9.92410076</v>
      </c>
      <c r="H78" s="20" t="n">
        <v>1.34192944</v>
      </c>
      <c r="I78" s="18" t="n">
        <v>0</v>
      </c>
      <c r="J78" s="20" t="n">
        <v>0</v>
      </c>
      <c r="K78" s="18" t="n">
        <v>0.41892703</v>
      </c>
      <c r="L78" s="20" t="n">
        <v>0.15387109</v>
      </c>
      <c r="M78" s="18" t="n">
        <v>0</v>
      </c>
      <c r="N78" s="20" t="n">
        <v>0</v>
      </c>
      <c r="O78" s="18" t="n">
        <v>0</v>
      </c>
      <c r="P78" s="20" t="n">
        <v>0</v>
      </c>
      <c r="Q78" s="18" t="n">
        <v>2.21833495</v>
      </c>
      <c r="R78" s="20" t="n">
        <v>0.56275095</v>
      </c>
    </row>
    <row r="79" spans="1:18">
      <c r="A79" s="15" t="s">
        <v>639</v>
      </c>
      <c r="B79" s="17" t="n">
        <v>3154</v>
      </c>
      <c r="C79" s="18">
        <f>(2500.0/B79*100)</f>
        <v/>
      </c>
      <c r="D79" s="19" t="n">
        <v>654</v>
      </c>
      <c r="E79" s="18" t="n">
        <v>87.4899664</v>
      </c>
      <c r="F79" s="20" t="n">
        <v>1.40813644</v>
      </c>
      <c r="G79" s="18" t="n">
        <v>6.11620427</v>
      </c>
      <c r="H79" s="20" t="n">
        <v>0.8108316800000001</v>
      </c>
      <c r="I79" s="18" t="n">
        <v>0</v>
      </c>
      <c r="J79" s="20" t="n">
        <v>0</v>
      </c>
      <c r="K79" s="18" t="n">
        <v>0.7007191699999999</v>
      </c>
      <c r="L79" s="20" t="n">
        <v>0.36081366</v>
      </c>
      <c r="M79" s="18" t="n">
        <v>0</v>
      </c>
      <c r="N79" s="20" t="n">
        <v>0</v>
      </c>
      <c r="O79" s="18" t="n">
        <v>0</v>
      </c>
      <c r="P79" s="20" t="n">
        <v>0</v>
      </c>
      <c r="Q79" s="18" t="n">
        <v>5.69311015</v>
      </c>
      <c r="R79" s="20" t="n">
        <v>1.03311987</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(12446.0/B82*100)</f>
        <v/>
      </c>
      <c r="D82" s="19" t="n">
        <v>3515</v>
      </c>
      <c r="E82" s="18" t="n">
        <v>82.86213628</v>
      </c>
      <c r="F82" s="20" t="n">
        <v>0.83129077</v>
      </c>
      <c r="G82" s="18" t="n">
        <v>14.27010342</v>
      </c>
      <c r="H82" s="20" t="n">
        <v>0.76935984</v>
      </c>
      <c r="I82" s="18" t="n">
        <v>0</v>
      </c>
      <c r="J82" s="20" t="n">
        <v>0</v>
      </c>
      <c r="K82" s="18" t="n">
        <v>0.02751993</v>
      </c>
      <c r="L82" s="20" t="n">
        <v>0.02152185</v>
      </c>
      <c r="M82" s="18" t="n">
        <v>0</v>
      </c>
      <c r="N82" s="20" t="n">
        <v>0</v>
      </c>
      <c r="O82" s="18" t="n">
        <v>0</v>
      </c>
      <c r="P82" s="20" t="n">
        <v>0</v>
      </c>
      <c r="Q82" s="18" t="n">
        <v>2.84024037</v>
      </c>
      <c r="R82" s="20" t="n">
        <v>0.54592772</v>
      </c>
    </row>
    <row r="83" spans="1:18">
      <c r="A83" s="15" t="s">
        <v>643</v>
      </c>
      <c r="B83" s="17" t="n">
        <v>808</v>
      </c>
      <c r="C83" s="18">
        <f>(647.0/B83*100)</f>
        <v/>
      </c>
      <c r="D83" s="19" t="n">
        <v>161</v>
      </c>
      <c r="E83" s="18" t="n">
        <v>73.99352184</v>
      </c>
      <c r="F83" s="20" t="n">
        <v>4.13829636</v>
      </c>
      <c r="G83" s="18" t="n">
        <v>24.96309899</v>
      </c>
      <c r="H83" s="20" t="n">
        <v>4.00485391</v>
      </c>
      <c r="I83" s="18" t="n">
        <v>0</v>
      </c>
      <c r="J83" s="20" t="n">
        <v>0</v>
      </c>
      <c r="K83" s="18" t="n">
        <v>0</v>
      </c>
      <c r="L83" s="20" t="n">
        <v>0</v>
      </c>
      <c r="M83" s="18" t="n">
        <v>0</v>
      </c>
      <c r="N83" s="20" t="n">
        <v>0</v>
      </c>
      <c r="O83" s="18" t="n">
        <v>0</v>
      </c>
      <c r="P83" s="20" t="n">
        <v>0</v>
      </c>
      <c r="Q83" s="18" t="n">
        <v>1.04337917</v>
      </c>
      <c r="R83" s="20" t="n">
        <v>0.76766509</v>
      </c>
    </row>
    <row r="84" spans="1:18">
      <c r="A84" s="23" t="s">
        <v>644</v>
      </c>
      <c r="B84" s="24" t="n">
        <v>938</v>
      </c>
      <c r="C84" s="25">
        <f>(711.0/B84*100)</f>
        <v/>
      </c>
      <c r="D84" s="19" t="n">
        <v>227</v>
      </c>
      <c r="E84" s="18" t="n">
        <v>71.42987921</v>
      </c>
      <c r="F84" s="20" t="n">
        <v>2.9276684</v>
      </c>
      <c r="G84" s="18" t="n">
        <v>26.04164451</v>
      </c>
      <c r="H84" s="20" t="n">
        <v>2.9593187</v>
      </c>
      <c r="I84" s="18" t="n">
        <v>0</v>
      </c>
      <c r="J84" s="20" t="n">
        <v>0</v>
      </c>
      <c r="K84" s="18" t="n">
        <v>0</v>
      </c>
      <c r="L84" s="20" t="n">
        <v>0</v>
      </c>
      <c r="M84" s="18" t="n">
        <v>0</v>
      </c>
      <c r="N84" s="20" t="n">
        <v>0</v>
      </c>
      <c r="O84" s="18" t="n">
        <v>0</v>
      </c>
      <c r="P84" s="20" t="n">
        <v>0</v>
      </c>
      <c r="Q84" s="18" t="n">
        <v>2.52847628</v>
      </c>
      <c r="R84" s="20" t="n">
        <v>0.43547642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787</v>
      </c>
    </row>
    <row customHeight="1" ht="30" r="4" spans="1:20">
      <c r="A4" s="6" t="n"/>
      <c r="B4" s="7" t="s">
        <v>551</v>
      </c>
      <c r="C4" s="7" t="s">
        <v>552</v>
      </c>
      <c r="D4" s="8" t="s">
        <v>551</v>
      </c>
      <c r="E4" s="9" t="s">
        <v>660</v>
      </c>
      <c r="F4" s="10" t="n"/>
      <c r="G4" s="9" t="s">
        <v>752</v>
      </c>
      <c r="H4" s="10" t="n"/>
      <c r="I4" s="9" t="s">
        <v>661</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(5587.0/B7*100)</f>
        <v/>
      </c>
      <c r="D7" s="19" t="n">
        <v>1576</v>
      </c>
      <c r="E7" s="18" t="n">
        <v>50.69436396</v>
      </c>
      <c r="F7" s="20" t="n">
        <v>1.55369265</v>
      </c>
      <c r="G7" s="18" t="n">
        <v>32.24924991</v>
      </c>
      <c r="H7" s="20" t="n">
        <v>1.49349975</v>
      </c>
      <c r="I7" s="18" t="n">
        <v>15.1220313</v>
      </c>
      <c r="J7" s="20" t="n">
        <v>1.16997338</v>
      </c>
      <c r="K7" s="18" t="n">
        <v>0</v>
      </c>
      <c r="L7" s="20" t="n">
        <v>0</v>
      </c>
      <c r="M7" s="18" t="n">
        <v>0.24724663</v>
      </c>
      <c r="N7" s="20" t="n">
        <v>0.15100748</v>
      </c>
      <c r="O7" s="18" t="n">
        <v>0</v>
      </c>
      <c r="P7" s="20" t="n">
        <v>0</v>
      </c>
      <c r="Q7" s="18" t="n">
        <v>0</v>
      </c>
      <c r="R7" s="20" t="n">
        <v>0</v>
      </c>
      <c r="S7" s="18" t="n">
        <v>1.68710821</v>
      </c>
      <c r="T7" s="20" t="n">
        <v>0.3608548</v>
      </c>
    </row>
    <row r="8" spans="1:20">
      <c r="A8" s="15" t="s">
        <v>566</v>
      </c>
      <c r="B8" s="17" t="n">
        <v>3443</v>
      </c>
      <c r="C8" s="18">
        <f>(2726.0/B8*100)</f>
        <v/>
      </c>
      <c r="D8" s="19" t="n">
        <v>717</v>
      </c>
      <c r="E8" s="18" t="n">
        <v>48.61206606</v>
      </c>
      <c r="F8" s="20" t="n">
        <v>1.9080485</v>
      </c>
      <c r="G8" s="18" t="n">
        <v>34.52398593</v>
      </c>
      <c r="H8" s="20" t="n">
        <v>1.73987954</v>
      </c>
      <c r="I8" s="18" t="n">
        <v>15.65357458</v>
      </c>
      <c r="J8" s="20" t="n">
        <v>1.40485855</v>
      </c>
      <c r="K8" s="18" t="n">
        <v>0</v>
      </c>
      <c r="L8" s="20" t="n">
        <v>0</v>
      </c>
      <c r="M8" s="18" t="n">
        <v>0</v>
      </c>
      <c r="N8" s="20" t="n">
        <v>0</v>
      </c>
      <c r="O8" s="18" t="n">
        <v>0</v>
      </c>
      <c r="P8" s="20" t="n">
        <v>0</v>
      </c>
      <c r="Q8" s="18" t="n">
        <v>0</v>
      </c>
      <c r="R8" s="20" t="n">
        <v>0</v>
      </c>
      <c r="S8" s="18" t="n">
        <v>1.21037343</v>
      </c>
      <c r="T8" s="20" t="n">
        <v>0.445998</v>
      </c>
    </row>
    <row r="9" spans="1:20">
      <c r="A9" s="15" t="s">
        <v>567</v>
      </c>
      <c r="B9" s="17" t="n">
        <v>4752</v>
      </c>
      <c r="C9" s="18">
        <f>(3761.0/B9*100)</f>
        <v/>
      </c>
      <c r="D9" s="19" t="n">
        <v>991</v>
      </c>
      <c r="E9" s="18" t="n">
        <v>43.45241629</v>
      </c>
      <c r="F9" s="20" t="n">
        <v>1.54682725</v>
      </c>
      <c r="G9" s="18" t="n">
        <v>33.01393451</v>
      </c>
      <c r="H9" s="20" t="n">
        <v>1.51705352</v>
      </c>
      <c r="I9" s="18" t="n">
        <v>21.81889255</v>
      </c>
      <c r="J9" s="20" t="n">
        <v>1.09472335</v>
      </c>
      <c r="K9" s="18" t="n">
        <v>0</v>
      </c>
      <c r="L9" s="20" t="n">
        <v>0</v>
      </c>
      <c r="M9" s="18" t="n">
        <v>0.24262371</v>
      </c>
      <c r="N9" s="20" t="n">
        <v>0.17983254</v>
      </c>
      <c r="O9" s="18" t="n">
        <v>0</v>
      </c>
      <c r="P9" s="20" t="n">
        <v>0</v>
      </c>
      <c r="Q9" s="18" t="n">
        <v>0</v>
      </c>
      <c r="R9" s="20" t="n">
        <v>0</v>
      </c>
      <c r="S9" s="18" t="n">
        <v>1.47213295</v>
      </c>
      <c r="T9" s="20" t="n">
        <v>0.37213749</v>
      </c>
    </row>
    <row r="10" spans="1:20">
      <c r="A10" s="15" t="s">
        <v>568</v>
      </c>
      <c r="B10" s="17" t="n">
        <v>10022</v>
      </c>
      <c r="C10" s="18">
        <f>(7772.0/B10*100)</f>
        <v/>
      </c>
      <c r="D10" s="19" t="n">
        <v>2250</v>
      </c>
      <c r="E10" s="18" t="n">
        <v>43.58906607</v>
      </c>
      <c r="F10" s="20" t="n">
        <v>1.47843381</v>
      </c>
      <c r="G10" s="18" t="n">
        <v>34.8186654</v>
      </c>
      <c r="H10" s="20" t="n">
        <v>1.40858542</v>
      </c>
      <c r="I10" s="18" t="n">
        <v>20.39438281</v>
      </c>
      <c r="J10" s="20" t="n">
        <v>1.21296074</v>
      </c>
      <c r="K10" s="18" t="n">
        <v>0</v>
      </c>
      <c r="L10" s="20" t="n">
        <v>0</v>
      </c>
      <c r="M10" s="18" t="n">
        <v>0.2334817</v>
      </c>
      <c r="N10" s="20" t="n">
        <v>0.12356039</v>
      </c>
      <c r="O10" s="18" t="n">
        <v>0</v>
      </c>
      <c r="P10" s="20" t="n">
        <v>0</v>
      </c>
      <c r="Q10" s="18" t="n">
        <v>0</v>
      </c>
      <c r="R10" s="20" t="n">
        <v>0</v>
      </c>
      <c r="S10" s="18" t="n">
        <v>0.96440402</v>
      </c>
      <c r="T10" s="20" t="n">
        <v>0.33028975</v>
      </c>
    </row>
    <row r="11" spans="1:20">
      <c r="A11" s="15" t="s">
        <v>569</v>
      </c>
      <c r="B11" s="17" t="n">
        <v>3500</v>
      </c>
      <c r="C11" s="18">
        <f>(2719.0/B11*100)</f>
        <v/>
      </c>
      <c r="D11" s="19" t="n">
        <v>781</v>
      </c>
      <c r="E11" s="18" t="n">
        <v>58.94997465</v>
      </c>
      <c r="F11" s="20" t="n">
        <v>1.70758625</v>
      </c>
      <c r="G11" s="18" t="n">
        <v>32.2497332</v>
      </c>
      <c r="H11" s="20" t="n">
        <v>1.80637688</v>
      </c>
      <c r="I11" s="18" t="n">
        <v>5.8905409</v>
      </c>
      <c r="J11" s="20" t="n">
        <v>0.97338797</v>
      </c>
      <c r="K11" s="18" t="n">
        <v>0</v>
      </c>
      <c r="L11" s="20" t="n">
        <v>0</v>
      </c>
      <c r="M11" s="18" t="n">
        <v>0.1702362</v>
      </c>
      <c r="N11" s="20" t="n">
        <v>0.17674926</v>
      </c>
      <c r="O11" s="18" t="n">
        <v>0</v>
      </c>
      <c r="P11" s="20" t="n">
        <v>0</v>
      </c>
      <c r="Q11" s="18" t="n">
        <v>0</v>
      </c>
      <c r="R11" s="20" t="n">
        <v>0</v>
      </c>
      <c r="S11" s="18" t="n">
        <v>2.73951505</v>
      </c>
      <c r="T11" s="20" t="n">
        <v>0.65042445</v>
      </c>
    </row>
    <row r="12" spans="1:20">
      <c r="A12" s="15" t="s">
        <v>570</v>
      </c>
      <c r="B12" s="17" t="n">
        <v>3422</v>
      </c>
      <c r="C12" s="18">
        <f>(2648.0/B12*100)</f>
        <v/>
      </c>
      <c r="D12" s="19" t="n">
        <v>774</v>
      </c>
      <c r="E12" s="18" t="n">
        <v>44.36981164</v>
      </c>
      <c r="F12" s="20" t="n">
        <v>2.0831452</v>
      </c>
      <c r="G12" s="18" t="n">
        <v>38.19831203</v>
      </c>
      <c r="H12" s="20" t="n">
        <v>2.07118493</v>
      </c>
      <c r="I12" s="18" t="n">
        <v>16.10614994</v>
      </c>
      <c r="J12" s="20" t="n">
        <v>1.70161422</v>
      </c>
      <c r="K12" s="18" t="n">
        <v>0</v>
      </c>
      <c r="L12" s="20" t="n">
        <v>0</v>
      </c>
      <c r="M12" s="18" t="n">
        <v>0.12097423</v>
      </c>
      <c r="N12" s="20" t="n">
        <v>0.11991571</v>
      </c>
      <c r="O12" s="18" t="n">
        <v>0</v>
      </c>
      <c r="P12" s="20" t="n">
        <v>0</v>
      </c>
      <c r="Q12" s="18" t="n">
        <v>0</v>
      </c>
      <c r="R12" s="20" t="n">
        <v>0</v>
      </c>
      <c r="S12" s="18" t="n">
        <v>1.20475216</v>
      </c>
      <c r="T12" s="20" t="n">
        <v>0.55757484</v>
      </c>
    </row>
    <row r="13" spans="1:20">
      <c r="A13" s="15" t="s">
        <v>571</v>
      </c>
      <c r="B13" s="17" t="n">
        <v>3602</v>
      </c>
      <c r="C13" s="18">
        <f>(2840.0/B13*100)</f>
        <v/>
      </c>
      <c r="D13" s="19" t="n">
        <v>762</v>
      </c>
      <c r="E13" s="18" t="n">
        <v>54.45819541</v>
      </c>
      <c r="F13" s="20" t="n">
        <v>2.31809086</v>
      </c>
      <c r="G13" s="18" t="n">
        <v>34.76746974</v>
      </c>
      <c r="H13" s="20" t="n">
        <v>1.86886494</v>
      </c>
      <c r="I13" s="18" t="n">
        <v>9.17221674</v>
      </c>
      <c r="J13" s="20" t="n">
        <v>1.24821219</v>
      </c>
      <c r="K13" s="18" t="n">
        <v>0</v>
      </c>
      <c r="L13" s="20" t="n">
        <v>0</v>
      </c>
      <c r="M13" s="18" t="n">
        <v>0.35448227</v>
      </c>
      <c r="N13" s="20" t="n">
        <v>0.24887041</v>
      </c>
      <c r="O13" s="18" t="n">
        <v>0</v>
      </c>
      <c r="P13" s="20" t="n">
        <v>0</v>
      </c>
      <c r="Q13" s="18" t="n">
        <v>0</v>
      </c>
      <c r="R13" s="20" t="n">
        <v>0</v>
      </c>
      <c r="S13" s="18" t="n">
        <v>1.24763584</v>
      </c>
      <c r="T13" s="20" t="n">
        <v>0.36034926</v>
      </c>
    </row>
    <row r="14" spans="1:20">
      <c r="A14" s="15" t="s">
        <v>572</v>
      </c>
      <c r="B14" s="17" t="n">
        <v>2788</v>
      </c>
      <c r="C14" s="18">
        <f>(2180.0/B14*100)</f>
        <v/>
      </c>
      <c r="D14" s="19" t="n">
        <v>608</v>
      </c>
      <c r="E14" s="18" t="n">
        <v>45.60905968</v>
      </c>
      <c r="F14" s="20" t="n">
        <v>2.0477053</v>
      </c>
      <c r="G14" s="18" t="n">
        <v>34.83732972</v>
      </c>
      <c r="H14" s="20" t="n">
        <v>2.24332201</v>
      </c>
      <c r="I14" s="18" t="n">
        <v>19.2875192</v>
      </c>
      <c r="J14" s="20" t="n">
        <v>1.41367423</v>
      </c>
      <c r="K14" s="18" t="n">
        <v>0</v>
      </c>
      <c r="L14" s="20" t="n">
        <v>0</v>
      </c>
      <c r="M14" s="18" t="n">
        <v>0.12757366</v>
      </c>
      <c r="N14" s="20" t="n">
        <v>0.11990988</v>
      </c>
      <c r="O14" s="18" t="n">
        <v>0</v>
      </c>
      <c r="P14" s="20" t="n">
        <v>0</v>
      </c>
      <c r="Q14" s="18" t="n">
        <v>0</v>
      </c>
      <c r="R14" s="20" t="n">
        <v>0</v>
      </c>
      <c r="S14" s="18" t="n">
        <v>0.13851775</v>
      </c>
      <c r="T14" s="20" t="n">
        <v>0.12565618</v>
      </c>
    </row>
    <row r="15" spans="1:20">
      <c r="A15" s="15" t="s">
        <v>573</v>
      </c>
      <c r="B15" s="17" t="n">
        <v>2863</v>
      </c>
      <c r="C15" s="18">
        <f>(2224.0/B15*100)</f>
        <v/>
      </c>
      <c r="D15" s="19" t="n">
        <v>639</v>
      </c>
      <c r="E15" s="18" t="n">
        <v>40.98556881</v>
      </c>
      <c r="F15" s="20" t="n">
        <v>2.17003832</v>
      </c>
      <c r="G15" s="18" t="n">
        <v>39.052467</v>
      </c>
      <c r="H15" s="20" t="n">
        <v>2.30659004</v>
      </c>
      <c r="I15" s="18" t="n">
        <v>19.33731181</v>
      </c>
      <c r="J15" s="20" t="n">
        <v>1.44855032</v>
      </c>
      <c r="K15" s="18" t="n">
        <v>0</v>
      </c>
      <c r="L15" s="20" t="n">
        <v>0</v>
      </c>
      <c r="M15" s="18" t="n">
        <v>0</v>
      </c>
      <c r="N15" s="20" t="n">
        <v>0</v>
      </c>
      <c r="O15" s="18" t="n">
        <v>0</v>
      </c>
      <c r="P15" s="20" t="n">
        <v>0</v>
      </c>
      <c r="Q15" s="18" t="n">
        <v>0</v>
      </c>
      <c r="R15" s="20" t="n">
        <v>0</v>
      </c>
      <c r="S15" s="18" t="n">
        <v>0.62465238</v>
      </c>
      <c r="T15" s="20" t="n">
        <v>0.37953796</v>
      </c>
    </row>
    <row r="16" spans="1:20">
      <c r="A16" s="15" t="s">
        <v>574</v>
      </c>
      <c r="B16" s="17" t="n">
        <v>3111</v>
      </c>
      <c r="C16" s="18">
        <f>(2420.0/B16*100)</f>
        <v/>
      </c>
      <c r="D16" s="19" t="n">
        <v>691</v>
      </c>
      <c r="E16" s="18" t="n">
        <v>48.67207321</v>
      </c>
      <c r="F16" s="20" t="n">
        <v>2.13099291</v>
      </c>
      <c r="G16" s="18" t="n">
        <v>29.41511747</v>
      </c>
      <c r="H16" s="20" t="n">
        <v>1.78924288</v>
      </c>
      <c r="I16" s="18" t="n">
        <v>18.76704222</v>
      </c>
      <c r="J16" s="20" t="n">
        <v>1.46871566</v>
      </c>
      <c r="K16" s="18" t="n">
        <v>0</v>
      </c>
      <c r="L16" s="20" t="n">
        <v>0</v>
      </c>
      <c r="M16" s="18" t="n">
        <v>0.14638165</v>
      </c>
      <c r="N16" s="20" t="n">
        <v>0.14614036</v>
      </c>
      <c r="O16" s="18" t="n">
        <v>0</v>
      </c>
      <c r="P16" s="20" t="n">
        <v>0</v>
      </c>
      <c r="Q16" s="18" t="n">
        <v>0</v>
      </c>
      <c r="R16" s="20" t="n">
        <v>0</v>
      </c>
      <c r="S16" s="18" t="n">
        <v>2.99938545</v>
      </c>
      <c r="T16" s="20" t="n">
        <v>0.7967209200000001</v>
      </c>
    </row>
    <row r="17" spans="1:20">
      <c r="A17" s="15" t="s">
        <v>575</v>
      </c>
      <c r="B17" s="17" t="n">
        <v>3197</v>
      </c>
      <c r="C17" s="18">
        <f>(2523.0/B17*100)</f>
        <v/>
      </c>
      <c r="D17" s="19" t="n">
        <v>674</v>
      </c>
      <c r="E17" s="18" t="n">
        <v>43.13464268</v>
      </c>
      <c r="F17" s="20" t="n">
        <v>1.94735095</v>
      </c>
      <c r="G17" s="18" t="n">
        <v>37.03675623</v>
      </c>
      <c r="H17" s="20" t="n">
        <v>1.77071187</v>
      </c>
      <c r="I17" s="18" t="n">
        <v>18.53667126</v>
      </c>
      <c r="J17" s="20" t="n">
        <v>1.27649125</v>
      </c>
      <c r="K17" s="18" t="n">
        <v>0</v>
      </c>
      <c r="L17" s="20" t="n">
        <v>0</v>
      </c>
      <c r="M17" s="18" t="n">
        <v>0.15459232</v>
      </c>
      <c r="N17" s="20" t="n">
        <v>0.15311268</v>
      </c>
      <c r="O17" s="18" t="n">
        <v>0</v>
      </c>
      <c r="P17" s="20" t="n">
        <v>0</v>
      </c>
      <c r="Q17" s="18" t="n">
        <v>0</v>
      </c>
      <c r="R17" s="20" t="n">
        <v>0</v>
      </c>
      <c r="S17" s="18" t="n">
        <v>1.13733751</v>
      </c>
      <c r="T17" s="20" t="n">
        <v>0.3641332</v>
      </c>
    </row>
    <row r="18" spans="1:20">
      <c r="A18" s="15" t="s">
        <v>576</v>
      </c>
      <c r="B18" s="17" t="n">
        <v>2706</v>
      </c>
      <c r="C18" s="18">
        <f>(2100.0/B18*100)</f>
        <v/>
      </c>
      <c r="D18" s="19" t="n">
        <v>606</v>
      </c>
      <c r="E18" s="18" t="n">
        <v>59.39157373</v>
      </c>
      <c r="F18" s="20" t="n">
        <v>2.09416239</v>
      </c>
      <c r="G18" s="18" t="n">
        <v>30.81941225</v>
      </c>
      <c r="H18" s="20" t="n">
        <v>2.01782707</v>
      </c>
      <c r="I18" s="18" t="n">
        <v>7.65266322</v>
      </c>
      <c r="J18" s="20" t="n">
        <v>1.06523819</v>
      </c>
      <c r="K18" s="18" t="n">
        <v>0</v>
      </c>
      <c r="L18" s="20" t="n">
        <v>0</v>
      </c>
      <c r="M18" s="18" t="n">
        <v>0.32196508</v>
      </c>
      <c r="N18" s="20" t="n">
        <v>0.22423328</v>
      </c>
      <c r="O18" s="18" t="n">
        <v>0</v>
      </c>
      <c r="P18" s="20" t="n">
        <v>0</v>
      </c>
      <c r="Q18" s="18" t="n">
        <v>0</v>
      </c>
      <c r="R18" s="20" t="n">
        <v>0</v>
      </c>
      <c r="S18" s="18" t="n">
        <v>1.81438572</v>
      </c>
      <c r="T18" s="20" t="n">
        <v>0.37364243</v>
      </c>
    </row>
    <row r="19" spans="1:20">
      <c r="A19" s="15" t="s">
        <v>577</v>
      </c>
      <c r="B19" s="17" t="n">
        <v>2850</v>
      </c>
      <c r="C19" s="18">
        <f>(2173.0/B19*100)</f>
        <v/>
      </c>
      <c r="D19" s="19" t="n">
        <v>677</v>
      </c>
      <c r="E19" s="18" t="n">
        <v>47.29162022</v>
      </c>
      <c r="F19" s="20" t="n">
        <v>2.05634575</v>
      </c>
      <c r="G19" s="18" t="n">
        <v>38.52503605</v>
      </c>
      <c r="H19" s="20" t="n">
        <v>1.95313727</v>
      </c>
      <c r="I19" s="18" t="n">
        <v>12.14386208</v>
      </c>
      <c r="J19" s="20" t="n">
        <v>1.37278818</v>
      </c>
      <c r="K19" s="18" t="n">
        <v>0</v>
      </c>
      <c r="L19" s="20" t="n">
        <v>0</v>
      </c>
      <c r="M19" s="18" t="n">
        <v>0</v>
      </c>
      <c r="N19" s="20" t="n">
        <v>0</v>
      </c>
      <c r="O19" s="18" t="n">
        <v>0</v>
      </c>
      <c r="P19" s="20" t="n">
        <v>0</v>
      </c>
      <c r="Q19" s="18" t="n">
        <v>0</v>
      </c>
      <c r="R19" s="20" t="n">
        <v>0</v>
      </c>
      <c r="S19" s="18" t="n">
        <v>2.03948165</v>
      </c>
      <c r="T19" s="20" t="n">
        <v>0.69133886</v>
      </c>
    </row>
    <row r="20" spans="1:20">
      <c r="A20" s="15" t="s">
        <v>578</v>
      </c>
      <c r="B20" s="17" t="n">
        <v>1741</v>
      </c>
      <c r="C20" s="18">
        <f>(1343.0/B20*100)</f>
        <v/>
      </c>
      <c r="D20" s="19" t="n">
        <v>398</v>
      </c>
      <c r="E20" s="18" t="n">
        <v>52.54715716</v>
      </c>
      <c r="F20" s="20" t="n">
        <v>2.28599525</v>
      </c>
      <c r="G20" s="18" t="n">
        <v>32.79630615</v>
      </c>
      <c r="H20" s="20" t="n">
        <v>2.15634489</v>
      </c>
      <c r="I20" s="18" t="n">
        <v>11.94950761</v>
      </c>
      <c r="J20" s="20" t="n">
        <v>1.65333694</v>
      </c>
      <c r="K20" s="18" t="n">
        <v>0</v>
      </c>
      <c r="L20" s="20" t="n">
        <v>0</v>
      </c>
      <c r="M20" s="18" t="n">
        <v>0.26415384</v>
      </c>
      <c r="N20" s="20" t="n">
        <v>0.26269818</v>
      </c>
      <c r="O20" s="18" t="n">
        <v>0</v>
      </c>
      <c r="P20" s="20" t="n">
        <v>0</v>
      </c>
      <c r="Q20" s="18" t="n">
        <v>0</v>
      </c>
      <c r="R20" s="20" t="n">
        <v>0</v>
      </c>
      <c r="S20" s="18" t="n">
        <v>2.44287523</v>
      </c>
      <c r="T20" s="20" t="n">
        <v>0.84584504</v>
      </c>
    </row>
    <row r="21" spans="1:20">
      <c r="A21" s="15" t="s">
        <v>579</v>
      </c>
      <c r="B21" s="17" t="n">
        <v>2833</v>
      </c>
      <c r="C21" s="18">
        <f>(2200.0/B21*100)</f>
        <v/>
      </c>
      <c r="D21" s="19" t="n">
        <v>633</v>
      </c>
      <c r="E21" s="18" t="n">
        <v>54.87517325</v>
      </c>
      <c r="F21" s="20" t="n">
        <v>2.05393497</v>
      </c>
      <c r="G21" s="18" t="n">
        <v>33.40772629</v>
      </c>
      <c r="H21" s="20" t="n">
        <v>2.29696918</v>
      </c>
      <c r="I21" s="18" t="n">
        <v>10.75300262</v>
      </c>
      <c r="J21" s="20" t="n">
        <v>1.25060227</v>
      </c>
      <c r="K21" s="18" t="n">
        <v>0</v>
      </c>
      <c r="L21" s="20" t="n">
        <v>0</v>
      </c>
      <c r="M21" s="18" t="n">
        <v>0</v>
      </c>
      <c r="N21" s="20" t="n">
        <v>0</v>
      </c>
      <c r="O21" s="18" t="n">
        <v>0</v>
      </c>
      <c r="P21" s="20" t="n">
        <v>0</v>
      </c>
      <c r="Q21" s="18" t="n">
        <v>0</v>
      </c>
      <c r="R21" s="20" t="n">
        <v>0</v>
      </c>
      <c r="S21" s="18" t="n">
        <v>0.96409784</v>
      </c>
      <c r="T21" s="20" t="n">
        <v>0.39664222</v>
      </c>
    </row>
    <row r="22" spans="1:20">
      <c r="A22" s="15" t="s">
        <v>580</v>
      </c>
      <c r="B22" s="17" t="n">
        <v>3667</v>
      </c>
      <c r="C22" s="18">
        <f>(2869.0/B22*100)</f>
        <v/>
      </c>
      <c r="D22" s="19" t="n">
        <v>798</v>
      </c>
      <c r="E22" s="18" t="n">
        <v>51.50137296</v>
      </c>
      <c r="F22" s="20" t="n">
        <v>2.08734054</v>
      </c>
      <c r="G22" s="18" t="n">
        <v>32.89309163</v>
      </c>
      <c r="H22" s="20" t="n">
        <v>1.73618792</v>
      </c>
      <c r="I22" s="18" t="n">
        <v>12.36893094</v>
      </c>
      <c r="J22" s="20" t="n">
        <v>1.24035757</v>
      </c>
      <c r="K22" s="18" t="n">
        <v>0</v>
      </c>
      <c r="L22" s="20" t="n">
        <v>0</v>
      </c>
      <c r="M22" s="18" t="n">
        <v>0.6140846599999999</v>
      </c>
      <c r="N22" s="20" t="n">
        <v>0.27897799</v>
      </c>
      <c r="O22" s="18" t="n">
        <v>0</v>
      </c>
      <c r="P22" s="20" t="n">
        <v>0</v>
      </c>
      <c r="Q22" s="18" t="n">
        <v>0</v>
      </c>
      <c r="R22" s="20" t="n">
        <v>0</v>
      </c>
      <c r="S22" s="18" t="n">
        <v>2.62251981</v>
      </c>
      <c r="T22" s="20" t="n">
        <v>0.60682257</v>
      </c>
    </row>
    <row r="23" spans="1:20">
      <c r="A23" s="15" t="s">
        <v>581</v>
      </c>
      <c r="B23" s="17" t="n">
        <v>5792</v>
      </c>
      <c r="C23" s="18">
        <f>(4561.0/B23*100)</f>
        <v/>
      </c>
      <c r="D23" s="19" t="n">
        <v>1231</v>
      </c>
      <c r="E23" s="18" t="n">
        <v>47.63227759</v>
      </c>
      <c r="F23" s="20" t="n">
        <v>2.11278021</v>
      </c>
      <c r="G23" s="18" t="n">
        <v>35.12845616</v>
      </c>
      <c r="H23" s="20" t="n">
        <v>2.16726943</v>
      </c>
      <c r="I23" s="18" t="n">
        <v>11.39855118</v>
      </c>
      <c r="J23" s="20" t="n">
        <v>1.58885386</v>
      </c>
      <c r="K23" s="18" t="n">
        <v>0</v>
      </c>
      <c r="L23" s="20" t="n">
        <v>0</v>
      </c>
      <c r="M23" s="18" t="n">
        <v>1.7035368</v>
      </c>
      <c r="N23" s="20" t="n">
        <v>0.71315602</v>
      </c>
      <c r="O23" s="18" t="n">
        <v>0</v>
      </c>
      <c r="P23" s="20" t="n">
        <v>0</v>
      </c>
      <c r="Q23" s="18" t="n">
        <v>0</v>
      </c>
      <c r="R23" s="20" t="n">
        <v>0</v>
      </c>
      <c r="S23" s="18" t="n">
        <v>4.13717827</v>
      </c>
      <c r="T23" s="20" t="n">
        <v>1.13801928</v>
      </c>
    </row>
    <row r="24" spans="1:20">
      <c r="A24" s="15" t="s">
        <v>582</v>
      </c>
      <c r="B24" s="17" t="n">
        <v>3309</v>
      </c>
      <c r="C24" s="18">
        <f>(2567.0/B24*100)</f>
        <v/>
      </c>
      <c r="D24" s="19" t="n">
        <v>742</v>
      </c>
      <c r="E24" s="18" t="n">
        <v>31.17165991</v>
      </c>
      <c r="F24" s="20" t="n">
        <v>1.89882369</v>
      </c>
      <c r="G24" s="18" t="n">
        <v>43.82155192</v>
      </c>
      <c r="H24" s="20" t="n">
        <v>1.87059784</v>
      </c>
      <c r="I24" s="18" t="n">
        <v>23.92501853</v>
      </c>
      <c r="J24" s="20" t="n">
        <v>1.74607932</v>
      </c>
      <c r="K24" s="18" t="n">
        <v>0</v>
      </c>
      <c r="L24" s="20" t="n">
        <v>0</v>
      </c>
      <c r="M24" s="18" t="n">
        <v>0</v>
      </c>
      <c r="N24" s="20" t="n">
        <v>0</v>
      </c>
      <c r="O24" s="18" t="n">
        <v>0</v>
      </c>
      <c r="P24" s="20" t="n">
        <v>0</v>
      </c>
      <c r="Q24" s="18" t="n">
        <v>0</v>
      </c>
      <c r="R24" s="20" t="n">
        <v>0</v>
      </c>
      <c r="S24" s="18" t="n">
        <v>1.08176964</v>
      </c>
      <c r="T24" s="20" t="n">
        <v>0.34029439</v>
      </c>
    </row>
    <row r="25" spans="1:20">
      <c r="A25" s="15" t="s">
        <v>583</v>
      </c>
      <c r="B25" s="17" t="n">
        <v>2669</v>
      </c>
      <c r="C25" s="18">
        <f>(2097.0/B25*100)</f>
        <v/>
      </c>
      <c r="D25" s="19" t="n">
        <v>572</v>
      </c>
      <c r="E25" s="18" t="n">
        <v>34.88029091</v>
      </c>
      <c r="F25" s="20" t="n">
        <v>1.90913112</v>
      </c>
      <c r="G25" s="18" t="n">
        <v>33.85630151</v>
      </c>
      <c r="H25" s="20" t="n">
        <v>1.95757707</v>
      </c>
      <c r="I25" s="18" t="n">
        <v>29.40298205</v>
      </c>
      <c r="J25" s="20" t="n">
        <v>2.06933563</v>
      </c>
      <c r="K25" s="18" t="n">
        <v>0</v>
      </c>
      <c r="L25" s="20" t="n">
        <v>0</v>
      </c>
      <c r="M25" s="18" t="n">
        <v>0.16096099</v>
      </c>
      <c r="N25" s="20" t="n">
        <v>0.22427004</v>
      </c>
      <c r="O25" s="18" t="n">
        <v>0</v>
      </c>
      <c r="P25" s="20" t="n">
        <v>0</v>
      </c>
      <c r="Q25" s="18" t="n">
        <v>0</v>
      </c>
      <c r="R25" s="20" t="n">
        <v>0</v>
      </c>
      <c r="S25" s="18" t="n">
        <v>1.69946453</v>
      </c>
      <c r="T25" s="20" t="n">
        <v>0.57058801</v>
      </c>
    </row>
    <row r="26" spans="1:20">
      <c r="A26" s="15" t="s">
        <v>584</v>
      </c>
      <c r="B26" s="17" t="n">
        <v>2419</v>
      </c>
      <c r="C26" s="18">
        <f>(1945.0/B26*100)</f>
        <v/>
      </c>
      <c r="D26" s="19" t="n">
        <v>474</v>
      </c>
      <c r="E26" s="18" t="n">
        <v>51.97535092</v>
      </c>
      <c r="F26" s="20" t="n">
        <v>2.33259651</v>
      </c>
      <c r="G26" s="18" t="n">
        <v>33.00973755</v>
      </c>
      <c r="H26" s="20" t="n">
        <v>1.94235876</v>
      </c>
      <c r="I26" s="18" t="n">
        <v>13.99131189</v>
      </c>
      <c r="J26" s="20" t="n">
        <v>1.74728507</v>
      </c>
      <c r="K26" s="18" t="n">
        <v>0</v>
      </c>
      <c r="L26" s="20" t="n">
        <v>0</v>
      </c>
      <c r="M26" s="18" t="n">
        <v>0</v>
      </c>
      <c r="N26" s="20" t="n">
        <v>0</v>
      </c>
      <c r="O26" s="18" t="n">
        <v>0</v>
      </c>
      <c r="P26" s="20" t="n">
        <v>0</v>
      </c>
      <c r="Q26" s="18" t="n">
        <v>0</v>
      </c>
      <c r="R26" s="20" t="n">
        <v>0</v>
      </c>
      <c r="S26" s="18" t="n">
        <v>1.02359964</v>
      </c>
      <c r="T26" s="20" t="n">
        <v>0.5800267</v>
      </c>
    </row>
    <row r="27" spans="1:20">
      <c r="A27" s="15" t="s">
        <v>585</v>
      </c>
      <c r="B27" s="17" t="n">
        <v>2683</v>
      </c>
      <c r="C27" s="18">
        <f>(2101.0/B27*100)</f>
        <v/>
      </c>
      <c r="D27" s="19" t="n">
        <v>582</v>
      </c>
      <c r="E27" s="18" t="n">
        <v>51.33813214</v>
      </c>
      <c r="F27" s="20" t="n">
        <v>1.98368444</v>
      </c>
      <c r="G27" s="18" t="n">
        <v>31.26912102</v>
      </c>
      <c r="H27" s="20" t="n">
        <v>1.84502567</v>
      </c>
      <c r="I27" s="18" t="n">
        <v>15.49810179</v>
      </c>
      <c r="J27" s="20" t="n">
        <v>1.62197553</v>
      </c>
      <c r="K27" s="18" t="n">
        <v>0</v>
      </c>
      <c r="L27" s="20" t="n">
        <v>0</v>
      </c>
      <c r="M27" s="18" t="n">
        <v>0.35854128</v>
      </c>
      <c r="N27" s="20" t="n">
        <v>0.24861689</v>
      </c>
      <c r="O27" s="18" t="n">
        <v>0</v>
      </c>
      <c r="P27" s="20" t="n">
        <v>0</v>
      </c>
      <c r="Q27" s="18" t="n">
        <v>0</v>
      </c>
      <c r="R27" s="20" t="n">
        <v>0</v>
      </c>
      <c r="S27" s="18" t="n">
        <v>1.53610377</v>
      </c>
      <c r="T27" s="20" t="n">
        <v>0.50562982</v>
      </c>
    </row>
    <row r="28" spans="1:20">
      <c r="A28" s="15" t="s">
        <v>586</v>
      </c>
      <c r="B28" s="17" t="n">
        <v>3803</v>
      </c>
      <c r="C28" s="18">
        <f>(2989.0/B28*100)</f>
        <v/>
      </c>
      <c r="D28" s="19" t="n">
        <v>814</v>
      </c>
      <c r="E28" s="18" t="n">
        <v>74.9023674</v>
      </c>
      <c r="F28" s="20" t="n">
        <v>1.85144984</v>
      </c>
      <c r="G28" s="18" t="n">
        <v>20.58720506</v>
      </c>
      <c r="H28" s="20" t="n">
        <v>1.82360652</v>
      </c>
      <c r="I28" s="18" t="n">
        <v>2.77961671</v>
      </c>
      <c r="J28" s="20" t="n">
        <v>0.6155411200000001</v>
      </c>
      <c r="K28" s="18" t="n">
        <v>0</v>
      </c>
      <c r="L28" s="20" t="n">
        <v>0</v>
      </c>
      <c r="M28" s="18" t="n">
        <v>0.5698842</v>
      </c>
      <c r="N28" s="20" t="n">
        <v>0.45687272</v>
      </c>
      <c r="O28" s="18" t="n">
        <v>0</v>
      </c>
      <c r="P28" s="20" t="n">
        <v>0</v>
      </c>
      <c r="Q28" s="18" t="n">
        <v>0</v>
      </c>
      <c r="R28" s="20" t="n">
        <v>0</v>
      </c>
      <c r="S28" s="18" t="n">
        <v>1.16092663</v>
      </c>
      <c r="T28" s="20" t="n">
        <v>0.39182951</v>
      </c>
    </row>
    <row r="29" spans="1:20">
      <c r="A29" s="15" t="s">
        <v>587</v>
      </c>
      <c r="B29" s="17" t="n">
        <v>2700</v>
      </c>
      <c r="C29" s="18">
        <f>(2100.0/B29*100)</f>
        <v/>
      </c>
      <c r="D29" s="19" t="n">
        <v>600</v>
      </c>
      <c r="E29" s="18" t="n">
        <v>42.89766977</v>
      </c>
      <c r="F29" s="20" t="n">
        <v>2.23050511</v>
      </c>
      <c r="G29" s="18" t="n">
        <v>36.46011712</v>
      </c>
      <c r="H29" s="20" t="n">
        <v>1.9821391</v>
      </c>
      <c r="I29" s="18" t="n">
        <v>19.7215337</v>
      </c>
      <c r="J29" s="20" t="n">
        <v>1.52779843</v>
      </c>
      <c r="K29" s="18" t="n">
        <v>0</v>
      </c>
      <c r="L29" s="20" t="n">
        <v>0</v>
      </c>
      <c r="M29" s="18" t="n">
        <v>0</v>
      </c>
      <c r="N29" s="20" t="n">
        <v>0</v>
      </c>
      <c r="O29" s="18" t="n">
        <v>0</v>
      </c>
      <c r="P29" s="20" t="n">
        <v>0</v>
      </c>
      <c r="Q29" s="18" t="n">
        <v>0</v>
      </c>
      <c r="R29" s="20" t="n">
        <v>0</v>
      </c>
      <c r="S29" s="18" t="n">
        <v>0.9206794</v>
      </c>
      <c r="T29" s="20" t="n">
        <v>0.35230267</v>
      </c>
    </row>
    <row r="30" spans="1:20">
      <c r="A30" s="15" t="s">
        <v>588</v>
      </c>
      <c r="B30" s="17" t="n">
        <v>2257</v>
      </c>
      <c r="C30" s="18">
        <f>(1731.0/B30*100)</f>
        <v/>
      </c>
      <c r="D30" s="19" t="n">
        <v>526</v>
      </c>
      <c r="E30" s="18" t="n">
        <v>46.73581628</v>
      </c>
      <c r="F30" s="20" t="n">
        <v>2.34543635</v>
      </c>
      <c r="G30" s="18" t="n">
        <v>33.90124731</v>
      </c>
      <c r="H30" s="20" t="n">
        <v>2.23591558</v>
      </c>
      <c r="I30" s="18" t="n">
        <v>17.13675774</v>
      </c>
      <c r="J30" s="20" t="n">
        <v>1.87960456</v>
      </c>
      <c r="K30" s="18" t="n">
        <v>0</v>
      </c>
      <c r="L30" s="20" t="n">
        <v>0</v>
      </c>
      <c r="M30" s="18" t="n">
        <v>0</v>
      </c>
      <c r="N30" s="20" t="n">
        <v>0</v>
      </c>
      <c r="O30" s="18" t="n">
        <v>0</v>
      </c>
      <c r="P30" s="20" t="n">
        <v>0</v>
      </c>
      <c r="Q30" s="18" t="n">
        <v>0</v>
      </c>
      <c r="R30" s="20" t="n">
        <v>0</v>
      </c>
      <c r="S30" s="18" t="n">
        <v>2.22617867</v>
      </c>
      <c r="T30" s="20" t="n">
        <v>0.5789518299999999</v>
      </c>
    </row>
    <row r="31" spans="1:20">
      <c r="A31" s="15" t="s">
        <v>589</v>
      </c>
      <c r="B31" s="17" t="n">
        <v>2706</v>
      </c>
      <c r="C31" s="18">
        <f>(2092.0/B31*100)</f>
        <v/>
      </c>
      <c r="D31" s="19" t="n">
        <v>614</v>
      </c>
      <c r="E31" s="18" t="n">
        <v>48.24666138</v>
      </c>
      <c r="F31" s="20" t="n">
        <v>2.0811106</v>
      </c>
      <c r="G31" s="18" t="n">
        <v>36.21721413</v>
      </c>
      <c r="H31" s="20" t="n">
        <v>1.81800232</v>
      </c>
      <c r="I31" s="18" t="n">
        <v>13.5633574</v>
      </c>
      <c r="J31" s="20" t="n">
        <v>1.33150071</v>
      </c>
      <c r="K31" s="18" t="n">
        <v>0</v>
      </c>
      <c r="L31" s="20" t="n">
        <v>0</v>
      </c>
      <c r="M31" s="18" t="n">
        <v>0.15797519</v>
      </c>
      <c r="N31" s="20" t="n">
        <v>0.15816276</v>
      </c>
      <c r="O31" s="18" t="n">
        <v>0</v>
      </c>
      <c r="P31" s="20" t="n">
        <v>0</v>
      </c>
      <c r="Q31" s="18" t="n">
        <v>0</v>
      </c>
      <c r="R31" s="20" t="n">
        <v>0</v>
      </c>
      <c r="S31" s="18" t="n">
        <v>1.8147919</v>
      </c>
      <c r="T31" s="20" t="n">
        <v>0.53967041</v>
      </c>
    </row>
    <row r="32" spans="1:20">
      <c r="A32" s="15" t="s">
        <v>590</v>
      </c>
      <c r="B32" s="17" t="n">
        <v>2209</v>
      </c>
      <c r="C32" s="18">
        <f>(1747.0/B32*100)</f>
        <v/>
      </c>
      <c r="D32" s="19" t="n">
        <v>462</v>
      </c>
      <c r="E32" s="18" t="n">
        <v>57.50452121</v>
      </c>
      <c r="F32" s="20" t="n">
        <v>2.35312845</v>
      </c>
      <c r="G32" s="18" t="n">
        <v>27.34215351</v>
      </c>
      <c r="H32" s="20" t="n">
        <v>2.12214319</v>
      </c>
      <c r="I32" s="18" t="n">
        <v>14.31877646</v>
      </c>
      <c r="J32" s="20" t="n">
        <v>1.57506301</v>
      </c>
      <c r="K32" s="18" t="n">
        <v>0</v>
      </c>
      <c r="L32" s="20" t="n">
        <v>0</v>
      </c>
      <c r="M32" s="18" t="n">
        <v>0</v>
      </c>
      <c r="N32" s="20" t="n">
        <v>0</v>
      </c>
      <c r="O32" s="18" t="n">
        <v>0</v>
      </c>
      <c r="P32" s="20" t="n">
        <v>0</v>
      </c>
      <c r="Q32" s="18" t="n">
        <v>0</v>
      </c>
      <c r="R32" s="20" t="n">
        <v>0</v>
      </c>
      <c r="S32" s="18" t="n">
        <v>0.83454882</v>
      </c>
      <c r="T32" s="20" t="n">
        <v>0.42517323</v>
      </c>
    </row>
    <row r="33" spans="1:20">
      <c r="A33" s="15" t="s">
        <v>591</v>
      </c>
      <c r="B33" s="17" t="n">
        <v>3651</v>
      </c>
      <c r="C33" s="18">
        <f>(2893.0/B33*100)</f>
        <v/>
      </c>
      <c r="D33" s="19" t="n">
        <v>758</v>
      </c>
      <c r="E33" s="18" t="n">
        <v>36.95544717</v>
      </c>
      <c r="F33" s="20" t="n">
        <v>1.99108394</v>
      </c>
      <c r="G33" s="18" t="n">
        <v>41.69367258</v>
      </c>
      <c r="H33" s="20" t="n">
        <v>1.7527292</v>
      </c>
      <c r="I33" s="18" t="n">
        <v>20.16866681</v>
      </c>
      <c r="J33" s="20" t="n">
        <v>1.63100749</v>
      </c>
      <c r="K33" s="18" t="n">
        <v>0</v>
      </c>
      <c r="L33" s="20" t="n">
        <v>0</v>
      </c>
      <c r="M33" s="18" t="n">
        <v>0</v>
      </c>
      <c r="N33" s="20" t="n">
        <v>0</v>
      </c>
      <c r="O33" s="18" t="n">
        <v>0</v>
      </c>
      <c r="P33" s="20" t="n">
        <v>0</v>
      </c>
      <c r="Q33" s="18" t="n">
        <v>0</v>
      </c>
      <c r="R33" s="20" t="n">
        <v>0</v>
      </c>
      <c r="S33" s="18" t="n">
        <v>1.18221344</v>
      </c>
      <c r="T33" s="20" t="n">
        <v>0.46909619</v>
      </c>
    </row>
    <row r="34" spans="1:20">
      <c r="A34" s="15" t="s">
        <v>592</v>
      </c>
      <c r="B34" s="17" t="n">
        <v>3035</v>
      </c>
      <c r="C34" s="18">
        <f>(2357.0/B34*100)</f>
        <v/>
      </c>
      <c r="D34" s="19" t="n">
        <v>678</v>
      </c>
      <c r="E34" s="18" t="n">
        <v>53.69798572</v>
      </c>
      <c r="F34" s="20" t="n">
        <v>2.17157543</v>
      </c>
      <c r="G34" s="18" t="n">
        <v>28.99408688</v>
      </c>
      <c r="H34" s="20" t="n">
        <v>1.80675938</v>
      </c>
      <c r="I34" s="18" t="n">
        <v>14.80159889</v>
      </c>
      <c r="J34" s="20" t="n">
        <v>1.42898845</v>
      </c>
      <c r="K34" s="18" t="n">
        <v>0</v>
      </c>
      <c r="L34" s="20" t="n">
        <v>0</v>
      </c>
      <c r="M34" s="18" t="n">
        <v>0.3703446</v>
      </c>
      <c r="N34" s="20" t="n">
        <v>0.21739695</v>
      </c>
      <c r="O34" s="18" t="n">
        <v>0</v>
      </c>
      <c r="P34" s="20" t="n">
        <v>0</v>
      </c>
      <c r="Q34" s="18" t="n">
        <v>0</v>
      </c>
      <c r="R34" s="20" t="n">
        <v>0</v>
      </c>
      <c r="S34" s="18" t="n">
        <v>2.13598391</v>
      </c>
      <c r="T34" s="20" t="n">
        <v>0.62405982</v>
      </c>
    </row>
    <row r="35" spans="1:20">
      <c r="A35" s="15" t="s">
        <v>593</v>
      </c>
      <c r="B35" s="17" t="n">
        <v>2901</v>
      </c>
      <c r="C35" s="18">
        <f>(2267.0/B35*100)</f>
        <v/>
      </c>
      <c r="D35" s="19" t="n">
        <v>634</v>
      </c>
      <c r="E35" s="18" t="n">
        <v>43.39993533</v>
      </c>
      <c r="F35" s="20" t="n">
        <v>2.16127241</v>
      </c>
      <c r="G35" s="18" t="n">
        <v>35.64339362</v>
      </c>
      <c r="H35" s="20" t="n">
        <v>2.16701684</v>
      </c>
      <c r="I35" s="18" t="n">
        <v>20.49207022</v>
      </c>
      <c r="J35" s="20" t="n">
        <v>1.92103441</v>
      </c>
      <c r="K35" s="18" t="n">
        <v>0</v>
      </c>
      <c r="L35" s="20" t="n">
        <v>0</v>
      </c>
      <c r="M35" s="18" t="n">
        <v>0</v>
      </c>
      <c r="N35" s="20" t="n">
        <v>0</v>
      </c>
      <c r="O35" s="18" t="n">
        <v>0</v>
      </c>
      <c r="P35" s="20" t="n">
        <v>0</v>
      </c>
      <c r="Q35" s="18" t="n">
        <v>0</v>
      </c>
      <c r="R35" s="20" t="n">
        <v>0</v>
      </c>
      <c r="S35" s="18" t="n">
        <v>0.46460083</v>
      </c>
      <c r="T35" s="20" t="n">
        <v>0.25215933</v>
      </c>
    </row>
    <row r="36" spans="1:20">
      <c r="A36" s="15" t="s">
        <v>594</v>
      </c>
      <c r="B36" s="17" t="n">
        <v>3404</v>
      </c>
      <c r="C36" s="18">
        <f>(2662.0/B36*100)</f>
        <v/>
      </c>
      <c r="D36" s="19" t="n">
        <v>742</v>
      </c>
      <c r="E36" s="18" t="n">
        <v>46.50849632</v>
      </c>
      <c r="F36" s="20" t="n">
        <v>1.90793115</v>
      </c>
      <c r="G36" s="18" t="n">
        <v>35.72012974</v>
      </c>
      <c r="H36" s="20" t="n">
        <v>1.97289423</v>
      </c>
      <c r="I36" s="18" t="n">
        <v>16.38762215</v>
      </c>
      <c r="J36" s="20" t="n">
        <v>1.35778119</v>
      </c>
      <c r="K36" s="18" t="n">
        <v>0</v>
      </c>
      <c r="L36" s="20" t="n">
        <v>0</v>
      </c>
      <c r="M36" s="18" t="n">
        <v>0</v>
      </c>
      <c r="N36" s="20" t="n">
        <v>0</v>
      </c>
      <c r="O36" s="18" t="n">
        <v>0</v>
      </c>
      <c r="P36" s="20" t="n">
        <v>0</v>
      </c>
      <c r="Q36" s="18" t="n">
        <v>0</v>
      </c>
      <c r="R36" s="20" t="n">
        <v>0</v>
      </c>
      <c r="S36" s="18" t="n">
        <v>1.38375179</v>
      </c>
      <c r="T36" s="20" t="n">
        <v>0.54039648</v>
      </c>
    </row>
    <row r="37" spans="1:20">
      <c r="A37" s="15" t="s">
        <v>595</v>
      </c>
      <c r="B37" s="17" t="n">
        <v>2731</v>
      </c>
      <c r="C37" s="18">
        <f>(2152.0/B37*100)</f>
        <v/>
      </c>
      <c r="D37" s="19" t="n">
        <v>579</v>
      </c>
      <c r="E37" s="18" t="n">
        <v>46.16633921</v>
      </c>
      <c r="F37" s="20" t="n">
        <v>1.99388408</v>
      </c>
      <c r="G37" s="18" t="n">
        <v>34.66181659</v>
      </c>
      <c r="H37" s="20" t="n">
        <v>1.94727628</v>
      </c>
      <c r="I37" s="18" t="n">
        <v>15.64847165</v>
      </c>
      <c r="J37" s="20" t="n">
        <v>1.64375248</v>
      </c>
      <c r="K37" s="18" t="n">
        <v>0</v>
      </c>
      <c r="L37" s="20" t="n">
        <v>0</v>
      </c>
      <c r="M37" s="18" t="n">
        <v>0.35491542</v>
      </c>
      <c r="N37" s="20" t="n">
        <v>0.24958176</v>
      </c>
      <c r="O37" s="18" t="n">
        <v>0</v>
      </c>
      <c r="P37" s="20" t="n">
        <v>0</v>
      </c>
      <c r="Q37" s="18" t="n">
        <v>0</v>
      </c>
      <c r="R37" s="20" t="n">
        <v>0</v>
      </c>
      <c r="S37" s="18" t="n">
        <v>3.16845712</v>
      </c>
      <c r="T37" s="20" t="n">
        <v>0.65359838</v>
      </c>
    </row>
    <row r="38" spans="1:20">
      <c r="A38" s="15" t="s">
        <v>596</v>
      </c>
      <c r="B38" s="17" t="n">
        <v>2807</v>
      </c>
      <c r="C38" s="18">
        <f>(2233.0/B38*100)</f>
        <v/>
      </c>
      <c r="D38" s="19" t="n">
        <v>574</v>
      </c>
      <c r="E38" s="18" t="n">
        <v>39.27685963</v>
      </c>
      <c r="F38" s="20" t="n">
        <v>2.61183698</v>
      </c>
      <c r="G38" s="18" t="n">
        <v>38.84839683</v>
      </c>
      <c r="H38" s="20" t="n">
        <v>2.49157598</v>
      </c>
      <c r="I38" s="18" t="n">
        <v>19.10386811</v>
      </c>
      <c r="J38" s="20" t="n">
        <v>1.95668922</v>
      </c>
      <c r="K38" s="18" t="n">
        <v>0</v>
      </c>
      <c r="L38" s="20" t="n">
        <v>0</v>
      </c>
      <c r="M38" s="18" t="n">
        <v>0</v>
      </c>
      <c r="N38" s="20" t="n">
        <v>0</v>
      </c>
      <c r="O38" s="18" t="n">
        <v>0</v>
      </c>
      <c r="P38" s="20" t="n">
        <v>0</v>
      </c>
      <c r="Q38" s="18" t="n">
        <v>0</v>
      </c>
      <c r="R38" s="20" t="n">
        <v>0</v>
      </c>
      <c r="S38" s="18" t="n">
        <v>2.77087543</v>
      </c>
      <c r="T38" s="20" t="n">
        <v>0.7737859</v>
      </c>
    </row>
    <row r="39" spans="1:20">
      <c r="A39" s="15" t="s">
        <v>597</v>
      </c>
      <c r="B39" s="17" t="n">
        <v>2938</v>
      </c>
      <c r="C39" s="18">
        <f>(2269.0/B39*100)</f>
        <v/>
      </c>
      <c r="D39" s="19" t="n">
        <v>669</v>
      </c>
      <c r="E39" s="18" t="n">
        <v>51.02414404</v>
      </c>
      <c r="F39" s="20" t="n">
        <v>2.1236545</v>
      </c>
      <c r="G39" s="18" t="n">
        <v>37.16278954</v>
      </c>
      <c r="H39" s="20" t="n">
        <v>2.13926689</v>
      </c>
      <c r="I39" s="18" t="n">
        <v>9.68863825</v>
      </c>
      <c r="J39" s="20" t="n">
        <v>1.35290897</v>
      </c>
      <c r="K39" s="18" t="n">
        <v>0</v>
      </c>
      <c r="L39" s="20" t="n">
        <v>0</v>
      </c>
      <c r="M39" s="18" t="n">
        <v>0.18710951</v>
      </c>
      <c r="N39" s="20" t="n">
        <v>0.17774833</v>
      </c>
      <c r="O39" s="18" t="n">
        <v>0</v>
      </c>
      <c r="P39" s="20" t="n">
        <v>0</v>
      </c>
      <c r="Q39" s="18" t="n">
        <v>0</v>
      </c>
      <c r="R39" s="20" t="n">
        <v>0</v>
      </c>
      <c r="S39" s="18" t="n">
        <v>1.93731866</v>
      </c>
      <c r="T39" s="20" t="n">
        <v>0.58053261</v>
      </c>
    </row>
    <row r="40" spans="1:20">
      <c r="A40" s="15" t="s">
        <v>598</v>
      </c>
      <c r="B40" s="17" t="n">
        <v>6922</v>
      </c>
      <c r="C40" s="18">
        <f>(5377.0/B40*100)</f>
        <v/>
      </c>
      <c r="D40" s="19" t="n">
        <v>1545</v>
      </c>
      <c r="E40" s="18" t="n">
        <v>50.63321523</v>
      </c>
      <c r="F40" s="20" t="n">
        <v>2.08378772</v>
      </c>
      <c r="G40" s="18" t="n">
        <v>30.32605216</v>
      </c>
      <c r="H40" s="20" t="n">
        <v>2.0254328</v>
      </c>
      <c r="I40" s="18" t="n">
        <v>17.11391306</v>
      </c>
      <c r="J40" s="20" t="n">
        <v>1.73421678</v>
      </c>
      <c r="K40" s="18" t="n">
        <v>0</v>
      </c>
      <c r="L40" s="20" t="n">
        <v>0</v>
      </c>
      <c r="M40" s="18" t="n">
        <v>0.01327843</v>
      </c>
      <c r="N40" s="20" t="n">
        <v>0.01349344</v>
      </c>
      <c r="O40" s="18" t="n">
        <v>0</v>
      </c>
      <c r="P40" s="20" t="n">
        <v>0</v>
      </c>
      <c r="Q40" s="18" t="n">
        <v>0</v>
      </c>
      <c r="R40" s="20" t="n">
        <v>0</v>
      </c>
      <c r="S40" s="18" t="n">
        <v>1.91354114</v>
      </c>
      <c r="T40" s="20" t="n">
        <v>0.5054946</v>
      </c>
    </row>
    <row r="41" spans="1:20">
      <c r="A41" s="15" t="s">
        <v>599</v>
      </c>
      <c r="B41" s="17" t="n">
        <v>2854</v>
      </c>
      <c r="C41" s="18">
        <f>(2221.0/B41*100)</f>
        <v/>
      </c>
      <c r="D41" s="19" t="n">
        <v>633</v>
      </c>
      <c r="E41" s="18" t="n">
        <v>51.54287717</v>
      </c>
      <c r="F41" s="20" t="n">
        <v>2.07108282</v>
      </c>
      <c r="G41" s="18" t="n">
        <v>35.97674337</v>
      </c>
      <c r="H41" s="20" t="n">
        <v>1.97954504</v>
      </c>
      <c r="I41" s="18" t="n">
        <v>12.48037945</v>
      </c>
      <c r="J41" s="20" t="n">
        <v>1.74834106</v>
      </c>
      <c r="K41" s="18" t="n">
        <v>0</v>
      </c>
      <c r="L41" s="20" t="n">
        <v>0</v>
      </c>
      <c r="M41" s="18" t="n">
        <v>0</v>
      </c>
      <c r="N41" s="20" t="n">
        <v>0</v>
      </c>
      <c r="O41" s="18" t="n">
        <v>0</v>
      </c>
      <c r="P41" s="20" t="n">
        <v>0</v>
      </c>
      <c r="Q41" s="18" t="n">
        <v>0</v>
      </c>
      <c r="R41" s="20" t="n">
        <v>0</v>
      </c>
      <c r="S41" s="18" t="n">
        <v>0</v>
      </c>
      <c r="T41" s="20" t="n">
        <v>0</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12073</v>
      </c>
      <c r="C46" s="18">
        <f>(9876.0/B46*100)</f>
        <v/>
      </c>
      <c r="D46" s="19" t="n">
        <v>2197</v>
      </c>
      <c r="E46" s="18" t="n">
        <v>60.4504599</v>
      </c>
      <c r="F46" s="20" t="n">
        <v>1.59060815</v>
      </c>
      <c r="G46" s="18" t="n">
        <v>28.1410469</v>
      </c>
      <c r="H46" s="20" t="n">
        <v>1.58652429</v>
      </c>
      <c r="I46" s="18" t="n">
        <v>5.07101332</v>
      </c>
      <c r="J46" s="20" t="n">
        <v>0.65124742</v>
      </c>
      <c r="K46" s="18" t="n">
        <v>0</v>
      </c>
      <c r="L46" s="20" t="n">
        <v>0</v>
      </c>
      <c r="M46" s="18" t="n">
        <v>0.62421864</v>
      </c>
      <c r="N46" s="20" t="n">
        <v>0.22190286</v>
      </c>
      <c r="O46" s="18" t="n">
        <v>0</v>
      </c>
      <c r="P46" s="20" t="n">
        <v>0</v>
      </c>
      <c r="Q46" s="18" t="n">
        <v>0</v>
      </c>
      <c r="R46" s="20" t="n">
        <v>0</v>
      </c>
      <c r="S46" s="18" t="n">
        <v>5.71326125</v>
      </c>
      <c r="T46" s="20" t="n">
        <v>0.6278191400000001</v>
      </c>
    </row>
    <row r="47" spans="1:20">
      <c r="A47" s="15" t="s">
        <v>606</v>
      </c>
      <c r="B47" s="17" t="n">
        <v>2823</v>
      </c>
      <c r="C47" s="18">
        <f>(2197.0/B47*100)</f>
        <v/>
      </c>
      <c r="D47" s="19" t="n">
        <v>626</v>
      </c>
      <c r="E47" s="18" t="n">
        <v>61.96292229</v>
      </c>
      <c r="F47" s="20" t="n">
        <v>1.91315625</v>
      </c>
      <c r="G47" s="18" t="n">
        <v>27.97286724</v>
      </c>
      <c r="H47" s="20" t="n">
        <v>1.77378345</v>
      </c>
      <c r="I47" s="18" t="n">
        <v>6.43285788</v>
      </c>
      <c r="J47" s="20" t="n">
        <v>1.21515398</v>
      </c>
      <c r="K47" s="18" t="n">
        <v>0</v>
      </c>
      <c r="L47" s="20" t="n">
        <v>0</v>
      </c>
      <c r="M47" s="18" t="n">
        <v>0.15079532</v>
      </c>
      <c r="N47" s="20" t="n">
        <v>0.15099474</v>
      </c>
      <c r="O47" s="18" t="n">
        <v>0</v>
      </c>
      <c r="P47" s="20" t="n">
        <v>0</v>
      </c>
      <c r="Q47" s="18" t="n">
        <v>0</v>
      </c>
      <c r="R47" s="20" t="n">
        <v>0</v>
      </c>
      <c r="S47" s="18" t="n">
        <v>3.48055727</v>
      </c>
      <c r="T47" s="20" t="n">
        <v>0.76976617</v>
      </c>
    </row>
    <row r="48" spans="1:20">
      <c r="A48" s="15" t="s">
        <v>607</v>
      </c>
      <c r="B48" s="17" t="n">
        <v>4682</v>
      </c>
      <c r="C48" s="18">
        <f>(3694.0/B48*100)</f>
        <v/>
      </c>
      <c r="D48" s="19" t="n">
        <v>988</v>
      </c>
      <c r="E48" s="18" t="n">
        <v>36.76471871</v>
      </c>
      <c r="F48" s="20" t="n">
        <v>1.98719637</v>
      </c>
      <c r="G48" s="18" t="n">
        <v>33.67849891</v>
      </c>
      <c r="H48" s="20" t="n">
        <v>2.21738533</v>
      </c>
      <c r="I48" s="18" t="n">
        <v>27.59539436</v>
      </c>
      <c r="J48" s="20" t="n">
        <v>1.97090833</v>
      </c>
      <c r="K48" s="18" t="n">
        <v>0</v>
      </c>
      <c r="L48" s="20" t="n">
        <v>0</v>
      </c>
      <c r="M48" s="18" t="n">
        <v>0.36975121</v>
      </c>
      <c r="N48" s="20" t="n">
        <v>0.25559765</v>
      </c>
      <c r="O48" s="18" t="n">
        <v>0</v>
      </c>
      <c r="P48" s="20" t="n">
        <v>0</v>
      </c>
      <c r="Q48" s="18" t="n">
        <v>0</v>
      </c>
      <c r="R48" s="20" t="n">
        <v>0</v>
      </c>
      <c r="S48" s="18" t="n">
        <v>1.59163681</v>
      </c>
      <c r="T48" s="20" t="n">
        <v>0.55169807</v>
      </c>
    </row>
    <row r="49" spans="1:20">
      <c r="A49" s="15" t="s">
        <v>608</v>
      </c>
      <c r="B49" s="17" t="n">
        <v>6158</v>
      </c>
      <c r="C49" s="18">
        <f>(4845.0/B49*100)</f>
        <v/>
      </c>
      <c r="D49" s="19" t="n">
        <v>1313</v>
      </c>
      <c r="E49" s="18" t="n">
        <v>69.53707196000001</v>
      </c>
      <c r="F49" s="20" t="n">
        <v>1.80768583</v>
      </c>
      <c r="G49" s="18" t="n">
        <v>26.0983966</v>
      </c>
      <c r="H49" s="20" t="n">
        <v>1.66575748</v>
      </c>
      <c r="I49" s="18" t="n">
        <v>2.91479744</v>
      </c>
      <c r="J49" s="20" t="n">
        <v>0.53502535</v>
      </c>
      <c r="K49" s="18" t="n">
        <v>0</v>
      </c>
      <c r="L49" s="20" t="n">
        <v>0</v>
      </c>
      <c r="M49" s="18" t="n">
        <v>0.38036381</v>
      </c>
      <c r="N49" s="20" t="n">
        <v>0.19226136</v>
      </c>
      <c r="O49" s="18" t="n">
        <v>0</v>
      </c>
      <c r="P49" s="20" t="n">
        <v>0</v>
      </c>
      <c r="Q49" s="18" t="n">
        <v>0</v>
      </c>
      <c r="R49" s="20" t="n">
        <v>0</v>
      </c>
      <c r="S49" s="18" t="n">
        <v>1.06937019</v>
      </c>
      <c r="T49" s="20" t="n">
        <v>0.38755842</v>
      </c>
    </row>
    <row r="50" spans="1:20">
      <c r="A50" s="15" t="s">
        <v>609</v>
      </c>
      <c r="B50" s="17" t="n">
        <v>3494</v>
      </c>
      <c r="C50" s="18">
        <f>(2851.0/B50*100)</f>
        <v/>
      </c>
      <c r="D50" s="19" t="n">
        <v>643</v>
      </c>
      <c r="E50" s="18" t="n">
        <v>70.02910985</v>
      </c>
      <c r="F50" s="20" t="n">
        <v>2.31160053</v>
      </c>
      <c r="G50" s="18" t="n">
        <v>23.07628711</v>
      </c>
      <c r="H50" s="20" t="n">
        <v>2.18367859</v>
      </c>
      <c r="I50" s="18" t="n">
        <v>4.24877126</v>
      </c>
      <c r="J50" s="20" t="n">
        <v>0.79345266</v>
      </c>
      <c r="K50" s="18" t="n">
        <v>0</v>
      </c>
      <c r="L50" s="20" t="n">
        <v>0</v>
      </c>
      <c r="M50" s="18" t="n">
        <v>0.22907987</v>
      </c>
      <c r="N50" s="20" t="n">
        <v>0.17115354</v>
      </c>
      <c r="O50" s="18" t="n">
        <v>0</v>
      </c>
      <c r="P50" s="20" t="n">
        <v>0</v>
      </c>
      <c r="Q50" s="18" t="n">
        <v>0</v>
      </c>
      <c r="R50" s="20" t="n">
        <v>0</v>
      </c>
      <c r="S50" s="18" t="n">
        <v>2.4167519</v>
      </c>
      <c r="T50" s="20" t="n">
        <v>0.63363982</v>
      </c>
    </row>
    <row r="51" spans="1:20">
      <c r="A51" s="15" t="s">
        <v>610</v>
      </c>
      <c r="B51" s="17" t="n">
        <v>3013</v>
      </c>
      <c r="C51" s="18">
        <f>(2365.0/B51*100)</f>
        <v/>
      </c>
      <c r="D51" s="19" t="n">
        <v>648</v>
      </c>
      <c r="E51" s="18" t="n">
        <v>64.82148189999999</v>
      </c>
      <c r="F51" s="20" t="n">
        <v>1.87641513</v>
      </c>
      <c r="G51" s="18" t="n">
        <v>23.22673835</v>
      </c>
      <c r="H51" s="20" t="n">
        <v>1.70092434</v>
      </c>
      <c r="I51" s="18" t="n">
        <v>10.31062189</v>
      </c>
      <c r="J51" s="20" t="n">
        <v>1.08763226</v>
      </c>
      <c r="K51" s="18" t="n">
        <v>0</v>
      </c>
      <c r="L51" s="20" t="n">
        <v>0</v>
      </c>
      <c r="M51" s="18" t="n">
        <v>0</v>
      </c>
      <c r="N51" s="20" t="n">
        <v>0</v>
      </c>
      <c r="O51" s="18" t="n">
        <v>0</v>
      </c>
      <c r="P51" s="20" t="n">
        <v>0</v>
      </c>
      <c r="Q51" s="18" t="n">
        <v>0</v>
      </c>
      <c r="R51" s="20" t="n">
        <v>0</v>
      </c>
      <c r="S51" s="18" t="n">
        <v>1.64115786</v>
      </c>
      <c r="T51" s="20" t="n">
        <v>0.43486312</v>
      </c>
    </row>
    <row r="52" spans="1:20">
      <c r="A52" s="15" t="s">
        <v>611</v>
      </c>
      <c r="B52" s="17" t="n">
        <v>2760</v>
      </c>
      <c r="C52" s="18">
        <f>(2186.0/B52*100)</f>
        <v/>
      </c>
      <c r="D52" s="19" t="n">
        <v>574</v>
      </c>
      <c r="E52" s="18" t="n">
        <v>57.43284074</v>
      </c>
      <c r="F52" s="20" t="n">
        <v>2.45114712</v>
      </c>
      <c r="G52" s="18" t="n">
        <v>31.46577915</v>
      </c>
      <c r="H52" s="20" t="n">
        <v>2.21208283</v>
      </c>
      <c r="I52" s="18" t="n">
        <v>9.10608659</v>
      </c>
      <c r="J52" s="20" t="n">
        <v>1.18401293</v>
      </c>
      <c r="K52" s="18" t="n">
        <v>0</v>
      </c>
      <c r="L52" s="20" t="n">
        <v>0</v>
      </c>
      <c r="M52" s="18" t="n">
        <v>0</v>
      </c>
      <c r="N52" s="20" t="n">
        <v>0</v>
      </c>
      <c r="O52" s="18" t="n">
        <v>0</v>
      </c>
      <c r="P52" s="20" t="n">
        <v>0</v>
      </c>
      <c r="Q52" s="18" t="n">
        <v>0</v>
      </c>
      <c r="R52" s="20" t="n">
        <v>0</v>
      </c>
      <c r="S52" s="18" t="n">
        <v>1.99529353</v>
      </c>
      <c r="T52" s="20" t="n">
        <v>0.52250891</v>
      </c>
    </row>
    <row r="53" spans="1:20">
      <c r="A53" s="15" t="s">
        <v>612</v>
      </c>
      <c r="B53" s="17" t="n">
        <v>2474</v>
      </c>
      <c r="C53" s="18">
        <f>(1893.0/B53*100)</f>
        <v/>
      </c>
      <c r="D53" s="19" t="n">
        <v>581</v>
      </c>
      <c r="E53" s="18" t="n">
        <v>60.42261764</v>
      </c>
      <c r="F53" s="20" t="n">
        <v>2.13419397</v>
      </c>
      <c r="G53" s="18" t="n">
        <v>14.57025651</v>
      </c>
      <c r="H53" s="20" t="n">
        <v>1.60702462</v>
      </c>
      <c r="I53" s="18" t="n">
        <v>0.14108749</v>
      </c>
      <c r="J53" s="20" t="n">
        <v>0.14119973</v>
      </c>
      <c r="K53" s="18" t="n">
        <v>0</v>
      </c>
      <c r="L53" s="20" t="n">
        <v>0</v>
      </c>
      <c r="M53" s="18" t="n">
        <v>15.65187248</v>
      </c>
      <c r="N53" s="20" t="n">
        <v>1.63992696</v>
      </c>
      <c r="O53" s="18" t="n">
        <v>0</v>
      </c>
      <c r="P53" s="20" t="n">
        <v>0</v>
      </c>
      <c r="Q53" s="18" t="n">
        <v>0</v>
      </c>
      <c r="R53" s="20" t="n">
        <v>0</v>
      </c>
      <c r="S53" s="18" t="n">
        <v>9.214165879999999</v>
      </c>
      <c r="T53" s="20" t="n">
        <v>1.53594012</v>
      </c>
    </row>
    <row r="54" spans="1:20">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2675</v>
      </c>
      <c r="C55" s="18">
        <f>(2072.0/B55*100)</f>
        <v/>
      </c>
      <c r="D55" s="19" t="n">
        <v>603</v>
      </c>
      <c r="E55" s="18" t="n">
        <v>36.38161887</v>
      </c>
      <c r="F55" s="20" t="n">
        <v>2.25965632</v>
      </c>
      <c r="G55" s="18" t="n">
        <v>39.29378792</v>
      </c>
      <c r="H55" s="20" t="n">
        <v>2.32822113</v>
      </c>
      <c r="I55" s="18" t="n">
        <v>24.03307402</v>
      </c>
      <c r="J55" s="20" t="n">
        <v>1.65937529</v>
      </c>
      <c r="K55" s="18" t="n">
        <v>0</v>
      </c>
      <c r="L55" s="20" t="n">
        <v>0</v>
      </c>
      <c r="M55" s="18" t="n">
        <v>0.15198612</v>
      </c>
      <c r="N55" s="20" t="n">
        <v>0.17002809</v>
      </c>
      <c r="O55" s="18" t="n">
        <v>0</v>
      </c>
      <c r="P55" s="20" t="n">
        <v>0</v>
      </c>
      <c r="Q55" s="18" t="n">
        <v>0</v>
      </c>
      <c r="R55" s="20" t="n">
        <v>0</v>
      </c>
      <c r="S55" s="18" t="n">
        <v>0.13953307</v>
      </c>
      <c r="T55" s="20" t="n">
        <v>0.13955383</v>
      </c>
    </row>
    <row r="56" spans="1:20">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3201</v>
      </c>
      <c r="C61" s="18">
        <f>(2519.0/B61*100)</f>
        <v/>
      </c>
      <c r="D61" s="19" t="n">
        <v>682</v>
      </c>
      <c r="E61" s="18" t="n">
        <v>56.48050182</v>
      </c>
      <c r="F61" s="20" t="n">
        <v>2.23855878</v>
      </c>
      <c r="G61" s="18" t="n">
        <v>29.8412556</v>
      </c>
      <c r="H61" s="20" t="n">
        <v>2.11170877</v>
      </c>
      <c r="I61" s="18" t="n">
        <v>11.3716626</v>
      </c>
      <c r="J61" s="20" t="n">
        <v>1.44181998</v>
      </c>
      <c r="K61" s="18" t="n">
        <v>0</v>
      </c>
      <c r="L61" s="20" t="n">
        <v>0</v>
      </c>
      <c r="M61" s="18" t="n">
        <v>0.16537051</v>
      </c>
      <c r="N61" s="20" t="n">
        <v>0.18015352</v>
      </c>
      <c r="O61" s="18" t="n">
        <v>0</v>
      </c>
      <c r="P61" s="20" t="n">
        <v>0</v>
      </c>
      <c r="Q61" s="18" t="n">
        <v>0</v>
      </c>
      <c r="R61" s="20" t="n">
        <v>0</v>
      </c>
      <c r="S61" s="18" t="n">
        <v>2.14120948</v>
      </c>
      <c r="T61" s="20" t="n">
        <v>0.6139199400000001</v>
      </c>
    </row>
    <row r="62" spans="1:20">
      <c r="A62" s="15" t="s">
        <v>622</v>
      </c>
      <c r="B62" s="17" t="n">
        <v>2230</v>
      </c>
      <c r="C62" s="18">
        <f>(1750.0/B62*100)</f>
        <v/>
      </c>
      <c r="D62" s="19" t="n">
        <v>480</v>
      </c>
      <c r="E62" s="18" t="n">
        <v>33.3765558</v>
      </c>
      <c r="F62" s="20" t="n">
        <v>1.98038872</v>
      </c>
      <c r="G62" s="18" t="n">
        <v>37.23438082</v>
      </c>
      <c r="H62" s="20" t="n">
        <v>2.39884056</v>
      </c>
      <c r="I62" s="18" t="n">
        <v>29.18195675</v>
      </c>
      <c r="J62" s="20" t="n">
        <v>1.73796646</v>
      </c>
      <c r="K62" s="18" t="n">
        <v>0</v>
      </c>
      <c r="L62" s="20" t="n">
        <v>0</v>
      </c>
      <c r="M62" s="18" t="n">
        <v>0</v>
      </c>
      <c r="N62" s="20" t="n">
        <v>0</v>
      </c>
      <c r="O62" s="18" t="n">
        <v>0</v>
      </c>
      <c r="P62" s="20" t="n">
        <v>0</v>
      </c>
      <c r="Q62" s="18" t="n">
        <v>0</v>
      </c>
      <c r="R62" s="20" t="n">
        <v>0</v>
      </c>
      <c r="S62" s="18" t="n">
        <v>0.20710664</v>
      </c>
      <c r="T62" s="20" t="n">
        <v>0.20604412</v>
      </c>
    </row>
    <row r="63" spans="1:20">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2771</v>
      </c>
      <c r="C67" s="18">
        <f>(2177.0/B67*100)</f>
        <v/>
      </c>
      <c r="D67" s="19" t="n">
        <v>594</v>
      </c>
      <c r="E67" s="18" t="n">
        <v>62.68748952</v>
      </c>
      <c r="F67" s="20" t="n">
        <v>2.10732538</v>
      </c>
      <c r="G67" s="18" t="n">
        <v>24.12603937</v>
      </c>
      <c r="H67" s="20" t="n">
        <v>1.93763147</v>
      </c>
      <c r="I67" s="18" t="n">
        <v>6.50682302</v>
      </c>
      <c r="J67" s="20" t="n">
        <v>1.00587904</v>
      </c>
      <c r="K67" s="18" t="n">
        <v>0</v>
      </c>
      <c r="L67" s="20" t="n">
        <v>0</v>
      </c>
      <c r="M67" s="18" t="n">
        <v>0.29461455</v>
      </c>
      <c r="N67" s="20" t="n">
        <v>0.20996458</v>
      </c>
      <c r="O67" s="18" t="n">
        <v>0</v>
      </c>
      <c r="P67" s="20" t="n">
        <v>0</v>
      </c>
      <c r="Q67" s="18" t="n">
        <v>0</v>
      </c>
      <c r="R67" s="20" t="n">
        <v>0</v>
      </c>
      <c r="S67" s="18" t="n">
        <v>6.38503354</v>
      </c>
      <c r="T67" s="20" t="n">
        <v>1.14016497</v>
      </c>
    </row>
    <row r="68" spans="1:20">
      <c r="A68" s="15" t="s">
        <v>628</v>
      </c>
      <c r="B68" s="17" t="n">
        <v>3460</v>
      </c>
      <c r="C68" s="18">
        <f>(2786.0/B68*100)</f>
        <v/>
      </c>
      <c r="D68" s="19" t="n">
        <v>674</v>
      </c>
      <c r="E68" s="18" t="n">
        <v>69.01929182000001</v>
      </c>
      <c r="F68" s="20" t="n">
        <v>1.67269018</v>
      </c>
      <c r="G68" s="18" t="n">
        <v>23.90726242</v>
      </c>
      <c r="H68" s="20" t="n">
        <v>1.49102627</v>
      </c>
      <c r="I68" s="18" t="n">
        <v>2.79932125</v>
      </c>
      <c r="J68" s="20" t="n">
        <v>0.6894523</v>
      </c>
      <c r="K68" s="18" t="n">
        <v>0</v>
      </c>
      <c r="L68" s="20" t="n">
        <v>0</v>
      </c>
      <c r="M68" s="18" t="n">
        <v>0.15412559</v>
      </c>
      <c r="N68" s="20" t="n">
        <v>0.15445352</v>
      </c>
      <c r="O68" s="18" t="n">
        <v>0</v>
      </c>
      <c r="P68" s="20" t="n">
        <v>0</v>
      </c>
      <c r="Q68" s="18" t="n">
        <v>0</v>
      </c>
      <c r="R68" s="20" t="n">
        <v>0</v>
      </c>
      <c r="S68" s="18" t="n">
        <v>4.11999891</v>
      </c>
      <c r="T68" s="20" t="n">
        <v>0.80727125</v>
      </c>
    </row>
    <row r="69" spans="1:20">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6034</v>
      </c>
      <c r="C70" s="18">
        <f>(4720.0/B70*100)</f>
        <v/>
      </c>
      <c r="D70" s="19" t="n">
        <v>1314</v>
      </c>
      <c r="E70" s="18" t="n">
        <v>57.2233881</v>
      </c>
      <c r="F70" s="20" t="n">
        <v>1.26954392</v>
      </c>
      <c r="G70" s="18" t="n">
        <v>30.14387532</v>
      </c>
      <c r="H70" s="20" t="n">
        <v>1.11095478</v>
      </c>
      <c r="I70" s="18" t="n">
        <v>9.16847005</v>
      </c>
      <c r="J70" s="20" t="n">
        <v>0.79757374</v>
      </c>
      <c r="K70" s="18" t="n">
        <v>0</v>
      </c>
      <c r="L70" s="20" t="n">
        <v>0</v>
      </c>
      <c r="M70" s="18" t="n">
        <v>1.16211147</v>
      </c>
      <c r="N70" s="20" t="n">
        <v>0.25243503</v>
      </c>
      <c r="O70" s="18" t="n">
        <v>0</v>
      </c>
      <c r="P70" s="20" t="n">
        <v>0</v>
      </c>
      <c r="Q70" s="18" t="n">
        <v>0</v>
      </c>
      <c r="R70" s="20" t="n">
        <v>0</v>
      </c>
      <c r="S70" s="18" t="n">
        <v>2.30215506</v>
      </c>
      <c r="T70" s="20" t="n">
        <v>0.42217476</v>
      </c>
    </row>
    <row r="71" spans="1:20">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3107</v>
      </c>
      <c r="C72" s="18">
        <f>(2466.0/B72*100)</f>
        <v/>
      </c>
      <c r="D72" s="19" t="n">
        <v>641</v>
      </c>
      <c r="E72" s="18" t="n">
        <v>51.63972948</v>
      </c>
      <c r="F72" s="20" t="n">
        <v>2.08919821</v>
      </c>
      <c r="G72" s="18" t="n">
        <v>35.78903282</v>
      </c>
      <c r="H72" s="20" t="n">
        <v>1.60997439</v>
      </c>
      <c r="I72" s="18" t="n">
        <v>11.07239104</v>
      </c>
      <c r="J72" s="20" t="n">
        <v>1.64645511</v>
      </c>
      <c r="K72" s="18" t="n">
        <v>0</v>
      </c>
      <c r="L72" s="20" t="n">
        <v>0</v>
      </c>
      <c r="M72" s="18" t="n">
        <v>0.0800439</v>
      </c>
      <c r="N72" s="20" t="n">
        <v>0.08078902</v>
      </c>
      <c r="O72" s="18" t="n">
        <v>0</v>
      </c>
      <c r="P72" s="20" t="n">
        <v>0</v>
      </c>
      <c r="Q72" s="18" t="n">
        <v>0</v>
      </c>
      <c r="R72" s="20" t="n">
        <v>0</v>
      </c>
      <c r="S72" s="18" t="n">
        <v>1.41880275</v>
      </c>
      <c r="T72" s="20" t="n">
        <v>0.39857108</v>
      </c>
    </row>
    <row r="73" spans="1:20">
      <c r="A73" s="15" t="s">
        <v>633</v>
      </c>
      <c r="B73" s="17" t="n">
        <v>2973</v>
      </c>
      <c r="C73" s="18">
        <f>(2275.0/B73*100)</f>
        <v/>
      </c>
      <c r="D73" s="19" t="n">
        <v>698</v>
      </c>
      <c r="E73" s="18" t="n">
        <v>29.5457306</v>
      </c>
      <c r="F73" s="20" t="n">
        <v>1.83853491</v>
      </c>
      <c r="G73" s="18" t="n">
        <v>33.8893724</v>
      </c>
      <c r="H73" s="20" t="n">
        <v>1.96083363</v>
      </c>
      <c r="I73" s="18" t="n">
        <v>36.07956995</v>
      </c>
      <c r="J73" s="20" t="n">
        <v>1.87212894</v>
      </c>
      <c r="K73" s="18" t="n">
        <v>0</v>
      </c>
      <c r="L73" s="20" t="n">
        <v>0</v>
      </c>
      <c r="M73" s="18" t="n">
        <v>0</v>
      </c>
      <c r="N73" s="20" t="n">
        <v>0</v>
      </c>
      <c r="O73" s="18" t="n">
        <v>0</v>
      </c>
      <c r="P73" s="20" t="n">
        <v>0</v>
      </c>
      <c r="Q73" s="18" t="n">
        <v>0</v>
      </c>
      <c r="R73" s="20" t="n">
        <v>0</v>
      </c>
      <c r="S73" s="18" t="n">
        <v>0.48532706</v>
      </c>
      <c r="T73" s="20" t="n">
        <v>0.24907081</v>
      </c>
    </row>
    <row r="74" spans="1:20">
      <c r="A74" s="15" t="s">
        <v>634</v>
      </c>
      <c r="B74" s="17" t="n">
        <v>3819</v>
      </c>
      <c r="C74" s="18">
        <f>(2941.0/B74*100)</f>
        <v/>
      </c>
      <c r="D74" s="19" t="n">
        <v>878</v>
      </c>
      <c r="E74" s="18" t="n">
        <v>31.79535615</v>
      </c>
      <c r="F74" s="20" t="n">
        <v>1.7964043</v>
      </c>
      <c r="G74" s="18" t="n">
        <v>38.44410856</v>
      </c>
      <c r="H74" s="20" t="n">
        <v>1.79053724</v>
      </c>
      <c r="I74" s="18" t="n">
        <v>29.35496651</v>
      </c>
      <c r="J74" s="20" t="n">
        <v>2.06060351</v>
      </c>
      <c r="K74" s="18" t="n">
        <v>0</v>
      </c>
      <c r="L74" s="20" t="n">
        <v>0</v>
      </c>
      <c r="M74" s="18" t="n">
        <v>0.13112668</v>
      </c>
      <c r="N74" s="20" t="n">
        <v>0.09468809</v>
      </c>
      <c r="O74" s="18" t="n">
        <v>0</v>
      </c>
      <c r="P74" s="20" t="n">
        <v>0</v>
      </c>
      <c r="Q74" s="18" t="n">
        <v>0</v>
      </c>
      <c r="R74" s="20" t="n">
        <v>0</v>
      </c>
      <c r="S74" s="18" t="n">
        <v>0.27444209</v>
      </c>
      <c r="T74" s="20" t="n">
        <v>0.19820801</v>
      </c>
    </row>
    <row r="75" spans="1:20">
      <c r="A75" s="15" t="s">
        <v>635</v>
      </c>
      <c r="B75" s="17" t="n">
        <v>4652</v>
      </c>
      <c r="C75" s="18">
        <f>(3678.0/B75*100)</f>
        <v/>
      </c>
      <c r="D75" s="19" t="n">
        <v>974</v>
      </c>
      <c r="E75" s="18" t="n">
        <v>62.54730452</v>
      </c>
      <c r="F75" s="20" t="n">
        <v>1.74997165</v>
      </c>
      <c r="G75" s="18" t="n">
        <v>30.15256826</v>
      </c>
      <c r="H75" s="20" t="n">
        <v>1.70516623</v>
      </c>
      <c r="I75" s="18" t="n">
        <v>5.58573328</v>
      </c>
      <c r="J75" s="20" t="n">
        <v>1.0179033</v>
      </c>
      <c r="K75" s="18" t="n">
        <v>0</v>
      </c>
      <c r="L75" s="20" t="n">
        <v>0</v>
      </c>
      <c r="M75" s="18" t="n">
        <v>0</v>
      </c>
      <c r="N75" s="20" t="n">
        <v>0</v>
      </c>
      <c r="O75" s="18" t="n">
        <v>0</v>
      </c>
      <c r="P75" s="20" t="n">
        <v>0</v>
      </c>
      <c r="Q75" s="18" t="n">
        <v>0</v>
      </c>
      <c r="R75" s="20" t="n">
        <v>0</v>
      </c>
      <c r="S75" s="18" t="n">
        <v>1.71439395</v>
      </c>
      <c r="T75" s="20" t="n">
        <v>0.45880553</v>
      </c>
    </row>
    <row r="76" spans="1:20">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2969</v>
      </c>
      <c r="C77" s="18">
        <f>(2403.0/B77*100)</f>
        <v/>
      </c>
      <c r="D77" s="19" t="n">
        <v>566</v>
      </c>
      <c r="E77" s="18" t="n">
        <v>67.09934646000001</v>
      </c>
      <c r="F77" s="20" t="n">
        <v>1.94262329</v>
      </c>
      <c r="G77" s="18" t="n">
        <v>21.13431096</v>
      </c>
      <c r="H77" s="20" t="n">
        <v>1.70911011</v>
      </c>
      <c r="I77" s="18" t="n">
        <v>3.50719034</v>
      </c>
      <c r="J77" s="20" t="n">
        <v>0.81741716</v>
      </c>
      <c r="K77" s="18" t="n">
        <v>0</v>
      </c>
      <c r="L77" s="20" t="n">
        <v>0</v>
      </c>
      <c r="M77" s="18" t="n">
        <v>3.77942811</v>
      </c>
      <c r="N77" s="20" t="n">
        <v>1.0582587</v>
      </c>
      <c r="O77" s="18" t="n">
        <v>0</v>
      </c>
      <c r="P77" s="20" t="n">
        <v>0</v>
      </c>
      <c r="Q77" s="18" t="n">
        <v>0</v>
      </c>
      <c r="R77" s="20" t="n">
        <v>0</v>
      </c>
      <c r="S77" s="18" t="n">
        <v>4.47972412</v>
      </c>
      <c r="T77" s="20" t="n">
        <v>0.88819495</v>
      </c>
    </row>
    <row r="78" spans="1:20">
      <c r="A78" s="15" t="s">
        <v>638</v>
      </c>
      <c r="B78" s="17" t="n">
        <v>7115</v>
      </c>
      <c r="C78" s="18">
        <f>(5540.0/B78*100)</f>
        <v/>
      </c>
      <c r="D78" s="19" t="n">
        <v>1575</v>
      </c>
      <c r="E78" s="18" t="n">
        <v>53.88245806</v>
      </c>
      <c r="F78" s="20" t="n">
        <v>1.52021542</v>
      </c>
      <c r="G78" s="18" t="n">
        <v>32.51282729</v>
      </c>
      <c r="H78" s="20" t="n">
        <v>1.55370369</v>
      </c>
      <c r="I78" s="18" t="n">
        <v>12.24640899</v>
      </c>
      <c r="J78" s="20" t="n">
        <v>1.00037314</v>
      </c>
      <c r="K78" s="18" t="n">
        <v>0</v>
      </c>
      <c r="L78" s="20" t="n">
        <v>0</v>
      </c>
      <c r="M78" s="18" t="n">
        <v>0.41986582</v>
      </c>
      <c r="N78" s="20" t="n">
        <v>0.15422747</v>
      </c>
      <c r="O78" s="18" t="n">
        <v>0</v>
      </c>
      <c r="P78" s="20" t="n">
        <v>0</v>
      </c>
      <c r="Q78" s="18" t="n">
        <v>0</v>
      </c>
      <c r="R78" s="20" t="n">
        <v>0</v>
      </c>
      <c r="S78" s="18" t="n">
        <v>0.93843984</v>
      </c>
      <c r="T78" s="20" t="n">
        <v>0.28464862</v>
      </c>
    </row>
    <row r="79" spans="1:20">
      <c r="A79" s="15" t="s">
        <v>639</v>
      </c>
      <c r="B79" s="17" t="n">
        <v>3154</v>
      </c>
      <c r="C79" s="18">
        <f>(2504.0/B79*100)</f>
        <v/>
      </c>
      <c r="D79" s="19" t="n">
        <v>650</v>
      </c>
      <c r="E79" s="18" t="n">
        <v>58.89673841</v>
      </c>
      <c r="F79" s="20" t="n">
        <v>2.16708137</v>
      </c>
      <c r="G79" s="18" t="n">
        <v>28.14341581</v>
      </c>
      <c r="H79" s="20" t="n">
        <v>1.90902357</v>
      </c>
      <c r="I79" s="18" t="n">
        <v>6.9246666</v>
      </c>
      <c r="J79" s="20" t="n">
        <v>0.95211356</v>
      </c>
      <c r="K79" s="18" t="n">
        <v>0</v>
      </c>
      <c r="L79" s="20" t="n">
        <v>0</v>
      </c>
      <c r="M79" s="18" t="n">
        <v>0.76169055</v>
      </c>
      <c r="N79" s="20" t="n">
        <v>0.36773421</v>
      </c>
      <c r="O79" s="18" t="n">
        <v>0</v>
      </c>
      <c r="P79" s="20" t="n">
        <v>0</v>
      </c>
      <c r="Q79" s="18" t="n">
        <v>0</v>
      </c>
      <c r="R79" s="20" t="n">
        <v>0</v>
      </c>
      <c r="S79" s="18" t="n">
        <v>5.27348863</v>
      </c>
      <c r="T79" s="20" t="n">
        <v>1.07285643</v>
      </c>
    </row>
    <row r="80" spans="1:20">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15961</v>
      </c>
      <c r="C82" s="18">
        <f>(12451.0/B82*100)</f>
        <v/>
      </c>
      <c r="D82" s="19" t="n">
        <v>3510</v>
      </c>
      <c r="E82" s="18" t="n">
        <v>45.83879911</v>
      </c>
      <c r="F82" s="20" t="n">
        <v>1.25605147</v>
      </c>
      <c r="G82" s="18" t="n">
        <v>37.03036563</v>
      </c>
      <c r="H82" s="20" t="n">
        <v>1.22614349</v>
      </c>
      <c r="I82" s="18" t="n">
        <v>15.30835225</v>
      </c>
      <c r="J82" s="20" t="n">
        <v>0.7690859</v>
      </c>
      <c r="K82" s="18" t="n">
        <v>0</v>
      </c>
      <c r="L82" s="20" t="n">
        <v>0</v>
      </c>
      <c r="M82" s="18" t="n">
        <v>0.09313144</v>
      </c>
      <c r="N82" s="20" t="n">
        <v>0.06796075</v>
      </c>
      <c r="O82" s="18" t="n">
        <v>0</v>
      </c>
      <c r="P82" s="20" t="n">
        <v>0</v>
      </c>
      <c r="Q82" s="18" t="n">
        <v>0</v>
      </c>
      <c r="R82" s="20" t="n">
        <v>0</v>
      </c>
      <c r="S82" s="18" t="n">
        <v>1.72935158</v>
      </c>
      <c r="T82" s="20" t="n">
        <v>0.40049423</v>
      </c>
    </row>
    <row r="83" spans="1:20">
      <c r="A83" s="15" t="s">
        <v>643</v>
      </c>
      <c r="B83" s="17" t="n">
        <v>808</v>
      </c>
      <c r="C83" s="18">
        <f>(647.0/B83*100)</f>
        <v/>
      </c>
      <c r="D83" s="19" t="n">
        <v>161</v>
      </c>
      <c r="E83" s="18" t="n">
        <v>47.86895301</v>
      </c>
      <c r="F83" s="20" t="n">
        <v>5.19192821</v>
      </c>
      <c r="G83" s="18" t="n">
        <v>34.67485502</v>
      </c>
      <c r="H83" s="20" t="n">
        <v>2.97416826</v>
      </c>
      <c r="I83" s="18" t="n">
        <v>17.45619197</v>
      </c>
      <c r="J83" s="20" t="n">
        <v>4.31552101</v>
      </c>
      <c r="K83" s="18" t="n">
        <v>0</v>
      </c>
      <c r="L83" s="20" t="n">
        <v>0</v>
      </c>
      <c r="M83" s="18" t="n">
        <v>0</v>
      </c>
      <c r="N83" s="20" t="n">
        <v>0</v>
      </c>
      <c r="O83" s="18" t="n">
        <v>0</v>
      </c>
      <c r="P83" s="20" t="n">
        <v>0</v>
      </c>
      <c r="Q83" s="18" t="n">
        <v>0</v>
      </c>
      <c r="R83" s="20" t="n">
        <v>0</v>
      </c>
      <c r="S83" s="18" t="n">
        <v>0</v>
      </c>
      <c r="T83" s="20" t="n">
        <v>0</v>
      </c>
    </row>
    <row r="84" spans="1:20">
      <c r="A84" s="23" t="s">
        <v>644</v>
      </c>
      <c r="B84" s="24" t="n">
        <v>938</v>
      </c>
      <c r="C84" s="25">
        <f>(712.0/B84*100)</f>
        <v/>
      </c>
      <c r="D84" s="19" t="n">
        <v>226</v>
      </c>
      <c r="E84" s="18" t="n">
        <v>51.67191222</v>
      </c>
      <c r="F84" s="20" t="n">
        <v>3.27224936</v>
      </c>
      <c r="G84" s="18" t="n">
        <v>32.07163327</v>
      </c>
      <c r="H84" s="20" t="n">
        <v>3.69027715</v>
      </c>
      <c r="I84" s="18" t="n">
        <v>16.25645452</v>
      </c>
      <c r="J84" s="20" t="n">
        <v>2.566218</v>
      </c>
      <c r="K84" s="18" t="n">
        <v>0</v>
      </c>
      <c r="L84" s="20" t="n">
        <v>0</v>
      </c>
      <c r="M84" s="18" t="n">
        <v>0</v>
      </c>
      <c r="N84" s="20" t="n">
        <v>0</v>
      </c>
      <c r="O84" s="18" t="n">
        <v>0</v>
      </c>
      <c r="P84" s="20" t="n">
        <v>0</v>
      </c>
      <c r="Q84" s="18" t="n">
        <v>0</v>
      </c>
      <c r="R84" s="20" t="n">
        <v>0</v>
      </c>
      <c r="S84" s="18" t="n">
        <v>0</v>
      </c>
      <c r="T84" s="20" t="n">
        <v>0</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(5602.0/B7*100)</f>
        <v/>
      </c>
      <c r="D7" s="19" t="n">
        <v>1561</v>
      </c>
      <c r="E7" s="18" t="n">
        <v>74.5271578</v>
      </c>
      <c r="F7" s="20" t="n">
        <v>1.26251361</v>
      </c>
      <c r="G7" s="18" t="n">
        <v>21.68851686</v>
      </c>
      <c r="H7" s="20" t="n">
        <v>1.16414488</v>
      </c>
      <c r="I7" s="18" t="n">
        <v>0</v>
      </c>
      <c r="J7" s="20" t="n">
        <v>0</v>
      </c>
      <c r="K7" s="18" t="n">
        <v>0.24928894</v>
      </c>
      <c r="L7" s="20" t="n">
        <v>0.1522189</v>
      </c>
      <c r="M7" s="18" t="n">
        <v>0.06370539</v>
      </c>
      <c r="N7" s="20" t="n">
        <v>0.04571494</v>
      </c>
      <c r="O7" s="18" t="n">
        <v>0</v>
      </c>
      <c r="P7" s="20" t="n">
        <v>0</v>
      </c>
      <c r="Q7" s="18" t="n">
        <v>3.471331</v>
      </c>
      <c r="R7" s="20" t="n">
        <v>0.59638634</v>
      </c>
    </row>
    <row r="8" spans="1:18">
      <c r="A8" s="15" t="s">
        <v>566</v>
      </c>
      <c r="B8" s="17" t="n">
        <v>3443</v>
      </c>
      <c r="C8" s="18">
        <f>(2727.0/B8*100)</f>
        <v/>
      </c>
      <c r="D8" s="19" t="n">
        <v>716</v>
      </c>
      <c r="E8" s="18" t="n">
        <v>76.61389457</v>
      </c>
      <c r="F8" s="20" t="n">
        <v>2.03241256</v>
      </c>
      <c r="G8" s="18" t="n">
        <v>18.44198452</v>
      </c>
      <c r="H8" s="20" t="n">
        <v>1.62422756</v>
      </c>
      <c r="I8" s="18" t="n">
        <v>0</v>
      </c>
      <c r="J8" s="20" t="n">
        <v>0</v>
      </c>
      <c r="K8" s="18" t="n">
        <v>0</v>
      </c>
      <c r="L8" s="20" t="n">
        <v>0</v>
      </c>
      <c r="M8" s="18" t="n">
        <v>0</v>
      </c>
      <c r="N8" s="20" t="n">
        <v>0</v>
      </c>
      <c r="O8" s="18" t="n">
        <v>0</v>
      </c>
      <c r="P8" s="20" t="n">
        <v>0</v>
      </c>
      <c r="Q8" s="18" t="n">
        <v>4.9441209</v>
      </c>
      <c r="R8" s="20" t="n">
        <v>0.95284505</v>
      </c>
    </row>
    <row r="9" spans="1:18">
      <c r="A9" s="15" t="s">
        <v>567</v>
      </c>
      <c r="B9" s="17" t="n">
        <v>4752</v>
      </c>
      <c r="C9" s="18">
        <f>(3782.0/B9*100)</f>
        <v/>
      </c>
      <c r="D9" s="19" t="n">
        <v>970</v>
      </c>
      <c r="E9" s="18" t="n">
        <v>72.1944312</v>
      </c>
      <c r="F9" s="20" t="n">
        <v>1.26184093</v>
      </c>
      <c r="G9" s="18" t="n">
        <v>23.72004508</v>
      </c>
      <c r="H9" s="20" t="n">
        <v>1.13863913</v>
      </c>
      <c r="I9" s="18" t="n">
        <v>0</v>
      </c>
      <c r="J9" s="20" t="n">
        <v>0</v>
      </c>
      <c r="K9" s="18" t="n">
        <v>0.24806585</v>
      </c>
      <c r="L9" s="20" t="n">
        <v>0.18381655</v>
      </c>
      <c r="M9" s="18" t="n">
        <v>0.3143994</v>
      </c>
      <c r="N9" s="20" t="n">
        <v>0.16720471</v>
      </c>
      <c r="O9" s="18" t="n">
        <v>0</v>
      </c>
      <c r="P9" s="20" t="n">
        <v>0</v>
      </c>
      <c r="Q9" s="18" t="n">
        <v>3.52305847</v>
      </c>
      <c r="R9" s="20" t="n">
        <v>0.62431436</v>
      </c>
    </row>
    <row r="10" spans="1:18">
      <c r="A10" s="15" t="s">
        <v>568</v>
      </c>
      <c r="B10" s="17" t="n">
        <v>10022</v>
      </c>
      <c r="C10" s="18">
        <f>(7785.0/B10*100)</f>
        <v/>
      </c>
      <c r="D10" s="19" t="n">
        <v>2237</v>
      </c>
      <c r="E10" s="18" t="n">
        <v>69.51911555</v>
      </c>
      <c r="F10" s="20" t="n">
        <v>1.42644323</v>
      </c>
      <c r="G10" s="18" t="n">
        <v>28.61589633</v>
      </c>
      <c r="H10" s="20" t="n">
        <v>1.45504009</v>
      </c>
      <c r="I10" s="18" t="n">
        <v>0</v>
      </c>
      <c r="J10" s="20" t="n">
        <v>0</v>
      </c>
      <c r="K10" s="18" t="n">
        <v>0.23457984</v>
      </c>
      <c r="L10" s="20" t="n">
        <v>0.12416104</v>
      </c>
      <c r="M10" s="18" t="n">
        <v>0</v>
      </c>
      <c r="N10" s="20" t="n">
        <v>0</v>
      </c>
      <c r="O10" s="18" t="n">
        <v>0</v>
      </c>
      <c r="P10" s="20" t="n">
        <v>0</v>
      </c>
      <c r="Q10" s="18" t="n">
        <v>1.63040828</v>
      </c>
      <c r="R10" s="20" t="n">
        <v>0.356306</v>
      </c>
    </row>
    <row r="11" spans="1:18">
      <c r="A11" s="15" t="s">
        <v>569</v>
      </c>
      <c r="B11" s="17" t="n">
        <v>3500</v>
      </c>
      <c r="C11" s="18">
        <f>(2734.0/B11*100)</f>
        <v/>
      </c>
      <c r="D11" s="19" t="n">
        <v>766</v>
      </c>
      <c r="E11" s="18" t="n">
        <v>85.41621151</v>
      </c>
      <c r="F11" s="20" t="n">
        <v>1.36014956</v>
      </c>
      <c r="G11" s="18" t="n">
        <v>9.41268723</v>
      </c>
      <c r="H11" s="20" t="n">
        <v>1.17863777</v>
      </c>
      <c r="I11" s="18" t="n">
        <v>0</v>
      </c>
      <c r="J11" s="20" t="n">
        <v>0</v>
      </c>
      <c r="K11" s="18" t="n">
        <v>0.37483692</v>
      </c>
      <c r="L11" s="20" t="n">
        <v>0.21688163</v>
      </c>
      <c r="M11" s="18" t="n">
        <v>0.01379393</v>
      </c>
      <c r="N11" s="20" t="n">
        <v>0.01387735</v>
      </c>
      <c r="O11" s="18" t="n">
        <v>0</v>
      </c>
      <c r="P11" s="20" t="n">
        <v>0</v>
      </c>
      <c r="Q11" s="18" t="n">
        <v>4.78247041</v>
      </c>
      <c r="R11" s="20" t="n">
        <v>1.0290282</v>
      </c>
    </row>
    <row r="12" spans="1:18">
      <c r="A12" s="15" t="s">
        <v>570</v>
      </c>
      <c r="B12" s="17" t="n">
        <v>3422</v>
      </c>
      <c r="C12" s="18">
        <f>(2656.0/B12*100)</f>
        <v/>
      </c>
      <c r="D12" s="19" t="n">
        <v>766</v>
      </c>
      <c r="E12" s="18" t="n">
        <v>81.45091171</v>
      </c>
      <c r="F12" s="20" t="n">
        <v>1.81038856</v>
      </c>
      <c r="G12" s="18" t="n">
        <v>14.23144011</v>
      </c>
      <c r="H12" s="20" t="n">
        <v>1.69529816</v>
      </c>
      <c r="I12" s="18" t="n">
        <v>0</v>
      </c>
      <c r="J12" s="20" t="n">
        <v>0</v>
      </c>
      <c r="K12" s="18" t="n">
        <v>0.12218644</v>
      </c>
      <c r="L12" s="20" t="n">
        <v>0.12113747</v>
      </c>
      <c r="M12" s="18" t="n">
        <v>0</v>
      </c>
      <c r="N12" s="20" t="n">
        <v>0</v>
      </c>
      <c r="O12" s="18" t="n">
        <v>0</v>
      </c>
      <c r="P12" s="20" t="n">
        <v>0</v>
      </c>
      <c r="Q12" s="18" t="n">
        <v>4.19546174</v>
      </c>
      <c r="R12" s="20" t="n">
        <v>1.08411836</v>
      </c>
    </row>
    <row r="13" spans="1:18">
      <c r="A13" s="15" t="s">
        <v>571</v>
      </c>
      <c r="B13" s="17" t="n">
        <v>3602</v>
      </c>
      <c r="C13" s="18">
        <f>(2853.0/B13*100)</f>
        <v/>
      </c>
      <c r="D13" s="19" t="n">
        <v>749</v>
      </c>
      <c r="E13" s="18" t="n">
        <v>76.80040577</v>
      </c>
      <c r="F13" s="20" t="n">
        <v>1.88468127</v>
      </c>
      <c r="G13" s="18" t="n">
        <v>20.29288253</v>
      </c>
      <c r="H13" s="20" t="n">
        <v>1.78745905</v>
      </c>
      <c r="I13" s="18" t="n">
        <v>0</v>
      </c>
      <c r="J13" s="20" t="n">
        <v>0</v>
      </c>
      <c r="K13" s="18" t="n">
        <v>0.36088131</v>
      </c>
      <c r="L13" s="20" t="n">
        <v>0.25282736</v>
      </c>
      <c r="M13" s="18" t="n">
        <v>0</v>
      </c>
      <c r="N13" s="20" t="n">
        <v>0</v>
      </c>
      <c r="O13" s="18" t="n">
        <v>0</v>
      </c>
      <c r="P13" s="20" t="n">
        <v>0</v>
      </c>
      <c r="Q13" s="18" t="n">
        <v>2.54583039</v>
      </c>
      <c r="R13" s="20" t="n">
        <v>0.79276244</v>
      </c>
    </row>
    <row r="14" spans="1:18">
      <c r="A14" s="15" t="s">
        <v>572</v>
      </c>
      <c r="B14" s="17" t="n">
        <v>2788</v>
      </c>
      <c r="C14" s="18">
        <f>(2181.0/B14*100)</f>
        <v/>
      </c>
      <c r="D14" s="19" t="n">
        <v>607</v>
      </c>
      <c r="E14" s="18" t="n">
        <v>77.34929499</v>
      </c>
      <c r="F14" s="20" t="n">
        <v>1.93477783</v>
      </c>
      <c r="G14" s="18" t="n">
        <v>20.9122504</v>
      </c>
      <c r="H14" s="20" t="n">
        <v>1.93580299</v>
      </c>
      <c r="I14" s="18" t="n">
        <v>0</v>
      </c>
      <c r="J14" s="20" t="n">
        <v>0</v>
      </c>
      <c r="K14" s="18" t="n">
        <v>0.28337122</v>
      </c>
      <c r="L14" s="20" t="n">
        <v>0.19354721</v>
      </c>
      <c r="M14" s="18" t="n">
        <v>0</v>
      </c>
      <c r="N14" s="20" t="n">
        <v>0</v>
      </c>
      <c r="O14" s="18" t="n">
        <v>0</v>
      </c>
      <c r="P14" s="20" t="n">
        <v>0</v>
      </c>
      <c r="Q14" s="18" t="n">
        <v>1.45508339</v>
      </c>
      <c r="R14" s="20" t="n">
        <v>0.6138872</v>
      </c>
    </row>
    <row r="15" spans="1:18">
      <c r="A15" s="15" t="s">
        <v>573</v>
      </c>
      <c r="B15" s="17" t="n">
        <v>2863</v>
      </c>
      <c r="C15" s="18">
        <f>(2230.0/B15*100)</f>
        <v/>
      </c>
      <c r="D15" s="19" t="n">
        <v>633</v>
      </c>
      <c r="E15" s="18" t="n">
        <v>78.9136316</v>
      </c>
      <c r="F15" s="20" t="n">
        <v>1.46478881</v>
      </c>
      <c r="G15" s="18" t="n">
        <v>19.05845313</v>
      </c>
      <c r="H15" s="20" t="n">
        <v>1.46712318</v>
      </c>
      <c r="I15" s="18" t="n">
        <v>0</v>
      </c>
      <c r="J15" s="20" t="n">
        <v>0</v>
      </c>
      <c r="K15" s="18" t="n">
        <v>0</v>
      </c>
      <c r="L15" s="20" t="n">
        <v>0</v>
      </c>
      <c r="M15" s="18" t="n">
        <v>0</v>
      </c>
      <c r="N15" s="20" t="n">
        <v>0</v>
      </c>
      <c r="O15" s="18" t="n">
        <v>0</v>
      </c>
      <c r="P15" s="20" t="n">
        <v>0</v>
      </c>
      <c r="Q15" s="18" t="n">
        <v>2.02791527</v>
      </c>
      <c r="R15" s="20" t="n">
        <v>0.52230358</v>
      </c>
    </row>
    <row r="16" spans="1:18">
      <c r="A16" s="15" t="s">
        <v>574</v>
      </c>
      <c r="B16" s="17" t="n">
        <v>3111</v>
      </c>
      <c r="C16" s="18">
        <f>(2429.0/B16*100)</f>
        <v/>
      </c>
      <c r="D16" s="19" t="n">
        <v>682</v>
      </c>
      <c r="E16" s="18" t="n">
        <v>79.38011573</v>
      </c>
      <c r="F16" s="20" t="n">
        <v>1.56040151</v>
      </c>
      <c r="G16" s="18" t="n">
        <v>16.20442806</v>
      </c>
      <c r="H16" s="20" t="n">
        <v>1.41554059</v>
      </c>
      <c r="I16" s="18" t="n">
        <v>0</v>
      </c>
      <c r="J16" s="20" t="n">
        <v>0</v>
      </c>
      <c r="K16" s="18" t="n">
        <v>0.67448667</v>
      </c>
      <c r="L16" s="20" t="n">
        <v>0.29894027</v>
      </c>
      <c r="M16" s="18" t="n">
        <v>0.12899166</v>
      </c>
      <c r="N16" s="20" t="n">
        <v>0.13285677</v>
      </c>
      <c r="O16" s="18" t="n">
        <v>0</v>
      </c>
      <c r="P16" s="20" t="n">
        <v>0</v>
      </c>
      <c r="Q16" s="18" t="n">
        <v>3.61197789</v>
      </c>
      <c r="R16" s="20" t="n">
        <v>0.76542416</v>
      </c>
    </row>
    <row r="17" spans="1:18">
      <c r="A17" s="15" t="s">
        <v>575</v>
      </c>
      <c r="B17" s="17" t="n">
        <v>3197</v>
      </c>
      <c r="C17" s="18">
        <f>(2531.0/B17*100)</f>
        <v/>
      </c>
      <c r="D17" s="19" t="n">
        <v>666</v>
      </c>
      <c r="E17" s="18" t="n">
        <v>80.04330146</v>
      </c>
      <c r="F17" s="20" t="n">
        <v>1.56206384</v>
      </c>
      <c r="G17" s="18" t="n">
        <v>16.38323506</v>
      </c>
      <c r="H17" s="20" t="n">
        <v>1.39568674</v>
      </c>
      <c r="I17" s="18" t="n">
        <v>0</v>
      </c>
      <c r="J17" s="20" t="n">
        <v>0</v>
      </c>
      <c r="K17" s="18" t="n">
        <v>0.15667422</v>
      </c>
      <c r="L17" s="20" t="n">
        <v>0.15515168</v>
      </c>
      <c r="M17" s="18" t="n">
        <v>0</v>
      </c>
      <c r="N17" s="20" t="n">
        <v>0</v>
      </c>
      <c r="O17" s="18" t="n">
        <v>0</v>
      </c>
      <c r="P17" s="20" t="n">
        <v>0</v>
      </c>
      <c r="Q17" s="18" t="n">
        <v>3.41678927</v>
      </c>
      <c r="R17" s="20" t="n">
        <v>0.69546874</v>
      </c>
    </row>
    <row r="18" spans="1:18">
      <c r="A18" s="15" t="s">
        <v>576</v>
      </c>
      <c r="B18" s="17" t="n">
        <v>2706</v>
      </c>
      <c r="C18" s="18">
        <f>(2102.0/B18*100)</f>
        <v/>
      </c>
      <c r="D18" s="19" t="n">
        <v>604</v>
      </c>
      <c r="E18" s="18" t="n">
        <v>83.28573034999999</v>
      </c>
      <c r="F18" s="20" t="n">
        <v>1.71156186</v>
      </c>
      <c r="G18" s="18" t="n">
        <v>11.07283959</v>
      </c>
      <c r="H18" s="20" t="n">
        <v>1.42141537</v>
      </c>
      <c r="I18" s="18" t="n">
        <v>0</v>
      </c>
      <c r="J18" s="20" t="n">
        <v>0</v>
      </c>
      <c r="K18" s="18" t="n">
        <v>0.32303754</v>
      </c>
      <c r="L18" s="20" t="n">
        <v>0.22532965</v>
      </c>
      <c r="M18" s="18" t="n">
        <v>0</v>
      </c>
      <c r="N18" s="20" t="n">
        <v>0</v>
      </c>
      <c r="O18" s="18" t="n">
        <v>0</v>
      </c>
      <c r="P18" s="20" t="n">
        <v>0</v>
      </c>
      <c r="Q18" s="18" t="n">
        <v>5.31839252</v>
      </c>
      <c r="R18" s="20" t="n">
        <v>1.18960668</v>
      </c>
    </row>
    <row r="19" spans="1:18">
      <c r="A19" s="15" t="s">
        <v>577</v>
      </c>
      <c r="B19" s="17" t="n">
        <v>2850</v>
      </c>
      <c r="C19" s="18">
        <f>(2181.0/B19*100)</f>
        <v/>
      </c>
      <c r="D19" s="19" t="n">
        <v>669</v>
      </c>
      <c r="E19" s="18" t="n">
        <v>82.92388812999999</v>
      </c>
      <c r="F19" s="20" t="n">
        <v>1.58471291</v>
      </c>
      <c r="G19" s="18" t="n">
        <v>13.62438318</v>
      </c>
      <c r="H19" s="20" t="n">
        <v>1.30342229</v>
      </c>
      <c r="I19" s="18" t="n">
        <v>0</v>
      </c>
      <c r="J19" s="20" t="n">
        <v>0</v>
      </c>
      <c r="K19" s="18" t="n">
        <v>0</v>
      </c>
      <c r="L19" s="20" t="n">
        <v>0</v>
      </c>
      <c r="M19" s="18" t="n">
        <v>0</v>
      </c>
      <c r="N19" s="20" t="n">
        <v>0</v>
      </c>
      <c r="O19" s="18" t="n">
        <v>0</v>
      </c>
      <c r="P19" s="20" t="n">
        <v>0</v>
      </c>
      <c r="Q19" s="18" t="n">
        <v>3.4517287</v>
      </c>
      <c r="R19" s="20" t="n">
        <v>0.82485575</v>
      </c>
    </row>
    <row r="20" spans="1:18">
      <c r="A20" s="15" t="s">
        <v>578</v>
      </c>
      <c r="B20" s="17" t="n">
        <v>1741</v>
      </c>
      <c r="C20" s="18">
        <f>(1348.0/B20*100)</f>
        <v/>
      </c>
      <c r="D20" s="19" t="n">
        <v>393</v>
      </c>
      <c r="E20" s="18" t="n">
        <v>83.05598092</v>
      </c>
      <c r="F20" s="20" t="n">
        <v>2.03193574</v>
      </c>
      <c r="G20" s="18" t="n">
        <v>12.72982403</v>
      </c>
      <c r="H20" s="20" t="n">
        <v>1.69293442</v>
      </c>
      <c r="I20" s="18" t="n">
        <v>0</v>
      </c>
      <c r="J20" s="20" t="n">
        <v>0</v>
      </c>
      <c r="K20" s="18" t="n">
        <v>0.26745132</v>
      </c>
      <c r="L20" s="20" t="n">
        <v>0.26587768</v>
      </c>
      <c r="M20" s="18" t="n">
        <v>0.3931791</v>
      </c>
      <c r="N20" s="20" t="n">
        <v>0.37941036</v>
      </c>
      <c r="O20" s="18" t="n">
        <v>0</v>
      </c>
      <c r="P20" s="20" t="n">
        <v>0</v>
      </c>
      <c r="Q20" s="18" t="n">
        <v>3.55356463</v>
      </c>
      <c r="R20" s="20" t="n">
        <v>0.95319707</v>
      </c>
    </row>
    <row r="21" spans="1:18">
      <c r="A21" s="15" t="s">
        <v>579</v>
      </c>
      <c r="B21" s="17" t="n">
        <v>2833</v>
      </c>
      <c r="C21" s="18">
        <f>(2202.0/B21*100)</f>
        <v/>
      </c>
      <c r="D21" s="19" t="n">
        <v>631</v>
      </c>
      <c r="E21" s="18" t="n">
        <v>77.74926105999999</v>
      </c>
      <c r="F21" s="20" t="n">
        <v>1.67016925</v>
      </c>
      <c r="G21" s="18" t="n">
        <v>19.01540292</v>
      </c>
      <c r="H21" s="20" t="n">
        <v>1.70646164</v>
      </c>
      <c r="I21" s="18" t="n">
        <v>0</v>
      </c>
      <c r="J21" s="20" t="n">
        <v>0</v>
      </c>
      <c r="K21" s="18" t="n">
        <v>0</v>
      </c>
      <c r="L21" s="20" t="n">
        <v>0</v>
      </c>
      <c r="M21" s="18" t="n">
        <v>0</v>
      </c>
      <c r="N21" s="20" t="n">
        <v>0</v>
      </c>
      <c r="O21" s="18" t="n">
        <v>0</v>
      </c>
      <c r="P21" s="20" t="n">
        <v>0</v>
      </c>
      <c r="Q21" s="18" t="n">
        <v>3.23533602</v>
      </c>
      <c r="R21" s="20" t="n">
        <v>0.8332651</v>
      </c>
    </row>
    <row r="22" spans="1:18">
      <c r="A22" s="15" t="s">
        <v>580</v>
      </c>
      <c r="B22" s="17" t="n">
        <v>3667</v>
      </c>
      <c r="C22" s="18">
        <f>(2884.0/B22*100)</f>
        <v/>
      </c>
      <c r="D22" s="19" t="n">
        <v>783</v>
      </c>
      <c r="E22" s="18" t="n">
        <v>79.97507858</v>
      </c>
      <c r="F22" s="20" t="n">
        <v>1.45816791</v>
      </c>
      <c r="G22" s="18" t="n">
        <v>12.79000194</v>
      </c>
      <c r="H22" s="20" t="n">
        <v>1.18759566</v>
      </c>
      <c r="I22" s="18" t="n">
        <v>0</v>
      </c>
      <c r="J22" s="20" t="n">
        <v>0</v>
      </c>
      <c r="K22" s="18" t="n">
        <v>0.62579278</v>
      </c>
      <c r="L22" s="20" t="n">
        <v>0.28489805</v>
      </c>
      <c r="M22" s="18" t="n">
        <v>0.11508828</v>
      </c>
      <c r="N22" s="20" t="n">
        <v>0.11503165</v>
      </c>
      <c r="O22" s="18" t="n">
        <v>0</v>
      </c>
      <c r="P22" s="20" t="n">
        <v>0</v>
      </c>
      <c r="Q22" s="18" t="n">
        <v>6.49403842</v>
      </c>
      <c r="R22" s="20" t="n">
        <v>0.98524607</v>
      </c>
    </row>
    <row r="23" spans="1:18">
      <c r="A23" s="15" t="s">
        <v>581</v>
      </c>
      <c r="B23" s="17" t="n">
        <v>5792</v>
      </c>
      <c r="C23" s="18">
        <f>(4573.0/B23*100)</f>
        <v/>
      </c>
      <c r="D23" s="19" t="n">
        <v>1219</v>
      </c>
      <c r="E23" s="18" t="n">
        <v>80.9149316</v>
      </c>
      <c r="F23" s="20" t="n">
        <v>1.91593824</v>
      </c>
      <c r="G23" s="18" t="n">
        <v>11.91122702</v>
      </c>
      <c r="H23" s="20" t="n">
        <v>1.45103177</v>
      </c>
      <c r="I23" s="18" t="n">
        <v>0</v>
      </c>
      <c r="J23" s="20" t="n">
        <v>0</v>
      </c>
      <c r="K23" s="18" t="n">
        <v>2.04744418</v>
      </c>
      <c r="L23" s="20" t="n">
        <v>0.76478424</v>
      </c>
      <c r="M23" s="18" t="n">
        <v>0</v>
      </c>
      <c r="N23" s="20" t="n">
        <v>0</v>
      </c>
      <c r="O23" s="18" t="n">
        <v>0</v>
      </c>
      <c r="P23" s="20" t="n">
        <v>0</v>
      </c>
      <c r="Q23" s="18" t="n">
        <v>5.12639721</v>
      </c>
      <c r="R23" s="20" t="n">
        <v>1.27013346</v>
      </c>
    </row>
    <row r="24" spans="1:18">
      <c r="A24" s="15" t="s">
        <v>582</v>
      </c>
      <c r="B24" s="17" t="n">
        <v>3309</v>
      </c>
      <c r="C24" s="18">
        <f>(2572.0/B24*100)</f>
        <v/>
      </c>
      <c r="D24" s="19" t="n">
        <v>737</v>
      </c>
      <c r="E24" s="18" t="n">
        <v>72.59119518999999</v>
      </c>
      <c r="F24" s="20" t="n">
        <v>1.82165992</v>
      </c>
      <c r="G24" s="18" t="n">
        <v>25.0907426</v>
      </c>
      <c r="H24" s="20" t="n">
        <v>1.76629462</v>
      </c>
      <c r="I24" s="18" t="n">
        <v>0</v>
      </c>
      <c r="J24" s="20" t="n">
        <v>0</v>
      </c>
      <c r="K24" s="18" t="n">
        <v>0</v>
      </c>
      <c r="L24" s="20" t="n">
        <v>0</v>
      </c>
      <c r="M24" s="18" t="n">
        <v>0</v>
      </c>
      <c r="N24" s="20" t="n">
        <v>0</v>
      </c>
      <c r="O24" s="18" t="n">
        <v>0</v>
      </c>
      <c r="P24" s="20" t="n">
        <v>0</v>
      </c>
      <c r="Q24" s="18" t="n">
        <v>2.31806221</v>
      </c>
      <c r="R24" s="20" t="n">
        <v>0.66645188</v>
      </c>
    </row>
    <row r="25" spans="1:18">
      <c r="A25" s="15" t="s">
        <v>583</v>
      </c>
      <c r="B25" s="17" t="n">
        <v>2669</v>
      </c>
      <c r="C25" s="18">
        <f>(2098.0/B25*100)</f>
        <v/>
      </c>
      <c r="D25" s="19" t="n">
        <v>571</v>
      </c>
      <c r="E25" s="18" t="n">
        <v>74.73585187</v>
      </c>
      <c r="F25" s="20" t="n">
        <v>2.1037323</v>
      </c>
      <c r="G25" s="18" t="n">
        <v>22.86652575</v>
      </c>
      <c r="H25" s="20" t="n">
        <v>2.15817283</v>
      </c>
      <c r="I25" s="18" t="n">
        <v>0</v>
      </c>
      <c r="J25" s="20" t="n">
        <v>0</v>
      </c>
      <c r="K25" s="18" t="n">
        <v>0.16123347</v>
      </c>
      <c r="L25" s="20" t="n">
        <v>0.22464442</v>
      </c>
      <c r="M25" s="18" t="n">
        <v>0</v>
      </c>
      <c r="N25" s="20" t="n">
        <v>0</v>
      </c>
      <c r="O25" s="18" t="n">
        <v>0</v>
      </c>
      <c r="P25" s="20" t="n">
        <v>0</v>
      </c>
      <c r="Q25" s="18" t="n">
        <v>2.23638891</v>
      </c>
      <c r="R25" s="20" t="n">
        <v>0.60986895</v>
      </c>
    </row>
    <row r="26" spans="1:18">
      <c r="A26" s="15" t="s">
        <v>584</v>
      </c>
      <c r="B26" s="17" t="n">
        <v>2419</v>
      </c>
      <c r="C26" s="18">
        <f>(1946.0/B26*100)</f>
        <v/>
      </c>
      <c r="D26" s="19" t="n">
        <v>473</v>
      </c>
      <c r="E26" s="18" t="n">
        <v>83.58366443</v>
      </c>
      <c r="F26" s="20" t="n">
        <v>1.70333431</v>
      </c>
      <c r="G26" s="18" t="n">
        <v>15.12333871</v>
      </c>
      <c r="H26" s="20" t="n">
        <v>1.62681929</v>
      </c>
      <c r="I26" s="18" t="n">
        <v>0</v>
      </c>
      <c r="J26" s="20" t="n">
        <v>0</v>
      </c>
      <c r="K26" s="18" t="n">
        <v>0</v>
      </c>
      <c r="L26" s="20" t="n">
        <v>0</v>
      </c>
      <c r="M26" s="18" t="n">
        <v>0</v>
      </c>
      <c r="N26" s="20" t="n">
        <v>0</v>
      </c>
      <c r="O26" s="18" t="n">
        <v>0</v>
      </c>
      <c r="P26" s="20" t="n">
        <v>0</v>
      </c>
      <c r="Q26" s="18" t="n">
        <v>1.29299685</v>
      </c>
      <c r="R26" s="20" t="n">
        <v>0.6264220700000001</v>
      </c>
    </row>
    <row r="27" spans="1:18">
      <c r="A27" s="15" t="s">
        <v>585</v>
      </c>
      <c r="B27" s="17" t="n">
        <v>2683</v>
      </c>
      <c r="C27" s="18">
        <f>(2108.0/B27*100)</f>
        <v/>
      </c>
      <c r="D27" s="19" t="n">
        <v>575</v>
      </c>
      <c r="E27" s="18" t="n">
        <v>80.42233518</v>
      </c>
      <c r="F27" s="20" t="n">
        <v>1.40022584</v>
      </c>
      <c r="G27" s="18" t="n">
        <v>15.23356388</v>
      </c>
      <c r="H27" s="20" t="n">
        <v>1.30878425</v>
      </c>
      <c r="I27" s="18" t="n">
        <v>0</v>
      </c>
      <c r="J27" s="20" t="n">
        <v>0</v>
      </c>
      <c r="K27" s="18" t="n">
        <v>0.53488813</v>
      </c>
      <c r="L27" s="20" t="n">
        <v>0.3046781</v>
      </c>
      <c r="M27" s="18" t="n">
        <v>0</v>
      </c>
      <c r="N27" s="20" t="n">
        <v>0</v>
      </c>
      <c r="O27" s="18" t="n">
        <v>0</v>
      </c>
      <c r="P27" s="20" t="n">
        <v>0</v>
      </c>
      <c r="Q27" s="18" t="n">
        <v>3.80921281</v>
      </c>
      <c r="R27" s="20" t="n">
        <v>0.8214661599999999</v>
      </c>
    </row>
    <row r="28" spans="1:18">
      <c r="A28" s="15" t="s">
        <v>586</v>
      </c>
      <c r="B28" s="17" t="n">
        <v>3803</v>
      </c>
      <c r="C28" s="18">
        <f>(3019.0/B28*100)</f>
        <v/>
      </c>
      <c r="D28" s="19" t="n">
        <v>784</v>
      </c>
      <c r="E28" s="18" t="n">
        <v>91.87247682</v>
      </c>
      <c r="F28" s="20" t="n">
        <v>1.18575021</v>
      </c>
      <c r="G28" s="18" t="n">
        <v>6.00454097</v>
      </c>
      <c r="H28" s="20" t="n">
        <v>0.95423365</v>
      </c>
      <c r="I28" s="18" t="n">
        <v>0</v>
      </c>
      <c r="J28" s="20" t="n">
        <v>0</v>
      </c>
      <c r="K28" s="18" t="n">
        <v>0.59199907</v>
      </c>
      <c r="L28" s="20" t="n">
        <v>0.47450074</v>
      </c>
      <c r="M28" s="18" t="n">
        <v>0</v>
      </c>
      <c r="N28" s="20" t="n">
        <v>0</v>
      </c>
      <c r="O28" s="18" t="n">
        <v>0</v>
      </c>
      <c r="P28" s="20" t="n">
        <v>0</v>
      </c>
      <c r="Q28" s="18" t="n">
        <v>1.53098314</v>
      </c>
      <c r="R28" s="20" t="n">
        <v>0.50062051</v>
      </c>
    </row>
    <row r="29" spans="1:18">
      <c r="A29" s="15" t="s">
        <v>587</v>
      </c>
      <c r="B29" s="17" t="n">
        <v>2700</v>
      </c>
      <c r="C29" s="18">
        <f>(2100.0/B29*100)</f>
        <v/>
      </c>
      <c r="D29" s="19" t="n">
        <v>600</v>
      </c>
      <c r="E29" s="18" t="n">
        <v>80.5393614</v>
      </c>
      <c r="F29" s="20" t="n">
        <v>1.69778382</v>
      </c>
      <c r="G29" s="18" t="n">
        <v>17.12350442</v>
      </c>
      <c r="H29" s="20" t="n">
        <v>1.63750455</v>
      </c>
      <c r="I29" s="18" t="n">
        <v>0</v>
      </c>
      <c r="J29" s="20" t="n">
        <v>0</v>
      </c>
      <c r="K29" s="18" t="n">
        <v>0</v>
      </c>
      <c r="L29" s="20" t="n">
        <v>0</v>
      </c>
      <c r="M29" s="18" t="n">
        <v>0</v>
      </c>
      <c r="N29" s="20" t="n">
        <v>0</v>
      </c>
      <c r="O29" s="18" t="n">
        <v>0</v>
      </c>
      <c r="P29" s="20" t="n">
        <v>0</v>
      </c>
      <c r="Q29" s="18" t="n">
        <v>2.33713419</v>
      </c>
      <c r="R29" s="20" t="n">
        <v>0.56399025</v>
      </c>
    </row>
    <row r="30" spans="1:18">
      <c r="A30" s="15" t="s">
        <v>588</v>
      </c>
      <c r="B30" s="17" t="n">
        <v>2257</v>
      </c>
      <c r="C30" s="18">
        <f>(1746.0/B30*100)</f>
        <v/>
      </c>
      <c r="D30" s="19" t="n">
        <v>511</v>
      </c>
      <c r="E30" s="18" t="n">
        <v>72.84677404</v>
      </c>
      <c r="F30" s="20" t="n">
        <v>1.76942013</v>
      </c>
      <c r="G30" s="18" t="n">
        <v>24.02182565</v>
      </c>
      <c r="H30" s="20" t="n">
        <v>1.75895656</v>
      </c>
      <c r="I30" s="18" t="n">
        <v>0</v>
      </c>
      <c r="J30" s="20" t="n">
        <v>0</v>
      </c>
      <c r="K30" s="18" t="n">
        <v>0</v>
      </c>
      <c r="L30" s="20" t="n">
        <v>0</v>
      </c>
      <c r="M30" s="18" t="n">
        <v>0.21215437</v>
      </c>
      <c r="N30" s="20" t="n">
        <v>0.21682012</v>
      </c>
      <c r="O30" s="18" t="n">
        <v>0</v>
      </c>
      <c r="P30" s="20" t="n">
        <v>0</v>
      </c>
      <c r="Q30" s="18" t="n">
        <v>2.91924594</v>
      </c>
      <c r="R30" s="20" t="n">
        <v>0.70847178</v>
      </c>
    </row>
    <row r="31" spans="1:18">
      <c r="A31" s="15" t="s">
        <v>589</v>
      </c>
      <c r="B31" s="17" t="n">
        <v>2706</v>
      </c>
      <c r="C31" s="18">
        <f>(2095.0/B31*100)</f>
        <v/>
      </c>
      <c r="D31" s="19" t="n">
        <v>611</v>
      </c>
      <c r="E31" s="18" t="n">
        <v>80.39096596</v>
      </c>
      <c r="F31" s="20" t="n">
        <v>1.68062475</v>
      </c>
      <c r="G31" s="18" t="n">
        <v>15.90837656</v>
      </c>
      <c r="H31" s="20" t="n">
        <v>1.48657148</v>
      </c>
      <c r="I31" s="18" t="n">
        <v>0</v>
      </c>
      <c r="J31" s="20" t="n">
        <v>0</v>
      </c>
      <c r="K31" s="18" t="n">
        <v>0.15874071</v>
      </c>
      <c r="L31" s="20" t="n">
        <v>0.15893002</v>
      </c>
      <c r="M31" s="18" t="n">
        <v>0</v>
      </c>
      <c r="N31" s="20" t="n">
        <v>0</v>
      </c>
      <c r="O31" s="18" t="n">
        <v>0</v>
      </c>
      <c r="P31" s="20" t="n">
        <v>0</v>
      </c>
      <c r="Q31" s="18" t="n">
        <v>3.54191677</v>
      </c>
      <c r="R31" s="20" t="n">
        <v>0.67445607</v>
      </c>
    </row>
    <row r="32" spans="1:18">
      <c r="A32" s="15" t="s">
        <v>590</v>
      </c>
      <c r="B32" s="17" t="n">
        <v>2209</v>
      </c>
      <c r="C32" s="18">
        <f>(1750.0/B32*100)</f>
        <v/>
      </c>
      <c r="D32" s="19" t="n">
        <v>459</v>
      </c>
      <c r="E32" s="18" t="n">
        <v>85.79343525</v>
      </c>
      <c r="F32" s="20" t="n">
        <v>1.80529749</v>
      </c>
      <c r="G32" s="18" t="n">
        <v>13.1072563</v>
      </c>
      <c r="H32" s="20" t="n">
        <v>1.72620499</v>
      </c>
      <c r="I32" s="18" t="n">
        <v>0</v>
      </c>
      <c r="J32" s="20" t="n">
        <v>0</v>
      </c>
      <c r="K32" s="18" t="n">
        <v>0</v>
      </c>
      <c r="L32" s="20" t="n">
        <v>0</v>
      </c>
      <c r="M32" s="18" t="n">
        <v>0</v>
      </c>
      <c r="N32" s="20" t="n">
        <v>0</v>
      </c>
      <c r="O32" s="18" t="n">
        <v>0</v>
      </c>
      <c r="P32" s="20" t="n">
        <v>0</v>
      </c>
      <c r="Q32" s="18" t="n">
        <v>1.09930844</v>
      </c>
      <c r="R32" s="20" t="n">
        <v>0.47363009</v>
      </c>
    </row>
    <row r="33" spans="1:18">
      <c r="A33" s="15" t="s">
        <v>591</v>
      </c>
      <c r="B33" s="17" t="n">
        <v>3651</v>
      </c>
      <c r="C33" s="18">
        <f>(2915.0/B33*100)</f>
        <v/>
      </c>
      <c r="D33" s="19" t="n">
        <v>736</v>
      </c>
      <c r="E33" s="18" t="n">
        <v>81.5039458</v>
      </c>
      <c r="F33" s="20" t="n">
        <v>1.69069966</v>
      </c>
      <c r="G33" s="18" t="n">
        <v>15.67971104</v>
      </c>
      <c r="H33" s="20" t="n">
        <v>1.44250721</v>
      </c>
      <c r="I33" s="18" t="n">
        <v>0</v>
      </c>
      <c r="J33" s="20" t="n">
        <v>0</v>
      </c>
      <c r="K33" s="18" t="n">
        <v>0</v>
      </c>
      <c r="L33" s="20" t="n">
        <v>0</v>
      </c>
      <c r="M33" s="18" t="n">
        <v>0.20107576</v>
      </c>
      <c r="N33" s="20" t="n">
        <v>0.1503007</v>
      </c>
      <c r="O33" s="18" t="n">
        <v>0</v>
      </c>
      <c r="P33" s="20" t="n">
        <v>0</v>
      </c>
      <c r="Q33" s="18" t="n">
        <v>2.6152674</v>
      </c>
      <c r="R33" s="20" t="n">
        <v>0.8366583</v>
      </c>
    </row>
    <row r="34" spans="1:18">
      <c r="A34" s="15" t="s">
        <v>592</v>
      </c>
      <c r="B34" s="17" t="n">
        <v>3035</v>
      </c>
      <c r="C34" s="18">
        <f>(2366.0/B34*100)</f>
        <v/>
      </c>
      <c r="D34" s="19" t="n">
        <v>669</v>
      </c>
      <c r="E34" s="18" t="n">
        <v>84.86036306</v>
      </c>
      <c r="F34" s="20" t="n">
        <v>1.44158647</v>
      </c>
      <c r="G34" s="18" t="n">
        <v>10.64343822</v>
      </c>
      <c r="H34" s="20" t="n">
        <v>1.30043285</v>
      </c>
      <c r="I34" s="18" t="n">
        <v>0</v>
      </c>
      <c r="J34" s="20" t="n">
        <v>0</v>
      </c>
      <c r="K34" s="18" t="n">
        <v>0.56368332</v>
      </c>
      <c r="L34" s="20" t="n">
        <v>0.25827508</v>
      </c>
      <c r="M34" s="18" t="n">
        <v>0.68342832</v>
      </c>
      <c r="N34" s="20" t="n">
        <v>0.39397094</v>
      </c>
      <c r="O34" s="18" t="n">
        <v>0</v>
      </c>
      <c r="P34" s="20" t="n">
        <v>0</v>
      </c>
      <c r="Q34" s="18" t="n">
        <v>3.24908708</v>
      </c>
      <c r="R34" s="20" t="n">
        <v>0.68686815</v>
      </c>
    </row>
    <row r="35" spans="1:18">
      <c r="A35" s="15" t="s">
        <v>593</v>
      </c>
      <c r="B35" s="17" t="n">
        <v>2901</v>
      </c>
      <c r="C35" s="18">
        <f>(2268.0/B35*100)</f>
        <v/>
      </c>
      <c r="D35" s="19" t="n">
        <v>633</v>
      </c>
      <c r="E35" s="18" t="n">
        <v>80.17239868999999</v>
      </c>
      <c r="F35" s="20" t="n">
        <v>2.05799321</v>
      </c>
      <c r="G35" s="18" t="n">
        <v>18.72328478</v>
      </c>
      <c r="H35" s="20" t="n">
        <v>2.0451528</v>
      </c>
      <c r="I35" s="18" t="n">
        <v>0</v>
      </c>
      <c r="J35" s="20" t="n">
        <v>0</v>
      </c>
      <c r="K35" s="18" t="n">
        <v>0</v>
      </c>
      <c r="L35" s="20" t="n">
        <v>0</v>
      </c>
      <c r="M35" s="18" t="n">
        <v>0</v>
      </c>
      <c r="N35" s="20" t="n">
        <v>0</v>
      </c>
      <c r="O35" s="18" t="n">
        <v>0</v>
      </c>
      <c r="P35" s="20" t="n">
        <v>0</v>
      </c>
      <c r="Q35" s="18" t="n">
        <v>1.10431653</v>
      </c>
      <c r="R35" s="20" t="n">
        <v>0.30360992</v>
      </c>
    </row>
    <row r="36" spans="1:18">
      <c r="A36" s="15" t="s">
        <v>594</v>
      </c>
      <c r="B36" s="17" t="n">
        <v>3404</v>
      </c>
      <c r="C36" s="18">
        <f>(2670.0/B36*100)</f>
        <v/>
      </c>
      <c r="D36" s="19" t="n">
        <v>734</v>
      </c>
      <c r="E36" s="18" t="n">
        <v>78.67283919</v>
      </c>
      <c r="F36" s="20" t="n">
        <v>1.66341008</v>
      </c>
      <c r="G36" s="18" t="n">
        <v>18.45036491</v>
      </c>
      <c r="H36" s="20" t="n">
        <v>1.56037447</v>
      </c>
      <c r="I36" s="18" t="n">
        <v>0</v>
      </c>
      <c r="J36" s="20" t="n">
        <v>0</v>
      </c>
      <c r="K36" s="18" t="n">
        <v>0</v>
      </c>
      <c r="L36" s="20" t="n">
        <v>0</v>
      </c>
      <c r="M36" s="18" t="n">
        <v>0</v>
      </c>
      <c r="N36" s="20" t="n">
        <v>0</v>
      </c>
      <c r="O36" s="18" t="n">
        <v>0</v>
      </c>
      <c r="P36" s="20" t="n">
        <v>0</v>
      </c>
      <c r="Q36" s="18" t="n">
        <v>2.8767959</v>
      </c>
      <c r="R36" s="20" t="n">
        <v>0.85454306</v>
      </c>
    </row>
    <row r="37" spans="1:18">
      <c r="A37" s="15" t="s">
        <v>595</v>
      </c>
      <c r="B37" s="17" t="n">
        <v>2731</v>
      </c>
      <c r="C37" s="18">
        <f>(2163.0/B37*100)</f>
        <v/>
      </c>
      <c r="D37" s="19" t="n">
        <v>568</v>
      </c>
      <c r="E37" s="18" t="n">
        <v>75.09594525999999</v>
      </c>
      <c r="F37" s="20" t="n">
        <v>1.88191842</v>
      </c>
      <c r="G37" s="18" t="n">
        <v>19.29498361</v>
      </c>
      <c r="H37" s="20" t="n">
        <v>1.735617</v>
      </c>
      <c r="I37" s="18" t="n">
        <v>0</v>
      </c>
      <c r="J37" s="20" t="n">
        <v>0</v>
      </c>
      <c r="K37" s="18" t="n">
        <v>0.5614841699999999</v>
      </c>
      <c r="L37" s="20" t="n">
        <v>0.32030281</v>
      </c>
      <c r="M37" s="18" t="n">
        <v>0</v>
      </c>
      <c r="N37" s="20" t="n">
        <v>0</v>
      </c>
      <c r="O37" s="18" t="n">
        <v>0</v>
      </c>
      <c r="P37" s="20" t="n">
        <v>0</v>
      </c>
      <c r="Q37" s="18" t="n">
        <v>5.04758696</v>
      </c>
      <c r="R37" s="20" t="n">
        <v>0.8479925699999999</v>
      </c>
    </row>
    <row r="38" spans="1:18">
      <c r="A38" s="15" t="s">
        <v>596</v>
      </c>
      <c r="B38" s="17" t="n">
        <v>2807</v>
      </c>
      <c r="C38" s="18">
        <f>(2236.0/B38*100)</f>
        <v/>
      </c>
      <c r="D38" s="19" t="n">
        <v>571</v>
      </c>
      <c r="E38" s="18" t="n">
        <v>72.88065136</v>
      </c>
      <c r="F38" s="20" t="n">
        <v>1.91833093</v>
      </c>
      <c r="G38" s="18" t="n">
        <v>19.4409619</v>
      </c>
      <c r="H38" s="20" t="n">
        <v>1.73550902</v>
      </c>
      <c r="I38" s="18" t="n">
        <v>0</v>
      </c>
      <c r="J38" s="20" t="n">
        <v>0</v>
      </c>
      <c r="K38" s="18" t="n">
        <v>0</v>
      </c>
      <c r="L38" s="20" t="n">
        <v>0</v>
      </c>
      <c r="M38" s="18" t="n">
        <v>2.6703048</v>
      </c>
      <c r="N38" s="20" t="n">
        <v>0.80390505</v>
      </c>
      <c r="O38" s="18" t="n">
        <v>0</v>
      </c>
      <c r="P38" s="20" t="n">
        <v>0</v>
      </c>
      <c r="Q38" s="18" t="n">
        <v>5.00808193</v>
      </c>
      <c r="R38" s="20" t="n">
        <v>1.07391251</v>
      </c>
    </row>
    <row r="39" spans="1:18">
      <c r="A39" s="15" t="s">
        <v>597</v>
      </c>
      <c r="B39" s="17" t="n">
        <v>2938</v>
      </c>
      <c r="C39" s="18">
        <f>(2269.0/B39*100)</f>
        <v/>
      </c>
      <c r="D39" s="19" t="n">
        <v>669</v>
      </c>
      <c r="E39" s="18" t="n">
        <v>89.90963175</v>
      </c>
      <c r="F39" s="20" t="n">
        <v>1.14864317</v>
      </c>
      <c r="G39" s="18" t="n">
        <v>6.49956201</v>
      </c>
      <c r="H39" s="20" t="n">
        <v>0.85824874</v>
      </c>
      <c r="I39" s="18" t="n">
        <v>0</v>
      </c>
      <c r="J39" s="20" t="n">
        <v>0</v>
      </c>
      <c r="K39" s="18" t="n">
        <v>0.18716158</v>
      </c>
      <c r="L39" s="20" t="n">
        <v>0.17779819</v>
      </c>
      <c r="M39" s="18" t="n">
        <v>0.30148707</v>
      </c>
      <c r="N39" s="20" t="n">
        <v>0.17505477</v>
      </c>
      <c r="O39" s="18" t="n">
        <v>0</v>
      </c>
      <c r="P39" s="20" t="n">
        <v>0</v>
      </c>
      <c r="Q39" s="18" t="n">
        <v>3.1021576</v>
      </c>
      <c r="R39" s="20" t="n">
        <v>0.69073514</v>
      </c>
    </row>
    <row r="40" spans="1:18">
      <c r="A40" s="15" t="s">
        <v>598</v>
      </c>
      <c r="B40" s="17" t="n">
        <v>6922</v>
      </c>
      <c r="C40" s="18">
        <f>(5384.0/B40*100)</f>
        <v/>
      </c>
      <c r="D40" s="19" t="n">
        <v>1538</v>
      </c>
      <c r="E40" s="18" t="n">
        <v>75.36581320000001</v>
      </c>
      <c r="F40" s="20" t="n">
        <v>1.95696254</v>
      </c>
      <c r="G40" s="18" t="n">
        <v>19.42358282</v>
      </c>
      <c r="H40" s="20" t="n">
        <v>1.84691869</v>
      </c>
      <c r="I40" s="18" t="n">
        <v>0</v>
      </c>
      <c r="J40" s="20" t="n">
        <v>0</v>
      </c>
      <c r="K40" s="18" t="n">
        <v>0.01334256</v>
      </c>
      <c r="L40" s="20" t="n">
        <v>0.01355836</v>
      </c>
      <c r="M40" s="18" t="n">
        <v>0</v>
      </c>
      <c r="N40" s="20" t="n">
        <v>0</v>
      </c>
      <c r="O40" s="18" t="n">
        <v>0</v>
      </c>
      <c r="P40" s="20" t="n">
        <v>0</v>
      </c>
      <c r="Q40" s="18" t="n">
        <v>5.19726142</v>
      </c>
      <c r="R40" s="20" t="n">
        <v>0.81496107</v>
      </c>
    </row>
    <row r="41" spans="1:18">
      <c r="A41" s="15" t="s">
        <v>599</v>
      </c>
      <c r="B41" s="17" t="n">
        <v>2854</v>
      </c>
      <c r="C41" s="18">
        <f>(2228.0/B41*100)</f>
        <v/>
      </c>
      <c r="D41" s="19" t="n">
        <v>626</v>
      </c>
      <c r="E41" s="18" t="n">
        <v>75.74380189</v>
      </c>
      <c r="F41" s="20" t="n">
        <v>2.03152153</v>
      </c>
      <c r="G41" s="18" t="n">
        <v>23.35049176</v>
      </c>
      <c r="H41" s="20" t="n">
        <v>2.07278442</v>
      </c>
      <c r="I41" s="18" t="n">
        <v>0</v>
      </c>
      <c r="J41" s="20" t="n">
        <v>0</v>
      </c>
      <c r="K41" s="18" t="n">
        <v>0</v>
      </c>
      <c r="L41" s="20" t="n">
        <v>0</v>
      </c>
      <c r="M41" s="18" t="n">
        <v>0</v>
      </c>
      <c r="N41" s="20" t="n">
        <v>0</v>
      </c>
      <c r="O41" s="18" t="n">
        <v>0</v>
      </c>
      <c r="P41" s="20" t="n">
        <v>0</v>
      </c>
      <c r="Q41" s="18" t="n">
        <v>0.90570635</v>
      </c>
      <c r="R41" s="20" t="n">
        <v>0.38578828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(10040.0/B46*100)</f>
        <v/>
      </c>
      <c r="D46" s="19" t="n">
        <v>2033</v>
      </c>
      <c r="E46" s="18" t="n">
        <v>80.62441880999999</v>
      </c>
      <c r="F46" s="20" t="n">
        <v>1.00317695</v>
      </c>
      <c r="G46" s="18" t="n">
        <v>10.41962052</v>
      </c>
      <c r="H46" s="20" t="n">
        <v>0.93128868</v>
      </c>
      <c r="I46" s="18" t="n">
        <v>0</v>
      </c>
      <c r="J46" s="20" t="n">
        <v>0</v>
      </c>
      <c r="K46" s="18" t="n">
        <v>0.69029951</v>
      </c>
      <c r="L46" s="20" t="n">
        <v>0.22946124</v>
      </c>
      <c r="M46" s="18" t="n">
        <v>0.05642765</v>
      </c>
      <c r="N46" s="20" t="n">
        <v>0.03726649</v>
      </c>
      <c r="O46" s="18" t="n">
        <v>0</v>
      </c>
      <c r="P46" s="20" t="n">
        <v>0</v>
      </c>
      <c r="Q46" s="18" t="n">
        <v>8.209233510000001</v>
      </c>
      <c r="R46" s="20" t="n">
        <v>0.80319586</v>
      </c>
    </row>
    <row r="47" spans="1:18">
      <c r="A47" s="15" t="s">
        <v>606</v>
      </c>
      <c r="B47" s="17" t="n">
        <v>2823</v>
      </c>
      <c r="C47" s="18">
        <f>(2210.0/B47*100)</f>
        <v/>
      </c>
      <c r="D47" s="19" t="n">
        <v>613</v>
      </c>
      <c r="E47" s="18" t="n">
        <v>81.43617428</v>
      </c>
      <c r="F47" s="20" t="n">
        <v>1.50048637</v>
      </c>
      <c r="G47" s="18" t="n">
        <v>15.49336515</v>
      </c>
      <c r="H47" s="20" t="n">
        <v>1.4833564</v>
      </c>
      <c r="I47" s="18" t="n">
        <v>0</v>
      </c>
      <c r="J47" s="20" t="n">
        <v>0</v>
      </c>
      <c r="K47" s="18" t="n">
        <v>0.32048396</v>
      </c>
      <c r="L47" s="20" t="n">
        <v>0.22346418</v>
      </c>
      <c r="M47" s="18" t="n">
        <v>0</v>
      </c>
      <c r="N47" s="20" t="n">
        <v>0</v>
      </c>
      <c r="O47" s="18" t="n">
        <v>0</v>
      </c>
      <c r="P47" s="20" t="n">
        <v>0</v>
      </c>
      <c r="Q47" s="18" t="n">
        <v>2.74997661</v>
      </c>
      <c r="R47" s="20" t="n">
        <v>0.6760388000000001</v>
      </c>
    </row>
    <row r="48" spans="1:18">
      <c r="A48" s="15" t="s">
        <v>607</v>
      </c>
      <c r="B48" s="17" t="n">
        <v>4682</v>
      </c>
      <c r="C48" s="18">
        <f>(3699.0/B48*100)</f>
        <v/>
      </c>
      <c r="D48" s="19" t="n">
        <v>983</v>
      </c>
      <c r="E48" s="18" t="n">
        <v>74.8092082</v>
      </c>
      <c r="F48" s="20" t="n">
        <v>1.85924336</v>
      </c>
      <c r="G48" s="18" t="n">
        <v>22.76989711</v>
      </c>
      <c r="H48" s="20" t="n">
        <v>1.78597096</v>
      </c>
      <c r="I48" s="18" t="n">
        <v>0</v>
      </c>
      <c r="J48" s="20" t="n">
        <v>0</v>
      </c>
      <c r="K48" s="18" t="n">
        <v>0.37221275</v>
      </c>
      <c r="L48" s="20" t="n">
        <v>0.2572873</v>
      </c>
      <c r="M48" s="18" t="n">
        <v>0.03206915</v>
      </c>
      <c r="N48" s="20" t="n">
        <v>0.0245295</v>
      </c>
      <c r="O48" s="18" t="n">
        <v>0</v>
      </c>
      <c r="P48" s="20" t="n">
        <v>0</v>
      </c>
      <c r="Q48" s="18" t="n">
        <v>2.0166128</v>
      </c>
      <c r="R48" s="20" t="n">
        <v>0.6003248</v>
      </c>
    </row>
    <row r="49" spans="1:18">
      <c r="A49" s="15" t="s">
        <v>608</v>
      </c>
      <c r="B49" s="17" t="n">
        <v>6158</v>
      </c>
      <c r="C49" s="18">
        <f>(4869.0/B49*100)</f>
        <v/>
      </c>
      <c r="D49" s="19" t="n">
        <v>1289</v>
      </c>
      <c r="E49" s="18" t="n">
        <v>90.23875787999999</v>
      </c>
      <c r="F49" s="20" t="n">
        <v>1.10382257</v>
      </c>
      <c r="G49" s="18" t="n">
        <v>7.22188293</v>
      </c>
      <c r="H49" s="20" t="n">
        <v>0.99077088</v>
      </c>
      <c r="I49" s="18" t="n">
        <v>0</v>
      </c>
      <c r="J49" s="20" t="n">
        <v>0</v>
      </c>
      <c r="K49" s="18" t="n">
        <v>0.82501866</v>
      </c>
      <c r="L49" s="20" t="n">
        <v>0.29046422</v>
      </c>
      <c r="M49" s="18" t="n">
        <v>0.1057576</v>
      </c>
      <c r="N49" s="20" t="n">
        <v>0.06105892</v>
      </c>
      <c r="O49" s="18" t="n">
        <v>0</v>
      </c>
      <c r="P49" s="20" t="n">
        <v>0</v>
      </c>
      <c r="Q49" s="18" t="n">
        <v>1.60858292</v>
      </c>
      <c r="R49" s="20" t="n">
        <v>0.38567976</v>
      </c>
    </row>
    <row r="50" spans="1:18">
      <c r="A50" s="15" t="s">
        <v>609</v>
      </c>
      <c r="B50" s="17" t="n">
        <v>3494</v>
      </c>
      <c r="C50" s="18">
        <f>(2863.0/B50*100)</f>
        <v/>
      </c>
      <c r="D50" s="19" t="n">
        <v>631</v>
      </c>
      <c r="E50" s="18" t="n">
        <v>82.56809642</v>
      </c>
      <c r="F50" s="20" t="n">
        <v>1.68601483</v>
      </c>
      <c r="G50" s="18" t="n">
        <v>12.18965465</v>
      </c>
      <c r="H50" s="20" t="n">
        <v>1.43315573</v>
      </c>
      <c r="I50" s="18" t="n">
        <v>0</v>
      </c>
      <c r="J50" s="20" t="n">
        <v>0</v>
      </c>
      <c r="K50" s="18" t="n">
        <v>0.23331741</v>
      </c>
      <c r="L50" s="20" t="n">
        <v>0.17444269</v>
      </c>
      <c r="M50" s="18" t="n">
        <v>0</v>
      </c>
      <c r="N50" s="20" t="n">
        <v>0</v>
      </c>
      <c r="O50" s="18" t="n">
        <v>0</v>
      </c>
      <c r="P50" s="20" t="n">
        <v>0</v>
      </c>
      <c r="Q50" s="18" t="n">
        <v>5.00893152</v>
      </c>
      <c r="R50" s="20" t="n">
        <v>1.12758233</v>
      </c>
    </row>
    <row r="51" spans="1:18">
      <c r="A51" s="15" t="s">
        <v>610</v>
      </c>
      <c r="B51" s="17" t="n">
        <v>3013</v>
      </c>
      <c r="C51" s="18">
        <f>(2369.0/B51*100)</f>
        <v/>
      </c>
      <c r="D51" s="19" t="n">
        <v>644</v>
      </c>
      <c r="E51" s="18" t="n">
        <v>84.6892411</v>
      </c>
      <c r="F51" s="20" t="n">
        <v>1.37460373</v>
      </c>
      <c r="G51" s="18" t="n">
        <v>10.47405819</v>
      </c>
      <c r="H51" s="20" t="n">
        <v>1.19606127</v>
      </c>
      <c r="I51" s="18" t="n">
        <v>0</v>
      </c>
      <c r="J51" s="20" t="n">
        <v>0</v>
      </c>
      <c r="K51" s="18" t="n">
        <v>0</v>
      </c>
      <c r="L51" s="20" t="n">
        <v>0</v>
      </c>
      <c r="M51" s="18" t="n">
        <v>0</v>
      </c>
      <c r="N51" s="20" t="n">
        <v>0</v>
      </c>
      <c r="O51" s="18" t="n">
        <v>0</v>
      </c>
      <c r="P51" s="20" t="n">
        <v>0</v>
      </c>
      <c r="Q51" s="18" t="n">
        <v>4.83670072</v>
      </c>
      <c r="R51" s="20" t="n">
        <v>0.78513188</v>
      </c>
    </row>
    <row r="52" spans="1:18">
      <c r="A52" s="15" t="s">
        <v>611</v>
      </c>
      <c r="B52" s="17" t="n">
        <v>2760</v>
      </c>
      <c r="C52" s="18">
        <f>(2188.0/B52*100)</f>
        <v/>
      </c>
      <c r="D52" s="19" t="n">
        <v>572</v>
      </c>
      <c r="E52" s="18" t="n">
        <v>86.49144119</v>
      </c>
      <c r="F52" s="20" t="n">
        <v>1.57054141</v>
      </c>
      <c r="G52" s="18" t="n">
        <v>10.5979944</v>
      </c>
      <c r="H52" s="20" t="n">
        <v>1.31336762</v>
      </c>
      <c r="I52" s="18" t="n">
        <v>0</v>
      </c>
      <c r="J52" s="20" t="n">
        <v>0</v>
      </c>
      <c r="K52" s="18" t="n">
        <v>0.14984052</v>
      </c>
      <c r="L52" s="20" t="n">
        <v>0.15123505</v>
      </c>
      <c r="M52" s="18" t="n">
        <v>0</v>
      </c>
      <c r="N52" s="20" t="n">
        <v>0</v>
      </c>
      <c r="O52" s="18" t="n">
        <v>0</v>
      </c>
      <c r="P52" s="20" t="n">
        <v>0</v>
      </c>
      <c r="Q52" s="18" t="n">
        <v>2.76072389</v>
      </c>
      <c r="R52" s="20" t="n">
        <v>0.68977349</v>
      </c>
    </row>
    <row r="53" spans="1:18">
      <c r="A53" s="15" t="s">
        <v>612</v>
      </c>
      <c r="B53" s="17" t="n">
        <v>2474</v>
      </c>
      <c r="C53" s="18">
        <f>(1895.0/B53*100)</f>
        <v/>
      </c>
      <c r="D53" s="19" t="n">
        <v>579</v>
      </c>
      <c r="E53" s="18" t="n">
        <v>72.0554672</v>
      </c>
      <c r="F53" s="20" t="n">
        <v>2.12513372</v>
      </c>
      <c r="G53" s="18" t="n">
        <v>1.97695035</v>
      </c>
      <c r="H53" s="20" t="n">
        <v>0.48367525</v>
      </c>
      <c r="I53" s="18" t="n">
        <v>0</v>
      </c>
      <c r="J53" s="20" t="n">
        <v>0</v>
      </c>
      <c r="K53" s="18" t="n">
        <v>17.40911442</v>
      </c>
      <c r="L53" s="20" t="n">
        <v>1.7074079</v>
      </c>
      <c r="M53" s="18" t="n">
        <v>0.57893462</v>
      </c>
      <c r="N53" s="20" t="n">
        <v>0.62571882</v>
      </c>
      <c r="O53" s="18" t="n">
        <v>0</v>
      </c>
      <c r="P53" s="20" t="n">
        <v>0</v>
      </c>
      <c r="Q53" s="18" t="n">
        <v>7.97953342</v>
      </c>
      <c r="R53" s="20" t="n">
        <v>1.37585213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(2073.0/B55*100)</f>
        <v/>
      </c>
      <c r="D55" s="19" t="n">
        <v>602</v>
      </c>
      <c r="E55" s="18" t="n">
        <v>79.06740889</v>
      </c>
      <c r="F55" s="20" t="n">
        <v>1.83951669</v>
      </c>
      <c r="G55" s="18" t="n">
        <v>19.67178269</v>
      </c>
      <c r="H55" s="20" t="n">
        <v>1.81897413</v>
      </c>
      <c r="I55" s="18" t="n">
        <v>0</v>
      </c>
      <c r="J55" s="20" t="n">
        <v>0</v>
      </c>
      <c r="K55" s="18" t="n">
        <v>0.15230106</v>
      </c>
      <c r="L55" s="20" t="n">
        <v>0.17039154</v>
      </c>
      <c r="M55" s="18" t="n">
        <v>0.20655062</v>
      </c>
      <c r="N55" s="20" t="n">
        <v>0.22887467</v>
      </c>
      <c r="O55" s="18" t="n">
        <v>0</v>
      </c>
      <c r="P55" s="20" t="n">
        <v>0</v>
      </c>
      <c r="Q55" s="18" t="n">
        <v>0.90195674</v>
      </c>
      <c r="R55" s="20" t="n">
        <v>0.33305312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(2524.0/B61*100)</f>
        <v/>
      </c>
      <c r="D61" s="19" t="n">
        <v>677</v>
      </c>
      <c r="E61" s="18" t="n">
        <v>87.76851481</v>
      </c>
      <c r="F61" s="20" t="n">
        <v>1.47743126</v>
      </c>
      <c r="G61" s="18" t="n">
        <v>10.02412592</v>
      </c>
      <c r="H61" s="20" t="n">
        <v>1.50837622</v>
      </c>
      <c r="I61" s="18" t="n">
        <v>0</v>
      </c>
      <c r="J61" s="20" t="n">
        <v>0</v>
      </c>
      <c r="K61" s="18" t="n">
        <v>0.16656716</v>
      </c>
      <c r="L61" s="20" t="n">
        <v>0.181468</v>
      </c>
      <c r="M61" s="18" t="n">
        <v>0</v>
      </c>
      <c r="N61" s="20" t="n">
        <v>0</v>
      </c>
      <c r="O61" s="18" t="n">
        <v>0</v>
      </c>
      <c r="P61" s="20" t="n">
        <v>0</v>
      </c>
      <c r="Q61" s="18" t="n">
        <v>2.04079211</v>
      </c>
      <c r="R61" s="20" t="n">
        <v>0.58689943</v>
      </c>
    </row>
    <row r="62" spans="1:18">
      <c r="A62" s="15" t="s">
        <v>622</v>
      </c>
      <c r="B62" s="17" t="n">
        <v>2230</v>
      </c>
      <c r="C62" s="18">
        <f>(1754.0/B62*100)</f>
        <v/>
      </c>
      <c r="D62" s="19" t="n">
        <v>476</v>
      </c>
      <c r="E62" s="18" t="n">
        <v>80.47364783</v>
      </c>
      <c r="F62" s="20" t="n">
        <v>1.68492323</v>
      </c>
      <c r="G62" s="18" t="n">
        <v>19.10641719</v>
      </c>
      <c r="H62" s="20" t="n">
        <v>1.64472651</v>
      </c>
      <c r="I62" s="18" t="n">
        <v>0</v>
      </c>
      <c r="J62" s="20" t="n">
        <v>0</v>
      </c>
      <c r="K62" s="18" t="n">
        <v>0</v>
      </c>
      <c r="L62" s="20" t="n">
        <v>0</v>
      </c>
      <c r="M62" s="18" t="n">
        <v>0.21107861</v>
      </c>
      <c r="N62" s="20" t="n">
        <v>0.21145219</v>
      </c>
      <c r="O62" s="18" t="n">
        <v>0</v>
      </c>
      <c r="P62" s="20" t="n">
        <v>0</v>
      </c>
      <c r="Q62" s="18" t="n">
        <v>0.20885637</v>
      </c>
      <c r="R62" s="20" t="n">
        <v>0.20777546</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(2186.0/B67*100)</f>
        <v/>
      </c>
      <c r="D67" s="19" t="n">
        <v>585</v>
      </c>
      <c r="E67" s="18" t="n">
        <v>79.16556823000001</v>
      </c>
      <c r="F67" s="20" t="n">
        <v>1.71877346</v>
      </c>
      <c r="G67" s="18" t="n">
        <v>8.212813280000001</v>
      </c>
      <c r="H67" s="20" t="n">
        <v>1.05308635</v>
      </c>
      <c r="I67" s="18" t="n">
        <v>0</v>
      </c>
      <c r="J67" s="20" t="n">
        <v>0</v>
      </c>
      <c r="K67" s="18" t="n">
        <v>0.77347084</v>
      </c>
      <c r="L67" s="20" t="n">
        <v>0.35326948</v>
      </c>
      <c r="M67" s="18" t="n">
        <v>0.16197522</v>
      </c>
      <c r="N67" s="20" t="n">
        <v>0.16085286</v>
      </c>
      <c r="O67" s="18" t="n">
        <v>0</v>
      </c>
      <c r="P67" s="20" t="n">
        <v>0</v>
      </c>
      <c r="Q67" s="18" t="n">
        <v>11.68617243</v>
      </c>
      <c r="R67" s="20" t="n">
        <v>1.25318339</v>
      </c>
    </row>
    <row r="68" spans="1:18">
      <c r="A68" s="15" t="s">
        <v>628</v>
      </c>
      <c r="B68" s="17" t="n">
        <v>3460</v>
      </c>
      <c r="C68" s="18">
        <f>(2821.0/B68*100)</f>
        <v/>
      </c>
      <c r="D68" s="19" t="n">
        <v>639</v>
      </c>
      <c r="E68" s="18" t="n">
        <v>89.89298506</v>
      </c>
      <c r="F68" s="20" t="n">
        <v>1.31906317</v>
      </c>
      <c r="G68" s="18" t="n">
        <v>5.75473253</v>
      </c>
      <c r="H68" s="20" t="n">
        <v>0.9276088</v>
      </c>
      <c r="I68" s="18" t="n">
        <v>0</v>
      </c>
      <c r="J68" s="20" t="n">
        <v>0</v>
      </c>
      <c r="K68" s="18" t="n">
        <v>0.16233251</v>
      </c>
      <c r="L68" s="20" t="n">
        <v>0.16300523</v>
      </c>
      <c r="M68" s="18" t="n">
        <v>0</v>
      </c>
      <c r="N68" s="20" t="n">
        <v>0</v>
      </c>
      <c r="O68" s="18" t="n">
        <v>0</v>
      </c>
      <c r="P68" s="20" t="n">
        <v>0</v>
      </c>
      <c r="Q68" s="18" t="n">
        <v>4.18994991</v>
      </c>
      <c r="R68" s="20" t="n">
        <v>0.8328223300000001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(4719.0/B70*100)</f>
        <v/>
      </c>
      <c r="D70" s="19" t="n">
        <v>1315</v>
      </c>
      <c r="E70" s="18" t="n">
        <v>87.35110177999999</v>
      </c>
      <c r="F70" s="20" t="n">
        <v>0.89632295</v>
      </c>
      <c r="G70" s="18" t="n">
        <v>7.6955214</v>
      </c>
      <c r="H70" s="20" t="n">
        <v>0.77950644</v>
      </c>
      <c r="I70" s="18" t="n">
        <v>0</v>
      </c>
      <c r="J70" s="20" t="n">
        <v>0</v>
      </c>
      <c r="K70" s="18" t="n">
        <v>1.4109322</v>
      </c>
      <c r="L70" s="20" t="n">
        <v>0.29415782</v>
      </c>
      <c r="M70" s="18" t="n">
        <v>0.07458019</v>
      </c>
      <c r="N70" s="20" t="n">
        <v>0.07438702</v>
      </c>
      <c r="O70" s="18" t="n">
        <v>0</v>
      </c>
      <c r="P70" s="20" t="n">
        <v>0</v>
      </c>
      <c r="Q70" s="18" t="n">
        <v>3.46786444</v>
      </c>
      <c r="R70" s="20" t="n">
        <v>0.5902006400000001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(2478.0/B72*100)</f>
        <v/>
      </c>
      <c r="D72" s="19" t="n">
        <v>629</v>
      </c>
      <c r="E72" s="18" t="n">
        <v>81.26965914</v>
      </c>
      <c r="F72" s="20" t="n">
        <v>1.73851422</v>
      </c>
      <c r="G72" s="18" t="n">
        <v>16.68923697</v>
      </c>
      <c r="H72" s="20" t="n">
        <v>1.66303277</v>
      </c>
      <c r="I72" s="18" t="n">
        <v>0</v>
      </c>
      <c r="J72" s="20" t="n">
        <v>0</v>
      </c>
      <c r="K72" s="18" t="n">
        <v>0.08130419999999999</v>
      </c>
      <c r="L72" s="20" t="n">
        <v>0.08206664</v>
      </c>
      <c r="M72" s="18" t="n">
        <v>0.14720696</v>
      </c>
      <c r="N72" s="20" t="n">
        <v>0.14485097</v>
      </c>
      <c r="O72" s="18" t="n">
        <v>0</v>
      </c>
      <c r="P72" s="20" t="n">
        <v>0</v>
      </c>
      <c r="Q72" s="18" t="n">
        <v>1.81259274</v>
      </c>
      <c r="R72" s="20" t="n">
        <v>0.5113919099999999</v>
      </c>
    </row>
    <row r="73" spans="1:18">
      <c r="A73" s="15" t="s">
        <v>633</v>
      </c>
      <c r="B73" s="17" t="n">
        <v>2973</v>
      </c>
      <c r="C73" s="18">
        <f>(2276.0/B73*100)</f>
        <v/>
      </c>
      <c r="D73" s="19" t="n">
        <v>697</v>
      </c>
      <c r="E73" s="18" t="n">
        <v>66.50631233</v>
      </c>
      <c r="F73" s="20" t="n">
        <v>1.78782283</v>
      </c>
      <c r="G73" s="18" t="n">
        <v>32.99805298</v>
      </c>
      <c r="H73" s="20" t="n">
        <v>1.83512701</v>
      </c>
      <c r="I73" s="18" t="n">
        <v>0</v>
      </c>
      <c r="J73" s="20" t="n">
        <v>0</v>
      </c>
      <c r="K73" s="18" t="n">
        <v>0</v>
      </c>
      <c r="L73" s="20" t="n">
        <v>0</v>
      </c>
      <c r="M73" s="18" t="n">
        <v>0</v>
      </c>
      <c r="N73" s="20" t="n">
        <v>0</v>
      </c>
      <c r="O73" s="18" t="n">
        <v>0</v>
      </c>
      <c r="P73" s="20" t="n">
        <v>0</v>
      </c>
      <c r="Q73" s="18" t="n">
        <v>0.49563469</v>
      </c>
      <c r="R73" s="20" t="n">
        <v>0.25748717</v>
      </c>
    </row>
    <row r="74" spans="1:18">
      <c r="A74" s="15" t="s">
        <v>634</v>
      </c>
      <c r="B74" s="17" t="n">
        <v>3819</v>
      </c>
      <c r="C74" s="18">
        <f>(2943.0/B74*100)</f>
        <v/>
      </c>
      <c r="D74" s="19" t="n">
        <v>876</v>
      </c>
      <c r="E74" s="18" t="n">
        <v>78.79517667</v>
      </c>
      <c r="F74" s="20" t="n">
        <v>1.52746161</v>
      </c>
      <c r="G74" s="18" t="n">
        <v>20.42556866</v>
      </c>
      <c r="H74" s="20" t="n">
        <v>1.51603902</v>
      </c>
      <c r="I74" s="18" t="n">
        <v>0</v>
      </c>
      <c r="J74" s="20" t="n">
        <v>0</v>
      </c>
      <c r="K74" s="18" t="n">
        <v>0.13140323</v>
      </c>
      <c r="L74" s="20" t="n">
        <v>0.09488797</v>
      </c>
      <c r="M74" s="18" t="n">
        <v>0</v>
      </c>
      <c r="N74" s="20" t="n">
        <v>0</v>
      </c>
      <c r="O74" s="18" t="n">
        <v>0</v>
      </c>
      <c r="P74" s="20" t="n">
        <v>0</v>
      </c>
      <c r="Q74" s="18" t="n">
        <v>0.6478514399999999</v>
      </c>
      <c r="R74" s="20" t="n">
        <v>0.26860797</v>
      </c>
    </row>
    <row r="75" spans="1:18">
      <c r="A75" s="15" t="s">
        <v>635</v>
      </c>
      <c r="B75" s="17" t="n">
        <v>4652</v>
      </c>
      <c r="C75" s="18">
        <f>(3698.0/B75*100)</f>
        <v/>
      </c>
      <c r="D75" s="19" t="n">
        <v>954</v>
      </c>
      <c r="E75" s="18" t="n">
        <v>96.38116084000001</v>
      </c>
      <c r="F75" s="20" t="n">
        <v>0.65570803</v>
      </c>
      <c r="G75" s="18" t="n">
        <v>1.69505064</v>
      </c>
      <c r="H75" s="20" t="n">
        <v>0.45983124</v>
      </c>
      <c r="I75" s="18" t="n">
        <v>0</v>
      </c>
      <c r="J75" s="20" t="n">
        <v>0</v>
      </c>
      <c r="K75" s="18" t="n">
        <v>0</v>
      </c>
      <c r="L75" s="20" t="n">
        <v>0</v>
      </c>
      <c r="M75" s="18" t="n">
        <v>0.14745248</v>
      </c>
      <c r="N75" s="20" t="n">
        <v>0.14565387</v>
      </c>
      <c r="O75" s="18" t="n">
        <v>0</v>
      </c>
      <c r="P75" s="20" t="n">
        <v>0</v>
      </c>
      <c r="Q75" s="18" t="n">
        <v>1.77633605</v>
      </c>
      <c r="R75" s="20" t="n">
        <v>0.48208766</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(2410.0/B77*100)</f>
        <v/>
      </c>
      <c r="D77" s="19" t="n">
        <v>559</v>
      </c>
      <c r="E77" s="18" t="n">
        <v>87.07454122999999</v>
      </c>
      <c r="F77" s="20" t="n">
        <v>1.76206849</v>
      </c>
      <c r="G77" s="18" t="n">
        <v>2.01950912</v>
      </c>
      <c r="H77" s="20" t="n">
        <v>0.6024696</v>
      </c>
      <c r="I77" s="18" t="n">
        <v>0</v>
      </c>
      <c r="J77" s="20" t="n">
        <v>0</v>
      </c>
      <c r="K77" s="18" t="n">
        <v>4.5302726</v>
      </c>
      <c r="L77" s="20" t="n">
        <v>1.15566067</v>
      </c>
      <c r="M77" s="18" t="n">
        <v>0.16372463</v>
      </c>
      <c r="N77" s="20" t="n">
        <v>0.16419345</v>
      </c>
      <c r="O77" s="18" t="n">
        <v>0</v>
      </c>
      <c r="P77" s="20" t="n">
        <v>0</v>
      </c>
      <c r="Q77" s="18" t="n">
        <v>6.21195242</v>
      </c>
      <c r="R77" s="20" t="n">
        <v>1.01950069</v>
      </c>
    </row>
    <row r="78" spans="1:18">
      <c r="A78" s="15" t="s">
        <v>638</v>
      </c>
      <c r="B78" s="17" t="n">
        <v>7115</v>
      </c>
      <c r="C78" s="18">
        <f>(5543.0/B78*100)</f>
        <v/>
      </c>
      <c r="D78" s="19" t="n">
        <v>1572</v>
      </c>
      <c r="E78" s="18" t="n">
        <v>83.69826755</v>
      </c>
      <c r="F78" s="20" t="n">
        <v>1.2041225</v>
      </c>
      <c r="G78" s="18" t="n">
        <v>14.10045847</v>
      </c>
      <c r="H78" s="20" t="n">
        <v>1.09938981</v>
      </c>
      <c r="I78" s="18" t="n">
        <v>0</v>
      </c>
      <c r="J78" s="20" t="n">
        <v>0</v>
      </c>
      <c r="K78" s="18" t="n">
        <v>0.5032316100000001</v>
      </c>
      <c r="L78" s="20" t="n">
        <v>0.17621729</v>
      </c>
      <c r="M78" s="18" t="n">
        <v>0.06877629</v>
      </c>
      <c r="N78" s="20" t="n">
        <v>0.06480418</v>
      </c>
      <c r="O78" s="18" t="n">
        <v>0</v>
      </c>
      <c r="P78" s="20" t="n">
        <v>0</v>
      </c>
      <c r="Q78" s="18" t="n">
        <v>1.62926608</v>
      </c>
      <c r="R78" s="20" t="n">
        <v>0.486839</v>
      </c>
    </row>
    <row r="79" spans="1:18">
      <c r="A79" s="15" t="s">
        <v>639</v>
      </c>
      <c r="B79" s="17" t="n">
        <v>3154</v>
      </c>
      <c r="C79" s="18">
        <f>(2521.0/B79*100)</f>
        <v/>
      </c>
      <c r="D79" s="19" t="n">
        <v>633</v>
      </c>
      <c r="E79" s="18" t="n">
        <v>83.71932332</v>
      </c>
      <c r="F79" s="20" t="n">
        <v>1.79263438</v>
      </c>
      <c r="G79" s="18" t="n">
        <v>6.75915443</v>
      </c>
      <c r="H79" s="20" t="n">
        <v>1.1083336</v>
      </c>
      <c r="I79" s="18" t="n">
        <v>0</v>
      </c>
      <c r="J79" s="20" t="n">
        <v>0</v>
      </c>
      <c r="K79" s="18" t="n">
        <v>0.96924721</v>
      </c>
      <c r="L79" s="20" t="n">
        <v>0.41679133</v>
      </c>
      <c r="M79" s="18" t="n">
        <v>0</v>
      </c>
      <c r="N79" s="20" t="n">
        <v>0</v>
      </c>
      <c r="O79" s="18" t="n">
        <v>0</v>
      </c>
      <c r="P79" s="20" t="n">
        <v>0</v>
      </c>
      <c r="Q79" s="18" t="n">
        <v>8.55227504</v>
      </c>
      <c r="R79" s="20" t="n">
        <v>1.3568785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(12494.0/B82*100)</f>
        <v/>
      </c>
      <c r="D82" s="19" t="n">
        <v>3467</v>
      </c>
      <c r="E82" s="18" t="n">
        <v>78.51559465</v>
      </c>
      <c r="F82" s="20" t="n">
        <v>0.9899454</v>
      </c>
      <c r="G82" s="18" t="n">
        <v>18.00168431</v>
      </c>
      <c r="H82" s="20" t="n">
        <v>0.7916183</v>
      </c>
      <c r="I82" s="18" t="n">
        <v>0</v>
      </c>
      <c r="J82" s="20" t="n">
        <v>0</v>
      </c>
      <c r="K82" s="18" t="n">
        <v>0.09426542</v>
      </c>
      <c r="L82" s="20" t="n">
        <v>0.0687767</v>
      </c>
      <c r="M82" s="18" t="n">
        <v>0</v>
      </c>
      <c r="N82" s="20" t="n">
        <v>0</v>
      </c>
      <c r="O82" s="18" t="n">
        <v>0</v>
      </c>
      <c r="P82" s="20" t="n">
        <v>0</v>
      </c>
      <c r="Q82" s="18" t="n">
        <v>3.38845562</v>
      </c>
      <c r="R82" s="20" t="n">
        <v>0.50297567</v>
      </c>
    </row>
    <row r="83" spans="1:18">
      <c r="A83" s="15" t="s">
        <v>643</v>
      </c>
      <c r="B83" s="17" t="n">
        <v>808</v>
      </c>
      <c r="C83" s="18">
        <f>(648.0/B83*100)</f>
        <v/>
      </c>
      <c r="D83" s="19" t="n">
        <v>160</v>
      </c>
      <c r="E83" s="18" t="n">
        <v>70.6678177</v>
      </c>
      <c r="F83" s="20" t="n">
        <v>3.75506278</v>
      </c>
      <c r="G83" s="18" t="n">
        <v>28.8140181</v>
      </c>
      <c r="H83" s="20" t="n">
        <v>3.94235594</v>
      </c>
      <c r="I83" s="18" t="n">
        <v>0</v>
      </c>
      <c r="J83" s="20" t="n">
        <v>0</v>
      </c>
      <c r="K83" s="18" t="n">
        <v>0</v>
      </c>
      <c r="L83" s="20" t="n">
        <v>0</v>
      </c>
      <c r="M83" s="18" t="n">
        <v>0</v>
      </c>
      <c r="N83" s="20" t="n">
        <v>0</v>
      </c>
      <c r="O83" s="18" t="n">
        <v>0</v>
      </c>
      <c r="P83" s="20" t="n">
        <v>0</v>
      </c>
      <c r="Q83" s="18" t="n">
        <v>0.5181642</v>
      </c>
      <c r="R83" s="20" t="n">
        <v>0.45565276</v>
      </c>
    </row>
    <row r="84" spans="1:18">
      <c r="A84" s="23" t="s">
        <v>644</v>
      </c>
      <c r="B84" s="24" t="n">
        <v>938</v>
      </c>
      <c r="C84" s="25">
        <f>(715.0/B84*100)</f>
        <v/>
      </c>
      <c r="D84" s="19" t="n">
        <v>223</v>
      </c>
      <c r="E84" s="18" t="n">
        <v>72.34780687999999</v>
      </c>
      <c r="F84" s="20" t="n">
        <v>3.44913536</v>
      </c>
      <c r="G84" s="18" t="n">
        <v>26.90519252</v>
      </c>
      <c r="H84" s="20" t="n">
        <v>3.29925988</v>
      </c>
      <c r="I84" s="18" t="n">
        <v>0</v>
      </c>
      <c r="J84" s="20" t="n">
        <v>0</v>
      </c>
      <c r="K84" s="18" t="n">
        <v>0</v>
      </c>
      <c r="L84" s="20" t="n">
        <v>0</v>
      </c>
      <c r="M84" s="18" t="n">
        <v>0</v>
      </c>
      <c r="N84" s="20" t="n">
        <v>0</v>
      </c>
      <c r="O84" s="18" t="n">
        <v>0</v>
      </c>
      <c r="P84" s="20" t="n">
        <v>0</v>
      </c>
      <c r="Q84" s="18" t="n">
        <v>0.74700061</v>
      </c>
      <c r="R84" s="20" t="n">
        <v>0.53105285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(5602.0/B7*100)</f>
        <v/>
      </c>
      <c r="D7" s="19" t="n">
        <v>1561</v>
      </c>
      <c r="E7" s="18" t="n">
        <v>80.08000681999999</v>
      </c>
      <c r="F7" s="20" t="n">
        <v>1.21605058</v>
      </c>
      <c r="G7" s="18" t="n">
        <v>16.00094139</v>
      </c>
      <c r="H7" s="20" t="n">
        <v>1.06527724</v>
      </c>
      <c r="I7" s="18" t="n">
        <v>0</v>
      </c>
      <c r="J7" s="20" t="n">
        <v>0</v>
      </c>
      <c r="K7" s="18" t="n">
        <v>0.24928894</v>
      </c>
      <c r="L7" s="20" t="n">
        <v>0.1522189</v>
      </c>
      <c r="M7" s="18" t="n">
        <v>0.06370539</v>
      </c>
      <c r="N7" s="20" t="n">
        <v>0.04571494</v>
      </c>
      <c r="O7" s="18" t="n">
        <v>0</v>
      </c>
      <c r="P7" s="20" t="n">
        <v>0</v>
      </c>
      <c r="Q7" s="18" t="n">
        <v>3.60605746</v>
      </c>
      <c r="R7" s="20" t="n">
        <v>0.50005906</v>
      </c>
    </row>
    <row r="8" spans="1:18">
      <c r="A8" s="15" t="s">
        <v>566</v>
      </c>
      <c r="B8" s="17" t="n">
        <v>3443</v>
      </c>
      <c r="C8" s="18">
        <f>(2726.0/B8*100)</f>
        <v/>
      </c>
      <c r="D8" s="19" t="n">
        <v>717</v>
      </c>
      <c r="E8" s="18" t="n">
        <v>87.55975275</v>
      </c>
      <c r="F8" s="20" t="n">
        <v>1.42439626</v>
      </c>
      <c r="G8" s="18" t="n">
        <v>8.27353486</v>
      </c>
      <c r="H8" s="20" t="n">
        <v>1.09635666</v>
      </c>
      <c r="I8" s="18" t="n">
        <v>0</v>
      </c>
      <c r="J8" s="20" t="n">
        <v>0</v>
      </c>
      <c r="K8" s="18" t="n">
        <v>0</v>
      </c>
      <c r="L8" s="20" t="n">
        <v>0</v>
      </c>
      <c r="M8" s="18" t="n">
        <v>0</v>
      </c>
      <c r="N8" s="20" t="n">
        <v>0</v>
      </c>
      <c r="O8" s="18" t="n">
        <v>0</v>
      </c>
      <c r="P8" s="20" t="n">
        <v>0</v>
      </c>
      <c r="Q8" s="18" t="n">
        <v>4.16671239</v>
      </c>
      <c r="R8" s="20" t="n">
        <v>1.03001597</v>
      </c>
    </row>
    <row r="9" spans="1:18">
      <c r="A9" s="15" t="s">
        <v>567</v>
      </c>
      <c r="B9" s="17" t="n">
        <v>4752</v>
      </c>
      <c r="C9" s="18">
        <f>(3782.0/B9*100)</f>
        <v/>
      </c>
      <c r="D9" s="19" t="n">
        <v>970</v>
      </c>
      <c r="E9" s="18" t="n">
        <v>84.83604455</v>
      </c>
      <c r="F9" s="20" t="n">
        <v>1.16856139</v>
      </c>
      <c r="G9" s="18" t="n">
        <v>10.56828359</v>
      </c>
      <c r="H9" s="20" t="n">
        <v>1.09456282</v>
      </c>
      <c r="I9" s="18" t="n">
        <v>0</v>
      </c>
      <c r="J9" s="20" t="n">
        <v>0</v>
      </c>
      <c r="K9" s="18" t="n">
        <v>0.24806585</v>
      </c>
      <c r="L9" s="20" t="n">
        <v>0.18381655</v>
      </c>
      <c r="M9" s="18" t="n">
        <v>0.3143994</v>
      </c>
      <c r="N9" s="20" t="n">
        <v>0.16720471</v>
      </c>
      <c r="O9" s="18" t="n">
        <v>0</v>
      </c>
      <c r="P9" s="20" t="n">
        <v>0</v>
      </c>
      <c r="Q9" s="18" t="n">
        <v>4.03320661</v>
      </c>
      <c r="R9" s="20" t="n">
        <v>0.72778792</v>
      </c>
    </row>
    <row r="10" spans="1:18">
      <c r="A10" s="15" t="s">
        <v>568</v>
      </c>
      <c r="B10" s="17" t="n">
        <v>10022</v>
      </c>
      <c r="C10" s="18">
        <f>(7786.0/B10*100)</f>
        <v/>
      </c>
      <c r="D10" s="19" t="n">
        <v>2236</v>
      </c>
      <c r="E10" s="18" t="n">
        <v>77.17673112999999</v>
      </c>
      <c r="F10" s="20" t="n">
        <v>1.26433738</v>
      </c>
      <c r="G10" s="18" t="n">
        <v>20.18140129</v>
      </c>
      <c r="H10" s="20" t="n">
        <v>1.24461993</v>
      </c>
      <c r="I10" s="18" t="n">
        <v>0</v>
      </c>
      <c r="J10" s="20" t="n">
        <v>0</v>
      </c>
      <c r="K10" s="18" t="n">
        <v>0.28311524</v>
      </c>
      <c r="L10" s="20" t="n">
        <v>0.13272128</v>
      </c>
      <c r="M10" s="18" t="n">
        <v>0</v>
      </c>
      <c r="N10" s="20" t="n">
        <v>0</v>
      </c>
      <c r="O10" s="18" t="n">
        <v>0</v>
      </c>
      <c r="P10" s="20" t="n">
        <v>0</v>
      </c>
      <c r="Q10" s="18" t="n">
        <v>2.35875234</v>
      </c>
      <c r="R10" s="20" t="n">
        <v>0.51984558</v>
      </c>
    </row>
    <row r="11" spans="1:18">
      <c r="A11" s="15" t="s">
        <v>569</v>
      </c>
      <c r="B11" s="17" t="n">
        <v>3500</v>
      </c>
      <c r="C11" s="18">
        <f>(2734.0/B11*100)</f>
        <v/>
      </c>
      <c r="D11" s="19" t="n">
        <v>766</v>
      </c>
      <c r="E11" s="18" t="n">
        <v>86.22535103</v>
      </c>
      <c r="F11" s="20" t="n">
        <v>1.22835931</v>
      </c>
      <c r="G11" s="18" t="n">
        <v>6.42631952</v>
      </c>
      <c r="H11" s="20" t="n">
        <v>0.84389304</v>
      </c>
      <c r="I11" s="18" t="n">
        <v>0</v>
      </c>
      <c r="J11" s="20" t="n">
        <v>0</v>
      </c>
      <c r="K11" s="18" t="n">
        <v>1.13334341</v>
      </c>
      <c r="L11" s="20" t="n">
        <v>0.4443912</v>
      </c>
      <c r="M11" s="18" t="n">
        <v>0.01379393</v>
      </c>
      <c r="N11" s="20" t="n">
        <v>0.01387735</v>
      </c>
      <c r="O11" s="18" t="n">
        <v>0</v>
      </c>
      <c r="P11" s="20" t="n">
        <v>0</v>
      </c>
      <c r="Q11" s="18" t="n">
        <v>6.20119212</v>
      </c>
      <c r="R11" s="20" t="n">
        <v>1.02899885</v>
      </c>
    </row>
    <row r="12" spans="1:18">
      <c r="A12" s="15" t="s">
        <v>570</v>
      </c>
      <c r="B12" s="17" t="n">
        <v>3422</v>
      </c>
      <c r="C12" s="18">
        <f>(2657.0/B12*100)</f>
        <v/>
      </c>
      <c r="D12" s="19" t="n">
        <v>765</v>
      </c>
      <c r="E12" s="18" t="n">
        <v>91.32337316</v>
      </c>
      <c r="F12" s="20" t="n">
        <v>0.9035856</v>
      </c>
      <c r="G12" s="18" t="n">
        <v>5.98948014</v>
      </c>
      <c r="H12" s="20" t="n">
        <v>0.87342462</v>
      </c>
      <c r="I12" s="18" t="n">
        <v>0</v>
      </c>
      <c r="J12" s="20" t="n">
        <v>0</v>
      </c>
      <c r="K12" s="18" t="n">
        <v>0.122331</v>
      </c>
      <c r="L12" s="20" t="n">
        <v>0.12128243</v>
      </c>
      <c r="M12" s="18" t="n">
        <v>0</v>
      </c>
      <c r="N12" s="20" t="n">
        <v>0</v>
      </c>
      <c r="O12" s="18" t="n">
        <v>0</v>
      </c>
      <c r="P12" s="20" t="n">
        <v>0</v>
      </c>
      <c r="Q12" s="18" t="n">
        <v>2.56481569</v>
      </c>
      <c r="R12" s="20" t="n">
        <v>0.61264313</v>
      </c>
    </row>
    <row r="13" spans="1:18">
      <c r="A13" s="15" t="s">
        <v>571</v>
      </c>
      <c r="B13" s="17" t="n">
        <v>3602</v>
      </c>
      <c r="C13" s="18">
        <f>(2854.0/B13*100)</f>
        <v/>
      </c>
      <c r="D13" s="19" t="n">
        <v>748</v>
      </c>
      <c r="E13" s="18" t="n">
        <v>88.25764291</v>
      </c>
      <c r="F13" s="20" t="n">
        <v>1.36312228</v>
      </c>
      <c r="G13" s="18" t="n">
        <v>9.107616330000001</v>
      </c>
      <c r="H13" s="20" t="n">
        <v>1.20967606</v>
      </c>
      <c r="I13" s="18" t="n">
        <v>0</v>
      </c>
      <c r="J13" s="20" t="n">
        <v>0</v>
      </c>
      <c r="K13" s="18" t="n">
        <v>0.36167697</v>
      </c>
      <c r="L13" s="20" t="n">
        <v>0.25341302</v>
      </c>
      <c r="M13" s="18" t="n">
        <v>0</v>
      </c>
      <c r="N13" s="20" t="n">
        <v>0</v>
      </c>
      <c r="O13" s="18" t="n">
        <v>0</v>
      </c>
      <c r="P13" s="20" t="n">
        <v>0</v>
      </c>
      <c r="Q13" s="18" t="n">
        <v>2.27306379</v>
      </c>
      <c r="R13" s="20" t="n">
        <v>0.5478345999999999</v>
      </c>
    </row>
    <row r="14" spans="1:18">
      <c r="A14" s="15" t="s">
        <v>572</v>
      </c>
      <c r="B14" s="17" t="n">
        <v>2788</v>
      </c>
      <c r="C14" s="18">
        <f>(2182.0/B14*100)</f>
        <v/>
      </c>
      <c r="D14" s="19" t="n">
        <v>606</v>
      </c>
      <c r="E14" s="18" t="n">
        <v>87.93011195</v>
      </c>
      <c r="F14" s="20" t="n">
        <v>1.33901095</v>
      </c>
      <c r="G14" s="18" t="n">
        <v>10.56086177</v>
      </c>
      <c r="H14" s="20" t="n">
        <v>1.21697156</v>
      </c>
      <c r="I14" s="18" t="n">
        <v>0</v>
      </c>
      <c r="J14" s="20" t="n">
        <v>0</v>
      </c>
      <c r="K14" s="18" t="n">
        <v>0.42521323</v>
      </c>
      <c r="L14" s="20" t="n">
        <v>0.24208037</v>
      </c>
      <c r="M14" s="18" t="n">
        <v>0</v>
      </c>
      <c r="N14" s="20" t="n">
        <v>0</v>
      </c>
      <c r="O14" s="18" t="n">
        <v>0</v>
      </c>
      <c r="P14" s="20" t="n">
        <v>0</v>
      </c>
      <c r="Q14" s="18" t="n">
        <v>1.08381305</v>
      </c>
      <c r="R14" s="20" t="n">
        <v>0.53098391</v>
      </c>
    </row>
    <row r="15" spans="1:18">
      <c r="A15" s="15" t="s">
        <v>573</v>
      </c>
      <c r="B15" s="17" t="n">
        <v>2863</v>
      </c>
      <c r="C15" s="18">
        <f>(2229.0/B15*100)</f>
        <v/>
      </c>
      <c r="D15" s="19" t="n">
        <v>634</v>
      </c>
      <c r="E15" s="18" t="n">
        <v>82.95414758</v>
      </c>
      <c r="F15" s="20" t="n">
        <v>1.35117273</v>
      </c>
      <c r="G15" s="18" t="n">
        <v>15.14089691</v>
      </c>
      <c r="H15" s="20" t="n">
        <v>1.36171938</v>
      </c>
      <c r="I15" s="18" t="n">
        <v>0</v>
      </c>
      <c r="J15" s="20" t="n">
        <v>0</v>
      </c>
      <c r="K15" s="18" t="n">
        <v>0</v>
      </c>
      <c r="L15" s="20" t="n">
        <v>0</v>
      </c>
      <c r="M15" s="18" t="n">
        <v>0</v>
      </c>
      <c r="N15" s="20" t="n">
        <v>0</v>
      </c>
      <c r="O15" s="18" t="n">
        <v>0</v>
      </c>
      <c r="P15" s="20" t="n">
        <v>0</v>
      </c>
      <c r="Q15" s="18" t="n">
        <v>1.9049555</v>
      </c>
      <c r="R15" s="20" t="n">
        <v>0.53355176</v>
      </c>
    </row>
    <row r="16" spans="1:18">
      <c r="A16" s="15" t="s">
        <v>574</v>
      </c>
      <c r="B16" s="17" t="n">
        <v>3111</v>
      </c>
      <c r="C16" s="18">
        <f>(2429.0/B16*100)</f>
        <v/>
      </c>
      <c r="D16" s="19" t="n">
        <v>682</v>
      </c>
      <c r="E16" s="18" t="n">
        <v>85.44292971</v>
      </c>
      <c r="F16" s="20" t="n">
        <v>1.37981207</v>
      </c>
      <c r="G16" s="18" t="n">
        <v>9.40659029</v>
      </c>
      <c r="H16" s="20" t="n">
        <v>1.12172302</v>
      </c>
      <c r="I16" s="18" t="n">
        <v>0</v>
      </c>
      <c r="J16" s="20" t="n">
        <v>0</v>
      </c>
      <c r="K16" s="18" t="n">
        <v>0.67448667</v>
      </c>
      <c r="L16" s="20" t="n">
        <v>0.29894027</v>
      </c>
      <c r="M16" s="18" t="n">
        <v>0.12899166</v>
      </c>
      <c r="N16" s="20" t="n">
        <v>0.13285677</v>
      </c>
      <c r="O16" s="18" t="n">
        <v>0</v>
      </c>
      <c r="P16" s="20" t="n">
        <v>0</v>
      </c>
      <c r="Q16" s="18" t="n">
        <v>4.34700167</v>
      </c>
      <c r="R16" s="20" t="n">
        <v>0.99830311</v>
      </c>
    </row>
    <row r="17" spans="1:18">
      <c r="A17" s="15" t="s">
        <v>575</v>
      </c>
      <c r="B17" s="17" t="n">
        <v>3197</v>
      </c>
      <c r="C17" s="18">
        <f>(2531.0/B17*100)</f>
        <v/>
      </c>
      <c r="D17" s="19" t="n">
        <v>666</v>
      </c>
      <c r="E17" s="18" t="n">
        <v>85.93968599999999</v>
      </c>
      <c r="F17" s="20" t="n">
        <v>1.54120728</v>
      </c>
      <c r="G17" s="18" t="n">
        <v>9.78961734</v>
      </c>
      <c r="H17" s="20" t="n">
        <v>1.21989991</v>
      </c>
      <c r="I17" s="18" t="n">
        <v>0</v>
      </c>
      <c r="J17" s="20" t="n">
        <v>0</v>
      </c>
      <c r="K17" s="18" t="n">
        <v>0.15667422</v>
      </c>
      <c r="L17" s="20" t="n">
        <v>0.15515168</v>
      </c>
      <c r="M17" s="18" t="n">
        <v>0</v>
      </c>
      <c r="N17" s="20" t="n">
        <v>0</v>
      </c>
      <c r="O17" s="18" t="n">
        <v>0</v>
      </c>
      <c r="P17" s="20" t="n">
        <v>0</v>
      </c>
      <c r="Q17" s="18" t="n">
        <v>4.11402244</v>
      </c>
      <c r="R17" s="20" t="n">
        <v>0.87163705</v>
      </c>
    </row>
    <row r="18" spans="1:18">
      <c r="A18" s="15" t="s">
        <v>576</v>
      </c>
      <c r="B18" s="17" t="n">
        <v>2706</v>
      </c>
      <c r="C18" s="18">
        <f>(2102.0/B18*100)</f>
        <v/>
      </c>
      <c r="D18" s="19" t="n">
        <v>604</v>
      </c>
      <c r="E18" s="18" t="n">
        <v>90.65858540000001</v>
      </c>
      <c r="F18" s="20" t="n">
        <v>1.24678353</v>
      </c>
      <c r="G18" s="18" t="n">
        <v>5.50645932</v>
      </c>
      <c r="H18" s="20" t="n">
        <v>0.97632863</v>
      </c>
      <c r="I18" s="18" t="n">
        <v>0</v>
      </c>
      <c r="J18" s="20" t="n">
        <v>0</v>
      </c>
      <c r="K18" s="18" t="n">
        <v>0.32303754</v>
      </c>
      <c r="L18" s="20" t="n">
        <v>0.22532965</v>
      </c>
      <c r="M18" s="18" t="n">
        <v>0</v>
      </c>
      <c r="N18" s="20" t="n">
        <v>0</v>
      </c>
      <c r="O18" s="18" t="n">
        <v>0</v>
      </c>
      <c r="P18" s="20" t="n">
        <v>0</v>
      </c>
      <c r="Q18" s="18" t="n">
        <v>3.51191774</v>
      </c>
      <c r="R18" s="20" t="n">
        <v>0.88744057</v>
      </c>
    </row>
    <row r="19" spans="1:18">
      <c r="A19" s="15" t="s">
        <v>577</v>
      </c>
      <c r="B19" s="17" t="n">
        <v>2850</v>
      </c>
      <c r="C19" s="18">
        <f>(2181.0/B19*100)</f>
        <v/>
      </c>
      <c r="D19" s="19" t="n">
        <v>669</v>
      </c>
      <c r="E19" s="18" t="n">
        <v>89.23511130999999</v>
      </c>
      <c r="F19" s="20" t="n">
        <v>1.3577458</v>
      </c>
      <c r="G19" s="18" t="n">
        <v>7.25928336</v>
      </c>
      <c r="H19" s="20" t="n">
        <v>1.00865498</v>
      </c>
      <c r="I19" s="18" t="n">
        <v>0</v>
      </c>
      <c r="J19" s="20" t="n">
        <v>0</v>
      </c>
      <c r="K19" s="18" t="n">
        <v>0</v>
      </c>
      <c r="L19" s="20" t="n">
        <v>0</v>
      </c>
      <c r="M19" s="18" t="n">
        <v>0</v>
      </c>
      <c r="N19" s="20" t="n">
        <v>0</v>
      </c>
      <c r="O19" s="18" t="n">
        <v>0</v>
      </c>
      <c r="P19" s="20" t="n">
        <v>0</v>
      </c>
      <c r="Q19" s="18" t="n">
        <v>3.50560533</v>
      </c>
      <c r="R19" s="20" t="n">
        <v>0.9504329500000001</v>
      </c>
    </row>
    <row r="20" spans="1:18">
      <c r="A20" s="15" t="s">
        <v>578</v>
      </c>
      <c r="B20" s="17" t="n">
        <v>1741</v>
      </c>
      <c r="C20" s="18">
        <f>(1348.0/B20*100)</f>
        <v/>
      </c>
      <c r="D20" s="19" t="n">
        <v>393</v>
      </c>
      <c r="E20" s="18" t="n">
        <v>80.18818879</v>
      </c>
      <c r="F20" s="20" t="n">
        <v>1.94780464</v>
      </c>
      <c r="G20" s="18" t="n">
        <v>13.98129116</v>
      </c>
      <c r="H20" s="20" t="n">
        <v>1.57716029</v>
      </c>
      <c r="I20" s="18" t="n">
        <v>0</v>
      </c>
      <c r="J20" s="20" t="n">
        <v>0</v>
      </c>
      <c r="K20" s="18" t="n">
        <v>0.49792618</v>
      </c>
      <c r="L20" s="20" t="n">
        <v>0.34849047</v>
      </c>
      <c r="M20" s="18" t="n">
        <v>0.3931791</v>
      </c>
      <c r="N20" s="20" t="n">
        <v>0.37941036</v>
      </c>
      <c r="O20" s="18" t="n">
        <v>0</v>
      </c>
      <c r="P20" s="20" t="n">
        <v>0</v>
      </c>
      <c r="Q20" s="18" t="n">
        <v>4.93941476</v>
      </c>
      <c r="R20" s="20" t="n">
        <v>1.26704519</v>
      </c>
    </row>
    <row r="21" spans="1:18">
      <c r="A21" s="15" t="s">
        <v>579</v>
      </c>
      <c r="B21" s="17" t="n">
        <v>2833</v>
      </c>
      <c r="C21" s="18">
        <f>(2202.0/B21*100)</f>
        <v/>
      </c>
      <c r="D21" s="19" t="n">
        <v>631</v>
      </c>
      <c r="E21" s="18" t="n">
        <v>91.96195213999999</v>
      </c>
      <c r="F21" s="20" t="n">
        <v>1.16665914</v>
      </c>
      <c r="G21" s="18" t="n">
        <v>5.38617498</v>
      </c>
      <c r="H21" s="20" t="n">
        <v>0.90100121</v>
      </c>
      <c r="I21" s="18" t="n">
        <v>0</v>
      </c>
      <c r="J21" s="20" t="n">
        <v>0</v>
      </c>
      <c r="K21" s="18" t="n">
        <v>0.14457197</v>
      </c>
      <c r="L21" s="20" t="n">
        <v>0.14425306</v>
      </c>
      <c r="M21" s="18" t="n">
        <v>0</v>
      </c>
      <c r="N21" s="20" t="n">
        <v>0</v>
      </c>
      <c r="O21" s="18" t="n">
        <v>0</v>
      </c>
      <c r="P21" s="20" t="n">
        <v>0</v>
      </c>
      <c r="Q21" s="18" t="n">
        <v>2.50730091</v>
      </c>
      <c r="R21" s="20" t="n">
        <v>0.69914044</v>
      </c>
    </row>
    <row r="22" spans="1:18">
      <c r="A22" s="15" t="s">
        <v>580</v>
      </c>
      <c r="B22" s="17" t="n">
        <v>3667</v>
      </c>
      <c r="C22" s="18">
        <f>(2884.0/B22*100)</f>
        <v/>
      </c>
      <c r="D22" s="19" t="n">
        <v>783</v>
      </c>
      <c r="E22" s="18" t="n">
        <v>88.59813593</v>
      </c>
      <c r="F22" s="20" t="n">
        <v>1.19848802</v>
      </c>
      <c r="G22" s="18" t="n">
        <v>5.65327098</v>
      </c>
      <c r="H22" s="20" t="n">
        <v>0.84134569</v>
      </c>
      <c r="I22" s="18" t="n">
        <v>0</v>
      </c>
      <c r="J22" s="20" t="n">
        <v>0</v>
      </c>
      <c r="K22" s="18" t="n">
        <v>0.62579278</v>
      </c>
      <c r="L22" s="20" t="n">
        <v>0.28489805</v>
      </c>
      <c r="M22" s="18" t="n">
        <v>0.11508828</v>
      </c>
      <c r="N22" s="20" t="n">
        <v>0.11503165</v>
      </c>
      <c r="O22" s="18" t="n">
        <v>0</v>
      </c>
      <c r="P22" s="20" t="n">
        <v>0</v>
      </c>
      <c r="Q22" s="18" t="n">
        <v>5.00771204</v>
      </c>
      <c r="R22" s="20" t="n">
        <v>0.81192799</v>
      </c>
    </row>
    <row r="23" spans="1:18">
      <c r="A23" s="15" t="s">
        <v>581</v>
      </c>
      <c r="B23" s="17" t="n">
        <v>5792</v>
      </c>
      <c r="C23" s="18">
        <f>(4572.0/B23*100)</f>
        <v/>
      </c>
      <c r="D23" s="19" t="n">
        <v>1220</v>
      </c>
      <c r="E23" s="18" t="n">
        <v>89.68225157000001</v>
      </c>
      <c r="F23" s="20" t="n">
        <v>1.27782578</v>
      </c>
      <c r="G23" s="18" t="n">
        <v>3.39277249</v>
      </c>
      <c r="H23" s="20" t="n">
        <v>0.64933855</v>
      </c>
      <c r="I23" s="18" t="n">
        <v>0</v>
      </c>
      <c r="J23" s="20" t="n">
        <v>0</v>
      </c>
      <c r="K23" s="18" t="n">
        <v>2.04343871</v>
      </c>
      <c r="L23" s="20" t="n">
        <v>0.76327955</v>
      </c>
      <c r="M23" s="18" t="n">
        <v>0</v>
      </c>
      <c r="N23" s="20" t="n">
        <v>0</v>
      </c>
      <c r="O23" s="18" t="n">
        <v>0</v>
      </c>
      <c r="P23" s="20" t="n">
        <v>0</v>
      </c>
      <c r="Q23" s="18" t="n">
        <v>4.88153723</v>
      </c>
      <c r="R23" s="20" t="n">
        <v>1.03069509</v>
      </c>
    </row>
    <row r="24" spans="1:18">
      <c r="A24" s="15" t="s">
        <v>582</v>
      </c>
      <c r="B24" s="17" t="n">
        <v>3309</v>
      </c>
      <c r="C24" s="18">
        <f>(2572.0/B24*100)</f>
        <v/>
      </c>
      <c r="D24" s="19" t="n">
        <v>737</v>
      </c>
      <c r="E24" s="18" t="n">
        <v>85.00511419999999</v>
      </c>
      <c r="F24" s="20" t="n">
        <v>1.20317513</v>
      </c>
      <c r="G24" s="18" t="n">
        <v>12.90276398</v>
      </c>
      <c r="H24" s="20" t="n">
        <v>1.19513736</v>
      </c>
      <c r="I24" s="18" t="n">
        <v>0</v>
      </c>
      <c r="J24" s="20" t="n">
        <v>0</v>
      </c>
      <c r="K24" s="18" t="n">
        <v>0</v>
      </c>
      <c r="L24" s="20" t="n">
        <v>0</v>
      </c>
      <c r="M24" s="18" t="n">
        <v>0</v>
      </c>
      <c r="N24" s="20" t="n">
        <v>0</v>
      </c>
      <c r="O24" s="18" t="n">
        <v>0</v>
      </c>
      <c r="P24" s="20" t="n">
        <v>0</v>
      </c>
      <c r="Q24" s="18" t="n">
        <v>2.09212182</v>
      </c>
      <c r="R24" s="20" t="n">
        <v>0.45080937</v>
      </c>
    </row>
    <row r="25" spans="1:18">
      <c r="A25" s="15" t="s">
        <v>583</v>
      </c>
      <c r="B25" s="17" t="n">
        <v>2669</v>
      </c>
      <c r="C25" s="18">
        <f>(2098.0/B25*100)</f>
        <v/>
      </c>
      <c r="D25" s="19" t="n">
        <v>571</v>
      </c>
      <c r="E25" s="18" t="n">
        <v>88.2599598</v>
      </c>
      <c r="F25" s="20" t="n">
        <v>1.18014861</v>
      </c>
      <c r="G25" s="18" t="n">
        <v>9.94673592</v>
      </c>
      <c r="H25" s="20" t="n">
        <v>1.14767909</v>
      </c>
      <c r="I25" s="18" t="n">
        <v>0</v>
      </c>
      <c r="J25" s="20" t="n">
        <v>0</v>
      </c>
      <c r="K25" s="18" t="n">
        <v>0.16123347</v>
      </c>
      <c r="L25" s="20" t="n">
        <v>0.22464442</v>
      </c>
      <c r="M25" s="18" t="n">
        <v>0</v>
      </c>
      <c r="N25" s="20" t="n">
        <v>0</v>
      </c>
      <c r="O25" s="18" t="n">
        <v>0</v>
      </c>
      <c r="P25" s="20" t="n">
        <v>0</v>
      </c>
      <c r="Q25" s="18" t="n">
        <v>1.63207081</v>
      </c>
      <c r="R25" s="20" t="n">
        <v>0.53890686</v>
      </c>
    </row>
    <row r="26" spans="1:18">
      <c r="A26" s="15" t="s">
        <v>584</v>
      </c>
      <c r="B26" s="17" t="n">
        <v>2419</v>
      </c>
      <c r="C26" s="18">
        <f>(1946.0/B26*100)</f>
        <v/>
      </c>
      <c r="D26" s="19" t="n">
        <v>473</v>
      </c>
      <c r="E26" s="18" t="n">
        <v>92.16046073</v>
      </c>
      <c r="F26" s="20" t="n">
        <v>1.38104104</v>
      </c>
      <c r="G26" s="18" t="n">
        <v>6.7187087</v>
      </c>
      <c r="H26" s="20" t="n">
        <v>1.26866534</v>
      </c>
      <c r="I26" s="18" t="n">
        <v>0</v>
      </c>
      <c r="J26" s="20" t="n">
        <v>0</v>
      </c>
      <c r="K26" s="18" t="n">
        <v>0</v>
      </c>
      <c r="L26" s="20" t="n">
        <v>0</v>
      </c>
      <c r="M26" s="18" t="n">
        <v>0</v>
      </c>
      <c r="N26" s="20" t="n">
        <v>0</v>
      </c>
      <c r="O26" s="18" t="n">
        <v>0</v>
      </c>
      <c r="P26" s="20" t="n">
        <v>0</v>
      </c>
      <c r="Q26" s="18" t="n">
        <v>1.12083057</v>
      </c>
      <c r="R26" s="20" t="n">
        <v>0.6163204799999999</v>
      </c>
    </row>
    <row r="27" spans="1:18">
      <c r="A27" s="15" t="s">
        <v>585</v>
      </c>
      <c r="B27" s="17" t="n">
        <v>2683</v>
      </c>
      <c r="C27" s="18">
        <f>(2108.0/B27*100)</f>
        <v/>
      </c>
      <c r="D27" s="19" t="n">
        <v>575</v>
      </c>
      <c r="E27" s="18" t="n">
        <v>86.40860213000001</v>
      </c>
      <c r="F27" s="20" t="n">
        <v>1.25234406</v>
      </c>
      <c r="G27" s="18" t="n">
        <v>8.388995299999999</v>
      </c>
      <c r="H27" s="20" t="n">
        <v>1.12839858</v>
      </c>
      <c r="I27" s="18" t="n">
        <v>0</v>
      </c>
      <c r="J27" s="20" t="n">
        <v>0</v>
      </c>
      <c r="K27" s="18" t="n">
        <v>0.53488813</v>
      </c>
      <c r="L27" s="20" t="n">
        <v>0.3046781</v>
      </c>
      <c r="M27" s="18" t="n">
        <v>0</v>
      </c>
      <c r="N27" s="20" t="n">
        <v>0</v>
      </c>
      <c r="O27" s="18" t="n">
        <v>0</v>
      </c>
      <c r="P27" s="20" t="n">
        <v>0</v>
      </c>
      <c r="Q27" s="18" t="n">
        <v>4.66751445</v>
      </c>
      <c r="R27" s="20" t="n">
        <v>0.80948821</v>
      </c>
    </row>
    <row r="28" spans="1:18">
      <c r="A28" s="15" t="s">
        <v>586</v>
      </c>
      <c r="B28" s="17" t="n">
        <v>3803</v>
      </c>
      <c r="C28" s="18">
        <f>(3019.0/B28*100)</f>
        <v/>
      </c>
      <c r="D28" s="19" t="n">
        <v>784</v>
      </c>
      <c r="E28" s="18" t="n">
        <v>93.36644689000001</v>
      </c>
      <c r="F28" s="20" t="n">
        <v>1.19220235</v>
      </c>
      <c r="G28" s="18" t="n">
        <v>5.47542197</v>
      </c>
      <c r="H28" s="20" t="n">
        <v>1.0190364</v>
      </c>
      <c r="I28" s="18" t="n">
        <v>0</v>
      </c>
      <c r="J28" s="20" t="n">
        <v>0</v>
      </c>
      <c r="K28" s="18" t="n">
        <v>0.59199907</v>
      </c>
      <c r="L28" s="20" t="n">
        <v>0.47450074</v>
      </c>
      <c r="M28" s="18" t="n">
        <v>0</v>
      </c>
      <c r="N28" s="20" t="n">
        <v>0</v>
      </c>
      <c r="O28" s="18" t="n">
        <v>0</v>
      </c>
      <c r="P28" s="20" t="n">
        <v>0</v>
      </c>
      <c r="Q28" s="18" t="n">
        <v>0.56613207</v>
      </c>
      <c r="R28" s="20" t="n">
        <v>0.26255101</v>
      </c>
    </row>
    <row r="29" spans="1:18">
      <c r="A29" s="15" t="s">
        <v>587</v>
      </c>
      <c r="B29" s="17" t="n">
        <v>2700</v>
      </c>
      <c r="C29" s="18">
        <f>(2100.0/B29*100)</f>
        <v/>
      </c>
      <c r="D29" s="19" t="n">
        <v>600</v>
      </c>
      <c r="E29" s="18" t="n">
        <v>85.61674209</v>
      </c>
      <c r="F29" s="20" t="n">
        <v>1.35291577</v>
      </c>
      <c r="G29" s="18" t="n">
        <v>11.26438612</v>
      </c>
      <c r="H29" s="20" t="n">
        <v>1.24628923</v>
      </c>
      <c r="I29" s="18" t="n">
        <v>0</v>
      </c>
      <c r="J29" s="20" t="n">
        <v>0</v>
      </c>
      <c r="K29" s="18" t="n">
        <v>0.20460914</v>
      </c>
      <c r="L29" s="20" t="n">
        <v>0.19752381</v>
      </c>
      <c r="M29" s="18" t="n">
        <v>0</v>
      </c>
      <c r="N29" s="20" t="n">
        <v>0</v>
      </c>
      <c r="O29" s="18" t="n">
        <v>0</v>
      </c>
      <c r="P29" s="20" t="n">
        <v>0</v>
      </c>
      <c r="Q29" s="18" t="n">
        <v>2.91426265</v>
      </c>
      <c r="R29" s="20" t="n">
        <v>0.6330628700000001</v>
      </c>
    </row>
    <row r="30" spans="1:18">
      <c r="A30" s="15" t="s">
        <v>588</v>
      </c>
      <c r="B30" s="17" t="n">
        <v>2257</v>
      </c>
      <c r="C30" s="18">
        <f>(1746.0/B30*100)</f>
        <v/>
      </c>
      <c r="D30" s="19" t="n">
        <v>511</v>
      </c>
      <c r="E30" s="18" t="n">
        <v>78.60278527</v>
      </c>
      <c r="F30" s="20" t="n">
        <v>2.08266129</v>
      </c>
      <c r="G30" s="18" t="n">
        <v>16.29362582</v>
      </c>
      <c r="H30" s="20" t="n">
        <v>1.71036289</v>
      </c>
      <c r="I30" s="18" t="n">
        <v>0</v>
      </c>
      <c r="J30" s="20" t="n">
        <v>0</v>
      </c>
      <c r="K30" s="18" t="n">
        <v>0</v>
      </c>
      <c r="L30" s="20" t="n">
        <v>0</v>
      </c>
      <c r="M30" s="18" t="n">
        <v>0.21215437</v>
      </c>
      <c r="N30" s="20" t="n">
        <v>0.21682012</v>
      </c>
      <c r="O30" s="18" t="n">
        <v>0</v>
      </c>
      <c r="P30" s="20" t="n">
        <v>0</v>
      </c>
      <c r="Q30" s="18" t="n">
        <v>4.89143454</v>
      </c>
      <c r="R30" s="20" t="n">
        <v>1.04243131</v>
      </c>
    </row>
    <row r="31" spans="1:18">
      <c r="A31" s="15" t="s">
        <v>589</v>
      </c>
      <c r="B31" s="17" t="n">
        <v>2706</v>
      </c>
      <c r="C31" s="18">
        <f>(2095.0/B31*100)</f>
        <v/>
      </c>
      <c r="D31" s="19" t="n">
        <v>611</v>
      </c>
      <c r="E31" s="18" t="n">
        <v>86.45403231</v>
      </c>
      <c r="F31" s="20" t="n">
        <v>1.54248309</v>
      </c>
      <c r="G31" s="18" t="n">
        <v>9.17826861</v>
      </c>
      <c r="H31" s="20" t="n">
        <v>1.25503352</v>
      </c>
      <c r="I31" s="18" t="n">
        <v>0</v>
      </c>
      <c r="J31" s="20" t="n">
        <v>0</v>
      </c>
      <c r="K31" s="18" t="n">
        <v>0.31304092</v>
      </c>
      <c r="L31" s="20" t="n">
        <v>0.21802034</v>
      </c>
      <c r="M31" s="18" t="n">
        <v>0</v>
      </c>
      <c r="N31" s="20" t="n">
        <v>0</v>
      </c>
      <c r="O31" s="18" t="n">
        <v>0</v>
      </c>
      <c r="P31" s="20" t="n">
        <v>0</v>
      </c>
      <c r="Q31" s="18" t="n">
        <v>4.05465816</v>
      </c>
      <c r="R31" s="20" t="n">
        <v>0.99570527</v>
      </c>
    </row>
    <row r="32" spans="1:18">
      <c r="A32" s="15" t="s">
        <v>590</v>
      </c>
      <c r="B32" s="17" t="n">
        <v>2209</v>
      </c>
      <c r="C32" s="18">
        <f>(1751.0/B32*100)</f>
        <v/>
      </c>
      <c r="D32" s="19" t="n">
        <v>458</v>
      </c>
      <c r="E32" s="18" t="n">
        <v>91.98510786</v>
      </c>
      <c r="F32" s="20" t="n">
        <v>1.4064486</v>
      </c>
      <c r="G32" s="18" t="n">
        <v>6.87997289</v>
      </c>
      <c r="H32" s="20" t="n">
        <v>1.28092417</v>
      </c>
      <c r="I32" s="18" t="n">
        <v>0</v>
      </c>
      <c r="J32" s="20" t="n">
        <v>0</v>
      </c>
      <c r="K32" s="18" t="n">
        <v>0</v>
      </c>
      <c r="L32" s="20" t="n">
        <v>0</v>
      </c>
      <c r="M32" s="18" t="n">
        <v>0</v>
      </c>
      <c r="N32" s="20" t="n">
        <v>0</v>
      </c>
      <c r="O32" s="18" t="n">
        <v>0</v>
      </c>
      <c r="P32" s="20" t="n">
        <v>0</v>
      </c>
      <c r="Q32" s="18" t="n">
        <v>1.13491925</v>
      </c>
      <c r="R32" s="20" t="n">
        <v>0.6050341</v>
      </c>
    </row>
    <row r="33" spans="1:18">
      <c r="A33" s="15" t="s">
        <v>591</v>
      </c>
      <c r="B33" s="17" t="n">
        <v>3651</v>
      </c>
      <c r="C33" s="18">
        <f>(2915.0/B33*100)</f>
        <v/>
      </c>
      <c r="D33" s="19" t="n">
        <v>736</v>
      </c>
      <c r="E33" s="18" t="n">
        <v>95.14173581999999</v>
      </c>
      <c r="F33" s="20" t="n">
        <v>1.17840684</v>
      </c>
      <c r="G33" s="18" t="n">
        <v>2.55225084</v>
      </c>
      <c r="H33" s="20" t="n">
        <v>0.75803148</v>
      </c>
      <c r="I33" s="18" t="n">
        <v>0</v>
      </c>
      <c r="J33" s="20" t="n">
        <v>0</v>
      </c>
      <c r="K33" s="18" t="n">
        <v>0.20438892</v>
      </c>
      <c r="L33" s="20" t="n">
        <v>0.19068643</v>
      </c>
      <c r="M33" s="18" t="n">
        <v>0.20107576</v>
      </c>
      <c r="N33" s="20" t="n">
        <v>0.1503007</v>
      </c>
      <c r="O33" s="18" t="n">
        <v>0</v>
      </c>
      <c r="P33" s="20" t="n">
        <v>0</v>
      </c>
      <c r="Q33" s="18" t="n">
        <v>1.90054867</v>
      </c>
      <c r="R33" s="20" t="n">
        <v>0.67408007</v>
      </c>
    </row>
    <row r="34" spans="1:18">
      <c r="A34" s="15" t="s">
        <v>592</v>
      </c>
      <c r="B34" s="17" t="n">
        <v>3035</v>
      </c>
      <c r="C34" s="18">
        <f>(2366.0/B34*100)</f>
        <v/>
      </c>
      <c r="D34" s="19" t="n">
        <v>669</v>
      </c>
      <c r="E34" s="18" t="n">
        <v>92.22798739</v>
      </c>
      <c r="F34" s="20" t="n">
        <v>1.00625171</v>
      </c>
      <c r="G34" s="18" t="n">
        <v>4.88709247</v>
      </c>
      <c r="H34" s="20" t="n">
        <v>0.79420678</v>
      </c>
      <c r="I34" s="18" t="n">
        <v>0</v>
      </c>
      <c r="J34" s="20" t="n">
        <v>0</v>
      </c>
      <c r="K34" s="18" t="n">
        <v>0.56368332</v>
      </c>
      <c r="L34" s="20" t="n">
        <v>0.25827508</v>
      </c>
      <c r="M34" s="18" t="n">
        <v>0.68342832</v>
      </c>
      <c r="N34" s="20" t="n">
        <v>0.39397094</v>
      </c>
      <c r="O34" s="18" t="n">
        <v>0</v>
      </c>
      <c r="P34" s="20" t="n">
        <v>0</v>
      </c>
      <c r="Q34" s="18" t="n">
        <v>1.63780851</v>
      </c>
      <c r="R34" s="20" t="n">
        <v>0.53769165</v>
      </c>
    </row>
    <row r="35" spans="1:18">
      <c r="A35" s="15" t="s">
        <v>593</v>
      </c>
      <c r="B35" s="17" t="n">
        <v>2901</v>
      </c>
      <c r="C35" s="18">
        <f>(2268.0/B35*100)</f>
        <v/>
      </c>
      <c r="D35" s="19" t="n">
        <v>633</v>
      </c>
      <c r="E35" s="18" t="n">
        <v>87.44544969</v>
      </c>
      <c r="F35" s="20" t="n">
        <v>1.78502992</v>
      </c>
      <c r="G35" s="18" t="n">
        <v>11.39122006</v>
      </c>
      <c r="H35" s="20" t="n">
        <v>1.75613133</v>
      </c>
      <c r="I35" s="18" t="n">
        <v>0</v>
      </c>
      <c r="J35" s="20" t="n">
        <v>0</v>
      </c>
      <c r="K35" s="18" t="n">
        <v>0</v>
      </c>
      <c r="L35" s="20" t="n">
        <v>0</v>
      </c>
      <c r="M35" s="18" t="n">
        <v>0</v>
      </c>
      <c r="N35" s="20" t="n">
        <v>0</v>
      </c>
      <c r="O35" s="18" t="n">
        <v>0</v>
      </c>
      <c r="P35" s="20" t="n">
        <v>0</v>
      </c>
      <c r="Q35" s="18" t="n">
        <v>1.16333025</v>
      </c>
      <c r="R35" s="20" t="n">
        <v>0.37018057</v>
      </c>
    </row>
    <row r="36" spans="1:18">
      <c r="A36" s="15" t="s">
        <v>594</v>
      </c>
      <c r="B36" s="17" t="n">
        <v>3404</v>
      </c>
      <c r="C36" s="18">
        <f>(2670.0/B36*100)</f>
        <v/>
      </c>
      <c r="D36" s="19" t="n">
        <v>734</v>
      </c>
      <c r="E36" s="18" t="n">
        <v>87.11276540999999</v>
      </c>
      <c r="F36" s="20" t="n">
        <v>1.36522123</v>
      </c>
      <c r="G36" s="18" t="n">
        <v>10.14959248</v>
      </c>
      <c r="H36" s="20" t="n">
        <v>1.17409494</v>
      </c>
      <c r="I36" s="18" t="n">
        <v>0</v>
      </c>
      <c r="J36" s="20" t="n">
        <v>0</v>
      </c>
      <c r="K36" s="18" t="n">
        <v>0</v>
      </c>
      <c r="L36" s="20" t="n">
        <v>0</v>
      </c>
      <c r="M36" s="18" t="n">
        <v>0</v>
      </c>
      <c r="N36" s="20" t="n">
        <v>0</v>
      </c>
      <c r="O36" s="18" t="n">
        <v>0</v>
      </c>
      <c r="P36" s="20" t="n">
        <v>0</v>
      </c>
      <c r="Q36" s="18" t="n">
        <v>2.73764212</v>
      </c>
      <c r="R36" s="20" t="n">
        <v>0.7211632</v>
      </c>
    </row>
    <row r="37" spans="1:18">
      <c r="A37" s="15" t="s">
        <v>595</v>
      </c>
      <c r="B37" s="17" t="n">
        <v>2731</v>
      </c>
      <c r="C37" s="18">
        <f>(2163.0/B37*100)</f>
        <v/>
      </c>
      <c r="D37" s="19" t="n">
        <v>568</v>
      </c>
      <c r="E37" s="18" t="n">
        <v>80.6963489</v>
      </c>
      <c r="F37" s="20" t="n">
        <v>1.39913405</v>
      </c>
      <c r="G37" s="18" t="n">
        <v>9.79944435</v>
      </c>
      <c r="H37" s="20" t="n">
        <v>1.2919271</v>
      </c>
      <c r="I37" s="18" t="n">
        <v>0</v>
      </c>
      <c r="J37" s="20" t="n">
        <v>0</v>
      </c>
      <c r="K37" s="18" t="n">
        <v>1.07150992</v>
      </c>
      <c r="L37" s="20" t="n">
        <v>0.43590586</v>
      </c>
      <c r="M37" s="18" t="n">
        <v>0</v>
      </c>
      <c r="N37" s="20" t="n">
        <v>0</v>
      </c>
      <c r="O37" s="18" t="n">
        <v>0</v>
      </c>
      <c r="P37" s="20" t="n">
        <v>0</v>
      </c>
      <c r="Q37" s="18" t="n">
        <v>8.432696829999999</v>
      </c>
      <c r="R37" s="20" t="n">
        <v>1.1998224</v>
      </c>
    </row>
    <row r="38" spans="1:18">
      <c r="A38" s="15" t="s">
        <v>596</v>
      </c>
      <c r="B38" s="17" t="n">
        <v>2807</v>
      </c>
      <c r="C38" s="18">
        <f>(2237.0/B38*100)</f>
        <v/>
      </c>
      <c r="D38" s="19" t="n">
        <v>570</v>
      </c>
      <c r="E38" s="18" t="n">
        <v>85.33138957</v>
      </c>
      <c r="F38" s="20" t="n">
        <v>1.92727985</v>
      </c>
      <c r="G38" s="18" t="n">
        <v>9.566568719999999</v>
      </c>
      <c r="H38" s="20" t="n">
        <v>1.56991489</v>
      </c>
      <c r="I38" s="18" t="n">
        <v>0</v>
      </c>
      <c r="J38" s="20" t="n">
        <v>0</v>
      </c>
      <c r="K38" s="18" t="n">
        <v>0</v>
      </c>
      <c r="L38" s="20" t="n">
        <v>0</v>
      </c>
      <c r="M38" s="18" t="n">
        <v>1.37946297</v>
      </c>
      <c r="N38" s="20" t="n">
        <v>0.54472448</v>
      </c>
      <c r="O38" s="18" t="n">
        <v>0</v>
      </c>
      <c r="P38" s="20" t="n">
        <v>0</v>
      </c>
      <c r="Q38" s="18" t="n">
        <v>3.72257874</v>
      </c>
      <c r="R38" s="20" t="n">
        <v>1.03018795</v>
      </c>
    </row>
    <row r="39" spans="1:18">
      <c r="A39" s="15" t="s">
        <v>597</v>
      </c>
      <c r="B39" s="17" t="n">
        <v>2938</v>
      </c>
      <c r="C39" s="18">
        <f>(2269.0/B39*100)</f>
        <v/>
      </c>
      <c r="D39" s="19" t="n">
        <v>669</v>
      </c>
      <c r="E39" s="18" t="n">
        <v>94.82504661</v>
      </c>
      <c r="F39" s="20" t="n">
        <v>1.05297119</v>
      </c>
      <c r="G39" s="18" t="n">
        <v>3.96228834</v>
      </c>
      <c r="H39" s="20" t="n">
        <v>0.91138992</v>
      </c>
      <c r="I39" s="18" t="n">
        <v>0</v>
      </c>
      <c r="J39" s="20" t="n">
        <v>0</v>
      </c>
      <c r="K39" s="18" t="n">
        <v>0.18716158</v>
      </c>
      <c r="L39" s="20" t="n">
        <v>0.17779819</v>
      </c>
      <c r="M39" s="18" t="n">
        <v>0.30148707</v>
      </c>
      <c r="N39" s="20" t="n">
        <v>0.17505477</v>
      </c>
      <c r="O39" s="18" t="n">
        <v>0</v>
      </c>
      <c r="P39" s="20" t="n">
        <v>0</v>
      </c>
      <c r="Q39" s="18" t="n">
        <v>0.7240164100000001</v>
      </c>
      <c r="R39" s="20" t="n">
        <v>0.3571547</v>
      </c>
    </row>
    <row r="40" spans="1:18">
      <c r="A40" s="15" t="s">
        <v>598</v>
      </c>
      <c r="B40" s="17" t="n">
        <v>6922</v>
      </c>
      <c r="C40" s="18">
        <f>(5384.0/B40*100)</f>
        <v/>
      </c>
      <c r="D40" s="19" t="n">
        <v>1538</v>
      </c>
      <c r="E40" s="18" t="n">
        <v>82.07348651</v>
      </c>
      <c r="F40" s="20" t="n">
        <v>1.67590029</v>
      </c>
      <c r="G40" s="18" t="n">
        <v>13.69370718</v>
      </c>
      <c r="H40" s="20" t="n">
        <v>1.45626183</v>
      </c>
      <c r="I40" s="18" t="n">
        <v>0</v>
      </c>
      <c r="J40" s="20" t="n">
        <v>0</v>
      </c>
      <c r="K40" s="18" t="n">
        <v>0.01334256</v>
      </c>
      <c r="L40" s="20" t="n">
        <v>0.01355836</v>
      </c>
      <c r="M40" s="18" t="n">
        <v>0</v>
      </c>
      <c r="N40" s="20" t="n">
        <v>0</v>
      </c>
      <c r="O40" s="18" t="n">
        <v>0</v>
      </c>
      <c r="P40" s="20" t="n">
        <v>0</v>
      </c>
      <c r="Q40" s="18" t="n">
        <v>4.21946375</v>
      </c>
      <c r="R40" s="20" t="n">
        <v>0.86513947</v>
      </c>
    </row>
    <row r="41" spans="1:18">
      <c r="A41" s="15" t="s">
        <v>599</v>
      </c>
      <c r="B41" s="17" t="n">
        <v>2854</v>
      </c>
      <c r="C41" s="18">
        <f>(2228.0/B41*100)</f>
        <v/>
      </c>
      <c r="D41" s="19" t="n">
        <v>626</v>
      </c>
      <c r="E41" s="18" t="n">
        <v>81.83085598</v>
      </c>
      <c r="F41" s="20" t="n">
        <v>2.3641508</v>
      </c>
      <c r="G41" s="18" t="n">
        <v>17.82387354</v>
      </c>
      <c r="H41" s="20" t="n">
        <v>2.34429388</v>
      </c>
      <c r="I41" s="18" t="n">
        <v>0</v>
      </c>
      <c r="J41" s="20" t="n">
        <v>0</v>
      </c>
      <c r="K41" s="18" t="n">
        <v>0</v>
      </c>
      <c r="L41" s="20" t="n">
        <v>0</v>
      </c>
      <c r="M41" s="18" t="n">
        <v>0</v>
      </c>
      <c r="N41" s="20" t="n">
        <v>0</v>
      </c>
      <c r="O41" s="18" t="n">
        <v>0</v>
      </c>
      <c r="P41" s="20" t="n">
        <v>0</v>
      </c>
      <c r="Q41" s="18" t="n">
        <v>0.34527048</v>
      </c>
      <c r="R41" s="20" t="n">
        <v>0.25239781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(10040.0/B46*100)</f>
        <v/>
      </c>
      <c r="D46" s="19" t="n">
        <v>2033</v>
      </c>
      <c r="E46" s="18" t="n">
        <v>86.66073396</v>
      </c>
      <c r="F46" s="20" t="n">
        <v>0.83303207</v>
      </c>
      <c r="G46" s="18" t="n">
        <v>5.20265861</v>
      </c>
      <c r="H46" s="20" t="n">
        <v>0.66405519</v>
      </c>
      <c r="I46" s="18" t="n">
        <v>0</v>
      </c>
      <c r="J46" s="20" t="n">
        <v>0</v>
      </c>
      <c r="K46" s="18" t="n">
        <v>1.03666458</v>
      </c>
      <c r="L46" s="20" t="n">
        <v>0.26061624</v>
      </c>
      <c r="M46" s="18" t="n">
        <v>0.05642765</v>
      </c>
      <c r="N46" s="20" t="n">
        <v>0.03726649</v>
      </c>
      <c r="O46" s="18" t="n">
        <v>0</v>
      </c>
      <c r="P46" s="20" t="n">
        <v>0</v>
      </c>
      <c r="Q46" s="18" t="n">
        <v>7.0435152</v>
      </c>
      <c r="R46" s="20" t="n">
        <v>0.64952303</v>
      </c>
    </row>
    <row r="47" spans="1:18">
      <c r="A47" s="15" t="s">
        <v>606</v>
      </c>
      <c r="B47" s="17" t="n">
        <v>2823</v>
      </c>
      <c r="C47" s="18">
        <f>(2211.0/B47*100)</f>
        <v/>
      </c>
      <c r="D47" s="19" t="n">
        <v>612</v>
      </c>
      <c r="E47" s="18" t="n">
        <v>91.7593244</v>
      </c>
      <c r="F47" s="20" t="n">
        <v>1.15911414</v>
      </c>
      <c r="G47" s="18" t="n">
        <v>4.83885811</v>
      </c>
      <c r="H47" s="20" t="n">
        <v>0.93975932</v>
      </c>
      <c r="I47" s="18" t="n">
        <v>0</v>
      </c>
      <c r="J47" s="20" t="n">
        <v>0</v>
      </c>
      <c r="K47" s="18" t="n">
        <v>0.32103642</v>
      </c>
      <c r="L47" s="20" t="n">
        <v>0.22384389</v>
      </c>
      <c r="M47" s="18" t="n">
        <v>0</v>
      </c>
      <c r="N47" s="20" t="n">
        <v>0</v>
      </c>
      <c r="O47" s="18" t="n">
        <v>0</v>
      </c>
      <c r="P47" s="20" t="n">
        <v>0</v>
      </c>
      <c r="Q47" s="18" t="n">
        <v>3.08078108</v>
      </c>
      <c r="R47" s="20" t="n">
        <v>0.66181246</v>
      </c>
    </row>
    <row r="48" spans="1:18">
      <c r="A48" s="15" t="s">
        <v>607</v>
      </c>
      <c r="B48" s="17" t="n">
        <v>4682</v>
      </c>
      <c r="C48" s="18">
        <f>(3701.0/B48*100)</f>
        <v/>
      </c>
      <c r="D48" s="19" t="n">
        <v>981</v>
      </c>
      <c r="E48" s="18" t="n">
        <v>88.96725107</v>
      </c>
      <c r="F48" s="20" t="n">
        <v>1.26989989</v>
      </c>
      <c r="G48" s="18" t="n">
        <v>9.601886240000001</v>
      </c>
      <c r="H48" s="20" t="n">
        <v>1.14505486</v>
      </c>
      <c r="I48" s="18" t="n">
        <v>0</v>
      </c>
      <c r="J48" s="20" t="n">
        <v>0</v>
      </c>
      <c r="K48" s="18" t="n">
        <v>0.37325944</v>
      </c>
      <c r="L48" s="20" t="n">
        <v>0.25800548</v>
      </c>
      <c r="M48" s="18" t="n">
        <v>0.03215933</v>
      </c>
      <c r="N48" s="20" t="n">
        <v>0.02459712</v>
      </c>
      <c r="O48" s="18" t="n">
        <v>0</v>
      </c>
      <c r="P48" s="20" t="n">
        <v>0</v>
      </c>
      <c r="Q48" s="18" t="n">
        <v>1.02544393</v>
      </c>
      <c r="R48" s="20" t="n">
        <v>0.4204384</v>
      </c>
    </row>
    <row r="49" spans="1:18">
      <c r="A49" s="15" t="s">
        <v>608</v>
      </c>
      <c r="B49" s="17" t="n">
        <v>6158</v>
      </c>
      <c r="C49" s="18">
        <f>(4869.0/B49*100)</f>
        <v/>
      </c>
      <c r="D49" s="19" t="n">
        <v>1289</v>
      </c>
      <c r="E49" s="18" t="n">
        <v>92.82843615</v>
      </c>
      <c r="F49" s="20" t="n">
        <v>0.85696127</v>
      </c>
      <c r="G49" s="18" t="n">
        <v>4.65044422</v>
      </c>
      <c r="H49" s="20" t="n">
        <v>0.62061592</v>
      </c>
      <c r="I49" s="18" t="n">
        <v>0</v>
      </c>
      <c r="J49" s="20" t="n">
        <v>0</v>
      </c>
      <c r="K49" s="18" t="n">
        <v>0.89937152</v>
      </c>
      <c r="L49" s="20" t="n">
        <v>0.30176709</v>
      </c>
      <c r="M49" s="18" t="n">
        <v>0.1057576</v>
      </c>
      <c r="N49" s="20" t="n">
        <v>0.06105892</v>
      </c>
      <c r="O49" s="18" t="n">
        <v>0</v>
      </c>
      <c r="P49" s="20" t="n">
        <v>0</v>
      </c>
      <c r="Q49" s="18" t="n">
        <v>1.5159905</v>
      </c>
      <c r="R49" s="20" t="n">
        <v>0.38381012</v>
      </c>
    </row>
    <row r="50" spans="1:18">
      <c r="A50" s="15" t="s">
        <v>609</v>
      </c>
      <c r="B50" s="17" t="n">
        <v>3494</v>
      </c>
      <c r="C50" s="18">
        <f>(2863.0/B50*100)</f>
        <v/>
      </c>
      <c r="D50" s="19" t="n">
        <v>631</v>
      </c>
      <c r="E50" s="18" t="n">
        <v>92.71036843</v>
      </c>
      <c r="F50" s="20" t="n">
        <v>1.27959075</v>
      </c>
      <c r="G50" s="18" t="n">
        <v>3.35987665</v>
      </c>
      <c r="H50" s="20" t="n">
        <v>0.77818736</v>
      </c>
      <c r="I50" s="18" t="n">
        <v>0</v>
      </c>
      <c r="J50" s="20" t="n">
        <v>0</v>
      </c>
      <c r="K50" s="18" t="n">
        <v>0.23331741</v>
      </c>
      <c r="L50" s="20" t="n">
        <v>0.17444269</v>
      </c>
      <c r="M50" s="18" t="n">
        <v>0</v>
      </c>
      <c r="N50" s="20" t="n">
        <v>0</v>
      </c>
      <c r="O50" s="18" t="n">
        <v>0</v>
      </c>
      <c r="P50" s="20" t="n">
        <v>0</v>
      </c>
      <c r="Q50" s="18" t="n">
        <v>3.69643751</v>
      </c>
      <c r="R50" s="20" t="n">
        <v>0.92583148</v>
      </c>
    </row>
    <row r="51" spans="1:18">
      <c r="A51" s="15" t="s">
        <v>610</v>
      </c>
      <c r="B51" s="17" t="n">
        <v>3013</v>
      </c>
      <c r="C51" s="18">
        <f>(2368.0/B51*100)</f>
        <v/>
      </c>
      <c r="D51" s="19" t="n">
        <v>645</v>
      </c>
      <c r="E51" s="18" t="n">
        <v>91.05947827999999</v>
      </c>
      <c r="F51" s="20" t="n">
        <v>1.16226627</v>
      </c>
      <c r="G51" s="18" t="n">
        <v>3.92387635</v>
      </c>
      <c r="H51" s="20" t="n">
        <v>0.64432699</v>
      </c>
      <c r="I51" s="18" t="n">
        <v>0</v>
      </c>
      <c r="J51" s="20" t="n">
        <v>0</v>
      </c>
      <c r="K51" s="18" t="n">
        <v>0</v>
      </c>
      <c r="L51" s="20" t="n">
        <v>0</v>
      </c>
      <c r="M51" s="18" t="n">
        <v>0</v>
      </c>
      <c r="N51" s="20" t="n">
        <v>0</v>
      </c>
      <c r="O51" s="18" t="n">
        <v>0</v>
      </c>
      <c r="P51" s="20" t="n">
        <v>0</v>
      </c>
      <c r="Q51" s="18" t="n">
        <v>5.01664537</v>
      </c>
      <c r="R51" s="20" t="n">
        <v>0.90125068</v>
      </c>
    </row>
    <row r="52" spans="1:18">
      <c r="A52" s="15" t="s">
        <v>611</v>
      </c>
      <c r="B52" s="17" t="n">
        <v>2760</v>
      </c>
      <c r="C52" s="18">
        <f>(2188.0/B52*100)</f>
        <v/>
      </c>
      <c r="D52" s="19" t="n">
        <v>572</v>
      </c>
      <c r="E52" s="18" t="n">
        <v>92.09731509</v>
      </c>
      <c r="F52" s="20" t="n">
        <v>1.16511744</v>
      </c>
      <c r="G52" s="18" t="n">
        <v>4.58944155</v>
      </c>
      <c r="H52" s="20" t="n">
        <v>0.92720635</v>
      </c>
      <c r="I52" s="18" t="n">
        <v>0</v>
      </c>
      <c r="J52" s="20" t="n">
        <v>0</v>
      </c>
      <c r="K52" s="18" t="n">
        <v>0.14984052</v>
      </c>
      <c r="L52" s="20" t="n">
        <v>0.15123505</v>
      </c>
      <c r="M52" s="18" t="n">
        <v>0</v>
      </c>
      <c r="N52" s="20" t="n">
        <v>0</v>
      </c>
      <c r="O52" s="18" t="n">
        <v>0</v>
      </c>
      <c r="P52" s="20" t="n">
        <v>0</v>
      </c>
      <c r="Q52" s="18" t="n">
        <v>3.16340284</v>
      </c>
      <c r="R52" s="20" t="n">
        <v>0.78167255</v>
      </c>
    </row>
    <row r="53" spans="1:18">
      <c r="A53" s="15" t="s">
        <v>612</v>
      </c>
      <c r="B53" s="17" t="n">
        <v>2474</v>
      </c>
      <c r="C53" s="18">
        <f>(1895.0/B53*100)</f>
        <v/>
      </c>
      <c r="D53" s="19" t="n">
        <v>579</v>
      </c>
      <c r="E53" s="18" t="n">
        <v>73.68289804</v>
      </c>
      <c r="F53" s="20" t="n">
        <v>2.08830823</v>
      </c>
      <c r="G53" s="18" t="n">
        <v>2.01184268</v>
      </c>
      <c r="H53" s="20" t="n">
        <v>0.54787573</v>
      </c>
      <c r="I53" s="18" t="n">
        <v>0</v>
      </c>
      <c r="J53" s="20" t="n">
        <v>0</v>
      </c>
      <c r="K53" s="18" t="n">
        <v>18.80972227</v>
      </c>
      <c r="L53" s="20" t="n">
        <v>1.77331578</v>
      </c>
      <c r="M53" s="18" t="n">
        <v>0.57893462</v>
      </c>
      <c r="N53" s="20" t="n">
        <v>0.62571882</v>
      </c>
      <c r="O53" s="18" t="n">
        <v>0</v>
      </c>
      <c r="P53" s="20" t="n">
        <v>0</v>
      </c>
      <c r="Q53" s="18" t="n">
        <v>4.9166024</v>
      </c>
      <c r="R53" s="20" t="n">
        <v>1.03594345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(2073.0/B55*100)</f>
        <v/>
      </c>
      <c r="D55" s="19" t="n">
        <v>602</v>
      </c>
      <c r="E55" s="18" t="n">
        <v>93.62053195</v>
      </c>
      <c r="F55" s="20" t="n">
        <v>0.9500217</v>
      </c>
      <c r="G55" s="18" t="n">
        <v>5.37347795</v>
      </c>
      <c r="H55" s="20" t="n">
        <v>0.84568158</v>
      </c>
      <c r="I55" s="18" t="n">
        <v>0</v>
      </c>
      <c r="J55" s="20" t="n">
        <v>0</v>
      </c>
      <c r="K55" s="18" t="n">
        <v>0.15230106</v>
      </c>
      <c r="L55" s="20" t="n">
        <v>0.17039154</v>
      </c>
      <c r="M55" s="18" t="n">
        <v>0.20655062</v>
      </c>
      <c r="N55" s="20" t="n">
        <v>0.22887467</v>
      </c>
      <c r="O55" s="18" t="n">
        <v>0</v>
      </c>
      <c r="P55" s="20" t="n">
        <v>0</v>
      </c>
      <c r="Q55" s="18" t="n">
        <v>0.64713843</v>
      </c>
      <c r="R55" s="20" t="n">
        <v>0.32358622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(2524.0/B61*100)</f>
        <v/>
      </c>
      <c r="D61" s="19" t="n">
        <v>677</v>
      </c>
      <c r="E61" s="18" t="n">
        <v>84.96255865000001</v>
      </c>
      <c r="F61" s="20" t="n">
        <v>1.73203184</v>
      </c>
      <c r="G61" s="18" t="n">
        <v>12.38077772</v>
      </c>
      <c r="H61" s="20" t="n">
        <v>1.54530671</v>
      </c>
      <c r="I61" s="18" t="n">
        <v>0</v>
      </c>
      <c r="J61" s="20" t="n">
        <v>0</v>
      </c>
      <c r="K61" s="18" t="n">
        <v>0.16656716</v>
      </c>
      <c r="L61" s="20" t="n">
        <v>0.181468</v>
      </c>
      <c r="M61" s="18" t="n">
        <v>0</v>
      </c>
      <c r="N61" s="20" t="n">
        <v>0</v>
      </c>
      <c r="O61" s="18" t="n">
        <v>0</v>
      </c>
      <c r="P61" s="20" t="n">
        <v>0</v>
      </c>
      <c r="Q61" s="18" t="n">
        <v>2.49009648</v>
      </c>
      <c r="R61" s="20" t="n">
        <v>0.77977531</v>
      </c>
    </row>
    <row r="62" spans="1:18">
      <c r="A62" s="15" t="s">
        <v>622</v>
      </c>
      <c r="B62" s="17" t="n">
        <v>2230</v>
      </c>
      <c r="C62" s="18">
        <f>(1754.0/B62*100)</f>
        <v/>
      </c>
      <c r="D62" s="19" t="n">
        <v>476</v>
      </c>
      <c r="E62" s="18" t="n">
        <v>90.13645067</v>
      </c>
      <c r="F62" s="20" t="n">
        <v>1.40658096</v>
      </c>
      <c r="G62" s="18" t="n">
        <v>9.44361434</v>
      </c>
      <c r="H62" s="20" t="n">
        <v>1.38866821</v>
      </c>
      <c r="I62" s="18" t="n">
        <v>0</v>
      </c>
      <c r="J62" s="20" t="n">
        <v>0</v>
      </c>
      <c r="K62" s="18" t="n">
        <v>0</v>
      </c>
      <c r="L62" s="20" t="n">
        <v>0</v>
      </c>
      <c r="M62" s="18" t="n">
        <v>0.21107861</v>
      </c>
      <c r="N62" s="20" t="n">
        <v>0.21145219</v>
      </c>
      <c r="O62" s="18" t="n">
        <v>0</v>
      </c>
      <c r="P62" s="20" t="n">
        <v>0</v>
      </c>
      <c r="Q62" s="18" t="n">
        <v>0.20885637</v>
      </c>
      <c r="R62" s="20" t="n">
        <v>0.20777546</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(2186.0/B67*100)</f>
        <v/>
      </c>
      <c r="D67" s="19" t="n">
        <v>585</v>
      </c>
      <c r="E67" s="18" t="n">
        <v>86.98901725</v>
      </c>
      <c r="F67" s="20" t="n">
        <v>1.45359244</v>
      </c>
      <c r="G67" s="18" t="n">
        <v>2.06467894</v>
      </c>
      <c r="H67" s="20" t="n">
        <v>0.6438641000000001</v>
      </c>
      <c r="I67" s="18" t="n">
        <v>0</v>
      </c>
      <c r="J67" s="20" t="n">
        <v>0</v>
      </c>
      <c r="K67" s="18" t="n">
        <v>0.77347084</v>
      </c>
      <c r="L67" s="20" t="n">
        <v>0.35326948</v>
      </c>
      <c r="M67" s="18" t="n">
        <v>0.16197522</v>
      </c>
      <c r="N67" s="20" t="n">
        <v>0.16085286</v>
      </c>
      <c r="O67" s="18" t="n">
        <v>0</v>
      </c>
      <c r="P67" s="20" t="n">
        <v>0</v>
      </c>
      <c r="Q67" s="18" t="n">
        <v>10.01085775</v>
      </c>
      <c r="R67" s="20" t="n">
        <v>1.22926085</v>
      </c>
    </row>
    <row r="68" spans="1:18">
      <c r="A68" s="15" t="s">
        <v>628</v>
      </c>
      <c r="B68" s="17" t="n">
        <v>3460</v>
      </c>
      <c r="C68" s="18">
        <f>(2821.0/B68*100)</f>
        <v/>
      </c>
      <c r="D68" s="19" t="n">
        <v>639</v>
      </c>
      <c r="E68" s="18" t="n">
        <v>96.07693999</v>
      </c>
      <c r="F68" s="20" t="n">
        <v>0.73567089</v>
      </c>
      <c r="G68" s="18" t="n">
        <v>0.7178989</v>
      </c>
      <c r="H68" s="20" t="n">
        <v>0.31841431</v>
      </c>
      <c r="I68" s="18" t="n">
        <v>0</v>
      </c>
      <c r="J68" s="20" t="n">
        <v>0</v>
      </c>
      <c r="K68" s="18" t="n">
        <v>0.16233251</v>
      </c>
      <c r="L68" s="20" t="n">
        <v>0.16300523</v>
      </c>
      <c r="M68" s="18" t="n">
        <v>0</v>
      </c>
      <c r="N68" s="20" t="n">
        <v>0</v>
      </c>
      <c r="O68" s="18" t="n">
        <v>0</v>
      </c>
      <c r="P68" s="20" t="n">
        <v>0</v>
      </c>
      <c r="Q68" s="18" t="n">
        <v>3.0428286</v>
      </c>
      <c r="R68" s="20" t="n">
        <v>0.66778068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(4719.0/B70*100)</f>
        <v/>
      </c>
      <c r="D70" s="19" t="n">
        <v>1315</v>
      </c>
      <c r="E70" s="18" t="n">
        <v>87.95495628</v>
      </c>
      <c r="F70" s="20" t="n">
        <v>1.02010876</v>
      </c>
      <c r="G70" s="18" t="n">
        <v>6.44227732</v>
      </c>
      <c r="H70" s="20" t="n">
        <v>0.6676731</v>
      </c>
      <c r="I70" s="18" t="n">
        <v>0</v>
      </c>
      <c r="J70" s="20" t="n">
        <v>0</v>
      </c>
      <c r="K70" s="18" t="n">
        <v>1.63190443</v>
      </c>
      <c r="L70" s="20" t="n">
        <v>0.31879149</v>
      </c>
      <c r="M70" s="18" t="n">
        <v>0.07458019</v>
      </c>
      <c r="N70" s="20" t="n">
        <v>0.07438702</v>
      </c>
      <c r="O70" s="18" t="n">
        <v>0</v>
      </c>
      <c r="P70" s="20" t="n">
        <v>0</v>
      </c>
      <c r="Q70" s="18" t="n">
        <v>3.89628179</v>
      </c>
      <c r="R70" s="20" t="n">
        <v>0.57601771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(2478.0/B72*100)</f>
        <v/>
      </c>
      <c r="D72" s="19" t="n">
        <v>629</v>
      </c>
      <c r="E72" s="18" t="n">
        <v>91.79512986</v>
      </c>
      <c r="F72" s="20" t="n">
        <v>1.22549025</v>
      </c>
      <c r="G72" s="18" t="n">
        <v>5.64158488</v>
      </c>
      <c r="H72" s="20" t="n">
        <v>1.03027102</v>
      </c>
      <c r="I72" s="18" t="n">
        <v>0</v>
      </c>
      <c r="J72" s="20" t="n">
        <v>0</v>
      </c>
      <c r="K72" s="18" t="n">
        <v>0.08130419999999999</v>
      </c>
      <c r="L72" s="20" t="n">
        <v>0.08206664</v>
      </c>
      <c r="M72" s="18" t="n">
        <v>0.14720696</v>
      </c>
      <c r="N72" s="20" t="n">
        <v>0.14485097</v>
      </c>
      <c r="O72" s="18" t="n">
        <v>0</v>
      </c>
      <c r="P72" s="20" t="n">
        <v>0</v>
      </c>
      <c r="Q72" s="18" t="n">
        <v>2.3347741</v>
      </c>
      <c r="R72" s="20" t="n">
        <v>0.50877181</v>
      </c>
    </row>
    <row r="73" spans="1:18">
      <c r="A73" s="15" t="s">
        <v>633</v>
      </c>
      <c r="B73" s="17" t="n">
        <v>2973</v>
      </c>
      <c r="C73" s="18">
        <f>(2276.0/B73*100)</f>
        <v/>
      </c>
      <c r="D73" s="19" t="n">
        <v>697</v>
      </c>
      <c r="E73" s="18" t="n">
        <v>77.27591157000001</v>
      </c>
      <c r="F73" s="20" t="n">
        <v>1.62154659</v>
      </c>
      <c r="G73" s="18" t="n">
        <v>22.07582587</v>
      </c>
      <c r="H73" s="20" t="n">
        <v>1.64398114</v>
      </c>
      <c r="I73" s="18" t="n">
        <v>0</v>
      </c>
      <c r="J73" s="20" t="n">
        <v>0</v>
      </c>
      <c r="K73" s="18" t="n">
        <v>0</v>
      </c>
      <c r="L73" s="20" t="n">
        <v>0</v>
      </c>
      <c r="M73" s="18" t="n">
        <v>0</v>
      </c>
      <c r="N73" s="20" t="n">
        <v>0</v>
      </c>
      <c r="O73" s="18" t="n">
        <v>0</v>
      </c>
      <c r="P73" s="20" t="n">
        <v>0</v>
      </c>
      <c r="Q73" s="18" t="n">
        <v>0.64826256</v>
      </c>
      <c r="R73" s="20" t="n">
        <v>0.30013784</v>
      </c>
    </row>
    <row r="74" spans="1:18">
      <c r="A74" s="15" t="s">
        <v>634</v>
      </c>
      <c r="B74" s="17" t="n">
        <v>3819</v>
      </c>
      <c r="C74" s="18">
        <f>(2942.0/B74*100)</f>
        <v/>
      </c>
      <c r="D74" s="19" t="n">
        <v>877</v>
      </c>
      <c r="E74" s="18" t="n">
        <v>92.07840224</v>
      </c>
      <c r="F74" s="20" t="n">
        <v>1.03995161</v>
      </c>
      <c r="G74" s="18" t="n">
        <v>7.54584625</v>
      </c>
      <c r="H74" s="20" t="n">
        <v>1.03652005</v>
      </c>
      <c r="I74" s="18" t="n">
        <v>0</v>
      </c>
      <c r="J74" s="20" t="n">
        <v>0</v>
      </c>
      <c r="K74" s="18" t="n">
        <v>0.13129914</v>
      </c>
      <c r="L74" s="20" t="n">
        <v>0.0948116</v>
      </c>
      <c r="M74" s="18" t="n">
        <v>0</v>
      </c>
      <c r="N74" s="20" t="n">
        <v>0</v>
      </c>
      <c r="O74" s="18" t="n">
        <v>0</v>
      </c>
      <c r="P74" s="20" t="n">
        <v>0</v>
      </c>
      <c r="Q74" s="18" t="n">
        <v>0.24445237</v>
      </c>
      <c r="R74" s="20" t="n">
        <v>0.17735638</v>
      </c>
    </row>
    <row r="75" spans="1:18">
      <c r="A75" s="15" t="s">
        <v>635</v>
      </c>
      <c r="B75" s="17" t="n">
        <v>4652</v>
      </c>
      <c r="C75" s="18">
        <f>(3699.0/B75*100)</f>
        <v/>
      </c>
      <c r="D75" s="19" t="n">
        <v>953</v>
      </c>
      <c r="E75" s="18" t="n">
        <v>98.23915391</v>
      </c>
      <c r="F75" s="20" t="n">
        <v>0.54361665</v>
      </c>
      <c r="G75" s="18" t="n">
        <v>0.88386183</v>
      </c>
      <c r="H75" s="20" t="n">
        <v>0.38113106</v>
      </c>
      <c r="I75" s="18" t="n">
        <v>0</v>
      </c>
      <c r="J75" s="20" t="n">
        <v>0</v>
      </c>
      <c r="K75" s="18" t="n">
        <v>0</v>
      </c>
      <c r="L75" s="20" t="n">
        <v>0</v>
      </c>
      <c r="M75" s="18" t="n">
        <v>0.14771555</v>
      </c>
      <c r="N75" s="20" t="n">
        <v>0.14590861</v>
      </c>
      <c r="O75" s="18" t="n">
        <v>0</v>
      </c>
      <c r="P75" s="20" t="n">
        <v>0</v>
      </c>
      <c r="Q75" s="18" t="n">
        <v>0.72926872</v>
      </c>
      <c r="R75" s="20" t="n">
        <v>0.36538648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(2410.0/B77*100)</f>
        <v/>
      </c>
      <c r="D77" s="19" t="n">
        <v>559</v>
      </c>
      <c r="E77" s="18" t="n">
        <v>86.51323977</v>
      </c>
      <c r="F77" s="20" t="n">
        <v>1.48036206</v>
      </c>
      <c r="G77" s="18" t="n">
        <v>1.54096712</v>
      </c>
      <c r="H77" s="20" t="n">
        <v>0.47278721</v>
      </c>
      <c r="I77" s="18" t="n">
        <v>0</v>
      </c>
      <c r="J77" s="20" t="n">
        <v>0</v>
      </c>
      <c r="K77" s="18" t="n">
        <v>5.21665758</v>
      </c>
      <c r="L77" s="20" t="n">
        <v>1.20338392</v>
      </c>
      <c r="M77" s="18" t="n">
        <v>0.16372463</v>
      </c>
      <c r="N77" s="20" t="n">
        <v>0.16419345</v>
      </c>
      <c r="O77" s="18" t="n">
        <v>0</v>
      </c>
      <c r="P77" s="20" t="n">
        <v>0</v>
      </c>
      <c r="Q77" s="18" t="n">
        <v>6.56541091</v>
      </c>
      <c r="R77" s="20" t="n">
        <v>1.00688312</v>
      </c>
    </row>
    <row r="78" spans="1:18">
      <c r="A78" s="15" t="s">
        <v>638</v>
      </c>
      <c r="B78" s="17" t="n">
        <v>7115</v>
      </c>
      <c r="C78" s="18">
        <f>(5542.0/B78*100)</f>
        <v/>
      </c>
      <c r="D78" s="19" t="n">
        <v>1573</v>
      </c>
      <c r="E78" s="18" t="n">
        <v>91.53352108</v>
      </c>
      <c r="F78" s="20" t="n">
        <v>0.73786799</v>
      </c>
      <c r="G78" s="18" t="n">
        <v>5.78317207</v>
      </c>
      <c r="H78" s="20" t="n">
        <v>0.70537301</v>
      </c>
      <c r="I78" s="18" t="n">
        <v>0</v>
      </c>
      <c r="J78" s="20" t="n">
        <v>0</v>
      </c>
      <c r="K78" s="18" t="n">
        <v>0.59722566</v>
      </c>
      <c r="L78" s="20" t="n">
        <v>0.24620466</v>
      </c>
      <c r="M78" s="18" t="n">
        <v>0.06876274</v>
      </c>
      <c r="N78" s="20" t="n">
        <v>0.06479139</v>
      </c>
      <c r="O78" s="18" t="n">
        <v>0</v>
      </c>
      <c r="P78" s="20" t="n">
        <v>0</v>
      </c>
      <c r="Q78" s="18" t="n">
        <v>2.01731845</v>
      </c>
      <c r="R78" s="20" t="n">
        <v>0.49233587</v>
      </c>
    </row>
    <row r="79" spans="1:18">
      <c r="A79" s="15" t="s">
        <v>639</v>
      </c>
      <c r="B79" s="17" t="n">
        <v>3154</v>
      </c>
      <c r="C79" s="18">
        <f>(2521.0/B79*100)</f>
        <v/>
      </c>
      <c r="D79" s="19" t="n">
        <v>633</v>
      </c>
      <c r="E79" s="18" t="n">
        <v>86.28428991</v>
      </c>
      <c r="F79" s="20" t="n">
        <v>1.62606059</v>
      </c>
      <c r="G79" s="18" t="n">
        <v>4.10561175</v>
      </c>
      <c r="H79" s="20" t="n">
        <v>0.779157</v>
      </c>
      <c r="I79" s="18" t="n">
        <v>0</v>
      </c>
      <c r="J79" s="20" t="n">
        <v>0</v>
      </c>
      <c r="K79" s="18" t="n">
        <v>1.18193965</v>
      </c>
      <c r="L79" s="20" t="n">
        <v>0.40244485</v>
      </c>
      <c r="M79" s="18" t="n">
        <v>0</v>
      </c>
      <c r="N79" s="20" t="n">
        <v>0</v>
      </c>
      <c r="O79" s="18" t="n">
        <v>0</v>
      </c>
      <c r="P79" s="20" t="n">
        <v>0</v>
      </c>
      <c r="Q79" s="18" t="n">
        <v>8.428158679999999</v>
      </c>
      <c r="R79" s="20" t="n">
        <v>1.33096943</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(12492.0/B82*100)</f>
        <v/>
      </c>
      <c r="D82" s="19" t="n">
        <v>3469</v>
      </c>
      <c r="E82" s="18" t="n">
        <v>84.46430417000001</v>
      </c>
      <c r="F82" s="20" t="n">
        <v>0.8182172</v>
      </c>
      <c r="G82" s="18" t="n">
        <v>11.79573019</v>
      </c>
      <c r="H82" s="20" t="n">
        <v>0.73563427</v>
      </c>
      <c r="I82" s="18" t="n">
        <v>0</v>
      </c>
      <c r="J82" s="20" t="n">
        <v>0</v>
      </c>
      <c r="K82" s="18" t="n">
        <v>0.15768521</v>
      </c>
      <c r="L82" s="20" t="n">
        <v>0.08638178000000001</v>
      </c>
      <c r="M82" s="18" t="n">
        <v>0</v>
      </c>
      <c r="N82" s="20" t="n">
        <v>0</v>
      </c>
      <c r="O82" s="18" t="n">
        <v>0</v>
      </c>
      <c r="P82" s="20" t="n">
        <v>0</v>
      </c>
      <c r="Q82" s="18" t="n">
        <v>3.58228043</v>
      </c>
      <c r="R82" s="20" t="n">
        <v>0.58726741</v>
      </c>
    </row>
    <row r="83" spans="1:18">
      <c r="A83" s="15" t="s">
        <v>643</v>
      </c>
      <c r="B83" s="17" t="n">
        <v>808</v>
      </c>
      <c r="C83" s="18">
        <f>(648.0/B83*100)</f>
        <v/>
      </c>
      <c r="D83" s="19" t="n">
        <v>160</v>
      </c>
      <c r="E83" s="18" t="n">
        <v>79.91773378000001</v>
      </c>
      <c r="F83" s="20" t="n">
        <v>3.52160362</v>
      </c>
      <c r="G83" s="18" t="n">
        <v>18.9190359</v>
      </c>
      <c r="H83" s="20" t="n">
        <v>3.63577099</v>
      </c>
      <c r="I83" s="18" t="n">
        <v>0</v>
      </c>
      <c r="J83" s="20" t="n">
        <v>0</v>
      </c>
      <c r="K83" s="18" t="n">
        <v>0</v>
      </c>
      <c r="L83" s="20" t="n">
        <v>0</v>
      </c>
      <c r="M83" s="18" t="n">
        <v>0</v>
      </c>
      <c r="N83" s="20" t="n">
        <v>0</v>
      </c>
      <c r="O83" s="18" t="n">
        <v>0</v>
      </c>
      <c r="P83" s="20" t="n">
        <v>0</v>
      </c>
      <c r="Q83" s="18" t="n">
        <v>1.16323033</v>
      </c>
      <c r="R83" s="20" t="n">
        <v>0.74364931</v>
      </c>
    </row>
    <row r="84" spans="1:18">
      <c r="A84" s="23" t="s">
        <v>644</v>
      </c>
      <c r="B84" s="24" t="n">
        <v>938</v>
      </c>
      <c r="C84" s="25">
        <f>(715.0/B84*100)</f>
        <v/>
      </c>
      <c r="D84" s="19" t="n">
        <v>223</v>
      </c>
      <c r="E84" s="18" t="n">
        <v>80.19201662</v>
      </c>
      <c r="F84" s="20" t="n">
        <v>2.32963179</v>
      </c>
      <c r="G84" s="18" t="n">
        <v>19.18079819</v>
      </c>
      <c r="H84" s="20" t="n">
        <v>2.2533812</v>
      </c>
      <c r="I84" s="18" t="n">
        <v>0</v>
      </c>
      <c r="J84" s="20" t="n">
        <v>0</v>
      </c>
      <c r="K84" s="18" t="n">
        <v>0</v>
      </c>
      <c r="L84" s="20" t="n">
        <v>0</v>
      </c>
      <c r="M84" s="18" t="n">
        <v>0</v>
      </c>
      <c r="N84" s="20" t="n">
        <v>0</v>
      </c>
      <c r="O84" s="18" t="n">
        <v>0</v>
      </c>
      <c r="P84" s="20" t="n">
        <v>0</v>
      </c>
      <c r="Q84" s="18" t="n">
        <v>0.62718518</v>
      </c>
      <c r="R84" s="20" t="n">
        <v>0.64072212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(5604.0/B7*100)</f>
        <v/>
      </c>
      <c r="D7" s="19" t="n">
        <v>1559</v>
      </c>
      <c r="E7" s="18" t="n">
        <v>48.33878537</v>
      </c>
      <c r="F7" s="20" t="n">
        <v>1.54034077</v>
      </c>
      <c r="G7" s="18" t="n">
        <v>47.04612563</v>
      </c>
      <c r="H7" s="20" t="n">
        <v>1.49144646</v>
      </c>
      <c r="I7" s="18" t="n">
        <v>0</v>
      </c>
      <c r="J7" s="20" t="n">
        <v>0</v>
      </c>
      <c r="K7" s="18" t="n">
        <v>0.35484389</v>
      </c>
      <c r="L7" s="20" t="n">
        <v>0.16592041</v>
      </c>
      <c r="M7" s="18" t="n">
        <v>0</v>
      </c>
      <c r="N7" s="20" t="n">
        <v>0</v>
      </c>
      <c r="O7" s="18" t="n">
        <v>0</v>
      </c>
      <c r="P7" s="20" t="n">
        <v>0</v>
      </c>
      <c r="Q7" s="18" t="n">
        <v>4.26024512</v>
      </c>
      <c r="R7" s="20" t="n">
        <v>0.5669200599999999</v>
      </c>
    </row>
    <row r="8" spans="1:18">
      <c r="A8" s="15" t="s">
        <v>566</v>
      </c>
      <c r="B8" s="17" t="n">
        <v>3443</v>
      </c>
      <c r="C8" s="18">
        <f>(2726.0/B8*100)</f>
        <v/>
      </c>
      <c r="D8" s="19" t="n">
        <v>717</v>
      </c>
      <c r="E8" s="18" t="n">
        <v>42.2288589</v>
      </c>
      <c r="F8" s="20" t="n">
        <v>2.03887747</v>
      </c>
      <c r="G8" s="18" t="n">
        <v>53.86222798</v>
      </c>
      <c r="H8" s="20" t="n">
        <v>2.06261748</v>
      </c>
      <c r="I8" s="18" t="n">
        <v>0</v>
      </c>
      <c r="J8" s="20" t="n">
        <v>0</v>
      </c>
      <c r="K8" s="18" t="n">
        <v>0</v>
      </c>
      <c r="L8" s="20" t="n">
        <v>0</v>
      </c>
      <c r="M8" s="18" t="n">
        <v>0</v>
      </c>
      <c r="N8" s="20" t="n">
        <v>0</v>
      </c>
      <c r="O8" s="18" t="n">
        <v>0</v>
      </c>
      <c r="P8" s="20" t="n">
        <v>0</v>
      </c>
      <c r="Q8" s="18" t="n">
        <v>3.90891312</v>
      </c>
      <c r="R8" s="20" t="n">
        <v>0.8107117</v>
      </c>
    </row>
    <row r="9" spans="1:18">
      <c r="A9" s="15" t="s">
        <v>567</v>
      </c>
      <c r="B9" s="17" t="n">
        <v>4752</v>
      </c>
      <c r="C9" s="18">
        <f>(3782.0/B9*100)</f>
        <v/>
      </c>
      <c r="D9" s="19" t="n">
        <v>970</v>
      </c>
      <c r="E9" s="18" t="n">
        <v>47.03345952</v>
      </c>
      <c r="F9" s="20" t="n">
        <v>1.61564087</v>
      </c>
      <c r="G9" s="18" t="n">
        <v>50.37448312</v>
      </c>
      <c r="H9" s="20" t="n">
        <v>1.68208255</v>
      </c>
      <c r="I9" s="18" t="n">
        <v>0</v>
      </c>
      <c r="J9" s="20" t="n">
        <v>0</v>
      </c>
      <c r="K9" s="18" t="n">
        <v>0.36702378</v>
      </c>
      <c r="L9" s="20" t="n">
        <v>0.21636717</v>
      </c>
      <c r="M9" s="18" t="n">
        <v>0</v>
      </c>
      <c r="N9" s="20" t="n">
        <v>0</v>
      </c>
      <c r="O9" s="18" t="n">
        <v>0</v>
      </c>
      <c r="P9" s="20" t="n">
        <v>0</v>
      </c>
      <c r="Q9" s="18" t="n">
        <v>2.22503358</v>
      </c>
      <c r="R9" s="20" t="n">
        <v>0.61479355</v>
      </c>
    </row>
    <row r="10" spans="1:18">
      <c r="A10" s="15" t="s">
        <v>568</v>
      </c>
      <c r="B10" s="17" t="n">
        <v>10022</v>
      </c>
      <c r="C10" s="18">
        <f>(7785.0/B10*100)</f>
        <v/>
      </c>
      <c r="D10" s="19" t="n">
        <v>2237</v>
      </c>
      <c r="E10" s="18" t="n">
        <v>44.80187801</v>
      </c>
      <c r="F10" s="20" t="n">
        <v>1.5468217</v>
      </c>
      <c r="G10" s="18" t="n">
        <v>51.59906336</v>
      </c>
      <c r="H10" s="20" t="n">
        <v>1.45819328</v>
      </c>
      <c r="I10" s="18" t="n">
        <v>0</v>
      </c>
      <c r="J10" s="20" t="n">
        <v>0</v>
      </c>
      <c r="K10" s="18" t="n">
        <v>0.28304646</v>
      </c>
      <c r="L10" s="20" t="n">
        <v>0.13268961</v>
      </c>
      <c r="M10" s="18" t="n">
        <v>0</v>
      </c>
      <c r="N10" s="20" t="n">
        <v>0</v>
      </c>
      <c r="O10" s="18" t="n">
        <v>0</v>
      </c>
      <c r="P10" s="20" t="n">
        <v>0</v>
      </c>
      <c r="Q10" s="18" t="n">
        <v>3.31601217</v>
      </c>
      <c r="R10" s="20" t="n">
        <v>0.61638364</v>
      </c>
    </row>
    <row r="11" spans="1:18">
      <c r="A11" s="15" t="s">
        <v>569</v>
      </c>
      <c r="B11" s="17" t="n">
        <v>3500</v>
      </c>
      <c r="C11" s="18">
        <f>(2734.0/B11*100)</f>
        <v/>
      </c>
      <c r="D11" s="19" t="n">
        <v>766</v>
      </c>
      <c r="E11" s="18" t="n">
        <v>64.35608157</v>
      </c>
      <c r="F11" s="20" t="n">
        <v>2.18345208</v>
      </c>
      <c r="G11" s="18" t="n">
        <v>30.62459949</v>
      </c>
      <c r="H11" s="20" t="n">
        <v>2.10119092</v>
      </c>
      <c r="I11" s="18" t="n">
        <v>0</v>
      </c>
      <c r="J11" s="20" t="n">
        <v>0</v>
      </c>
      <c r="K11" s="18" t="n">
        <v>1.45582965</v>
      </c>
      <c r="L11" s="20" t="n">
        <v>0.49324621</v>
      </c>
      <c r="M11" s="18" t="n">
        <v>0</v>
      </c>
      <c r="N11" s="20" t="n">
        <v>0</v>
      </c>
      <c r="O11" s="18" t="n">
        <v>0</v>
      </c>
      <c r="P11" s="20" t="n">
        <v>0</v>
      </c>
      <c r="Q11" s="18" t="n">
        <v>3.56348929</v>
      </c>
      <c r="R11" s="20" t="n">
        <v>0.79916224</v>
      </c>
    </row>
    <row r="12" spans="1:18">
      <c r="A12" s="15" t="s">
        <v>570</v>
      </c>
      <c r="B12" s="17" t="n">
        <v>3422</v>
      </c>
      <c r="C12" s="18">
        <f>(2655.0/B12*100)</f>
        <v/>
      </c>
      <c r="D12" s="19" t="n">
        <v>767</v>
      </c>
      <c r="E12" s="18" t="n">
        <v>47.93281714</v>
      </c>
      <c r="F12" s="20" t="n">
        <v>2.28943522</v>
      </c>
      <c r="G12" s="18" t="n">
        <v>50.25547489</v>
      </c>
      <c r="H12" s="20" t="n">
        <v>2.22249198</v>
      </c>
      <c r="I12" s="18" t="n">
        <v>0</v>
      </c>
      <c r="J12" s="20" t="n">
        <v>0</v>
      </c>
      <c r="K12" s="18" t="n">
        <v>0.1220786</v>
      </c>
      <c r="L12" s="20" t="n">
        <v>0.12102542</v>
      </c>
      <c r="M12" s="18" t="n">
        <v>0</v>
      </c>
      <c r="N12" s="20" t="n">
        <v>0</v>
      </c>
      <c r="O12" s="18" t="n">
        <v>0</v>
      </c>
      <c r="P12" s="20" t="n">
        <v>0</v>
      </c>
      <c r="Q12" s="18" t="n">
        <v>1.68962938</v>
      </c>
      <c r="R12" s="20" t="n">
        <v>0.51460997</v>
      </c>
    </row>
    <row r="13" spans="1:18">
      <c r="A13" s="15" t="s">
        <v>571</v>
      </c>
      <c r="B13" s="17" t="n">
        <v>3602</v>
      </c>
      <c r="C13" s="18">
        <f>(2854.0/B13*100)</f>
        <v/>
      </c>
      <c r="D13" s="19" t="n">
        <v>748</v>
      </c>
      <c r="E13" s="18" t="n">
        <v>56.00601414</v>
      </c>
      <c r="F13" s="20" t="n">
        <v>2.27673765</v>
      </c>
      <c r="G13" s="18" t="n">
        <v>42.37611762</v>
      </c>
      <c r="H13" s="20" t="n">
        <v>2.26318897</v>
      </c>
      <c r="I13" s="18" t="n">
        <v>0</v>
      </c>
      <c r="J13" s="20" t="n">
        <v>0</v>
      </c>
      <c r="K13" s="18" t="n">
        <v>0.36190993</v>
      </c>
      <c r="L13" s="20" t="n">
        <v>0.25353408</v>
      </c>
      <c r="M13" s="18" t="n">
        <v>0</v>
      </c>
      <c r="N13" s="20" t="n">
        <v>0</v>
      </c>
      <c r="O13" s="18" t="n">
        <v>0</v>
      </c>
      <c r="P13" s="20" t="n">
        <v>0</v>
      </c>
      <c r="Q13" s="18" t="n">
        <v>1.25595831</v>
      </c>
      <c r="R13" s="20" t="n">
        <v>0.44676561</v>
      </c>
    </row>
    <row r="14" spans="1:18">
      <c r="A14" s="15" t="s">
        <v>572</v>
      </c>
      <c r="B14" s="17" t="n">
        <v>2788</v>
      </c>
      <c r="C14" s="18">
        <f>(2181.0/B14*100)</f>
        <v/>
      </c>
      <c r="D14" s="19" t="n">
        <v>607</v>
      </c>
      <c r="E14" s="18" t="n">
        <v>36.6061752</v>
      </c>
      <c r="F14" s="20" t="n">
        <v>2.11744767</v>
      </c>
      <c r="G14" s="18" t="n">
        <v>61.8751149</v>
      </c>
      <c r="H14" s="20" t="n">
        <v>2.1199938</v>
      </c>
      <c r="I14" s="18" t="n">
        <v>0</v>
      </c>
      <c r="J14" s="20" t="n">
        <v>0</v>
      </c>
      <c r="K14" s="18" t="n">
        <v>0.42461471</v>
      </c>
      <c r="L14" s="20" t="n">
        <v>0.2417458</v>
      </c>
      <c r="M14" s="18" t="n">
        <v>0</v>
      </c>
      <c r="N14" s="20" t="n">
        <v>0</v>
      </c>
      <c r="O14" s="18" t="n">
        <v>0</v>
      </c>
      <c r="P14" s="20" t="n">
        <v>0</v>
      </c>
      <c r="Q14" s="18" t="n">
        <v>1.09409518</v>
      </c>
      <c r="R14" s="20" t="n">
        <v>0.4336029</v>
      </c>
    </row>
    <row r="15" spans="1:18">
      <c r="A15" s="15" t="s">
        <v>573</v>
      </c>
      <c r="B15" s="17" t="n">
        <v>2863</v>
      </c>
      <c r="C15" s="18">
        <f>(2229.0/B15*100)</f>
        <v/>
      </c>
      <c r="D15" s="19" t="n">
        <v>634</v>
      </c>
      <c r="E15" s="18" t="n">
        <v>34.50997341</v>
      </c>
      <c r="F15" s="20" t="n">
        <v>2.01420956</v>
      </c>
      <c r="G15" s="18" t="n">
        <v>65.35011313</v>
      </c>
      <c r="H15" s="20" t="n">
        <v>2.02182058</v>
      </c>
      <c r="I15" s="18" t="n">
        <v>0</v>
      </c>
      <c r="J15" s="20" t="n">
        <v>0</v>
      </c>
      <c r="K15" s="18" t="n">
        <v>0</v>
      </c>
      <c r="L15" s="20" t="n">
        <v>0</v>
      </c>
      <c r="M15" s="18" t="n">
        <v>0</v>
      </c>
      <c r="N15" s="20" t="n">
        <v>0</v>
      </c>
      <c r="O15" s="18" t="n">
        <v>0</v>
      </c>
      <c r="P15" s="20" t="n">
        <v>0</v>
      </c>
      <c r="Q15" s="18" t="n">
        <v>0.13991346</v>
      </c>
      <c r="R15" s="20" t="n">
        <v>0.13898884</v>
      </c>
    </row>
    <row r="16" spans="1:18">
      <c r="A16" s="15" t="s">
        <v>574</v>
      </c>
      <c r="B16" s="17" t="n">
        <v>3111</v>
      </c>
      <c r="C16" s="18">
        <f>(2429.0/B16*100)</f>
        <v/>
      </c>
      <c r="D16" s="19" t="n">
        <v>682</v>
      </c>
      <c r="E16" s="18" t="n">
        <v>50.34079133</v>
      </c>
      <c r="F16" s="20" t="n">
        <v>1.81247579</v>
      </c>
      <c r="G16" s="18" t="n">
        <v>47.17327572</v>
      </c>
      <c r="H16" s="20" t="n">
        <v>1.87657692</v>
      </c>
      <c r="I16" s="18" t="n">
        <v>0</v>
      </c>
      <c r="J16" s="20" t="n">
        <v>0</v>
      </c>
      <c r="K16" s="18" t="n">
        <v>0.67448667</v>
      </c>
      <c r="L16" s="20" t="n">
        <v>0.29894027</v>
      </c>
      <c r="M16" s="18" t="n">
        <v>0</v>
      </c>
      <c r="N16" s="20" t="n">
        <v>0</v>
      </c>
      <c r="O16" s="18" t="n">
        <v>0</v>
      </c>
      <c r="P16" s="20" t="n">
        <v>0</v>
      </c>
      <c r="Q16" s="18" t="n">
        <v>1.81144628</v>
      </c>
      <c r="R16" s="20" t="n">
        <v>0.55343836</v>
      </c>
    </row>
    <row r="17" spans="1:18">
      <c r="A17" s="15" t="s">
        <v>575</v>
      </c>
      <c r="B17" s="17" t="n">
        <v>3197</v>
      </c>
      <c r="C17" s="18">
        <f>(2531.0/B17*100)</f>
        <v/>
      </c>
      <c r="D17" s="19" t="n">
        <v>666</v>
      </c>
      <c r="E17" s="18" t="n">
        <v>37.15184799</v>
      </c>
      <c r="F17" s="20" t="n">
        <v>1.87390608</v>
      </c>
      <c r="G17" s="18" t="n">
        <v>58.72540467</v>
      </c>
      <c r="H17" s="20" t="n">
        <v>2.04245848</v>
      </c>
      <c r="I17" s="18" t="n">
        <v>0</v>
      </c>
      <c r="J17" s="20" t="n">
        <v>0</v>
      </c>
      <c r="K17" s="18" t="n">
        <v>0.15667422</v>
      </c>
      <c r="L17" s="20" t="n">
        <v>0.15515168</v>
      </c>
      <c r="M17" s="18" t="n">
        <v>0</v>
      </c>
      <c r="N17" s="20" t="n">
        <v>0</v>
      </c>
      <c r="O17" s="18" t="n">
        <v>0</v>
      </c>
      <c r="P17" s="20" t="n">
        <v>0</v>
      </c>
      <c r="Q17" s="18" t="n">
        <v>3.96607312</v>
      </c>
      <c r="R17" s="20" t="n">
        <v>0.86252351</v>
      </c>
    </row>
    <row r="18" spans="1:18">
      <c r="A18" s="15" t="s">
        <v>576</v>
      </c>
      <c r="B18" s="17" t="n">
        <v>2706</v>
      </c>
      <c r="C18" s="18">
        <f>(2102.0/B18*100)</f>
        <v/>
      </c>
      <c r="D18" s="19" t="n">
        <v>604</v>
      </c>
      <c r="E18" s="18" t="n">
        <v>62.80686456</v>
      </c>
      <c r="F18" s="20" t="n">
        <v>2.14517457</v>
      </c>
      <c r="G18" s="18" t="n">
        <v>35.22698112</v>
      </c>
      <c r="H18" s="20" t="n">
        <v>2.1213447</v>
      </c>
      <c r="I18" s="18" t="n">
        <v>0</v>
      </c>
      <c r="J18" s="20" t="n">
        <v>0</v>
      </c>
      <c r="K18" s="18" t="n">
        <v>0.32303754</v>
      </c>
      <c r="L18" s="20" t="n">
        <v>0.22532965</v>
      </c>
      <c r="M18" s="18" t="n">
        <v>0</v>
      </c>
      <c r="N18" s="20" t="n">
        <v>0</v>
      </c>
      <c r="O18" s="18" t="n">
        <v>0</v>
      </c>
      <c r="P18" s="20" t="n">
        <v>0</v>
      </c>
      <c r="Q18" s="18" t="n">
        <v>1.64311678</v>
      </c>
      <c r="R18" s="20" t="n">
        <v>0.55166469</v>
      </c>
    </row>
    <row r="19" spans="1:18">
      <c r="A19" s="15" t="s">
        <v>577</v>
      </c>
      <c r="B19" s="17" t="n">
        <v>2850</v>
      </c>
      <c r="C19" s="18">
        <f>(2181.0/B19*100)</f>
        <v/>
      </c>
      <c r="D19" s="19" t="n">
        <v>669</v>
      </c>
      <c r="E19" s="18" t="n">
        <v>51.16546689</v>
      </c>
      <c r="F19" s="20" t="n">
        <v>2.2396619</v>
      </c>
      <c r="G19" s="18" t="n">
        <v>45.41418656</v>
      </c>
      <c r="H19" s="20" t="n">
        <v>2.11870211</v>
      </c>
      <c r="I19" s="18" t="n">
        <v>0</v>
      </c>
      <c r="J19" s="20" t="n">
        <v>0</v>
      </c>
      <c r="K19" s="18" t="n">
        <v>0.20055368</v>
      </c>
      <c r="L19" s="20" t="n">
        <v>0.19907566</v>
      </c>
      <c r="M19" s="18" t="n">
        <v>0</v>
      </c>
      <c r="N19" s="20" t="n">
        <v>0</v>
      </c>
      <c r="O19" s="18" t="n">
        <v>0</v>
      </c>
      <c r="P19" s="20" t="n">
        <v>0</v>
      </c>
      <c r="Q19" s="18" t="n">
        <v>3.21979287</v>
      </c>
      <c r="R19" s="20" t="n">
        <v>0.78464409</v>
      </c>
    </row>
    <row r="20" spans="1:18">
      <c r="A20" s="15" t="s">
        <v>578</v>
      </c>
      <c r="B20" s="17" t="n">
        <v>1741</v>
      </c>
      <c r="C20" s="18">
        <f>(1348.0/B20*100)</f>
        <v/>
      </c>
      <c r="D20" s="19" t="n">
        <v>393</v>
      </c>
      <c r="E20" s="18" t="n">
        <v>49.12346495</v>
      </c>
      <c r="F20" s="20" t="n">
        <v>2.70174125</v>
      </c>
      <c r="G20" s="18" t="n">
        <v>48.23700128</v>
      </c>
      <c r="H20" s="20" t="n">
        <v>2.68110514</v>
      </c>
      <c r="I20" s="18" t="n">
        <v>0</v>
      </c>
      <c r="J20" s="20" t="n">
        <v>0</v>
      </c>
      <c r="K20" s="18" t="n">
        <v>0.49792618</v>
      </c>
      <c r="L20" s="20" t="n">
        <v>0.34849047</v>
      </c>
      <c r="M20" s="18" t="n">
        <v>0</v>
      </c>
      <c r="N20" s="20" t="n">
        <v>0</v>
      </c>
      <c r="O20" s="18" t="n">
        <v>0</v>
      </c>
      <c r="P20" s="20" t="n">
        <v>0</v>
      </c>
      <c r="Q20" s="18" t="n">
        <v>2.14160758</v>
      </c>
      <c r="R20" s="20" t="n">
        <v>0.8091886700000001</v>
      </c>
    </row>
    <row r="21" spans="1:18">
      <c r="A21" s="15" t="s">
        <v>579</v>
      </c>
      <c r="B21" s="17" t="n">
        <v>2833</v>
      </c>
      <c r="C21" s="18">
        <f>(2202.0/B21*100)</f>
        <v/>
      </c>
      <c r="D21" s="19" t="n">
        <v>631</v>
      </c>
      <c r="E21" s="18" t="n">
        <v>46.89329783</v>
      </c>
      <c r="F21" s="20" t="n">
        <v>2.24933168</v>
      </c>
      <c r="G21" s="18" t="n">
        <v>51.53999444</v>
      </c>
      <c r="H21" s="20" t="n">
        <v>2.34635413</v>
      </c>
      <c r="I21" s="18" t="n">
        <v>0</v>
      </c>
      <c r="J21" s="20" t="n">
        <v>0</v>
      </c>
      <c r="K21" s="18" t="n">
        <v>0.14457197</v>
      </c>
      <c r="L21" s="20" t="n">
        <v>0.14425306</v>
      </c>
      <c r="M21" s="18" t="n">
        <v>0</v>
      </c>
      <c r="N21" s="20" t="n">
        <v>0</v>
      </c>
      <c r="O21" s="18" t="n">
        <v>0</v>
      </c>
      <c r="P21" s="20" t="n">
        <v>0</v>
      </c>
      <c r="Q21" s="18" t="n">
        <v>1.42213576</v>
      </c>
      <c r="R21" s="20" t="n">
        <v>0.49288056</v>
      </c>
    </row>
    <row r="22" spans="1:18">
      <c r="A22" s="15" t="s">
        <v>580</v>
      </c>
      <c r="B22" s="17" t="n">
        <v>3667</v>
      </c>
      <c r="C22" s="18">
        <f>(2885.0/B22*100)</f>
        <v/>
      </c>
      <c r="D22" s="19" t="n">
        <v>782</v>
      </c>
      <c r="E22" s="18" t="n">
        <v>47.04024435</v>
      </c>
      <c r="F22" s="20" t="n">
        <v>1.814805</v>
      </c>
      <c r="G22" s="18" t="n">
        <v>48.66237376</v>
      </c>
      <c r="H22" s="20" t="n">
        <v>1.61778131</v>
      </c>
      <c r="I22" s="18" t="n">
        <v>0</v>
      </c>
      <c r="J22" s="20" t="n">
        <v>0</v>
      </c>
      <c r="K22" s="18" t="n">
        <v>0.85683245</v>
      </c>
      <c r="L22" s="20" t="n">
        <v>0.32094099</v>
      </c>
      <c r="M22" s="18" t="n">
        <v>0</v>
      </c>
      <c r="N22" s="20" t="n">
        <v>0</v>
      </c>
      <c r="O22" s="18" t="n">
        <v>0</v>
      </c>
      <c r="P22" s="20" t="n">
        <v>0</v>
      </c>
      <c r="Q22" s="18" t="n">
        <v>3.44054944</v>
      </c>
      <c r="R22" s="20" t="n">
        <v>0.69564153</v>
      </c>
    </row>
    <row r="23" spans="1:18">
      <c r="A23" s="15" t="s">
        <v>581</v>
      </c>
      <c r="B23" s="17" t="n">
        <v>5792</v>
      </c>
      <c r="C23" s="18">
        <f>(4572.0/B23*100)</f>
        <v/>
      </c>
      <c r="D23" s="19" t="n">
        <v>1220</v>
      </c>
      <c r="E23" s="18" t="n">
        <v>60.48827698</v>
      </c>
      <c r="F23" s="20" t="n">
        <v>1.64583156</v>
      </c>
      <c r="G23" s="18" t="n">
        <v>31.99079744</v>
      </c>
      <c r="H23" s="20" t="n">
        <v>1.66703262</v>
      </c>
      <c r="I23" s="18" t="n">
        <v>0</v>
      </c>
      <c r="J23" s="20" t="n">
        <v>0</v>
      </c>
      <c r="K23" s="18" t="n">
        <v>2.19340471</v>
      </c>
      <c r="L23" s="20" t="n">
        <v>0.80406358</v>
      </c>
      <c r="M23" s="18" t="n">
        <v>0</v>
      </c>
      <c r="N23" s="20" t="n">
        <v>0</v>
      </c>
      <c r="O23" s="18" t="n">
        <v>0</v>
      </c>
      <c r="P23" s="20" t="n">
        <v>0</v>
      </c>
      <c r="Q23" s="18" t="n">
        <v>5.32752086</v>
      </c>
      <c r="R23" s="20" t="n">
        <v>0.97566212</v>
      </c>
    </row>
    <row r="24" spans="1:18">
      <c r="A24" s="15" t="s">
        <v>582</v>
      </c>
      <c r="B24" s="17" t="n">
        <v>3309</v>
      </c>
      <c r="C24" s="18">
        <f>(2572.0/B24*100)</f>
        <v/>
      </c>
      <c r="D24" s="19" t="n">
        <v>737</v>
      </c>
      <c r="E24" s="18" t="n">
        <v>35.87220118</v>
      </c>
      <c r="F24" s="20" t="n">
        <v>2.00578714</v>
      </c>
      <c r="G24" s="18" t="n">
        <v>61.83167639</v>
      </c>
      <c r="H24" s="20" t="n">
        <v>1.83642991</v>
      </c>
      <c r="I24" s="18" t="n">
        <v>0</v>
      </c>
      <c r="J24" s="20" t="n">
        <v>0</v>
      </c>
      <c r="K24" s="18" t="n">
        <v>0</v>
      </c>
      <c r="L24" s="20" t="n">
        <v>0</v>
      </c>
      <c r="M24" s="18" t="n">
        <v>0</v>
      </c>
      <c r="N24" s="20" t="n">
        <v>0</v>
      </c>
      <c r="O24" s="18" t="n">
        <v>0</v>
      </c>
      <c r="P24" s="20" t="n">
        <v>0</v>
      </c>
      <c r="Q24" s="18" t="n">
        <v>2.29612243</v>
      </c>
      <c r="R24" s="20" t="n">
        <v>0.60283508</v>
      </c>
    </row>
    <row r="25" spans="1:18">
      <c r="A25" s="15" t="s">
        <v>583</v>
      </c>
      <c r="B25" s="17" t="n">
        <v>2669</v>
      </c>
      <c r="C25" s="18">
        <f>(2097.0/B25*100)</f>
        <v/>
      </c>
      <c r="D25" s="19" t="n">
        <v>572</v>
      </c>
      <c r="E25" s="18" t="n">
        <v>31.2640438</v>
      </c>
      <c r="F25" s="20" t="n">
        <v>2.03932395</v>
      </c>
      <c r="G25" s="18" t="n">
        <v>66.91985651</v>
      </c>
      <c r="H25" s="20" t="n">
        <v>1.98478805</v>
      </c>
      <c r="I25" s="18" t="n">
        <v>0</v>
      </c>
      <c r="J25" s="20" t="n">
        <v>0</v>
      </c>
      <c r="K25" s="18" t="n">
        <v>0.33477931</v>
      </c>
      <c r="L25" s="20" t="n">
        <v>0.27802484</v>
      </c>
      <c r="M25" s="18" t="n">
        <v>0</v>
      </c>
      <c r="N25" s="20" t="n">
        <v>0</v>
      </c>
      <c r="O25" s="18" t="n">
        <v>0</v>
      </c>
      <c r="P25" s="20" t="n">
        <v>0</v>
      </c>
      <c r="Q25" s="18" t="n">
        <v>1.48132038</v>
      </c>
      <c r="R25" s="20" t="n">
        <v>0.52064129</v>
      </c>
    </row>
    <row r="26" spans="1:18">
      <c r="A26" s="15" t="s">
        <v>584</v>
      </c>
      <c r="B26" s="17" t="n">
        <v>2419</v>
      </c>
      <c r="C26" s="18">
        <f>(1946.0/B26*100)</f>
        <v/>
      </c>
      <c r="D26" s="19" t="n">
        <v>473</v>
      </c>
      <c r="E26" s="18" t="n">
        <v>50.97619499</v>
      </c>
      <c r="F26" s="20" t="n">
        <v>2.40229474</v>
      </c>
      <c r="G26" s="18" t="n">
        <v>47.4447856</v>
      </c>
      <c r="H26" s="20" t="n">
        <v>2.48698101</v>
      </c>
      <c r="I26" s="18" t="n">
        <v>0</v>
      </c>
      <c r="J26" s="20" t="n">
        <v>0</v>
      </c>
      <c r="K26" s="18" t="n">
        <v>0</v>
      </c>
      <c r="L26" s="20" t="n">
        <v>0</v>
      </c>
      <c r="M26" s="18" t="n">
        <v>0</v>
      </c>
      <c r="N26" s="20" t="n">
        <v>0</v>
      </c>
      <c r="O26" s="18" t="n">
        <v>0</v>
      </c>
      <c r="P26" s="20" t="n">
        <v>0</v>
      </c>
      <c r="Q26" s="18" t="n">
        <v>1.5790194</v>
      </c>
      <c r="R26" s="20" t="n">
        <v>0.564696</v>
      </c>
    </row>
    <row r="27" spans="1:18">
      <c r="A27" s="15" t="s">
        <v>585</v>
      </c>
      <c r="B27" s="17" t="n">
        <v>2683</v>
      </c>
      <c r="C27" s="18">
        <f>(2108.0/B27*100)</f>
        <v/>
      </c>
      <c r="D27" s="19" t="n">
        <v>575</v>
      </c>
      <c r="E27" s="18" t="n">
        <v>50.97478506</v>
      </c>
      <c r="F27" s="20" t="n">
        <v>2.11221708</v>
      </c>
      <c r="G27" s="18" t="n">
        <v>45.54030384</v>
      </c>
      <c r="H27" s="20" t="n">
        <v>2.13439634</v>
      </c>
      <c r="I27" s="18" t="n">
        <v>0</v>
      </c>
      <c r="J27" s="20" t="n">
        <v>0</v>
      </c>
      <c r="K27" s="18" t="n">
        <v>0.53488813</v>
      </c>
      <c r="L27" s="20" t="n">
        <v>0.3046781</v>
      </c>
      <c r="M27" s="18" t="n">
        <v>0</v>
      </c>
      <c r="N27" s="20" t="n">
        <v>0</v>
      </c>
      <c r="O27" s="18" t="n">
        <v>0</v>
      </c>
      <c r="P27" s="20" t="n">
        <v>0</v>
      </c>
      <c r="Q27" s="18" t="n">
        <v>2.95002297</v>
      </c>
      <c r="R27" s="20" t="n">
        <v>0.6546009</v>
      </c>
    </row>
    <row r="28" spans="1:18">
      <c r="A28" s="15" t="s">
        <v>586</v>
      </c>
      <c r="B28" s="17" t="n">
        <v>3803</v>
      </c>
      <c r="C28" s="18">
        <f>(3019.0/B28*100)</f>
        <v/>
      </c>
      <c r="D28" s="19" t="n">
        <v>784</v>
      </c>
      <c r="E28" s="18" t="n">
        <v>71.67213387</v>
      </c>
      <c r="F28" s="20" t="n">
        <v>1.80639976</v>
      </c>
      <c r="G28" s="18" t="n">
        <v>24.39927424</v>
      </c>
      <c r="H28" s="20" t="n">
        <v>1.6590679</v>
      </c>
      <c r="I28" s="18" t="n">
        <v>0</v>
      </c>
      <c r="J28" s="20" t="n">
        <v>0</v>
      </c>
      <c r="K28" s="18" t="n">
        <v>0.66270429</v>
      </c>
      <c r="L28" s="20" t="n">
        <v>0.47947838</v>
      </c>
      <c r="M28" s="18" t="n">
        <v>0</v>
      </c>
      <c r="N28" s="20" t="n">
        <v>0</v>
      </c>
      <c r="O28" s="18" t="n">
        <v>0</v>
      </c>
      <c r="P28" s="20" t="n">
        <v>0</v>
      </c>
      <c r="Q28" s="18" t="n">
        <v>3.2658876</v>
      </c>
      <c r="R28" s="20" t="n">
        <v>0.65154192</v>
      </c>
    </row>
    <row r="29" spans="1:18">
      <c r="A29" s="15" t="s">
        <v>587</v>
      </c>
      <c r="B29" s="17" t="n">
        <v>2700</v>
      </c>
      <c r="C29" s="18">
        <f>(2100.0/B29*100)</f>
        <v/>
      </c>
      <c r="D29" s="19" t="n">
        <v>600</v>
      </c>
      <c r="E29" s="18" t="n">
        <v>41.45587692</v>
      </c>
      <c r="F29" s="20" t="n">
        <v>2.29967124</v>
      </c>
      <c r="G29" s="18" t="n">
        <v>54.54625999</v>
      </c>
      <c r="H29" s="20" t="n">
        <v>2.25304727</v>
      </c>
      <c r="I29" s="18" t="n">
        <v>0</v>
      </c>
      <c r="J29" s="20" t="n">
        <v>0</v>
      </c>
      <c r="K29" s="18" t="n">
        <v>0.43578436</v>
      </c>
      <c r="L29" s="20" t="n">
        <v>0.29638517</v>
      </c>
      <c r="M29" s="18" t="n">
        <v>0</v>
      </c>
      <c r="N29" s="20" t="n">
        <v>0</v>
      </c>
      <c r="O29" s="18" t="n">
        <v>0</v>
      </c>
      <c r="P29" s="20" t="n">
        <v>0</v>
      </c>
      <c r="Q29" s="18" t="n">
        <v>3.56207873</v>
      </c>
      <c r="R29" s="20" t="n">
        <v>0.86911907</v>
      </c>
    </row>
    <row r="30" spans="1:18">
      <c r="A30" s="15" t="s">
        <v>588</v>
      </c>
      <c r="B30" s="17" t="n">
        <v>2257</v>
      </c>
      <c r="C30" s="18">
        <f>(1746.0/B30*100)</f>
        <v/>
      </c>
      <c r="D30" s="19" t="n">
        <v>511</v>
      </c>
      <c r="E30" s="18" t="n">
        <v>45.45791046</v>
      </c>
      <c r="F30" s="20" t="n">
        <v>2.59870545</v>
      </c>
      <c r="G30" s="18" t="n">
        <v>51.50791084</v>
      </c>
      <c r="H30" s="20" t="n">
        <v>2.63266574</v>
      </c>
      <c r="I30" s="18" t="n">
        <v>0</v>
      </c>
      <c r="J30" s="20" t="n">
        <v>0</v>
      </c>
      <c r="K30" s="18" t="n">
        <v>0</v>
      </c>
      <c r="L30" s="20" t="n">
        <v>0</v>
      </c>
      <c r="M30" s="18" t="n">
        <v>0</v>
      </c>
      <c r="N30" s="20" t="n">
        <v>0</v>
      </c>
      <c r="O30" s="18" t="n">
        <v>0</v>
      </c>
      <c r="P30" s="20" t="n">
        <v>0</v>
      </c>
      <c r="Q30" s="18" t="n">
        <v>3.0341787</v>
      </c>
      <c r="R30" s="20" t="n">
        <v>0.69648659</v>
      </c>
    </row>
    <row r="31" spans="1:18">
      <c r="A31" s="15" t="s">
        <v>589</v>
      </c>
      <c r="B31" s="17" t="n">
        <v>2706</v>
      </c>
      <c r="C31" s="18">
        <f>(2095.0/B31*100)</f>
        <v/>
      </c>
      <c r="D31" s="19" t="n">
        <v>611</v>
      </c>
      <c r="E31" s="18" t="n">
        <v>39.45460253</v>
      </c>
      <c r="F31" s="20" t="n">
        <v>2.42029558</v>
      </c>
      <c r="G31" s="18" t="n">
        <v>57.63947396</v>
      </c>
      <c r="H31" s="20" t="n">
        <v>2.38301763</v>
      </c>
      <c r="I31" s="18" t="n">
        <v>0</v>
      </c>
      <c r="J31" s="20" t="n">
        <v>0</v>
      </c>
      <c r="K31" s="18" t="n">
        <v>0.31304092</v>
      </c>
      <c r="L31" s="20" t="n">
        <v>0.21802034</v>
      </c>
      <c r="M31" s="18" t="n">
        <v>0</v>
      </c>
      <c r="N31" s="20" t="n">
        <v>0</v>
      </c>
      <c r="O31" s="18" t="n">
        <v>0</v>
      </c>
      <c r="P31" s="20" t="n">
        <v>0</v>
      </c>
      <c r="Q31" s="18" t="n">
        <v>2.59288259</v>
      </c>
      <c r="R31" s="20" t="n">
        <v>0.5798990000000001</v>
      </c>
    </row>
    <row r="32" spans="1:18">
      <c r="A32" s="15" t="s">
        <v>590</v>
      </c>
      <c r="B32" s="17" t="n">
        <v>2209</v>
      </c>
      <c r="C32" s="18">
        <f>(1750.0/B32*100)</f>
        <v/>
      </c>
      <c r="D32" s="19" t="n">
        <v>459</v>
      </c>
      <c r="E32" s="18" t="n">
        <v>41.71187441</v>
      </c>
      <c r="F32" s="20" t="n">
        <v>2.34414682</v>
      </c>
      <c r="G32" s="18" t="n">
        <v>54.67132961</v>
      </c>
      <c r="H32" s="20" t="n">
        <v>2.27947101</v>
      </c>
      <c r="I32" s="18" t="n">
        <v>0</v>
      </c>
      <c r="J32" s="20" t="n">
        <v>0</v>
      </c>
      <c r="K32" s="18" t="n">
        <v>0</v>
      </c>
      <c r="L32" s="20" t="n">
        <v>0</v>
      </c>
      <c r="M32" s="18" t="n">
        <v>0</v>
      </c>
      <c r="N32" s="20" t="n">
        <v>0</v>
      </c>
      <c r="O32" s="18" t="n">
        <v>0</v>
      </c>
      <c r="P32" s="20" t="n">
        <v>0</v>
      </c>
      <c r="Q32" s="18" t="n">
        <v>3.61679599</v>
      </c>
      <c r="R32" s="20" t="n">
        <v>1.04233532</v>
      </c>
    </row>
    <row r="33" spans="1:18">
      <c r="A33" s="15" t="s">
        <v>591</v>
      </c>
      <c r="B33" s="17" t="n">
        <v>3651</v>
      </c>
      <c r="C33" s="18">
        <f>(2915.0/B33*100)</f>
        <v/>
      </c>
      <c r="D33" s="19" t="n">
        <v>736</v>
      </c>
      <c r="E33" s="18" t="n">
        <v>63.15687686</v>
      </c>
      <c r="F33" s="20" t="n">
        <v>2.08565379</v>
      </c>
      <c r="G33" s="18" t="n">
        <v>35.02239372</v>
      </c>
      <c r="H33" s="20" t="n">
        <v>2.14165429</v>
      </c>
      <c r="I33" s="18" t="n">
        <v>0</v>
      </c>
      <c r="J33" s="20" t="n">
        <v>0</v>
      </c>
      <c r="K33" s="18" t="n">
        <v>0.20438892</v>
      </c>
      <c r="L33" s="20" t="n">
        <v>0.19068643</v>
      </c>
      <c r="M33" s="18" t="n">
        <v>0</v>
      </c>
      <c r="N33" s="20" t="n">
        <v>0</v>
      </c>
      <c r="O33" s="18" t="n">
        <v>0</v>
      </c>
      <c r="P33" s="20" t="n">
        <v>0</v>
      </c>
      <c r="Q33" s="18" t="n">
        <v>1.61634049</v>
      </c>
      <c r="R33" s="20" t="n">
        <v>0.5431935</v>
      </c>
    </row>
    <row r="34" spans="1:18">
      <c r="A34" s="15" t="s">
        <v>592</v>
      </c>
      <c r="B34" s="17" t="n">
        <v>3035</v>
      </c>
      <c r="C34" s="18">
        <f>(2368.0/B34*100)</f>
        <v/>
      </c>
      <c r="D34" s="19" t="n">
        <v>667</v>
      </c>
      <c r="E34" s="18" t="n">
        <v>54.4809167</v>
      </c>
      <c r="F34" s="20" t="n">
        <v>1.61115542</v>
      </c>
      <c r="G34" s="18" t="n">
        <v>41.37760907</v>
      </c>
      <c r="H34" s="20" t="n">
        <v>1.75887619</v>
      </c>
      <c r="I34" s="18" t="n">
        <v>0</v>
      </c>
      <c r="J34" s="20" t="n">
        <v>0</v>
      </c>
      <c r="K34" s="18" t="n">
        <v>0.56525285</v>
      </c>
      <c r="L34" s="20" t="n">
        <v>0.25834783</v>
      </c>
      <c r="M34" s="18" t="n">
        <v>0</v>
      </c>
      <c r="N34" s="20" t="n">
        <v>0</v>
      </c>
      <c r="O34" s="18" t="n">
        <v>0</v>
      </c>
      <c r="P34" s="20" t="n">
        <v>0</v>
      </c>
      <c r="Q34" s="18" t="n">
        <v>3.57622139</v>
      </c>
      <c r="R34" s="20" t="n">
        <v>0.725172</v>
      </c>
    </row>
    <row r="35" spans="1:18">
      <c r="A35" s="15" t="s">
        <v>593</v>
      </c>
      <c r="B35" s="17" t="n">
        <v>2901</v>
      </c>
      <c r="C35" s="18">
        <f>(2268.0/B35*100)</f>
        <v/>
      </c>
      <c r="D35" s="19" t="n">
        <v>633</v>
      </c>
      <c r="E35" s="18" t="n">
        <v>43.86473045</v>
      </c>
      <c r="F35" s="20" t="n">
        <v>2.41322351</v>
      </c>
      <c r="G35" s="18" t="n">
        <v>54.83204621</v>
      </c>
      <c r="H35" s="20" t="n">
        <v>2.47245301</v>
      </c>
      <c r="I35" s="18" t="n">
        <v>0</v>
      </c>
      <c r="J35" s="20" t="n">
        <v>0</v>
      </c>
      <c r="K35" s="18" t="n">
        <v>0.06969606</v>
      </c>
      <c r="L35" s="20" t="n">
        <v>0.06806887</v>
      </c>
      <c r="M35" s="18" t="n">
        <v>0</v>
      </c>
      <c r="N35" s="20" t="n">
        <v>0</v>
      </c>
      <c r="O35" s="18" t="n">
        <v>0</v>
      </c>
      <c r="P35" s="20" t="n">
        <v>0</v>
      </c>
      <c r="Q35" s="18" t="n">
        <v>1.23352728</v>
      </c>
      <c r="R35" s="20" t="n">
        <v>0.47553562</v>
      </c>
    </row>
    <row r="36" spans="1:18">
      <c r="A36" s="15" t="s">
        <v>594</v>
      </c>
      <c r="B36" s="17" t="n">
        <v>3404</v>
      </c>
      <c r="C36" s="18">
        <f>(2670.0/B36*100)</f>
        <v/>
      </c>
      <c r="D36" s="19" t="n">
        <v>734</v>
      </c>
      <c r="E36" s="18" t="n">
        <v>54.73329453</v>
      </c>
      <c r="F36" s="20" t="n">
        <v>2.02752143</v>
      </c>
      <c r="G36" s="18" t="n">
        <v>43.27679323</v>
      </c>
      <c r="H36" s="20" t="n">
        <v>2.02757064</v>
      </c>
      <c r="I36" s="18" t="n">
        <v>0</v>
      </c>
      <c r="J36" s="20" t="n">
        <v>0</v>
      </c>
      <c r="K36" s="18" t="n">
        <v>0</v>
      </c>
      <c r="L36" s="20" t="n">
        <v>0</v>
      </c>
      <c r="M36" s="18" t="n">
        <v>0</v>
      </c>
      <c r="N36" s="20" t="n">
        <v>0</v>
      </c>
      <c r="O36" s="18" t="n">
        <v>0</v>
      </c>
      <c r="P36" s="20" t="n">
        <v>0</v>
      </c>
      <c r="Q36" s="18" t="n">
        <v>1.98991224</v>
      </c>
      <c r="R36" s="20" t="n">
        <v>0.61469497</v>
      </c>
    </row>
    <row r="37" spans="1:18">
      <c r="A37" s="15" t="s">
        <v>595</v>
      </c>
      <c r="B37" s="17" t="n">
        <v>2731</v>
      </c>
      <c r="C37" s="18">
        <f>(2163.0/B37*100)</f>
        <v/>
      </c>
      <c r="D37" s="19" t="n">
        <v>568</v>
      </c>
      <c r="E37" s="18" t="n">
        <v>45.50196088</v>
      </c>
      <c r="F37" s="20" t="n">
        <v>2.39520928</v>
      </c>
      <c r="G37" s="18" t="n">
        <v>49.572041</v>
      </c>
      <c r="H37" s="20" t="n">
        <v>2.3591238</v>
      </c>
      <c r="I37" s="18" t="n">
        <v>0</v>
      </c>
      <c r="J37" s="20" t="n">
        <v>0</v>
      </c>
      <c r="K37" s="18" t="n">
        <v>1.07150992</v>
      </c>
      <c r="L37" s="20" t="n">
        <v>0.43590586</v>
      </c>
      <c r="M37" s="18" t="n">
        <v>0</v>
      </c>
      <c r="N37" s="20" t="n">
        <v>0</v>
      </c>
      <c r="O37" s="18" t="n">
        <v>0</v>
      </c>
      <c r="P37" s="20" t="n">
        <v>0</v>
      </c>
      <c r="Q37" s="18" t="n">
        <v>3.85448821</v>
      </c>
      <c r="R37" s="20" t="n">
        <v>0.90532883</v>
      </c>
    </row>
    <row r="38" spans="1:18">
      <c r="A38" s="15" t="s">
        <v>596</v>
      </c>
      <c r="B38" s="17" t="n">
        <v>2807</v>
      </c>
      <c r="C38" s="18">
        <f>(2236.0/B38*100)</f>
        <v/>
      </c>
      <c r="D38" s="19" t="n">
        <v>571</v>
      </c>
      <c r="E38" s="18" t="n">
        <v>42.04918911</v>
      </c>
      <c r="F38" s="20" t="n">
        <v>2.32764013</v>
      </c>
      <c r="G38" s="18" t="n">
        <v>52.73191397</v>
      </c>
      <c r="H38" s="20" t="n">
        <v>2.24110486</v>
      </c>
      <c r="I38" s="18" t="n">
        <v>0</v>
      </c>
      <c r="J38" s="20" t="n">
        <v>0</v>
      </c>
      <c r="K38" s="18" t="n">
        <v>0</v>
      </c>
      <c r="L38" s="20" t="n">
        <v>0</v>
      </c>
      <c r="M38" s="18" t="n">
        <v>0</v>
      </c>
      <c r="N38" s="20" t="n">
        <v>0</v>
      </c>
      <c r="O38" s="18" t="n">
        <v>0</v>
      </c>
      <c r="P38" s="20" t="n">
        <v>0</v>
      </c>
      <c r="Q38" s="18" t="n">
        <v>5.21889692</v>
      </c>
      <c r="R38" s="20" t="n">
        <v>1.083248</v>
      </c>
    </row>
    <row r="39" spans="1:18">
      <c r="A39" s="15" t="s">
        <v>597</v>
      </c>
      <c r="B39" s="17" t="n">
        <v>2938</v>
      </c>
      <c r="C39" s="18">
        <f>(2270.0/B39*100)</f>
        <v/>
      </c>
      <c r="D39" s="19" t="n">
        <v>668</v>
      </c>
      <c r="E39" s="18" t="n">
        <v>58.44585659</v>
      </c>
      <c r="F39" s="20" t="n">
        <v>2.26092208</v>
      </c>
      <c r="G39" s="18" t="n">
        <v>39.25449951</v>
      </c>
      <c r="H39" s="20" t="n">
        <v>2.29847594</v>
      </c>
      <c r="I39" s="18" t="n">
        <v>0</v>
      </c>
      <c r="J39" s="20" t="n">
        <v>0</v>
      </c>
      <c r="K39" s="18" t="n">
        <v>0.18728775</v>
      </c>
      <c r="L39" s="20" t="n">
        <v>0.17792196</v>
      </c>
      <c r="M39" s="18" t="n">
        <v>0</v>
      </c>
      <c r="N39" s="20" t="n">
        <v>0</v>
      </c>
      <c r="O39" s="18" t="n">
        <v>0</v>
      </c>
      <c r="P39" s="20" t="n">
        <v>0</v>
      </c>
      <c r="Q39" s="18" t="n">
        <v>2.11235614</v>
      </c>
      <c r="R39" s="20" t="n">
        <v>0.48708335</v>
      </c>
    </row>
    <row r="40" spans="1:18">
      <c r="A40" s="15" t="s">
        <v>598</v>
      </c>
      <c r="B40" s="17" t="n">
        <v>6922</v>
      </c>
      <c r="C40" s="18">
        <f>(5384.0/B40*100)</f>
        <v/>
      </c>
      <c r="D40" s="19" t="n">
        <v>1538</v>
      </c>
      <c r="E40" s="18" t="n">
        <v>46.97610956</v>
      </c>
      <c r="F40" s="20" t="n">
        <v>2.04848639</v>
      </c>
      <c r="G40" s="18" t="n">
        <v>50.1407787</v>
      </c>
      <c r="H40" s="20" t="n">
        <v>2.14313697</v>
      </c>
      <c r="I40" s="18" t="n">
        <v>0</v>
      </c>
      <c r="J40" s="20" t="n">
        <v>0</v>
      </c>
      <c r="K40" s="18" t="n">
        <v>0.03619343</v>
      </c>
      <c r="L40" s="20" t="n">
        <v>0.02690464</v>
      </c>
      <c r="M40" s="18" t="n">
        <v>0</v>
      </c>
      <c r="N40" s="20" t="n">
        <v>0</v>
      </c>
      <c r="O40" s="18" t="n">
        <v>0</v>
      </c>
      <c r="P40" s="20" t="n">
        <v>0</v>
      </c>
      <c r="Q40" s="18" t="n">
        <v>2.84691831</v>
      </c>
      <c r="R40" s="20" t="n">
        <v>0.64497321</v>
      </c>
    </row>
    <row r="41" spans="1:18">
      <c r="A41" s="15" t="s">
        <v>599</v>
      </c>
      <c r="B41" s="17" t="n">
        <v>2854</v>
      </c>
      <c r="C41" s="18">
        <f>(2228.0/B41*100)</f>
        <v/>
      </c>
      <c r="D41" s="19" t="n">
        <v>626</v>
      </c>
      <c r="E41" s="18" t="n">
        <v>44.66617955</v>
      </c>
      <c r="F41" s="20" t="n">
        <v>2.14195765</v>
      </c>
      <c r="G41" s="18" t="n">
        <v>51.15388199</v>
      </c>
      <c r="H41" s="20" t="n">
        <v>2.14595581</v>
      </c>
      <c r="I41" s="18" t="n">
        <v>0</v>
      </c>
      <c r="J41" s="20" t="n">
        <v>0</v>
      </c>
      <c r="K41" s="18" t="n">
        <v>0</v>
      </c>
      <c r="L41" s="20" t="n">
        <v>0</v>
      </c>
      <c r="M41" s="18" t="n">
        <v>0</v>
      </c>
      <c r="N41" s="20" t="n">
        <v>0</v>
      </c>
      <c r="O41" s="18" t="n">
        <v>0</v>
      </c>
      <c r="P41" s="20" t="n">
        <v>0</v>
      </c>
      <c r="Q41" s="18" t="n">
        <v>4.17993846</v>
      </c>
      <c r="R41" s="20" t="n">
        <v>0.76617121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(10041.0/B46*100)</f>
        <v/>
      </c>
      <c r="D46" s="19" t="n">
        <v>2032</v>
      </c>
      <c r="E46" s="18" t="n">
        <v>68.68007283</v>
      </c>
      <c r="F46" s="20" t="n">
        <v>1.43377122</v>
      </c>
      <c r="G46" s="18" t="n">
        <v>22.8549841</v>
      </c>
      <c r="H46" s="20" t="n">
        <v>1.30653715</v>
      </c>
      <c r="I46" s="18" t="n">
        <v>0</v>
      </c>
      <c r="J46" s="20" t="n">
        <v>0</v>
      </c>
      <c r="K46" s="18" t="n">
        <v>1.27777132</v>
      </c>
      <c r="L46" s="20" t="n">
        <v>0.34865792</v>
      </c>
      <c r="M46" s="18" t="n">
        <v>0</v>
      </c>
      <c r="N46" s="20" t="n">
        <v>0</v>
      </c>
      <c r="O46" s="18" t="n">
        <v>0</v>
      </c>
      <c r="P46" s="20" t="n">
        <v>0</v>
      </c>
      <c r="Q46" s="18" t="n">
        <v>7.18717175</v>
      </c>
      <c r="R46" s="20" t="n">
        <v>0.79253339</v>
      </c>
    </row>
    <row r="47" spans="1:18">
      <c r="A47" s="15" t="s">
        <v>606</v>
      </c>
      <c r="B47" s="17" t="n">
        <v>2823</v>
      </c>
      <c r="C47" s="18">
        <f>(2210.0/B47*100)</f>
        <v/>
      </c>
      <c r="D47" s="19" t="n">
        <v>613</v>
      </c>
      <c r="E47" s="18" t="n">
        <v>62.98137771</v>
      </c>
      <c r="F47" s="20" t="n">
        <v>2.33425954</v>
      </c>
      <c r="G47" s="18" t="n">
        <v>33.60735269</v>
      </c>
      <c r="H47" s="20" t="n">
        <v>2.41197835</v>
      </c>
      <c r="I47" s="18" t="n">
        <v>0</v>
      </c>
      <c r="J47" s="20" t="n">
        <v>0</v>
      </c>
      <c r="K47" s="18" t="n">
        <v>0.32048396</v>
      </c>
      <c r="L47" s="20" t="n">
        <v>0.22346418</v>
      </c>
      <c r="M47" s="18" t="n">
        <v>0</v>
      </c>
      <c r="N47" s="20" t="n">
        <v>0</v>
      </c>
      <c r="O47" s="18" t="n">
        <v>0</v>
      </c>
      <c r="P47" s="20" t="n">
        <v>0</v>
      </c>
      <c r="Q47" s="18" t="n">
        <v>3.09078564</v>
      </c>
      <c r="R47" s="20" t="n">
        <v>0.60083475</v>
      </c>
    </row>
    <row r="48" spans="1:18">
      <c r="A48" s="15" t="s">
        <v>607</v>
      </c>
      <c r="B48" s="17" t="n">
        <v>4682</v>
      </c>
      <c r="C48" s="18">
        <f>(3699.0/B48*100)</f>
        <v/>
      </c>
      <c r="D48" s="19" t="n">
        <v>983</v>
      </c>
      <c r="E48" s="18" t="n">
        <v>48.67323382</v>
      </c>
      <c r="F48" s="20" t="n">
        <v>2.05262887</v>
      </c>
      <c r="G48" s="18" t="n">
        <v>48.87522883</v>
      </c>
      <c r="H48" s="20" t="n">
        <v>2.0926972</v>
      </c>
      <c r="I48" s="18" t="n">
        <v>0</v>
      </c>
      <c r="J48" s="20" t="n">
        <v>0</v>
      </c>
      <c r="K48" s="18" t="n">
        <v>0.37221275</v>
      </c>
      <c r="L48" s="20" t="n">
        <v>0.2572873</v>
      </c>
      <c r="M48" s="18" t="n">
        <v>0</v>
      </c>
      <c r="N48" s="20" t="n">
        <v>0</v>
      </c>
      <c r="O48" s="18" t="n">
        <v>0</v>
      </c>
      <c r="P48" s="20" t="n">
        <v>0</v>
      </c>
      <c r="Q48" s="18" t="n">
        <v>2.0793246</v>
      </c>
      <c r="R48" s="20" t="n">
        <v>0.5541491</v>
      </c>
    </row>
    <row r="49" spans="1:18">
      <c r="A49" s="15" t="s">
        <v>608</v>
      </c>
      <c r="B49" s="17" t="n">
        <v>6158</v>
      </c>
      <c r="C49" s="18">
        <f>(4869.0/B49*100)</f>
        <v/>
      </c>
      <c r="D49" s="19" t="n">
        <v>1289</v>
      </c>
      <c r="E49" s="18" t="n">
        <v>69.64912676</v>
      </c>
      <c r="F49" s="20" t="n">
        <v>1.87461655</v>
      </c>
      <c r="G49" s="18" t="n">
        <v>26.60971763</v>
      </c>
      <c r="H49" s="20" t="n">
        <v>2.00300435</v>
      </c>
      <c r="I49" s="18" t="n">
        <v>0</v>
      </c>
      <c r="J49" s="20" t="n">
        <v>0</v>
      </c>
      <c r="K49" s="18" t="n">
        <v>1.5063736</v>
      </c>
      <c r="L49" s="20" t="n">
        <v>0.42946434</v>
      </c>
      <c r="M49" s="18" t="n">
        <v>0</v>
      </c>
      <c r="N49" s="20" t="n">
        <v>0</v>
      </c>
      <c r="O49" s="18" t="n">
        <v>0</v>
      </c>
      <c r="P49" s="20" t="n">
        <v>0</v>
      </c>
      <c r="Q49" s="18" t="n">
        <v>2.23478201</v>
      </c>
      <c r="R49" s="20" t="n">
        <v>0.54662747</v>
      </c>
    </row>
    <row r="50" spans="1:18">
      <c r="A50" s="15" t="s">
        <v>609</v>
      </c>
      <c r="B50" s="17" t="n">
        <v>3494</v>
      </c>
      <c r="C50" s="18">
        <f>(2863.0/B50*100)</f>
        <v/>
      </c>
      <c r="D50" s="19" t="n">
        <v>631</v>
      </c>
      <c r="E50" s="18" t="n">
        <v>69.84923768</v>
      </c>
      <c r="F50" s="20" t="n">
        <v>2.50671511</v>
      </c>
      <c r="G50" s="18" t="n">
        <v>26.91027302</v>
      </c>
      <c r="H50" s="20" t="n">
        <v>2.27762384</v>
      </c>
      <c r="I50" s="18" t="n">
        <v>0</v>
      </c>
      <c r="J50" s="20" t="n">
        <v>0</v>
      </c>
      <c r="K50" s="18" t="n">
        <v>0.37249805</v>
      </c>
      <c r="L50" s="20" t="n">
        <v>0.22388184</v>
      </c>
      <c r="M50" s="18" t="n">
        <v>0</v>
      </c>
      <c r="N50" s="20" t="n">
        <v>0</v>
      </c>
      <c r="O50" s="18" t="n">
        <v>0</v>
      </c>
      <c r="P50" s="20" t="n">
        <v>0</v>
      </c>
      <c r="Q50" s="18" t="n">
        <v>2.86799125</v>
      </c>
      <c r="R50" s="20" t="n">
        <v>0.76843827</v>
      </c>
    </row>
    <row r="51" spans="1:18">
      <c r="A51" s="15" t="s">
        <v>610</v>
      </c>
      <c r="B51" s="17" t="n">
        <v>3013</v>
      </c>
      <c r="C51" s="18">
        <f>(2368.0/B51*100)</f>
        <v/>
      </c>
      <c r="D51" s="19" t="n">
        <v>645</v>
      </c>
      <c r="E51" s="18" t="n">
        <v>47.93844316</v>
      </c>
      <c r="F51" s="20" t="n">
        <v>2.17393009</v>
      </c>
      <c r="G51" s="18" t="n">
        <v>49.33754985</v>
      </c>
      <c r="H51" s="20" t="n">
        <v>2.08073849</v>
      </c>
      <c r="I51" s="18" t="n">
        <v>0</v>
      </c>
      <c r="J51" s="20" t="n">
        <v>0</v>
      </c>
      <c r="K51" s="18" t="n">
        <v>0</v>
      </c>
      <c r="L51" s="20" t="n">
        <v>0</v>
      </c>
      <c r="M51" s="18" t="n">
        <v>0</v>
      </c>
      <c r="N51" s="20" t="n">
        <v>0</v>
      </c>
      <c r="O51" s="18" t="n">
        <v>0</v>
      </c>
      <c r="P51" s="20" t="n">
        <v>0</v>
      </c>
      <c r="Q51" s="18" t="n">
        <v>2.72400699</v>
      </c>
      <c r="R51" s="20" t="n">
        <v>0.69073801</v>
      </c>
    </row>
    <row r="52" spans="1:18">
      <c r="A52" s="15" t="s">
        <v>611</v>
      </c>
      <c r="B52" s="17" t="n">
        <v>2760</v>
      </c>
      <c r="C52" s="18">
        <f>(2188.0/B52*100)</f>
        <v/>
      </c>
      <c r="D52" s="19" t="n">
        <v>572</v>
      </c>
      <c r="E52" s="18" t="n">
        <v>72.08365148999999</v>
      </c>
      <c r="F52" s="20" t="n">
        <v>2.08303931</v>
      </c>
      <c r="G52" s="18" t="n">
        <v>25.06710923</v>
      </c>
      <c r="H52" s="20" t="n">
        <v>1.94011644</v>
      </c>
      <c r="I52" s="18" t="n">
        <v>0</v>
      </c>
      <c r="J52" s="20" t="n">
        <v>0</v>
      </c>
      <c r="K52" s="18" t="n">
        <v>0.14984052</v>
      </c>
      <c r="L52" s="20" t="n">
        <v>0.15123505</v>
      </c>
      <c r="M52" s="18" t="n">
        <v>0</v>
      </c>
      <c r="N52" s="20" t="n">
        <v>0</v>
      </c>
      <c r="O52" s="18" t="n">
        <v>0</v>
      </c>
      <c r="P52" s="20" t="n">
        <v>0</v>
      </c>
      <c r="Q52" s="18" t="n">
        <v>2.69939876</v>
      </c>
      <c r="R52" s="20" t="n">
        <v>0.68180182</v>
      </c>
    </row>
    <row r="53" spans="1:18">
      <c r="A53" s="15" t="s">
        <v>612</v>
      </c>
      <c r="B53" s="17" t="n">
        <v>2474</v>
      </c>
      <c r="C53" s="18">
        <f>(1895.0/B53*100)</f>
        <v/>
      </c>
      <c r="D53" s="19" t="n">
        <v>579</v>
      </c>
      <c r="E53" s="18" t="n">
        <v>66.6958261</v>
      </c>
      <c r="F53" s="20" t="n">
        <v>2.07971142</v>
      </c>
      <c r="G53" s="18" t="n">
        <v>8.813901299999999</v>
      </c>
      <c r="H53" s="20" t="n">
        <v>1.29338765</v>
      </c>
      <c r="I53" s="18" t="n">
        <v>0</v>
      </c>
      <c r="J53" s="20" t="n">
        <v>0</v>
      </c>
      <c r="K53" s="18" t="n">
        <v>20.7361982</v>
      </c>
      <c r="L53" s="20" t="n">
        <v>1.83404454</v>
      </c>
      <c r="M53" s="18" t="n">
        <v>0</v>
      </c>
      <c r="N53" s="20" t="n">
        <v>0</v>
      </c>
      <c r="O53" s="18" t="n">
        <v>0</v>
      </c>
      <c r="P53" s="20" t="n">
        <v>0</v>
      </c>
      <c r="Q53" s="18" t="n">
        <v>3.7540744</v>
      </c>
      <c r="R53" s="20" t="n">
        <v>0.90009744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(2073.0/B55*100)</f>
        <v/>
      </c>
      <c r="D55" s="19" t="n">
        <v>602</v>
      </c>
      <c r="E55" s="18" t="n">
        <v>53.86654837</v>
      </c>
      <c r="F55" s="20" t="n">
        <v>2.10032168</v>
      </c>
      <c r="G55" s="18" t="n">
        <v>41.65548556</v>
      </c>
      <c r="H55" s="20" t="n">
        <v>2.08331486</v>
      </c>
      <c r="I55" s="18" t="n">
        <v>0</v>
      </c>
      <c r="J55" s="20" t="n">
        <v>0</v>
      </c>
      <c r="K55" s="18" t="n">
        <v>0.15230106</v>
      </c>
      <c r="L55" s="20" t="n">
        <v>0.17039154</v>
      </c>
      <c r="M55" s="18" t="n">
        <v>0</v>
      </c>
      <c r="N55" s="20" t="n">
        <v>0</v>
      </c>
      <c r="O55" s="18" t="n">
        <v>0</v>
      </c>
      <c r="P55" s="20" t="n">
        <v>0</v>
      </c>
      <c r="Q55" s="18" t="n">
        <v>4.32566501</v>
      </c>
      <c r="R55" s="20" t="n">
        <v>0.82763896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(2524.0/B61*100)</f>
        <v/>
      </c>
      <c r="D61" s="19" t="n">
        <v>677</v>
      </c>
      <c r="E61" s="18" t="n">
        <v>42.54972152</v>
      </c>
      <c r="F61" s="20" t="n">
        <v>2.20560586</v>
      </c>
      <c r="G61" s="18" t="n">
        <v>54.83072289</v>
      </c>
      <c r="H61" s="20" t="n">
        <v>2.15252878</v>
      </c>
      <c r="I61" s="18" t="n">
        <v>0</v>
      </c>
      <c r="J61" s="20" t="n">
        <v>0</v>
      </c>
      <c r="K61" s="18" t="n">
        <v>0.23044154</v>
      </c>
      <c r="L61" s="20" t="n">
        <v>0.19246825</v>
      </c>
      <c r="M61" s="18" t="n">
        <v>0</v>
      </c>
      <c r="N61" s="20" t="n">
        <v>0</v>
      </c>
      <c r="O61" s="18" t="n">
        <v>0</v>
      </c>
      <c r="P61" s="20" t="n">
        <v>0</v>
      </c>
      <c r="Q61" s="18" t="n">
        <v>2.38911405</v>
      </c>
      <c r="R61" s="20" t="n">
        <v>0.66704433</v>
      </c>
    </row>
    <row r="62" spans="1:18">
      <c r="A62" s="15" t="s">
        <v>622</v>
      </c>
      <c r="B62" s="17" t="n">
        <v>2230</v>
      </c>
      <c r="C62" s="18">
        <f>(1754.0/B62*100)</f>
        <v/>
      </c>
      <c r="D62" s="19" t="n">
        <v>476</v>
      </c>
      <c r="E62" s="18" t="n">
        <v>47.95943667</v>
      </c>
      <c r="F62" s="20" t="n">
        <v>2.16490596</v>
      </c>
      <c r="G62" s="18" t="n">
        <v>50.14955474</v>
      </c>
      <c r="H62" s="20" t="n">
        <v>2.12324799</v>
      </c>
      <c r="I62" s="18" t="n">
        <v>0</v>
      </c>
      <c r="J62" s="20" t="n">
        <v>0</v>
      </c>
      <c r="K62" s="18" t="n">
        <v>0</v>
      </c>
      <c r="L62" s="20" t="n">
        <v>0</v>
      </c>
      <c r="M62" s="18" t="n">
        <v>0</v>
      </c>
      <c r="N62" s="20" t="n">
        <v>0</v>
      </c>
      <c r="O62" s="18" t="n">
        <v>0</v>
      </c>
      <c r="P62" s="20" t="n">
        <v>0</v>
      </c>
      <c r="Q62" s="18" t="n">
        <v>1.89100859</v>
      </c>
      <c r="R62" s="20" t="n">
        <v>0.61537193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(2186.0/B67*100)</f>
        <v/>
      </c>
      <c r="D67" s="19" t="n">
        <v>585</v>
      </c>
      <c r="E67" s="18" t="n">
        <v>65.47790451</v>
      </c>
      <c r="F67" s="20" t="n">
        <v>1.8319737</v>
      </c>
      <c r="G67" s="18" t="n">
        <v>28.59933965</v>
      </c>
      <c r="H67" s="20" t="n">
        <v>1.65507145</v>
      </c>
      <c r="I67" s="18" t="n">
        <v>0</v>
      </c>
      <c r="J67" s="20" t="n">
        <v>0</v>
      </c>
      <c r="K67" s="18" t="n">
        <v>0.77347084</v>
      </c>
      <c r="L67" s="20" t="n">
        <v>0.35326948</v>
      </c>
      <c r="M67" s="18" t="n">
        <v>0</v>
      </c>
      <c r="N67" s="20" t="n">
        <v>0</v>
      </c>
      <c r="O67" s="18" t="n">
        <v>0</v>
      </c>
      <c r="P67" s="20" t="n">
        <v>0</v>
      </c>
      <c r="Q67" s="18" t="n">
        <v>5.149285</v>
      </c>
      <c r="R67" s="20" t="n">
        <v>0.96691744</v>
      </c>
    </row>
    <row r="68" spans="1:18">
      <c r="A68" s="15" t="s">
        <v>628</v>
      </c>
      <c r="B68" s="17" t="n">
        <v>3460</v>
      </c>
      <c r="C68" s="18">
        <f>(2821.0/B68*100)</f>
        <v/>
      </c>
      <c r="D68" s="19" t="n">
        <v>639</v>
      </c>
      <c r="E68" s="18" t="n">
        <v>71.01652395000001</v>
      </c>
      <c r="F68" s="20" t="n">
        <v>1.74256913</v>
      </c>
      <c r="G68" s="18" t="n">
        <v>25.54442745</v>
      </c>
      <c r="H68" s="20" t="n">
        <v>1.65735419</v>
      </c>
      <c r="I68" s="18" t="n">
        <v>0</v>
      </c>
      <c r="J68" s="20" t="n">
        <v>0</v>
      </c>
      <c r="K68" s="18" t="n">
        <v>0.16233251</v>
      </c>
      <c r="L68" s="20" t="n">
        <v>0.16300523</v>
      </c>
      <c r="M68" s="18" t="n">
        <v>0</v>
      </c>
      <c r="N68" s="20" t="n">
        <v>0</v>
      </c>
      <c r="O68" s="18" t="n">
        <v>0</v>
      </c>
      <c r="P68" s="20" t="n">
        <v>0</v>
      </c>
      <c r="Q68" s="18" t="n">
        <v>3.27671609</v>
      </c>
      <c r="R68" s="20" t="n">
        <v>0.87655438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68.5709818</v>
      </c>
      <c r="F70" s="20" t="n">
        <v>1.17292024</v>
      </c>
      <c r="G70" s="18" t="n">
        <v>26.3247814</v>
      </c>
      <c r="H70" s="20" t="n">
        <v>1.07981219</v>
      </c>
      <c r="I70" s="18" t="n">
        <v>0</v>
      </c>
      <c r="J70" s="20" t="n">
        <v>0</v>
      </c>
      <c r="K70" s="18" t="n">
        <v>1.92733038</v>
      </c>
      <c r="L70" s="20" t="n">
        <v>0.35587093</v>
      </c>
      <c r="M70" s="18" t="n">
        <v>0</v>
      </c>
      <c r="N70" s="20" t="n">
        <v>0</v>
      </c>
      <c r="O70" s="18" t="n">
        <v>0</v>
      </c>
      <c r="P70" s="20" t="n">
        <v>0</v>
      </c>
      <c r="Q70" s="18" t="n">
        <v>3.17690642</v>
      </c>
      <c r="R70" s="20" t="n">
        <v>0.44101944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(2479.0/B72*100)</f>
        <v/>
      </c>
      <c r="D72" s="19" t="n">
        <v>628</v>
      </c>
      <c r="E72" s="18" t="n">
        <v>49.57234823</v>
      </c>
      <c r="F72" s="20" t="n">
        <v>1.99613631</v>
      </c>
      <c r="G72" s="18" t="n">
        <v>46.54617085</v>
      </c>
      <c r="H72" s="20" t="n">
        <v>1.9124176</v>
      </c>
      <c r="I72" s="18" t="n">
        <v>0</v>
      </c>
      <c r="J72" s="20" t="n">
        <v>0</v>
      </c>
      <c r="K72" s="18" t="n">
        <v>0.08142406000000001</v>
      </c>
      <c r="L72" s="20" t="n">
        <v>0.08219012000000001</v>
      </c>
      <c r="M72" s="18" t="n">
        <v>0</v>
      </c>
      <c r="N72" s="20" t="n">
        <v>0</v>
      </c>
      <c r="O72" s="18" t="n">
        <v>0</v>
      </c>
      <c r="P72" s="20" t="n">
        <v>0</v>
      </c>
      <c r="Q72" s="18" t="n">
        <v>3.80005686</v>
      </c>
      <c r="R72" s="20" t="n">
        <v>0.97502879</v>
      </c>
    </row>
    <row r="73" spans="1:18">
      <c r="A73" s="15" t="s">
        <v>633</v>
      </c>
      <c r="B73" s="17" t="n">
        <v>2973</v>
      </c>
      <c r="C73" s="18">
        <f>(2276.0/B73*100)</f>
        <v/>
      </c>
      <c r="D73" s="19" t="n">
        <v>697</v>
      </c>
      <c r="E73" s="18" t="n">
        <v>37.39620805</v>
      </c>
      <c r="F73" s="20" t="n">
        <v>1.71830659</v>
      </c>
      <c r="G73" s="18" t="n">
        <v>59.0488101</v>
      </c>
      <c r="H73" s="20" t="n">
        <v>1.81861065</v>
      </c>
      <c r="I73" s="18" t="n">
        <v>0</v>
      </c>
      <c r="J73" s="20" t="n">
        <v>0</v>
      </c>
      <c r="K73" s="18" t="n">
        <v>0.09645722</v>
      </c>
      <c r="L73" s="20" t="n">
        <v>0.09652535</v>
      </c>
      <c r="M73" s="18" t="n">
        <v>0</v>
      </c>
      <c r="N73" s="20" t="n">
        <v>0</v>
      </c>
      <c r="O73" s="18" t="n">
        <v>0</v>
      </c>
      <c r="P73" s="20" t="n">
        <v>0</v>
      </c>
      <c r="Q73" s="18" t="n">
        <v>3.45852463</v>
      </c>
      <c r="R73" s="20" t="n">
        <v>0.79463799</v>
      </c>
    </row>
    <row r="74" spans="1:18">
      <c r="A74" s="15" t="s">
        <v>634</v>
      </c>
      <c r="B74" s="17" t="n">
        <v>3819</v>
      </c>
      <c r="C74" s="18">
        <f>(2942.0/B74*100)</f>
        <v/>
      </c>
      <c r="D74" s="19" t="n">
        <v>877</v>
      </c>
      <c r="E74" s="18" t="n">
        <v>49.72767048</v>
      </c>
      <c r="F74" s="20" t="n">
        <v>2.06794508</v>
      </c>
      <c r="G74" s="18" t="n">
        <v>47.53316789</v>
      </c>
      <c r="H74" s="20" t="n">
        <v>2.12226435</v>
      </c>
      <c r="I74" s="18" t="n">
        <v>0</v>
      </c>
      <c r="J74" s="20" t="n">
        <v>0</v>
      </c>
      <c r="K74" s="18" t="n">
        <v>0.13129914</v>
      </c>
      <c r="L74" s="20" t="n">
        <v>0.0948116</v>
      </c>
      <c r="M74" s="18" t="n">
        <v>0</v>
      </c>
      <c r="N74" s="20" t="n">
        <v>0</v>
      </c>
      <c r="O74" s="18" t="n">
        <v>0</v>
      </c>
      <c r="P74" s="20" t="n">
        <v>0</v>
      </c>
      <c r="Q74" s="18" t="n">
        <v>2.60786249</v>
      </c>
      <c r="R74" s="20" t="n">
        <v>0.5914544</v>
      </c>
    </row>
    <row r="75" spans="1:18">
      <c r="A75" s="15" t="s">
        <v>635</v>
      </c>
      <c r="B75" s="17" t="n">
        <v>4652</v>
      </c>
      <c r="C75" s="18">
        <f>(3700.0/B75*100)</f>
        <v/>
      </c>
      <c r="D75" s="19" t="n">
        <v>952</v>
      </c>
      <c r="E75" s="18" t="n">
        <v>64.28687490999999</v>
      </c>
      <c r="F75" s="20" t="n">
        <v>1.86700027</v>
      </c>
      <c r="G75" s="18" t="n">
        <v>31.35319639</v>
      </c>
      <c r="H75" s="20" t="n">
        <v>1.85157941</v>
      </c>
      <c r="I75" s="18" t="n">
        <v>0</v>
      </c>
      <c r="J75" s="20" t="n">
        <v>0</v>
      </c>
      <c r="K75" s="18" t="n">
        <v>0</v>
      </c>
      <c r="L75" s="20" t="n">
        <v>0</v>
      </c>
      <c r="M75" s="18" t="n">
        <v>0</v>
      </c>
      <c r="N75" s="20" t="n">
        <v>0</v>
      </c>
      <c r="O75" s="18" t="n">
        <v>0</v>
      </c>
      <c r="P75" s="20" t="n">
        <v>0</v>
      </c>
      <c r="Q75" s="18" t="n">
        <v>4.3599287</v>
      </c>
      <c r="R75" s="20" t="n">
        <v>0.84536565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(2413.0/B77*100)</f>
        <v/>
      </c>
      <c r="D77" s="19" t="n">
        <v>556</v>
      </c>
      <c r="E77" s="18" t="n">
        <v>76.19672518</v>
      </c>
      <c r="F77" s="20" t="n">
        <v>2.06616846</v>
      </c>
      <c r="G77" s="18" t="n">
        <v>14.17664038</v>
      </c>
      <c r="H77" s="20" t="n">
        <v>1.64589807</v>
      </c>
      <c r="I77" s="18" t="n">
        <v>0</v>
      </c>
      <c r="J77" s="20" t="n">
        <v>0</v>
      </c>
      <c r="K77" s="18" t="n">
        <v>6.12999058</v>
      </c>
      <c r="L77" s="20" t="n">
        <v>1.312198</v>
      </c>
      <c r="M77" s="18" t="n">
        <v>0</v>
      </c>
      <c r="N77" s="20" t="n">
        <v>0</v>
      </c>
      <c r="O77" s="18" t="n">
        <v>0</v>
      </c>
      <c r="P77" s="20" t="n">
        <v>0</v>
      </c>
      <c r="Q77" s="18" t="n">
        <v>3.49664385</v>
      </c>
      <c r="R77" s="20" t="n">
        <v>0.8516945500000001</v>
      </c>
    </row>
    <row r="78" spans="1:18">
      <c r="A78" s="15" t="s">
        <v>638</v>
      </c>
      <c r="B78" s="17" t="n">
        <v>7115</v>
      </c>
      <c r="C78" s="18">
        <f>(5544.0/B78*100)</f>
        <v/>
      </c>
      <c r="D78" s="19" t="n">
        <v>1571</v>
      </c>
      <c r="E78" s="18" t="n">
        <v>64.01109905</v>
      </c>
      <c r="F78" s="20" t="n">
        <v>1.3567364</v>
      </c>
      <c r="G78" s="18" t="n">
        <v>32.98278832</v>
      </c>
      <c r="H78" s="20" t="n">
        <v>1.40408193</v>
      </c>
      <c r="I78" s="18" t="n">
        <v>0</v>
      </c>
      <c r="J78" s="20" t="n">
        <v>0</v>
      </c>
      <c r="K78" s="18" t="n">
        <v>0.8179615</v>
      </c>
      <c r="L78" s="20" t="n">
        <v>0.28770351</v>
      </c>
      <c r="M78" s="18" t="n">
        <v>0</v>
      </c>
      <c r="N78" s="20" t="n">
        <v>0</v>
      </c>
      <c r="O78" s="18" t="n">
        <v>0</v>
      </c>
      <c r="P78" s="20" t="n">
        <v>0</v>
      </c>
      <c r="Q78" s="18" t="n">
        <v>2.18815113</v>
      </c>
      <c r="R78" s="20" t="n">
        <v>0.38239355</v>
      </c>
    </row>
    <row r="79" spans="1:18">
      <c r="A79" s="15" t="s">
        <v>639</v>
      </c>
      <c r="B79" s="17" t="n">
        <v>3154</v>
      </c>
      <c r="C79" s="18">
        <f>(2521.0/B79*100)</f>
        <v/>
      </c>
      <c r="D79" s="19" t="n">
        <v>633</v>
      </c>
      <c r="E79" s="18" t="n">
        <v>71.77511298</v>
      </c>
      <c r="F79" s="20" t="n">
        <v>1.94839645</v>
      </c>
      <c r="G79" s="18" t="n">
        <v>23.77544682</v>
      </c>
      <c r="H79" s="20" t="n">
        <v>1.82256755</v>
      </c>
      <c r="I79" s="18" t="n">
        <v>0</v>
      </c>
      <c r="J79" s="20" t="n">
        <v>0</v>
      </c>
      <c r="K79" s="18" t="n">
        <v>1.37813574</v>
      </c>
      <c r="L79" s="20" t="n">
        <v>0.44498048</v>
      </c>
      <c r="M79" s="18" t="n">
        <v>0</v>
      </c>
      <c r="N79" s="20" t="n">
        <v>0</v>
      </c>
      <c r="O79" s="18" t="n">
        <v>0</v>
      </c>
      <c r="P79" s="20" t="n">
        <v>0</v>
      </c>
      <c r="Q79" s="18" t="n">
        <v>3.07130446</v>
      </c>
      <c r="R79" s="20" t="n">
        <v>0.76282302</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(12490.0/B82*100)</f>
        <v/>
      </c>
      <c r="D82" s="19" t="n">
        <v>3471</v>
      </c>
      <c r="E82" s="18" t="n">
        <v>57.0010128</v>
      </c>
      <c r="F82" s="20" t="n">
        <v>1.27586117</v>
      </c>
      <c r="G82" s="18" t="n">
        <v>40.68117082</v>
      </c>
      <c r="H82" s="20" t="n">
        <v>1.25014155</v>
      </c>
      <c r="I82" s="18" t="n">
        <v>0</v>
      </c>
      <c r="J82" s="20" t="n">
        <v>0</v>
      </c>
      <c r="K82" s="18" t="n">
        <v>0.15762392</v>
      </c>
      <c r="L82" s="20" t="n">
        <v>0.08634731</v>
      </c>
      <c r="M82" s="18" t="n">
        <v>0</v>
      </c>
      <c r="N82" s="20" t="n">
        <v>0</v>
      </c>
      <c r="O82" s="18" t="n">
        <v>0</v>
      </c>
      <c r="P82" s="20" t="n">
        <v>0</v>
      </c>
      <c r="Q82" s="18" t="n">
        <v>2.16019246</v>
      </c>
      <c r="R82" s="20" t="n">
        <v>0.41090532</v>
      </c>
    </row>
    <row r="83" spans="1:18">
      <c r="A83" s="15" t="s">
        <v>643</v>
      </c>
      <c r="B83" s="17" t="n">
        <v>808</v>
      </c>
      <c r="C83" s="18">
        <f>(648.0/B83*100)</f>
        <v/>
      </c>
      <c r="D83" s="19" t="n">
        <v>160</v>
      </c>
      <c r="E83" s="18" t="n">
        <v>31.95986909</v>
      </c>
      <c r="F83" s="20" t="n">
        <v>4.3445311</v>
      </c>
      <c r="G83" s="18" t="n">
        <v>65.80154807</v>
      </c>
      <c r="H83" s="20" t="n">
        <v>4.41665216</v>
      </c>
      <c r="I83" s="18" t="n">
        <v>0</v>
      </c>
      <c r="J83" s="20" t="n">
        <v>0</v>
      </c>
      <c r="K83" s="18" t="n">
        <v>0</v>
      </c>
      <c r="L83" s="20" t="n">
        <v>0</v>
      </c>
      <c r="M83" s="18" t="n">
        <v>0</v>
      </c>
      <c r="N83" s="20" t="n">
        <v>0</v>
      </c>
      <c r="O83" s="18" t="n">
        <v>0</v>
      </c>
      <c r="P83" s="20" t="n">
        <v>0</v>
      </c>
      <c r="Q83" s="18" t="n">
        <v>2.23858284</v>
      </c>
      <c r="R83" s="20" t="n">
        <v>1.15131772</v>
      </c>
    </row>
    <row r="84" spans="1:18">
      <c r="A84" s="23" t="s">
        <v>644</v>
      </c>
      <c r="B84" s="24" t="n">
        <v>938</v>
      </c>
      <c r="C84" s="25">
        <f>(715.0/B84*100)</f>
        <v/>
      </c>
      <c r="D84" s="19" t="n">
        <v>223</v>
      </c>
      <c r="E84" s="18" t="n">
        <v>48.34223801</v>
      </c>
      <c r="F84" s="20" t="n">
        <v>3.31651609</v>
      </c>
      <c r="G84" s="18" t="n">
        <v>48.60553414</v>
      </c>
      <c r="H84" s="20" t="n">
        <v>3.70460507</v>
      </c>
      <c r="I84" s="18" t="n">
        <v>0</v>
      </c>
      <c r="J84" s="20" t="n">
        <v>0</v>
      </c>
      <c r="K84" s="18" t="n">
        <v>0</v>
      </c>
      <c r="L84" s="20" t="n">
        <v>0</v>
      </c>
      <c r="M84" s="18" t="n">
        <v>0</v>
      </c>
      <c r="N84" s="20" t="n">
        <v>0</v>
      </c>
      <c r="O84" s="18" t="n">
        <v>0</v>
      </c>
      <c r="P84" s="20" t="n">
        <v>0</v>
      </c>
      <c r="Q84" s="18" t="n">
        <v>3.05222785</v>
      </c>
      <c r="R84" s="20" t="n">
        <v>1.15454633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(5618.0/B7*100)</f>
        <v/>
      </c>
      <c r="D7" s="19" t="n">
        <v>1545</v>
      </c>
      <c r="E7" s="18" t="n">
        <v>14.62888971</v>
      </c>
      <c r="F7" s="20" t="n">
        <v>1.17420773</v>
      </c>
      <c r="G7" s="18" t="n">
        <v>84.29750384</v>
      </c>
      <c r="H7" s="20" t="n">
        <v>1.27042062</v>
      </c>
      <c r="I7" s="18" t="n">
        <v>0</v>
      </c>
      <c r="J7" s="20" t="n">
        <v>0</v>
      </c>
      <c r="K7" s="18" t="n">
        <v>0.56273677</v>
      </c>
      <c r="L7" s="20" t="n">
        <v>0.21031961</v>
      </c>
      <c r="M7" s="18" t="n">
        <v>0</v>
      </c>
      <c r="N7" s="20" t="n">
        <v>0</v>
      </c>
      <c r="O7" s="18" t="n">
        <v>0</v>
      </c>
      <c r="P7" s="20" t="n">
        <v>0</v>
      </c>
      <c r="Q7" s="18" t="n">
        <v>0.5108696700000001</v>
      </c>
      <c r="R7" s="20" t="n">
        <v>0.23840988</v>
      </c>
    </row>
    <row r="8" spans="1:18">
      <c r="A8" s="15" t="s">
        <v>566</v>
      </c>
      <c r="B8" s="17" t="n">
        <v>3443</v>
      </c>
      <c r="C8" s="18">
        <f>(2729.0/B8*100)</f>
        <v/>
      </c>
      <c r="D8" s="19" t="n">
        <v>714</v>
      </c>
      <c r="E8" s="18" t="n">
        <v>21.26205251</v>
      </c>
      <c r="F8" s="20" t="n">
        <v>1.83776485</v>
      </c>
      <c r="G8" s="18" t="n">
        <v>78.26636882</v>
      </c>
      <c r="H8" s="20" t="n">
        <v>1.85488925</v>
      </c>
      <c r="I8" s="18" t="n">
        <v>0</v>
      </c>
      <c r="J8" s="20" t="n">
        <v>0</v>
      </c>
      <c r="K8" s="18" t="n">
        <v>0</v>
      </c>
      <c r="L8" s="20" t="n">
        <v>0</v>
      </c>
      <c r="M8" s="18" t="n">
        <v>0</v>
      </c>
      <c r="N8" s="20" t="n">
        <v>0</v>
      </c>
      <c r="O8" s="18" t="n">
        <v>0</v>
      </c>
      <c r="P8" s="20" t="n">
        <v>0</v>
      </c>
      <c r="Q8" s="18" t="n">
        <v>0.47157868</v>
      </c>
      <c r="R8" s="20" t="n">
        <v>0.23598349</v>
      </c>
    </row>
    <row r="9" spans="1:18">
      <c r="A9" s="15" t="s">
        <v>567</v>
      </c>
      <c r="B9" s="17" t="n">
        <v>4752</v>
      </c>
      <c r="C9" s="18">
        <f>(3789.0/B9*100)</f>
        <v/>
      </c>
      <c r="D9" s="19" t="n">
        <v>963</v>
      </c>
      <c r="E9" s="18" t="n">
        <v>18.99020951</v>
      </c>
      <c r="F9" s="20" t="n">
        <v>1.28536043</v>
      </c>
      <c r="G9" s="18" t="n">
        <v>80.01661441</v>
      </c>
      <c r="H9" s="20" t="n">
        <v>1.38381026</v>
      </c>
      <c r="I9" s="18" t="n">
        <v>0</v>
      </c>
      <c r="J9" s="20" t="n">
        <v>0</v>
      </c>
      <c r="K9" s="18" t="n">
        <v>0.59279481</v>
      </c>
      <c r="L9" s="20" t="n">
        <v>0.27209748</v>
      </c>
      <c r="M9" s="18" t="n">
        <v>0</v>
      </c>
      <c r="N9" s="20" t="n">
        <v>0</v>
      </c>
      <c r="O9" s="18" t="n">
        <v>0</v>
      </c>
      <c r="P9" s="20" t="n">
        <v>0</v>
      </c>
      <c r="Q9" s="18" t="n">
        <v>0.40038126</v>
      </c>
      <c r="R9" s="20" t="n">
        <v>0.18616762</v>
      </c>
    </row>
    <row r="10" spans="1:18">
      <c r="A10" s="15" t="s">
        <v>568</v>
      </c>
      <c r="B10" s="17" t="n">
        <v>10022</v>
      </c>
      <c r="C10" s="18">
        <f>(7789.0/B10*100)</f>
        <v/>
      </c>
      <c r="D10" s="19" t="n">
        <v>2233</v>
      </c>
      <c r="E10" s="18" t="n">
        <v>10.22815199</v>
      </c>
      <c r="F10" s="20" t="n">
        <v>0.9645677</v>
      </c>
      <c r="G10" s="18" t="n">
        <v>89.03385557</v>
      </c>
      <c r="H10" s="20" t="n">
        <v>1.01003152</v>
      </c>
      <c r="I10" s="18" t="n">
        <v>0</v>
      </c>
      <c r="J10" s="20" t="n">
        <v>0</v>
      </c>
      <c r="K10" s="18" t="n">
        <v>0.48528387</v>
      </c>
      <c r="L10" s="20" t="n">
        <v>0.17681286</v>
      </c>
      <c r="M10" s="18" t="n">
        <v>0</v>
      </c>
      <c r="N10" s="20" t="n">
        <v>0</v>
      </c>
      <c r="O10" s="18" t="n">
        <v>0</v>
      </c>
      <c r="P10" s="20" t="n">
        <v>0</v>
      </c>
      <c r="Q10" s="18" t="n">
        <v>0.25270857</v>
      </c>
      <c r="R10" s="20" t="n">
        <v>0.12827119</v>
      </c>
    </row>
    <row r="11" spans="1:18">
      <c r="A11" s="15" t="s">
        <v>569</v>
      </c>
      <c r="B11" s="17" t="n">
        <v>3500</v>
      </c>
      <c r="C11" s="18">
        <f>(2736.0/B11*100)</f>
        <v/>
      </c>
      <c r="D11" s="19" t="n">
        <v>764</v>
      </c>
      <c r="E11" s="18" t="n">
        <v>20.75360118</v>
      </c>
      <c r="F11" s="20" t="n">
        <v>1.83543102</v>
      </c>
      <c r="G11" s="18" t="n">
        <v>77.19109899</v>
      </c>
      <c r="H11" s="20" t="n">
        <v>1.83237882</v>
      </c>
      <c r="I11" s="18" t="n">
        <v>0</v>
      </c>
      <c r="J11" s="20" t="n">
        <v>0</v>
      </c>
      <c r="K11" s="18" t="n">
        <v>1.61875563</v>
      </c>
      <c r="L11" s="20" t="n">
        <v>0.51617883</v>
      </c>
      <c r="M11" s="18" t="n">
        <v>0</v>
      </c>
      <c r="N11" s="20" t="n">
        <v>0</v>
      </c>
      <c r="O11" s="18" t="n">
        <v>0</v>
      </c>
      <c r="P11" s="20" t="n">
        <v>0</v>
      </c>
      <c r="Q11" s="18" t="n">
        <v>0.4365442</v>
      </c>
      <c r="R11" s="20" t="n">
        <v>0.22540825</v>
      </c>
    </row>
    <row r="12" spans="1:18">
      <c r="A12" s="15" t="s">
        <v>570</v>
      </c>
      <c r="B12" s="17" t="n">
        <v>3422</v>
      </c>
      <c r="C12" s="18">
        <f>(2655.0/B12*100)</f>
        <v/>
      </c>
      <c r="D12" s="19" t="n">
        <v>767</v>
      </c>
      <c r="E12" s="18" t="n">
        <v>18.16101209</v>
      </c>
      <c r="F12" s="20" t="n">
        <v>1.78926649</v>
      </c>
      <c r="G12" s="18" t="n">
        <v>81.65318215000001</v>
      </c>
      <c r="H12" s="20" t="n">
        <v>1.79841827</v>
      </c>
      <c r="I12" s="18" t="n">
        <v>0</v>
      </c>
      <c r="J12" s="20" t="n">
        <v>0</v>
      </c>
      <c r="K12" s="18" t="n">
        <v>0.1220786</v>
      </c>
      <c r="L12" s="20" t="n">
        <v>0.12102542</v>
      </c>
      <c r="M12" s="18" t="n">
        <v>0</v>
      </c>
      <c r="N12" s="20" t="n">
        <v>0</v>
      </c>
      <c r="O12" s="18" t="n">
        <v>0</v>
      </c>
      <c r="P12" s="20" t="n">
        <v>0</v>
      </c>
      <c r="Q12" s="18" t="n">
        <v>0.06372717</v>
      </c>
      <c r="R12" s="20" t="n">
        <v>0.06400976999999999</v>
      </c>
    </row>
    <row r="13" spans="1:18">
      <c r="A13" s="15" t="s">
        <v>571</v>
      </c>
      <c r="B13" s="17" t="n">
        <v>3602</v>
      </c>
      <c r="C13" s="18">
        <f>(2855.0/B13*100)</f>
        <v/>
      </c>
      <c r="D13" s="19" t="n">
        <v>747</v>
      </c>
      <c r="E13" s="18" t="n">
        <v>15.87124787</v>
      </c>
      <c r="F13" s="20" t="n">
        <v>1.66992836</v>
      </c>
      <c r="G13" s="18" t="n">
        <v>83.46330227999999</v>
      </c>
      <c r="H13" s="20" t="n">
        <v>1.70696939</v>
      </c>
      <c r="I13" s="18" t="n">
        <v>0</v>
      </c>
      <c r="J13" s="20" t="n">
        <v>0</v>
      </c>
      <c r="K13" s="18" t="n">
        <v>0.36124428</v>
      </c>
      <c r="L13" s="20" t="n">
        <v>0.25307345</v>
      </c>
      <c r="M13" s="18" t="n">
        <v>0</v>
      </c>
      <c r="N13" s="20" t="n">
        <v>0</v>
      </c>
      <c r="O13" s="18" t="n">
        <v>0</v>
      </c>
      <c r="P13" s="20" t="n">
        <v>0</v>
      </c>
      <c r="Q13" s="18" t="n">
        <v>0.30420558</v>
      </c>
      <c r="R13" s="20" t="n">
        <v>0.18304948</v>
      </c>
    </row>
    <row r="14" spans="1:18">
      <c r="A14" s="15" t="s">
        <v>572</v>
      </c>
      <c r="B14" s="17" t="n">
        <v>2788</v>
      </c>
      <c r="C14" s="18">
        <f>(2183.0/B14*100)</f>
        <v/>
      </c>
      <c r="D14" s="19" t="n">
        <v>605</v>
      </c>
      <c r="E14" s="18" t="n">
        <v>15.08958634</v>
      </c>
      <c r="F14" s="20" t="n">
        <v>1.59944932</v>
      </c>
      <c r="G14" s="18" t="n">
        <v>84.34252721999999</v>
      </c>
      <c r="H14" s="20" t="n">
        <v>1.6261247</v>
      </c>
      <c r="I14" s="18" t="n">
        <v>0</v>
      </c>
      <c r="J14" s="20" t="n">
        <v>0</v>
      </c>
      <c r="K14" s="18" t="n">
        <v>0.42624501</v>
      </c>
      <c r="L14" s="20" t="n">
        <v>0.24263039</v>
      </c>
      <c r="M14" s="18" t="n">
        <v>0</v>
      </c>
      <c r="N14" s="20" t="n">
        <v>0</v>
      </c>
      <c r="O14" s="18" t="n">
        <v>0</v>
      </c>
      <c r="P14" s="20" t="n">
        <v>0</v>
      </c>
      <c r="Q14" s="18" t="n">
        <v>0.14164143</v>
      </c>
      <c r="R14" s="20" t="n">
        <v>0.14091032</v>
      </c>
    </row>
    <row r="15" spans="1:18">
      <c r="A15" s="15" t="s">
        <v>573</v>
      </c>
      <c r="B15" s="17" t="n">
        <v>2863</v>
      </c>
      <c r="C15" s="18">
        <f>(2230.0/B15*100)</f>
        <v/>
      </c>
      <c r="D15" s="19" t="n">
        <v>633</v>
      </c>
      <c r="E15" s="18" t="n">
        <v>15.56383745</v>
      </c>
      <c r="F15" s="20" t="n">
        <v>1.46979475</v>
      </c>
      <c r="G15" s="18" t="n">
        <v>84.3078356</v>
      </c>
      <c r="H15" s="20" t="n">
        <v>1.47088015</v>
      </c>
      <c r="I15" s="18" t="n">
        <v>0</v>
      </c>
      <c r="J15" s="20" t="n">
        <v>0</v>
      </c>
      <c r="K15" s="18" t="n">
        <v>0</v>
      </c>
      <c r="L15" s="20" t="n">
        <v>0</v>
      </c>
      <c r="M15" s="18" t="n">
        <v>0</v>
      </c>
      <c r="N15" s="20" t="n">
        <v>0</v>
      </c>
      <c r="O15" s="18" t="n">
        <v>0</v>
      </c>
      <c r="P15" s="20" t="n">
        <v>0</v>
      </c>
      <c r="Q15" s="18" t="n">
        <v>0.12832695</v>
      </c>
      <c r="R15" s="20" t="n">
        <v>0.12796976</v>
      </c>
    </row>
    <row r="16" spans="1:18">
      <c r="A16" s="15" t="s">
        <v>574</v>
      </c>
      <c r="B16" s="17" t="n">
        <v>3111</v>
      </c>
      <c r="C16" s="18">
        <f>(2431.0/B16*100)</f>
        <v/>
      </c>
      <c r="D16" s="19" t="n">
        <v>680</v>
      </c>
      <c r="E16" s="18" t="n">
        <v>17.25988291</v>
      </c>
      <c r="F16" s="20" t="n">
        <v>1.46560113</v>
      </c>
      <c r="G16" s="18" t="n">
        <v>81.16390527999999</v>
      </c>
      <c r="H16" s="20" t="n">
        <v>1.4487356</v>
      </c>
      <c r="I16" s="18" t="n">
        <v>0</v>
      </c>
      <c r="J16" s="20" t="n">
        <v>0</v>
      </c>
      <c r="K16" s="18" t="n">
        <v>0.67667945</v>
      </c>
      <c r="L16" s="20" t="n">
        <v>0.29979707</v>
      </c>
      <c r="M16" s="18" t="n">
        <v>0</v>
      </c>
      <c r="N16" s="20" t="n">
        <v>0</v>
      </c>
      <c r="O16" s="18" t="n">
        <v>0</v>
      </c>
      <c r="P16" s="20" t="n">
        <v>0</v>
      </c>
      <c r="Q16" s="18" t="n">
        <v>0.89953236</v>
      </c>
      <c r="R16" s="20" t="n">
        <v>0.37459914</v>
      </c>
    </row>
    <row r="17" spans="1:18">
      <c r="A17" s="15" t="s">
        <v>575</v>
      </c>
      <c r="B17" s="17" t="n">
        <v>3197</v>
      </c>
      <c r="C17" s="18">
        <f>(2536.0/B17*100)</f>
        <v/>
      </c>
      <c r="D17" s="19" t="n">
        <v>661</v>
      </c>
      <c r="E17" s="18" t="n">
        <v>15.23151976</v>
      </c>
      <c r="F17" s="20" t="n">
        <v>1.3299071</v>
      </c>
      <c r="G17" s="18" t="n">
        <v>83.6147575</v>
      </c>
      <c r="H17" s="20" t="n">
        <v>1.34369261</v>
      </c>
      <c r="I17" s="18" t="n">
        <v>0</v>
      </c>
      <c r="J17" s="20" t="n">
        <v>0</v>
      </c>
      <c r="K17" s="18" t="n">
        <v>0.34177673</v>
      </c>
      <c r="L17" s="20" t="n">
        <v>0.24052617</v>
      </c>
      <c r="M17" s="18" t="n">
        <v>0</v>
      </c>
      <c r="N17" s="20" t="n">
        <v>0</v>
      </c>
      <c r="O17" s="18" t="n">
        <v>0</v>
      </c>
      <c r="P17" s="20" t="n">
        <v>0</v>
      </c>
      <c r="Q17" s="18" t="n">
        <v>0.81194601</v>
      </c>
      <c r="R17" s="20" t="n">
        <v>0.31221051</v>
      </c>
    </row>
    <row r="18" spans="1:18">
      <c r="A18" s="15" t="s">
        <v>576</v>
      </c>
      <c r="B18" s="17" t="n">
        <v>2706</v>
      </c>
      <c r="C18" s="18">
        <f>(2103.0/B18*100)</f>
        <v/>
      </c>
      <c r="D18" s="19" t="n">
        <v>603</v>
      </c>
      <c r="E18" s="18" t="n">
        <v>30.86452659</v>
      </c>
      <c r="F18" s="20" t="n">
        <v>2.43569975</v>
      </c>
      <c r="G18" s="18" t="n">
        <v>67.73024181</v>
      </c>
      <c r="H18" s="20" t="n">
        <v>2.29276837</v>
      </c>
      <c r="I18" s="18" t="n">
        <v>0</v>
      </c>
      <c r="J18" s="20" t="n">
        <v>0</v>
      </c>
      <c r="K18" s="18" t="n">
        <v>0.55878413</v>
      </c>
      <c r="L18" s="20" t="n">
        <v>0.29786322</v>
      </c>
      <c r="M18" s="18" t="n">
        <v>0</v>
      </c>
      <c r="N18" s="20" t="n">
        <v>0</v>
      </c>
      <c r="O18" s="18" t="n">
        <v>0</v>
      </c>
      <c r="P18" s="20" t="n">
        <v>0</v>
      </c>
      <c r="Q18" s="18" t="n">
        <v>0.84644747</v>
      </c>
      <c r="R18" s="20" t="n">
        <v>0.44922112</v>
      </c>
    </row>
    <row r="19" spans="1:18">
      <c r="A19" s="15" t="s">
        <v>577</v>
      </c>
      <c r="B19" s="17" t="n">
        <v>2850</v>
      </c>
      <c r="C19" s="18">
        <f>(2188.0/B19*100)</f>
        <v/>
      </c>
      <c r="D19" s="19" t="n">
        <v>662</v>
      </c>
      <c r="E19" s="18" t="n">
        <v>25.08906399</v>
      </c>
      <c r="F19" s="20" t="n">
        <v>1.89118605</v>
      </c>
      <c r="G19" s="18" t="n">
        <v>74.30088849000001</v>
      </c>
      <c r="H19" s="20" t="n">
        <v>1.93514917</v>
      </c>
      <c r="I19" s="18" t="n">
        <v>0</v>
      </c>
      <c r="J19" s="20" t="n">
        <v>0</v>
      </c>
      <c r="K19" s="18" t="n">
        <v>0.20269032</v>
      </c>
      <c r="L19" s="20" t="n">
        <v>0.20173936</v>
      </c>
      <c r="M19" s="18" t="n">
        <v>0</v>
      </c>
      <c r="N19" s="20" t="n">
        <v>0</v>
      </c>
      <c r="O19" s="18" t="n">
        <v>0</v>
      </c>
      <c r="P19" s="20" t="n">
        <v>0</v>
      </c>
      <c r="Q19" s="18" t="n">
        <v>0.40735719</v>
      </c>
      <c r="R19" s="20" t="n">
        <v>0.12756132</v>
      </c>
    </row>
    <row r="20" spans="1:18">
      <c r="A20" s="15" t="s">
        <v>578</v>
      </c>
      <c r="B20" s="17" t="n">
        <v>1741</v>
      </c>
      <c r="C20" s="18">
        <f>(1348.0/B20*100)</f>
        <v/>
      </c>
      <c r="D20" s="19" t="n">
        <v>393</v>
      </c>
      <c r="E20" s="18" t="n">
        <v>19.80621997</v>
      </c>
      <c r="F20" s="20" t="n">
        <v>2.31511748</v>
      </c>
      <c r="G20" s="18" t="n">
        <v>79.10163806</v>
      </c>
      <c r="H20" s="20" t="n">
        <v>2.39535119</v>
      </c>
      <c r="I20" s="18" t="n">
        <v>0</v>
      </c>
      <c r="J20" s="20" t="n">
        <v>0</v>
      </c>
      <c r="K20" s="18" t="n">
        <v>0.80060032</v>
      </c>
      <c r="L20" s="20" t="n">
        <v>0.46225574</v>
      </c>
      <c r="M20" s="18" t="n">
        <v>0</v>
      </c>
      <c r="N20" s="20" t="n">
        <v>0</v>
      </c>
      <c r="O20" s="18" t="n">
        <v>0</v>
      </c>
      <c r="P20" s="20" t="n">
        <v>0</v>
      </c>
      <c r="Q20" s="18" t="n">
        <v>0.29154165</v>
      </c>
      <c r="R20" s="20" t="n">
        <v>0.29024664</v>
      </c>
    </row>
    <row r="21" spans="1:18">
      <c r="A21" s="15" t="s">
        <v>579</v>
      </c>
      <c r="B21" s="17" t="n">
        <v>2833</v>
      </c>
      <c r="C21" s="18">
        <f>(2203.0/B21*100)</f>
        <v/>
      </c>
      <c r="D21" s="19" t="n">
        <v>630</v>
      </c>
      <c r="E21" s="18" t="n">
        <v>11.70450389</v>
      </c>
      <c r="F21" s="20" t="n">
        <v>1.1801395</v>
      </c>
      <c r="G21" s="18" t="n">
        <v>87.83021555000001</v>
      </c>
      <c r="H21" s="20" t="n">
        <v>1.15262169</v>
      </c>
      <c r="I21" s="18" t="n">
        <v>0</v>
      </c>
      <c r="J21" s="20" t="n">
        <v>0</v>
      </c>
      <c r="K21" s="18" t="n">
        <v>0.1447754</v>
      </c>
      <c r="L21" s="20" t="n">
        <v>0.1444546</v>
      </c>
      <c r="M21" s="18" t="n">
        <v>0</v>
      </c>
      <c r="N21" s="20" t="n">
        <v>0</v>
      </c>
      <c r="O21" s="18" t="n">
        <v>0</v>
      </c>
      <c r="P21" s="20" t="n">
        <v>0</v>
      </c>
      <c r="Q21" s="18" t="n">
        <v>0.32050517</v>
      </c>
      <c r="R21" s="20" t="n">
        <v>0.22392631</v>
      </c>
    </row>
    <row r="22" spans="1:18">
      <c r="A22" s="15" t="s">
        <v>580</v>
      </c>
      <c r="B22" s="17" t="n">
        <v>3667</v>
      </c>
      <c r="C22" s="18">
        <f>(2889.0/B22*100)</f>
        <v/>
      </c>
      <c r="D22" s="19" t="n">
        <v>778</v>
      </c>
      <c r="E22" s="18" t="n">
        <v>22.81182452</v>
      </c>
      <c r="F22" s="20" t="n">
        <v>1.44466428</v>
      </c>
      <c r="G22" s="18" t="n">
        <v>75.08551907</v>
      </c>
      <c r="H22" s="20" t="n">
        <v>1.38246287</v>
      </c>
      <c r="I22" s="18" t="n">
        <v>0</v>
      </c>
      <c r="J22" s="20" t="n">
        <v>0</v>
      </c>
      <c r="K22" s="18" t="n">
        <v>0.98520536</v>
      </c>
      <c r="L22" s="20" t="n">
        <v>0.34302468</v>
      </c>
      <c r="M22" s="18" t="n">
        <v>0</v>
      </c>
      <c r="N22" s="20" t="n">
        <v>0</v>
      </c>
      <c r="O22" s="18" t="n">
        <v>0</v>
      </c>
      <c r="P22" s="20" t="n">
        <v>0</v>
      </c>
      <c r="Q22" s="18" t="n">
        <v>1.11745105</v>
      </c>
      <c r="R22" s="20" t="n">
        <v>0.40870968</v>
      </c>
    </row>
    <row r="23" spans="1:18">
      <c r="A23" s="15" t="s">
        <v>581</v>
      </c>
      <c r="B23" s="17" t="n">
        <v>5792</v>
      </c>
      <c r="C23" s="18">
        <f>(4579.0/B23*100)</f>
        <v/>
      </c>
      <c r="D23" s="19" t="n">
        <v>1213</v>
      </c>
      <c r="E23" s="18" t="n">
        <v>17.32707255</v>
      </c>
      <c r="F23" s="20" t="n">
        <v>1.67881726</v>
      </c>
      <c r="G23" s="18" t="n">
        <v>78.82637717999999</v>
      </c>
      <c r="H23" s="20" t="n">
        <v>1.71819436</v>
      </c>
      <c r="I23" s="18" t="n">
        <v>0</v>
      </c>
      <c r="J23" s="20" t="n">
        <v>0</v>
      </c>
      <c r="K23" s="18" t="n">
        <v>2.90624276</v>
      </c>
      <c r="L23" s="20" t="n">
        <v>1.31762056</v>
      </c>
      <c r="M23" s="18" t="n">
        <v>0</v>
      </c>
      <c r="N23" s="20" t="n">
        <v>0</v>
      </c>
      <c r="O23" s="18" t="n">
        <v>0</v>
      </c>
      <c r="P23" s="20" t="n">
        <v>0</v>
      </c>
      <c r="Q23" s="18" t="n">
        <v>0.94030751</v>
      </c>
      <c r="R23" s="20" t="n">
        <v>0.4392639</v>
      </c>
    </row>
    <row r="24" spans="1:18">
      <c r="A24" s="15" t="s">
        <v>582</v>
      </c>
      <c r="B24" s="17" t="n">
        <v>3309</v>
      </c>
      <c r="C24" s="18">
        <f>(2576.0/B24*100)</f>
        <v/>
      </c>
      <c r="D24" s="19" t="n">
        <v>733</v>
      </c>
      <c r="E24" s="18" t="n">
        <v>9.9973648</v>
      </c>
      <c r="F24" s="20" t="n">
        <v>0.91619704</v>
      </c>
      <c r="G24" s="18" t="n">
        <v>89.32271679999999</v>
      </c>
      <c r="H24" s="20" t="n">
        <v>0.89590813</v>
      </c>
      <c r="I24" s="18" t="n">
        <v>0</v>
      </c>
      <c r="J24" s="20" t="n">
        <v>0</v>
      </c>
      <c r="K24" s="18" t="n">
        <v>0</v>
      </c>
      <c r="L24" s="20" t="n">
        <v>0</v>
      </c>
      <c r="M24" s="18" t="n">
        <v>0</v>
      </c>
      <c r="N24" s="20" t="n">
        <v>0</v>
      </c>
      <c r="O24" s="18" t="n">
        <v>0</v>
      </c>
      <c r="P24" s="20" t="n">
        <v>0</v>
      </c>
      <c r="Q24" s="18" t="n">
        <v>0.6799184</v>
      </c>
      <c r="R24" s="20" t="n">
        <v>0.30661145</v>
      </c>
    </row>
    <row r="25" spans="1:18">
      <c r="A25" s="15" t="s">
        <v>583</v>
      </c>
      <c r="B25" s="17" t="n">
        <v>2669</v>
      </c>
      <c r="C25" s="18">
        <f>(2098.0/B25*100)</f>
        <v/>
      </c>
      <c r="D25" s="19" t="n">
        <v>571</v>
      </c>
      <c r="E25" s="18" t="n">
        <v>8.94331006</v>
      </c>
      <c r="F25" s="20" t="n">
        <v>1.31653427</v>
      </c>
      <c r="G25" s="18" t="n">
        <v>90.72134392</v>
      </c>
      <c r="H25" s="20" t="n">
        <v>1.29706118</v>
      </c>
      <c r="I25" s="18" t="n">
        <v>0</v>
      </c>
      <c r="J25" s="20" t="n">
        <v>0</v>
      </c>
      <c r="K25" s="18" t="n">
        <v>0.33534602</v>
      </c>
      <c r="L25" s="20" t="n">
        <v>0.27848345</v>
      </c>
      <c r="M25" s="18" t="n">
        <v>0</v>
      </c>
      <c r="N25" s="20" t="n">
        <v>0</v>
      </c>
      <c r="O25" s="18" t="n">
        <v>0</v>
      </c>
      <c r="P25" s="20" t="n">
        <v>0</v>
      </c>
      <c r="Q25" s="18" t="n">
        <v>0</v>
      </c>
      <c r="R25" s="20" t="n">
        <v>0</v>
      </c>
    </row>
    <row r="26" spans="1:18">
      <c r="A26" s="15" t="s">
        <v>584</v>
      </c>
      <c r="B26" s="17" t="n">
        <v>2419</v>
      </c>
      <c r="C26" s="18">
        <f>(1926.0/B26*100)</f>
        <v/>
      </c>
      <c r="D26" s="19" t="n">
        <v>493</v>
      </c>
      <c r="E26" s="18" t="n">
        <v>16.61525418</v>
      </c>
      <c r="F26" s="20" t="n">
        <v>1.87337408</v>
      </c>
      <c r="G26" s="18" t="n">
        <v>82.69238149</v>
      </c>
      <c r="H26" s="20" t="n">
        <v>1.95526684</v>
      </c>
      <c r="I26" s="18" t="n">
        <v>0</v>
      </c>
      <c r="J26" s="20" t="n">
        <v>0</v>
      </c>
      <c r="K26" s="18" t="n">
        <v>0</v>
      </c>
      <c r="L26" s="20" t="n">
        <v>0</v>
      </c>
      <c r="M26" s="18" t="n">
        <v>0</v>
      </c>
      <c r="N26" s="20" t="n">
        <v>0</v>
      </c>
      <c r="O26" s="18" t="n">
        <v>0</v>
      </c>
      <c r="P26" s="20" t="n">
        <v>0</v>
      </c>
      <c r="Q26" s="18" t="n">
        <v>0.69236433</v>
      </c>
      <c r="R26" s="20" t="n">
        <v>0.35198426</v>
      </c>
    </row>
    <row r="27" spans="1:18">
      <c r="A27" s="15" t="s">
        <v>585</v>
      </c>
      <c r="B27" s="17" t="n">
        <v>2683</v>
      </c>
      <c r="C27" s="18">
        <f>(2110.0/B27*100)</f>
        <v/>
      </c>
      <c r="D27" s="19" t="n">
        <v>573</v>
      </c>
      <c r="E27" s="18" t="n">
        <v>22.43612122</v>
      </c>
      <c r="F27" s="20" t="n">
        <v>1.81054507</v>
      </c>
      <c r="G27" s="18" t="n">
        <v>76.3368131</v>
      </c>
      <c r="H27" s="20" t="n">
        <v>1.87689625</v>
      </c>
      <c r="I27" s="18" t="n">
        <v>0</v>
      </c>
      <c r="J27" s="20" t="n">
        <v>0</v>
      </c>
      <c r="K27" s="18" t="n">
        <v>0.5366978</v>
      </c>
      <c r="L27" s="20" t="n">
        <v>0.30581305</v>
      </c>
      <c r="M27" s="18" t="n">
        <v>0</v>
      </c>
      <c r="N27" s="20" t="n">
        <v>0</v>
      </c>
      <c r="O27" s="18" t="n">
        <v>0</v>
      </c>
      <c r="P27" s="20" t="n">
        <v>0</v>
      </c>
      <c r="Q27" s="18" t="n">
        <v>0.69036789</v>
      </c>
      <c r="R27" s="20" t="n">
        <v>0.34624921</v>
      </c>
    </row>
    <row r="28" spans="1:18">
      <c r="A28" s="15" t="s">
        <v>586</v>
      </c>
      <c r="B28" s="17" t="n">
        <v>3803</v>
      </c>
      <c r="C28" s="18">
        <f>(3028.0/B28*100)</f>
        <v/>
      </c>
      <c r="D28" s="19" t="n">
        <v>775</v>
      </c>
      <c r="E28" s="18" t="n">
        <v>30.59612372</v>
      </c>
      <c r="F28" s="20" t="n">
        <v>1.93647124</v>
      </c>
      <c r="G28" s="18" t="n">
        <v>68.03297646</v>
      </c>
      <c r="H28" s="20" t="n">
        <v>1.93774118</v>
      </c>
      <c r="I28" s="18" t="n">
        <v>0</v>
      </c>
      <c r="J28" s="20" t="n">
        <v>0</v>
      </c>
      <c r="K28" s="18" t="n">
        <v>0.90553993</v>
      </c>
      <c r="L28" s="20" t="n">
        <v>0.52968657</v>
      </c>
      <c r="M28" s="18" t="n">
        <v>0</v>
      </c>
      <c r="N28" s="20" t="n">
        <v>0</v>
      </c>
      <c r="O28" s="18" t="n">
        <v>0</v>
      </c>
      <c r="P28" s="20" t="n">
        <v>0</v>
      </c>
      <c r="Q28" s="18" t="n">
        <v>0.46535989</v>
      </c>
      <c r="R28" s="20" t="n">
        <v>0.2800832</v>
      </c>
    </row>
    <row r="29" spans="1:18">
      <c r="A29" s="15" t="s">
        <v>587</v>
      </c>
      <c r="B29" s="17" t="n">
        <v>2700</v>
      </c>
      <c r="C29" s="18">
        <f>(2100.0/B29*100)</f>
        <v/>
      </c>
      <c r="D29" s="19" t="n">
        <v>600</v>
      </c>
      <c r="E29" s="18" t="n">
        <v>11.45721279</v>
      </c>
      <c r="F29" s="20" t="n">
        <v>1.30328666</v>
      </c>
      <c r="G29" s="18" t="n">
        <v>87.73625763</v>
      </c>
      <c r="H29" s="20" t="n">
        <v>1.38725747</v>
      </c>
      <c r="I29" s="18" t="n">
        <v>0</v>
      </c>
      <c r="J29" s="20" t="n">
        <v>0</v>
      </c>
      <c r="K29" s="18" t="n">
        <v>0.43578436</v>
      </c>
      <c r="L29" s="20" t="n">
        <v>0.29638517</v>
      </c>
      <c r="M29" s="18" t="n">
        <v>0</v>
      </c>
      <c r="N29" s="20" t="n">
        <v>0</v>
      </c>
      <c r="O29" s="18" t="n">
        <v>0</v>
      </c>
      <c r="P29" s="20" t="n">
        <v>0</v>
      </c>
      <c r="Q29" s="18" t="n">
        <v>0.37074522</v>
      </c>
      <c r="R29" s="20" t="n">
        <v>0.22792973</v>
      </c>
    </row>
    <row r="30" spans="1:18">
      <c r="A30" s="15" t="s">
        <v>588</v>
      </c>
      <c r="B30" s="17" t="n">
        <v>2257</v>
      </c>
      <c r="C30" s="18">
        <f>(1750.0/B30*100)</f>
        <v/>
      </c>
      <c r="D30" s="19" t="n">
        <v>507</v>
      </c>
      <c r="E30" s="18" t="n">
        <v>13.41699707</v>
      </c>
      <c r="F30" s="20" t="n">
        <v>1.44493197</v>
      </c>
      <c r="G30" s="18" t="n">
        <v>85.99285</v>
      </c>
      <c r="H30" s="20" t="n">
        <v>1.42846044</v>
      </c>
      <c r="I30" s="18" t="n">
        <v>0</v>
      </c>
      <c r="J30" s="20" t="n">
        <v>0</v>
      </c>
      <c r="K30" s="18" t="n">
        <v>0</v>
      </c>
      <c r="L30" s="20" t="n">
        <v>0</v>
      </c>
      <c r="M30" s="18" t="n">
        <v>0</v>
      </c>
      <c r="N30" s="20" t="n">
        <v>0</v>
      </c>
      <c r="O30" s="18" t="n">
        <v>0</v>
      </c>
      <c r="P30" s="20" t="n">
        <v>0</v>
      </c>
      <c r="Q30" s="18" t="n">
        <v>0.59015293</v>
      </c>
      <c r="R30" s="20" t="n">
        <v>0.35251585</v>
      </c>
    </row>
    <row r="31" spans="1:18">
      <c r="A31" s="15" t="s">
        <v>589</v>
      </c>
      <c r="B31" s="17" t="n">
        <v>2706</v>
      </c>
      <c r="C31" s="18">
        <f>(2095.0/B31*100)</f>
        <v/>
      </c>
      <c r="D31" s="19" t="n">
        <v>611</v>
      </c>
      <c r="E31" s="18" t="n">
        <v>15.75716782</v>
      </c>
      <c r="F31" s="20" t="n">
        <v>1.47007726</v>
      </c>
      <c r="G31" s="18" t="n">
        <v>83.77013743000001</v>
      </c>
      <c r="H31" s="20" t="n">
        <v>1.48970238</v>
      </c>
      <c r="I31" s="18" t="n">
        <v>0</v>
      </c>
      <c r="J31" s="20" t="n">
        <v>0</v>
      </c>
      <c r="K31" s="18" t="n">
        <v>0.31304092</v>
      </c>
      <c r="L31" s="20" t="n">
        <v>0.21802034</v>
      </c>
      <c r="M31" s="18" t="n">
        <v>0</v>
      </c>
      <c r="N31" s="20" t="n">
        <v>0</v>
      </c>
      <c r="O31" s="18" t="n">
        <v>0</v>
      </c>
      <c r="P31" s="20" t="n">
        <v>0</v>
      </c>
      <c r="Q31" s="18" t="n">
        <v>0.15965383</v>
      </c>
      <c r="R31" s="20" t="n">
        <v>0.1451243</v>
      </c>
    </row>
    <row r="32" spans="1:18">
      <c r="A32" s="15" t="s">
        <v>590</v>
      </c>
      <c r="B32" s="17" t="n">
        <v>2209</v>
      </c>
      <c r="C32" s="18">
        <f>(1751.0/B32*100)</f>
        <v/>
      </c>
      <c r="D32" s="19" t="n">
        <v>458</v>
      </c>
      <c r="E32" s="18" t="n">
        <v>15.44017195</v>
      </c>
      <c r="F32" s="20" t="n">
        <v>1.72244954</v>
      </c>
      <c r="G32" s="18" t="n">
        <v>84.13667438</v>
      </c>
      <c r="H32" s="20" t="n">
        <v>1.68824373</v>
      </c>
      <c r="I32" s="18" t="n">
        <v>0</v>
      </c>
      <c r="J32" s="20" t="n">
        <v>0</v>
      </c>
      <c r="K32" s="18" t="n">
        <v>0</v>
      </c>
      <c r="L32" s="20" t="n">
        <v>0</v>
      </c>
      <c r="M32" s="18" t="n">
        <v>0</v>
      </c>
      <c r="N32" s="20" t="n">
        <v>0</v>
      </c>
      <c r="O32" s="18" t="n">
        <v>0</v>
      </c>
      <c r="P32" s="20" t="n">
        <v>0</v>
      </c>
      <c r="Q32" s="18" t="n">
        <v>0.42315367</v>
      </c>
      <c r="R32" s="20" t="n">
        <v>0.31333219</v>
      </c>
    </row>
    <row r="33" spans="1:18">
      <c r="A33" s="15" t="s">
        <v>591</v>
      </c>
      <c r="B33" s="17" t="n">
        <v>3651</v>
      </c>
      <c r="C33" s="18">
        <f>(2927.0/B33*100)</f>
        <v/>
      </c>
      <c r="D33" s="19" t="n">
        <v>724</v>
      </c>
      <c r="E33" s="18" t="n">
        <v>15.73157362</v>
      </c>
      <c r="F33" s="20" t="n">
        <v>1.69666673</v>
      </c>
      <c r="G33" s="18" t="n">
        <v>83.381709</v>
      </c>
      <c r="H33" s="20" t="n">
        <v>1.68813746</v>
      </c>
      <c r="I33" s="18" t="n">
        <v>0</v>
      </c>
      <c r="J33" s="20" t="n">
        <v>0</v>
      </c>
      <c r="K33" s="18" t="n">
        <v>0.42617691</v>
      </c>
      <c r="L33" s="20" t="n">
        <v>0.26795274</v>
      </c>
      <c r="M33" s="18" t="n">
        <v>0</v>
      </c>
      <c r="N33" s="20" t="n">
        <v>0</v>
      </c>
      <c r="O33" s="18" t="n">
        <v>0</v>
      </c>
      <c r="P33" s="20" t="n">
        <v>0</v>
      </c>
      <c r="Q33" s="18" t="n">
        <v>0.46054048</v>
      </c>
      <c r="R33" s="20" t="n">
        <v>0.26050421</v>
      </c>
    </row>
    <row r="34" spans="1:18">
      <c r="A34" s="15" t="s">
        <v>592</v>
      </c>
      <c r="B34" s="17" t="n">
        <v>3035</v>
      </c>
      <c r="C34" s="18">
        <f>(2377.0/B34*100)</f>
        <v/>
      </c>
      <c r="D34" s="19" t="n">
        <v>658</v>
      </c>
      <c r="E34" s="18" t="n">
        <v>23.70610086</v>
      </c>
      <c r="F34" s="20" t="n">
        <v>1.30310667</v>
      </c>
      <c r="G34" s="18" t="n">
        <v>75.17435407000001</v>
      </c>
      <c r="H34" s="20" t="n">
        <v>1.34324761</v>
      </c>
      <c r="I34" s="18" t="n">
        <v>0</v>
      </c>
      <c r="J34" s="20" t="n">
        <v>0</v>
      </c>
      <c r="K34" s="18" t="n">
        <v>0.57404229</v>
      </c>
      <c r="L34" s="20" t="n">
        <v>0.26254034</v>
      </c>
      <c r="M34" s="18" t="n">
        <v>0</v>
      </c>
      <c r="N34" s="20" t="n">
        <v>0</v>
      </c>
      <c r="O34" s="18" t="n">
        <v>0</v>
      </c>
      <c r="P34" s="20" t="n">
        <v>0</v>
      </c>
      <c r="Q34" s="18" t="n">
        <v>0.54550278</v>
      </c>
      <c r="R34" s="20" t="n">
        <v>0.23459855</v>
      </c>
    </row>
    <row r="35" spans="1:18">
      <c r="A35" s="15" t="s">
        <v>593</v>
      </c>
      <c r="B35" s="17" t="n">
        <v>2901</v>
      </c>
      <c r="C35" s="18">
        <f>(2268.0/B35*100)</f>
        <v/>
      </c>
      <c r="D35" s="19" t="n">
        <v>633</v>
      </c>
      <c r="E35" s="18" t="n">
        <v>14.95717867</v>
      </c>
      <c r="F35" s="20" t="n">
        <v>1.82528428</v>
      </c>
      <c r="G35" s="18" t="n">
        <v>84.91820468</v>
      </c>
      <c r="H35" s="20" t="n">
        <v>1.8238897</v>
      </c>
      <c r="I35" s="18" t="n">
        <v>0</v>
      </c>
      <c r="J35" s="20" t="n">
        <v>0</v>
      </c>
      <c r="K35" s="18" t="n">
        <v>0.06972080999999999</v>
      </c>
      <c r="L35" s="20" t="n">
        <v>0.06809328000000001</v>
      </c>
      <c r="M35" s="18" t="n">
        <v>0</v>
      </c>
      <c r="N35" s="20" t="n">
        <v>0</v>
      </c>
      <c r="O35" s="18" t="n">
        <v>0</v>
      </c>
      <c r="P35" s="20" t="n">
        <v>0</v>
      </c>
      <c r="Q35" s="18" t="n">
        <v>0.05489584</v>
      </c>
      <c r="R35" s="20" t="n">
        <v>0.05489968</v>
      </c>
    </row>
    <row r="36" spans="1:18">
      <c r="A36" s="15" t="s">
        <v>594</v>
      </c>
      <c r="B36" s="17" t="n">
        <v>3404</v>
      </c>
      <c r="C36" s="18">
        <f>(2672.0/B36*100)</f>
        <v/>
      </c>
      <c r="D36" s="19" t="n">
        <v>732</v>
      </c>
      <c r="E36" s="18" t="n">
        <v>14.94518412</v>
      </c>
      <c r="F36" s="20" t="n">
        <v>1.50830662</v>
      </c>
      <c r="G36" s="18" t="n">
        <v>84.51295795</v>
      </c>
      <c r="H36" s="20" t="n">
        <v>1.48153132</v>
      </c>
      <c r="I36" s="18" t="n">
        <v>0</v>
      </c>
      <c r="J36" s="20" t="n">
        <v>0</v>
      </c>
      <c r="K36" s="18" t="n">
        <v>0</v>
      </c>
      <c r="L36" s="20" t="n">
        <v>0</v>
      </c>
      <c r="M36" s="18" t="n">
        <v>0</v>
      </c>
      <c r="N36" s="20" t="n">
        <v>0</v>
      </c>
      <c r="O36" s="18" t="n">
        <v>0</v>
      </c>
      <c r="P36" s="20" t="n">
        <v>0</v>
      </c>
      <c r="Q36" s="18" t="n">
        <v>0.54185793</v>
      </c>
      <c r="R36" s="20" t="n">
        <v>0.26824491</v>
      </c>
    </row>
    <row r="37" spans="1:18">
      <c r="A37" s="15" t="s">
        <v>595</v>
      </c>
      <c r="B37" s="17" t="n">
        <v>2731</v>
      </c>
      <c r="C37" s="18">
        <f>(2168.0/B37*100)</f>
        <v/>
      </c>
      <c r="D37" s="19" t="n">
        <v>563</v>
      </c>
      <c r="E37" s="18" t="n">
        <v>18.3264218</v>
      </c>
      <c r="F37" s="20" t="n">
        <v>2.04633253</v>
      </c>
      <c r="G37" s="18" t="n">
        <v>79.74444560000001</v>
      </c>
      <c r="H37" s="20" t="n">
        <v>2.03474837</v>
      </c>
      <c r="I37" s="18" t="n">
        <v>0</v>
      </c>
      <c r="J37" s="20" t="n">
        <v>0</v>
      </c>
      <c r="K37" s="18" t="n">
        <v>1.4118922</v>
      </c>
      <c r="L37" s="20" t="n">
        <v>0.6377624200000001</v>
      </c>
      <c r="M37" s="18" t="n">
        <v>0</v>
      </c>
      <c r="N37" s="20" t="n">
        <v>0</v>
      </c>
      <c r="O37" s="18" t="n">
        <v>0</v>
      </c>
      <c r="P37" s="20" t="n">
        <v>0</v>
      </c>
      <c r="Q37" s="18" t="n">
        <v>0.5172404</v>
      </c>
      <c r="R37" s="20" t="n">
        <v>0.30184864</v>
      </c>
    </row>
    <row r="38" spans="1:18">
      <c r="A38" s="15" t="s">
        <v>596</v>
      </c>
      <c r="B38" s="17" t="n">
        <v>2807</v>
      </c>
      <c r="C38" s="18">
        <f>(2239.0/B38*100)</f>
        <v/>
      </c>
      <c r="D38" s="19" t="n">
        <v>568</v>
      </c>
      <c r="E38" s="18" t="n">
        <v>19.61245922</v>
      </c>
      <c r="F38" s="20" t="n">
        <v>2.06821308</v>
      </c>
      <c r="G38" s="18" t="n">
        <v>80.38754077999999</v>
      </c>
      <c r="H38" s="20" t="n">
        <v>2.06821308</v>
      </c>
      <c r="I38" s="18" t="n">
        <v>0</v>
      </c>
      <c r="J38" s="20" t="n">
        <v>0</v>
      </c>
      <c r="K38" s="18" t="n">
        <v>0</v>
      </c>
      <c r="L38" s="20" t="n">
        <v>0</v>
      </c>
      <c r="M38" s="18" t="n">
        <v>0</v>
      </c>
      <c r="N38" s="20" t="n">
        <v>0</v>
      </c>
      <c r="O38" s="18" t="n">
        <v>0</v>
      </c>
      <c r="P38" s="20" t="n">
        <v>0</v>
      </c>
      <c r="Q38" s="18" t="n">
        <v>0</v>
      </c>
      <c r="R38" s="20" t="n">
        <v>0</v>
      </c>
    </row>
    <row r="39" spans="1:18">
      <c r="A39" s="15" t="s">
        <v>597</v>
      </c>
      <c r="B39" s="17" t="n">
        <v>2938</v>
      </c>
      <c r="C39" s="18">
        <f>(2270.0/B39*100)</f>
        <v/>
      </c>
      <c r="D39" s="19" t="n">
        <v>668</v>
      </c>
      <c r="E39" s="18" t="n">
        <v>26.98813265</v>
      </c>
      <c r="F39" s="20" t="n">
        <v>1.71263195</v>
      </c>
      <c r="G39" s="18" t="n">
        <v>72.03173473</v>
      </c>
      <c r="H39" s="20" t="n">
        <v>1.72579632</v>
      </c>
      <c r="I39" s="18" t="n">
        <v>0</v>
      </c>
      <c r="J39" s="20" t="n">
        <v>0</v>
      </c>
      <c r="K39" s="18" t="n">
        <v>0.18728775</v>
      </c>
      <c r="L39" s="20" t="n">
        <v>0.17792196</v>
      </c>
      <c r="M39" s="18" t="n">
        <v>0</v>
      </c>
      <c r="N39" s="20" t="n">
        <v>0</v>
      </c>
      <c r="O39" s="18" t="n">
        <v>0</v>
      </c>
      <c r="P39" s="20" t="n">
        <v>0</v>
      </c>
      <c r="Q39" s="18" t="n">
        <v>0.79284488</v>
      </c>
      <c r="R39" s="20" t="n">
        <v>0.28330293</v>
      </c>
    </row>
    <row r="40" spans="1:18">
      <c r="A40" s="15" t="s">
        <v>598</v>
      </c>
      <c r="B40" s="17" t="n">
        <v>6922</v>
      </c>
      <c r="C40" s="18">
        <f>(5389.0/B40*100)</f>
        <v/>
      </c>
      <c r="D40" s="19" t="n">
        <v>1533</v>
      </c>
      <c r="E40" s="18" t="n">
        <v>17.11217441</v>
      </c>
      <c r="F40" s="20" t="n">
        <v>1.66378907</v>
      </c>
      <c r="G40" s="18" t="n">
        <v>82.03764396</v>
      </c>
      <c r="H40" s="20" t="n">
        <v>1.62326962</v>
      </c>
      <c r="I40" s="18" t="n">
        <v>0</v>
      </c>
      <c r="J40" s="20" t="n">
        <v>0</v>
      </c>
      <c r="K40" s="18" t="n">
        <v>0.41589831</v>
      </c>
      <c r="L40" s="20" t="n">
        <v>0.280501</v>
      </c>
      <c r="M40" s="18" t="n">
        <v>0</v>
      </c>
      <c r="N40" s="20" t="n">
        <v>0</v>
      </c>
      <c r="O40" s="18" t="n">
        <v>0</v>
      </c>
      <c r="P40" s="20" t="n">
        <v>0</v>
      </c>
      <c r="Q40" s="18" t="n">
        <v>0.43428331</v>
      </c>
      <c r="R40" s="20" t="n">
        <v>0.22931651</v>
      </c>
    </row>
    <row r="41" spans="1:18">
      <c r="A41" s="15" t="s">
        <v>599</v>
      </c>
      <c r="B41" s="17" t="n">
        <v>2854</v>
      </c>
      <c r="C41" s="18">
        <f>(2229.0/B41*100)</f>
        <v/>
      </c>
      <c r="D41" s="19" t="n">
        <v>625</v>
      </c>
      <c r="E41" s="18" t="n">
        <v>13.0329261</v>
      </c>
      <c r="F41" s="20" t="n">
        <v>1.54836877</v>
      </c>
      <c r="G41" s="18" t="n">
        <v>86.85390223</v>
      </c>
      <c r="H41" s="20" t="n">
        <v>1.55121909</v>
      </c>
      <c r="I41" s="18" t="n">
        <v>0</v>
      </c>
      <c r="J41" s="20" t="n">
        <v>0</v>
      </c>
      <c r="K41" s="18" t="n">
        <v>0</v>
      </c>
      <c r="L41" s="20" t="n">
        <v>0</v>
      </c>
      <c r="M41" s="18" t="n">
        <v>0</v>
      </c>
      <c r="N41" s="20" t="n">
        <v>0</v>
      </c>
      <c r="O41" s="18" t="n">
        <v>0</v>
      </c>
      <c r="P41" s="20" t="n">
        <v>0</v>
      </c>
      <c r="Q41" s="18" t="n">
        <v>0.11317167</v>
      </c>
      <c r="R41" s="20" t="n">
        <v>0.10953464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(10116.0/B46*100)</f>
        <v/>
      </c>
      <c r="D46" s="19" t="n">
        <v>1957</v>
      </c>
      <c r="E46" s="18" t="n">
        <v>37.51805875</v>
      </c>
      <c r="F46" s="20" t="n">
        <v>1.57001187</v>
      </c>
      <c r="G46" s="18" t="n">
        <v>59.48819341</v>
      </c>
      <c r="H46" s="20" t="n">
        <v>1.52378142</v>
      </c>
      <c r="I46" s="18" t="n">
        <v>0</v>
      </c>
      <c r="J46" s="20" t="n">
        <v>0</v>
      </c>
      <c r="K46" s="18" t="n">
        <v>1.72451694</v>
      </c>
      <c r="L46" s="20" t="n">
        <v>0.43860616</v>
      </c>
      <c r="M46" s="18" t="n">
        <v>0</v>
      </c>
      <c r="N46" s="20" t="n">
        <v>0</v>
      </c>
      <c r="O46" s="18" t="n">
        <v>0</v>
      </c>
      <c r="P46" s="20" t="n">
        <v>0</v>
      </c>
      <c r="Q46" s="18" t="n">
        <v>1.2692309</v>
      </c>
      <c r="R46" s="20" t="n">
        <v>0.29151092</v>
      </c>
    </row>
    <row r="47" spans="1:18">
      <c r="A47" s="15" t="s">
        <v>606</v>
      </c>
      <c r="B47" s="17" t="n">
        <v>2823</v>
      </c>
      <c r="C47" s="18">
        <f>(2215.0/B47*100)</f>
        <v/>
      </c>
      <c r="D47" s="19" t="n">
        <v>608</v>
      </c>
      <c r="E47" s="18" t="n">
        <v>21.38656689</v>
      </c>
      <c r="F47" s="20" t="n">
        <v>1.83508284</v>
      </c>
      <c r="G47" s="18" t="n">
        <v>77.62735945</v>
      </c>
      <c r="H47" s="20" t="n">
        <v>1.94244099</v>
      </c>
      <c r="I47" s="18" t="n">
        <v>0</v>
      </c>
      <c r="J47" s="20" t="n">
        <v>0</v>
      </c>
      <c r="K47" s="18" t="n">
        <v>0.32313038</v>
      </c>
      <c r="L47" s="20" t="n">
        <v>0.22530539</v>
      </c>
      <c r="M47" s="18" t="n">
        <v>0</v>
      </c>
      <c r="N47" s="20" t="n">
        <v>0</v>
      </c>
      <c r="O47" s="18" t="n">
        <v>0</v>
      </c>
      <c r="P47" s="20" t="n">
        <v>0</v>
      </c>
      <c r="Q47" s="18" t="n">
        <v>0.66294328</v>
      </c>
      <c r="R47" s="20" t="n">
        <v>0.35089253</v>
      </c>
    </row>
    <row r="48" spans="1:18">
      <c r="A48" s="15" t="s">
        <v>607</v>
      </c>
      <c r="B48" s="17" t="n">
        <v>4682</v>
      </c>
      <c r="C48" s="18">
        <f>(3701.0/B48*100)</f>
        <v/>
      </c>
      <c r="D48" s="19" t="n">
        <v>981</v>
      </c>
      <c r="E48" s="18" t="n">
        <v>14.03027425</v>
      </c>
      <c r="F48" s="20" t="n">
        <v>1.3312045</v>
      </c>
      <c r="G48" s="18" t="n">
        <v>85.01009793</v>
      </c>
      <c r="H48" s="20" t="n">
        <v>1.40754481</v>
      </c>
      <c r="I48" s="18" t="n">
        <v>0</v>
      </c>
      <c r="J48" s="20" t="n">
        <v>0</v>
      </c>
      <c r="K48" s="18" t="n">
        <v>0.54839967</v>
      </c>
      <c r="L48" s="20" t="n">
        <v>0.3967617</v>
      </c>
      <c r="M48" s="18" t="n">
        <v>0</v>
      </c>
      <c r="N48" s="20" t="n">
        <v>0</v>
      </c>
      <c r="O48" s="18" t="n">
        <v>0</v>
      </c>
      <c r="P48" s="20" t="n">
        <v>0</v>
      </c>
      <c r="Q48" s="18" t="n">
        <v>0.41122816</v>
      </c>
      <c r="R48" s="20" t="n">
        <v>0.22926725</v>
      </c>
    </row>
    <row r="49" spans="1:18">
      <c r="A49" s="15" t="s">
        <v>608</v>
      </c>
      <c r="B49" s="17" t="n">
        <v>6158</v>
      </c>
      <c r="C49" s="18">
        <f>(4873.0/B49*100)</f>
        <v/>
      </c>
      <c r="D49" s="19" t="n">
        <v>1285</v>
      </c>
      <c r="E49" s="18" t="n">
        <v>27.7977766</v>
      </c>
      <c r="F49" s="20" t="n">
        <v>1.50095675</v>
      </c>
      <c r="G49" s="18" t="n">
        <v>70.03926031</v>
      </c>
      <c r="H49" s="20" t="n">
        <v>1.56030938</v>
      </c>
      <c r="I49" s="18" t="n">
        <v>0</v>
      </c>
      <c r="J49" s="20" t="n">
        <v>0</v>
      </c>
      <c r="K49" s="18" t="n">
        <v>1.73695998</v>
      </c>
      <c r="L49" s="20" t="n">
        <v>0.54081121</v>
      </c>
      <c r="M49" s="18" t="n">
        <v>0</v>
      </c>
      <c r="N49" s="20" t="n">
        <v>0</v>
      </c>
      <c r="O49" s="18" t="n">
        <v>0</v>
      </c>
      <c r="P49" s="20" t="n">
        <v>0</v>
      </c>
      <c r="Q49" s="18" t="n">
        <v>0.42600311</v>
      </c>
      <c r="R49" s="20" t="n">
        <v>0.24486152</v>
      </c>
    </row>
    <row r="50" spans="1:18">
      <c r="A50" s="15" t="s">
        <v>609</v>
      </c>
      <c r="B50" s="17" t="n">
        <v>3494</v>
      </c>
      <c r="C50" s="18">
        <f>(2865.0/B50*100)</f>
        <v/>
      </c>
      <c r="D50" s="19" t="n">
        <v>629</v>
      </c>
      <c r="E50" s="18" t="n">
        <v>23.41373981</v>
      </c>
      <c r="F50" s="20" t="n">
        <v>1.85722747</v>
      </c>
      <c r="G50" s="18" t="n">
        <v>75.27765255</v>
      </c>
      <c r="H50" s="20" t="n">
        <v>1.92490079</v>
      </c>
      <c r="I50" s="18" t="n">
        <v>0</v>
      </c>
      <c r="J50" s="20" t="n">
        <v>0</v>
      </c>
      <c r="K50" s="18" t="n">
        <v>0.73980199</v>
      </c>
      <c r="L50" s="20" t="n">
        <v>0.42436853</v>
      </c>
      <c r="M50" s="18" t="n">
        <v>0</v>
      </c>
      <c r="N50" s="20" t="n">
        <v>0</v>
      </c>
      <c r="O50" s="18" t="n">
        <v>0</v>
      </c>
      <c r="P50" s="20" t="n">
        <v>0</v>
      </c>
      <c r="Q50" s="18" t="n">
        <v>0.56880564</v>
      </c>
      <c r="R50" s="20" t="n">
        <v>0.40055207</v>
      </c>
    </row>
    <row r="51" spans="1:18">
      <c r="A51" s="15" t="s">
        <v>610</v>
      </c>
      <c r="B51" s="17" t="n">
        <v>3013</v>
      </c>
      <c r="C51" s="18">
        <f>(2369.0/B51*100)</f>
        <v/>
      </c>
      <c r="D51" s="19" t="n">
        <v>644</v>
      </c>
      <c r="E51" s="18" t="n">
        <v>24.14263454</v>
      </c>
      <c r="F51" s="20" t="n">
        <v>2.229356</v>
      </c>
      <c r="G51" s="18" t="n">
        <v>75.07719729999999</v>
      </c>
      <c r="H51" s="20" t="n">
        <v>2.17914037</v>
      </c>
      <c r="I51" s="18" t="n">
        <v>0</v>
      </c>
      <c r="J51" s="20" t="n">
        <v>0</v>
      </c>
      <c r="K51" s="18" t="n">
        <v>0</v>
      </c>
      <c r="L51" s="20" t="n">
        <v>0</v>
      </c>
      <c r="M51" s="18" t="n">
        <v>0</v>
      </c>
      <c r="N51" s="20" t="n">
        <v>0</v>
      </c>
      <c r="O51" s="18" t="n">
        <v>0</v>
      </c>
      <c r="P51" s="20" t="n">
        <v>0</v>
      </c>
      <c r="Q51" s="18" t="n">
        <v>0.78016816</v>
      </c>
      <c r="R51" s="20" t="n">
        <v>0.38066914</v>
      </c>
    </row>
    <row r="52" spans="1:18">
      <c r="A52" s="15" t="s">
        <v>611</v>
      </c>
      <c r="B52" s="17" t="n">
        <v>2760</v>
      </c>
      <c r="C52" s="18">
        <f>(2193.0/B52*100)</f>
        <v/>
      </c>
      <c r="D52" s="19" t="n">
        <v>567</v>
      </c>
      <c r="E52" s="18" t="n">
        <v>31.09195036</v>
      </c>
      <c r="F52" s="20" t="n">
        <v>2.0730536</v>
      </c>
      <c r="G52" s="18" t="n">
        <v>68.35489047999999</v>
      </c>
      <c r="H52" s="20" t="n">
        <v>2.08898473</v>
      </c>
      <c r="I52" s="18" t="n">
        <v>0</v>
      </c>
      <c r="J52" s="20" t="n">
        <v>0</v>
      </c>
      <c r="K52" s="18" t="n">
        <v>0.34503638</v>
      </c>
      <c r="L52" s="20" t="n">
        <v>0.25026016</v>
      </c>
      <c r="M52" s="18" t="n">
        <v>0</v>
      </c>
      <c r="N52" s="20" t="n">
        <v>0</v>
      </c>
      <c r="O52" s="18" t="n">
        <v>0</v>
      </c>
      <c r="P52" s="20" t="n">
        <v>0</v>
      </c>
      <c r="Q52" s="18" t="n">
        <v>0.20812277</v>
      </c>
      <c r="R52" s="20" t="n">
        <v>0.20954736</v>
      </c>
    </row>
    <row r="53" spans="1:18">
      <c r="A53" s="15" t="s">
        <v>612</v>
      </c>
      <c r="B53" s="17" t="n">
        <v>2474</v>
      </c>
      <c r="C53" s="18">
        <f>(1895.0/B53*100)</f>
        <v/>
      </c>
      <c r="D53" s="19" t="n">
        <v>579</v>
      </c>
      <c r="E53" s="18" t="n">
        <v>31.81378108</v>
      </c>
      <c r="F53" s="20" t="n">
        <v>2.02722885</v>
      </c>
      <c r="G53" s="18" t="n">
        <v>43.46723459</v>
      </c>
      <c r="H53" s="20" t="n">
        <v>2.30812839</v>
      </c>
      <c r="I53" s="18" t="n">
        <v>0</v>
      </c>
      <c r="J53" s="20" t="n">
        <v>0</v>
      </c>
      <c r="K53" s="18" t="n">
        <v>23.34371989</v>
      </c>
      <c r="L53" s="20" t="n">
        <v>1.90090065</v>
      </c>
      <c r="M53" s="18" t="n">
        <v>0</v>
      </c>
      <c r="N53" s="20" t="n">
        <v>0</v>
      </c>
      <c r="O53" s="18" t="n">
        <v>0</v>
      </c>
      <c r="P53" s="20" t="n">
        <v>0</v>
      </c>
      <c r="Q53" s="18" t="n">
        <v>1.37526444</v>
      </c>
      <c r="R53" s="20" t="n">
        <v>0.43186043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(2076.0/B55*100)</f>
        <v/>
      </c>
      <c r="D55" s="19" t="n">
        <v>599</v>
      </c>
      <c r="E55" s="18" t="n">
        <v>23.244322</v>
      </c>
      <c r="F55" s="20" t="n">
        <v>1.85402443</v>
      </c>
      <c r="G55" s="18" t="n">
        <v>76.60251932</v>
      </c>
      <c r="H55" s="20" t="n">
        <v>1.85048685</v>
      </c>
      <c r="I55" s="18" t="n">
        <v>0</v>
      </c>
      <c r="J55" s="20" t="n">
        <v>0</v>
      </c>
      <c r="K55" s="18" t="n">
        <v>0.15315867</v>
      </c>
      <c r="L55" s="20" t="n">
        <v>0.17136904</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(2526.0/B61*100)</f>
        <v/>
      </c>
      <c r="D61" s="19" t="n">
        <v>675</v>
      </c>
      <c r="E61" s="18" t="n">
        <v>18.44980851</v>
      </c>
      <c r="F61" s="20" t="n">
        <v>1.84608804</v>
      </c>
      <c r="G61" s="18" t="n">
        <v>80.98353123</v>
      </c>
      <c r="H61" s="20" t="n">
        <v>1.8407415</v>
      </c>
      <c r="I61" s="18" t="n">
        <v>0</v>
      </c>
      <c r="J61" s="20" t="n">
        <v>0</v>
      </c>
      <c r="K61" s="18" t="n">
        <v>0.44860892</v>
      </c>
      <c r="L61" s="20" t="n">
        <v>0.26533157</v>
      </c>
      <c r="M61" s="18" t="n">
        <v>0</v>
      </c>
      <c r="N61" s="20" t="n">
        <v>0</v>
      </c>
      <c r="O61" s="18" t="n">
        <v>0</v>
      </c>
      <c r="P61" s="20" t="n">
        <v>0</v>
      </c>
      <c r="Q61" s="18" t="n">
        <v>0.11805134</v>
      </c>
      <c r="R61" s="20" t="n">
        <v>0.11876244</v>
      </c>
    </row>
    <row r="62" spans="1:18">
      <c r="A62" s="15" t="s">
        <v>622</v>
      </c>
      <c r="B62" s="17" t="n">
        <v>2230</v>
      </c>
      <c r="C62" s="18">
        <f>(1754.0/B62*100)</f>
        <v/>
      </c>
      <c r="D62" s="19" t="n">
        <v>476</v>
      </c>
      <c r="E62" s="18" t="n">
        <v>15.58387481</v>
      </c>
      <c r="F62" s="20" t="n">
        <v>1.56902891</v>
      </c>
      <c r="G62" s="18" t="n">
        <v>84.41612519</v>
      </c>
      <c r="H62" s="20" t="n">
        <v>1.56902891</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(2195.0/B67*100)</f>
        <v/>
      </c>
      <c r="D67" s="19" t="n">
        <v>576</v>
      </c>
      <c r="E67" s="18" t="n">
        <v>29.81506455</v>
      </c>
      <c r="F67" s="20" t="n">
        <v>1.88589567</v>
      </c>
      <c r="G67" s="18" t="n">
        <v>67.27426106</v>
      </c>
      <c r="H67" s="20" t="n">
        <v>1.79826496</v>
      </c>
      <c r="I67" s="18" t="n">
        <v>0</v>
      </c>
      <c r="J67" s="20" t="n">
        <v>0</v>
      </c>
      <c r="K67" s="18" t="n">
        <v>0.93535578</v>
      </c>
      <c r="L67" s="20" t="n">
        <v>0.3888369</v>
      </c>
      <c r="M67" s="18" t="n">
        <v>0</v>
      </c>
      <c r="N67" s="20" t="n">
        <v>0</v>
      </c>
      <c r="O67" s="18" t="n">
        <v>0</v>
      </c>
      <c r="P67" s="20" t="n">
        <v>0</v>
      </c>
      <c r="Q67" s="18" t="n">
        <v>1.97531861</v>
      </c>
      <c r="R67" s="20" t="n">
        <v>0.55540913</v>
      </c>
    </row>
    <row r="68" spans="1:18">
      <c r="A68" s="15" t="s">
        <v>628</v>
      </c>
      <c r="B68" s="17" t="n">
        <v>3460</v>
      </c>
      <c r="C68" s="18">
        <f>(2826.0/B68*100)</f>
        <v/>
      </c>
      <c r="D68" s="19" t="n">
        <v>634</v>
      </c>
      <c r="E68" s="18" t="n">
        <v>29.76461141</v>
      </c>
      <c r="F68" s="20" t="n">
        <v>2.19444643</v>
      </c>
      <c r="G68" s="18" t="n">
        <v>69.24925112</v>
      </c>
      <c r="H68" s="20" t="n">
        <v>2.12776791</v>
      </c>
      <c r="I68" s="18" t="n">
        <v>0</v>
      </c>
      <c r="J68" s="20" t="n">
        <v>0</v>
      </c>
      <c r="K68" s="18" t="n">
        <v>0.16352532</v>
      </c>
      <c r="L68" s="20" t="n">
        <v>0.16419641</v>
      </c>
      <c r="M68" s="18" t="n">
        <v>0</v>
      </c>
      <c r="N68" s="20" t="n">
        <v>0</v>
      </c>
      <c r="O68" s="18" t="n">
        <v>0</v>
      </c>
      <c r="P68" s="20" t="n">
        <v>0</v>
      </c>
      <c r="Q68" s="18" t="n">
        <v>0.82261214</v>
      </c>
      <c r="R68" s="20" t="n">
        <v>0.40173784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(4721.0/B70*100)</f>
        <v/>
      </c>
      <c r="D70" s="19" t="n">
        <v>1313</v>
      </c>
      <c r="E70" s="18" t="n">
        <v>30.45392929</v>
      </c>
      <c r="F70" s="20" t="n">
        <v>1.21711485</v>
      </c>
      <c r="G70" s="18" t="n">
        <v>66.15058901</v>
      </c>
      <c r="H70" s="20" t="n">
        <v>1.30900786</v>
      </c>
      <c r="I70" s="18" t="n">
        <v>0</v>
      </c>
      <c r="J70" s="20" t="n">
        <v>0</v>
      </c>
      <c r="K70" s="18" t="n">
        <v>2.55545547</v>
      </c>
      <c r="L70" s="20" t="n">
        <v>0.41527829</v>
      </c>
      <c r="M70" s="18" t="n">
        <v>0</v>
      </c>
      <c r="N70" s="20" t="n">
        <v>0</v>
      </c>
      <c r="O70" s="18" t="n">
        <v>0</v>
      </c>
      <c r="P70" s="20" t="n">
        <v>0</v>
      </c>
      <c r="Q70" s="18" t="n">
        <v>0.84002623</v>
      </c>
      <c r="R70" s="20" t="n">
        <v>0.23135346</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(2486.0/B72*100)</f>
        <v/>
      </c>
      <c r="D72" s="19" t="n">
        <v>621</v>
      </c>
      <c r="E72" s="18" t="n">
        <v>25.72765717</v>
      </c>
      <c r="F72" s="20" t="n">
        <v>2.12915011</v>
      </c>
      <c r="G72" s="18" t="n">
        <v>73.75114777</v>
      </c>
      <c r="H72" s="20" t="n">
        <v>2.11997898</v>
      </c>
      <c r="I72" s="18" t="n">
        <v>0</v>
      </c>
      <c r="J72" s="20" t="n">
        <v>0</v>
      </c>
      <c r="K72" s="18" t="n">
        <v>0.08302893</v>
      </c>
      <c r="L72" s="20" t="n">
        <v>0.08384962999999999</v>
      </c>
      <c r="M72" s="18" t="n">
        <v>0</v>
      </c>
      <c r="N72" s="20" t="n">
        <v>0</v>
      </c>
      <c r="O72" s="18" t="n">
        <v>0</v>
      </c>
      <c r="P72" s="20" t="n">
        <v>0</v>
      </c>
      <c r="Q72" s="18" t="n">
        <v>0.43816613</v>
      </c>
      <c r="R72" s="20" t="n">
        <v>0.19403673</v>
      </c>
    </row>
    <row r="73" spans="1:18">
      <c r="A73" s="15" t="s">
        <v>633</v>
      </c>
      <c r="B73" s="17" t="n">
        <v>2973</v>
      </c>
      <c r="C73" s="18">
        <f>(2276.0/B73*100)</f>
        <v/>
      </c>
      <c r="D73" s="19" t="n">
        <v>697</v>
      </c>
      <c r="E73" s="18" t="n">
        <v>13.58969744</v>
      </c>
      <c r="F73" s="20" t="n">
        <v>1.2555707</v>
      </c>
      <c r="G73" s="18" t="n">
        <v>86.09322845</v>
      </c>
      <c r="H73" s="20" t="n">
        <v>1.24606755</v>
      </c>
      <c r="I73" s="18" t="n">
        <v>0</v>
      </c>
      <c r="J73" s="20" t="n">
        <v>0</v>
      </c>
      <c r="K73" s="18" t="n">
        <v>0.09645722</v>
      </c>
      <c r="L73" s="20" t="n">
        <v>0.09652535</v>
      </c>
      <c r="M73" s="18" t="n">
        <v>0</v>
      </c>
      <c r="N73" s="20" t="n">
        <v>0</v>
      </c>
      <c r="O73" s="18" t="n">
        <v>0</v>
      </c>
      <c r="P73" s="20" t="n">
        <v>0</v>
      </c>
      <c r="Q73" s="18" t="n">
        <v>0.22061689</v>
      </c>
      <c r="R73" s="20" t="n">
        <v>0.16739087</v>
      </c>
    </row>
    <row r="74" spans="1:18">
      <c r="A74" s="15" t="s">
        <v>634</v>
      </c>
      <c r="B74" s="17" t="n">
        <v>3819</v>
      </c>
      <c r="C74" s="18">
        <f>(2944.0/B74*100)</f>
        <v/>
      </c>
      <c r="D74" s="19" t="n">
        <v>875</v>
      </c>
      <c r="E74" s="18" t="n">
        <v>16.12668336</v>
      </c>
      <c r="F74" s="20" t="n">
        <v>1.34097132</v>
      </c>
      <c r="G74" s="18" t="n">
        <v>83.60829928</v>
      </c>
      <c r="H74" s="20" t="n">
        <v>1.29948722</v>
      </c>
      <c r="I74" s="18" t="n">
        <v>0</v>
      </c>
      <c r="J74" s="20" t="n">
        <v>0</v>
      </c>
      <c r="K74" s="18" t="n">
        <v>0.1315228</v>
      </c>
      <c r="L74" s="20" t="n">
        <v>0.0949744</v>
      </c>
      <c r="M74" s="18" t="n">
        <v>0</v>
      </c>
      <c r="N74" s="20" t="n">
        <v>0</v>
      </c>
      <c r="O74" s="18" t="n">
        <v>0</v>
      </c>
      <c r="P74" s="20" t="n">
        <v>0</v>
      </c>
      <c r="Q74" s="18" t="n">
        <v>0.13349457</v>
      </c>
      <c r="R74" s="20" t="n">
        <v>0.13336241</v>
      </c>
    </row>
    <row r="75" spans="1:18">
      <c r="A75" s="15" t="s">
        <v>635</v>
      </c>
      <c r="B75" s="17" t="n">
        <v>4652</v>
      </c>
      <c r="C75" s="18">
        <f>(3712.0/B75*100)</f>
        <v/>
      </c>
      <c r="D75" s="19" t="n">
        <v>940</v>
      </c>
      <c r="E75" s="18" t="n">
        <v>33.11145688</v>
      </c>
      <c r="F75" s="20" t="n">
        <v>1.61359165</v>
      </c>
      <c r="G75" s="18" t="n">
        <v>66.61921038</v>
      </c>
      <c r="H75" s="20" t="n">
        <v>1.64489004</v>
      </c>
      <c r="I75" s="18" t="n">
        <v>0</v>
      </c>
      <c r="J75" s="20" t="n">
        <v>0</v>
      </c>
      <c r="K75" s="18" t="n">
        <v>0</v>
      </c>
      <c r="L75" s="20" t="n">
        <v>0</v>
      </c>
      <c r="M75" s="18" t="n">
        <v>0</v>
      </c>
      <c r="N75" s="20" t="n">
        <v>0</v>
      </c>
      <c r="O75" s="18" t="n">
        <v>0</v>
      </c>
      <c r="P75" s="20" t="n">
        <v>0</v>
      </c>
      <c r="Q75" s="18" t="n">
        <v>0.26933273</v>
      </c>
      <c r="R75" s="20" t="n">
        <v>0.17726992</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(2417.0/B77*100)</f>
        <v/>
      </c>
      <c r="D77" s="19" t="n">
        <v>552</v>
      </c>
      <c r="E77" s="18" t="n">
        <v>27.20678306</v>
      </c>
      <c r="F77" s="20" t="n">
        <v>2.12603518</v>
      </c>
      <c r="G77" s="18" t="n">
        <v>64.22206994</v>
      </c>
      <c r="H77" s="20" t="n">
        <v>2.16246102</v>
      </c>
      <c r="I77" s="18" t="n">
        <v>0</v>
      </c>
      <c r="J77" s="20" t="n">
        <v>0</v>
      </c>
      <c r="K77" s="18" t="n">
        <v>6.52132231</v>
      </c>
      <c r="L77" s="20" t="n">
        <v>1.36026691</v>
      </c>
      <c r="M77" s="18" t="n">
        <v>0</v>
      </c>
      <c r="N77" s="20" t="n">
        <v>0</v>
      </c>
      <c r="O77" s="18" t="n">
        <v>0</v>
      </c>
      <c r="P77" s="20" t="n">
        <v>0</v>
      </c>
      <c r="Q77" s="18" t="n">
        <v>2.04982469</v>
      </c>
      <c r="R77" s="20" t="n">
        <v>0.5971975</v>
      </c>
    </row>
    <row r="78" spans="1:18">
      <c r="A78" s="15" t="s">
        <v>638</v>
      </c>
      <c r="B78" s="17" t="n">
        <v>7115</v>
      </c>
      <c r="C78" s="18">
        <f>(5545.0/B78*100)</f>
        <v/>
      </c>
      <c r="D78" s="19" t="n">
        <v>1570</v>
      </c>
      <c r="E78" s="18" t="n">
        <v>26.31502827</v>
      </c>
      <c r="F78" s="20" t="n">
        <v>1.43296836</v>
      </c>
      <c r="G78" s="18" t="n">
        <v>71.86032422</v>
      </c>
      <c r="H78" s="20" t="n">
        <v>1.45925896</v>
      </c>
      <c r="I78" s="18" t="n">
        <v>0</v>
      </c>
      <c r="J78" s="20" t="n">
        <v>0</v>
      </c>
      <c r="K78" s="18" t="n">
        <v>0.91115764</v>
      </c>
      <c r="L78" s="20" t="n">
        <v>0.29327159</v>
      </c>
      <c r="M78" s="18" t="n">
        <v>0</v>
      </c>
      <c r="N78" s="20" t="n">
        <v>0</v>
      </c>
      <c r="O78" s="18" t="n">
        <v>0</v>
      </c>
      <c r="P78" s="20" t="n">
        <v>0</v>
      </c>
      <c r="Q78" s="18" t="n">
        <v>0.91348987</v>
      </c>
      <c r="R78" s="20" t="n">
        <v>0.37492399</v>
      </c>
    </row>
    <row r="79" spans="1:18">
      <c r="A79" s="15" t="s">
        <v>639</v>
      </c>
      <c r="B79" s="17" t="n">
        <v>3154</v>
      </c>
      <c r="C79" s="18">
        <f>(2528.0/B79*100)</f>
        <v/>
      </c>
      <c r="D79" s="19" t="n">
        <v>626</v>
      </c>
      <c r="E79" s="18" t="n">
        <v>28.68010693</v>
      </c>
      <c r="F79" s="20" t="n">
        <v>2.12326143</v>
      </c>
      <c r="G79" s="18" t="n">
        <v>68.95151829</v>
      </c>
      <c r="H79" s="20" t="n">
        <v>2.170027</v>
      </c>
      <c r="I79" s="18" t="n">
        <v>0</v>
      </c>
      <c r="J79" s="20" t="n">
        <v>0</v>
      </c>
      <c r="K79" s="18" t="n">
        <v>1.54883529</v>
      </c>
      <c r="L79" s="20" t="n">
        <v>0.48014871</v>
      </c>
      <c r="M79" s="18" t="n">
        <v>0</v>
      </c>
      <c r="N79" s="20" t="n">
        <v>0</v>
      </c>
      <c r="O79" s="18" t="n">
        <v>0</v>
      </c>
      <c r="P79" s="20" t="n">
        <v>0</v>
      </c>
      <c r="Q79" s="18" t="n">
        <v>0.8195395</v>
      </c>
      <c r="R79" s="20" t="n">
        <v>0.55436704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(12508.0/B82*100)</f>
        <v/>
      </c>
      <c r="D82" s="19" t="n">
        <v>3453</v>
      </c>
      <c r="E82" s="18" t="n">
        <v>15.96493641</v>
      </c>
      <c r="F82" s="20" t="n">
        <v>0.91605075</v>
      </c>
      <c r="G82" s="18" t="n">
        <v>83.48575700000001</v>
      </c>
      <c r="H82" s="20" t="n">
        <v>0.88461672</v>
      </c>
      <c r="I82" s="18" t="n">
        <v>0</v>
      </c>
      <c r="J82" s="20" t="n">
        <v>0</v>
      </c>
      <c r="K82" s="18" t="n">
        <v>0.19614317</v>
      </c>
      <c r="L82" s="20" t="n">
        <v>0.09708188</v>
      </c>
      <c r="M82" s="18" t="n">
        <v>0</v>
      </c>
      <c r="N82" s="20" t="n">
        <v>0</v>
      </c>
      <c r="O82" s="18" t="n">
        <v>0</v>
      </c>
      <c r="P82" s="20" t="n">
        <v>0</v>
      </c>
      <c r="Q82" s="18" t="n">
        <v>0.35316342</v>
      </c>
      <c r="R82" s="20" t="n">
        <v>0.13638619</v>
      </c>
    </row>
    <row r="83" spans="1:18">
      <c r="A83" s="15" t="s">
        <v>643</v>
      </c>
      <c r="B83" s="17" t="n">
        <v>808</v>
      </c>
      <c r="C83" s="18">
        <f>(650.0/B83*100)</f>
        <v/>
      </c>
      <c r="D83" s="19" t="n">
        <v>158</v>
      </c>
      <c r="E83" s="18" t="n">
        <v>11.75507269</v>
      </c>
      <c r="F83" s="20" t="n">
        <v>2.91562608</v>
      </c>
      <c r="G83" s="18" t="n">
        <v>86.98272918000001</v>
      </c>
      <c r="H83" s="20" t="n">
        <v>2.65904407</v>
      </c>
      <c r="I83" s="18" t="n">
        <v>0</v>
      </c>
      <c r="J83" s="20" t="n">
        <v>0</v>
      </c>
      <c r="K83" s="18" t="n">
        <v>0</v>
      </c>
      <c r="L83" s="20" t="n">
        <v>0</v>
      </c>
      <c r="M83" s="18" t="n">
        <v>0</v>
      </c>
      <c r="N83" s="20" t="n">
        <v>0</v>
      </c>
      <c r="O83" s="18" t="n">
        <v>0</v>
      </c>
      <c r="P83" s="20" t="n">
        <v>0</v>
      </c>
      <c r="Q83" s="18" t="n">
        <v>1.26219812</v>
      </c>
      <c r="R83" s="20" t="n">
        <v>0.9450209000000001</v>
      </c>
    </row>
    <row r="84" spans="1:18">
      <c r="A84" s="23" t="s">
        <v>644</v>
      </c>
      <c r="B84" s="24" t="n">
        <v>938</v>
      </c>
      <c r="C84" s="25">
        <f>(715.0/B84*100)</f>
        <v/>
      </c>
      <c r="D84" s="19" t="n">
        <v>223</v>
      </c>
      <c r="E84" s="18" t="n">
        <v>8.615862849999999</v>
      </c>
      <c r="F84" s="20" t="n">
        <v>2.50572101</v>
      </c>
      <c r="G84" s="18" t="n">
        <v>91.38413715</v>
      </c>
      <c r="H84" s="20" t="n">
        <v>2.50572101</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(5623.0/B7*100)</f>
        <v/>
      </c>
      <c r="D7" s="19" t="n">
        <v>1540</v>
      </c>
      <c r="E7" s="18" t="n">
        <v>64.07744811000001</v>
      </c>
      <c r="F7" s="20" t="n">
        <v>1.54131375</v>
      </c>
      <c r="G7" s="18" t="n">
        <v>33.98121989</v>
      </c>
      <c r="H7" s="20" t="n">
        <v>1.50594586</v>
      </c>
      <c r="I7" s="18" t="n">
        <v>0</v>
      </c>
      <c r="J7" s="20" t="n">
        <v>0</v>
      </c>
      <c r="K7" s="18" t="n">
        <v>0.7271788</v>
      </c>
      <c r="L7" s="20" t="n">
        <v>0.20676638</v>
      </c>
      <c r="M7" s="18" t="n">
        <v>0</v>
      </c>
      <c r="N7" s="20" t="n">
        <v>0</v>
      </c>
      <c r="O7" s="18" t="n">
        <v>0</v>
      </c>
      <c r="P7" s="20" t="n">
        <v>0</v>
      </c>
      <c r="Q7" s="18" t="n">
        <v>1.2141532</v>
      </c>
      <c r="R7" s="20" t="n">
        <v>0.37539759</v>
      </c>
    </row>
    <row r="8" spans="1:18">
      <c r="A8" s="15" t="s">
        <v>566</v>
      </c>
      <c r="B8" s="17" t="n">
        <v>3443</v>
      </c>
      <c r="C8" s="18">
        <f>(2731.0/B8*100)</f>
        <v/>
      </c>
      <c r="D8" s="19" t="n">
        <v>712</v>
      </c>
      <c r="E8" s="18" t="n">
        <v>65.06662841000001</v>
      </c>
      <c r="F8" s="20" t="n">
        <v>1.78522024</v>
      </c>
      <c r="G8" s="18" t="n">
        <v>33.13671729</v>
      </c>
      <c r="H8" s="20" t="n">
        <v>1.85424598</v>
      </c>
      <c r="I8" s="18" t="n">
        <v>0</v>
      </c>
      <c r="J8" s="20" t="n">
        <v>0</v>
      </c>
      <c r="K8" s="18" t="n">
        <v>0.37268031</v>
      </c>
      <c r="L8" s="20" t="n">
        <v>0.26588365</v>
      </c>
      <c r="M8" s="18" t="n">
        <v>0</v>
      </c>
      <c r="N8" s="20" t="n">
        <v>0</v>
      </c>
      <c r="O8" s="18" t="n">
        <v>0</v>
      </c>
      <c r="P8" s="20" t="n">
        <v>0</v>
      </c>
      <c r="Q8" s="18" t="n">
        <v>1.423974</v>
      </c>
      <c r="R8" s="20" t="n">
        <v>0.5729834499999999</v>
      </c>
    </row>
    <row r="9" spans="1:18">
      <c r="A9" s="15" t="s">
        <v>567</v>
      </c>
      <c r="B9" s="17" t="n">
        <v>4752</v>
      </c>
      <c r="C9" s="18">
        <f>(3795.0/B9*100)</f>
        <v/>
      </c>
      <c r="D9" s="19" t="n">
        <v>957</v>
      </c>
      <c r="E9" s="18" t="n">
        <v>62.07459115</v>
      </c>
      <c r="F9" s="20" t="n">
        <v>1.76400618</v>
      </c>
      <c r="G9" s="18" t="n">
        <v>36.04633431</v>
      </c>
      <c r="H9" s="20" t="n">
        <v>1.76515828</v>
      </c>
      <c r="I9" s="18" t="n">
        <v>0</v>
      </c>
      <c r="J9" s="20" t="n">
        <v>0</v>
      </c>
      <c r="K9" s="18" t="n">
        <v>0.81180705</v>
      </c>
      <c r="L9" s="20" t="n">
        <v>0.31405146</v>
      </c>
      <c r="M9" s="18" t="n">
        <v>0</v>
      </c>
      <c r="N9" s="20" t="n">
        <v>0</v>
      </c>
      <c r="O9" s="18" t="n">
        <v>0</v>
      </c>
      <c r="P9" s="20" t="n">
        <v>0</v>
      </c>
      <c r="Q9" s="18" t="n">
        <v>1.0672675</v>
      </c>
      <c r="R9" s="20" t="n">
        <v>0.36605882</v>
      </c>
    </row>
    <row r="10" spans="1:18">
      <c r="A10" s="15" t="s">
        <v>568</v>
      </c>
      <c r="B10" s="17" t="n">
        <v>10022</v>
      </c>
      <c r="C10" s="18">
        <f>(7793.0/B10*100)</f>
        <v/>
      </c>
      <c r="D10" s="19" t="n">
        <v>2229</v>
      </c>
      <c r="E10" s="18" t="n">
        <v>64.54175629</v>
      </c>
      <c r="F10" s="20" t="n">
        <v>1.26233743</v>
      </c>
      <c r="G10" s="18" t="n">
        <v>34.40248532</v>
      </c>
      <c r="H10" s="20" t="n">
        <v>1.27748673</v>
      </c>
      <c r="I10" s="18" t="n">
        <v>0</v>
      </c>
      <c r="J10" s="20" t="n">
        <v>0</v>
      </c>
      <c r="K10" s="18" t="n">
        <v>0.59620791</v>
      </c>
      <c r="L10" s="20" t="n">
        <v>0.21249873</v>
      </c>
      <c r="M10" s="18" t="n">
        <v>0</v>
      </c>
      <c r="N10" s="20" t="n">
        <v>0</v>
      </c>
      <c r="O10" s="18" t="n">
        <v>0</v>
      </c>
      <c r="P10" s="20" t="n">
        <v>0</v>
      </c>
      <c r="Q10" s="18" t="n">
        <v>0.45955049</v>
      </c>
      <c r="R10" s="20" t="n">
        <v>0.21249261</v>
      </c>
    </row>
    <row r="11" spans="1:18">
      <c r="A11" s="15" t="s">
        <v>569</v>
      </c>
      <c r="B11" s="17" t="n">
        <v>3500</v>
      </c>
      <c r="C11" s="18">
        <f>(2738.0/B11*100)</f>
        <v/>
      </c>
      <c r="D11" s="19" t="n">
        <v>762</v>
      </c>
      <c r="E11" s="18" t="n">
        <v>74.88701012</v>
      </c>
      <c r="F11" s="20" t="n">
        <v>1.86689715</v>
      </c>
      <c r="G11" s="18" t="n">
        <v>20.66201538</v>
      </c>
      <c r="H11" s="20" t="n">
        <v>1.62413455</v>
      </c>
      <c r="I11" s="18" t="n">
        <v>0</v>
      </c>
      <c r="J11" s="20" t="n">
        <v>0</v>
      </c>
      <c r="K11" s="18" t="n">
        <v>2.5558932</v>
      </c>
      <c r="L11" s="20" t="n">
        <v>0.79342685</v>
      </c>
      <c r="M11" s="18" t="n">
        <v>0</v>
      </c>
      <c r="N11" s="20" t="n">
        <v>0</v>
      </c>
      <c r="O11" s="18" t="n">
        <v>0</v>
      </c>
      <c r="P11" s="20" t="n">
        <v>0</v>
      </c>
      <c r="Q11" s="18" t="n">
        <v>1.8950813</v>
      </c>
      <c r="R11" s="20" t="n">
        <v>0.60046459</v>
      </c>
    </row>
    <row r="12" spans="1:18">
      <c r="A12" s="15" t="s">
        <v>570</v>
      </c>
      <c r="B12" s="17" t="n">
        <v>3422</v>
      </c>
      <c r="C12" s="18">
        <f>(2660.0/B12*100)</f>
        <v/>
      </c>
      <c r="D12" s="19" t="n">
        <v>762</v>
      </c>
      <c r="E12" s="18" t="n">
        <v>63.89358174</v>
      </c>
      <c r="F12" s="20" t="n">
        <v>2.12116077</v>
      </c>
      <c r="G12" s="18" t="n">
        <v>35.49757287</v>
      </c>
      <c r="H12" s="20" t="n">
        <v>2.12544833</v>
      </c>
      <c r="I12" s="18" t="n">
        <v>0</v>
      </c>
      <c r="J12" s="20" t="n">
        <v>0</v>
      </c>
      <c r="K12" s="18" t="n">
        <v>0.24887607</v>
      </c>
      <c r="L12" s="20" t="n">
        <v>0.17981769</v>
      </c>
      <c r="M12" s="18" t="n">
        <v>0</v>
      </c>
      <c r="N12" s="20" t="n">
        <v>0</v>
      </c>
      <c r="O12" s="18" t="n">
        <v>0</v>
      </c>
      <c r="P12" s="20" t="n">
        <v>0</v>
      </c>
      <c r="Q12" s="18" t="n">
        <v>0.35996933</v>
      </c>
      <c r="R12" s="20" t="n">
        <v>0.172236</v>
      </c>
    </row>
    <row r="13" spans="1:18">
      <c r="A13" s="15" t="s">
        <v>571</v>
      </c>
      <c r="B13" s="17" t="n">
        <v>3602</v>
      </c>
      <c r="C13" s="18">
        <f>(2859.0/B13*100)</f>
        <v/>
      </c>
      <c r="D13" s="19" t="n">
        <v>743</v>
      </c>
      <c r="E13" s="18" t="n">
        <v>60.86776436</v>
      </c>
      <c r="F13" s="20" t="n">
        <v>2.47692029</v>
      </c>
      <c r="G13" s="18" t="n">
        <v>38.06128697</v>
      </c>
      <c r="H13" s="20" t="n">
        <v>2.54567583</v>
      </c>
      <c r="I13" s="18" t="n">
        <v>0</v>
      </c>
      <c r="J13" s="20" t="n">
        <v>0</v>
      </c>
      <c r="K13" s="18" t="n">
        <v>0.36366223</v>
      </c>
      <c r="L13" s="20" t="n">
        <v>0.2547695</v>
      </c>
      <c r="M13" s="18" t="n">
        <v>0</v>
      </c>
      <c r="N13" s="20" t="n">
        <v>0</v>
      </c>
      <c r="O13" s="18" t="n">
        <v>0</v>
      </c>
      <c r="P13" s="20" t="n">
        <v>0</v>
      </c>
      <c r="Q13" s="18" t="n">
        <v>0.70728644</v>
      </c>
      <c r="R13" s="20" t="n">
        <v>0.32511823</v>
      </c>
    </row>
    <row r="14" spans="1:18">
      <c r="A14" s="15" t="s">
        <v>572</v>
      </c>
      <c r="B14" s="17" t="n">
        <v>2788</v>
      </c>
      <c r="C14" s="18">
        <f>(2184.0/B14*100)</f>
        <v/>
      </c>
      <c r="D14" s="19" t="n">
        <v>604</v>
      </c>
      <c r="E14" s="18" t="n">
        <v>60.5058656</v>
      </c>
      <c r="F14" s="20" t="n">
        <v>2.23609413</v>
      </c>
      <c r="G14" s="18" t="n">
        <v>39.0673421</v>
      </c>
      <c r="H14" s="20" t="n">
        <v>2.23767145</v>
      </c>
      <c r="I14" s="18" t="n">
        <v>0</v>
      </c>
      <c r="J14" s="20" t="n">
        <v>0</v>
      </c>
      <c r="K14" s="18" t="n">
        <v>0.4267923</v>
      </c>
      <c r="L14" s="20" t="n">
        <v>0.24321841</v>
      </c>
      <c r="M14" s="18" t="n">
        <v>0</v>
      </c>
      <c r="N14" s="20" t="n">
        <v>0</v>
      </c>
      <c r="O14" s="18" t="n">
        <v>0</v>
      </c>
      <c r="P14" s="20" t="n">
        <v>0</v>
      </c>
      <c r="Q14" s="18" t="n">
        <v>0</v>
      </c>
      <c r="R14" s="20" t="n">
        <v>0</v>
      </c>
    </row>
    <row r="15" spans="1:18">
      <c r="A15" s="15" t="s">
        <v>573</v>
      </c>
      <c r="B15" s="17" t="n">
        <v>2863</v>
      </c>
      <c r="C15" s="18">
        <f>(2232.0/B15*100)</f>
        <v/>
      </c>
      <c r="D15" s="19" t="n">
        <v>631</v>
      </c>
      <c r="E15" s="18" t="n">
        <v>56.04851985</v>
      </c>
      <c r="F15" s="20" t="n">
        <v>1.91727612</v>
      </c>
      <c r="G15" s="18" t="n">
        <v>43.81092368</v>
      </c>
      <c r="H15" s="20" t="n">
        <v>1.93108043</v>
      </c>
      <c r="I15" s="18" t="n">
        <v>0</v>
      </c>
      <c r="J15" s="20" t="n">
        <v>0</v>
      </c>
      <c r="K15" s="18" t="n">
        <v>0</v>
      </c>
      <c r="L15" s="20" t="n">
        <v>0</v>
      </c>
      <c r="M15" s="18" t="n">
        <v>0</v>
      </c>
      <c r="N15" s="20" t="n">
        <v>0</v>
      </c>
      <c r="O15" s="18" t="n">
        <v>0</v>
      </c>
      <c r="P15" s="20" t="n">
        <v>0</v>
      </c>
      <c r="Q15" s="18" t="n">
        <v>0.14055648</v>
      </c>
      <c r="R15" s="20" t="n">
        <v>0.13981646</v>
      </c>
    </row>
    <row r="16" spans="1:18">
      <c r="A16" s="15" t="s">
        <v>574</v>
      </c>
      <c r="B16" s="17" t="n">
        <v>3111</v>
      </c>
      <c r="C16" s="18">
        <f>(2435.0/B16*100)</f>
        <v/>
      </c>
      <c r="D16" s="19" t="n">
        <v>676</v>
      </c>
      <c r="E16" s="18" t="n">
        <v>56.09599531</v>
      </c>
      <c r="F16" s="20" t="n">
        <v>2.10891232</v>
      </c>
      <c r="G16" s="18" t="n">
        <v>40.96139834</v>
      </c>
      <c r="H16" s="20" t="n">
        <v>1.92274914</v>
      </c>
      <c r="I16" s="18" t="n">
        <v>0</v>
      </c>
      <c r="J16" s="20" t="n">
        <v>0</v>
      </c>
      <c r="K16" s="18" t="n">
        <v>0.94746047</v>
      </c>
      <c r="L16" s="20" t="n">
        <v>0.37255889</v>
      </c>
      <c r="M16" s="18" t="n">
        <v>0</v>
      </c>
      <c r="N16" s="20" t="n">
        <v>0</v>
      </c>
      <c r="O16" s="18" t="n">
        <v>0</v>
      </c>
      <c r="P16" s="20" t="n">
        <v>0</v>
      </c>
      <c r="Q16" s="18" t="n">
        <v>1.99514587</v>
      </c>
      <c r="R16" s="20" t="n">
        <v>0.60392359</v>
      </c>
    </row>
    <row r="17" spans="1:18">
      <c r="A17" s="15" t="s">
        <v>575</v>
      </c>
      <c r="B17" s="17" t="n">
        <v>3197</v>
      </c>
      <c r="C17" s="18">
        <f>(2537.0/B17*100)</f>
        <v/>
      </c>
      <c r="D17" s="19" t="n">
        <v>660</v>
      </c>
      <c r="E17" s="18" t="n">
        <v>62.90461421</v>
      </c>
      <c r="F17" s="20" t="n">
        <v>2.06472859</v>
      </c>
      <c r="G17" s="18" t="n">
        <v>36.01886023</v>
      </c>
      <c r="H17" s="20" t="n">
        <v>2.13163546</v>
      </c>
      <c r="I17" s="18" t="n">
        <v>0</v>
      </c>
      <c r="J17" s="20" t="n">
        <v>0</v>
      </c>
      <c r="K17" s="18" t="n">
        <v>0.34258833</v>
      </c>
      <c r="L17" s="20" t="n">
        <v>0.24103108</v>
      </c>
      <c r="M17" s="18" t="n">
        <v>0</v>
      </c>
      <c r="N17" s="20" t="n">
        <v>0</v>
      </c>
      <c r="O17" s="18" t="n">
        <v>0</v>
      </c>
      <c r="P17" s="20" t="n">
        <v>0</v>
      </c>
      <c r="Q17" s="18" t="n">
        <v>0.73393723</v>
      </c>
      <c r="R17" s="20" t="n">
        <v>0.29468009</v>
      </c>
    </row>
    <row r="18" spans="1:18">
      <c r="A18" s="15" t="s">
        <v>576</v>
      </c>
      <c r="B18" s="17" t="n">
        <v>2706</v>
      </c>
      <c r="C18" s="18">
        <f>(2103.0/B18*100)</f>
        <v/>
      </c>
      <c r="D18" s="19" t="n">
        <v>603</v>
      </c>
      <c r="E18" s="18" t="n">
        <v>72.68813801</v>
      </c>
      <c r="F18" s="20" t="n">
        <v>2.21753746</v>
      </c>
      <c r="G18" s="18" t="n">
        <v>24.76758638</v>
      </c>
      <c r="H18" s="20" t="n">
        <v>2.21212844</v>
      </c>
      <c r="I18" s="18" t="n">
        <v>0</v>
      </c>
      <c r="J18" s="20" t="n">
        <v>0</v>
      </c>
      <c r="K18" s="18" t="n">
        <v>0.69690751</v>
      </c>
      <c r="L18" s="20" t="n">
        <v>0.32699544</v>
      </c>
      <c r="M18" s="18" t="n">
        <v>0</v>
      </c>
      <c r="N18" s="20" t="n">
        <v>0</v>
      </c>
      <c r="O18" s="18" t="n">
        <v>0</v>
      </c>
      <c r="P18" s="20" t="n">
        <v>0</v>
      </c>
      <c r="Q18" s="18" t="n">
        <v>1.8473681</v>
      </c>
      <c r="R18" s="20" t="n">
        <v>0.62475452</v>
      </c>
    </row>
    <row r="19" spans="1:18">
      <c r="A19" s="15" t="s">
        <v>577</v>
      </c>
      <c r="B19" s="17" t="n">
        <v>2850</v>
      </c>
      <c r="C19" s="18">
        <f>(2188.0/B19*100)</f>
        <v/>
      </c>
      <c r="D19" s="19" t="n">
        <v>662</v>
      </c>
      <c r="E19" s="18" t="n">
        <v>63.2360847</v>
      </c>
      <c r="F19" s="20" t="n">
        <v>2.03434907</v>
      </c>
      <c r="G19" s="18" t="n">
        <v>35.51931229</v>
      </c>
      <c r="H19" s="20" t="n">
        <v>1.99074629</v>
      </c>
      <c r="I19" s="18" t="n">
        <v>0</v>
      </c>
      <c r="J19" s="20" t="n">
        <v>0</v>
      </c>
      <c r="K19" s="18" t="n">
        <v>0.20269032</v>
      </c>
      <c r="L19" s="20" t="n">
        <v>0.20173936</v>
      </c>
      <c r="M19" s="18" t="n">
        <v>0</v>
      </c>
      <c r="N19" s="20" t="n">
        <v>0</v>
      </c>
      <c r="O19" s="18" t="n">
        <v>0</v>
      </c>
      <c r="P19" s="20" t="n">
        <v>0</v>
      </c>
      <c r="Q19" s="18" t="n">
        <v>1.04191269</v>
      </c>
      <c r="R19" s="20" t="n">
        <v>0.41254272</v>
      </c>
    </row>
    <row r="20" spans="1:18">
      <c r="A20" s="15" t="s">
        <v>578</v>
      </c>
      <c r="B20" s="17" t="n">
        <v>1741</v>
      </c>
      <c r="C20" s="18">
        <f>(1349.0/B20*100)</f>
        <v/>
      </c>
      <c r="D20" s="19" t="n">
        <v>392</v>
      </c>
      <c r="E20" s="18" t="n">
        <v>63.57876563</v>
      </c>
      <c r="F20" s="20" t="n">
        <v>2.56417219</v>
      </c>
      <c r="G20" s="18" t="n">
        <v>34.49660071</v>
      </c>
      <c r="H20" s="20" t="n">
        <v>2.36787351</v>
      </c>
      <c r="I20" s="18" t="n">
        <v>0</v>
      </c>
      <c r="J20" s="20" t="n">
        <v>0</v>
      </c>
      <c r="K20" s="18" t="n">
        <v>0.80243581</v>
      </c>
      <c r="L20" s="20" t="n">
        <v>0.46336708</v>
      </c>
      <c r="M20" s="18" t="n">
        <v>0</v>
      </c>
      <c r="N20" s="20" t="n">
        <v>0</v>
      </c>
      <c r="O20" s="18" t="n">
        <v>0</v>
      </c>
      <c r="P20" s="20" t="n">
        <v>0</v>
      </c>
      <c r="Q20" s="18" t="n">
        <v>1.12219785</v>
      </c>
      <c r="R20" s="20" t="n">
        <v>0.66809239</v>
      </c>
    </row>
    <row r="21" spans="1:18">
      <c r="A21" s="15" t="s">
        <v>579</v>
      </c>
      <c r="B21" s="17" t="n">
        <v>2833</v>
      </c>
      <c r="C21" s="18">
        <f>(2204.0/B21*100)</f>
        <v/>
      </c>
      <c r="D21" s="19" t="n">
        <v>629</v>
      </c>
      <c r="E21" s="18" t="n">
        <v>54.21556561</v>
      </c>
      <c r="F21" s="20" t="n">
        <v>1.94488324</v>
      </c>
      <c r="G21" s="18" t="n">
        <v>45.12365841</v>
      </c>
      <c r="H21" s="20" t="n">
        <v>1.96126722</v>
      </c>
      <c r="I21" s="18" t="n">
        <v>0</v>
      </c>
      <c r="J21" s="20" t="n">
        <v>0</v>
      </c>
      <c r="K21" s="18" t="n">
        <v>0.14503422</v>
      </c>
      <c r="L21" s="20" t="n">
        <v>0.14470806</v>
      </c>
      <c r="M21" s="18" t="n">
        <v>0</v>
      </c>
      <c r="N21" s="20" t="n">
        <v>0</v>
      </c>
      <c r="O21" s="18" t="n">
        <v>0</v>
      </c>
      <c r="P21" s="20" t="n">
        <v>0</v>
      </c>
      <c r="Q21" s="18" t="n">
        <v>0.51574176</v>
      </c>
      <c r="R21" s="20" t="n">
        <v>0.25722355</v>
      </c>
    </row>
    <row r="22" spans="1:18">
      <c r="A22" s="15" t="s">
        <v>580</v>
      </c>
      <c r="B22" s="17" t="n">
        <v>3667</v>
      </c>
      <c r="C22" s="18">
        <f>(2895.0/B22*100)</f>
        <v/>
      </c>
      <c r="D22" s="19" t="n">
        <v>772</v>
      </c>
      <c r="E22" s="18" t="n">
        <v>67.92192085000001</v>
      </c>
      <c r="F22" s="20" t="n">
        <v>1.89047922</v>
      </c>
      <c r="G22" s="18" t="n">
        <v>29.42332404</v>
      </c>
      <c r="H22" s="20" t="n">
        <v>1.7741651</v>
      </c>
      <c r="I22" s="18" t="n">
        <v>0</v>
      </c>
      <c r="J22" s="20" t="n">
        <v>0</v>
      </c>
      <c r="K22" s="18" t="n">
        <v>1.23079138</v>
      </c>
      <c r="L22" s="20" t="n">
        <v>0.3822366</v>
      </c>
      <c r="M22" s="18" t="n">
        <v>0</v>
      </c>
      <c r="N22" s="20" t="n">
        <v>0</v>
      </c>
      <c r="O22" s="18" t="n">
        <v>0</v>
      </c>
      <c r="P22" s="20" t="n">
        <v>0</v>
      </c>
      <c r="Q22" s="18" t="n">
        <v>1.42396373</v>
      </c>
      <c r="R22" s="20" t="n">
        <v>0.4278704</v>
      </c>
    </row>
    <row r="23" spans="1:18">
      <c r="A23" s="15" t="s">
        <v>581</v>
      </c>
      <c r="B23" s="17" t="n">
        <v>5792</v>
      </c>
      <c r="C23" s="18">
        <f>(4580.0/B23*100)</f>
        <v/>
      </c>
      <c r="D23" s="19" t="n">
        <v>1212</v>
      </c>
      <c r="E23" s="18" t="n">
        <v>67.10391869999999</v>
      </c>
      <c r="F23" s="20" t="n">
        <v>1.8337983</v>
      </c>
      <c r="G23" s="18" t="n">
        <v>26.58778881</v>
      </c>
      <c r="H23" s="20" t="n">
        <v>1.77163578</v>
      </c>
      <c r="I23" s="18" t="n">
        <v>0</v>
      </c>
      <c r="J23" s="20" t="n">
        <v>0</v>
      </c>
      <c r="K23" s="18" t="n">
        <v>3.34934382</v>
      </c>
      <c r="L23" s="20" t="n">
        <v>1.32809487</v>
      </c>
      <c r="M23" s="18" t="n">
        <v>0</v>
      </c>
      <c r="N23" s="20" t="n">
        <v>0</v>
      </c>
      <c r="O23" s="18" t="n">
        <v>0</v>
      </c>
      <c r="P23" s="20" t="n">
        <v>0</v>
      </c>
      <c r="Q23" s="18" t="n">
        <v>2.95894868</v>
      </c>
      <c r="R23" s="20" t="n">
        <v>0.76973919</v>
      </c>
    </row>
    <row r="24" spans="1:18">
      <c r="A24" s="15" t="s">
        <v>582</v>
      </c>
      <c r="B24" s="17" t="n">
        <v>3309</v>
      </c>
      <c r="C24" s="18">
        <f>(2579.0/B24*100)</f>
        <v/>
      </c>
      <c r="D24" s="19" t="n">
        <v>730</v>
      </c>
      <c r="E24" s="18" t="n">
        <v>46.86696044</v>
      </c>
      <c r="F24" s="20" t="n">
        <v>2.06164337</v>
      </c>
      <c r="G24" s="18" t="n">
        <v>52.04365556</v>
      </c>
      <c r="H24" s="20" t="n">
        <v>2.02071206</v>
      </c>
      <c r="I24" s="18" t="n">
        <v>0</v>
      </c>
      <c r="J24" s="20" t="n">
        <v>0</v>
      </c>
      <c r="K24" s="18" t="n">
        <v>0.12477767</v>
      </c>
      <c r="L24" s="20" t="n">
        <v>0.1249869</v>
      </c>
      <c r="M24" s="18" t="n">
        <v>0</v>
      </c>
      <c r="N24" s="20" t="n">
        <v>0</v>
      </c>
      <c r="O24" s="18" t="n">
        <v>0</v>
      </c>
      <c r="P24" s="20" t="n">
        <v>0</v>
      </c>
      <c r="Q24" s="18" t="n">
        <v>0.96460634</v>
      </c>
      <c r="R24" s="20" t="n">
        <v>0.36462783</v>
      </c>
    </row>
    <row r="25" spans="1:18">
      <c r="A25" s="15" t="s">
        <v>583</v>
      </c>
      <c r="B25" s="17" t="n">
        <v>2669</v>
      </c>
      <c r="C25" s="18">
        <f>(2098.0/B25*100)</f>
        <v/>
      </c>
      <c r="D25" s="19" t="n">
        <v>571</v>
      </c>
      <c r="E25" s="18" t="n">
        <v>63.13717471</v>
      </c>
      <c r="F25" s="20" t="n">
        <v>1.87799573</v>
      </c>
      <c r="G25" s="18" t="n">
        <v>36.41865639</v>
      </c>
      <c r="H25" s="20" t="n">
        <v>1.84366199</v>
      </c>
      <c r="I25" s="18" t="n">
        <v>0</v>
      </c>
      <c r="J25" s="20" t="n">
        <v>0</v>
      </c>
      <c r="K25" s="18" t="n">
        <v>0.33534602</v>
      </c>
      <c r="L25" s="20" t="n">
        <v>0.27848345</v>
      </c>
      <c r="M25" s="18" t="n">
        <v>0</v>
      </c>
      <c r="N25" s="20" t="n">
        <v>0</v>
      </c>
      <c r="O25" s="18" t="n">
        <v>0</v>
      </c>
      <c r="P25" s="20" t="n">
        <v>0</v>
      </c>
      <c r="Q25" s="18" t="n">
        <v>0.10882288</v>
      </c>
      <c r="R25" s="20" t="n">
        <v>0.10893387</v>
      </c>
    </row>
    <row r="26" spans="1:18">
      <c r="A26" s="15" t="s">
        <v>584</v>
      </c>
      <c r="B26" s="17" t="n">
        <v>2419</v>
      </c>
      <c r="C26" s="18">
        <f>(1927.0/B26*100)</f>
        <v/>
      </c>
      <c r="D26" s="19" t="n">
        <v>492</v>
      </c>
      <c r="E26" s="18" t="n">
        <v>70.52963376</v>
      </c>
      <c r="F26" s="20" t="n">
        <v>2.49217323</v>
      </c>
      <c r="G26" s="18" t="n">
        <v>29.05320085</v>
      </c>
      <c r="H26" s="20" t="n">
        <v>2.48327736</v>
      </c>
      <c r="I26" s="18" t="n">
        <v>0</v>
      </c>
      <c r="J26" s="20" t="n">
        <v>0</v>
      </c>
      <c r="K26" s="18" t="n">
        <v>0</v>
      </c>
      <c r="L26" s="20" t="n">
        <v>0</v>
      </c>
      <c r="M26" s="18" t="n">
        <v>0</v>
      </c>
      <c r="N26" s="20" t="n">
        <v>0</v>
      </c>
      <c r="O26" s="18" t="n">
        <v>0</v>
      </c>
      <c r="P26" s="20" t="n">
        <v>0</v>
      </c>
      <c r="Q26" s="18" t="n">
        <v>0.41716538</v>
      </c>
      <c r="R26" s="20" t="n">
        <v>0.29703103</v>
      </c>
    </row>
    <row r="27" spans="1:18">
      <c r="A27" s="15" t="s">
        <v>585</v>
      </c>
      <c r="B27" s="17" t="n">
        <v>2683</v>
      </c>
      <c r="C27" s="18">
        <f>(2111.0/B27*100)</f>
        <v/>
      </c>
      <c r="D27" s="19" t="n">
        <v>572</v>
      </c>
      <c r="E27" s="18" t="n">
        <v>67.1445705</v>
      </c>
      <c r="F27" s="20" t="n">
        <v>1.78819428</v>
      </c>
      <c r="G27" s="18" t="n">
        <v>30.56112926</v>
      </c>
      <c r="H27" s="20" t="n">
        <v>1.91824999</v>
      </c>
      <c r="I27" s="18" t="n">
        <v>0</v>
      </c>
      <c r="J27" s="20" t="n">
        <v>0</v>
      </c>
      <c r="K27" s="18" t="n">
        <v>0.71020193</v>
      </c>
      <c r="L27" s="20" t="n">
        <v>0.35196384</v>
      </c>
      <c r="M27" s="18" t="n">
        <v>0</v>
      </c>
      <c r="N27" s="20" t="n">
        <v>0</v>
      </c>
      <c r="O27" s="18" t="n">
        <v>0</v>
      </c>
      <c r="P27" s="20" t="n">
        <v>0</v>
      </c>
      <c r="Q27" s="18" t="n">
        <v>1.58409831</v>
      </c>
      <c r="R27" s="20" t="n">
        <v>0.51291073</v>
      </c>
    </row>
    <row r="28" spans="1:18">
      <c r="A28" s="15" t="s">
        <v>586</v>
      </c>
      <c r="B28" s="17" t="n">
        <v>3803</v>
      </c>
      <c r="C28" s="18">
        <f>(3034.0/B28*100)</f>
        <v/>
      </c>
      <c r="D28" s="19" t="n">
        <v>769</v>
      </c>
      <c r="E28" s="18" t="n">
        <v>83.30961818999999</v>
      </c>
      <c r="F28" s="20" t="n">
        <v>1.52680408</v>
      </c>
      <c r="G28" s="18" t="n">
        <v>15.22723164</v>
      </c>
      <c r="H28" s="20" t="n">
        <v>1.46067811</v>
      </c>
      <c r="I28" s="18" t="n">
        <v>0</v>
      </c>
      <c r="J28" s="20" t="n">
        <v>0</v>
      </c>
      <c r="K28" s="18" t="n">
        <v>1.03401324</v>
      </c>
      <c r="L28" s="20" t="n">
        <v>0.54641501</v>
      </c>
      <c r="M28" s="18" t="n">
        <v>0</v>
      </c>
      <c r="N28" s="20" t="n">
        <v>0</v>
      </c>
      <c r="O28" s="18" t="n">
        <v>0</v>
      </c>
      <c r="P28" s="20" t="n">
        <v>0</v>
      </c>
      <c r="Q28" s="18" t="n">
        <v>0.42913692</v>
      </c>
      <c r="R28" s="20" t="n">
        <v>0.17226235</v>
      </c>
    </row>
    <row r="29" spans="1:18">
      <c r="A29" s="15" t="s">
        <v>587</v>
      </c>
      <c r="B29" s="17" t="n">
        <v>2700</v>
      </c>
      <c r="C29" s="18">
        <f>(2100.0/B29*100)</f>
        <v/>
      </c>
      <c r="D29" s="19" t="n">
        <v>600</v>
      </c>
      <c r="E29" s="18" t="n">
        <v>49.72401874</v>
      </c>
      <c r="F29" s="20" t="n">
        <v>1.84662216</v>
      </c>
      <c r="G29" s="18" t="n">
        <v>48.91633077</v>
      </c>
      <c r="H29" s="20" t="n">
        <v>1.84269327</v>
      </c>
      <c r="I29" s="18" t="n">
        <v>0</v>
      </c>
      <c r="J29" s="20" t="n">
        <v>0</v>
      </c>
      <c r="K29" s="18" t="n">
        <v>0.43578436</v>
      </c>
      <c r="L29" s="20" t="n">
        <v>0.29638517</v>
      </c>
      <c r="M29" s="18" t="n">
        <v>0</v>
      </c>
      <c r="N29" s="20" t="n">
        <v>0</v>
      </c>
      <c r="O29" s="18" t="n">
        <v>0</v>
      </c>
      <c r="P29" s="20" t="n">
        <v>0</v>
      </c>
      <c r="Q29" s="18" t="n">
        <v>0.92386613</v>
      </c>
      <c r="R29" s="20" t="n">
        <v>0.4474562</v>
      </c>
    </row>
    <row r="30" spans="1:18">
      <c r="A30" s="15" t="s">
        <v>588</v>
      </c>
      <c r="B30" s="17" t="n">
        <v>2257</v>
      </c>
      <c r="C30" s="18">
        <f>(1751.0/B30*100)</f>
        <v/>
      </c>
      <c r="D30" s="19" t="n">
        <v>506</v>
      </c>
      <c r="E30" s="18" t="n">
        <v>64.47373171</v>
      </c>
      <c r="F30" s="20" t="n">
        <v>2.23399542</v>
      </c>
      <c r="G30" s="18" t="n">
        <v>34.57042906</v>
      </c>
      <c r="H30" s="20" t="n">
        <v>2.22517709</v>
      </c>
      <c r="I30" s="18" t="n">
        <v>0</v>
      </c>
      <c r="J30" s="20" t="n">
        <v>0</v>
      </c>
      <c r="K30" s="18" t="n">
        <v>0</v>
      </c>
      <c r="L30" s="20" t="n">
        <v>0</v>
      </c>
      <c r="M30" s="18" t="n">
        <v>0</v>
      </c>
      <c r="N30" s="20" t="n">
        <v>0</v>
      </c>
      <c r="O30" s="18" t="n">
        <v>0</v>
      </c>
      <c r="P30" s="20" t="n">
        <v>0</v>
      </c>
      <c r="Q30" s="18" t="n">
        <v>0.95583922</v>
      </c>
      <c r="R30" s="20" t="n">
        <v>0.2988179</v>
      </c>
    </row>
    <row r="31" spans="1:18">
      <c r="A31" s="15" t="s">
        <v>589</v>
      </c>
      <c r="B31" s="17" t="n">
        <v>2706</v>
      </c>
      <c r="C31" s="18">
        <f>(2096.0/B31*100)</f>
        <v/>
      </c>
      <c r="D31" s="19" t="n">
        <v>610</v>
      </c>
      <c r="E31" s="18" t="n">
        <v>53.50619498</v>
      </c>
      <c r="F31" s="20" t="n">
        <v>2.0191258</v>
      </c>
      <c r="G31" s="18" t="n">
        <v>45.53943922</v>
      </c>
      <c r="H31" s="20" t="n">
        <v>2.06089458</v>
      </c>
      <c r="I31" s="18" t="n">
        <v>0</v>
      </c>
      <c r="J31" s="20" t="n">
        <v>0</v>
      </c>
      <c r="K31" s="18" t="n">
        <v>0.62109483</v>
      </c>
      <c r="L31" s="20" t="n">
        <v>0.30122159</v>
      </c>
      <c r="M31" s="18" t="n">
        <v>0</v>
      </c>
      <c r="N31" s="20" t="n">
        <v>0</v>
      </c>
      <c r="O31" s="18" t="n">
        <v>0</v>
      </c>
      <c r="P31" s="20" t="n">
        <v>0</v>
      </c>
      <c r="Q31" s="18" t="n">
        <v>0.33327097</v>
      </c>
      <c r="R31" s="20" t="n">
        <v>0.22782706</v>
      </c>
    </row>
    <row r="32" spans="1:18">
      <c r="A32" s="15" t="s">
        <v>590</v>
      </c>
      <c r="B32" s="17" t="n">
        <v>2209</v>
      </c>
      <c r="C32" s="18">
        <f>(1751.0/B32*100)</f>
        <v/>
      </c>
      <c r="D32" s="19" t="n">
        <v>458</v>
      </c>
      <c r="E32" s="18" t="n">
        <v>67.22630468</v>
      </c>
      <c r="F32" s="20" t="n">
        <v>2.0923443</v>
      </c>
      <c r="G32" s="18" t="n">
        <v>32.57812168</v>
      </c>
      <c r="H32" s="20" t="n">
        <v>2.11820746</v>
      </c>
      <c r="I32" s="18" t="n">
        <v>0</v>
      </c>
      <c r="J32" s="20" t="n">
        <v>0</v>
      </c>
      <c r="K32" s="18" t="n">
        <v>0</v>
      </c>
      <c r="L32" s="20" t="n">
        <v>0</v>
      </c>
      <c r="M32" s="18" t="n">
        <v>0</v>
      </c>
      <c r="N32" s="20" t="n">
        <v>0</v>
      </c>
      <c r="O32" s="18" t="n">
        <v>0</v>
      </c>
      <c r="P32" s="20" t="n">
        <v>0</v>
      </c>
      <c r="Q32" s="18" t="n">
        <v>0.19557365</v>
      </c>
      <c r="R32" s="20" t="n">
        <v>0.18465966</v>
      </c>
    </row>
    <row r="33" spans="1:18">
      <c r="A33" s="15" t="s">
        <v>591</v>
      </c>
      <c r="B33" s="17" t="n">
        <v>3651</v>
      </c>
      <c r="C33" s="18">
        <f>(2938.0/B33*100)</f>
        <v/>
      </c>
      <c r="D33" s="19" t="n">
        <v>713</v>
      </c>
      <c r="E33" s="18" t="n">
        <v>63.06487663</v>
      </c>
      <c r="F33" s="20" t="n">
        <v>2.16494364</v>
      </c>
      <c r="G33" s="18" t="n">
        <v>34.7104028</v>
      </c>
      <c r="H33" s="20" t="n">
        <v>2.08491969</v>
      </c>
      <c r="I33" s="18" t="n">
        <v>0</v>
      </c>
      <c r="J33" s="20" t="n">
        <v>0</v>
      </c>
      <c r="K33" s="18" t="n">
        <v>0.43507859</v>
      </c>
      <c r="L33" s="20" t="n">
        <v>0.27341407</v>
      </c>
      <c r="M33" s="18" t="n">
        <v>0</v>
      </c>
      <c r="N33" s="20" t="n">
        <v>0</v>
      </c>
      <c r="O33" s="18" t="n">
        <v>0</v>
      </c>
      <c r="P33" s="20" t="n">
        <v>0</v>
      </c>
      <c r="Q33" s="18" t="n">
        <v>1.78964198</v>
      </c>
      <c r="R33" s="20" t="n">
        <v>0.5767057</v>
      </c>
    </row>
    <row r="34" spans="1:18">
      <c r="A34" s="15" t="s">
        <v>592</v>
      </c>
      <c r="B34" s="17" t="n">
        <v>3035</v>
      </c>
      <c r="C34" s="18">
        <f>(2378.0/B34*100)</f>
        <v/>
      </c>
      <c r="D34" s="19" t="n">
        <v>657</v>
      </c>
      <c r="E34" s="18" t="n">
        <v>65.93118158</v>
      </c>
      <c r="F34" s="20" t="n">
        <v>1.92619267</v>
      </c>
      <c r="G34" s="18" t="n">
        <v>32.47016011</v>
      </c>
      <c r="H34" s="20" t="n">
        <v>2.0521809</v>
      </c>
      <c r="I34" s="18" t="n">
        <v>0</v>
      </c>
      <c r="J34" s="20" t="n">
        <v>0</v>
      </c>
      <c r="K34" s="18" t="n">
        <v>0.7075196</v>
      </c>
      <c r="L34" s="20" t="n">
        <v>0.29693618</v>
      </c>
      <c r="M34" s="18" t="n">
        <v>0</v>
      </c>
      <c r="N34" s="20" t="n">
        <v>0</v>
      </c>
      <c r="O34" s="18" t="n">
        <v>0</v>
      </c>
      <c r="P34" s="20" t="n">
        <v>0</v>
      </c>
      <c r="Q34" s="18" t="n">
        <v>0.89113871</v>
      </c>
      <c r="R34" s="20" t="n">
        <v>0.43922488</v>
      </c>
    </row>
    <row r="35" spans="1:18">
      <c r="A35" s="15" t="s">
        <v>593</v>
      </c>
      <c r="B35" s="17" t="n">
        <v>2901</v>
      </c>
      <c r="C35" s="18">
        <f>(2268.0/B35*100)</f>
        <v/>
      </c>
      <c r="D35" s="19" t="n">
        <v>633</v>
      </c>
      <c r="E35" s="18" t="n">
        <v>51.12546446</v>
      </c>
      <c r="F35" s="20" t="n">
        <v>2.8260995</v>
      </c>
      <c r="G35" s="18" t="n">
        <v>48.74991889</v>
      </c>
      <c r="H35" s="20" t="n">
        <v>2.82525333</v>
      </c>
      <c r="I35" s="18" t="n">
        <v>0</v>
      </c>
      <c r="J35" s="20" t="n">
        <v>0</v>
      </c>
      <c r="K35" s="18" t="n">
        <v>0.06972080999999999</v>
      </c>
      <c r="L35" s="20" t="n">
        <v>0.06809328000000001</v>
      </c>
      <c r="M35" s="18" t="n">
        <v>0</v>
      </c>
      <c r="N35" s="20" t="n">
        <v>0</v>
      </c>
      <c r="O35" s="18" t="n">
        <v>0</v>
      </c>
      <c r="P35" s="20" t="n">
        <v>0</v>
      </c>
      <c r="Q35" s="18" t="n">
        <v>0.05489584</v>
      </c>
      <c r="R35" s="20" t="n">
        <v>0.05489968</v>
      </c>
    </row>
    <row r="36" spans="1:18">
      <c r="A36" s="15" t="s">
        <v>594</v>
      </c>
      <c r="B36" s="17" t="n">
        <v>3404</v>
      </c>
      <c r="C36" s="18">
        <f>(2675.0/B36*100)</f>
        <v/>
      </c>
      <c r="D36" s="19" t="n">
        <v>729</v>
      </c>
      <c r="E36" s="18" t="n">
        <v>68.18119815999999</v>
      </c>
      <c r="F36" s="20" t="n">
        <v>2.05908845</v>
      </c>
      <c r="G36" s="18" t="n">
        <v>31.16180535</v>
      </c>
      <c r="H36" s="20" t="n">
        <v>2.03017142</v>
      </c>
      <c r="I36" s="18" t="n">
        <v>0</v>
      </c>
      <c r="J36" s="20" t="n">
        <v>0</v>
      </c>
      <c r="K36" s="18" t="n">
        <v>0</v>
      </c>
      <c r="L36" s="20" t="n">
        <v>0</v>
      </c>
      <c r="M36" s="18" t="n">
        <v>0</v>
      </c>
      <c r="N36" s="20" t="n">
        <v>0</v>
      </c>
      <c r="O36" s="18" t="n">
        <v>0</v>
      </c>
      <c r="P36" s="20" t="n">
        <v>0</v>
      </c>
      <c r="Q36" s="18" t="n">
        <v>0.65699649</v>
      </c>
      <c r="R36" s="20" t="n">
        <v>0.2796266</v>
      </c>
    </row>
    <row r="37" spans="1:18">
      <c r="A37" s="15" t="s">
        <v>595</v>
      </c>
      <c r="B37" s="17" t="n">
        <v>2731</v>
      </c>
      <c r="C37" s="18">
        <f>(2170.0/B37*100)</f>
        <v/>
      </c>
      <c r="D37" s="19" t="n">
        <v>561</v>
      </c>
      <c r="E37" s="18" t="n">
        <v>63.57888094</v>
      </c>
      <c r="F37" s="20" t="n">
        <v>2.26523236</v>
      </c>
      <c r="G37" s="18" t="n">
        <v>32.36907901</v>
      </c>
      <c r="H37" s="20" t="n">
        <v>2.24884224</v>
      </c>
      <c r="I37" s="18" t="n">
        <v>0</v>
      </c>
      <c r="J37" s="20" t="n">
        <v>0</v>
      </c>
      <c r="K37" s="18" t="n">
        <v>1.41642293</v>
      </c>
      <c r="L37" s="20" t="n">
        <v>0.63983313</v>
      </c>
      <c r="M37" s="18" t="n">
        <v>0</v>
      </c>
      <c r="N37" s="20" t="n">
        <v>0</v>
      </c>
      <c r="O37" s="18" t="n">
        <v>0</v>
      </c>
      <c r="P37" s="20" t="n">
        <v>0</v>
      </c>
      <c r="Q37" s="18" t="n">
        <v>2.63561711</v>
      </c>
      <c r="R37" s="20" t="n">
        <v>0.71200104</v>
      </c>
    </row>
    <row r="38" spans="1:18">
      <c r="A38" s="15" t="s">
        <v>596</v>
      </c>
      <c r="B38" s="17" t="n">
        <v>2807</v>
      </c>
      <c r="C38" s="18">
        <f>(2243.0/B38*100)</f>
        <v/>
      </c>
      <c r="D38" s="19" t="n">
        <v>564</v>
      </c>
      <c r="E38" s="18" t="n">
        <v>59.87134851</v>
      </c>
      <c r="F38" s="20" t="n">
        <v>2.22158607</v>
      </c>
      <c r="G38" s="18" t="n">
        <v>38.15051905</v>
      </c>
      <c r="H38" s="20" t="n">
        <v>2.26016172</v>
      </c>
      <c r="I38" s="18" t="n">
        <v>0</v>
      </c>
      <c r="J38" s="20" t="n">
        <v>0</v>
      </c>
      <c r="K38" s="18" t="n">
        <v>0</v>
      </c>
      <c r="L38" s="20" t="n">
        <v>0</v>
      </c>
      <c r="M38" s="18" t="n">
        <v>0</v>
      </c>
      <c r="N38" s="20" t="n">
        <v>0</v>
      </c>
      <c r="O38" s="18" t="n">
        <v>0</v>
      </c>
      <c r="P38" s="20" t="n">
        <v>0</v>
      </c>
      <c r="Q38" s="18" t="n">
        <v>1.97813244</v>
      </c>
      <c r="R38" s="20" t="n">
        <v>0.61448538</v>
      </c>
    </row>
    <row r="39" spans="1:18">
      <c r="A39" s="15" t="s">
        <v>597</v>
      </c>
      <c r="B39" s="17" t="n">
        <v>2938</v>
      </c>
      <c r="C39" s="18">
        <f>(2270.0/B39*100)</f>
        <v/>
      </c>
      <c r="D39" s="19" t="n">
        <v>668</v>
      </c>
      <c r="E39" s="18" t="n">
        <v>61.29190513</v>
      </c>
      <c r="F39" s="20" t="n">
        <v>1.64083835</v>
      </c>
      <c r="G39" s="18" t="n">
        <v>37.71672853</v>
      </c>
      <c r="H39" s="20" t="n">
        <v>1.67014675</v>
      </c>
      <c r="I39" s="18" t="n">
        <v>0</v>
      </c>
      <c r="J39" s="20" t="n">
        <v>0</v>
      </c>
      <c r="K39" s="18" t="n">
        <v>0.38107753</v>
      </c>
      <c r="L39" s="20" t="n">
        <v>0.22438124</v>
      </c>
      <c r="M39" s="18" t="n">
        <v>0</v>
      </c>
      <c r="N39" s="20" t="n">
        <v>0</v>
      </c>
      <c r="O39" s="18" t="n">
        <v>0</v>
      </c>
      <c r="P39" s="20" t="n">
        <v>0</v>
      </c>
      <c r="Q39" s="18" t="n">
        <v>0.61028881</v>
      </c>
      <c r="R39" s="20" t="n">
        <v>0.27892767</v>
      </c>
    </row>
    <row r="40" spans="1:18">
      <c r="A40" s="15" t="s">
        <v>598</v>
      </c>
      <c r="B40" s="17" t="n">
        <v>6922</v>
      </c>
      <c r="C40" s="18">
        <f>(5387.0/B40*100)</f>
        <v/>
      </c>
      <c r="D40" s="19" t="n">
        <v>1535</v>
      </c>
      <c r="E40" s="18" t="n">
        <v>59.71683861</v>
      </c>
      <c r="F40" s="20" t="n">
        <v>2.07272161</v>
      </c>
      <c r="G40" s="18" t="n">
        <v>38.9320671</v>
      </c>
      <c r="H40" s="20" t="n">
        <v>2.16813737</v>
      </c>
      <c r="I40" s="18" t="n">
        <v>0</v>
      </c>
      <c r="J40" s="20" t="n">
        <v>0</v>
      </c>
      <c r="K40" s="18" t="n">
        <v>0.47510007</v>
      </c>
      <c r="L40" s="20" t="n">
        <v>0.27011656</v>
      </c>
      <c r="M40" s="18" t="n">
        <v>0</v>
      </c>
      <c r="N40" s="20" t="n">
        <v>0</v>
      </c>
      <c r="O40" s="18" t="n">
        <v>0</v>
      </c>
      <c r="P40" s="20" t="n">
        <v>0</v>
      </c>
      <c r="Q40" s="18" t="n">
        <v>0.87599421</v>
      </c>
      <c r="R40" s="20" t="n">
        <v>0.33419767</v>
      </c>
    </row>
    <row r="41" spans="1:18">
      <c r="A41" s="15" t="s">
        <v>599</v>
      </c>
      <c r="B41" s="17" t="n">
        <v>2854</v>
      </c>
      <c r="C41" s="18">
        <f>(2232.0/B41*100)</f>
        <v/>
      </c>
      <c r="D41" s="19" t="n">
        <v>622</v>
      </c>
      <c r="E41" s="18" t="n">
        <v>71.54580371999999</v>
      </c>
      <c r="F41" s="20" t="n">
        <v>1.96434814</v>
      </c>
      <c r="G41" s="18" t="n">
        <v>27.9573229</v>
      </c>
      <c r="H41" s="20" t="n">
        <v>1.98135344</v>
      </c>
      <c r="I41" s="18" t="n">
        <v>0</v>
      </c>
      <c r="J41" s="20" t="n">
        <v>0</v>
      </c>
      <c r="K41" s="18" t="n">
        <v>0</v>
      </c>
      <c r="L41" s="20" t="n">
        <v>0</v>
      </c>
      <c r="M41" s="18" t="n">
        <v>0</v>
      </c>
      <c r="N41" s="20" t="n">
        <v>0</v>
      </c>
      <c r="O41" s="18" t="n">
        <v>0</v>
      </c>
      <c r="P41" s="20" t="n">
        <v>0</v>
      </c>
      <c r="Q41" s="18" t="n">
        <v>0.49687337</v>
      </c>
      <c r="R41" s="20" t="n">
        <v>0.24834761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(10158.0/B46*100)</f>
        <v/>
      </c>
      <c r="D46" s="19" t="n">
        <v>1915</v>
      </c>
      <c r="E46" s="18" t="n">
        <v>78.30456263000001</v>
      </c>
      <c r="F46" s="20" t="n">
        <v>1.37221108</v>
      </c>
      <c r="G46" s="18" t="n">
        <v>16.19423548</v>
      </c>
      <c r="H46" s="20" t="n">
        <v>1.2890989</v>
      </c>
      <c r="I46" s="18" t="n">
        <v>0</v>
      </c>
      <c r="J46" s="20" t="n">
        <v>0</v>
      </c>
      <c r="K46" s="18" t="n">
        <v>2.20332435</v>
      </c>
      <c r="L46" s="20" t="n">
        <v>0.50957992</v>
      </c>
      <c r="M46" s="18" t="n">
        <v>0</v>
      </c>
      <c r="N46" s="20" t="n">
        <v>0</v>
      </c>
      <c r="O46" s="18" t="n">
        <v>0</v>
      </c>
      <c r="P46" s="20" t="n">
        <v>0</v>
      </c>
      <c r="Q46" s="18" t="n">
        <v>3.29787754</v>
      </c>
      <c r="R46" s="20" t="n">
        <v>0.4237445</v>
      </c>
    </row>
    <row r="47" spans="1:18">
      <c r="A47" s="15" t="s">
        <v>606</v>
      </c>
      <c r="B47" s="17" t="n">
        <v>2823</v>
      </c>
      <c r="C47" s="18">
        <f>(2221.0/B47*100)</f>
        <v/>
      </c>
      <c r="D47" s="19" t="n">
        <v>602</v>
      </c>
      <c r="E47" s="18" t="n">
        <v>74.95700023000001</v>
      </c>
      <c r="F47" s="20" t="n">
        <v>1.61959331</v>
      </c>
      <c r="G47" s="18" t="n">
        <v>23.52077908</v>
      </c>
      <c r="H47" s="20" t="n">
        <v>1.66470057</v>
      </c>
      <c r="I47" s="18" t="n">
        <v>0</v>
      </c>
      <c r="J47" s="20" t="n">
        <v>0</v>
      </c>
      <c r="K47" s="18" t="n">
        <v>0.48778301</v>
      </c>
      <c r="L47" s="20" t="n">
        <v>0.27719776</v>
      </c>
      <c r="M47" s="18" t="n">
        <v>0</v>
      </c>
      <c r="N47" s="20" t="n">
        <v>0</v>
      </c>
      <c r="O47" s="18" t="n">
        <v>0</v>
      </c>
      <c r="P47" s="20" t="n">
        <v>0</v>
      </c>
      <c r="Q47" s="18" t="n">
        <v>1.03443768</v>
      </c>
      <c r="R47" s="20" t="n">
        <v>0.39919289</v>
      </c>
    </row>
    <row r="48" spans="1:18">
      <c r="A48" s="15" t="s">
        <v>607</v>
      </c>
      <c r="B48" s="17" t="n">
        <v>4682</v>
      </c>
      <c r="C48" s="18">
        <f>(3701.0/B48*100)</f>
        <v/>
      </c>
      <c r="D48" s="19" t="n">
        <v>981</v>
      </c>
      <c r="E48" s="18" t="n">
        <v>67.22646023</v>
      </c>
      <c r="F48" s="20" t="n">
        <v>1.54543636</v>
      </c>
      <c r="G48" s="18" t="n">
        <v>32.01677965</v>
      </c>
      <c r="H48" s="20" t="n">
        <v>1.55496907</v>
      </c>
      <c r="I48" s="18" t="n">
        <v>0</v>
      </c>
      <c r="J48" s="20" t="n">
        <v>0</v>
      </c>
      <c r="K48" s="18" t="n">
        <v>0.54839967</v>
      </c>
      <c r="L48" s="20" t="n">
        <v>0.3967617</v>
      </c>
      <c r="M48" s="18" t="n">
        <v>0</v>
      </c>
      <c r="N48" s="20" t="n">
        <v>0</v>
      </c>
      <c r="O48" s="18" t="n">
        <v>0</v>
      </c>
      <c r="P48" s="20" t="n">
        <v>0</v>
      </c>
      <c r="Q48" s="18" t="n">
        <v>0.20836045</v>
      </c>
      <c r="R48" s="20" t="n">
        <v>0.19184735</v>
      </c>
    </row>
    <row r="49" spans="1:18">
      <c r="A49" s="15" t="s">
        <v>608</v>
      </c>
      <c r="B49" s="17" t="n">
        <v>6158</v>
      </c>
      <c r="C49" s="18">
        <f>(4880.0/B49*100)</f>
        <v/>
      </c>
      <c r="D49" s="19" t="n">
        <v>1278</v>
      </c>
      <c r="E49" s="18" t="n">
        <v>78.10350098000001</v>
      </c>
      <c r="F49" s="20" t="n">
        <v>1.72191391</v>
      </c>
      <c r="G49" s="18" t="n">
        <v>18.88717968</v>
      </c>
      <c r="H49" s="20" t="n">
        <v>1.69565299</v>
      </c>
      <c r="I49" s="18" t="n">
        <v>0</v>
      </c>
      <c r="J49" s="20" t="n">
        <v>0</v>
      </c>
      <c r="K49" s="18" t="n">
        <v>2.21610108</v>
      </c>
      <c r="L49" s="20" t="n">
        <v>0.58730151</v>
      </c>
      <c r="M49" s="18" t="n">
        <v>0</v>
      </c>
      <c r="N49" s="20" t="n">
        <v>0</v>
      </c>
      <c r="O49" s="18" t="n">
        <v>0</v>
      </c>
      <c r="P49" s="20" t="n">
        <v>0</v>
      </c>
      <c r="Q49" s="18" t="n">
        <v>0.79321826</v>
      </c>
      <c r="R49" s="20" t="n">
        <v>0.29274337</v>
      </c>
    </row>
    <row r="50" spans="1:18">
      <c r="A50" s="15" t="s">
        <v>609</v>
      </c>
      <c r="B50" s="17" t="n">
        <v>3494</v>
      </c>
      <c r="C50" s="18">
        <f>(2868.0/B50*100)</f>
        <v/>
      </c>
      <c r="D50" s="19" t="n">
        <v>626</v>
      </c>
      <c r="E50" s="18" t="n">
        <v>78.35222257</v>
      </c>
      <c r="F50" s="20" t="n">
        <v>1.6519124</v>
      </c>
      <c r="G50" s="18" t="n">
        <v>18.2488633</v>
      </c>
      <c r="H50" s="20" t="n">
        <v>1.48755793</v>
      </c>
      <c r="I50" s="18" t="n">
        <v>0</v>
      </c>
      <c r="J50" s="20" t="n">
        <v>0</v>
      </c>
      <c r="K50" s="18" t="n">
        <v>0.88355056</v>
      </c>
      <c r="L50" s="20" t="n">
        <v>0.4488871</v>
      </c>
      <c r="M50" s="18" t="n">
        <v>0</v>
      </c>
      <c r="N50" s="20" t="n">
        <v>0</v>
      </c>
      <c r="O50" s="18" t="n">
        <v>0</v>
      </c>
      <c r="P50" s="20" t="n">
        <v>0</v>
      </c>
      <c r="Q50" s="18" t="n">
        <v>2.51536357</v>
      </c>
      <c r="R50" s="20" t="n">
        <v>0.72293003</v>
      </c>
    </row>
    <row r="51" spans="1:18">
      <c r="A51" s="15" t="s">
        <v>610</v>
      </c>
      <c r="B51" s="17" t="n">
        <v>3013</v>
      </c>
      <c r="C51" s="18">
        <f>(2370.0/B51*100)</f>
        <v/>
      </c>
      <c r="D51" s="19" t="n">
        <v>643</v>
      </c>
      <c r="E51" s="18" t="n">
        <v>69.98582175999999</v>
      </c>
      <c r="F51" s="20" t="n">
        <v>1.5252145</v>
      </c>
      <c r="G51" s="18" t="n">
        <v>29.01493336</v>
      </c>
      <c r="H51" s="20" t="n">
        <v>1.46691831</v>
      </c>
      <c r="I51" s="18" t="n">
        <v>0</v>
      </c>
      <c r="J51" s="20" t="n">
        <v>0</v>
      </c>
      <c r="K51" s="18" t="n">
        <v>0</v>
      </c>
      <c r="L51" s="20" t="n">
        <v>0</v>
      </c>
      <c r="M51" s="18" t="n">
        <v>0</v>
      </c>
      <c r="N51" s="20" t="n">
        <v>0</v>
      </c>
      <c r="O51" s="18" t="n">
        <v>0</v>
      </c>
      <c r="P51" s="20" t="n">
        <v>0</v>
      </c>
      <c r="Q51" s="18" t="n">
        <v>0.99924488</v>
      </c>
      <c r="R51" s="20" t="n">
        <v>0.40700314</v>
      </c>
    </row>
    <row r="52" spans="1:18">
      <c r="A52" s="15" t="s">
        <v>611</v>
      </c>
      <c r="B52" s="17" t="n">
        <v>2760</v>
      </c>
      <c r="C52" s="18">
        <f>(2193.0/B52*100)</f>
        <v/>
      </c>
      <c r="D52" s="19" t="n">
        <v>567</v>
      </c>
      <c r="E52" s="18" t="n">
        <v>75.05195232</v>
      </c>
      <c r="F52" s="20" t="n">
        <v>2.0213613</v>
      </c>
      <c r="G52" s="18" t="n">
        <v>22.48378195</v>
      </c>
      <c r="H52" s="20" t="n">
        <v>1.92035444</v>
      </c>
      <c r="I52" s="18" t="n">
        <v>0</v>
      </c>
      <c r="J52" s="20" t="n">
        <v>0</v>
      </c>
      <c r="K52" s="18" t="n">
        <v>0.34467803</v>
      </c>
      <c r="L52" s="20" t="n">
        <v>0.25002906</v>
      </c>
      <c r="M52" s="18" t="n">
        <v>0</v>
      </c>
      <c r="N52" s="20" t="n">
        <v>0</v>
      </c>
      <c r="O52" s="18" t="n">
        <v>0</v>
      </c>
      <c r="P52" s="20" t="n">
        <v>0</v>
      </c>
      <c r="Q52" s="18" t="n">
        <v>2.11958769</v>
      </c>
      <c r="R52" s="20" t="n">
        <v>0.63122051</v>
      </c>
    </row>
    <row r="53" spans="1:18">
      <c r="A53" s="15" t="s">
        <v>612</v>
      </c>
      <c r="B53" s="17" t="n">
        <v>2474</v>
      </c>
      <c r="C53" s="18">
        <f>(1895.0/B53*100)</f>
        <v/>
      </c>
      <c r="D53" s="19" t="n">
        <v>579</v>
      </c>
      <c r="E53" s="18" t="n">
        <v>67.13816430999999</v>
      </c>
      <c r="F53" s="20" t="n">
        <v>2.40363898</v>
      </c>
      <c r="G53" s="18" t="n">
        <v>5.95053409</v>
      </c>
      <c r="H53" s="20" t="n">
        <v>1.04162489</v>
      </c>
      <c r="I53" s="18" t="n">
        <v>0</v>
      </c>
      <c r="J53" s="20" t="n">
        <v>0</v>
      </c>
      <c r="K53" s="18" t="n">
        <v>24.78089434</v>
      </c>
      <c r="L53" s="20" t="n">
        <v>2.16839292</v>
      </c>
      <c r="M53" s="18" t="n">
        <v>0</v>
      </c>
      <c r="N53" s="20" t="n">
        <v>0</v>
      </c>
      <c r="O53" s="18" t="n">
        <v>0</v>
      </c>
      <c r="P53" s="20" t="n">
        <v>0</v>
      </c>
      <c r="Q53" s="18" t="n">
        <v>2.13040726</v>
      </c>
      <c r="R53" s="20" t="n">
        <v>0.87422168</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(2076.0/B55*100)</f>
        <v/>
      </c>
      <c r="D55" s="19" t="n">
        <v>599</v>
      </c>
      <c r="E55" s="18" t="n">
        <v>60.72386808</v>
      </c>
      <c r="F55" s="20" t="n">
        <v>2.15185461</v>
      </c>
      <c r="G55" s="18" t="n">
        <v>39.1229976</v>
      </c>
      <c r="H55" s="20" t="n">
        <v>2.14357027</v>
      </c>
      <c r="I55" s="18" t="n">
        <v>0</v>
      </c>
      <c r="J55" s="20" t="n">
        <v>0</v>
      </c>
      <c r="K55" s="18" t="n">
        <v>0.15313432</v>
      </c>
      <c r="L55" s="20" t="n">
        <v>0.17136149</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(2527.0/B61*100)</f>
        <v/>
      </c>
      <c r="D61" s="19" t="n">
        <v>674</v>
      </c>
      <c r="E61" s="18" t="n">
        <v>67.53636391000001</v>
      </c>
      <c r="F61" s="20" t="n">
        <v>1.93308473</v>
      </c>
      <c r="G61" s="18" t="n">
        <v>31.73190278</v>
      </c>
      <c r="H61" s="20" t="n">
        <v>1.99147194</v>
      </c>
      <c r="I61" s="18" t="n">
        <v>0</v>
      </c>
      <c r="J61" s="20" t="n">
        <v>0</v>
      </c>
      <c r="K61" s="18" t="n">
        <v>0.44958317</v>
      </c>
      <c r="L61" s="20" t="n">
        <v>0.26587507</v>
      </c>
      <c r="M61" s="18" t="n">
        <v>0</v>
      </c>
      <c r="N61" s="20" t="n">
        <v>0</v>
      </c>
      <c r="O61" s="18" t="n">
        <v>0</v>
      </c>
      <c r="P61" s="20" t="n">
        <v>0</v>
      </c>
      <c r="Q61" s="18" t="n">
        <v>0.28215014</v>
      </c>
      <c r="R61" s="20" t="n">
        <v>0.23867233</v>
      </c>
    </row>
    <row r="62" spans="1:18">
      <c r="A62" s="15" t="s">
        <v>622</v>
      </c>
      <c r="B62" s="17" t="n">
        <v>2230</v>
      </c>
      <c r="C62" s="18">
        <f>(1757.0/B62*100)</f>
        <v/>
      </c>
      <c r="D62" s="19" t="n">
        <v>473</v>
      </c>
      <c r="E62" s="18" t="n">
        <v>56.47325536</v>
      </c>
      <c r="F62" s="20" t="n">
        <v>2.41590961</v>
      </c>
      <c r="G62" s="18" t="n">
        <v>43.52674464</v>
      </c>
      <c r="H62" s="20" t="n">
        <v>2.41590961</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(2194.0/B67*100)</f>
        <v/>
      </c>
      <c r="D67" s="19" t="n">
        <v>577</v>
      </c>
      <c r="E67" s="18" t="n">
        <v>78.30996837000001</v>
      </c>
      <c r="F67" s="20" t="n">
        <v>1.74113454</v>
      </c>
      <c r="G67" s="18" t="n">
        <v>15.07527632</v>
      </c>
      <c r="H67" s="20" t="n">
        <v>1.47053123</v>
      </c>
      <c r="I67" s="18" t="n">
        <v>0</v>
      </c>
      <c r="J67" s="20" t="n">
        <v>0</v>
      </c>
      <c r="K67" s="18" t="n">
        <v>1.08094731</v>
      </c>
      <c r="L67" s="20" t="n">
        <v>0.41309656</v>
      </c>
      <c r="M67" s="18" t="n">
        <v>0</v>
      </c>
      <c r="N67" s="20" t="n">
        <v>0</v>
      </c>
      <c r="O67" s="18" t="n">
        <v>0</v>
      </c>
      <c r="P67" s="20" t="n">
        <v>0</v>
      </c>
      <c r="Q67" s="18" t="n">
        <v>5.533808</v>
      </c>
      <c r="R67" s="20" t="n">
        <v>1.06747294</v>
      </c>
    </row>
    <row r="68" spans="1:18">
      <c r="A68" s="15" t="s">
        <v>628</v>
      </c>
      <c r="B68" s="17" t="n">
        <v>3460</v>
      </c>
      <c r="C68" s="18">
        <f>(2840.0/B68*100)</f>
        <v/>
      </c>
      <c r="D68" s="19" t="n">
        <v>620</v>
      </c>
      <c r="E68" s="18" t="n">
        <v>79.3258811</v>
      </c>
      <c r="F68" s="20" t="n">
        <v>1.70479794</v>
      </c>
      <c r="G68" s="18" t="n">
        <v>19.43377496</v>
      </c>
      <c r="H68" s="20" t="n">
        <v>1.66774249</v>
      </c>
      <c r="I68" s="18" t="n">
        <v>0</v>
      </c>
      <c r="J68" s="20" t="n">
        <v>0</v>
      </c>
      <c r="K68" s="18" t="n">
        <v>0.16732831</v>
      </c>
      <c r="L68" s="20" t="n">
        <v>0.16789398</v>
      </c>
      <c r="M68" s="18" t="n">
        <v>0</v>
      </c>
      <c r="N68" s="20" t="n">
        <v>0</v>
      </c>
      <c r="O68" s="18" t="n">
        <v>0</v>
      </c>
      <c r="P68" s="20" t="n">
        <v>0</v>
      </c>
      <c r="Q68" s="18" t="n">
        <v>1.07301563</v>
      </c>
      <c r="R68" s="20" t="n">
        <v>0.4566407</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75.48488546</v>
      </c>
      <c r="F70" s="20" t="n">
        <v>1.15512351</v>
      </c>
      <c r="G70" s="18" t="n">
        <v>19.9696094</v>
      </c>
      <c r="H70" s="20" t="n">
        <v>1.05651154</v>
      </c>
      <c r="I70" s="18" t="n">
        <v>0</v>
      </c>
      <c r="J70" s="20" t="n">
        <v>0</v>
      </c>
      <c r="K70" s="18" t="n">
        <v>2.87620657</v>
      </c>
      <c r="L70" s="20" t="n">
        <v>0.44964059</v>
      </c>
      <c r="M70" s="18" t="n">
        <v>0</v>
      </c>
      <c r="N70" s="20" t="n">
        <v>0</v>
      </c>
      <c r="O70" s="18" t="n">
        <v>0</v>
      </c>
      <c r="P70" s="20" t="n">
        <v>0</v>
      </c>
      <c r="Q70" s="18" t="n">
        <v>1.66929857</v>
      </c>
      <c r="R70" s="20" t="n">
        <v>0.31938968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(2489.0/B72*100)</f>
        <v/>
      </c>
      <c r="D72" s="19" t="n">
        <v>618</v>
      </c>
      <c r="E72" s="18" t="n">
        <v>67.7687973</v>
      </c>
      <c r="F72" s="20" t="n">
        <v>3.00222577</v>
      </c>
      <c r="G72" s="18" t="n">
        <v>30.57461905</v>
      </c>
      <c r="H72" s="20" t="n">
        <v>2.87042916</v>
      </c>
      <c r="I72" s="18" t="n">
        <v>0</v>
      </c>
      <c r="J72" s="20" t="n">
        <v>0</v>
      </c>
      <c r="K72" s="18" t="n">
        <v>0.2362484</v>
      </c>
      <c r="L72" s="20" t="n">
        <v>0.13214728</v>
      </c>
      <c r="M72" s="18" t="n">
        <v>0</v>
      </c>
      <c r="N72" s="20" t="n">
        <v>0</v>
      </c>
      <c r="O72" s="18" t="n">
        <v>0</v>
      </c>
      <c r="P72" s="20" t="n">
        <v>0</v>
      </c>
      <c r="Q72" s="18" t="n">
        <v>1.42033524</v>
      </c>
      <c r="R72" s="20" t="n">
        <v>0.41837699</v>
      </c>
    </row>
    <row r="73" spans="1:18">
      <c r="A73" s="15" t="s">
        <v>633</v>
      </c>
      <c r="B73" s="17" t="n">
        <v>2973</v>
      </c>
      <c r="C73" s="18">
        <f>(2277.0/B73*100)</f>
        <v/>
      </c>
      <c r="D73" s="19" t="n">
        <v>696</v>
      </c>
      <c r="E73" s="18" t="n">
        <v>47.10632202</v>
      </c>
      <c r="F73" s="20" t="n">
        <v>1.98798585</v>
      </c>
      <c r="G73" s="18" t="n">
        <v>52.40664164</v>
      </c>
      <c r="H73" s="20" t="n">
        <v>2.0173876</v>
      </c>
      <c r="I73" s="18" t="n">
        <v>0</v>
      </c>
      <c r="J73" s="20" t="n">
        <v>0</v>
      </c>
      <c r="K73" s="18" t="n">
        <v>0.09662981</v>
      </c>
      <c r="L73" s="20" t="n">
        <v>0.09669888</v>
      </c>
      <c r="M73" s="18" t="n">
        <v>0</v>
      </c>
      <c r="N73" s="20" t="n">
        <v>0</v>
      </c>
      <c r="O73" s="18" t="n">
        <v>0</v>
      </c>
      <c r="P73" s="20" t="n">
        <v>0</v>
      </c>
      <c r="Q73" s="18" t="n">
        <v>0.39040652</v>
      </c>
      <c r="R73" s="20" t="n">
        <v>0.23143886</v>
      </c>
    </row>
    <row r="74" spans="1:18">
      <c r="A74" s="15" t="s">
        <v>634</v>
      </c>
      <c r="B74" s="17" t="n">
        <v>3819</v>
      </c>
      <c r="C74" s="18">
        <f>(2943.0/B74*100)</f>
        <v/>
      </c>
      <c r="D74" s="19" t="n">
        <v>876</v>
      </c>
      <c r="E74" s="18" t="n">
        <v>52.66491601</v>
      </c>
      <c r="F74" s="20" t="n">
        <v>1.77924274</v>
      </c>
      <c r="G74" s="18" t="n">
        <v>46.95989289</v>
      </c>
      <c r="H74" s="20" t="n">
        <v>1.77002086</v>
      </c>
      <c r="I74" s="18" t="n">
        <v>0</v>
      </c>
      <c r="J74" s="20" t="n">
        <v>0</v>
      </c>
      <c r="K74" s="18" t="n">
        <v>0.13136437</v>
      </c>
      <c r="L74" s="20" t="n">
        <v>0.09485915</v>
      </c>
      <c r="M74" s="18" t="n">
        <v>0</v>
      </c>
      <c r="N74" s="20" t="n">
        <v>0</v>
      </c>
      <c r="O74" s="18" t="n">
        <v>0</v>
      </c>
      <c r="P74" s="20" t="n">
        <v>0</v>
      </c>
      <c r="Q74" s="18" t="n">
        <v>0.24382672</v>
      </c>
      <c r="R74" s="20" t="n">
        <v>0.17983564</v>
      </c>
    </row>
    <row r="75" spans="1:18">
      <c r="A75" s="15" t="s">
        <v>635</v>
      </c>
      <c r="B75" s="17" t="n">
        <v>4652</v>
      </c>
      <c r="C75" s="18">
        <f>(3720.0/B75*100)</f>
        <v/>
      </c>
      <c r="D75" s="19" t="n">
        <v>932</v>
      </c>
      <c r="E75" s="18" t="n">
        <v>84.76175272</v>
      </c>
      <c r="F75" s="20" t="n">
        <v>1.47303145</v>
      </c>
      <c r="G75" s="18" t="n">
        <v>14.72527927</v>
      </c>
      <c r="H75" s="20" t="n">
        <v>1.41471994</v>
      </c>
      <c r="I75" s="18" t="n">
        <v>0</v>
      </c>
      <c r="J75" s="20" t="n">
        <v>0</v>
      </c>
      <c r="K75" s="18" t="n">
        <v>0</v>
      </c>
      <c r="L75" s="20" t="n">
        <v>0</v>
      </c>
      <c r="M75" s="18" t="n">
        <v>0</v>
      </c>
      <c r="N75" s="20" t="n">
        <v>0</v>
      </c>
      <c r="O75" s="18" t="n">
        <v>0</v>
      </c>
      <c r="P75" s="20" t="n">
        <v>0</v>
      </c>
      <c r="Q75" s="18" t="n">
        <v>0.51296801</v>
      </c>
      <c r="R75" s="20" t="n">
        <v>0.28700422</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(2416.0/B77*100)</f>
        <v/>
      </c>
      <c r="D77" s="19" t="n">
        <v>553</v>
      </c>
      <c r="E77" s="18" t="n">
        <v>72.74652514</v>
      </c>
      <c r="F77" s="20" t="n">
        <v>2.23377554</v>
      </c>
      <c r="G77" s="18" t="n">
        <v>17.71956432</v>
      </c>
      <c r="H77" s="20" t="n">
        <v>1.88027014</v>
      </c>
      <c r="I77" s="18" t="n">
        <v>0</v>
      </c>
      <c r="J77" s="20" t="n">
        <v>0</v>
      </c>
      <c r="K77" s="18" t="n">
        <v>7.85700961</v>
      </c>
      <c r="L77" s="20" t="n">
        <v>1.52067832</v>
      </c>
      <c r="M77" s="18" t="n">
        <v>0</v>
      </c>
      <c r="N77" s="20" t="n">
        <v>0</v>
      </c>
      <c r="O77" s="18" t="n">
        <v>0</v>
      </c>
      <c r="P77" s="20" t="n">
        <v>0</v>
      </c>
      <c r="Q77" s="18" t="n">
        <v>1.67690093</v>
      </c>
      <c r="R77" s="20" t="n">
        <v>0.49913716</v>
      </c>
    </row>
    <row r="78" spans="1:18">
      <c r="A78" s="15" t="s">
        <v>638</v>
      </c>
      <c r="B78" s="17" t="n">
        <v>7115</v>
      </c>
      <c r="C78" s="18">
        <f>(5545.0/B78*100)</f>
        <v/>
      </c>
      <c r="D78" s="19" t="n">
        <v>1570</v>
      </c>
      <c r="E78" s="18" t="n">
        <v>72.10349701</v>
      </c>
      <c r="F78" s="20" t="n">
        <v>1.22401053</v>
      </c>
      <c r="G78" s="18" t="n">
        <v>25.72040173</v>
      </c>
      <c r="H78" s="20" t="n">
        <v>1.29977181</v>
      </c>
      <c r="I78" s="18" t="n">
        <v>0</v>
      </c>
      <c r="J78" s="20" t="n">
        <v>0</v>
      </c>
      <c r="K78" s="18" t="n">
        <v>0.99508093</v>
      </c>
      <c r="L78" s="20" t="n">
        <v>0.32605405</v>
      </c>
      <c r="M78" s="18" t="n">
        <v>0</v>
      </c>
      <c r="N78" s="20" t="n">
        <v>0</v>
      </c>
      <c r="O78" s="18" t="n">
        <v>0</v>
      </c>
      <c r="P78" s="20" t="n">
        <v>0</v>
      </c>
      <c r="Q78" s="18" t="n">
        <v>1.18102032</v>
      </c>
      <c r="R78" s="20" t="n">
        <v>0.33876708</v>
      </c>
    </row>
    <row r="79" spans="1:18">
      <c r="A79" s="15" t="s">
        <v>639</v>
      </c>
      <c r="B79" s="17" t="n">
        <v>3154</v>
      </c>
      <c r="C79" s="18">
        <f>(2536.0/B79*100)</f>
        <v/>
      </c>
      <c r="D79" s="19" t="n">
        <v>618</v>
      </c>
      <c r="E79" s="18" t="n">
        <v>79.33543662</v>
      </c>
      <c r="F79" s="20" t="n">
        <v>1.62548609</v>
      </c>
      <c r="G79" s="18" t="n">
        <v>16.1182195</v>
      </c>
      <c r="H79" s="20" t="n">
        <v>1.61947897</v>
      </c>
      <c r="I79" s="18" t="n">
        <v>0</v>
      </c>
      <c r="J79" s="20" t="n">
        <v>0</v>
      </c>
      <c r="K79" s="18" t="n">
        <v>1.72200358</v>
      </c>
      <c r="L79" s="20" t="n">
        <v>0.50670918</v>
      </c>
      <c r="M79" s="18" t="n">
        <v>0</v>
      </c>
      <c r="N79" s="20" t="n">
        <v>0</v>
      </c>
      <c r="O79" s="18" t="n">
        <v>0</v>
      </c>
      <c r="P79" s="20" t="n">
        <v>0</v>
      </c>
      <c r="Q79" s="18" t="n">
        <v>2.8243403</v>
      </c>
      <c r="R79" s="20" t="n">
        <v>0.89420979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(12522.0/B82*100)</f>
        <v/>
      </c>
      <c r="D82" s="19" t="n">
        <v>3439</v>
      </c>
      <c r="E82" s="18" t="n">
        <v>66.705466</v>
      </c>
      <c r="F82" s="20" t="n">
        <v>1.0574116</v>
      </c>
      <c r="G82" s="18" t="n">
        <v>32.1115089</v>
      </c>
      <c r="H82" s="20" t="n">
        <v>1.02622729</v>
      </c>
      <c r="I82" s="18" t="n">
        <v>0</v>
      </c>
      <c r="J82" s="20" t="n">
        <v>0</v>
      </c>
      <c r="K82" s="18" t="n">
        <v>0.29242005</v>
      </c>
      <c r="L82" s="20" t="n">
        <v>0.14073323</v>
      </c>
      <c r="M82" s="18" t="n">
        <v>0</v>
      </c>
      <c r="N82" s="20" t="n">
        <v>0</v>
      </c>
      <c r="O82" s="18" t="n">
        <v>0</v>
      </c>
      <c r="P82" s="20" t="n">
        <v>0</v>
      </c>
      <c r="Q82" s="18" t="n">
        <v>0.89060505</v>
      </c>
      <c r="R82" s="20" t="n">
        <v>0.20075832</v>
      </c>
    </row>
    <row r="83" spans="1:18">
      <c r="A83" s="15" t="s">
        <v>643</v>
      </c>
      <c r="B83" s="17" t="n">
        <v>808</v>
      </c>
      <c r="C83" s="18">
        <f>(650.0/B83*100)</f>
        <v/>
      </c>
      <c r="D83" s="19" t="n">
        <v>158</v>
      </c>
      <c r="E83" s="18" t="n">
        <v>61.52829487</v>
      </c>
      <c r="F83" s="20" t="n">
        <v>3.84991013</v>
      </c>
      <c r="G83" s="18" t="n">
        <v>37.97522465</v>
      </c>
      <c r="H83" s="20" t="n">
        <v>3.85098559</v>
      </c>
      <c r="I83" s="18" t="n">
        <v>0</v>
      </c>
      <c r="J83" s="20" t="n">
        <v>0</v>
      </c>
      <c r="K83" s="18" t="n">
        <v>0</v>
      </c>
      <c r="L83" s="20" t="n">
        <v>0</v>
      </c>
      <c r="M83" s="18" t="n">
        <v>0</v>
      </c>
      <c r="N83" s="20" t="n">
        <v>0</v>
      </c>
      <c r="O83" s="18" t="n">
        <v>0</v>
      </c>
      <c r="P83" s="20" t="n">
        <v>0</v>
      </c>
      <c r="Q83" s="18" t="n">
        <v>0.49648048</v>
      </c>
      <c r="R83" s="20" t="n">
        <v>0.49780579</v>
      </c>
    </row>
    <row r="84" spans="1:18">
      <c r="A84" s="23" t="s">
        <v>644</v>
      </c>
      <c r="B84" s="24" t="n">
        <v>938</v>
      </c>
      <c r="C84" s="25">
        <f>(715.0/B84*100)</f>
        <v/>
      </c>
      <c r="D84" s="19" t="n">
        <v>223</v>
      </c>
      <c r="E84" s="18" t="n">
        <v>66.69841255999999</v>
      </c>
      <c r="F84" s="20" t="n">
        <v>3.80268291</v>
      </c>
      <c r="G84" s="18" t="n">
        <v>33.30158744</v>
      </c>
      <c r="H84" s="20" t="n">
        <v>3.80268291</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(5636.0/B7*100)</f>
        <v/>
      </c>
      <c r="D7" s="19" t="n">
        <v>1527</v>
      </c>
      <c r="E7" s="18" t="n">
        <v>36.98132096</v>
      </c>
      <c r="F7" s="20" t="n">
        <v>1.59534843</v>
      </c>
      <c r="G7" s="18" t="n">
        <v>47.43919289</v>
      </c>
      <c r="H7" s="20" t="n">
        <v>1.59551075</v>
      </c>
      <c r="I7" s="18" t="n">
        <v>0</v>
      </c>
      <c r="J7" s="20" t="n">
        <v>0</v>
      </c>
      <c r="K7" s="18" t="n">
        <v>1.0235943</v>
      </c>
      <c r="L7" s="20" t="n">
        <v>0.28625746</v>
      </c>
      <c r="M7" s="18" t="n">
        <v>0.06500859</v>
      </c>
      <c r="N7" s="20" t="n">
        <v>0.04663876</v>
      </c>
      <c r="O7" s="18" t="n">
        <v>0</v>
      </c>
      <c r="P7" s="20" t="n">
        <v>0</v>
      </c>
      <c r="Q7" s="18" t="n">
        <v>14.49088327</v>
      </c>
      <c r="R7" s="20" t="n">
        <v>1.13129486</v>
      </c>
    </row>
    <row r="8" spans="1:18">
      <c r="A8" s="15" t="s">
        <v>566</v>
      </c>
      <c r="B8" s="17" t="n">
        <v>3443</v>
      </c>
      <c r="C8" s="18">
        <f>(2731.0/B8*100)</f>
        <v/>
      </c>
      <c r="D8" s="19" t="n">
        <v>712</v>
      </c>
      <c r="E8" s="18" t="n">
        <v>31.79011763</v>
      </c>
      <c r="F8" s="20" t="n">
        <v>1.86513584</v>
      </c>
      <c r="G8" s="18" t="n">
        <v>43.58424077</v>
      </c>
      <c r="H8" s="20" t="n">
        <v>1.96592946</v>
      </c>
      <c r="I8" s="18" t="n">
        <v>0</v>
      </c>
      <c r="J8" s="20" t="n">
        <v>0</v>
      </c>
      <c r="K8" s="18" t="n">
        <v>0.44111447</v>
      </c>
      <c r="L8" s="20" t="n">
        <v>0.2749141</v>
      </c>
      <c r="M8" s="18" t="n">
        <v>0</v>
      </c>
      <c r="N8" s="20" t="n">
        <v>0</v>
      </c>
      <c r="O8" s="18" t="n">
        <v>0</v>
      </c>
      <c r="P8" s="20" t="n">
        <v>0</v>
      </c>
      <c r="Q8" s="18" t="n">
        <v>24.18452713</v>
      </c>
      <c r="R8" s="20" t="n">
        <v>1.98684447</v>
      </c>
    </row>
    <row r="9" spans="1:18">
      <c r="A9" s="15" t="s">
        <v>567</v>
      </c>
      <c r="B9" s="17" t="n">
        <v>4752</v>
      </c>
      <c r="C9" s="18">
        <f>(3803.0/B9*100)</f>
        <v/>
      </c>
      <c r="D9" s="19" t="n">
        <v>949</v>
      </c>
      <c r="E9" s="18" t="n">
        <v>33.48644864</v>
      </c>
      <c r="F9" s="20" t="n">
        <v>1.63604013</v>
      </c>
      <c r="G9" s="18" t="n">
        <v>44.83359794</v>
      </c>
      <c r="H9" s="20" t="n">
        <v>1.74112859</v>
      </c>
      <c r="I9" s="18" t="n">
        <v>0</v>
      </c>
      <c r="J9" s="20" t="n">
        <v>0</v>
      </c>
      <c r="K9" s="18" t="n">
        <v>1.71410167</v>
      </c>
      <c r="L9" s="20" t="n">
        <v>0.49243616</v>
      </c>
      <c r="M9" s="18" t="n">
        <v>0.32212454</v>
      </c>
      <c r="N9" s="20" t="n">
        <v>0.17128101</v>
      </c>
      <c r="O9" s="18" t="n">
        <v>0</v>
      </c>
      <c r="P9" s="20" t="n">
        <v>0</v>
      </c>
      <c r="Q9" s="18" t="n">
        <v>19.64372721</v>
      </c>
      <c r="R9" s="20" t="n">
        <v>1.47693659</v>
      </c>
    </row>
    <row r="10" spans="1:18">
      <c r="A10" s="15" t="s">
        <v>568</v>
      </c>
      <c r="B10" s="17" t="n">
        <v>10022</v>
      </c>
      <c r="C10" s="18">
        <f>(7806.0/B10*100)</f>
        <v/>
      </c>
      <c r="D10" s="19" t="n">
        <v>2216</v>
      </c>
      <c r="E10" s="18" t="n">
        <v>29.02155885</v>
      </c>
      <c r="F10" s="20" t="n">
        <v>1.15638431</v>
      </c>
      <c r="G10" s="18" t="n">
        <v>61.21382712</v>
      </c>
      <c r="H10" s="20" t="n">
        <v>1.58047599</v>
      </c>
      <c r="I10" s="18" t="n">
        <v>0</v>
      </c>
      <c r="J10" s="20" t="n">
        <v>0</v>
      </c>
      <c r="K10" s="18" t="n">
        <v>1.19548115</v>
      </c>
      <c r="L10" s="20" t="n">
        <v>0.35507619</v>
      </c>
      <c r="M10" s="18" t="n">
        <v>0</v>
      </c>
      <c r="N10" s="20" t="n">
        <v>0</v>
      </c>
      <c r="O10" s="18" t="n">
        <v>0</v>
      </c>
      <c r="P10" s="20" t="n">
        <v>0</v>
      </c>
      <c r="Q10" s="18" t="n">
        <v>8.56913288</v>
      </c>
      <c r="R10" s="20" t="n">
        <v>0.8948852</v>
      </c>
    </row>
    <row r="11" spans="1:18">
      <c r="A11" s="15" t="s">
        <v>569</v>
      </c>
      <c r="B11" s="17" t="n">
        <v>3500</v>
      </c>
      <c r="C11" s="18">
        <f>(2744.0/B11*100)</f>
        <v/>
      </c>
      <c r="D11" s="19" t="n">
        <v>756</v>
      </c>
      <c r="E11" s="18" t="n">
        <v>52.08780461</v>
      </c>
      <c r="F11" s="20" t="n">
        <v>1.94763893</v>
      </c>
      <c r="G11" s="18" t="n">
        <v>18.12810044</v>
      </c>
      <c r="H11" s="20" t="n">
        <v>1.56785473</v>
      </c>
      <c r="I11" s="18" t="n">
        <v>0</v>
      </c>
      <c r="J11" s="20" t="n">
        <v>0</v>
      </c>
      <c r="K11" s="18" t="n">
        <v>2.98086296</v>
      </c>
      <c r="L11" s="20" t="n">
        <v>0.8529562000000001</v>
      </c>
      <c r="M11" s="18" t="n">
        <v>0.01404094</v>
      </c>
      <c r="N11" s="20" t="n">
        <v>0.01412321</v>
      </c>
      <c r="O11" s="18" t="n">
        <v>0</v>
      </c>
      <c r="P11" s="20" t="n">
        <v>0</v>
      </c>
      <c r="Q11" s="18" t="n">
        <v>26.78919105</v>
      </c>
      <c r="R11" s="20" t="n">
        <v>1.77882739</v>
      </c>
    </row>
    <row r="12" spans="1:18">
      <c r="A12" s="15" t="s">
        <v>570</v>
      </c>
      <c r="B12" s="17" t="n">
        <v>3422</v>
      </c>
      <c r="C12" s="18">
        <f>(2663.0/B12*100)</f>
        <v/>
      </c>
      <c r="D12" s="19" t="n">
        <v>759</v>
      </c>
      <c r="E12" s="18" t="n">
        <v>46.38601204</v>
      </c>
      <c r="F12" s="20" t="n">
        <v>2.50533055</v>
      </c>
      <c r="G12" s="18" t="n">
        <v>27.06928195</v>
      </c>
      <c r="H12" s="20" t="n">
        <v>1.97048188</v>
      </c>
      <c r="I12" s="18" t="n">
        <v>0</v>
      </c>
      <c r="J12" s="20" t="n">
        <v>0</v>
      </c>
      <c r="K12" s="18" t="n">
        <v>0.45302655</v>
      </c>
      <c r="L12" s="20" t="n">
        <v>0.21601999</v>
      </c>
      <c r="M12" s="18" t="n">
        <v>0</v>
      </c>
      <c r="N12" s="20" t="n">
        <v>0</v>
      </c>
      <c r="O12" s="18" t="n">
        <v>0</v>
      </c>
      <c r="P12" s="20" t="n">
        <v>0</v>
      </c>
      <c r="Q12" s="18" t="n">
        <v>26.09167945</v>
      </c>
      <c r="R12" s="20" t="n">
        <v>1.87568139</v>
      </c>
    </row>
    <row r="13" spans="1:18">
      <c r="A13" s="15" t="s">
        <v>571</v>
      </c>
      <c r="B13" s="17" t="n">
        <v>3602</v>
      </c>
      <c r="C13" s="18">
        <f>(2871.0/B13*100)</f>
        <v/>
      </c>
      <c r="D13" s="19" t="n">
        <v>731</v>
      </c>
      <c r="E13" s="18" t="n">
        <v>41.44410454</v>
      </c>
      <c r="F13" s="20" t="n">
        <v>1.86653079</v>
      </c>
      <c r="G13" s="18" t="n">
        <v>44.16528353</v>
      </c>
      <c r="H13" s="20" t="n">
        <v>2.09458878</v>
      </c>
      <c r="I13" s="18" t="n">
        <v>0</v>
      </c>
      <c r="J13" s="20" t="n">
        <v>0</v>
      </c>
      <c r="K13" s="18" t="n">
        <v>0.44407835</v>
      </c>
      <c r="L13" s="20" t="n">
        <v>0.2640786</v>
      </c>
      <c r="M13" s="18" t="n">
        <v>0</v>
      </c>
      <c r="N13" s="20" t="n">
        <v>0</v>
      </c>
      <c r="O13" s="18" t="n">
        <v>0</v>
      </c>
      <c r="P13" s="20" t="n">
        <v>0</v>
      </c>
      <c r="Q13" s="18" t="n">
        <v>13.94653357</v>
      </c>
      <c r="R13" s="20" t="n">
        <v>1.50202109</v>
      </c>
    </row>
    <row r="14" spans="1:18">
      <c r="A14" s="15" t="s">
        <v>572</v>
      </c>
      <c r="B14" s="17" t="n">
        <v>2788</v>
      </c>
      <c r="C14" s="18">
        <f>(2188.0/B14*100)</f>
        <v/>
      </c>
      <c r="D14" s="19" t="n">
        <v>600</v>
      </c>
      <c r="E14" s="18" t="n">
        <v>39.44171481</v>
      </c>
      <c r="F14" s="20" t="n">
        <v>2.53890598</v>
      </c>
      <c r="G14" s="18" t="n">
        <v>46.02422205</v>
      </c>
      <c r="H14" s="20" t="n">
        <v>2.1184061</v>
      </c>
      <c r="I14" s="18" t="n">
        <v>0</v>
      </c>
      <c r="J14" s="20" t="n">
        <v>0</v>
      </c>
      <c r="K14" s="18" t="n">
        <v>1.35334295</v>
      </c>
      <c r="L14" s="20" t="n">
        <v>0.53831355</v>
      </c>
      <c r="M14" s="18" t="n">
        <v>0</v>
      </c>
      <c r="N14" s="20" t="n">
        <v>0</v>
      </c>
      <c r="O14" s="18" t="n">
        <v>0</v>
      </c>
      <c r="P14" s="20" t="n">
        <v>0</v>
      </c>
      <c r="Q14" s="18" t="n">
        <v>13.18072019</v>
      </c>
      <c r="R14" s="20" t="n">
        <v>1.46600234</v>
      </c>
    </row>
    <row r="15" spans="1:18">
      <c r="A15" s="15" t="s">
        <v>573</v>
      </c>
      <c r="B15" s="17" t="n">
        <v>2863</v>
      </c>
      <c r="C15" s="18">
        <f>(2238.0/B15*100)</f>
        <v/>
      </c>
      <c r="D15" s="19" t="n">
        <v>625</v>
      </c>
      <c r="E15" s="18" t="n">
        <v>44.68473725</v>
      </c>
      <c r="F15" s="20" t="n">
        <v>2.17324925</v>
      </c>
      <c r="G15" s="18" t="n">
        <v>43.16236401</v>
      </c>
      <c r="H15" s="20" t="n">
        <v>2.1886446</v>
      </c>
      <c r="I15" s="18" t="n">
        <v>0</v>
      </c>
      <c r="J15" s="20" t="n">
        <v>0</v>
      </c>
      <c r="K15" s="18" t="n">
        <v>0</v>
      </c>
      <c r="L15" s="20" t="n">
        <v>0</v>
      </c>
      <c r="M15" s="18" t="n">
        <v>0</v>
      </c>
      <c r="N15" s="20" t="n">
        <v>0</v>
      </c>
      <c r="O15" s="18" t="n">
        <v>0</v>
      </c>
      <c r="P15" s="20" t="n">
        <v>0</v>
      </c>
      <c r="Q15" s="18" t="n">
        <v>12.15289874</v>
      </c>
      <c r="R15" s="20" t="n">
        <v>1.3165854</v>
      </c>
    </row>
    <row r="16" spans="1:18">
      <c r="A16" s="15" t="s">
        <v>574</v>
      </c>
      <c r="B16" s="17" t="n">
        <v>3111</v>
      </c>
      <c r="C16" s="18">
        <f>(2438.0/B16*100)</f>
        <v/>
      </c>
      <c r="D16" s="19" t="n">
        <v>673</v>
      </c>
      <c r="E16" s="18" t="n">
        <v>31.58565911</v>
      </c>
      <c r="F16" s="20" t="n">
        <v>1.97514485</v>
      </c>
      <c r="G16" s="18" t="n">
        <v>43.59481161</v>
      </c>
      <c r="H16" s="20" t="n">
        <v>1.80947821</v>
      </c>
      <c r="I16" s="18" t="n">
        <v>0</v>
      </c>
      <c r="J16" s="20" t="n">
        <v>0</v>
      </c>
      <c r="K16" s="18" t="n">
        <v>1.28997703</v>
      </c>
      <c r="L16" s="20" t="n">
        <v>0.46448551</v>
      </c>
      <c r="M16" s="18" t="n">
        <v>0.1308386</v>
      </c>
      <c r="N16" s="20" t="n">
        <v>0.13470118</v>
      </c>
      <c r="O16" s="18" t="n">
        <v>0</v>
      </c>
      <c r="P16" s="20" t="n">
        <v>0</v>
      </c>
      <c r="Q16" s="18" t="n">
        <v>23.39871366</v>
      </c>
      <c r="R16" s="20" t="n">
        <v>1.62565393</v>
      </c>
    </row>
    <row r="17" spans="1:18">
      <c r="A17" s="15" t="s">
        <v>575</v>
      </c>
      <c r="B17" s="17" t="n">
        <v>3197</v>
      </c>
      <c r="C17" s="18">
        <f>(2539.0/B17*100)</f>
        <v/>
      </c>
      <c r="D17" s="19" t="n">
        <v>658</v>
      </c>
      <c r="E17" s="18" t="n">
        <v>40.65959759</v>
      </c>
      <c r="F17" s="20" t="n">
        <v>1.97941793</v>
      </c>
      <c r="G17" s="18" t="n">
        <v>34.28276821</v>
      </c>
      <c r="H17" s="20" t="n">
        <v>2.02687806</v>
      </c>
      <c r="I17" s="18" t="n">
        <v>0</v>
      </c>
      <c r="J17" s="20" t="n">
        <v>0</v>
      </c>
      <c r="K17" s="18" t="n">
        <v>0.59966379</v>
      </c>
      <c r="L17" s="20" t="n">
        <v>0.30016698</v>
      </c>
      <c r="M17" s="18" t="n">
        <v>0</v>
      </c>
      <c r="N17" s="20" t="n">
        <v>0</v>
      </c>
      <c r="O17" s="18" t="n">
        <v>0</v>
      </c>
      <c r="P17" s="20" t="n">
        <v>0</v>
      </c>
      <c r="Q17" s="18" t="n">
        <v>24.45797041</v>
      </c>
      <c r="R17" s="20" t="n">
        <v>1.90549524</v>
      </c>
    </row>
    <row r="18" spans="1:18">
      <c r="A18" s="15" t="s">
        <v>576</v>
      </c>
      <c r="B18" s="17" t="n">
        <v>2706</v>
      </c>
      <c r="C18" s="18">
        <f>(2106.0/B18*100)</f>
        <v/>
      </c>
      <c r="D18" s="19" t="n">
        <v>600</v>
      </c>
      <c r="E18" s="18" t="n">
        <v>52.59178028</v>
      </c>
      <c r="F18" s="20" t="n">
        <v>2.22721649</v>
      </c>
      <c r="G18" s="18" t="n">
        <v>24.66832357</v>
      </c>
      <c r="H18" s="20" t="n">
        <v>1.81581545</v>
      </c>
      <c r="I18" s="18" t="n">
        <v>0</v>
      </c>
      <c r="J18" s="20" t="n">
        <v>0</v>
      </c>
      <c r="K18" s="18" t="n">
        <v>1.63290287</v>
      </c>
      <c r="L18" s="20" t="n">
        <v>0.50906936</v>
      </c>
      <c r="M18" s="18" t="n">
        <v>0</v>
      </c>
      <c r="N18" s="20" t="n">
        <v>0</v>
      </c>
      <c r="O18" s="18" t="n">
        <v>0</v>
      </c>
      <c r="P18" s="20" t="n">
        <v>0</v>
      </c>
      <c r="Q18" s="18" t="n">
        <v>21.10699328</v>
      </c>
      <c r="R18" s="20" t="n">
        <v>1.79321436</v>
      </c>
    </row>
    <row r="19" spans="1:18">
      <c r="A19" s="15" t="s">
        <v>577</v>
      </c>
      <c r="B19" s="17" t="n">
        <v>2850</v>
      </c>
      <c r="C19" s="18">
        <f>(2194.0/B19*100)</f>
        <v/>
      </c>
      <c r="D19" s="19" t="n">
        <v>656</v>
      </c>
      <c r="E19" s="18" t="n">
        <v>35.97439263</v>
      </c>
      <c r="F19" s="20" t="n">
        <v>2.14496673</v>
      </c>
      <c r="G19" s="18" t="n">
        <v>36.71076168</v>
      </c>
      <c r="H19" s="20" t="n">
        <v>1.99061028</v>
      </c>
      <c r="I19" s="18" t="n">
        <v>0</v>
      </c>
      <c r="J19" s="20" t="n">
        <v>0</v>
      </c>
      <c r="K19" s="18" t="n">
        <v>0.34078066</v>
      </c>
      <c r="L19" s="20" t="n">
        <v>0.24398057</v>
      </c>
      <c r="M19" s="18" t="n">
        <v>0</v>
      </c>
      <c r="N19" s="20" t="n">
        <v>0</v>
      </c>
      <c r="O19" s="18" t="n">
        <v>0</v>
      </c>
      <c r="P19" s="20" t="n">
        <v>0</v>
      </c>
      <c r="Q19" s="18" t="n">
        <v>26.97406503</v>
      </c>
      <c r="R19" s="20" t="n">
        <v>1.99951241</v>
      </c>
    </row>
    <row r="20" spans="1:18">
      <c r="A20" s="15" t="s">
        <v>578</v>
      </c>
      <c r="B20" s="17" t="n">
        <v>1741</v>
      </c>
      <c r="C20" s="18">
        <f>(1353.0/B20*100)</f>
        <v/>
      </c>
      <c r="D20" s="19" t="n">
        <v>388</v>
      </c>
      <c r="E20" s="18" t="n">
        <v>50.87868077</v>
      </c>
      <c r="F20" s="20" t="n">
        <v>2.34414222</v>
      </c>
      <c r="G20" s="18" t="n">
        <v>33.12760176</v>
      </c>
      <c r="H20" s="20" t="n">
        <v>2.28836333</v>
      </c>
      <c r="I20" s="18" t="n">
        <v>0</v>
      </c>
      <c r="J20" s="20" t="n">
        <v>0</v>
      </c>
      <c r="K20" s="18" t="n">
        <v>0.81112856</v>
      </c>
      <c r="L20" s="20" t="n">
        <v>0.46895365</v>
      </c>
      <c r="M20" s="18" t="n">
        <v>0.79669916</v>
      </c>
      <c r="N20" s="20" t="n">
        <v>0.52402494</v>
      </c>
      <c r="O20" s="18" t="n">
        <v>0</v>
      </c>
      <c r="P20" s="20" t="n">
        <v>0</v>
      </c>
      <c r="Q20" s="18" t="n">
        <v>14.38588975</v>
      </c>
      <c r="R20" s="20" t="n">
        <v>1.76904735</v>
      </c>
    </row>
    <row r="21" spans="1:18">
      <c r="A21" s="15" t="s">
        <v>579</v>
      </c>
      <c r="B21" s="17" t="n">
        <v>2833</v>
      </c>
      <c r="C21" s="18">
        <f>(2205.0/B21*100)</f>
        <v/>
      </c>
      <c r="D21" s="19" t="n">
        <v>628</v>
      </c>
      <c r="E21" s="18" t="n">
        <v>37.1787503</v>
      </c>
      <c r="F21" s="20" t="n">
        <v>2.06160439</v>
      </c>
      <c r="G21" s="18" t="n">
        <v>50.16837795</v>
      </c>
      <c r="H21" s="20" t="n">
        <v>2.05552787</v>
      </c>
      <c r="I21" s="18" t="n">
        <v>0</v>
      </c>
      <c r="J21" s="20" t="n">
        <v>0</v>
      </c>
      <c r="K21" s="18" t="n">
        <v>0.44805758</v>
      </c>
      <c r="L21" s="20" t="n">
        <v>0.25568427</v>
      </c>
      <c r="M21" s="18" t="n">
        <v>0</v>
      </c>
      <c r="N21" s="20" t="n">
        <v>0</v>
      </c>
      <c r="O21" s="18" t="n">
        <v>0</v>
      </c>
      <c r="P21" s="20" t="n">
        <v>0</v>
      </c>
      <c r="Q21" s="18" t="n">
        <v>12.20481417</v>
      </c>
      <c r="R21" s="20" t="n">
        <v>1.59319984</v>
      </c>
    </row>
    <row r="22" spans="1:18">
      <c r="A22" s="15" t="s">
        <v>580</v>
      </c>
      <c r="B22" s="17" t="n">
        <v>3667</v>
      </c>
      <c r="C22" s="18">
        <f>(2908.0/B22*100)</f>
        <v/>
      </c>
      <c r="D22" s="19" t="n">
        <v>759</v>
      </c>
      <c r="E22" s="18" t="n">
        <v>40.92090785</v>
      </c>
      <c r="F22" s="20" t="n">
        <v>1.75760145</v>
      </c>
      <c r="G22" s="18" t="n">
        <v>28.39987495</v>
      </c>
      <c r="H22" s="20" t="n">
        <v>1.57993027</v>
      </c>
      <c r="I22" s="18" t="n">
        <v>0</v>
      </c>
      <c r="J22" s="20" t="n">
        <v>0</v>
      </c>
      <c r="K22" s="18" t="n">
        <v>1.93757685</v>
      </c>
      <c r="L22" s="20" t="n">
        <v>0.54389911</v>
      </c>
      <c r="M22" s="18" t="n">
        <v>0.11903781</v>
      </c>
      <c r="N22" s="20" t="n">
        <v>0.11909485</v>
      </c>
      <c r="O22" s="18" t="n">
        <v>0</v>
      </c>
      <c r="P22" s="20" t="n">
        <v>0</v>
      </c>
      <c r="Q22" s="18" t="n">
        <v>28.62260254</v>
      </c>
      <c r="R22" s="20" t="n">
        <v>1.87343243</v>
      </c>
    </row>
    <row r="23" spans="1:18">
      <c r="A23" s="15" t="s">
        <v>581</v>
      </c>
      <c r="B23" s="17" t="n">
        <v>5792</v>
      </c>
      <c r="C23" s="18">
        <f>(4584.0/B23*100)</f>
        <v/>
      </c>
      <c r="D23" s="19" t="n">
        <v>1208</v>
      </c>
      <c r="E23" s="18" t="n">
        <v>38.04138926</v>
      </c>
      <c r="F23" s="20" t="n">
        <v>2.16523193</v>
      </c>
      <c r="G23" s="18" t="n">
        <v>27.90701688</v>
      </c>
      <c r="H23" s="20" t="n">
        <v>1.54570736</v>
      </c>
      <c r="I23" s="18" t="n">
        <v>0</v>
      </c>
      <c r="J23" s="20" t="n">
        <v>0</v>
      </c>
      <c r="K23" s="18" t="n">
        <v>4.77162553</v>
      </c>
      <c r="L23" s="20" t="n">
        <v>1.90774308</v>
      </c>
      <c r="M23" s="18" t="n">
        <v>0</v>
      </c>
      <c r="N23" s="20" t="n">
        <v>0</v>
      </c>
      <c r="O23" s="18" t="n">
        <v>0</v>
      </c>
      <c r="P23" s="20" t="n">
        <v>0</v>
      </c>
      <c r="Q23" s="18" t="n">
        <v>29.27996834</v>
      </c>
      <c r="R23" s="20" t="n">
        <v>2.13153802</v>
      </c>
    </row>
    <row r="24" spans="1:18">
      <c r="A24" s="15" t="s">
        <v>582</v>
      </c>
      <c r="B24" s="17" t="n">
        <v>3309</v>
      </c>
      <c r="C24" s="18">
        <f>(2585.0/B24*100)</f>
        <v/>
      </c>
      <c r="D24" s="19" t="n">
        <v>724</v>
      </c>
      <c r="E24" s="18" t="n">
        <v>42.60717683</v>
      </c>
      <c r="F24" s="20" t="n">
        <v>1.89951579</v>
      </c>
      <c r="G24" s="18" t="n">
        <v>38.58084626</v>
      </c>
      <c r="H24" s="20" t="n">
        <v>1.79461356</v>
      </c>
      <c r="I24" s="18" t="n">
        <v>0</v>
      </c>
      <c r="J24" s="20" t="n">
        <v>0</v>
      </c>
      <c r="K24" s="18" t="n">
        <v>0.12580901</v>
      </c>
      <c r="L24" s="20" t="n">
        <v>0.12602627</v>
      </c>
      <c r="M24" s="18" t="n">
        <v>0</v>
      </c>
      <c r="N24" s="20" t="n">
        <v>0</v>
      </c>
      <c r="O24" s="18" t="n">
        <v>0</v>
      </c>
      <c r="P24" s="20" t="n">
        <v>0</v>
      </c>
      <c r="Q24" s="18" t="n">
        <v>18.6861679</v>
      </c>
      <c r="R24" s="20" t="n">
        <v>1.33972722</v>
      </c>
    </row>
    <row r="25" spans="1:18">
      <c r="A25" s="15" t="s">
        <v>583</v>
      </c>
      <c r="B25" s="17" t="n">
        <v>2669</v>
      </c>
      <c r="C25" s="18">
        <f>(2098.0/B25*100)</f>
        <v/>
      </c>
      <c r="D25" s="19" t="n">
        <v>571</v>
      </c>
      <c r="E25" s="18" t="n">
        <v>57.12930768</v>
      </c>
      <c r="F25" s="20" t="n">
        <v>2.16308513</v>
      </c>
      <c r="G25" s="18" t="n">
        <v>32.0087179</v>
      </c>
      <c r="H25" s="20" t="n">
        <v>2.12020954</v>
      </c>
      <c r="I25" s="18" t="n">
        <v>0</v>
      </c>
      <c r="J25" s="20" t="n">
        <v>0</v>
      </c>
      <c r="K25" s="18" t="n">
        <v>0.33534602</v>
      </c>
      <c r="L25" s="20" t="n">
        <v>0.27848345</v>
      </c>
      <c r="M25" s="18" t="n">
        <v>0</v>
      </c>
      <c r="N25" s="20" t="n">
        <v>0</v>
      </c>
      <c r="O25" s="18" t="n">
        <v>0</v>
      </c>
      <c r="P25" s="20" t="n">
        <v>0</v>
      </c>
      <c r="Q25" s="18" t="n">
        <v>10.5266284</v>
      </c>
      <c r="R25" s="20" t="n">
        <v>1.74166771</v>
      </c>
    </row>
    <row r="26" spans="1:18">
      <c r="A26" s="15" t="s">
        <v>584</v>
      </c>
      <c r="B26" s="17" t="n">
        <v>2419</v>
      </c>
      <c r="C26" s="18">
        <f>(1928.0/B26*100)</f>
        <v/>
      </c>
      <c r="D26" s="19" t="n">
        <v>491</v>
      </c>
      <c r="E26" s="18" t="n">
        <v>53.69762591</v>
      </c>
      <c r="F26" s="20" t="n">
        <v>2.26083408</v>
      </c>
      <c r="G26" s="18" t="n">
        <v>32.08454809</v>
      </c>
      <c r="H26" s="20" t="n">
        <v>1.95227918</v>
      </c>
      <c r="I26" s="18" t="n">
        <v>0</v>
      </c>
      <c r="J26" s="20" t="n">
        <v>0</v>
      </c>
      <c r="K26" s="18" t="n">
        <v>0.18295097</v>
      </c>
      <c r="L26" s="20" t="n">
        <v>0.18334548</v>
      </c>
      <c r="M26" s="18" t="n">
        <v>0</v>
      </c>
      <c r="N26" s="20" t="n">
        <v>0</v>
      </c>
      <c r="O26" s="18" t="n">
        <v>0</v>
      </c>
      <c r="P26" s="20" t="n">
        <v>0</v>
      </c>
      <c r="Q26" s="18" t="n">
        <v>14.03487503</v>
      </c>
      <c r="R26" s="20" t="n">
        <v>1.76875332</v>
      </c>
    </row>
    <row r="27" spans="1:18">
      <c r="A27" s="15" t="s">
        <v>585</v>
      </c>
      <c r="B27" s="17" t="n">
        <v>2683</v>
      </c>
      <c r="C27" s="18">
        <f>(2120.0/B27*100)</f>
        <v/>
      </c>
      <c r="D27" s="19" t="n">
        <v>563</v>
      </c>
      <c r="E27" s="18" t="n">
        <v>40.84240175</v>
      </c>
      <c r="F27" s="20" t="n">
        <v>1.75480317</v>
      </c>
      <c r="G27" s="18" t="n">
        <v>31.69329786</v>
      </c>
      <c r="H27" s="20" t="n">
        <v>1.78061333</v>
      </c>
      <c r="I27" s="18" t="n">
        <v>0</v>
      </c>
      <c r="J27" s="20" t="n">
        <v>0</v>
      </c>
      <c r="K27" s="18" t="n">
        <v>1.07543573</v>
      </c>
      <c r="L27" s="20" t="n">
        <v>0.44077867</v>
      </c>
      <c r="M27" s="18" t="n">
        <v>0</v>
      </c>
      <c r="N27" s="20" t="n">
        <v>0</v>
      </c>
      <c r="O27" s="18" t="n">
        <v>0</v>
      </c>
      <c r="P27" s="20" t="n">
        <v>0</v>
      </c>
      <c r="Q27" s="18" t="n">
        <v>26.38886467</v>
      </c>
      <c r="R27" s="20" t="n">
        <v>1.81710069</v>
      </c>
    </row>
    <row r="28" spans="1:18">
      <c r="A28" s="15" t="s">
        <v>586</v>
      </c>
      <c r="B28" s="17" t="n">
        <v>3803</v>
      </c>
      <c r="C28" s="18">
        <f>(3047.0/B28*100)</f>
        <v/>
      </c>
      <c r="D28" s="19" t="n">
        <v>756</v>
      </c>
      <c r="E28" s="18" t="n">
        <v>76.75117597000001</v>
      </c>
      <c r="F28" s="20" t="n">
        <v>1.40499447</v>
      </c>
      <c r="G28" s="18" t="n">
        <v>15.77118119</v>
      </c>
      <c r="H28" s="20" t="n">
        <v>1.35841377</v>
      </c>
      <c r="I28" s="18" t="n">
        <v>0</v>
      </c>
      <c r="J28" s="20" t="n">
        <v>0</v>
      </c>
      <c r="K28" s="18" t="n">
        <v>1.32197893</v>
      </c>
      <c r="L28" s="20" t="n">
        <v>0.58627904</v>
      </c>
      <c r="M28" s="18" t="n">
        <v>0</v>
      </c>
      <c r="N28" s="20" t="n">
        <v>0</v>
      </c>
      <c r="O28" s="18" t="n">
        <v>0</v>
      </c>
      <c r="P28" s="20" t="n">
        <v>0</v>
      </c>
      <c r="Q28" s="18" t="n">
        <v>6.15566391</v>
      </c>
      <c r="R28" s="20" t="n">
        <v>0.8475421</v>
      </c>
    </row>
    <row r="29" spans="1:18">
      <c r="A29" s="15" t="s">
        <v>587</v>
      </c>
      <c r="B29" s="17" t="n">
        <v>2700</v>
      </c>
      <c r="C29" s="18">
        <f>(2100.0/B29*100)</f>
        <v/>
      </c>
      <c r="D29" s="19" t="n">
        <v>600</v>
      </c>
      <c r="E29" s="18" t="n">
        <v>43.33262163</v>
      </c>
      <c r="F29" s="20" t="n">
        <v>1.90971424</v>
      </c>
      <c r="G29" s="18" t="n">
        <v>47.45164604</v>
      </c>
      <c r="H29" s="20" t="n">
        <v>1.92141094</v>
      </c>
      <c r="I29" s="18" t="n">
        <v>0</v>
      </c>
      <c r="J29" s="20" t="n">
        <v>0</v>
      </c>
      <c r="K29" s="18" t="n">
        <v>0.43578436</v>
      </c>
      <c r="L29" s="20" t="n">
        <v>0.29638517</v>
      </c>
      <c r="M29" s="18" t="n">
        <v>0</v>
      </c>
      <c r="N29" s="20" t="n">
        <v>0</v>
      </c>
      <c r="O29" s="18" t="n">
        <v>0</v>
      </c>
      <c r="P29" s="20" t="n">
        <v>0</v>
      </c>
      <c r="Q29" s="18" t="n">
        <v>8.779947979999999</v>
      </c>
      <c r="R29" s="20" t="n">
        <v>1.05933826</v>
      </c>
    </row>
    <row r="30" spans="1:18">
      <c r="A30" s="15" t="s">
        <v>588</v>
      </c>
      <c r="B30" s="17" t="n">
        <v>2257</v>
      </c>
      <c r="C30" s="18">
        <f>(1755.0/B30*100)</f>
        <v/>
      </c>
      <c r="D30" s="19" t="n">
        <v>502</v>
      </c>
      <c r="E30" s="18" t="n">
        <v>38.22430234</v>
      </c>
      <c r="F30" s="20" t="n">
        <v>1.91889289</v>
      </c>
      <c r="G30" s="18" t="n">
        <v>42.83802759</v>
      </c>
      <c r="H30" s="20" t="n">
        <v>2.19964124</v>
      </c>
      <c r="I30" s="18" t="n">
        <v>0</v>
      </c>
      <c r="J30" s="20" t="n">
        <v>0</v>
      </c>
      <c r="K30" s="18" t="n">
        <v>0</v>
      </c>
      <c r="L30" s="20" t="n">
        <v>0</v>
      </c>
      <c r="M30" s="18" t="n">
        <v>0</v>
      </c>
      <c r="N30" s="20" t="n">
        <v>0</v>
      </c>
      <c r="O30" s="18" t="n">
        <v>0</v>
      </c>
      <c r="P30" s="20" t="n">
        <v>0</v>
      </c>
      <c r="Q30" s="18" t="n">
        <v>18.93767007</v>
      </c>
      <c r="R30" s="20" t="n">
        <v>1.621932</v>
      </c>
    </row>
    <row r="31" spans="1:18">
      <c r="A31" s="15" t="s">
        <v>589</v>
      </c>
      <c r="B31" s="17" t="n">
        <v>2706</v>
      </c>
      <c r="C31" s="18">
        <f>(2099.0/B31*100)</f>
        <v/>
      </c>
      <c r="D31" s="19" t="n">
        <v>607</v>
      </c>
      <c r="E31" s="18" t="n">
        <v>30.46552747</v>
      </c>
      <c r="F31" s="20" t="n">
        <v>1.85492014</v>
      </c>
      <c r="G31" s="18" t="n">
        <v>49.43870931</v>
      </c>
      <c r="H31" s="20" t="n">
        <v>2.17760706</v>
      </c>
      <c r="I31" s="18" t="n">
        <v>0</v>
      </c>
      <c r="J31" s="20" t="n">
        <v>0</v>
      </c>
      <c r="K31" s="18" t="n">
        <v>1.25543643</v>
      </c>
      <c r="L31" s="20" t="n">
        <v>0.485085</v>
      </c>
      <c r="M31" s="18" t="n">
        <v>0</v>
      </c>
      <c r="N31" s="20" t="n">
        <v>0</v>
      </c>
      <c r="O31" s="18" t="n">
        <v>0</v>
      </c>
      <c r="P31" s="20" t="n">
        <v>0</v>
      </c>
      <c r="Q31" s="18" t="n">
        <v>18.84032679</v>
      </c>
      <c r="R31" s="20" t="n">
        <v>1.64988067</v>
      </c>
    </row>
    <row r="32" spans="1:18">
      <c r="A32" s="15" t="s">
        <v>590</v>
      </c>
      <c r="B32" s="17" t="n">
        <v>2209</v>
      </c>
      <c r="C32" s="18">
        <f>(1752.0/B32*100)</f>
        <v/>
      </c>
      <c r="D32" s="19" t="n">
        <v>457</v>
      </c>
      <c r="E32" s="18" t="n">
        <v>38.31741321</v>
      </c>
      <c r="F32" s="20" t="n">
        <v>2.50646152</v>
      </c>
      <c r="G32" s="18" t="n">
        <v>42.72997385</v>
      </c>
      <c r="H32" s="20" t="n">
        <v>2.24647363</v>
      </c>
      <c r="I32" s="18" t="n">
        <v>0</v>
      </c>
      <c r="J32" s="20" t="n">
        <v>0</v>
      </c>
      <c r="K32" s="18" t="n">
        <v>0</v>
      </c>
      <c r="L32" s="20" t="n">
        <v>0</v>
      </c>
      <c r="M32" s="18" t="n">
        <v>0</v>
      </c>
      <c r="N32" s="20" t="n">
        <v>0</v>
      </c>
      <c r="O32" s="18" t="n">
        <v>0</v>
      </c>
      <c r="P32" s="20" t="n">
        <v>0</v>
      </c>
      <c r="Q32" s="18" t="n">
        <v>18.95261294</v>
      </c>
      <c r="R32" s="20" t="n">
        <v>2.00865147</v>
      </c>
    </row>
    <row r="33" spans="1:18">
      <c r="A33" s="15" t="s">
        <v>591</v>
      </c>
      <c r="B33" s="17" t="n">
        <v>3651</v>
      </c>
      <c r="C33" s="18">
        <f>(2959.0/B33*100)</f>
        <v/>
      </c>
      <c r="D33" s="19" t="n">
        <v>692</v>
      </c>
      <c r="E33" s="18" t="n">
        <v>41.46940354</v>
      </c>
      <c r="F33" s="20" t="n">
        <v>2.36807191</v>
      </c>
      <c r="G33" s="18" t="n">
        <v>38.75981027</v>
      </c>
      <c r="H33" s="20" t="n">
        <v>2.35589099</v>
      </c>
      <c r="I33" s="18" t="n">
        <v>0</v>
      </c>
      <c r="J33" s="20" t="n">
        <v>0</v>
      </c>
      <c r="K33" s="18" t="n">
        <v>0.81796843</v>
      </c>
      <c r="L33" s="20" t="n">
        <v>0.37713894</v>
      </c>
      <c r="M33" s="18" t="n">
        <v>0.21695203</v>
      </c>
      <c r="N33" s="20" t="n">
        <v>0.16212349</v>
      </c>
      <c r="O33" s="18" t="n">
        <v>0</v>
      </c>
      <c r="P33" s="20" t="n">
        <v>0</v>
      </c>
      <c r="Q33" s="18" t="n">
        <v>18.73586573</v>
      </c>
      <c r="R33" s="20" t="n">
        <v>1.9680286</v>
      </c>
    </row>
    <row r="34" spans="1:18">
      <c r="A34" s="15" t="s">
        <v>592</v>
      </c>
      <c r="B34" s="17" t="n">
        <v>3035</v>
      </c>
      <c r="C34" s="18">
        <f>(2385.0/B34*100)</f>
        <v/>
      </c>
      <c r="D34" s="19" t="n">
        <v>650</v>
      </c>
      <c r="E34" s="18" t="n">
        <v>45.24808348</v>
      </c>
      <c r="F34" s="20" t="n">
        <v>2.07062984</v>
      </c>
      <c r="G34" s="18" t="n">
        <v>26.95050589</v>
      </c>
      <c r="H34" s="20" t="n">
        <v>1.77486787</v>
      </c>
      <c r="I34" s="18" t="n">
        <v>0</v>
      </c>
      <c r="J34" s="20" t="n">
        <v>0</v>
      </c>
      <c r="K34" s="18" t="n">
        <v>1.04346034</v>
      </c>
      <c r="L34" s="20" t="n">
        <v>0.37801956</v>
      </c>
      <c r="M34" s="18" t="n">
        <v>0.38801884</v>
      </c>
      <c r="N34" s="20" t="n">
        <v>0.20425684</v>
      </c>
      <c r="O34" s="18" t="n">
        <v>0</v>
      </c>
      <c r="P34" s="20" t="n">
        <v>0</v>
      </c>
      <c r="Q34" s="18" t="n">
        <v>26.36993145</v>
      </c>
      <c r="R34" s="20" t="n">
        <v>1.92372543</v>
      </c>
    </row>
    <row r="35" spans="1:18">
      <c r="A35" s="15" t="s">
        <v>593</v>
      </c>
      <c r="B35" s="17" t="n">
        <v>2901</v>
      </c>
      <c r="C35" s="18">
        <f>(2274.0/B35*100)</f>
        <v/>
      </c>
      <c r="D35" s="19" t="n">
        <v>627</v>
      </c>
      <c r="E35" s="18" t="n">
        <v>40.99462331</v>
      </c>
      <c r="F35" s="20" t="n">
        <v>2.94192471</v>
      </c>
      <c r="G35" s="18" t="n">
        <v>45.00782168</v>
      </c>
      <c r="H35" s="20" t="n">
        <v>3.00084196</v>
      </c>
      <c r="I35" s="18" t="n">
        <v>0</v>
      </c>
      <c r="J35" s="20" t="n">
        <v>0</v>
      </c>
      <c r="K35" s="18" t="n">
        <v>0.07022965</v>
      </c>
      <c r="L35" s="20" t="n">
        <v>0.06860157</v>
      </c>
      <c r="M35" s="18" t="n">
        <v>0</v>
      </c>
      <c r="N35" s="20" t="n">
        <v>0</v>
      </c>
      <c r="O35" s="18" t="n">
        <v>0</v>
      </c>
      <c r="P35" s="20" t="n">
        <v>0</v>
      </c>
      <c r="Q35" s="18" t="n">
        <v>13.92732536</v>
      </c>
      <c r="R35" s="20" t="n">
        <v>1.80548818</v>
      </c>
    </row>
    <row r="36" spans="1:18">
      <c r="A36" s="15" t="s">
        <v>594</v>
      </c>
      <c r="B36" s="17" t="n">
        <v>3404</v>
      </c>
      <c r="C36" s="18">
        <f>(2682.0/B36*100)</f>
        <v/>
      </c>
      <c r="D36" s="19" t="n">
        <v>722</v>
      </c>
      <c r="E36" s="18" t="n">
        <v>38.93578782</v>
      </c>
      <c r="F36" s="20" t="n">
        <v>1.83713502</v>
      </c>
      <c r="G36" s="18" t="n">
        <v>42.49235362</v>
      </c>
      <c r="H36" s="20" t="n">
        <v>1.81869569</v>
      </c>
      <c r="I36" s="18" t="n">
        <v>0</v>
      </c>
      <c r="J36" s="20" t="n">
        <v>0</v>
      </c>
      <c r="K36" s="18" t="n">
        <v>0.33111874</v>
      </c>
      <c r="L36" s="20" t="n">
        <v>0.20735116</v>
      </c>
      <c r="M36" s="18" t="n">
        <v>0</v>
      </c>
      <c r="N36" s="20" t="n">
        <v>0</v>
      </c>
      <c r="O36" s="18" t="n">
        <v>0</v>
      </c>
      <c r="P36" s="20" t="n">
        <v>0</v>
      </c>
      <c r="Q36" s="18" t="n">
        <v>18.24073982</v>
      </c>
      <c r="R36" s="20" t="n">
        <v>1.72010831</v>
      </c>
    </row>
    <row r="37" spans="1:18">
      <c r="A37" s="15" t="s">
        <v>595</v>
      </c>
      <c r="B37" s="17" t="n">
        <v>2731</v>
      </c>
      <c r="C37" s="18">
        <f>(2174.0/B37*100)</f>
        <v/>
      </c>
      <c r="D37" s="19" t="n">
        <v>557</v>
      </c>
      <c r="E37" s="18" t="n">
        <v>34.16753655</v>
      </c>
      <c r="F37" s="20" t="n">
        <v>2.23610469</v>
      </c>
      <c r="G37" s="18" t="n">
        <v>31.44694206</v>
      </c>
      <c r="H37" s="20" t="n">
        <v>2.43618981</v>
      </c>
      <c r="I37" s="18" t="n">
        <v>0</v>
      </c>
      <c r="J37" s="20" t="n">
        <v>0</v>
      </c>
      <c r="K37" s="18" t="n">
        <v>3.11729097</v>
      </c>
      <c r="L37" s="20" t="n">
        <v>0.79536105</v>
      </c>
      <c r="M37" s="18" t="n">
        <v>0</v>
      </c>
      <c r="N37" s="20" t="n">
        <v>0</v>
      </c>
      <c r="O37" s="18" t="n">
        <v>0</v>
      </c>
      <c r="P37" s="20" t="n">
        <v>0</v>
      </c>
      <c r="Q37" s="18" t="n">
        <v>31.26823042</v>
      </c>
      <c r="R37" s="20" t="n">
        <v>2.23515559</v>
      </c>
    </row>
    <row r="38" spans="1:18">
      <c r="A38" s="15" t="s">
        <v>596</v>
      </c>
      <c r="B38" s="17" t="n">
        <v>2807</v>
      </c>
      <c r="C38" s="18">
        <f>(2245.0/B38*100)</f>
        <v/>
      </c>
      <c r="D38" s="19" t="n">
        <v>562</v>
      </c>
      <c r="E38" s="18" t="n">
        <v>36.52735764</v>
      </c>
      <c r="F38" s="20" t="n">
        <v>2.39270127</v>
      </c>
      <c r="G38" s="18" t="n">
        <v>38.56503305</v>
      </c>
      <c r="H38" s="20" t="n">
        <v>2.66364806</v>
      </c>
      <c r="I38" s="18" t="n">
        <v>0</v>
      </c>
      <c r="J38" s="20" t="n">
        <v>0</v>
      </c>
      <c r="K38" s="18" t="n">
        <v>0.35449282</v>
      </c>
      <c r="L38" s="20" t="n">
        <v>0.25951759</v>
      </c>
      <c r="M38" s="18" t="n">
        <v>2.64312482</v>
      </c>
      <c r="N38" s="20" t="n">
        <v>0.7508328399999999</v>
      </c>
      <c r="O38" s="18" t="n">
        <v>0</v>
      </c>
      <c r="P38" s="20" t="n">
        <v>0</v>
      </c>
      <c r="Q38" s="18" t="n">
        <v>21.90999167</v>
      </c>
      <c r="R38" s="20" t="n">
        <v>2.27876283</v>
      </c>
    </row>
    <row r="39" spans="1:18">
      <c r="A39" s="15" t="s">
        <v>597</v>
      </c>
      <c r="B39" s="17" t="n">
        <v>2938</v>
      </c>
      <c r="C39" s="18">
        <f>(2269.0/B39*100)</f>
        <v/>
      </c>
      <c r="D39" s="19" t="n">
        <v>669</v>
      </c>
      <c r="E39" s="18" t="n">
        <v>66.38877542</v>
      </c>
      <c r="F39" s="20" t="n">
        <v>1.71189381</v>
      </c>
      <c r="G39" s="18" t="n">
        <v>13.33498426</v>
      </c>
      <c r="H39" s="20" t="n">
        <v>1.45720722</v>
      </c>
      <c r="I39" s="18" t="n">
        <v>0</v>
      </c>
      <c r="J39" s="20" t="n">
        <v>0</v>
      </c>
      <c r="K39" s="18" t="n">
        <v>0.57749012</v>
      </c>
      <c r="L39" s="20" t="n">
        <v>0.29792453</v>
      </c>
      <c r="M39" s="18" t="n">
        <v>0.30148707</v>
      </c>
      <c r="N39" s="20" t="n">
        <v>0.17505477</v>
      </c>
      <c r="O39" s="18" t="n">
        <v>0</v>
      </c>
      <c r="P39" s="20" t="n">
        <v>0</v>
      </c>
      <c r="Q39" s="18" t="n">
        <v>19.39726313</v>
      </c>
      <c r="R39" s="20" t="n">
        <v>1.34948781</v>
      </c>
    </row>
    <row r="40" spans="1:18">
      <c r="A40" s="15" t="s">
        <v>598</v>
      </c>
      <c r="B40" s="17" t="n">
        <v>6922</v>
      </c>
      <c r="C40" s="18">
        <f>(5389.0/B40*100)</f>
        <v/>
      </c>
      <c r="D40" s="19" t="n">
        <v>1533</v>
      </c>
      <c r="E40" s="18" t="n">
        <v>41.54546086</v>
      </c>
      <c r="F40" s="20" t="n">
        <v>1.72568304</v>
      </c>
      <c r="G40" s="18" t="n">
        <v>34.96231603</v>
      </c>
      <c r="H40" s="20" t="n">
        <v>1.89410804</v>
      </c>
      <c r="I40" s="18" t="n">
        <v>0</v>
      </c>
      <c r="J40" s="20" t="n">
        <v>0</v>
      </c>
      <c r="K40" s="18" t="n">
        <v>1.07437977</v>
      </c>
      <c r="L40" s="20" t="n">
        <v>0.4200665</v>
      </c>
      <c r="M40" s="18" t="n">
        <v>0</v>
      </c>
      <c r="N40" s="20" t="n">
        <v>0</v>
      </c>
      <c r="O40" s="18" t="n">
        <v>0</v>
      </c>
      <c r="P40" s="20" t="n">
        <v>0</v>
      </c>
      <c r="Q40" s="18" t="n">
        <v>22.41784334</v>
      </c>
      <c r="R40" s="20" t="n">
        <v>1.59409942</v>
      </c>
    </row>
    <row r="41" spans="1:18">
      <c r="A41" s="15" t="s">
        <v>599</v>
      </c>
      <c r="B41" s="17" t="n">
        <v>2854</v>
      </c>
      <c r="C41" s="18">
        <f>(2240.0/B41*100)</f>
        <v/>
      </c>
      <c r="D41" s="19" t="n">
        <v>614</v>
      </c>
      <c r="E41" s="18" t="n">
        <v>53.92971428</v>
      </c>
      <c r="F41" s="20" t="n">
        <v>2.28416416</v>
      </c>
      <c r="G41" s="18" t="n">
        <v>40.40778462</v>
      </c>
      <c r="H41" s="20" t="n">
        <v>2.18004539</v>
      </c>
      <c r="I41" s="18" t="n">
        <v>0</v>
      </c>
      <c r="J41" s="20" t="n">
        <v>0</v>
      </c>
      <c r="K41" s="18" t="n">
        <v>0</v>
      </c>
      <c r="L41" s="20" t="n">
        <v>0</v>
      </c>
      <c r="M41" s="18" t="n">
        <v>0</v>
      </c>
      <c r="N41" s="20" t="n">
        <v>0</v>
      </c>
      <c r="O41" s="18" t="n">
        <v>0</v>
      </c>
      <c r="P41" s="20" t="n">
        <v>0</v>
      </c>
      <c r="Q41" s="18" t="n">
        <v>5.6625011</v>
      </c>
      <c r="R41" s="20" t="n">
        <v>1.14920832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(10207.0/B46*100)</f>
        <v/>
      </c>
      <c r="D46" s="19" t="n">
        <v>1866</v>
      </c>
      <c r="E46" s="18" t="n">
        <v>45.23109629</v>
      </c>
      <c r="F46" s="20" t="n">
        <v>1.60280147</v>
      </c>
      <c r="G46" s="18" t="n">
        <v>24.37515776</v>
      </c>
      <c r="H46" s="20" t="n">
        <v>1.27563986</v>
      </c>
      <c r="I46" s="18" t="n">
        <v>0</v>
      </c>
      <c r="J46" s="20" t="n">
        <v>0</v>
      </c>
      <c r="K46" s="18" t="n">
        <v>2.88233899</v>
      </c>
      <c r="L46" s="20" t="n">
        <v>0.54190551</v>
      </c>
      <c r="M46" s="18" t="n">
        <v>0.0090545</v>
      </c>
      <c r="N46" s="20" t="n">
        <v>0.0096068</v>
      </c>
      <c r="O46" s="18" t="n">
        <v>0</v>
      </c>
      <c r="P46" s="20" t="n">
        <v>0</v>
      </c>
      <c r="Q46" s="18" t="n">
        <v>27.50235246</v>
      </c>
      <c r="R46" s="20" t="n">
        <v>1.47865201</v>
      </c>
    </row>
    <row r="47" spans="1:18">
      <c r="A47" s="15" t="s">
        <v>606</v>
      </c>
      <c r="B47" s="17" t="n">
        <v>2823</v>
      </c>
      <c r="C47" s="18">
        <f>(2229.0/B47*100)</f>
        <v/>
      </c>
      <c r="D47" s="19" t="n">
        <v>594</v>
      </c>
      <c r="E47" s="18" t="n">
        <v>33.54678937</v>
      </c>
      <c r="F47" s="20" t="n">
        <v>1.77050356</v>
      </c>
      <c r="G47" s="18" t="n">
        <v>29.0173788</v>
      </c>
      <c r="H47" s="20" t="n">
        <v>2.00701364</v>
      </c>
      <c r="I47" s="18" t="n">
        <v>0</v>
      </c>
      <c r="J47" s="20" t="n">
        <v>0</v>
      </c>
      <c r="K47" s="18" t="n">
        <v>2.03025288</v>
      </c>
      <c r="L47" s="20" t="n">
        <v>0.7146012</v>
      </c>
      <c r="M47" s="18" t="n">
        <v>0</v>
      </c>
      <c r="N47" s="20" t="n">
        <v>0</v>
      </c>
      <c r="O47" s="18" t="n">
        <v>0</v>
      </c>
      <c r="P47" s="20" t="n">
        <v>0</v>
      </c>
      <c r="Q47" s="18" t="n">
        <v>35.40557895</v>
      </c>
      <c r="R47" s="20" t="n">
        <v>2.16249327</v>
      </c>
    </row>
    <row r="48" spans="1:18">
      <c r="A48" s="15" t="s">
        <v>607</v>
      </c>
      <c r="B48" s="17" t="n">
        <v>4682</v>
      </c>
      <c r="C48" s="18">
        <f>(3703.0/B48*100)</f>
        <v/>
      </c>
      <c r="D48" s="19" t="n">
        <v>979</v>
      </c>
      <c r="E48" s="18" t="n">
        <v>53.07860966</v>
      </c>
      <c r="F48" s="20" t="n">
        <v>1.89985512</v>
      </c>
      <c r="G48" s="18" t="n">
        <v>32.42260235</v>
      </c>
      <c r="H48" s="20" t="n">
        <v>1.81300333</v>
      </c>
      <c r="I48" s="18" t="n">
        <v>0</v>
      </c>
      <c r="J48" s="20" t="n">
        <v>0</v>
      </c>
      <c r="K48" s="18" t="n">
        <v>0.7463735500000001</v>
      </c>
      <c r="L48" s="20" t="n">
        <v>0.51593576</v>
      </c>
      <c r="M48" s="18" t="n">
        <v>0.03215307</v>
      </c>
      <c r="N48" s="20" t="n">
        <v>0.02459326</v>
      </c>
      <c r="O48" s="18" t="n">
        <v>0</v>
      </c>
      <c r="P48" s="20" t="n">
        <v>0</v>
      </c>
      <c r="Q48" s="18" t="n">
        <v>13.72026137</v>
      </c>
      <c r="R48" s="20" t="n">
        <v>1.4754656</v>
      </c>
    </row>
    <row r="49" spans="1:18">
      <c r="A49" s="15" t="s">
        <v>608</v>
      </c>
      <c r="B49" s="17" t="n">
        <v>6158</v>
      </c>
      <c r="C49" s="18">
        <f>(4898.0/B49*100)</f>
        <v/>
      </c>
      <c r="D49" s="19" t="n">
        <v>1260</v>
      </c>
      <c r="E49" s="18" t="n">
        <v>64.13293095</v>
      </c>
      <c r="F49" s="20" t="n">
        <v>2.03546272</v>
      </c>
      <c r="G49" s="18" t="n">
        <v>20.37855283</v>
      </c>
      <c r="H49" s="20" t="n">
        <v>1.49216845</v>
      </c>
      <c r="I49" s="18" t="n">
        <v>0</v>
      </c>
      <c r="J49" s="20" t="n">
        <v>0</v>
      </c>
      <c r="K49" s="18" t="n">
        <v>2.95049136</v>
      </c>
      <c r="L49" s="20" t="n">
        <v>0.61188354</v>
      </c>
      <c r="M49" s="18" t="n">
        <v>0.10859605</v>
      </c>
      <c r="N49" s="20" t="n">
        <v>0.0625092</v>
      </c>
      <c r="O49" s="18" t="n">
        <v>0</v>
      </c>
      <c r="P49" s="20" t="n">
        <v>0</v>
      </c>
      <c r="Q49" s="18" t="n">
        <v>12.42942881</v>
      </c>
      <c r="R49" s="20" t="n">
        <v>1.30209081</v>
      </c>
    </row>
    <row r="50" spans="1:18">
      <c r="A50" s="15" t="s">
        <v>609</v>
      </c>
      <c r="B50" s="17" t="n">
        <v>3494</v>
      </c>
      <c r="C50" s="18">
        <f>(2878.0/B50*100)</f>
        <v/>
      </c>
      <c r="D50" s="19" t="n">
        <v>616</v>
      </c>
      <c r="E50" s="18" t="n">
        <v>65.03068820999999</v>
      </c>
      <c r="F50" s="20" t="n">
        <v>1.88456408</v>
      </c>
      <c r="G50" s="18" t="n">
        <v>19.70721933</v>
      </c>
      <c r="H50" s="20" t="n">
        <v>1.42597117</v>
      </c>
      <c r="I50" s="18" t="n">
        <v>0</v>
      </c>
      <c r="J50" s="20" t="n">
        <v>0</v>
      </c>
      <c r="K50" s="18" t="n">
        <v>1.05409294</v>
      </c>
      <c r="L50" s="20" t="n">
        <v>0.4838216</v>
      </c>
      <c r="M50" s="18" t="n">
        <v>0</v>
      </c>
      <c r="N50" s="20" t="n">
        <v>0</v>
      </c>
      <c r="O50" s="18" t="n">
        <v>0</v>
      </c>
      <c r="P50" s="20" t="n">
        <v>0</v>
      </c>
      <c r="Q50" s="18" t="n">
        <v>14.20799953</v>
      </c>
      <c r="R50" s="20" t="n">
        <v>1.65785168</v>
      </c>
    </row>
    <row r="51" spans="1:18">
      <c r="A51" s="15" t="s">
        <v>610</v>
      </c>
      <c r="B51" s="17" t="n">
        <v>3013</v>
      </c>
      <c r="C51" s="18">
        <f>(2375.0/B51*100)</f>
        <v/>
      </c>
      <c r="D51" s="19" t="n">
        <v>638</v>
      </c>
      <c r="E51" s="18" t="n">
        <v>44.21683941</v>
      </c>
      <c r="F51" s="20" t="n">
        <v>1.85321369</v>
      </c>
      <c r="G51" s="18" t="n">
        <v>25.06797488</v>
      </c>
      <c r="H51" s="20" t="n">
        <v>1.93067116</v>
      </c>
      <c r="I51" s="18" t="n">
        <v>0</v>
      </c>
      <c r="J51" s="20" t="n">
        <v>0</v>
      </c>
      <c r="K51" s="18" t="n">
        <v>0.56320705</v>
      </c>
      <c r="L51" s="20" t="n">
        <v>0.33188826</v>
      </c>
      <c r="M51" s="18" t="n">
        <v>0</v>
      </c>
      <c r="N51" s="20" t="n">
        <v>0</v>
      </c>
      <c r="O51" s="18" t="n">
        <v>0</v>
      </c>
      <c r="P51" s="20" t="n">
        <v>0</v>
      </c>
      <c r="Q51" s="18" t="n">
        <v>30.15197865</v>
      </c>
      <c r="R51" s="20" t="n">
        <v>1.40281694</v>
      </c>
    </row>
    <row r="52" spans="1:18">
      <c r="A52" s="15" t="s">
        <v>611</v>
      </c>
      <c r="B52" s="17" t="n">
        <v>2760</v>
      </c>
      <c r="C52" s="18">
        <f>(2197.0/B52*100)</f>
        <v/>
      </c>
      <c r="D52" s="19" t="n">
        <v>563</v>
      </c>
      <c r="E52" s="18" t="n">
        <v>44.70395721</v>
      </c>
      <c r="F52" s="20" t="n">
        <v>2.01032193</v>
      </c>
      <c r="G52" s="18" t="n">
        <v>24.30258138</v>
      </c>
      <c r="H52" s="20" t="n">
        <v>1.72079297</v>
      </c>
      <c r="I52" s="18" t="n">
        <v>0</v>
      </c>
      <c r="J52" s="20" t="n">
        <v>0</v>
      </c>
      <c r="K52" s="18" t="n">
        <v>0.69595489</v>
      </c>
      <c r="L52" s="20" t="n">
        <v>0.32635236</v>
      </c>
      <c r="M52" s="18" t="n">
        <v>0</v>
      </c>
      <c r="N52" s="20" t="n">
        <v>0</v>
      </c>
      <c r="O52" s="18" t="n">
        <v>0</v>
      </c>
      <c r="P52" s="20" t="n">
        <v>0</v>
      </c>
      <c r="Q52" s="18" t="n">
        <v>30.29750652</v>
      </c>
      <c r="R52" s="20" t="n">
        <v>2.05710067</v>
      </c>
    </row>
    <row r="53" spans="1:18">
      <c r="A53" s="15" t="s">
        <v>612</v>
      </c>
      <c r="B53" s="17" t="n">
        <v>2474</v>
      </c>
      <c r="C53" s="18">
        <f>(1901.0/B53*100)</f>
        <v/>
      </c>
      <c r="D53" s="19" t="n">
        <v>573</v>
      </c>
      <c r="E53" s="18" t="n">
        <v>45.76254273</v>
      </c>
      <c r="F53" s="20" t="n">
        <v>2.35144298</v>
      </c>
      <c r="G53" s="18" t="n">
        <v>3.96541296</v>
      </c>
      <c r="H53" s="20" t="n">
        <v>1.00064679</v>
      </c>
      <c r="I53" s="18" t="n">
        <v>0</v>
      </c>
      <c r="J53" s="20" t="n">
        <v>0</v>
      </c>
      <c r="K53" s="18" t="n">
        <v>28.00711644</v>
      </c>
      <c r="L53" s="20" t="n">
        <v>2.21557357</v>
      </c>
      <c r="M53" s="18" t="n">
        <v>0.58365535</v>
      </c>
      <c r="N53" s="20" t="n">
        <v>0.63084801</v>
      </c>
      <c r="O53" s="18" t="n">
        <v>0</v>
      </c>
      <c r="P53" s="20" t="n">
        <v>0</v>
      </c>
      <c r="Q53" s="18" t="n">
        <v>21.68127252</v>
      </c>
      <c r="R53" s="20" t="n">
        <v>1.83052685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(2079.0/B55*100)</f>
        <v/>
      </c>
      <c r="D55" s="19" t="n">
        <v>596</v>
      </c>
      <c r="E55" s="18" t="n">
        <v>46.52628816</v>
      </c>
      <c r="F55" s="20" t="n">
        <v>2.01403621</v>
      </c>
      <c r="G55" s="18" t="n">
        <v>46.01981067</v>
      </c>
      <c r="H55" s="20" t="n">
        <v>2.13485235</v>
      </c>
      <c r="I55" s="18" t="n">
        <v>0</v>
      </c>
      <c r="J55" s="20" t="n">
        <v>0</v>
      </c>
      <c r="K55" s="18" t="n">
        <v>0.15392812</v>
      </c>
      <c r="L55" s="20" t="n">
        <v>0.17223545</v>
      </c>
      <c r="M55" s="18" t="n">
        <v>0.35525717</v>
      </c>
      <c r="N55" s="20" t="n">
        <v>0.35413511</v>
      </c>
      <c r="O55" s="18" t="n">
        <v>0</v>
      </c>
      <c r="P55" s="20" t="n">
        <v>0</v>
      </c>
      <c r="Q55" s="18" t="n">
        <v>6.94471588</v>
      </c>
      <c r="R55" s="20" t="n">
        <v>0.91011147</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(2528.0/B61*100)</f>
        <v/>
      </c>
      <c r="D61" s="19" t="n">
        <v>673</v>
      </c>
      <c r="E61" s="18" t="n">
        <v>42.20745733</v>
      </c>
      <c r="F61" s="20" t="n">
        <v>1.85879715</v>
      </c>
      <c r="G61" s="18" t="n">
        <v>36.67116791</v>
      </c>
      <c r="H61" s="20" t="n">
        <v>1.84231812</v>
      </c>
      <c r="I61" s="18" t="n">
        <v>0</v>
      </c>
      <c r="J61" s="20" t="n">
        <v>0</v>
      </c>
      <c r="K61" s="18" t="n">
        <v>0.67270413</v>
      </c>
      <c r="L61" s="20" t="n">
        <v>0.30814962</v>
      </c>
      <c r="M61" s="18" t="n">
        <v>0</v>
      </c>
      <c r="N61" s="20" t="n">
        <v>0</v>
      </c>
      <c r="O61" s="18" t="n">
        <v>0</v>
      </c>
      <c r="P61" s="20" t="n">
        <v>0</v>
      </c>
      <c r="Q61" s="18" t="n">
        <v>20.44867063</v>
      </c>
      <c r="R61" s="20" t="n">
        <v>1.65363375</v>
      </c>
    </row>
    <row r="62" spans="1:18">
      <c r="A62" s="15" t="s">
        <v>622</v>
      </c>
      <c r="B62" s="17" t="n">
        <v>2230</v>
      </c>
      <c r="C62" s="18">
        <f>(1768.0/B62*100)</f>
        <v/>
      </c>
      <c r="D62" s="19" t="n">
        <v>462</v>
      </c>
      <c r="E62" s="18" t="n">
        <v>64.75876768000001</v>
      </c>
      <c r="F62" s="20" t="n">
        <v>2.07581733</v>
      </c>
      <c r="G62" s="18" t="n">
        <v>28.75430891</v>
      </c>
      <c r="H62" s="20" t="n">
        <v>1.91534961</v>
      </c>
      <c r="I62" s="18" t="n">
        <v>0</v>
      </c>
      <c r="J62" s="20" t="n">
        <v>0</v>
      </c>
      <c r="K62" s="18" t="n">
        <v>0</v>
      </c>
      <c r="L62" s="20" t="n">
        <v>0</v>
      </c>
      <c r="M62" s="18" t="n">
        <v>0.21751496</v>
      </c>
      <c r="N62" s="20" t="n">
        <v>0.2179016</v>
      </c>
      <c r="O62" s="18" t="n">
        <v>0</v>
      </c>
      <c r="P62" s="20" t="n">
        <v>0</v>
      </c>
      <c r="Q62" s="18" t="n">
        <v>6.26940845</v>
      </c>
      <c r="R62" s="20" t="n">
        <v>1.18686393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(2199.0/B67*100)</f>
        <v/>
      </c>
      <c r="D67" s="19" t="n">
        <v>572</v>
      </c>
      <c r="E67" s="18" t="n">
        <v>16.44858983</v>
      </c>
      <c r="F67" s="20" t="n">
        <v>1.59292671</v>
      </c>
      <c r="G67" s="18" t="n">
        <v>16.80682559</v>
      </c>
      <c r="H67" s="20" t="n">
        <v>1.38261208</v>
      </c>
      <c r="I67" s="18" t="n">
        <v>0</v>
      </c>
      <c r="J67" s="20" t="n">
        <v>0</v>
      </c>
      <c r="K67" s="18" t="n">
        <v>1.09047783</v>
      </c>
      <c r="L67" s="20" t="n">
        <v>0.41674406</v>
      </c>
      <c r="M67" s="18" t="n">
        <v>30.59474395</v>
      </c>
      <c r="N67" s="20" t="n">
        <v>1.83999086</v>
      </c>
      <c r="O67" s="18" t="n">
        <v>0</v>
      </c>
      <c r="P67" s="20" t="n">
        <v>0</v>
      </c>
      <c r="Q67" s="18" t="n">
        <v>35.0593628</v>
      </c>
      <c r="R67" s="20" t="n">
        <v>1.89395588</v>
      </c>
    </row>
    <row r="68" spans="1:18">
      <c r="A68" s="15" t="s">
        <v>628</v>
      </c>
      <c r="B68" s="17" t="n">
        <v>3460</v>
      </c>
      <c r="C68" s="18">
        <f>(2857.0/B68*100)</f>
        <v/>
      </c>
      <c r="D68" s="19" t="n">
        <v>603</v>
      </c>
      <c r="E68" s="18" t="n">
        <v>72.20321851999999</v>
      </c>
      <c r="F68" s="20" t="n">
        <v>1.8913934</v>
      </c>
      <c r="G68" s="18" t="n">
        <v>9.07245988</v>
      </c>
      <c r="H68" s="20" t="n">
        <v>1.32770551</v>
      </c>
      <c r="I68" s="18" t="n">
        <v>0</v>
      </c>
      <c r="J68" s="20" t="n">
        <v>0</v>
      </c>
      <c r="K68" s="18" t="n">
        <v>0.45671516</v>
      </c>
      <c r="L68" s="20" t="n">
        <v>0.26285826</v>
      </c>
      <c r="M68" s="18" t="n">
        <v>0</v>
      </c>
      <c r="N68" s="20" t="n">
        <v>0</v>
      </c>
      <c r="O68" s="18" t="n">
        <v>0</v>
      </c>
      <c r="P68" s="20" t="n">
        <v>0</v>
      </c>
      <c r="Q68" s="18" t="n">
        <v>18.26760644</v>
      </c>
      <c r="R68" s="20" t="n">
        <v>1.5155063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(4719.0/B70*100)</f>
        <v/>
      </c>
      <c r="D70" s="19" t="n">
        <v>1315</v>
      </c>
      <c r="E70" s="18" t="n">
        <v>49.40443894</v>
      </c>
      <c r="F70" s="20" t="n">
        <v>1.18104868</v>
      </c>
      <c r="G70" s="18" t="n">
        <v>26.20141082</v>
      </c>
      <c r="H70" s="20" t="n">
        <v>1.10761094</v>
      </c>
      <c r="I70" s="18" t="n">
        <v>0</v>
      </c>
      <c r="J70" s="20" t="n">
        <v>0</v>
      </c>
      <c r="K70" s="18" t="n">
        <v>4.78267506</v>
      </c>
      <c r="L70" s="20" t="n">
        <v>0.53827528</v>
      </c>
      <c r="M70" s="18" t="n">
        <v>0.07458019</v>
      </c>
      <c r="N70" s="20" t="n">
        <v>0.07438702</v>
      </c>
      <c r="O70" s="18" t="n">
        <v>0</v>
      </c>
      <c r="P70" s="20" t="n">
        <v>0</v>
      </c>
      <c r="Q70" s="18" t="n">
        <v>19.53689499</v>
      </c>
      <c r="R70" s="20" t="n">
        <v>1.06479826</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(2498.0/B72*100)</f>
        <v/>
      </c>
      <c r="D72" s="19" t="n">
        <v>609</v>
      </c>
      <c r="E72" s="18" t="n">
        <v>54.12047361</v>
      </c>
      <c r="F72" s="20" t="n">
        <v>2.52924013</v>
      </c>
      <c r="G72" s="18" t="n">
        <v>24.19598935</v>
      </c>
      <c r="H72" s="20" t="n">
        <v>2.06307261</v>
      </c>
      <c r="I72" s="18" t="n">
        <v>0</v>
      </c>
      <c r="J72" s="20" t="n">
        <v>0</v>
      </c>
      <c r="K72" s="18" t="n">
        <v>0.5797331999999999</v>
      </c>
      <c r="L72" s="20" t="n">
        <v>0.2451731</v>
      </c>
      <c r="M72" s="18" t="n">
        <v>0</v>
      </c>
      <c r="N72" s="20" t="n">
        <v>0</v>
      </c>
      <c r="O72" s="18" t="n">
        <v>0</v>
      </c>
      <c r="P72" s="20" t="n">
        <v>0</v>
      </c>
      <c r="Q72" s="18" t="n">
        <v>21.10380384</v>
      </c>
      <c r="R72" s="20" t="n">
        <v>1.95001792</v>
      </c>
    </row>
    <row r="73" spans="1:18">
      <c r="A73" s="15" t="s">
        <v>633</v>
      </c>
      <c r="B73" s="17" t="n">
        <v>2973</v>
      </c>
      <c r="C73" s="18">
        <f>(2278.0/B73*100)</f>
        <v/>
      </c>
      <c r="D73" s="19" t="n">
        <v>695</v>
      </c>
      <c r="E73" s="18" t="n">
        <v>33.75005435</v>
      </c>
      <c r="F73" s="20" t="n">
        <v>1.6803491</v>
      </c>
      <c r="G73" s="18" t="n">
        <v>59.66381752</v>
      </c>
      <c r="H73" s="20" t="n">
        <v>1.75656074</v>
      </c>
      <c r="I73" s="18" t="n">
        <v>0</v>
      </c>
      <c r="J73" s="20" t="n">
        <v>0</v>
      </c>
      <c r="K73" s="18" t="n">
        <v>0.09675933</v>
      </c>
      <c r="L73" s="20" t="n">
        <v>0.09682927</v>
      </c>
      <c r="M73" s="18" t="n">
        <v>0</v>
      </c>
      <c r="N73" s="20" t="n">
        <v>0</v>
      </c>
      <c r="O73" s="18" t="n">
        <v>0</v>
      </c>
      <c r="P73" s="20" t="n">
        <v>0</v>
      </c>
      <c r="Q73" s="18" t="n">
        <v>6.4893688</v>
      </c>
      <c r="R73" s="20" t="n">
        <v>1.13305434</v>
      </c>
    </row>
    <row r="74" spans="1:18">
      <c r="A74" s="15" t="s">
        <v>634</v>
      </c>
      <c r="B74" s="17" t="n">
        <v>3819</v>
      </c>
      <c r="C74" s="18">
        <f>(2947.0/B74*100)</f>
        <v/>
      </c>
      <c r="D74" s="19" t="n">
        <v>872</v>
      </c>
      <c r="E74" s="18" t="n">
        <v>46.07440493</v>
      </c>
      <c r="F74" s="20" t="n">
        <v>1.82916046</v>
      </c>
      <c r="G74" s="18" t="n">
        <v>43.73003429</v>
      </c>
      <c r="H74" s="20" t="n">
        <v>2.04314783</v>
      </c>
      <c r="I74" s="18" t="n">
        <v>0</v>
      </c>
      <c r="J74" s="20" t="n">
        <v>0</v>
      </c>
      <c r="K74" s="18" t="n">
        <v>0.22753306</v>
      </c>
      <c r="L74" s="20" t="n">
        <v>0.13475443</v>
      </c>
      <c r="M74" s="18" t="n">
        <v>0</v>
      </c>
      <c r="N74" s="20" t="n">
        <v>0</v>
      </c>
      <c r="O74" s="18" t="n">
        <v>0</v>
      </c>
      <c r="P74" s="20" t="n">
        <v>0</v>
      </c>
      <c r="Q74" s="18" t="n">
        <v>9.968027729999999</v>
      </c>
      <c r="R74" s="20" t="n">
        <v>1.1548377</v>
      </c>
    </row>
    <row r="75" spans="1:18">
      <c r="A75" s="15" t="s">
        <v>635</v>
      </c>
      <c r="B75" s="17" t="n">
        <v>4652</v>
      </c>
      <c r="C75" s="18">
        <f>(3734.0/B75*100)</f>
        <v/>
      </c>
      <c r="D75" s="19" t="n">
        <v>918</v>
      </c>
      <c r="E75" s="18" t="n">
        <v>84.73858451</v>
      </c>
      <c r="F75" s="20" t="n">
        <v>1.41995741</v>
      </c>
      <c r="G75" s="18" t="n">
        <v>10.41665589</v>
      </c>
      <c r="H75" s="20" t="n">
        <v>1.11662979</v>
      </c>
      <c r="I75" s="18" t="n">
        <v>0</v>
      </c>
      <c r="J75" s="20" t="n">
        <v>0</v>
      </c>
      <c r="K75" s="18" t="n">
        <v>0</v>
      </c>
      <c r="L75" s="20" t="n">
        <v>0</v>
      </c>
      <c r="M75" s="18" t="n">
        <v>0.15381162</v>
      </c>
      <c r="N75" s="20" t="n">
        <v>0.15160804</v>
      </c>
      <c r="O75" s="18" t="n">
        <v>0</v>
      </c>
      <c r="P75" s="20" t="n">
        <v>0</v>
      </c>
      <c r="Q75" s="18" t="n">
        <v>4.69094797</v>
      </c>
      <c r="R75" s="20" t="n">
        <v>0.90852225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(2421.0/B77*100)</f>
        <v/>
      </c>
      <c r="D77" s="19" t="n">
        <v>548</v>
      </c>
      <c r="E77" s="18" t="n">
        <v>37.54105229</v>
      </c>
      <c r="F77" s="20" t="n">
        <v>2.16904126</v>
      </c>
      <c r="G77" s="18" t="n">
        <v>7.67056246</v>
      </c>
      <c r="H77" s="20" t="n">
        <v>1.27015441</v>
      </c>
      <c r="I77" s="18" t="n">
        <v>0</v>
      </c>
      <c r="J77" s="20" t="n">
        <v>0</v>
      </c>
      <c r="K77" s="18" t="n">
        <v>9.014317289999999</v>
      </c>
      <c r="L77" s="20" t="n">
        <v>1.67675314</v>
      </c>
      <c r="M77" s="18" t="n">
        <v>0.16708346</v>
      </c>
      <c r="N77" s="20" t="n">
        <v>0.16755861</v>
      </c>
      <c r="O77" s="18" t="n">
        <v>0</v>
      </c>
      <c r="P77" s="20" t="n">
        <v>0</v>
      </c>
      <c r="Q77" s="18" t="n">
        <v>45.60698451</v>
      </c>
      <c r="R77" s="20" t="n">
        <v>2.40008241</v>
      </c>
    </row>
    <row r="78" spans="1:18">
      <c r="A78" s="15" t="s">
        <v>638</v>
      </c>
      <c r="B78" s="17" t="n">
        <v>7115</v>
      </c>
      <c r="C78" s="18">
        <f>(5545.0/B78*100)</f>
        <v/>
      </c>
      <c r="D78" s="19" t="n">
        <v>1570</v>
      </c>
      <c r="E78" s="18" t="n">
        <v>67.94119508999999</v>
      </c>
      <c r="F78" s="20" t="n">
        <v>1.67401773</v>
      </c>
      <c r="G78" s="18" t="n">
        <v>23.27353851</v>
      </c>
      <c r="H78" s="20" t="n">
        <v>1.41503601</v>
      </c>
      <c r="I78" s="18" t="n">
        <v>0</v>
      </c>
      <c r="J78" s="20" t="n">
        <v>0</v>
      </c>
      <c r="K78" s="18" t="n">
        <v>1.41195433</v>
      </c>
      <c r="L78" s="20" t="n">
        <v>0.39349896</v>
      </c>
      <c r="M78" s="18" t="n">
        <v>0.06881618</v>
      </c>
      <c r="N78" s="20" t="n">
        <v>0.06484297</v>
      </c>
      <c r="O78" s="18" t="n">
        <v>0</v>
      </c>
      <c r="P78" s="20" t="n">
        <v>0</v>
      </c>
      <c r="Q78" s="18" t="n">
        <v>7.30449589</v>
      </c>
      <c r="R78" s="20" t="n">
        <v>0.84557505</v>
      </c>
    </row>
    <row r="79" spans="1:18">
      <c r="A79" s="15" t="s">
        <v>639</v>
      </c>
      <c r="B79" s="17" t="n">
        <v>3154</v>
      </c>
      <c r="C79" s="18">
        <f>(2539.0/B79*100)</f>
        <v/>
      </c>
      <c r="D79" s="19" t="n">
        <v>615</v>
      </c>
      <c r="E79" s="18" t="n">
        <v>36.89540506</v>
      </c>
      <c r="F79" s="20" t="n">
        <v>2.18359047</v>
      </c>
      <c r="G79" s="18" t="n">
        <v>24.77034974</v>
      </c>
      <c r="H79" s="20" t="n">
        <v>1.90708755</v>
      </c>
      <c r="I79" s="18" t="n">
        <v>0</v>
      </c>
      <c r="J79" s="20" t="n">
        <v>0</v>
      </c>
      <c r="K79" s="18" t="n">
        <v>2.82464738</v>
      </c>
      <c r="L79" s="20" t="n">
        <v>0.80843193</v>
      </c>
      <c r="M79" s="18" t="n">
        <v>0</v>
      </c>
      <c r="N79" s="20" t="n">
        <v>0</v>
      </c>
      <c r="O79" s="18" t="n">
        <v>0</v>
      </c>
      <c r="P79" s="20" t="n">
        <v>0</v>
      </c>
      <c r="Q79" s="18" t="n">
        <v>35.50959783</v>
      </c>
      <c r="R79" s="20" t="n">
        <v>2.15689014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(12557.0/B82*100)</f>
        <v/>
      </c>
      <c r="D82" s="19" t="n">
        <v>3404</v>
      </c>
      <c r="E82" s="18" t="n">
        <v>38.7638999</v>
      </c>
      <c r="F82" s="20" t="n">
        <v>1.13539554</v>
      </c>
      <c r="G82" s="18" t="n">
        <v>40.28988807</v>
      </c>
      <c r="H82" s="20" t="n">
        <v>1.31086376</v>
      </c>
      <c r="I82" s="18" t="n">
        <v>0</v>
      </c>
      <c r="J82" s="20" t="n">
        <v>0</v>
      </c>
      <c r="K82" s="18" t="n">
        <v>0.45561898</v>
      </c>
      <c r="L82" s="20" t="n">
        <v>0.15771193</v>
      </c>
      <c r="M82" s="18" t="n">
        <v>0</v>
      </c>
      <c r="N82" s="20" t="n">
        <v>0</v>
      </c>
      <c r="O82" s="18" t="n">
        <v>0</v>
      </c>
      <c r="P82" s="20" t="n">
        <v>0</v>
      </c>
      <c r="Q82" s="18" t="n">
        <v>20.49059304</v>
      </c>
      <c r="R82" s="20" t="n">
        <v>1.24550018</v>
      </c>
    </row>
    <row r="83" spans="1:18">
      <c r="A83" s="15" t="s">
        <v>643</v>
      </c>
      <c r="B83" s="17" t="n">
        <v>808</v>
      </c>
      <c r="C83" s="18">
        <f>(653.0/B83*100)</f>
        <v/>
      </c>
      <c r="D83" s="19" t="n">
        <v>155</v>
      </c>
      <c r="E83" s="18" t="n">
        <v>51.01326625</v>
      </c>
      <c r="F83" s="20" t="n">
        <v>3.85117248</v>
      </c>
      <c r="G83" s="18" t="n">
        <v>46.28375883</v>
      </c>
      <c r="H83" s="20" t="n">
        <v>3.69812596</v>
      </c>
      <c r="I83" s="18" t="n">
        <v>0</v>
      </c>
      <c r="J83" s="20" t="n">
        <v>0</v>
      </c>
      <c r="K83" s="18" t="n">
        <v>0</v>
      </c>
      <c r="L83" s="20" t="n">
        <v>0</v>
      </c>
      <c r="M83" s="18" t="n">
        <v>0</v>
      </c>
      <c r="N83" s="20" t="n">
        <v>0</v>
      </c>
      <c r="O83" s="18" t="n">
        <v>0</v>
      </c>
      <c r="P83" s="20" t="n">
        <v>0</v>
      </c>
      <c r="Q83" s="18" t="n">
        <v>2.70297492</v>
      </c>
      <c r="R83" s="20" t="n">
        <v>1.19758486</v>
      </c>
    </row>
    <row r="84" spans="1:18">
      <c r="A84" s="23" t="s">
        <v>644</v>
      </c>
      <c r="B84" s="24" t="n">
        <v>938</v>
      </c>
      <c r="C84" s="25">
        <f>(715.0/B84*100)</f>
        <v/>
      </c>
      <c r="D84" s="19" t="n">
        <v>223</v>
      </c>
      <c r="E84" s="18" t="n">
        <v>50.05011865</v>
      </c>
      <c r="F84" s="20" t="n">
        <v>4.19092611</v>
      </c>
      <c r="G84" s="18" t="n">
        <v>47.35119881</v>
      </c>
      <c r="H84" s="20" t="n">
        <v>4.3259634</v>
      </c>
      <c r="I84" s="18" t="n">
        <v>0</v>
      </c>
      <c r="J84" s="20" t="n">
        <v>0</v>
      </c>
      <c r="K84" s="18" t="n">
        <v>0</v>
      </c>
      <c r="L84" s="20" t="n">
        <v>0</v>
      </c>
      <c r="M84" s="18" t="n">
        <v>0</v>
      </c>
      <c r="N84" s="20" t="n">
        <v>0</v>
      </c>
      <c r="O84" s="18" t="n">
        <v>0</v>
      </c>
      <c r="P84" s="20" t="n">
        <v>0</v>
      </c>
      <c r="Q84" s="18" t="n">
        <v>2.59868255</v>
      </c>
      <c r="R84" s="20" t="n">
        <v>1.12995114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(5664.0/B7*100)</f>
        <v/>
      </c>
      <c r="D7" s="19" t="n">
        <v>1499</v>
      </c>
      <c r="E7" s="18" t="n">
        <v>44.84006515</v>
      </c>
      <c r="F7" s="20" t="n">
        <v>1.5370966</v>
      </c>
      <c r="G7" s="18" t="n">
        <v>53.31979253</v>
      </c>
      <c r="H7" s="20" t="n">
        <v>1.53365317</v>
      </c>
      <c r="I7" s="18" t="n">
        <v>0</v>
      </c>
      <c r="J7" s="20" t="n">
        <v>0</v>
      </c>
      <c r="K7" s="18" t="n">
        <v>1.08509049</v>
      </c>
      <c r="L7" s="20" t="n">
        <v>0.2943438</v>
      </c>
      <c r="M7" s="18" t="n">
        <v>0</v>
      </c>
      <c r="N7" s="20" t="n">
        <v>0</v>
      </c>
      <c r="O7" s="18" t="n">
        <v>0</v>
      </c>
      <c r="P7" s="20" t="n">
        <v>0</v>
      </c>
      <c r="Q7" s="18" t="n">
        <v>0.75505183</v>
      </c>
      <c r="R7" s="20" t="n">
        <v>0.20201403</v>
      </c>
    </row>
    <row r="8" spans="1:18">
      <c r="A8" s="15" t="s">
        <v>566</v>
      </c>
      <c r="B8" s="17" t="n">
        <v>3443</v>
      </c>
      <c r="C8" s="18">
        <f>(2734.0/B8*100)</f>
        <v/>
      </c>
      <c r="D8" s="19" t="n">
        <v>709</v>
      </c>
      <c r="E8" s="18" t="n">
        <v>42.07254822</v>
      </c>
      <c r="F8" s="20" t="n">
        <v>2.3637611</v>
      </c>
      <c r="G8" s="18" t="n">
        <v>56.77833631</v>
      </c>
      <c r="H8" s="20" t="n">
        <v>2.46372787</v>
      </c>
      <c r="I8" s="18" t="n">
        <v>0</v>
      </c>
      <c r="J8" s="20" t="n">
        <v>0</v>
      </c>
      <c r="K8" s="18" t="n">
        <v>0.4417055</v>
      </c>
      <c r="L8" s="20" t="n">
        <v>0.27527607</v>
      </c>
      <c r="M8" s="18" t="n">
        <v>0</v>
      </c>
      <c r="N8" s="20" t="n">
        <v>0</v>
      </c>
      <c r="O8" s="18" t="n">
        <v>0</v>
      </c>
      <c r="P8" s="20" t="n">
        <v>0</v>
      </c>
      <c r="Q8" s="18" t="n">
        <v>0.7074099700000001</v>
      </c>
      <c r="R8" s="20" t="n">
        <v>0.4631272</v>
      </c>
    </row>
    <row r="9" spans="1:18">
      <c r="A9" s="15" t="s">
        <v>567</v>
      </c>
      <c r="B9" s="17" t="n">
        <v>4752</v>
      </c>
      <c r="C9" s="18">
        <f>(3818.0/B9*100)</f>
        <v/>
      </c>
      <c r="D9" s="19" t="n">
        <v>934</v>
      </c>
      <c r="E9" s="18" t="n">
        <v>44.83703302</v>
      </c>
      <c r="F9" s="20" t="n">
        <v>1.41086233</v>
      </c>
      <c r="G9" s="18" t="n">
        <v>51.66035592</v>
      </c>
      <c r="H9" s="20" t="n">
        <v>1.45368722</v>
      </c>
      <c r="I9" s="18" t="n">
        <v>0</v>
      </c>
      <c r="J9" s="20" t="n">
        <v>0</v>
      </c>
      <c r="K9" s="18" t="n">
        <v>2.2835212</v>
      </c>
      <c r="L9" s="20" t="n">
        <v>0.50287419</v>
      </c>
      <c r="M9" s="18" t="n">
        <v>0</v>
      </c>
      <c r="N9" s="20" t="n">
        <v>0</v>
      </c>
      <c r="O9" s="18" t="n">
        <v>0</v>
      </c>
      <c r="P9" s="20" t="n">
        <v>0</v>
      </c>
      <c r="Q9" s="18" t="n">
        <v>1.21908986</v>
      </c>
      <c r="R9" s="20" t="n">
        <v>0.4191732</v>
      </c>
    </row>
    <row r="10" spans="1:18">
      <c r="A10" s="15" t="s">
        <v>568</v>
      </c>
      <c r="B10" s="17" t="n">
        <v>10022</v>
      </c>
      <c r="C10" s="18">
        <f>(7808.0/B10*100)</f>
        <v/>
      </c>
      <c r="D10" s="19" t="n">
        <v>2214</v>
      </c>
      <c r="E10" s="18" t="n">
        <v>39.67358488</v>
      </c>
      <c r="F10" s="20" t="n">
        <v>1.45702742</v>
      </c>
      <c r="G10" s="18" t="n">
        <v>58.23403315</v>
      </c>
      <c r="H10" s="20" t="n">
        <v>1.57177072</v>
      </c>
      <c r="I10" s="18" t="n">
        <v>0</v>
      </c>
      <c r="J10" s="20" t="n">
        <v>0</v>
      </c>
      <c r="K10" s="18" t="n">
        <v>1.6011692</v>
      </c>
      <c r="L10" s="20" t="n">
        <v>0.44310753</v>
      </c>
      <c r="M10" s="18" t="n">
        <v>0</v>
      </c>
      <c r="N10" s="20" t="n">
        <v>0</v>
      </c>
      <c r="O10" s="18" t="n">
        <v>0</v>
      </c>
      <c r="P10" s="20" t="n">
        <v>0</v>
      </c>
      <c r="Q10" s="18" t="n">
        <v>0.49121276</v>
      </c>
      <c r="R10" s="20" t="n">
        <v>0.15211174</v>
      </c>
    </row>
    <row r="11" spans="1:18">
      <c r="A11" s="15" t="s">
        <v>569</v>
      </c>
      <c r="B11" s="17" t="n">
        <v>3500</v>
      </c>
      <c r="C11" s="18">
        <f>(2759.0/B11*100)</f>
        <v/>
      </c>
      <c r="D11" s="19" t="n">
        <v>741</v>
      </c>
      <c r="E11" s="18" t="n">
        <v>65.58778819</v>
      </c>
      <c r="F11" s="20" t="n">
        <v>1.79094594</v>
      </c>
      <c r="G11" s="18" t="n">
        <v>28.90066579</v>
      </c>
      <c r="H11" s="20" t="n">
        <v>1.70404654</v>
      </c>
      <c r="I11" s="18" t="n">
        <v>0</v>
      </c>
      <c r="J11" s="20" t="n">
        <v>0</v>
      </c>
      <c r="K11" s="18" t="n">
        <v>3.21351607</v>
      </c>
      <c r="L11" s="20" t="n">
        <v>0.87364049</v>
      </c>
      <c r="M11" s="18" t="n">
        <v>0</v>
      </c>
      <c r="N11" s="20" t="n">
        <v>0</v>
      </c>
      <c r="O11" s="18" t="n">
        <v>0</v>
      </c>
      <c r="P11" s="20" t="n">
        <v>0</v>
      </c>
      <c r="Q11" s="18" t="n">
        <v>2.29802994</v>
      </c>
      <c r="R11" s="20" t="n">
        <v>0.67824369</v>
      </c>
    </row>
    <row r="12" spans="1:18">
      <c r="A12" s="15" t="s">
        <v>570</v>
      </c>
      <c r="B12" s="17" t="n">
        <v>3422</v>
      </c>
      <c r="C12" s="18">
        <f>(2668.0/B12*100)</f>
        <v/>
      </c>
      <c r="D12" s="19" t="n">
        <v>754</v>
      </c>
      <c r="E12" s="18" t="n">
        <v>47.54659727</v>
      </c>
      <c r="F12" s="20" t="n">
        <v>2.29773538</v>
      </c>
      <c r="G12" s="18" t="n">
        <v>50.39281047</v>
      </c>
      <c r="H12" s="20" t="n">
        <v>2.20654241</v>
      </c>
      <c r="I12" s="18" t="n">
        <v>0</v>
      </c>
      <c r="J12" s="20" t="n">
        <v>0</v>
      </c>
      <c r="K12" s="18" t="n">
        <v>0.59369068</v>
      </c>
      <c r="L12" s="20" t="n">
        <v>0.25783739</v>
      </c>
      <c r="M12" s="18" t="n">
        <v>0</v>
      </c>
      <c r="N12" s="20" t="n">
        <v>0</v>
      </c>
      <c r="O12" s="18" t="n">
        <v>0</v>
      </c>
      <c r="P12" s="20" t="n">
        <v>0</v>
      </c>
      <c r="Q12" s="18" t="n">
        <v>1.46690158</v>
      </c>
      <c r="R12" s="20" t="n">
        <v>0.54569844</v>
      </c>
    </row>
    <row r="13" spans="1:18">
      <c r="A13" s="15" t="s">
        <v>571</v>
      </c>
      <c r="B13" s="17" t="n">
        <v>3602</v>
      </c>
      <c r="C13" s="18">
        <f>(2875.0/B13*100)</f>
        <v/>
      </c>
      <c r="D13" s="19" t="n">
        <v>727</v>
      </c>
      <c r="E13" s="18" t="n">
        <v>44.85503554</v>
      </c>
      <c r="F13" s="20" t="n">
        <v>2.12931147</v>
      </c>
      <c r="G13" s="18" t="n">
        <v>54.01658777</v>
      </c>
      <c r="H13" s="20" t="n">
        <v>2.06748015</v>
      </c>
      <c r="I13" s="18" t="n">
        <v>0</v>
      </c>
      <c r="J13" s="20" t="n">
        <v>0</v>
      </c>
      <c r="K13" s="18" t="n">
        <v>0.86120661</v>
      </c>
      <c r="L13" s="20" t="n">
        <v>0.47275359</v>
      </c>
      <c r="M13" s="18" t="n">
        <v>0</v>
      </c>
      <c r="N13" s="20" t="n">
        <v>0</v>
      </c>
      <c r="O13" s="18" t="n">
        <v>0</v>
      </c>
      <c r="P13" s="20" t="n">
        <v>0</v>
      </c>
      <c r="Q13" s="18" t="n">
        <v>0.26717008</v>
      </c>
      <c r="R13" s="20" t="n">
        <v>0.16429353</v>
      </c>
    </row>
    <row r="14" spans="1:18">
      <c r="A14" s="15" t="s">
        <v>572</v>
      </c>
      <c r="B14" s="17" t="n">
        <v>2788</v>
      </c>
      <c r="C14" s="18">
        <f>(2189.0/B14*100)</f>
        <v/>
      </c>
      <c r="D14" s="19" t="n">
        <v>599</v>
      </c>
      <c r="E14" s="18" t="n">
        <v>36.29683604</v>
      </c>
      <c r="F14" s="20" t="n">
        <v>2.17075738</v>
      </c>
      <c r="G14" s="18" t="n">
        <v>61.15418456</v>
      </c>
      <c r="H14" s="20" t="n">
        <v>2.31148871</v>
      </c>
      <c r="I14" s="18" t="n">
        <v>0</v>
      </c>
      <c r="J14" s="20" t="n">
        <v>0</v>
      </c>
      <c r="K14" s="18" t="n">
        <v>1.62003688</v>
      </c>
      <c r="L14" s="20" t="n">
        <v>0.53788651</v>
      </c>
      <c r="M14" s="18" t="n">
        <v>0</v>
      </c>
      <c r="N14" s="20" t="n">
        <v>0</v>
      </c>
      <c r="O14" s="18" t="n">
        <v>0</v>
      </c>
      <c r="P14" s="20" t="n">
        <v>0</v>
      </c>
      <c r="Q14" s="18" t="n">
        <v>0.9289425100000001</v>
      </c>
      <c r="R14" s="20" t="n">
        <v>0.50974093</v>
      </c>
    </row>
    <row r="15" spans="1:18">
      <c r="A15" s="15" t="s">
        <v>573</v>
      </c>
      <c r="B15" s="17" t="n">
        <v>2863</v>
      </c>
      <c r="C15" s="18">
        <f>(2240.0/B15*100)</f>
        <v/>
      </c>
      <c r="D15" s="19" t="n">
        <v>623</v>
      </c>
      <c r="E15" s="18" t="n">
        <v>23.8499526</v>
      </c>
      <c r="F15" s="20" t="n">
        <v>1.8749441</v>
      </c>
      <c r="G15" s="18" t="n">
        <v>75.99644447</v>
      </c>
      <c r="H15" s="20" t="n">
        <v>1.83669348</v>
      </c>
      <c r="I15" s="18" t="n">
        <v>0</v>
      </c>
      <c r="J15" s="20" t="n">
        <v>0</v>
      </c>
      <c r="K15" s="18" t="n">
        <v>0</v>
      </c>
      <c r="L15" s="20" t="n">
        <v>0</v>
      </c>
      <c r="M15" s="18" t="n">
        <v>0</v>
      </c>
      <c r="N15" s="20" t="n">
        <v>0</v>
      </c>
      <c r="O15" s="18" t="n">
        <v>0</v>
      </c>
      <c r="P15" s="20" t="n">
        <v>0</v>
      </c>
      <c r="Q15" s="18" t="n">
        <v>0.15360293</v>
      </c>
      <c r="R15" s="20" t="n">
        <v>0.15340152</v>
      </c>
    </row>
    <row r="16" spans="1:18">
      <c r="A16" s="15" t="s">
        <v>574</v>
      </c>
      <c r="B16" s="17" t="n">
        <v>3111</v>
      </c>
      <c r="C16" s="18">
        <f>(2442.0/B16*100)</f>
        <v/>
      </c>
      <c r="D16" s="19" t="n">
        <v>669</v>
      </c>
      <c r="E16" s="18" t="n">
        <v>48.71658109</v>
      </c>
      <c r="F16" s="20" t="n">
        <v>1.98326907</v>
      </c>
      <c r="G16" s="18" t="n">
        <v>47.4529004</v>
      </c>
      <c r="H16" s="20" t="n">
        <v>1.99295459</v>
      </c>
      <c r="I16" s="18" t="n">
        <v>0</v>
      </c>
      <c r="J16" s="20" t="n">
        <v>0</v>
      </c>
      <c r="K16" s="18" t="n">
        <v>1.57321177</v>
      </c>
      <c r="L16" s="20" t="n">
        <v>0.50516162</v>
      </c>
      <c r="M16" s="18" t="n">
        <v>0</v>
      </c>
      <c r="N16" s="20" t="n">
        <v>0</v>
      </c>
      <c r="O16" s="18" t="n">
        <v>0</v>
      </c>
      <c r="P16" s="20" t="n">
        <v>0</v>
      </c>
      <c r="Q16" s="18" t="n">
        <v>2.25730674</v>
      </c>
      <c r="R16" s="20" t="n">
        <v>0.61614113</v>
      </c>
    </row>
    <row r="17" spans="1:18">
      <c r="A17" s="15" t="s">
        <v>575</v>
      </c>
      <c r="B17" s="17" t="n">
        <v>3197</v>
      </c>
      <c r="C17" s="18">
        <f>(2543.0/B17*100)</f>
        <v/>
      </c>
      <c r="D17" s="19" t="n">
        <v>654</v>
      </c>
      <c r="E17" s="18" t="n">
        <v>41.49794064</v>
      </c>
      <c r="F17" s="20" t="n">
        <v>2.05307685</v>
      </c>
      <c r="G17" s="18" t="n">
        <v>56.63414323</v>
      </c>
      <c r="H17" s="20" t="n">
        <v>2.09933542</v>
      </c>
      <c r="I17" s="18" t="n">
        <v>0</v>
      </c>
      <c r="J17" s="20" t="n">
        <v>0</v>
      </c>
      <c r="K17" s="18" t="n">
        <v>0.71747319</v>
      </c>
      <c r="L17" s="20" t="n">
        <v>0.32310627</v>
      </c>
      <c r="M17" s="18" t="n">
        <v>0</v>
      </c>
      <c r="N17" s="20" t="n">
        <v>0</v>
      </c>
      <c r="O17" s="18" t="n">
        <v>0</v>
      </c>
      <c r="P17" s="20" t="n">
        <v>0</v>
      </c>
      <c r="Q17" s="18" t="n">
        <v>1.15044294</v>
      </c>
      <c r="R17" s="20" t="n">
        <v>0.62209435</v>
      </c>
    </row>
    <row r="18" spans="1:18">
      <c r="A18" s="15" t="s">
        <v>576</v>
      </c>
      <c r="B18" s="17" t="n">
        <v>2706</v>
      </c>
      <c r="C18" s="18">
        <f>(2108.0/B18*100)</f>
        <v/>
      </c>
      <c r="D18" s="19" t="n">
        <v>598</v>
      </c>
      <c r="E18" s="18" t="n">
        <v>57.0087651</v>
      </c>
      <c r="F18" s="20" t="n">
        <v>1.98635322</v>
      </c>
      <c r="G18" s="18" t="n">
        <v>38.43801327</v>
      </c>
      <c r="H18" s="20" t="n">
        <v>1.93481329</v>
      </c>
      <c r="I18" s="18" t="n">
        <v>0</v>
      </c>
      <c r="J18" s="20" t="n">
        <v>0</v>
      </c>
      <c r="K18" s="18" t="n">
        <v>1.79940688</v>
      </c>
      <c r="L18" s="20" t="n">
        <v>0.49188987</v>
      </c>
      <c r="M18" s="18" t="n">
        <v>0</v>
      </c>
      <c r="N18" s="20" t="n">
        <v>0</v>
      </c>
      <c r="O18" s="18" t="n">
        <v>0</v>
      </c>
      <c r="P18" s="20" t="n">
        <v>0</v>
      </c>
      <c r="Q18" s="18" t="n">
        <v>2.75381475</v>
      </c>
      <c r="R18" s="20" t="n">
        <v>0.76858945</v>
      </c>
    </row>
    <row r="19" spans="1:18">
      <c r="A19" s="15" t="s">
        <v>577</v>
      </c>
      <c r="B19" s="17" t="n">
        <v>2850</v>
      </c>
      <c r="C19" s="18">
        <f>(2202.0/B19*100)</f>
        <v/>
      </c>
      <c r="D19" s="19" t="n">
        <v>648</v>
      </c>
      <c r="E19" s="18" t="n">
        <v>46.77490167</v>
      </c>
      <c r="F19" s="20" t="n">
        <v>2.07777235</v>
      </c>
      <c r="G19" s="18" t="n">
        <v>49.98415273</v>
      </c>
      <c r="H19" s="20" t="n">
        <v>2.10034041</v>
      </c>
      <c r="I19" s="18" t="n">
        <v>0</v>
      </c>
      <c r="J19" s="20" t="n">
        <v>0</v>
      </c>
      <c r="K19" s="18" t="n">
        <v>1.13127498</v>
      </c>
      <c r="L19" s="20" t="n">
        <v>0.53112379</v>
      </c>
      <c r="M19" s="18" t="n">
        <v>0</v>
      </c>
      <c r="N19" s="20" t="n">
        <v>0</v>
      </c>
      <c r="O19" s="18" t="n">
        <v>0</v>
      </c>
      <c r="P19" s="20" t="n">
        <v>0</v>
      </c>
      <c r="Q19" s="18" t="n">
        <v>2.10967062</v>
      </c>
      <c r="R19" s="20" t="n">
        <v>0.71392916</v>
      </c>
    </row>
    <row r="20" spans="1:18">
      <c r="A20" s="15" t="s">
        <v>578</v>
      </c>
      <c r="B20" s="17" t="n">
        <v>1741</v>
      </c>
      <c r="C20" s="18">
        <f>(1359.0/B20*100)</f>
        <v/>
      </c>
      <c r="D20" s="19" t="n">
        <v>382</v>
      </c>
      <c r="E20" s="18" t="n">
        <v>59.33343032</v>
      </c>
      <c r="F20" s="20" t="n">
        <v>2.76577881</v>
      </c>
      <c r="G20" s="18" t="n">
        <v>37.89015884</v>
      </c>
      <c r="H20" s="20" t="n">
        <v>2.68428674</v>
      </c>
      <c r="I20" s="18" t="n">
        <v>0</v>
      </c>
      <c r="J20" s="20" t="n">
        <v>0</v>
      </c>
      <c r="K20" s="18" t="n">
        <v>1.08230449</v>
      </c>
      <c r="L20" s="20" t="n">
        <v>0.53781179</v>
      </c>
      <c r="M20" s="18" t="n">
        <v>0</v>
      </c>
      <c r="N20" s="20" t="n">
        <v>0</v>
      </c>
      <c r="O20" s="18" t="n">
        <v>0</v>
      </c>
      <c r="P20" s="20" t="n">
        <v>0</v>
      </c>
      <c r="Q20" s="18" t="n">
        <v>1.69410636</v>
      </c>
      <c r="R20" s="20" t="n">
        <v>0.68439302</v>
      </c>
    </row>
    <row r="21" spans="1:18">
      <c r="A21" s="15" t="s">
        <v>579</v>
      </c>
      <c r="B21" s="17" t="n">
        <v>2833</v>
      </c>
      <c r="C21" s="18">
        <f>(2209.0/B21*100)</f>
        <v/>
      </c>
      <c r="D21" s="19" t="n">
        <v>624</v>
      </c>
      <c r="E21" s="18" t="n">
        <v>52.21968512</v>
      </c>
      <c r="F21" s="20" t="n">
        <v>2.49493068</v>
      </c>
      <c r="G21" s="18" t="n">
        <v>46.63127109</v>
      </c>
      <c r="H21" s="20" t="n">
        <v>2.42402967</v>
      </c>
      <c r="I21" s="18" t="n">
        <v>0</v>
      </c>
      <c r="J21" s="20" t="n">
        <v>0</v>
      </c>
      <c r="K21" s="18" t="n">
        <v>0.45089472</v>
      </c>
      <c r="L21" s="20" t="n">
        <v>0.25739815</v>
      </c>
      <c r="M21" s="18" t="n">
        <v>0</v>
      </c>
      <c r="N21" s="20" t="n">
        <v>0</v>
      </c>
      <c r="O21" s="18" t="n">
        <v>0</v>
      </c>
      <c r="P21" s="20" t="n">
        <v>0</v>
      </c>
      <c r="Q21" s="18" t="n">
        <v>0.69814906</v>
      </c>
      <c r="R21" s="20" t="n">
        <v>0.38875757</v>
      </c>
    </row>
    <row r="22" spans="1:18">
      <c r="A22" s="15" t="s">
        <v>580</v>
      </c>
      <c r="B22" s="17" t="n">
        <v>3667</v>
      </c>
      <c r="C22" s="18">
        <f>(2919.0/B22*100)</f>
        <v/>
      </c>
      <c r="D22" s="19" t="n">
        <v>748</v>
      </c>
      <c r="E22" s="18" t="n">
        <v>61.85424526</v>
      </c>
      <c r="F22" s="20" t="n">
        <v>2.05195334</v>
      </c>
      <c r="G22" s="18" t="n">
        <v>33.80273701</v>
      </c>
      <c r="H22" s="20" t="n">
        <v>1.90528689</v>
      </c>
      <c r="I22" s="18" t="n">
        <v>0</v>
      </c>
      <c r="J22" s="20" t="n">
        <v>0</v>
      </c>
      <c r="K22" s="18" t="n">
        <v>2.20692813</v>
      </c>
      <c r="L22" s="20" t="n">
        <v>0.63399007</v>
      </c>
      <c r="M22" s="18" t="n">
        <v>0</v>
      </c>
      <c r="N22" s="20" t="n">
        <v>0</v>
      </c>
      <c r="O22" s="18" t="n">
        <v>0</v>
      </c>
      <c r="P22" s="20" t="n">
        <v>0</v>
      </c>
      <c r="Q22" s="18" t="n">
        <v>2.1360896</v>
      </c>
      <c r="R22" s="20" t="n">
        <v>0.61657865</v>
      </c>
    </row>
    <row r="23" spans="1:18">
      <c r="A23" s="15" t="s">
        <v>581</v>
      </c>
      <c r="B23" s="17" t="n">
        <v>5792</v>
      </c>
      <c r="C23" s="18">
        <f>(4590.0/B23*100)</f>
        <v/>
      </c>
      <c r="D23" s="19" t="n">
        <v>1202</v>
      </c>
      <c r="E23" s="18" t="n">
        <v>46.50850739</v>
      </c>
      <c r="F23" s="20" t="n">
        <v>1.99010716</v>
      </c>
      <c r="G23" s="18" t="n">
        <v>44.81153737</v>
      </c>
      <c r="H23" s="20" t="n">
        <v>1.65926958</v>
      </c>
      <c r="I23" s="18" t="n">
        <v>0</v>
      </c>
      <c r="J23" s="20" t="n">
        <v>0</v>
      </c>
      <c r="K23" s="18" t="n">
        <v>5.1331454</v>
      </c>
      <c r="L23" s="20" t="n">
        <v>1.90248554</v>
      </c>
      <c r="M23" s="18" t="n">
        <v>0</v>
      </c>
      <c r="N23" s="20" t="n">
        <v>0</v>
      </c>
      <c r="O23" s="18" t="n">
        <v>0</v>
      </c>
      <c r="P23" s="20" t="n">
        <v>0</v>
      </c>
      <c r="Q23" s="18" t="n">
        <v>3.54680984</v>
      </c>
      <c r="R23" s="20" t="n">
        <v>0.90156265</v>
      </c>
    </row>
    <row r="24" spans="1:18">
      <c r="A24" s="15" t="s">
        <v>582</v>
      </c>
      <c r="B24" s="17" t="n">
        <v>3309</v>
      </c>
      <c r="C24" s="18">
        <f>(2588.0/B24*100)</f>
        <v/>
      </c>
      <c r="D24" s="19" t="n">
        <v>721</v>
      </c>
      <c r="E24" s="18" t="n">
        <v>36.72494325</v>
      </c>
      <c r="F24" s="20" t="n">
        <v>1.83090338</v>
      </c>
      <c r="G24" s="18" t="n">
        <v>61.25102242</v>
      </c>
      <c r="H24" s="20" t="n">
        <v>1.81517347</v>
      </c>
      <c r="I24" s="18" t="n">
        <v>0</v>
      </c>
      <c r="J24" s="20" t="n">
        <v>0</v>
      </c>
      <c r="K24" s="18" t="n">
        <v>0.25275405</v>
      </c>
      <c r="L24" s="20" t="n">
        <v>0.25320193</v>
      </c>
      <c r="M24" s="18" t="n">
        <v>0</v>
      </c>
      <c r="N24" s="20" t="n">
        <v>0</v>
      </c>
      <c r="O24" s="18" t="n">
        <v>0</v>
      </c>
      <c r="P24" s="20" t="n">
        <v>0</v>
      </c>
      <c r="Q24" s="18" t="n">
        <v>1.77128028</v>
      </c>
      <c r="R24" s="20" t="n">
        <v>0.61292482</v>
      </c>
    </row>
    <row r="25" spans="1:18">
      <c r="A25" s="15" t="s">
        <v>583</v>
      </c>
      <c r="B25" s="17" t="n">
        <v>2669</v>
      </c>
      <c r="C25" s="18">
        <f>(2098.0/B25*100)</f>
        <v/>
      </c>
      <c r="D25" s="19" t="n">
        <v>571</v>
      </c>
      <c r="E25" s="18" t="n">
        <v>28.13611732</v>
      </c>
      <c r="F25" s="20" t="n">
        <v>1.90731047</v>
      </c>
      <c r="G25" s="18" t="n">
        <v>70.49269073000001</v>
      </c>
      <c r="H25" s="20" t="n">
        <v>1.96959889</v>
      </c>
      <c r="I25" s="18" t="n">
        <v>0</v>
      </c>
      <c r="J25" s="20" t="n">
        <v>0</v>
      </c>
      <c r="K25" s="18" t="n">
        <v>0.33534602</v>
      </c>
      <c r="L25" s="20" t="n">
        <v>0.27848345</v>
      </c>
      <c r="M25" s="18" t="n">
        <v>0</v>
      </c>
      <c r="N25" s="20" t="n">
        <v>0</v>
      </c>
      <c r="O25" s="18" t="n">
        <v>0</v>
      </c>
      <c r="P25" s="20" t="n">
        <v>0</v>
      </c>
      <c r="Q25" s="18" t="n">
        <v>1.03584592</v>
      </c>
      <c r="R25" s="20" t="n">
        <v>0.41981789</v>
      </c>
    </row>
    <row r="26" spans="1:18">
      <c r="A26" s="15" t="s">
        <v>584</v>
      </c>
      <c r="B26" s="17" t="n">
        <v>2419</v>
      </c>
      <c r="C26" s="18">
        <f>(1932.0/B26*100)</f>
        <v/>
      </c>
      <c r="D26" s="19" t="n">
        <v>487</v>
      </c>
      <c r="E26" s="18" t="n">
        <v>43.21935853</v>
      </c>
      <c r="F26" s="20" t="n">
        <v>2.34703828</v>
      </c>
      <c r="G26" s="18" t="n">
        <v>56.596343</v>
      </c>
      <c r="H26" s="20" t="n">
        <v>2.32375729</v>
      </c>
      <c r="I26" s="18" t="n">
        <v>0</v>
      </c>
      <c r="J26" s="20" t="n">
        <v>0</v>
      </c>
      <c r="K26" s="18" t="n">
        <v>0.18429847</v>
      </c>
      <c r="L26" s="20" t="n">
        <v>0.18471239</v>
      </c>
      <c r="M26" s="18" t="n">
        <v>0</v>
      </c>
      <c r="N26" s="20" t="n">
        <v>0</v>
      </c>
      <c r="O26" s="18" t="n">
        <v>0</v>
      </c>
      <c r="P26" s="20" t="n">
        <v>0</v>
      </c>
      <c r="Q26" s="18" t="n">
        <v>0</v>
      </c>
      <c r="R26" s="20" t="n">
        <v>0</v>
      </c>
    </row>
    <row r="27" spans="1:18">
      <c r="A27" s="15" t="s">
        <v>585</v>
      </c>
      <c r="B27" s="17" t="n">
        <v>2683</v>
      </c>
      <c r="C27" s="18">
        <f>(2131.0/B27*100)</f>
        <v/>
      </c>
      <c r="D27" s="19" t="n">
        <v>552</v>
      </c>
      <c r="E27" s="18" t="n">
        <v>53.58405711</v>
      </c>
      <c r="F27" s="20" t="n">
        <v>2.01715351</v>
      </c>
      <c r="G27" s="18" t="n">
        <v>43.85589093</v>
      </c>
      <c r="H27" s="20" t="n">
        <v>2.04939328</v>
      </c>
      <c r="I27" s="18" t="n">
        <v>0</v>
      </c>
      <c r="J27" s="20" t="n">
        <v>0</v>
      </c>
      <c r="K27" s="18" t="n">
        <v>1.4725359</v>
      </c>
      <c r="L27" s="20" t="n">
        <v>0.51982778</v>
      </c>
      <c r="M27" s="18" t="n">
        <v>0</v>
      </c>
      <c r="N27" s="20" t="n">
        <v>0</v>
      </c>
      <c r="O27" s="18" t="n">
        <v>0</v>
      </c>
      <c r="P27" s="20" t="n">
        <v>0</v>
      </c>
      <c r="Q27" s="18" t="n">
        <v>1.08751606</v>
      </c>
      <c r="R27" s="20" t="n">
        <v>0.35179593</v>
      </c>
    </row>
    <row r="28" spans="1:18">
      <c r="A28" s="15" t="s">
        <v>586</v>
      </c>
      <c r="B28" s="17" t="n">
        <v>3803</v>
      </c>
      <c r="C28" s="18">
        <f>(3064.0/B28*100)</f>
        <v/>
      </c>
      <c r="D28" s="19" t="n">
        <v>739</v>
      </c>
      <c r="E28" s="18" t="n">
        <v>75.66060011</v>
      </c>
      <c r="F28" s="20" t="n">
        <v>1.66354372</v>
      </c>
      <c r="G28" s="18" t="n">
        <v>21.27728377</v>
      </c>
      <c r="H28" s="20" t="n">
        <v>1.65871989</v>
      </c>
      <c r="I28" s="18" t="n">
        <v>0</v>
      </c>
      <c r="J28" s="20" t="n">
        <v>0</v>
      </c>
      <c r="K28" s="18" t="n">
        <v>1.62302122</v>
      </c>
      <c r="L28" s="20" t="n">
        <v>0.62960827</v>
      </c>
      <c r="M28" s="18" t="n">
        <v>0</v>
      </c>
      <c r="N28" s="20" t="n">
        <v>0</v>
      </c>
      <c r="O28" s="18" t="n">
        <v>0</v>
      </c>
      <c r="P28" s="20" t="n">
        <v>0</v>
      </c>
      <c r="Q28" s="18" t="n">
        <v>1.4390949</v>
      </c>
      <c r="R28" s="20" t="n">
        <v>0.43630978</v>
      </c>
    </row>
    <row r="29" spans="1:18">
      <c r="A29" s="15" t="s">
        <v>587</v>
      </c>
      <c r="B29" s="17" t="n">
        <v>2700</v>
      </c>
      <c r="C29" s="18">
        <f>(2100.0/B29*100)</f>
        <v/>
      </c>
      <c r="D29" s="19" t="n">
        <v>600</v>
      </c>
      <c r="E29" s="18" t="n">
        <v>39.06046752</v>
      </c>
      <c r="F29" s="20" t="n">
        <v>2.0553699</v>
      </c>
      <c r="G29" s="18" t="n">
        <v>60.50374812</v>
      </c>
      <c r="H29" s="20" t="n">
        <v>2.0659518</v>
      </c>
      <c r="I29" s="18" t="n">
        <v>0</v>
      </c>
      <c r="J29" s="20" t="n">
        <v>0</v>
      </c>
      <c r="K29" s="18" t="n">
        <v>0.43578436</v>
      </c>
      <c r="L29" s="20" t="n">
        <v>0.29638517</v>
      </c>
      <c r="M29" s="18" t="n">
        <v>0</v>
      </c>
      <c r="N29" s="20" t="n">
        <v>0</v>
      </c>
      <c r="O29" s="18" t="n">
        <v>0</v>
      </c>
      <c r="P29" s="20" t="n">
        <v>0</v>
      </c>
      <c r="Q29" s="18" t="n">
        <v>0</v>
      </c>
      <c r="R29" s="20" t="n">
        <v>0</v>
      </c>
    </row>
    <row r="30" spans="1:18">
      <c r="A30" s="15" t="s">
        <v>588</v>
      </c>
      <c r="B30" s="17" t="n">
        <v>2257</v>
      </c>
      <c r="C30" s="18">
        <f>(1762.0/B30*100)</f>
        <v/>
      </c>
      <c r="D30" s="19" t="n">
        <v>495</v>
      </c>
      <c r="E30" s="18" t="n">
        <v>44.17573711</v>
      </c>
      <c r="F30" s="20" t="n">
        <v>2.16351692</v>
      </c>
      <c r="G30" s="18" t="n">
        <v>53.77047321</v>
      </c>
      <c r="H30" s="20" t="n">
        <v>2.18638856</v>
      </c>
      <c r="I30" s="18" t="n">
        <v>0</v>
      </c>
      <c r="J30" s="20" t="n">
        <v>0</v>
      </c>
      <c r="K30" s="18" t="n">
        <v>0.55862018</v>
      </c>
      <c r="L30" s="20" t="n">
        <v>0.33827546</v>
      </c>
      <c r="M30" s="18" t="n">
        <v>0</v>
      </c>
      <c r="N30" s="20" t="n">
        <v>0</v>
      </c>
      <c r="O30" s="18" t="n">
        <v>0</v>
      </c>
      <c r="P30" s="20" t="n">
        <v>0</v>
      </c>
      <c r="Q30" s="18" t="n">
        <v>1.4951695</v>
      </c>
      <c r="R30" s="20" t="n">
        <v>0.60445016</v>
      </c>
    </row>
    <row r="31" spans="1:18">
      <c r="A31" s="15" t="s">
        <v>589</v>
      </c>
      <c r="B31" s="17" t="n">
        <v>2706</v>
      </c>
      <c r="C31" s="18">
        <f>(2101.0/B31*100)</f>
        <v/>
      </c>
      <c r="D31" s="19" t="n">
        <v>605</v>
      </c>
      <c r="E31" s="18" t="n">
        <v>52.25357859</v>
      </c>
      <c r="F31" s="20" t="n">
        <v>2.08195606</v>
      </c>
      <c r="G31" s="18" t="n">
        <v>44.77101996</v>
      </c>
      <c r="H31" s="20" t="n">
        <v>2.07445973</v>
      </c>
      <c r="I31" s="18" t="n">
        <v>0</v>
      </c>
      <c r="J31" s="20" t="n">
        <v>0</v>
      </c>
      <c r="K31" s="18" t="n">
        <v>1.72089344</v>
      </c>
      <c r="L31" s="20" t="n">
        <v>0.5532869500000001</v>
      </c>
      <c r="M31" s="18" t="n">
        <v>0</v>
      </c>
      <c r="N31" s="20" t="n">
        <v>0</v>
      </c>
      <c r="O31" s="18" t="n">
        <v>0</v>
      </c>
      <c r="P31" s="20" t="n">
        <v>0</v>
      </c>
      <c r="Q31" s="18" t="n">
        <v>1.254508</v>
      </c>
      <c r="R31" s="20" t="n">
        <v>0.5212518</v>
      </c>
    </row>
    <row r="32" spans="1:18">
      <c r="A32" s="15" t="s">
        <v>590</v>
      </c>
      <c r="B32" s="17" t="n">
        <v>2209</v>
      </c>
      <c r="C32" s="18">
        <f>(1757.0/B32*100)</f>
        <v/>
      </c>
      <c r="D32" s="19" t="n">
        <v>452</v>
      </c>
      <c r="E32" s="18" t="n">
        <v>52.45275947</v>
      </c>
      <c r="F32" s="20" t="n">
        <v>2.06431299</v>
      </c>
      <c r="G32" s="18" t="n">
        <v>45.71097485</v>
      </c>
      <c r="H32" s="20" t="n">
        <v>2.03329845</v>
      </c>
      <c r="I32" s="18" t="n">
        <v>0</v>
      </c>
      <c r="J32" s="20" t="n">
        <v>0</v>
      </c>
      <c r="K32" s="18" t="n">
        <v>0.58530932</v>
      </c>
      <c r="L32" s="20" t="n">
        <v>0.33680099</v>
      </c>
      <c r="M32" s="18" t="n">
        <v>0</v>
      </c>
      <c r="N32" s="20" t="n">
        <v>0</v>
      </c>
      <c r="O32" s="18" t="n">
        <v>0</v>
      </c>
      <c r="P32" s="20" t="n">
        <v>0</v>
      </c>
      <c r="Q32" s="18" t="n">
        <v>1.25095636</v>
      </c>
      <c r="R32" s="20" t="n">
        <v>0.5057601</v>
      </c>
    </row>
    <row r="33" spans="1:18">
      <c r="A33" s="15" t="s">
        <v>591</v>
      </c>
      <c r="B33" s="17" t="n">
        <v>3651</v>
      </c>
      <c r="C33" s="18">
        <f>(2977.0/B33*100)</f>
        <v/>
      </c>
      <c r="D33" s="19" t="n">
        <v>674</v>
      </c>
      <c r="E33" s="18" t="n">
        <v>51.53905368</v>
      </c>
      <c r="F33" s="20" t="n">
        <v>2.4061113</v>
      </c>
      <c r="G33" s="18" t="n">
        <v>47.33820669</v>
      </c>
      <c r="H33" s="20" t="n">
        <v>2.44599869</v>
      </c>
      <c r="I33" s="18" t="n">
        <v>0</v>
      </c>
      <c r="J33" s="20" t="n">
        <v>0</v>
      </c>
      <c r="K33" s="18" t="n">
        <v>0.8550727299999999</v>
      </c>
      <c r="L33" s="20" t="n">
        <v>0.38901087</v>
      </c>
      <c r="M33" s="18" t="n">
        <v>0</v>
      </c>
      <c r="N33" s="20" t="n">
        <v>0</v>
      </c>
      <c r="O33" s="18" t="n">
        <v>0</v>
      </c>
      <c r="P33" s="20" t="n">
        <v>0</v>
      </c>
      <c r="Q33" s="18" t="n">
        <v>0.26766689</v>
      </c>
      <c r="R33" s="20" t="n">
        <v>0.1628909</v>
      </c>
    </row>
    <row r="34" spans="1:18">
      <c r="A34" s="15" t="s">
        <v>592</v>
      </c>
      <c r="B34" s="17" t="n">
        <v>3035</v>
      </c>
      <c r="C34" s="18">
        <f>(2387.0/B34*100)</f>
        <v/>
      </c>
      <c r="D34" s="19" t="n">
        <v>648</v>
      </c>
      <c r="E34" s="18" t="n">
        <v>57.55379767</v>
      </c>
      <c r="F34" s="20" t="n">
        <v>1.97001193</v>
      </c>
      <c r="G34" s="18" t="n">
        <v>38.35308145</v>
      </c>
      <c r="H34" s="20" t="n">
        <v>2.10572562</v>
      </c>
      <c r="I34" s="18" t="n">
        <v>0</v>
      </c>
      <c r="J34" s="20" t="n">
        <v>0</v>
      </c>
      <c r="K34" s="18" t="n">
        <v>1.1754404</v>
      </c>
      <c r="L34" s="20" t="n">
        <v>0.40059326</v>
      </c>
      <c r="M34" s="18" t="n">
        <v>0</v>
      </c>
      <c r="N34" s="20" t="n">
        <v>0</v>
      </c>
      <c r="O34" s="18" t="n">
        <v>0</v>
      </c>
      <c r="P34" s="20" t="n">
        <v>0</v>
      </c>
      <c r="Q34" s="18" t="n">
        <v>2.91768048</v>
      </c>
      <c r="R34" s="20" t="n">
        <v>0.75233603</v>
      </c>
    </row>
    <row r="35" spans="1:18">
      <c r="A35" s="15" t="s">
        <v>593</v>
      </c>
      <c r="B35" s="17" t="n">
        <v>2901</v>
      </c>
      <c r="C35" s="18">
        <f>(2275.0/B35*100)</f>
        <v/>
      </c>
      <c r="D35" s="19" t="n">
        <v>626</v>
      </c>
      <c r="E35" s="18" t="n">
        <v>47.00541433</v>
      </c>
      <c r="F35" s="20" t="n">
        <v>2.40327233</v>
      </c>
      <c r="G35" s="18" t="n">
        <v>52.63746231</v>
      </c>
      <c r="H35" s="20" t="n">
        <v>2.40088784</v>
      </c>
      <c r="I35" s="18" t="n">
        <v>0</v>
      </c>
      <c r="J35" s="20" t="n">
        <v>0</v>
      </c>
      <c r="K35" s="18" t="n">
        <v>0.07055048999999999</v>
      </c>
      <c r="L35" s="20" t="n">
        <v>0.06891413</v>
      </c>
      <c r="M35" s="18" t="n">
        <v>0</v>
      </c>
      <c r="N35" s="20" t="n">
        <v>0</v>
      </c>
      <c r="O35" s="18" t="n">
        <v>0</v>
      </c>
      <c r="P35" s="20" t="n">
        <v>0</v>
      </c>
      <c r="Q35" s="18" t="n">
        <v>0.28657287</v>
      </c>
      <c r="R35" s="20" t="n">
        <v>0.12662035</v>
      </c>
    </row>
    <row r="36" spans="1:18">
      <c r="A36" s="15" t="s">
        <v>594</v>
      </c>
      <c r="B36" s="17" t="n">
        <v>3404</v>
      </c>
      <c r="C36" s="18">
        <f>(2693.0/B36*100)</f>
        <v/>
      </c>
      <c r="D36" s="19" t="n">
        <v>711</v>
      </c>
      <c r="E36" s="18" t="n">
        <v>49.67600834</v>
      </c>
      <c r="F36" s="20" t="n">
        <v>2.21420299</v>
      </c>
      <c r="G36" s="18" t="n">
        <v>47.69446947</v>
      </c>
      <c r="H36" s="20" t="n">
        <v>2.16611493</v>
      </c>
      <c r="I36" s="18" t="n">
        <v>0</v>
      </c>
      <c r="J36" s="20" t="n">
        <v>0</v>
      </c>
      <c r="K36" s="18" t="n">
        <v>0.81628753</v>
      </c>
      <c r="L36" s="20" t="n">
        <v>0.3022671</v>
      </c>
      <c r="M36" s="18" t="n">
        <v>0</v>
      </c>
      <c r="N36" s="20" t="n">
        <v>0</v>
      </c>
      <c r="O36" s="18" t="n">
        <v>0</v>
      </c>
      <c r="P36" s="20" t="n">
        <v>0</v>
      </c>
      <c r="Q36" s="18" t="n">
        <v>1.81323465</v>
      </c>
      <c r="R36" s="20" t="n">
        <v>0.46790916</v>
      </c>
    </row>
    <row r="37" spans="1:18">
      <c r="A37" s="15" t="s">
        <v>595</v>
      </c>
      <c r="B37" s="17" t="n">
        <v>2731</v>
      </c>
      <c r="C37" s="18">
        <f>(2177.0/B37*100)</f>
        <v/>
      </c>
      <c r="D37" s="19" t="n">
        <v>554</v>
      </c>
      <c r="E37" s="18" t="n">
        <v>41.7352756</v>
      </c>
      <c r="F37" s="20" t="n">
        <v>2.26353977</v>
      </c>
      <c r="G37" s="18" t="n">
        <v>51.94539203</v>
      </c>
      <c r="H37" s="20" t="n">
        <v>2.35289583</v>
      </c>
      <c r="I37" s="18" t="n">
        <v>0</v>
      </c>
      <c r="J37" s="20" t="n">
        <v>0</v>
      </c>
      <c r="K37" s="18" t="n">
        <v>4.04953595</v>
      </c>
      <c r="L37" s="20" t="n">
        <v>0.91339775</v>
      </c>
      <c r="M37" s="18" t="n">
        <v>0</v>
      </c>
      <c r="N37" s="20" t="n">
        <v>0</v>
      </c>
      <c r="O37" s="18" t="n">
        <v>0</v>
      </c>
      <c r="P37" s="20" t="n">
        <v>0</v>
      </c>
      <c r="Q37" s="18" t="n">
        <v>2.26979642</v>
      </c>
      <c r="R37" s="20" t="n">
        <v>0.56628722</v>
      </c>
    </row>
    <row r="38" spans="1:18">
      <c r="A38" s="15" t="s">
        <v>596</v>
      </c>
      <c r="B38" s="17" t="n">
        <v>2807</v>
      </c>
      <c r="C38" s="18">
        <f>(2253.0/B38*100)</f>
        <v/>
      </c>
      <c r="D38" s="19" t="n">
        <v>554</v>
      </c>
      <c r="E38" s="18" t="n">
        <v>41.97082323</v>
      </c>
      <c r="F38" s="20" t="n">
        <v>2.37299317</v>
      </c>
      <c r="G38" s="18" t="n">
        <v>56.68026353</v>
      </c>
      <c r="H38" s="20" t="n">
        <v>2.38938214</v>
      </c>
      <c r="I38" s="18" t="n">
        <v>0</v>
      </c>
      <c r="J38" s="20" t="n">
        <v>0</v>
      </c>
      <c r="K38" s="18" t="n">
        <v>0.75550853</v>
      </c>
      <c r="L38" s="20" t="n">
        <v>0.38721701</v>
      </c>
      <c r="M38" s="18" t="n">
        <v>0</v>
      </c>
      <c r="N38" s="20" t="n">
        <v>0</v>
      </c>
      <c r="O38" s="18" t="n">
        <v>0</v>
      </c>
      <c r="P38" s="20" t="n">
        <v>0</v>
      </c>
      <c r="Q38" s="18" t="n">
        <v>0.5934047099999999</v>
      </c>
      <c r="R38" s="20" t="n">
        <v>0.37481583</v>
      </c>
    </row>
    <row r="39" spans="1:18">
      <c r="A39" s="15" t="s">
        <v>597</v>
      </c>
      <c r="B39" s="17" t="n">
        <v>2938</v>
      </c>
      <c r="C39" s="18">
        <f>(2272.0/B39*100)</f>
        <v/>
      </c>
      <c r="D39" s="19" t="n">
        <v>666</v>
      </c>
      <c r="E39" s="18" t="n">
        <v>68.80718845</v>
      </c>
      <c r="F39" s="20" t="n">
        <v>2.0721191</v>
      </c>
      <c r="G39" s="18" t="n">
        <v>26.97657534</v>
      </c>
      <c r="H39" s="20" t="n">
        <v>2.03799728</v>
      </c>
      <c r="I39" s="18" t="n">
        <v>0</v>
      </c>
      <c r="J39" s="20" t="n">
        <v>0</v>
      </c>
      <c r="K39" s="18" t="n">
        <v>0.58060076</v>
      </c>
      <c r="L39" s="20" t="n">
        <v>0.29923171</v>
      </c>
      <c r="M39" s="18" t="n">
        <v>0</v>
      </c>
      <c r="N39" s="20" t="n">
        <v>0</v>
      </c>
      <c r="O39" s="18" t="n">
        <v>0</v>
      </c>
      <c r="P39" s="20" t="n">
        <v>0</v>
      </c>
      <c r="Q39" s="18" t="n">
        <v>3.63563544</v>
      </c>
      <c r="R39" s="20" t="n">
        <v>0.7696921799999999</v>
      </c>
    </row>
    <row r="40" spans="1:18">
      <c r="A40" s="15" t="s">
        <v>598</v>
      </c>
      <c r="B40" s="17" t="n">
        <v>6922</v>
      </c>
      <c r="C40" s="18">
        <f>(5393.0/B40*100)</f>
        <v/>
      </c>
      <c r="D40" s="19" t="n">
        <v>1529</v>
      </c>
      <c r="E40" s="18" t="n">
        <v>52.57281419</v>
      </c>
      <c r="F40" s="20" t="n">
        <v>2.50841832</v>
      </c>
      <c r="G40" s="18" t="n">
        <v>45.70129874</v>
      </c>
      <c r="H40" s="20" t="n">
        <v>2.48307332</v>
      </c>
      <c r="I40" s="18" t="n">
        <v>0</v>
      </c>
      <c r="J40" s="20" t="n">
        <v>0</v>
      </c>
      <c r="K40" s="18" t="n">
        <v>1.10790355</v>
      </c>
      <c r="L40" s="20" t="n">
        <v>0.42672836</v>
      </c>
      <c r="M40" s="18" t="n">
        <v>0</v>
      </c>
      <c r="N40" s="20" t="n">
        <v>0</v>
      </c>
      <c r="O40" s="18" t="n">
        <v>0</v>
      </c>
      <c r="P40" s="20" t="n">
        <v>0</v>
      </c>
      <c r="Q40" s="18" t="n">
        <v>0.61798352</v>
      </c>
      <c r="R40" s="20" t="n">
        <v>0.29514555</v>
      </c>
    </row>
    <row r="41" spans="1:18">
      <c r="A41" s="15" t="s">
        <v>599</v>
      </c>
      <c r="B41" s="17" t="n">
        <v>2854</v>
      </c>
      <c r="C41" s="18">
        <f>(2252.0/B41*100)</f>
        <v/>
      </c>
      <c r="D41" s="19" t="n">
        <v>602</v>
      </c>
      <c r="E41" s="18" t="n">
        <v>48.33691429</v>
      </c>
      <c r="F41" s="20" t="n">
        <v>2.16198094</v>
      </c>
      <c r="G41" s="18" t="n">
        <v>50.9626927</v>
      </c>
      <c r="H41" s="20" t="n">
        <v>2.11839808</v>
      </c>
      <c r="I41" s="18" t="n">
        <v>0</v>
      </c>
      <c r="J41" s="20" t="n">
        <v>0</v>
      </c>
      <c r="K41" s="18" t="n">
        <v>0.29004543</v>
      </c>
      <c r="L41" s="20" t="n">
        <v>0.21698947</v>
      </c>
      <c r="M41" s="18" t="n">
        <v>0</v>
      </c>
      <c r="N41" s="20" t="n">
        <v>0</v>
      </c>
      <c r="O41" s="18" t="n">
        <v>0</v>
      </c>
      <c r="P41" s="20" t="n">
        <v>0</v>
      </c>
      <c r="Q41" s="18" t="n">
        <v>0.41034758</v>
      </c>
      <c r="R41" s="20" t="n">
        <v>0.22211885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(10290.0/B46*100)</f>
        <v/>
      </c>
      <c r="D46" s="19" t="n">
        <v>1783</v>
      </c>
      <c r="E46" s="18" t="n">
        <v>63.44622812</v>
      </c>
      <c r="F46" s="20" t="n">
        <v>1.6782476</v>
      </c>
      <c r="G46" s="18" t="n">
        <v>24.50474353</v>
      </c>
      <c r="H46" s="20" t="n">
        <v>1.47229019</v>
      </c>
      <c r="I46" s="18" t="n">
        <v>0</v>
      </c>
      <c r="J46" s="20" t="n">
        <v>0</v>
      </c>
      <c r="K46" s="18" t="n">
        <v>3.22664371</v>
      </c>
      <c r="L46" s="20" t="n">
        <v>0.5701421800000001</v>
      </c>
      <c r="M46" s="18" t="n">
        <v>0</v>
      </c>
      <c r="N46" s="20" t="n">
        <v>0</v>
      </c>
      <c r="O46" s="18" t="n">
        <v>0</v>
      </c>
      <c r="P46" s="20" t="n">
        <v>0</v>
      </c>
      <c r="Q46" s="18" t="n">
        <v>8.822384639999999</v>
      </c>
      <c r="R46" s="20" t="n">
        <v>0.80708498</v>
      </c>
    </row>
    <row r="47" spans="1:18">
      <c r="A47" s="15" t="s">
        <v>606</v>
      </c>
      <c r="B47" s="17" t="n">
        <v>2823</v>
      </c>
      <c r="C47" s="18">
        <f>(2241.0/B47*100)</f>
        <v/>
      </c>
      <c r="D47" s="19" t="n">
        <v>582</v>
      </c>
      <c r="E47" s="18" t="n">
        <v>60.78546175</v>
      </c>
      <c r="F47" s="20" t="n">
        <v>2.39581891</v>
      </c>
      <c r="G47" s="18" t="n">
        <v>32.60839768</v>
      </c>
      <c r="H47" s="20" t="n">
        <v>2.42109991</v>
      </c>
      <c r="I47" s="18" t="n">
        <v>0</v>
      </c>
      <c r="J47" s="20" t="n">
        <v>0</v>
      </c>
      <c r="K47" s="18" t="n">
        <v>2.07149472</v>
      </c>
      <c r="L47" s="20" t="n">
        <v>0.72827848</v>
      </c>
      <c r="M47" s="18" t="n">
        <v>0</v>
      </c>
      <c r="N47" s="20" t="n">
        <v>0</v>
      </c>
      <c r="O47" s="18" t="n">
        <v>0</v>
      </c>
      <c r="P47" s="20" t="n">
        <v>0</v>
      </c>
      <c r="Q47" s="18" t="n">
        <v>4.53464585</v>
      </c>
      <c r="R47" s="20" t="n">
        <v>0.87862761</v>
      </c>
    </row>
    <row r="48" spans="1:18">
      <c r="A48" s="15" t="s">
        <v>607</v>
      </c>
      <c r="B48" s="17" t="n">
        <v>4682</v>
      </c>
      <c r="C48" s="18">
        <f>(3705.0/B48*100)</f>
        <v/>
      </c>
      <c r="D48" s="19" t="n">
        <v>977</v>
      </c>
      <c r="E48" s="18" t="n">
        <v>37.77941408</v>
      </c>
      <c r="F48" s="20" t="n">
        <v>1.94912421</v>
      </c>
      <c r="G48" s="18" t="n">
        <v>60.00313643</v>
      </c>
      <c r="H48" s="20" t="n">
        <v>1.93465164</v>
      </c>
      <c r="I48" s="18" t="n">
        <v>0</v>
      </c>
      <c r="J48" s="20" t="n">
        <v>0</v>
      </c>
      <c r="K48" s="18" t="n">
        <v>0.81274927</v>
      </c>
      <c r="L48" s="20" t="n">
        <v>0.51995585</v>
      </c>
      <c r="M48" s="18" t="n">
        <v>0</v>
      </c>
      <c r="N48" s="20" t="n">
        <v>0</v>
      </c>
      <c r="O48" s="18" t="n">
        <v>0</v>
      </c>
      <c r="P48" s="20" t="n">
        <v>0</v>
      </c>
      <c r="Q48" s="18" t="n">
        <v>1.40470022</v>
      </c>
      <c r="R48" s="20" t="n">
        <v>0.48583537</v>
      </c>
    </row>
    <row r="49" spans="1:18">
      <c r="A49" s="15" t="s">
        <v>608</v>
      </c>
      <c r="B49" s="17" t="n">
        <v>6158</v>
      </c>
      <c r="C49" s="18">
        <f>(4920.0/B49*100)</f>
        <v/>
      </c>
      <c r="D49" s="19" t="n">
        <v>1238</v>
      </c>
      <c r="E49" s="18" t="n">
        <v>72.87685291</v>
      </c>
      <c r="F49" s="20" t="n">
        <v>1.62689462</v>
      </c>
      <c r="G49" s="18" t="n">
        <v>18.20723246</v>
      </c>
      <c r="H49" s="20" t="n">
        <v>1.35101195</v>
      </c>
      <c r="I49" s="18" t="n">
        <v>0</v>
      </c>
      <c r="J49" s="20" t="n">
        <v>0</v>
      </c>
      <c r="K49" s="18" t="n">
        <v>3.19915419</v>
      </c>
      <c r="L49" s="20" t="n">
        <v>0.65607366</v>
      </c>
      <c r="M49" s="18" t="n">
        <v>0</v>
      </c>
      <c r="N49" s="20" t="n">
        <v>0</v>
      </c>
      <c r="O49" s="18" t="n">
        <v>0</v>
      </c>
      <c r="P49" s="20" t="n">
        <v>0</v>
      </c>
      <c r="Q49" s="18" t="n">
        <v>5.71676044</v>
      </c>
      <c r="R49" s="20" t="n">
        <v>1.02904722</v>
      </c>
    </row>
    <row r="50" spans="1:18">
      <c r="A50" s="15" t="s">
        <v>609</v>
      </c>
      <c r="B50" s="17" t="n">
        <v>3494</v>
      </c>
      <c r="C50" s="18">
        <f>(2890.0/B50*100)</f>
        <v/>
      </c>
      <c r="D50" s="19" t="n">
        <v>604</v>
      </c>
      <c r="E50" s="18" t="n">
        <v>67.20339057</v>
      </c>
      <c r="F50" s="20" t="n">
        <v>1.95883887</v>
      </c>
      <c r="G50" s="18" t="n">
        <v>28.06329887</v>
      </c>
      <c r="H50" s="20" t="n">
        <v>1.77576219</v>
      </c>
      <c r="I50" s="18" t="n">
        <v>0</v>
      </c>
      <c r="J50" s="20" t="n">
        <v>0</v>
      </c>
      <c r="K50" s="18" t="n">
        <v>1.26090917</v>
      </c>
      <c r="L50" s="20" t="n">
        <v>0.52826406</v>
      </c>
      <c r="M50" s="18" t="n">
        <v>0</v>
      </c>
      <c r="N50" s="20" t="n">
        <v>0</v>
      </c>
      <c r="O50" s="18" t="n">
        <v>0</v>
      </c>
      <c r="P50" s="20" t="n">
        <v>0</v>
      </c>
      <c r="Q50" s="18" t="n">
        <v>3.47240139</v>
      </c>
      <c r="R50" s="20" t="n">
        <v>0.73792777</v>
      </c>
    </row>
    <row r="51" spans="1:18">
      <c r="A51" s="15" t="s">
        <v>610</v>
      </c>
      <c r="B51" s="17" t="n">
        <v>3013</v>
      </c>
      <c r="C51" s="18">
        <f>(2383.0/B51*100)</f>
        <v/>
      </c>
      <c r="D51" s="19" t="n">
        <v>630</v>
      </c>
      <c r="E51" s="18" t="n">
        <v>55.66815481</v>
      </c>
      <c r="F51" s="20" t="n">
        <v>2.12300948</v>
      </c>
      <c r="G51" s="18" t="n">
        <v>42.28846295</v>
      </c>
      <c r="H51" s="20" t="n">
        <v>2.07940575</v>
      </c>
      <c r="I51" s="18" t="n">
        <v>0</v>
      </c>
      <c r="J51" s="20" t="n">
        <v>0</v>
      </c>
      <c r="K51" s="18" t="n">
        <v>0.72975981</v>
      </c>
      <c r="L51" s="20" t="n">
        <v>0.36988494</v>
      </c>
      <c r="M51" s="18" t="n">
        <v>0</v>
      </c>
      <c r="N51" s="20" t="n">
        <v>0</v>
      </c>
      <c r="O51" s="18" t="n">
        <v>0</v>
      </c>
      <c r="P51" s="20" t="n">
        <v>0</v>
      </c>
      <c r="Q51" s="18" t="n">
        <v>1.31362244</v>
      </c>
      <c r="R51" s="20" t="n">
        <v>0.56564863</v>
      </c>
    </row>
    <row r="52" spans="1:18">
      <c r="A52" s="15" t="s">
        <v>611</v>
      </c>
      <c r="B52" s="17" t="n">
        <v>2760</v>
      </c>
      <c r="C52" s="18">
        <f>(2208.0/B52*100)</f>
        <v/>
      </c>
      <c r="D52" s="19" t="n">
        <v>552</v>
      </c>
      <c r="E52" s="18" t="n">
        <v>64.57352955</v>
      </c>
      <c r="F52" s="20" t="n">
        <v>2.13725051</v>
      </c>
      <c r="G52" s="18" t="n">
        <v>33.616161</v>
      </c>
      <c r="H52" s="20" t="n">
        <v>2.14751104</v>
      </c>
      <c r="I52" s="18" t="n">
        <v>0</v>
      </c>
      <c r="J52" s="20" t="n">
        <v>0</v>
      </c>
      <c r="K52" s="18" t="n">
        <v>0.70964065</v>
      </c>
      <c r="L52" s="20" t="n">
        <v>0.33280703</v>
      </c>
      <c r="M52" s="18" t="n">
        <v>0</v>
      </c>
      <c r="N52" s="20" t="n">
        <v>0</v>
      </c>
      <c r="O52" s="18" t="n">
        <v>0</v>
      </c>
      <c r="P52" s="20" t="n">
        <v>0</v>
      </c>
      <c r="Q52" s="18" t="n">
        <v>1.10066881</v>
      </c>
      <c r="R52" s="20" t="n">
        <v>0.48410721</v>
      </c>
    </row>
    <row r="53" spans="1:18">
      <c r="A53" s="15" t="s">
        <v>612</v>
      </c>
      <c r="B53" s="17" t="n">
        <v>2474</v>
      </c>
      <c r="C53" s="18">
        <f>(1902.0/B53*100)</f>
        <v/>
      </c>
      <c r="D53" s="19" t="n">
        <v>572</v>
      </c>
      <c r="E53" s="18" t="n">
        <v>47.25887279</v>
      </c>
      <c r="F53" s="20" t="n">
        <v>2.27114369</v>
      </c>
      <c r="G53" s="18" t="n">
        <v>9.442296049999999</v>
      </c>
      <c r="H53" s="20" t="n">
        <v>1.27407382</v>
      </c>
      <c r="I53" s="18" t="n">
        <v>0</v>
      </c>
      <c r="J53" s="20" t="n">
        <v>0</v>
      </c>
      <c r="K53" s="18" t="n">
        <v>30.41033951</v>
      </c>
      <c r="L53" s="20" t="n">
        <v>2.21249189</v>
      </c>
      <c r="M53" s="18" t="n">
        <v>0</v>
      </c>
      <c r="N53" s="20" t="n">
        <v>0</v>
      </c>
      <c r="O53" s="18" t="n">
        <v>0</v>
      </c>
      <c r="P53" s="20" t="n">
        <v>0</v>
      </c>
      <c r="Q53" s="18" t="n">
        <v>12.88849165</v>
      </c>
      <c r="R53" s="20" t="n">
        <v>1.62100798</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(2079.0/B55*100)</f>
        <v/>
      </c>
      <c r="D55" s="19" t="n">
        <v>596</v>
      </c>
      <c r="E55" s="18" t="n">
        <v>30.31265026</v>
      </c>
      <c r="F55" s="20" t="n">
        <v>1.91711994</v>
      </c>
      <c r="G55" s="18" t="n">
        <v>68.58096533</v>
      </c>
      <c r="H55" s="20" t="n">
        <v>1.85119561</v>
      </c>
      <c r="I55" s="18" t="n">
        <v>0</v>
      </c>
      <c r="J55" s="20" t="n">
        <v>0</v>
      </c>
      <c r="K55" s="18" t="n">
        <v>0.15392812</v>
      </c>
      <c r="L55" s="20" t="n">
        <v>0.17223545</v>
      </c>
      <c r="M55" s="18" t="n">
        <v>0</v>
      </c>
      <c r="N55" s="20" t="n">
        <v>0</v>
      </c>
      <c r="O55" s="18" t="n">
        <v>0</v>
      </c>
      <c r="P55" s="20" t="n">
        <v>0</v>
      </c>
      <c r="Q55" s="18" t="n">
        <v>0.95245629</v>
      </c>
      <c r="R55" s="20" t="n">
        <v>0.47506627</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(2530.0/B61*100)</f>
        <v/>
      </c>
      <c r="D61" s="19" t="n">
        <v>671</v>
      </c>
      <c r="E61" s="18" t="n">
        <v>53.07086</v>
      </c>
      <c r="F61" s="20" t="n">
        <v>2.22556434</v>
      </c>
      <c r="G61" s="18" t="n">
        <v>45.52159871</v>
      </c>
      <c r="H61" s="20" t="n">
        <v>2.24999516</v>
      </c>
      <c r="I61" s="18" t="n">
        <v>0</v>
      </c>
      <c r="J61" s="20" t="n">
        <v>0</v>
      </c>
      <c r="K61" s="18" t="n">
        <v>0.67316826</v>
      </c>
      <c r="L61" s="20" t="n">
        <v>0.30837345</v>
      </c>
      <c r="M61" s="18" t="n">
        <v>0</v>
      </c>
      <c r="N61" s="20" t="n">
        <v>0</v>
      </c>
      <c r="O61" s="18" t="n">
        <v>0</v>
      </c>
      <c r="P61" s="20" t="n">
        <v>0</v>
      </c>
      <c r="Q61" s="18" t="n">
        <v>0.73437302</v>
      </c>
      <c r="R61" s="20" t="n">
        <v>0.31326797</v>
      </c>
    </row>
    <row r="62" spans="1:18">
      <c r="A62" s="15" t="s">
        <v>622</v>
      </c>
      <c r="B62" s="17" t="n">
        <v>2230</v>
      </c>
      <c r="C62" s="18">
        <f>(1777.0/B62*100)</f>
        <v/>
      </c>
      <c r="D62" s="19" t="n">
        <v>453</v>
      </c>
      <c r="E62" s="18" t="n">
        <v>35.76862401</v>
      </c>
      <c r="F62" s="20" t="n">
        <v>2.54395709</v>
      </c>
      <c r="G62" s="18" t="n">
        <v>64.01186217999999</v>
      </c>
      <c r="H62" s="20" t="n">
        <v>2.48156298</v>
      </c>
      <c r="I62" s="18" t="n">
        <v>0</v>
      </c>
      <c r="J62" s="20" t="n">
        <v>0</v>
      </c>
      <c r="K62" s="18" t="n">
        <v>0</v>
      </c>
      <c r="L62" s="20" t="n">
        <v>0</v>
      </c>
      <c r="M62" s="18" t="n">
        <v>0</v>
      </c>
      <c r="N62" s="20" t="n">
        <v>0</v>
      </c>
      <c r="O62" s="18" t="n">
        <v>0</v>
      </c>
      <c r="P62" s="20" t="n">
        <v>0</v>
      </c>
      <c r="Q62" s="18" t="n">
        <v>0.21951382</v>
      </c>
      <c r="R62" s="20" t="n">
        <v>0.21722129</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(2205.0/B67*100)</f>
        <v/>
      </c>
      <c r="D67" s="19" t="n">
        <v>566</v>
      </c>
      <c r="E67" s="18" t="n">
        <v>59.69208435</v>
      </c>
      <c r="F67" s="20" t="n">
        <v>2.10760031</v>
      </c>
      <c r="G67" s="18" t="n">
        <v>28.61927945</v>
      </c>
      <c r="H67" s="20" t="n">
        <v>1.79249286</v>
      </c>
      <c r="I67" s="18" t="n">
        <v>0</v>
      </c>
      <c r="J67" s="20" t="n">
        <v>0</v>
      </c>
      <c r="K67" s="18" t="n">
        <v>1.57138646</v>
      </c>
      <c r="L67" s="20" t="n">
        <v>0.5587928599999999</v>
      </c>
      <c r="M67" s="18" t="n">
        <v>0</v>
      </c>
      <c r="N67" s="20" t="n">
        <v>0</v>
      </c>
      <c r="O67" s="18" t="n">
        <v>0</v>
      </c>
      <c r="P67" s="20" t="n">
        <v>0</v>
      </c>
      <c r="Q67" s="18" t="n">
        <v>10.11724974</v>
      </c>
      <c r="R67" s="20" t="n">
        <v>1.4090305</v>
      </c>
    </row>
    <row r="68" spans="1:18">
      <c r="A68" s="15" t="s">
        <v>628</v>
      </c>
      <c r="B68" s="17" t="n">
        <v>3460</v>
      </c>
      <c r="C68" s="18">
        <f>(2877.0/B68*100)</f>
        <v/>
      </c>
      <c r="D68" s="19" t="n">
        <v>583</v>
      </c>
      <c r="E68" s="18" t="n">
        <v>74.94136741</v>
      </c>
      <c r="F68" s="20" t="n">
        <v>1.93425975</v>
      </c>
      <c r="G68" s="18" t="n">
        <v>19.42682263</v>
      </c>
      <c r="H68" s="20" t="n">
        <v>1.87045068</v>
      </c>
      <c r="I68" s="18" t="n">
        <v>0</v>
      </c>
      <c r="J68" s="20" t="n">
        <v>0</v>
      </c>
      <c r="K68" s="18" t="n">
        <v>0.47214131</v>
      </c>
      <c r="L68" s="20" t="n">
        <v>0.27179499</v>
      </c>
      <c r="M68" s="18" t="n">
        <v>0</v>
      </c>
      <c r="N68" s="20" t="n">
        <v>0</v>
      </c>
      <c r="O68" s="18" t="n">
        <v>0</v>
      </c>
      <c r="P68" s="20" t="n">
        <v>0</v>
      </c>
      <c r="Q68" s="18" t="n">
        <v>5.15966866</v>
      </c>
      <c r="R68" s="20" t="n">
        <v>1.13497098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66.06930102</v>
      </c>
      <c r="F70" s="20" t="n">
        <v>1.36165927</v>
      </c>
      <c r="G70" s="18" t="n">
        <v>25.7050895</v>
      </c>
      <c r="H70" s="20" t="n">
        <v>1.28579051</v>
      </c>
      <c r="I70" s="18" t="n">
        <v>0</v>
      </c>
      <c r="J70" s="20" t="n">
        <v>0</v>
      </c>
      <c r="K70" s="18" t="n">
        <v>5.68510147</v>
      </c>
      <c r="L70" s="20" t="n">
        <v>0.56147384</v>
      </c>
      <c r="M70" s="18" t="n">
        <v>0</v>
      </c>
      <c r="N70" s="20" t="n">
        <v>0</v>
      </c>
      <c r="O70" s="18" t="n">
        <v>0</v>
      </c>
      <c r="P70" s="20" t="n">
        <v>0</v>
      </c>
      <c r="Q70" s="18" t="n">
        <v>2.54050801</v>
      </c>
      <c r="R70" s="20" t="n">
        <v>0.44088834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(2504.0/B72*100)</f>
        <v/>
      </c>
      <c r="D72" s="19" t="n">
        <v>603</v>
      </c>
      <c r="E72" s="18" t="n">
        <v>46.17569793</v>
      </c>
      <c r="F72" s="20" t="n">
        <v>2.54249384</v>
      </c>
      <c r="G72" s="18" t="n">
        <v>52.53819431</v>
      </c>
      <c r="H72" s="20" t="n">
        <v>2.40549351</v>
      </c>
      <c r="I72" s="18" t="n">
        <v>0</v>
      </c>
      <c r="J72" s="20" t="n">
        <v>0</v>
      </c>
      <c r="K72" s="18" t="n">
        <v>0.83362864</v>
      </c>
      <c r="L72" s="20" t="n">
        <v>0.30993361</v>
      </c>
      <c r="M72" s="18" t="n">
        <v>0</v>
      </c>
      <c r="N72" s="20" t="n">
        <v>0</v>
      </c>
      <c r="O72" s="18" t="n">
        <v>0</v>
      </c>
      <c r="P72" s="20" t="n">
        <v>0</v>
      </c>
      <c r="Q72" s="18" t="n">
        <v>0.45247912</v>
      </c>
      <c r="R72" s="20" t="n">
        <v>0.12925312</v>
      </c>
    </row>
    <row r="73" spans="1:18">
      <c r="A73" s="15" t="s">
        <v>633</v>
      </c>
      <c r="B73" s="17" t="n">
        <v>2973</v>
      </c>
      <c r="C73" s="18">
        <f>(2283.0/B73*100)</f>
        <v/>
      </c>
      <c r="D73" s="19" t="n">
        <v>690</v>
      </c>
      <c r="E73" s="18" t="n">
        <v>27.91878428</v>
      </c>
      <c r="F73" s="20" t="n">
        <v>1.45388536</v>
      </c>
      <c r="G73" s="18" t="n">
        <v>71.98364551</v>
      </c>
      <c r="H73" s="20" t="n">
        <v>1.44339609</v>
      </c>
      <c r="I73" s="18" t="n">
        <v>0</v>
      </c>
      <c r="J73" s="20" t="n">
        <v>0</v>
      </c>
      <c r="K73" s="18" t="n">
        <v>0.09757021</v>
      </c>
      <c r="L73" s="20" t="n">
        <v>0.09764423999999999</v>
      </c>
      <c r="M73" s="18" t="n">
        <v>0</v>
      </c>
      <c r="N73" s="20" t="n">
        <v>0</v>
      </c>
      <c r="O73" s="18" t="n">
        <v>0</v>
      </c>
      <c r="P73" s="20" t="n">
        <v>0</v>
      </c>
      <c r="Q73" s="18" t="n">
        <v>0</v>
      </c>
      <c r="R73" s="20" t="n">
        <v>0</v>
      </c>
    </row>
    <row r="74" spans="1:18">
      <c r="A74" s="15" t="s">
        <v>634</v>
      </c>
      <c r="B74" s="17" t="n">
        <v>3819</v>
      </c>
      <c r="C74" s="18">
        <f>(2947.0/B74*100)</f>
        <v/>
      </c>
      <c r="D74" s="19" t="n">
        <v>872</v>
      </c>
      <c r="E74" s="18" t="n">
        <v>35.82791813</v>
      </c>
      <c r="F74" s="20" t="n">
        <v>1.80268193</v>
      </c>
      <c r="G74" s="18" t="n">
        <v>63.55850006</v>
      </c>
      <c r="H74" s="20" t="n">
        <v>1.77105883</v>
      </c>
      <c r="I74" s="18" t="n">
        <v>0</v>
      </c>
      <c r="J74" s="20" t="n">
        <v>0</v>
      </c>
      <c r="K74" s="18" t="n">
        <v>0.22753306</v>
      </c>
      <c r="L74" s="20" t="n">
        <v>0.13475443</v>
      </c>
      <c r="M74" s="18" t="n">
        <v>0</v>
      </c>
      <c r="N74" s="20" t="n">
        <v>0</v>
      </c>
      <c r="O74" s="18" t="n">
        <v>0</v>
      </c>
      <c r="P74" s="20" t="n">
        <v>0</v>
      </c>
      <c r="Q74" s="18" t="n">
        <v>0.38604875</v>
      </c>
      <c r="R74" s="20" t="n">
        <v>0.23203644</v>
      </c>
    </row>
    <row r="75" spans="1:18">
      <c r="A75" s="15" t="s">
        <v>635</v>
      </c>
      <c r="B75" s="17" t="n">
        <v>4652</v>
      </c>
      <c r="C75" s="18">
        <f>(3752.0/B75*100)</f>
        <v/>
      </c>
      <c r="D75" s="19" t="n">
        <v>900</v>
      </c>
      <c r="E75" s="18" t="n">
        <v>73.79965572</v>
      </c>
      <c r="F75" s="20" t="n">
        <v>1.85108224</v>
      </c>
      <c r="G75" s="18" t="n">
        <v>22.00362838</v>
      </c>
      <c r="H75" s="20" t="n">
        <v>1.78041623</v>
      </c>
      <c r="I75" s="18" t="n">
        <v>0</v>
      </c>
      <c r="J75" s="20" t="n">
        <v>0</v>
      </c>
      <c r="K75" s="18" t="n">
        <v>0.19011498</v>
      </c>
      <c r="L75" s="20" t="n">
        <v>0.18873205</v>
      </c>
      <c r="M75" s="18" t="n">
        <v>0</v>
      </c>
      <c r="N75" s="20" t="n">
        <v>0</v>
      </c>
      <c r="O75" s="18" t="n">
        <v>0</v>
      </c>
      <c r="P75" s="20" t="n">
        <v>0</v>
      </c>
      <c r="Q75" s="18" t="n">
        <v>4.00660091</v>
      </c>
      <c r="R75" s="20" t="n">
        <v>0.89203364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(2425.0/B77*100)</f>
        <v/>
      </c>
      <c r="D77" s="19" t="n">
        <v>544</v>
      </c>
      <c r="E77" s="18" t="n">
        <v>66.54128651000001</v>
      </c>
      <c r="F77" s="20" t="n">
        <v>2.07645875</v>
      </c>
      <c r="G77" s="18" t="n">
        <v>18.40891742</v>
      </c>
      <c r="H77" s="20" t="n">
        <v>1.67421187</v>
      </c>
      <c r="I77" s="18" t="n">
        <v>0</v>
      </c>
      <c r="J77" s="20" t="n">
        <v>0</v>
      </c>
      <c r="K77" s="18" t="n">
        <v>9.26693603</v>
      </c>
      <c r="L77" s="20" t="n">
        <v>1.71712364</v>
      </c>
      <c r="M77" s="18" t="n">
        <v>0</v>
      </c>
      <c r="N77" s="20" t="n">
        <v>0</v>
      </c>
      <c r="O77" s="18" t="n">
        <v>0</v>
      </c>
      <c r="P77" s="20" t="n">
        <v>0</v>
      </c>
      <c r="Q77" s="18" t="n">
        <v>5.78286005</v>
      </c>
      <c r="R77" s="20" t="n">
        <v>1.03984386</v>
      </c>
    </row>
    <row r="78" spans="1:18">
      <c r="A78" s="15" t="s">
        <v>638</v>
      </c>
      <c r="B78" s="17" t="n">
        <v>7115</v>
      </c>
      <c r="C78" s="18">
        <f>(5549.0/B78*100)</f>
        <v/>
      </c>
      <c r="D78" s="19" t="n">
        <v>1566</v>
      </c>
      <c r="E78" s="18" t="n">
        <v>63.22872141</v>
      </c>
      <c r="F78" s="20" t="n">
        <v>1.40798629</v>
      </c>
      <c r="G78" s="18" t="n">
        <v>34.05326659</v>
      </c>
      <c r="H78" s="20" t="n">
        <v>1.36499761</v>
      </c>
      <c r="I78" s="18" t="n">
        <v>0</v>
      </c>
      <c r="J78" s="20" t="n">
        <v>0</v>
      </c>
      <c r="K78" s="18" t="n">
        <v>1.69791748</v>
      </c>
      <c r="L78" s="20" t="n">
        <v>0.38324644</v>
      </c>
      <c r="M78" s="18" t="n">
        <v>0</v>
      </c>
      <c r="N78" s="20" t="n">
        <v>0</v>
      </c>
      <c r="O78" s="18" t="n">
        <v>0</v>
      </c>
      <c r="P78" s="20" t="n">
        <v>0</v>
      </c>
      <c r="Q78" s="18" t="n">
        <v>1.02009451</v>
      </c>
      <c r="R78" s="20" t="n">
        <v>0.30958315</v>
      </c>
    </row>
    <row r="79" spans="1:18">
      <c r="A79" s="15" t="s">
        <v>639</v>
      </c>
      <c r="B79" s="17" t="n">
        <v>3154</v>
      </c>
      <c r="C79" s="18">
        <f>(2550.0/B79*100)</f>
        <v/>
      </c>
      <c r="D79" s="19" t="n">
        <v>604</v>
      </c>
      <c r="E79" s="18" t="n">
        <v>62.24144592</v>
      </c>
      <c r="F79" s="20" t="n">
        <v>2.2776473</v>
      </c>
      <c r="G79" s="18" t="n">
        <v>29.79995991</v>
      </c>
      <c r="H79" s="20" t="n">
        <v>2.20782821</v>
      </c>
      <c r="I79" s="18" t="n">
        <v>0</v>
      </c>
      <c r="J79" s="20" t="n">
        <v>0</v>
      </c>
      <c r="K79" s="18" t="n">
        <v>3.36000035</v>
      </c>
      <c r="L79" s="20" t="n">
        <v>0.86075891</v>
      </c>
      <c r="M79" s="18" t="n">
        <v>0</v>
      </c>
      <c r="N79" s="20" t="n">
        <v>0</v>
      </c>
      <c r="O79" s="18" t="n">
        <v>0</v>
      </c>
      <c r="P79" s="20" t="n">
        <v>0</v>
      </c>
      <c r="Q79" s="18" t="n">
        <v>4.59859382</v>
      </c>
      <c r="R79" s="20" t="n">
        <v>0.90036775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(12594.0/B82*100)</f>
        <v/>
      </c>
      <c r="D82" s="19" t="n">
        <v>3367</v>
      </c>
      <c r="E82" s="18" t="n">
        <v>52.60641851</v>
      </c>
      <c r="F82" s="20" t="n">
        <v>1.17620483</v>
      </c>
      <c r="G82" s="18" t="n">
        <v>45.17171836</v>
      </c>
      <c r="H82" s="20" t="n">
        <v>1.14407808</v>
      </c>
      <c r="I82" s="18" t="n">
        <v>0</v>
      </c>
      <c r="J82" s="20" t="n">
        <v>0</v>
      </c>
      <c r="K82" s="18" t="n">
        <v>0.86258416</v>
      </c>
      <c r="L82" s="20" t="n">
        <v>0.24988785</v>
      </c>
      <c r="M82" s="18" t="n">
        <v>0</v>
      </c>
      <c r="N82" s="20" t="n">
        <v>0</v>
      </c>
      <c r="O82" s="18" t="n">
        <v>0</v>
      </c>
      <c r="P82" s="20" t="n">
        <v>0</v>
      </c>
      <c r="Q82" s="18" t="n">
        <v>1.35927897</v>
      </c>
      <c r="R82" s="20" t="n">
        <v>0.27515304</v>
      </c>
    </row>
    <row r="83" spans="1:18">
      <c r="A83" s="15" t="s">
        <v>643</v>
      </c>
      <c r="B83" s="17" t="n">
        <v>808</v>
      </c>
      <c r="C83" s="18">
        <f>(656.0/B83*100)</f>
        <v/>
      </c>
      <c r="D83" s="19" t="n">
        <v>152</v>
      </c>
      <c r="E83" s="18" t="n">
        <v>46.09377799</v>
      </c>
      <c r="F83" s="20" t="n">
        <v>4.54662957</v>
      </c>
      <c r="G83" s="18" t="n">
        <v>53.23880087</v>
      </c>
      <c r="H83" s="20" t="n">
        <v>4.55625554</v>
      </c>
      <c r="I83" s="18" t="n">
        <v>0</v>
      </c>
      <c r="J83" s="20" t="n">
        <v>0</v>
      </c>
      <c r="K83" s="18" t="n">
        <v>0</v>
      </c>
      <c r="L83" s="20" t="n">
        <v>0</v>
      </c>
      <c r="M83" s="18" t="n">
        <v>0</v>
      </c>
      <c r="N83" s="20" t="n">
        <v>0</v>
      </c>
      <c r="O83" s="18" t="n">
        <v>0</v>
      </c>
      <c r="P83" s="20" t="n">
        <v>0</v>
      </c>
      <c r="Q83" s="18" t="n">
        <v>0.66742114</v>
      </c>
      <c r="R83" s="20" t="n">
        <v>0.67543662</v>
      </c>
    </row>
    <row r="84" spans="1:18">
      <c r="A84" s="23" t="s">
        <v>644</v>
      </c>
      <c r="B84" s="24" t="n">
        <v>938</v>
      </c>
      <c r="C84" s="25">
        <f>(715.0/B84*100)</f>
        <v/>
      </c>
      <c r="D84" s="19" t="n">
        <v>223</v>
      </c>
      <c r="E84" s="18" t="n">
        <v>45.90467345</v>
      </c>
      <c r="F84" s="20" t="n">
        <v>3.13155381</v>
      </c>
      <c r="G84" s="18" t="n">
        <v>53.63389395</v>
      </c>
      <c r="H84" s="20" t="n">
        <v>3.03218906</v>
      </c>
      <c r="I84" s="18" t="n">
        <v>0</v>
      </c>
      <c r="J84" s="20" t="n">
        <v>0</v>
      </c>
      <c r="K84" s="18" t="n">
        <v>0.4614326</v>
      </c>
      <c r="L84" s="20" t="n">
        <v>0.47086334</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(5677.0/B7*100)</f>
        <v/>
      </c>
      <c r="D7" s="19" t="n">
        <v>1486</v>
      </c>
      <c r="E7" s="18" t="n">
        <v>16.88095246</v>
      </c>
      <c r="F7" s="20" t="n">
        <v>1.17219555</v>
      </c>
      <c r="G7" s="18" t="n">
        <v>81.53081773</v>
      </c>
      <c r="H7" s="20" t="n">
        <v>1.19555967</v>
      </c>
      <c r="I7" s="18" t="n">
        <v>0</v>
      </c>
      <c r="J7" s="20" t="n">
        <v>0</v>
      </c>
      <c r="K7" s="18" t="n">
        <v>1.31835991</v>
      </c>
      <c r="L7" s="20" t="n">
        <v>0.33578182</v>
      </c>
      <c r="M7" s="18" t="n">
        <v>0</v>
      </c>
      <c r="N7" s="20" t="n">
        <v>0</v>
      </c>
      <c r="O7" s="18" t="n">
        <v>0</v>
      </c>
      <c r="P7" s="20" t="n">
        <v>0</v>
      </c>
      <c r="Q7" s="18" t="n">
        <v>0.26986991</v>
      </c>
      <c r="R7" s="20" t="n">
        <v>0.17426609</v>
      </c>
    </row>
    <row r="8" spans="1:18">
      <c r="A8" s="15" t="s">
        <v>566</v>
      </c>
      <c r="B8" s="17" t="n">
        <v>3443</v>
      </c>
      <c r="C8" s="18">
        <f>(2736.0/B8*100)</f>
        <v/>
      </c>
      <c r="D8" s="19" t="n">
        <v>707</v>
      </c>
      <c r="E8" s="18" t="n">
        <v>19.59494755</v>
      </c>
      <c r="F8" s="20" t="n">
        <v>2.19938425</v>
      </c>
      <c r="G8" s="18" t="n">
        <v>79.33735083000001</v>
      </c>
      <c r="H8" s="20" t="n">
        <v>2.23978762</v>
      </c>
      <c r="I8" s="18" t="n">
        <v>0</v>
      </c>
      <c r="J8" s="20" t="n">
        <v>0</v>
      </c>
      <c r="K8" s="18" t="n">
        <v>0.89685667</v>
      </c>
      <c r="L8" s="20" t="n">
        <v>0.38199969</v>
      </c>
      <c r="M8" s="18" t="n">
        <v>0</v>
      </c>
      <c r="N8" s="20" t="n">
        <v>0</v>
      </c>
      <c r="O8" s="18" t="n">
        <v>0</v>
      </c>
      <c r="P8" s="20" t="n">
        <v>0</v>
      </c>
      <c r="Q8" s="18" t="n">
        <v>0.17084495</v>
      </c>
      <c r="R8" s="20" t="n">
        <v>0.27292637</v>
      </c>
    </row>
    <row r="9" spans="1:18">
      <c r="A9" s="15" t="s">
        <v>567</v>
      </c>
      <c r="B9" s="17" t="n">
        <v>4752</v>
      </c>
      <c r="C9" s="18">
        <f>(3826.0/B9*100)</f>
        <v/>
      </c>
      <c r="D9" s="19" t="n">
        <v>926</v>
      </c>
      <c r="E9" s="18" t="n">
        <v>22.12945614</v>
      </c>
      <c r="F9" s="20" t="n">
        <v>1.26943952</v>
      </c>
      <c r="G9" s="18" t="n">
        <v>74.10628106999999</v>
      </c>
      <c r="H9" s="20" t="n">
        <v>1.31996719</v>
      </c>
      <c r="I9" s="18" t="n">
        <v>0</v>
      </c>
      <c r="J9" s="20" t="n">
        <v>0</v>
      </c>
      <c r="K9" s="18" t="n">
        <v>2.73186518</v>
      </c>
      <c r="L9" s="20" t="n">
        <v>0.60179947</v>
      </c>
      <c r="M9" s="18" t="n">
        <v>0</v>
      </c>
      <c r="N9" s="20" t="n">
        <v>0</v>
      </c>
      <c r="O9" s="18" t="n">
        <v>0</v>
      </c>
      <c r="P9" s="20" t="n">
        <v>0</v>
      </c>
      <c r="Q9" s="18" t="n">
        <v>1.0323976</v>
      </c>
      <c r="R9" s="20" t="n">
        <v>0.40391906</v>
      </c>
    </row>
    <row r="10" spans="1:18">
      <c r="A10" s="15" t="s">
        <v>568</v>
      </c>
      <c r="B10" s="17" t="n">
        <v>10022</v>
      </c>
      <c r="C10" s="18">
        <f>(7812.0/B10*100)</f>
        <v/>
      </c>
      <c r="D10" s="19" t="n">
        <v>2210</v>
      </c>
      <c r="E10" s="18" t="n">
        <v>13.94680497</v>
      </c>
      <c r="F10" s="20" t="n">
        <v>1.19394024</v>
      </c>
      <c r="G10" s="18" t="n">
        <v>83.99236429</v>
      </c>
      <c r="H10" s="20" t="n">
        <v>1.30109931</v>
      </c>
      <c r="I10" s="18" t="n">
        <v>0</v>
      </c>
      <c r="J10" s="20" t="n">
        <v>0</v>
      </c>
      <c r="K10" s="18" t="n">
        <v>1.77982512</v>
      </c>
      <c r="L10" s="20" t="n">
        <v>0.43771082</v>
      </c>
      <c r="M10" s="18" t="n">
        <v>0</v>
      </c>
      <c r="N10" s="20" t="n">
        <v>0</v>
      </c>
      <c r="O10" s="18" t="n">
        <v>0</v>
      </c>
      <c r="P10" s="20" t="n">
        <v>0</v>
      </c>
      <c r="Q10" s="18" t="n">
        <v>0.28100563</v>
      </c>
      <c r="R10" s="20" t="n">
        <v>0.13342155</v>
      </c>
    </row>
    <row r="11" spans="1:18">
      <c r="A11" s="15" t="s">
        <v>569</v>
      </c>
      <c r="B11" s="17" t="n">
        <v>3500</v>
      </c>
      <c r="C11" s="18">
        <f>(2768.0/B11*100)</f>
        <v/>
      </c>
      <c r="D11" s="19" t="n">
        <v>732</v>
      </c>
      <c r="E11" s="18" t="n">
        <v>25.84398946</v>
      </c>
      <c r="F11" s="20" t="n">
        <v>1.94982258</v>
      </c>
      <c r="G11" s="18" t="n">
        <v>68.56474405</v>
      </c>
      <c r="H11" s="20" t="n">
        <v>1.79215407</v>
      </c>
      <c r="I11" s="18" t="n">
        <v>0</v>
      </c>
      <c r="J11" s="20" t="n">
        <v>0</v>
      </c>
      <c r="K11" s="18" t="n">
        <v>3.84126337</v>
      </c>
      <c r="L11" s="20" t="n">
        <v>0.92739975</v>
      </c>
      <c r="M11" s="18" t="n">
        <v>0</v>
      </c>
      <c r="N11" s="20" t="n">
        <v>0</v>
      </c>
      <c r="O11" s="18" t="n">
        <v>0</v>
      </c>
      <c r="P11" s="20" t="n">
        <v>0</v>
      </c>
      <c r="Q11" s="18" t="n">
        <v>1.75000312</v>
      </c>
      <c r="R11" s="20" t="n">
        <v>0.60835291</v>
      </c>
    </row>
    <row r="12" spans="1:18">
      <c r="A12" s="15" t="s">
        <v>570</v>
      </c>
      <c r="B12" s="17" t="n">
        <v>3422</v>
      </c>
      <c r="C12" s="18">
        <f>(2674.0/B12*100)</f>
        <v/>
      </c>
      <c r="D12" s="19" t="n">
        <v>748</v>
      </c>
      <c r="E12" s="18" t="n">
        <v>17.4566855</v>
      </c>
      <c r="F12" s="20" t="n">
        <v>1.80585507</v>
      </c>
      <c r="G12" s="18" t="n">
        <v>81.75033516000001</v>
      </c>
      <c r="H12" s="20" t="n">
        <v>1.82930547</v>
      </c>
      <c r="I12" s="18" t="n">
        <v>0</v>
      </c>
      <c r="J12" s="20" t="n">
        <v>0</v>
      </c>
      <c r="K12" s="18" t="n">
        <v>0.59734053</v>
      </c>
      <c r="L12" s="20" t="n">
        <v>0.25943832</v>
      </c>
      <c r="M12" s="18" t="n">
        <v>0</v>
      </c>
      <c r="N12" s="20" t="n">
        <v>0</v>
      </c>
      <c r="O12" s="18" t="n">
        <v>0</v>
      </c>
      <c r="P12" s="20" t="n">
        <v>0</v>
      </c>
      <c r="Q12" s="18" t="n">
        <v>0.19563881</v>
      </c>
      <c r="R12" s="20" t="n">
        <v>0.14167697</v>
      </c>
    </row>
    <row r="13" spans="1:18">
      <c r="A13" s="15" t="s">
        <v>571</v>
      </c>
      <c r="B13" s="17" t="n">
        <v>3602</v>
      </c>
      <c r="C13" s="18">
        <f>(2880.0/B13*100)</f>
        <v/>
      </c>
      <c r="D13" s="19" t="n">
        <v>722</v>
      </c>
      <c r="E13" s="18" t="n">
        <v>19.91560118</v>
      </c>
      <c r="F13" s="20" t="n">
        <v>1.44912154</v>
      </c>
      <c r="G13" s="18" t="n">
        <v>79.15057804999999</v>
      </c>
      <c r="H13" s="20" t="n">
        <v>1.48290347</v>
      </c>
      <c r="I13" s="18" t="n">
        <v>0</v>
      </c>
      <c r="J13" s="20" t="n">
        <v>0</v>
      </c>
      <c r="K13" s="18" t="n">
        <v>0.86590646</v>
      </c>
      <c r="L13" s="20" t="n">
        <v>0.47506173</v>
      </c>
      <c r="M13" s="18" t="n">
        <v>0</v>
      </c>
      <c r="N13" s="20" t="n">
        <v>0</v>
      </c>
      <c r="O13" s="18" t="n">
        <v>0</v>
      </c>
      <c r="P13" s="20" t="n">
        <v>0</v>
      </c>
      <c r="Q13" s="18" t="n">
        <v>0.06791431000000001</v>
      </c>
      <c r="R13" s="20" t="n">
        <v>0.06287274</v>
      </c>
    </row>
    <row r="14" spans="1:18">
      <c r="A14" s="15" t="s">
        <v>572</v>
      </c>
      <c r="B14" s="17" t="n">
        <v>2788</v>
      </c>
      <c r="C14" s="18">
        <f>(2189.0/B14*100)</f>
        <v/>
      </c>
      <c r="D14" s="19" t="n">
        <v>599</v>
      </c>
      <c r="E14" s="18" t="n">
        <v>25.50728705</v>
      </c>
      <c r="F14" s="20" t="n">
        <v>1.64936781</v>
      </c>
      <c r="G14" s="18" t="n">
        <v>72.7066267</v>
      </c>
      <c r="H14" s="20" t="n">
        <v>1.67353926</v>
      </c>
      <c r="I14" s="18" t="n">
        <v>0</v>
      </c>
      <c r="J14" s="20" t="n">
        <v>0</v>
      </c>
      <c r="K14" s="18" t="n">
        <v>1.62003688</v>
      </c>
      <c r="L14" s="20" t="n">
        <v>0.53788651</v>
      </c>
      <c r="M14" s="18" t="n">
        <v>0</v>
      </c>
      <c r="N14" s="20" t="n">
        <v>0</v>
      </c>
      <c r="O14" s="18" t="n">
        <v>0</v>
      </c>
      <c r="P14" s="20" t="n">
        <v>0</v>
      </c>
      <c r="Q14" s="18" t="n">
        <v>0.16604937</v>
      </c>
      <c r="R14" s="20" t="n">
        <v>0.16575336</v>
      </c>
    </row>
    <row r="15" spans="1:18">
      <c r="A15" s="15" t="s">
        <v>573</v>
      </c>
      <c r="B15" s="17" t="n">
        <v>2863</v>
      </c>
      <c r="C15" s="18">
        <f>(2242.0/B15*100)</f>
        <v/>
      </c>
      <c r="D15" s="19" t="n">
        <v>621</v>
      </c>
      <c r="E15" s="18" t="n">
        <v>20.77003246</v>
      </c>
      <c r="F15" s="20" t="n">
        <v>1.61073338</v>
      </c>
      <c r="G15" s="18" t="n">
        <v>79.22996754</v>
      </c>
      <c r="H15" s="20" t="n">
        <v>1.61073338</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(2446.0/B16*100)</f>
        <v/>
      </c>
      <c r="D16" s="19" t="n">
        <v>665</v>
      </c>
      <c r="E16" s="18" t="n">
        <v>33.46011665</v>
      </c>
      <c r="F16" s="20" t="n">
        <v>2.27003689</v>
      </c>
      <c r="G16" s="18" t="n">
        <v>64.31563412</v>
      </c>
      <c r="H16" s="20" t="n">
        <v>2.30021408</v>
      </c>
      <c r="I16" s="18" t="n">
        <v>0</v>
      </c>
      <c r="J16" s="20" t="n">
        <v>0</v>
      </c>
      <c r="K16" s="18" t="n">
        <v>1.86458727</v>
      </c>
      <c r="L16" s="20" t="n">
        <v>0.58360356</v>
      </c>
      <c r="M16" s="18" t="n">
        <v>0</v>
      </c>
      <c r="N16" s="20" t="n">
        <v>0</v>
      </c>
      <c r="O16" s="18" t="n">
        <v>0</v>
      </c>
      <c r="P16" s="20" t="n">
        <v>0</v>
      </c>
      <c r="Q16" s="18" t="n">
        <v>0.35966197</v>
      </c>
      <c r="R16" s="20" t="n">
        <v>0.25670677</v>
      </c>
    </row>
    <row r="17" spans="1:18">
      <c r="A17" s="15" t="s">
        <v>575</v>
      </c>
      <c r="B17" s="17" t="n">
        <v>3197</v>
      </c>
      <c r="C17" s="18">
        <f>(2551.0/B17*100)</f>
        <v/>
      </c>
      <c r="D17" s="19" t="n">
        <v>646</v>
      </c>
      <c r="E17" s="18" t="n">
        <v>15.81582599</v>
      </c>
      <c r="F17" s="20" t="n">
        <v>1.70738169</v>
      </c>
      <c r="G17" s="18" t="n">
        <v>82.36927856</v>
      </c>
      <c r="H17" s="20" t="n">
        <v>1.70851456</v>
      </c>
      <c r="I17" s="18" t="n">
        <v>0</v>
      </c>
      <c r="J17" s="20" t="n">
        <v>0</v>
      </c>
      <c r="K17" s="18" t="n">
        <v>1.13820114</v>
      </c>
      <c r="L17" s="20" t="n">
        <v>0.40058187</v>
      </c>
      <c r="M17" s="18" t="n">
        <v>0</v>
      </c>
      <c r="N17" s="20" t="n">
        <v>0</v>
      </c>
      <c r="O17" s="18" t="n">
        <v>0</v>
      </c>
      <c r="P17" s="20" t="n">
        <v>0</v>
      </c>
      <c r="Q17" s="18" t="n">
        <v>0.67669431</v>
      </c>
      <c r="R17" s="20" t="n">
        <v>0.57247357</v>
      </c>
    </row>
    <row r="18" spans="1:18">
      <c r="A18" s="15" t="s">
        <v>576</v>
      </c>
      <c r="B18" s="17" t="n">
        <v>2706</v>
      </c>
      <c r="C18" s="18">
        <f>(2109.0/B18*100)</f>
        <v/>
      </c>
      <c r="D18" s="19" t="n">
        <v>597</v>
      </c>
      <c r="E18" s="18" t="n">
        <v>34.22595399</v>
      </c>
      <c r="F18" s="20" t="n">
        <v>2.04132829</v>
      </c>
      <c r="G18" s="18" t="n">
        <v>62.64205247</v>
      </c>
      <c r="H18" s="20" t="n">
        <v>2.07698283</v>
      </c>
      <c r="I18" s="18" t="n">
        <v>0</v>
      </c>
      <c r="J18" s="20" t="n">
        <v>0</v>
      </c>
      <c r="K18" s="18" t="n">
        <v>1.92030887</v>
      </c>
      <c r="L18" s="20" t="n">
        <v>0.50767077</v>
      </c>
      <c r="M18" s="18" t="n">
        <v>0</v>
      </c>
      <c r="N18" s="20" t="n">
        <v>0</v>
      </c>
      <c r="O18" s="18" t="n">
        <v>0</v>
      </c>
      <c r="P18" s="20" t="n">
        <v>0</v>
      </c>
      <c r="Q18" s="18" t="n">
        <v>1.21168468</v>
      </c>
      <c r="R18" s="20" t="n">
        <v>0.53093967</v>
      </c>
    </row>
    <row r="19" spans="1:18">
      <c r="A19" s="15" t="s">
        <v>577</v>
      </c>
      <c r="B19" s="17" t="n">
        <v>2850</v>
      </c>
      <c r="C19" s="18">
        <f>(2208.0/B19*100)</f>
        <v/>
      </c>
      <c r="D19" s="19" t="n">
        <v>642</v>
      </c>
      <c r="E19" s="18" t="n">
        <v>34.54734405</v>
      </c>
      <c r="F19" s="20" t="n">
        <v>1.98804429</v>
      </c>
      <c r="G19" s="18" t="n">
        <v>62.83857947</v>
      </c>
      <c r="H19" s="20" t="n">
        <v>1.97191301</v>
      </c>
      <c r="I19" s="18" t="n">
        <v>0</v>
      </c>
      <c r="J19" s="20" t="n">
        <v>0</v>
      </c>
      <c r="K19" s="18" t="n">
        <v>1.24551645</v>
      </c>
      <c r="L19" s="20" t="n">
        <v>0.54585728</v>
      </c>
      <c r="M19" s="18" t="n">
        <v>0</v>
      </c>
      <c r="N19" s="20" t="n">
        <v>0</v>
      </c>
      <c r="O19" s="18" t="n">
        <v>0</v>
      </c>
      <c r="P19" s="20" t="n">
        <v>0</v>
      </c>
      <c r="Q19" s="18" t="n">
        <v>1.36856003</v>
      </c>
      <c r="R19" s="20" t="n">
        <v>0.61419787</v>
      </c>
    </row>
    <row r="20" spans="1:18">
      <c r="A20" s="15" t="s">
        <v>578</v>
      </c>
      <c r="B20" s="17" t="n">
        <v>1741</v>
      </c>
      <c r="C20" s="18">
        <f>(1362.0/B20*100)</f>
        <v/>
      </c>
      <c r="D20" s="19" t="n">
        <v>379</v>
      </c>
      <c r="E20" s="18" t="n">
        <v>21.78201</v>
      </c>
      <c r="F20" s="20" t="n">
        <v>1.90570978</v>
      </c>
      <c r="G20" s="18" t="n">
        <v>76.58044629</v>
      </c>
      <c r="H20" s="20" t="n">
        <v>2.00163049</v>
      </c>
      <c r="I20" s="18" t="n">
        <v>0</v>
      </c>
      <c r="J20" s="20" t="n">
        <v>0</v>
      </c>
      <c r="K20" s="18" t="n">
        <v>1.09067296</v>
      </c>
      <c r="L20" s="20" t="n">
        <v>0.54175091</v>
      </c>
      <c r="M20" s="18" t="n">
        <v>0</v>
      </c>
      <c r="N20" s="20" t="n">
        <v>0</v>
      </c>
      <c r="O20" s="18" t="n">
        <v>0</v>
      </c>
      <c r="P20" s="20" t="n">
        <v>0</v>
      </c>
      <c r="Q20" s="18" t="n">
        <v>0.54687075</v>
      </c>
      <c r="R20" s="20" t="n">
        <v>0.38980245</v>
      </c>
    </row>
    <row r="21" spans="1:18">
      <c r="A21" s="15" t="s">
        <v>579</v>
      </c>
      <c r="B21" s="17" t="n">
        <v>2833</v>
      </c>
      <c r="C21" s="18">
        <f>(2212.0/B21*100)</f>
        <v/>
      </c>
      <c r="D21" s="19" t="n">
        <v>621</v>
      </c>
      <c r="E21" s="18" t="n">
        <v>15.30429539</v>
      </c>
      <c r="F21" s="20" t="n">
        <v>1.58989194</v>
      </c>
      <c r="G21" s="18" t="n">
        <v>84.06968318</v>
      </c>
      <c r="H21" s="20" t="n">
        <v>1.66127649</v>
      </c>
      <c r="I21" s="18" t="n">
        <v>0</v>
      </c>
      <c r="J21" s="20" t="n">
        <v>0</v>
      </c>
      <c r="K21" s="18" t="n">
        <v>0.45288442</v>
      </c>
      <c r="L21" s="20" t="n">
        <v>0.25879674</v>
      </c>
      <c r="M21" s="18" t="n">
        <v>0</v>
      </c>
      <c r="N21" s="20" t="n">
        <v>0</v>
      </c>
      <c r="O21" s="18" t="n">
        <v>0</v>
      </c>
      <c r="P21" s="20" t="n">
        <v>0</v>
      </c>
      <c r="Q21" s="18" t="n">
        <v>0.173137</v>
      </c>
      <c r="R21" s="20" t="n">
        <v>0.24068033</v>
      </c>
    </row>
    <row r="22" spans="1:18">
      <c r="A22" s="15" t="s">
        <v>580</v>
      </c>
      <c r="B22" s="17" t="n">
        <v>3667</v>
      </c>
      <c r="C22" s="18">
        <f>(2921.0/B22*100)</f>
        <v/>
      </c>
      <c r="D22" s="19" t="n">
        <v>746</v>
      </c>
      <c r="E22" s="18" t="n">
        <v>28.36457242</v>
      </c>
      <c r="F22" s="20" t="n">
        <v>1.95850637</v>
      </c>
      <c r="G22" s="18" t="n">
        <v>67.78389728000001</v>
      </c>
      <c r="H22" s="20" t="n">
        <v>1.88214758</v>
      </c>
      <c r="I22" s="18" t="n">
        <v>0</v>
      </c>
      <c r="J22" s="20" t="n">
        <v>0</v>
      </c>
      <c r="K22" s="18" t="n">
        <v>2.47553714</v>
      </c>
      <c r="L22" s="20" t="n">
        <v>0.66475221</v>
      </c>
      <c r="M22" s="18" t="n">
        <v>0</v>
      </c>
      <c r="N22" s="20" t="n">
        <v>0</v>
      </c>
      <c r="O22" s="18" t="n">
        <v>0</v>
      </c>
      <c r="P22" s="20" t="n">
        <v>0</v>
      </c>
      <c r="Q22" s="18" t="n">
        <v>1.37599316</v>
      </c>
      <c r="R22" s="20" t="n">
        <v>0.48318808</v>
      </c>
    </row>
    <row r="23" spans="1:18">
      <c r="A23" s="15" t="s">
        <v>581</v>
      </c>
      <c r="B23" s="17" t="n">
        <v>5792</v>
      </c>
      <c r="C23" s="18">
        <f>(4596.0/B23*100)</f>
        <v/>
      </c>
      <c r="D23" s="19" t="n">
        <v>1196</v>
      </c>
      <c r="E23" s="18" t="n">
        <v>36.37238147</v>
      </c>
      <c r="F23" s="20" t="n">
        <v>2.25554413</v>
      </c>
      <c r="G23" s="18" t="n">
        <v>55.90055292</v>
      </c>
      <c r="H23" s="20" t="n">
        <v>1.98574001</v>
      </c>
      <c r="I23" s="18" t="n">
        <v>0</v>
      </c>
      <c r="J23" s="20" t="n">
        <v>0</v>
      </c>
      <c r="K23" s="18" t="n">
        <v>5.88578311</v>
      </c>
      <c r="L23" s="20" t="n">
        <v>1.94242954</v>
      </c>
      <c r="M23" s="18" t="n">
        <v>0</v>
      </c>
      <c r="N23" s="20" t="n">
        <v>0</v>
      </c>
      <c r="O23" s="18" t="n">
        <v>0</v>
      </c>
      <c r="P23" s="20" t="n">
        <v>0</v>
      </c>
      <c r="Q23" s="18" t="n">
        <v>1.84128251</v>
      </c>
      <c r="R23" s="20" t="n">
        <v>0.669801</v>
      </c>
    </row>
    <row r="24" spans="1:18">
      <c r="A24" s="15" t="s">
        <v>582</v>
      </c>
      <c r="B24" s="17" t="n">
        <v>3309</v>
      </c>
      <c r="C24" s="18">
        <f>(2591.0/B24*100)</f>
        <v/>
      </c>
      <c r="D24" s="19" t="n">
        <v>718</v>
      </c>
      <c r="E24" s="18" t="n">
        <v>14.47872085</v>
      </c>
      <c r="F24" s="20" t="n">
        <v>1.28074383</v>
      </c>
      <c r="G24" s="18" t="n">
        <v>84.56909537</v>
      </c>
      <c r="H24" s="20" t="n">
        <v>1.39324028</v>
      </c>
      <c r="I24" s="18" t="n">
        <v>0</v>
      </c>
      <c r="J24" s="20" t="n">
        <v>0</v>
      </c>
      <c r="K24" s="18" t="n">
        <v>0.3896156</v>
      </c>
      <c r="L24" s="20" t="n">
        <v>0.28646652</v>
      </c>
      <c r="M24" s="18" t="n">
        <v>0</v>
      </c>
      <c r="N24" s="20" t="n">
        <v>0</v>
      </c>
      <c r="O24" s="18" t="n">
        <v>0</v>
      </c>
      <c r="P24" s="20" t="n">
        <v>0</v>
      </c>
      <c r="Q24" s="18" t="n">
        <v>0.56256817</v>
      </c>
      <c r="R24" s="20" t="n">
        <v>0.34539916</v>
      </c>
    </row>
    <row r="25" spans="1:18">
      <c r="A25" s="15" t="s">
        <v>583</v>
      </c>
      <c r="B25" s="17" t="n">
        <v>2669</v>
      </c>
      <c r="C25" s="18">
        <f>(2098.0/B25*100)</f>
        <v/>
      </c>
      <c r="D25" s="19" t="n">
        <v>571</v>
      </c>
      <c r="E25" s="18" t="n">
        <v>16.29055761</v>
      </c>
      <c r="F25" s="20" t="n">
        <v>1.6608955</v>
      </c>
      <c r="G25" s="18" t="n">
        <v>83.1751574</v>
      </c>
      <c r="H25" s="20" t="n">
        <v>1.61244729</v>
      </c>
      <c r="I25" s="18" t="n">
        <v>0</v>
      </c>
      <c r="J25" s="20" t="n">
        <v>0</v>
      </c>
      <c r="K25" s="18" t="n">
        <v>0.33534602</v>
      </c>
      <c r="L25" s="20" t="n">
        <v>0.27848345</v>
      </c>
      <c r="M25" s="18" t="n">
        <v>0</v>
      </c>
      <c r="N25" s="20" t="n">
        <v>0</v>
      </c>
      <c r="O25" s="18" t="n">
        <v>0</v>
      </c>
      <c r="P25" s="20" t="n">
        <v>0</v>
      </c>
      <c r="Q25" s="18" t="n">
        <v>0.19893897</v>
      </c>
      <c r="R25" s="20" t="n">
        <v>0.19911803</v>
      </c>
    </row>
    <row r="26" spans="1:18">
      <c r="A26" s="15" t="s">
        <v>584</v>
      </c>
      <c r="B26" s="17" t="n">
        <v>2419</v>
      </c>
      <c r="C26" s="18">
        <f>(1935.0/B26*100)</f>
        <v/>
      </c>
      <c r="D26" s="19" t="n">
        <v>484</v>
      </c>
      <c r="E26" s="18" t="n">
        <v>26.07851301</v>
      </c>
      <c r="F26" s="20" t="n">
        <v>2.49087441</v>
      </c>
      <c r="G26" s="18" t="n">
        <v>73.73586567</v>
      </c>
      <c r="H26" s="20" t="n">
        <v>2.50917307</v>
      </c>
      <c r="I26" s="18" t="n">
        <v>0</v>
      </c>
      <c r="J26" s="20" t="n">
        <v>0</v>
      </c>
      <c r="K26" s="18" t="n">
        <v>0.18562132</v>
      </c>
      <c r="L26" s="20" t="n">
        <v>0.18605091</v>
      </c>
      <c r="M26" s="18" t="n">
        <v>0</v>
      </c>
      <c r="N26" s="20" t="n">
        <v>0</v>
      </c>
      <c r="O26" s="18" t="n">
        <v>0</v>
      </c>
      <c r="P26" s="20" t="n">
        <v>0</v>
      </c>
      <c r="Q26" s="18" t="n">
        <v>0</v>
      </c>
      <c r="R26" s="20" t="n">
        <v>0</v>
      </c>
    </row>
    <row r="27" spans="1:18">
      <c r="A27" s="15" t="s">
        <v>585</v>
      </c>
      <c r="B27" s="17" t="n">
        <v>2683</v>
      </c>
      <c r="C27" s="18">
        <f>(2138.0/B27*100)</f>
        <v/>
      </c>
      <c r="D27" s="19" t="n">
        <v>545</v>
      </c>
      <c r="E27" s="18" t="n">
        <v>35.28931582</v>
      </c>
      <c r="F27" s="20" t="n">
        <v>2.0276167</v>
      </c>
      <c r="G27" s="18" t="n">
        <v>62.65639996</v>
      </c>
      <c r="H27" s="20" t="n">
        <v>2.05268677</v>
      </c>
      <c r="I27" s="18" t="n">
        <v>0</v>
      </c>
      <c r="J27" s="20" t="n">
        <v>0</v>
      </c>
      <c r="K27" s="18" t="n">
        <v>1.67248173</v>
      </c>
      <c r="L27" s="20" t="n">
        <v>0.49595302</v>
      </c>
      <c r="M27" s="18" t="n">
        <v>0</v>
      </c>
      <c r="N27" s="20" t="n">
        <v>0</v>
      </c>
      <c r="O27" s="18" t="n">
        <v>0</v>
      </c>
      <c r="P27" s="20" t="n">
        <v>0</v>
      </c>
      <c r="Q27" s="18" t="n">
        <v>0.38180248</v>
      </c>
      <c r="R27" s="20" t="n">
        <v>0.26963418</v>
      </c>
    </row>
    <row r="28" spans="1:18">
      <c r="A28" s="15" t="s">
        <v>586</v>
      </c>
      <c r="B28" s="17" t="n">
        <v>3803</v>
      </c>
      <c r="C28" s="18">
        <f>(3078.0/B28*100)</f>
        <v/>
      </c>
      <c r="D28" s="19" t="n">
        <v>725</v>
      </c>
      <c r="E28" s="18" t="n">
        <v>30.48938264</v>
      </c>
      <c r="F28" s="20" t="n">
        <v>2.07364073</v>
      </c>
      <c r="G28" s="18" t="n">
        <v>66.92812569</v>
      </c>
      <c r="H28" s="20" t="n">
        <v>2.03200025</v>
      </c>
      <c r="I28" s="18" t="n">
        <v>0</v>
      </c>
      <c r="J28" s="20" t="n">
        <v>0</v>
      </c>
      <c r="K28" s="18" t="n">
        <v>1.96702037</v>
      </c>
      <c r="L28" s="20" t="n">
        <v>0.6989509</v>
      </c>
      <c r="M28" s="18" t="n">
        <v>0</v>
      </c>
      <c r="N28" s="20" t="n">
        <v>0</v>
      </c>
      <c r="O28" s="18" t="n">
        <v>0</v>
      </c>
      <c r="P28" s="20" t="n">
        <v>0</v>
      </c>
      <c r="Q28" s="18" t="n">
        <v>0.61547129</v>
      </c>
      <c r="R28" s="20" t="n">
        <v>0.19204751</v>
      </c>
    </row>
    <row r="29" spans="1:18">
      <c r="A29" s="15" t="s">
        <v>587</v>
      </c>
      <c r="B29" s="17" t="n">
        <v>2700</v>
      </c>
      <c r="C29" s="18">
        <f>(2100.0/B29*100)</f>
        <v/>
      </c>
      <c r="D29" s="19" t="n">
        <v>600</v>
      </c>
      <c r="E29" s="18" t="n">
        <v>15.5601083</v>
      </c>
      <c r="F29" s="20" t="n">
        <v>1.25245625</v>
      </c>
      <c r="G29" s="18" t="n">
        <v>83.51136703</v>
      </c>
      <c r="H29" s="20" t="n">
        <v>1.33544285</v>
      </c>
      <c r="I29" s="18" t="n">
        <v>0</v>
      </c>
      <c r="J29" s="20" t="n">
        <v>0</v>
      </c>
      <c r="K29" s="18" t="n">
        <v>0.59081005</v>
      </c>
      <c r="L29" s="20" t="n">
        <v>0.33105698</v>
      </c>
      <c r="M29" s="18" t="n">
        <v>0</v>
      </c>
      <c r="N29" s="20" t="n">
        <v>0</v>
      </c>
      <c r="O29" s="18" t="n">
        <v>0</v>
      </c>
      <c r="P29" s="20" t="n">
        <v>0</v>
      </c>
      <c r="Q29" s="18" t="n">
        <v>0.33771462</v>
      </c>
      <c r="R29" s="20" t="n">
        <v>0.21379174</v>
      </c>
    </row>
    <row r="30" spans="1:18">
      <c r="A30" s="15" t="s">
        <v>588</v>
      </c>
      <c r="B30" s="17" t="n">
        <v>2257</v>
      </c>
      <c r="C30" s="18">
        <f>(1766.0/B30*100)</f>
        <v/>
      </c>
      <c r="D30" s="19" t="n">
        <v>491</v>
      </c>
      <c r="E30" s="18" t="n">
        <v>14.5705772</v>
      </c>
      <c r="F30" s="20" t="n">
        <v>1.568327</v>
      </c>
      <c r="G30" s="18" t="n">
        <v>83.43512229</v>
      </c>
      <c r="H30" s="20" t="n">
        <v>1.64536371</v>
      </c>
      <c r="I30" s="18" t="n">
        <v>0</v>
      </c>
      <c r="J30" s="20" t="n">
        <v>0</v>
      </c>
      <c r="K30" s="18" t="n">
        <v>1.03744997</v>
      </c>
      <c r="L30" s="20" t="n">
        <v>0.46137978</v>
      </c>
      <c r="M30" s="18" t="n">
        <v>0</v>
      </c>
      <c r="N30" s="20" t="n">
        <v>0</v>
      </c>
      <c r="O30" s="18" t="n">
        <v>0</v>
      </c>
      <c r="P30" s="20" t="n">
        <v>0</v>
      </c>
      <c r="Q30" s="18" t="n">
        <v>0.95685054</v>
      </c>
      <c r="R30" s="20" t="n">
        <v>0.49126509</v>
      </c>
    </row>
    <row r="31" spans="1:18">
      <c r="A31" s="15" t="s">
        <v>589</v>
      </c>
      <c r="B31" s="17" t="n">
        <v>2706</v>
      </c>
      <c r="C31" s="18">
        <f>(2105.0/B31*100)</f>
        <v/>
      </c>
      <c r="D31" s="19" t="n">
        <v>601</v>
      </c>
      <c r="E31" s="18" t="n">
        <v>21.75336723</v>
      </c>
      <c r="F31" s="20" t="n">
        <v>1.70686634</v>
      </c>
      <c r="G31" s="18" t="n">
        <v>75.87756539</v>
      </c>
      <c r="H31" s="20" t="n">
        <v>1.78279846</v>
      </c>
      <c r="I31" s="18" t="n">
        <v>0</v>
      </c>
      <c r="J31" s="20" t="n">
        <v>0</v>
      </c>
      <c r="K31" s="18" t="n">
        <v>2.36906737</v>
      </c>
      <c r="L31" s="20" t="n">
        <v>0.70399827</v>
      </c>
      <c r="M31" s="18" t="n">
        <v>0</v>
      </c>
      <c r="N31" s="20" t="n">
        <v>0</v>
      </c>
      <c r="O31" s="18" t="n">
        <v>0</v>
      </c>
      <c r="P31" s="20" t="n">
        <v>0</v>
      </c>
      <c r="Q31" s="18" t="n">
        <v>0</v>
      </c>
      <c r="R31" s="20" t="n">
        <v>0</v>
      </c>
    </row>
    <row r="32" spans="1:18">
      <c r="A32" s="15" t="s">
        <v>590</v>
      </c>
      <c r="B32" s="17" t="n">
        <v>2209</v>
      </c>
      <c r="C32" s="18">
        <f>(1757.0/B32*100)</f>
        <v/>
      </c>
      <c r="D32" s="19" t="n">
        <v>452</v>
      </c>
      <c r="E32" s="18" t="n">
        <v>23.5121355</v>
      </c>
      <c r="F32" s="20" t="n">
        <v>1.91360503</v>
      </c>
      <c r="G32" s="18" t="n">
        <v>75.27159729</v>
      </c>
      <c r="H32" s="20" t="n">
        <v>1.89290227</v>
      </c>
      <c r="I32" s="18" t="n">
        <v>0</v>
      </c>
      <c r="J32" s="20" t="n">
        <v>0</v>
      </c>
      <c r="K32" s="18" t="n">
        <v>0.58530932</v>
      </c>
      <c r="L32" s="20" t="n">
        <v>0.33680099</v>
      </c>
      <c r="M32" s="18" t="n">
        <v>0</v>
      </c>
      <c r="N32" s="20" t="n">
        <v>0</v>
      </c>
      <c r="O32" s="18" t="n">
        <v>0</v>
      </c>
      <c r="P32" s="20" t="n">
        <v>0</v>
      </c>
      <c r="Q32" s="18" t="n">
        <v>0.63095788</v>
      </c>
      <c r="R32" s="20" t="n">
        <v>0.36607826</v>
      </c>
    </row>
    <row r="33" spans="1:18">
      <c r="A33" s="15" t="s">
        <v>591</v>
      </c>
      <c r="B33" s="17" t="n">
        <v>3651</v>
      </c>
      <c r="C33" s="18">
        <f>(2983.0/B33*100)</f>
        <v/>
      </c>
      <c r="D33" s="19" t="n">
        <v>668</v>
      </c>
      <c r="E33" s="18" t="n">
        <v>31.63240352</v>
      </c>
      <c r="F33" s="20" t="n">
        <v>2.45671053</v>
      </c>
      <c r="G33" s="18" t="n">
        <v>67.23186416999999</v>
      </c>
      <c r="H33" s="20" t="n">
        <v>2.5396065</v>
      </c>
      <c r="I33" s="18" t="n">
        <v>0</v>
      </c>
      <c r="J33" s="20" t="n">
        <v>0</v>
      </c>
      <c r="K33" s="18" t="n">
        <v>0.8627945</v>
      </c>
      <c r="L33" s="20" t="n">
        <v>0.3925025</v>
      </c>
      <c r="M33" s="18" t="n">
        <v>0</v>
      </c>
      <c r="N33" s="20" t="n">
        <v>0</v>
      </c>
      <c r="O33" s="18" t="n">
        <v>0</v>
      </c>
      <c r="P33" s="20" t="n">
        <v>0</v>
      </c>
      <c r="Q33" s="18" t="n">
        <v>0.27293781</v>
      </c>
      <c r="R33" s="20" t="n">
        <v>0.16433217</v>
      </c>
    </row>
    <row r="34" spans="1:18">
      <c r="A34" s="15" t="s">
        <v>592</v>
      </c>
      <c r="B34" s="17" t="n">
        <v>3035</v>
      </c>
      <c r="C34" s="18">
        <f>(2391.0/B34*100)</f>
        <v/>
      </c>
      <c r="D34" s="19" t="n">
        <v>644</v>
      </c>
      <c r="E34" s="18" t="n">
        <v>29.40109298</v>
      </c>
      <c r="F34" s="20" t="n">
        <v>1.96497592</v>
      </c>
      <c r="G34" s="18" t="n">
        <v>66.6423175</v>
      </c>
      <c r="H34" s="20" t="n">
        <v>2.08347552</v>
      </c>
      <c r="I34" s="18" t="n">
        <v>0</v>
      </c>
      <c r="J34" s="20" t="n">
        <v>0</v>
      </c>
      <c r="K34" s="18" t="n">
        <v>1.55645127</v>
      </c>
      <c r="L34" s="20" t="n">
        <v>0.40476158</v>
      </c>
      <c r="M34" s="18" t="n">
        <v>0</v>
      </c>
      <c r="N34" s="20" t="n">
        <v>0</v>
      </c>
      <c r="O34" s="18" t="n">
        <v>0</v>
      </c>
      <c r="P34" s="20" t="n">
        <v>0</v>
      </c>
      <c r="Q34" s="18" t="n">
        <v>2.40013825</v>
      </c>
      <c r="R34" s="20" t="n">
        <v>0.76218006</v>
      </c>
    </row>
    <row r="35" spans="1:18">
      <c r="A35" s="15" t="s">
        <v>593</v>
      </c>
      <c r="B35" s="17" t="n">
        <v>2901</v>
      </c>
      <c r="C35" s="18">
        <f>(2277.0/B35*100)</f>
        <v/>
      </c>
      <c r="D35" s="19" t="n">
        <v>624</v>
      </c>
      <c r="E35" s="18" t="n">
        <v>26.41620915</v>
      </c>
      <c r="F35" s="20" t="n">
        <v>2.0383185</v>
      </c>
      <c r="G35" s="18" t="n">
        <v>73.30903026</v>
      </c>
      <c r="H35" s="20" t="n">
        <v>2.03535663</v>
      </c>
      <c r="I35" s="18" t="n">
        <v>0</v>
      </c>
      <c r="J35" s="20" t="n">
        <v>0</v>
      </c>
      <c r="K35" s="18" t="n">
        <v>0.12647594</v>
      </c>
      <c r="L35" s="20" t="n">
        <v>0.08909083</v>
      </c>
      <c r="M35" s="18" t="n">
        <v>0</v>
      </c>
      <c r="N35" s="20" t="n">
        <v>0</v>
      </c>
      <c r="O35" s="18" t="n">
        <v>0</v>
      </c>
      <c r="P35" s="20" t="n">
        <v>0</v>
      </c>
      <c r="Q35" s="18" t="n">
        <v>0.14828466</v>
      </c>
      <c r="R35" s="20" t="n">
        <v>0.10791163</v>
      </c>
    </row>
    <row r="36" spans="1:18">
      <c r="A36" s="15" t="s">
        <v>594</v>
      </c>
      <c r="B36" s="17" t="n">
        <v>3404</v>
      </c>
      <c r="C36" s="18">
        <f>(2696.0/B36*100)</f>
        <v/>
      </c>
      <c r="D36" s="19" t="n">
        <v>708</v>
      </c>
      <c r="E36" s="18" t="n">
        <v>26.37252957</v>
      </c>
      <c r="F36" s="20" t="n">
        <v>1.82333267</v>
      </c>
      <c r="G36" s="18" t="n">
        <v>71.33794091999999</v>
      </c>
      <c r="H36" s="20" t="n">
        <v>1.79846639</v>
      </c>
      <c r="I36" s="18" t="n">
        <v>0</v>
      </c>
      <c r="J36" s="20" t="n">
        <v>0</v>
      </c>
      <c r="K36" s="18" t="n">
        <v>0.82019367</v>
      </c>
      <c r="L36" s="20" t="n">
        <v>0.30419856</v>
      </c>
      <c r="M36" s="18" t="n">
        <v>0</v>
      </c>
      <c r="N36" s="20" t="n">
        <v>0</v>
      </c>
      <c r="O36" s="18" t="n">
        <v>0</v>
      </c>
      <c r="P36" s="20" t="n">
        <v>0</v>
      </c>
      <c r="Q36" s="18" t="n">
        <v>1.46933584</v>
      </c>
      <c r="R36" s="20" t="n">
        <v>0.44083082</v>
      </c>
    </row>
    <row r="37" spans="1:18">
      <c r="A37" s="15" t="s">
        <v>595</v>
      </c>
      <c r="B37" s="17" t="n">
        <v>2731</v>
      </c>
      <c r="C37" s="18">
        <f>(2183.0/B37*100)</f>
        <v/>
      </c>
      <c r="D37" s="19" t="n">
        <v>548</v>
      </c>
      <c r="E37" s="18" t="n">
        <v>20.46332742</v>
      </c>
      <c r="F37" s="20" t="n">
        <v>1.81510592</v>
      </c>
      <c r="G37" s="18" t="n">
        <v>73.71122935</v>
      </c>
      <c r="H37" s="20" t="n">
        <v>2.06342333</v>
      </c>
      <c r="I37" s="18" t="n">
        <v>0</v>
      </c>
      <c r="J37" s="20" t="n">
        <v>0</v>
      </c>
      <c r="K37" s="18" t="n">
        <v>4.57661733</v>
      </c>
      <c r="L37" s="20" t="n">
        <v>0.9860109500000001</v>
      </c>
      <c r="M37" s="18" t="n">
        <v>0</v>
      </c>
      <c r="N37" s="20" t="n">
        <v>0</v>
      </c>
      <c r="O37" s="18" t="n">
        <v>0</v>
      </c>
      <c r="P37" s="20" t="n">
        <v>0</v>
      </c>
      <c r="Q37" s="18" t="n">
        <v>1.2488259</v>
      </c>
      <c r="R37" s="20" t="n">
        <v>0.39808483</v>
      </c>
    </row>
    <row r="38" spans="1:18">
      <c r="A38" s="15" t="s">
        <v>596</v>
      </c>
      <c r="B38" s="17" t="n">
        <v>2807</v>
      </c>
      <c r="C38" s="18">
        <f>(2256.0/B38*100)</f>
        <v/>
      </c>
      <c r="D38" s="19" t="n">
        <v>551</v>
      </c>
      <c r="E38" s="18" t="n">
        <v>21.78508167</v>
      </c>
      <c r="F38" s="20" t="n">
        <v>1.93965322</v>
      </c>
      <c r="G38" s="18" t="n">
        <v>76.39610836999999</v>
      </c>
      <c r="H38" s="20" t="n">
        <v>1.99705713</v>
      </c>
      <c r="I38" s="18" t="n">
        <v>0</v>
      </c>
      <c r="J38" s="20" t="n">
        <v>0</v>
      </c>
      <c r="K38" s="18" t="n">
        <v>1.11556616</v>
      </c>
      <c r="L38" s="20" t="n">
        <v>0.5149416</v>
      </c>
      <c r="M38" s="18" t="n">
        <v>0</v>
      </c>
      <c r="N38" s="20" t="n">
        <v>0</v>
      </c>
      <c r="O38" s="18" t="n">
        <v>0</v>
      </c>
      <c r="P38" s="20" t="n">
        <v>0</v>
      </c>
      <c r="Q38" s="18" t="n">
        <v>0.7032438</v>
      </c>
      <c r="R38" s="20" t="n">
        <v>0.42721594</v>
      </c>
    </row>
    <row r="39" spans="1:18">
      <c r="A39" s="15" t="s">
        <v>597</v>
      </c>
      <c r="B39" s="17" t="n">
        <v>2938</v>
      </c>
      <c r="C39" s="18">
        <f>(2272.0/B39*100)</f>
        <v/>
      </c>
      <c r="D39" s="19" t="n">
        <v>666</v>
      </c>
      <c r="E39" s="18" t="n">
        <v>44.43766703</v>
      </c>
      <c r="F39" s="20" t="n">
        <v>2.0633853</v>
      </c>
      <c r="G39" s="18" t="n">
        <v>52.08900831</v>
      </c>
      <c r="H39" s="20" t="n">
        <v>2.18572755</v>
      </c>
      <c r="I39" s="18" t="n">
        <v>0</v>
      </c>
      <c r="J39" s="20" t="n">
        <v>0</v>
      </c>
      <c r="K39" s="18" t="n">
        <v>0.7974232</v>
      </c>
      <c r="L39" s="20" t="n">
        <v>0.32164063</v>
      </c>
      <c r="M39" s="18" t="n">
        <v>0</v>
      </c>
      <c r="N39" s="20" t="n">
        <v>0</v>
      </c>
      <c r="O39" s="18" t="n">
        <v>0</v>
      </c>
      <c r="P39" s="20" t="n">
        <v>0</v>
      </c>
      <c r="Q39" s="18" t="n">
        <v>2.67590146</v>
      </c>
      <c r="R39" s="20" t="n">
        <v>0.61193136</v>
      </c>
    </row>
    <row r="40" spans="1:18">
      <c r="A40" s="15" t="s">
        <v>598</v>
      </c>
      <c r="B40" s="17" t="n">
        <v>6922</v>
      </c>
      <c r="C40" s="18">
        <f>(5394.0/B40*100)</f>
        <v/>
      </c>
      <c r="D40" s="19" t="n">
        <v>1528</v>
      </c>
      <c r="E40" s="18" t="n">
        <v>24.25816176</v>
      </c>
      <c r="F40" s="20" t="n">
        <v>1.97091387</v>
      </c>
      <c r="G40" s="18" t="n">
        <v>74.22553178</v>
      </c>
      <c r="H40" s="20" t="n">
        <v>2.02338026</v>
      </c>
      <c r="I40" s="18" t="n">
        <v>0</v>
      </c>
      <c r="J40" s="20" t="n">
        <v>0</v>
      </c>
      <c r="K40" s="18" t="n">
        <v>1.12987689</v>
      </c>
      <c r="L40" s="20" t="n">
        <v>0.42636465</v>
      </c>
      <c r="M40" s="18" t="n">
        <v>0</v>
      </c>
      <c r="N40" s="20" t="n">
        <v>0</v>
      </c>
      <c r="O40" s="18" t="n">
        <v>0</v>
      </c>
      <c r="P40" s="20" t="n">
        <v>0</v>
      </c>
      <c r="Q40" s="18" t="n">
        <v>0.38642956</v>
      </c>
      <c r="R40" s="20" t="n">
        <v>0.25097685</v>
      </c>
    </row>
    <row r="41" spans="1:18">
      <c r="A41" s="15" t="s">
        <v>599</v>
      </c>
      <c r="B41" s="17" t="n">
        <v>2854</v>
      </c>
      <c r="C41" s="18">
        <f>(2253.0/B41*100)</f>
        <v/>
      </c>
      <c r="D41" s="19" t="n">
        <v>601</v>
      </c>
      <c r="E41" s="18" t="n">
        <v>18.31161095</v>
      </c>
      <c r="F41" s="20" t="n">
        <v>1.75365226</v>
      </c>
      <c r="G41" s="18" t="n">
        <v>80.92904203000001</v>
      </c>
      <c r="H41" s="20" t="n">
        <v>1.76651775</v>
      </c>
      <c r="I41" s="18" t="n">
        <v>0</v>
      </c>
      <c r="J41" s="20" t="n">
        <v>0</v>
      </c>
      <c r="K41" s="18" t="n">
        <v>0.29035838</v>
      </c>
      <c r="L41" s="20" t="n">
        <v>0.21738052</v>
      </c>
      <c r="M41" s="18" t="n">
        <v>0</v>
      </c>
      <c r="N41" s="20" t="n">
        <v>0</v>
      </c>
      <c r="O41" s="18" t="n">
        <v>0</v>
      </c>
      <c r="P41" s="20" t="n">
        <v>0</v>
      </c>
      <c r="Q41" s="18" t="n">
        <v>0.46898863</v>
      </c>
      <c r="R41" s="20" t="n">
        <v>0.25543499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(10332.0/B46*100)</f>
        <v/>
      </c>
      <c r="D46" s="19" t="n">
        <v>1741</v>
      </c>
      <c r="E46" s="18" t="n">
        <v>37.65574524</v>
      </c>
      <c r="F46" s="20" t="n">
        <v>1.49614036</v>
      </c>
      <c r="G46" s="18" t="n">
        <v>52.36671695</v>
      </c>
      <c r="H46" s="20" t="n">
        <v>1.57503937</v>
      </c>
      <c r="I46" s="18" t="n">
        <v>0</v>
      </c>
      <c r="J46" s="20" t="n">
        <v>0</v>
      </c>
      <c r="K46" s="18" t="n">
        <v>3.41395415</v>
      </c>
      <c r="L46" s="20" t="n">
        <v>0.5790666</v>
      </c>
      <c r="M46" s="18" t="n">
        <v>0</v>
      </c>
      <c r="N46" s="20" t="n">
        <v>0</v>
      </c>
      <c r="O46" s="18" t="n">
        <v>0</v>
      </c>
      <c r="P46" s="20" t="n">
        <v>0</v>
      </c>
      <c r="Q46" s="18" t="n">
        <v>6.56358365</v>
      </c>
      <c r="R46" s="20" t="n">
        <v>0.62560958</v>
      </c>
    </row>
    <row r="47" spans="1:18">
      <c r="A47" s="15" t="s">
        <v>606</v>
      </c>
      <c r="B47" s="17" t="n">
        <v>2823</v>
      </c>
      <c r="C47" s="18">
        <f>(2244.0/B47*100)</f>
        <v/>
      </c>
      <c r="D47" s="19" t="n">
        <v>579</v>
      </c>
      <c r="E47" s="18" t="n">
        <v>33.88449561</v>
      </c>
      <c r="F47" s="20" t="n">
        <v>2.1207416</v>
      </c>
      <c r="G47" s="18" t="n">
        <v>61.26750493</v>
      </c>
      <c r="H47" s="20" t="n">
        <v>2.22014402</v>
      </c>
      <c r="I47" s="18" t="n">
        <v>0</v>
      </c>
      <c r="J47" s="20" t="n">
        <v>0</v>
      </c>
      <c r="K47" s="18" t="n">
        <v>2.44114471</v>
      </c>
      <c r="L47" s="20" t="n">
        <v>0.75503437</v>
      </c>
      <c r="M47" s="18" t="n">
        <v>0</v>
      </c>
      <c r="N47" s="20" t="n">
        <v>0</v>
      </c>
      <c r="O47" s="18" t="n">
        <v>0</v>
      </c>
      <c r="P47" s="20" t="n">
        <v>0</v>
      </c>
      <c r="Q47" s="18" t="n">
        <v>2.40685474</v>
      </c>
      <c r="R47" s="20" t="n">
        <v>0.7029356</v>
      </c>
    </row>
    <row r="48" spans="1:18">
      <c r="A48" s="15" t="s">
        <v>607</v>
      </c>
      <c r="B48" s="17" t="n">
        <v>4682</v>
      </c>
      <c r="C48" s="18">
        <f>(3707.0/B48*100)</f>
        <v/>
      </c>
      <c r="D48" s="19" t="n">
        <v>975</v>
      </c>
      <c r="E48" s="18" t="n">
        <v>21.39306942</v>
      </c>
      <c r="F48" s="20" t="n">
        <v>1.81883085</v>
      </c>
      <c r="G48" s="18" t="n">
        <v>76.6421373</v>
      </c>
      <c r="H48" s="20" t="n">
        <v>1.88674879</v>
      </c>
      <c r="I48" s="18" t="n">
        <v>0</v>
      </c>
      <c r="J48" s="20" t="n">
        <v>0</v>
      </c>
      <c r="K48" s="18" t="n">
        <v>0.99206401</v>
      </c>
      <c r="L48" s="20" t="n">
        <v>0.65215662</v>
      </c>
      <c r="M48" s="18" t="n">
        <v>0</v>
      </c>
      <c r="N48" s="20" t="n">
        <v>0</v>
      </c>
      <c r="O48" s="18" t="n">
        <v>0</v>
      </c>
      <c r="P48" s="20" t="n">
        <v>0</v>
      </c>
      <c r="Q48" s="18" t="n">
        <v>0.97272927</v>
      </c>
      <c r="R48" s="20" t="n">
        <v>0.38934315</v>
      </c>
    </row>
    <row r="49" spans="1:18">
      <c r="A49" s="15" t="s">
        <v>608</v>
      </c>
      <c r="B49" s="17" t="n">
        <v>6158</v>
      </c>
      <c r="C49" s="18">
        <f>(4928.0/B49*100)</f>
        <v/>
      </c>
      <c r="D49" s="19" t="n">
        <v>1230</v>
      </c>
      <c r="E49" s="18" t="n">
        <v>32.38474459</v>
      </c>
      <c r="F49" s="20" t="n">
        <v>1.61625517</v>
      </c>
      <c r="G49" s="18" t="n">
        <v>59.22976204</v>
      </c>
      <c r="H49" s="20" t="n">
        <v>1.69142414</v>
      </c>
      <c r="I49" s="18" t="n">
        <v>0</v>
      </c>
      <c r="J49" s="20" t="n">
        <v>0</v>
      </c>
      <c r="K49" s="18" t="n">
        <v>3.39507472</v>
      </c>
      <c r="L49" s="20" t="n">
        <v>0.67693478</v>
      </c>
      <c r="M49" s="18" t="n">
        <v>0</v>
      </c>
      <c r="N49" s="20" t="n">
        <v>0</v>
      </c>
      <c r="O49" s="18" t="n">
        <v>0</v>
      </c>
      <c r="P49" s="20" t="n">
        <v>0</v>
      </c>
      <c r="Q49" s="18" t="n">
        <v>4.99041865</v>
      </c>
      <c r="R49" s="20" t="n">
        <v>0.91710878</v>
      </c>
    </row>
    <row r="50" spans="1:18">
      <c r="A50" s="15" t="s">
        <v>609</v>
      </c>
      <c r="B50" s="17" t="n">
        <v>3494</v>
      </c>
      <c r="C50" s="18">
        <f>(2897.0/B50*100)</f>
        <v/>
      </c>
      <c r="D50" s="19" t="n">
        <v>597</v>
      </c>
      <c r="E50" s="18" t="n">
        <v>28.77430151</v>
      </c>
      <c r="F50" s="20" t="n">
        <v>2.31560398</v>
      </c>
      <c r="G50" s="18" t="n">
        <v>68.10138075</v>
      </c>
      <c r="H50" s="20" t="n">
        <v>2.33305295</v>
      </c>
      <c r="I50" s="18" t="n">
        <v>0</v>
      </c>
      <c r="J50" s="20" t="n">
        <v>0</v>
      </c>
      <c r="K50" s="18" t="n">
        <v>1.60625984</v>
      </c>
      <c r="L50" s="20" t="n">
        <v>0.61871055</v>
      </c>
      <c r="M50" s="18" t="n">
        <v>0</v>
      </c>
      <c r="N50" s="20" t="n">
        <v>0</v>
      </c>
      <c r="O50" s="18" t="n">
        <v>0</v>
      </c>
      <c r="P50" s="20" t="n">
        <v>0</v>
      </c>
      <c r="Q50" s="18" t="n">
        <v>1.51805789</v>
      </c>
      <c r="R50" s="20" t="n">
        <v>0.53530697</v>
      </c>
    </row>
    <row r="51" spans="1:18">
      <c r="A51" s="15" t="s">
        <v>610</v>
      </c>
      <c r="B51" s="17" t="n">
        <v>3013</v>
      </c>
      <c r="C51" s="18">
        <f>(2384.0/B51*100)</f>
        <v/>
      </c>
      <c r="D51" s="19" t="n">
        <v>629</v>
      </c>
      <c r="E51" s="18" t="n">
        <v>19.14399219</v>
      </c>
      <c r="F51" s="20" t="n">
        <v>1.78809217</v>
      </c>
      <c r="G51" s="18" t="n">
        <v>79.99030639</v>
      </c>
      <c r="H51" s="20" t="n">
        <v>1.78375312</v>
      </c>
      <c r="I51" s="18" t="n">
        <v>0</v>
      </c>
      <c r="J51" s="20" t="n">
        <v>0</v>
      </c>
      <c r="K51" s="18" t="n">
        <v>0.73051471</v>
      </c>
      <c r="L51" s="20" t="n">
        <v>0.37025452</v>
      </c>
      <c r="M51" s="18" t="n">
        <v>0</v>
      </c>
      <c r="N51" s="20" t="n">
        <v>0</v>
      </c>
      <c r="O51" s="18" t="n">
        <v>0</v>
      </c>
      <c r="P51" s="20" t="n">
        <v>0</v>
      </c>
      <c r="Q51" s="18" t="n">
        <v>0.13518671</v>
      </c>
      <c r="R51" s="20" t="n">
        <v>0.13538986</v>
      </c>
    </row>
    <row r="52" spans="1:18">
      <c r="A52" s="15" t="s">
        <v>611</v>
      </c>
      <c r="B52" s="17" t="n">
        <v>2760</v>
      </c>
      <c r="C52" s="18">
        <f>(2210.0/B52*100)</f>
        <v/>
      </c>
      <c r="D52" s="19" t="n">
        <v>550</v>
      </c>
      <c r="E52" s="18" t="n">
        <v>39.35151036</v>
      </c>
      <c r="F52" s="20" t="n">
        <v>2.01705789</v>
      </c>
      <c r="G52" s="18" t="n">
        <v>58.8435157</v>
      </c>
      <c r="H52" s="20" t="n">
        <v>2.04414152</v>
      </c>
      <c r="I52" s="18" t="n">
        <v>0</v>
      </c>
      <c r="J52" s="20" t="n">
        <v>0</v>
      </c>
      <c r="K52" s="18" t="n">
        <v>1.29345528</v>
      </c>
      <c r="L52" s="20" t="n">
        <v>0.47138119</v>
      </c>
      <c r="M52" s="18" t="n">
        <v>0</v>
      </c>
      <c r="N52" s="20" t="n">
        <v>0</v>
      </c>
      <c r="O52" s="18" t="n">
        <v>0</v>
      </c>
      <c r="P52" s="20" t="n">
        <v>0</v>
      </c>
      <c r="Q52" s="18" t="n">
        <v>0.51151866</v>
      </c>
      <c r="R52" s="20" t="n">
        <v>0.30767779</v>
      </c>
    </row>
    <row r="53" spans="1:18">
      <c r="A53" s="15" t="s">
        <v>612</v>
      </c>
      <c r="B53" s="17" t="n">
        <v>2474</v>
      </c>
      <c r="C53" s="18">
        <f>(1902.0/B53*100)</f>
        <v/>
      </c>
      <c r="D53" s="19" t="n">
        <v>572</v>
      </c>
      <c r="E53" s="18" t="n">
        <v>27.39356183</v>
      </c>
      <c r="F53" s="20" t="n">
        <v>2.07381343</v>
      </c>
      <c r="G53" s="18" t="n">
        <v>30.41590276</v>
      </c>
      <c r="H53" s="20" t="n">
        <v>1.88997173</v>
      </c>
      <c r="I53" s="18" t="n">
        <v>0</v>
      </c>
      <c r="J53" s="20" t="n">
        <v>0</v>
      </c>
      <c r="K53" s="18" t="n">
        <v>31.47235798</v>
      </c>
      <c r="L53" s="20" t="n">
        <v>2.18215904</v>
      </c>
      <c r="M53" s="18" t="n">
        <v>0</v>
      </c>
      <c r="N53" s="20" t="n">
        <v>0</v>
      </c>
      <c r="O53" s="18" t="n">
        <v>0</v>
      </c>
      <c r="P53" s="20" t="n">
        <v>0</v>
      </c>
      <c r="Q53" s="18" t="n">
        <v>10.71817743</v>
      </c>
      <c r="R53" s="20" t="n">
        <v>1.51550138</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(2081.0/B55*100)</f>
        <v/>
      </c>
      <c r="D55" s="19" t="n">
        <v>594</v>
      </c>
      <c r="E55" s="18" t="n">
        <v>11.80123892</v>
      </c>
      <c r="F55" s="20" t="n">
        <v>1.35985216</v>
      </c>
      <c r="G55" s="18" t="n">
        <v>87.36858457</v>
      </c>
      <c r="H55" s="20" t="n">
        <v>1.42473304</v>
      </c>
      <c r="I55" s="18" t="n">
        <v>0</v>
      </c>
      <c r="J55" s="20" t="n">
        <v>0</v>
      </c>
      <c r="K55" s="18" t="n">
        <v>0.50916554</v>
      </c>
      <c r="L55" s="20" t="n">
        <v>0.32126318</v>
      </c>
      <c r="M55" s="18" t="n">
        <v>0</v>
      </c>
      <c r="N55" s="20" t="n">
        <v>0</v>
      </c>
      <c r="O55" s="18" t="n">
        <v>0</v>
      </c>
      <c r="P55" s="20" t="n">
        <v>0</v>
      </c>
      <c r="Q55" s="18" t="n">
        <v>0.32101097</v>
      </c>
      <c r="R55" s="20" t="n">
        <v>0.22317582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(2530.0/B61*100)</f>
        <v/>
      </c>
      <c r="D61" s="19" t="n">
        <v>671</v>
      </c>
      <c r="E61" s="18" t="n">
        <v>31.23532794</v>
      </c>
      <c r="F61" s="20" t="n">
        <v>1.72745325</v>
      </c>
      <c r="G61" s="18" t="n">
        <v>67.65676531</v>
      </c>
      <c r="H61" s="20" t="n">
        <v>1.7212298</v>
      </c>
      <c r="I61" s="18" t="n">
        <v>0</v>
      </c>
      <c r="J61" s="20" t="n">
        <v>0</v>
      </c>
      <c r="K61" s="18" t="n">
        <v>0.67316826</v>
      </c>
      <c r="L61" s="20" t="n">
        <v>0.30837345</v>
      </c>
      <c r="M61" s="18" t="n">
        <v>0</v>
      </c>
      <c r="N61" s="20" t="n">
        <v>0</v>
      </c>
      <c r="O61" s="18" t="n">
        <v>0</v>
      </c>
      <c r="P61" s="20" t="n">
        <v>0</v>
      </c>
      <c r="Q61" s="18" t="n">
        <v>0.43473849</v>
      </c>
      <c r="R61" s="20" t="n">
        <v>0.23985751</v>
      </c>
    </row>
    <row r="62" spans="1:18">
      <c r="A62" s="15" t="s">
        <v>622</v>
      </c>
      <c r="B62" s="17" t="n">
        <v>2230</v>
      </c>
      <c r="C62" s="18">
        <f>(1779.0/B62*100)</f>
        <v/>
      </c>
      <c r="D62" s="19" t="n">
        <v>451</v>
      </c>
      <c r="E62" s="18" t="n">
        <v>15.96750728</v>
      </c>
      <c r="F62" s="20" t="n">
        <v>1.76219576</v>
      </c>
      <c r="G62" s="18" t="n">
        <v>84.03249271999999</v>
      </c>
      <c r="H62" s="20" t="n">
        <v>1.76219576</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(2206.0/B67*100)</f>
        <v/>
      </c>
      <c r="D67" s="19" t="n">
        <v>565</v>
      </c>
      <c r="E67" s="18" t="n">
        <v>30.97136188</v>
      </c>
      <c r="F67" s="20" t="n">
        <v>1.6399438</v>
      </c>
      <c r="G67" s="18" t="n">
        <v>60.56641155</v>
      </c>
      <c r="H67" s="20" t="n">
        <v>1.90638177</v>
      </c>
      <c r="I67" s="18" t="n">
        <v>0</v>
      </c>
      <c r="J67" s="20" t="n">
        <v>0</v>
      </c>
      <c r="K67" s="18" t="n">
        <v>1.57523059</v>
      </c>
      <c r="L67" s="20" t="n">
        <v>0.56114917</v>
      </c>
      <c r="M67" s="18" t="n">
        <v>0</v>
      </c>
      <c r="N67" s="20" t="n">
        <v>0</v>
      </c>
      <c r="O67" s="18" t="n">
        <v>0</v>
      </c>
      <c r="P67" s="20" t="n">
        <v>0</v>
      </c>
      <c r="Q67" s="18" t="n">
        <v>6.88699597</v>
      </c>
      <c r="R67" s="20" t="n">
        <v>1.16713443</v>
      </c>
    </row>
    <row r="68" spans="1:18">
      <c r="A68" s="15" t="s">
        <v>628</v>
      </c>
      <c r="B68" s="17" t="n">
        <v>3460</v>
      </c>
      <c r="C68" s="18">
        <f>(2884.0/B68*100)</f>
        <v/>
      </c>
      <c r="D68" s="19" t="n">
        <v>576</v>
      </c>
      <c r="E68" s="18" t="n">
        <v>31.99268341</v>
      </c>
      <c r="F68" s="20" t="n">
        <v>2.13128812</v>
      </c>
      <c r="G68" s="18" t="n">
        <v>62.98365703</v>
      </c>
      <c r="H68" s="20" t="n">
        <v>2.26271676</v>
      </c>
      <c r="I68" s="18" t="n">
        <v>0</v>
      </c>
      <c r="J68" s="20" t="n">
        <v>0</v>
      </c>
      <c r="K68" s="18" t="n">
        <v>0.81562216</v>
      </c>
      <c r="L68" s="20" t="n">
        <v>0.36129321</v>
      </c>
      <c r="M68" s="18" t="n">
        <v>0</v>
      </c>
      <c r="N68" s="20" t="n">
        <v>0</v>
      </c>
      <c r="O68" s="18" t="n">
        <v>0</v>
      </c>
      <c r="P68" s="20" t="n">
        <v>0</v>
      </c>
      <c r="Q68" s="18" t="n">
        <v>4.20803739</v>
      </c>
      <c r="R68" s="20" t="n">
        <v>1.03055381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38.15004066</v>
      </c>
      <c r="F70" s="20" t="n">
        <v>1.3788879</v>
      </c>
      <c r="G70" s="18" t="n">
        <v>53.66982669</v>
      </c>
      <c r="H70" s="20" t="n">
        <v>1.47577341</v>
      </c>
      <c r="I70" s="18" t="n">
        <v>0</v>
      </c>
      <c r="J70" s="20" t="n">
        <v>0</v>
      </c>
      <c r="K70" s="18" t="n">
        <v>6.50215225</v>
      </c>
      <c r="L70" s="20" t="n">
        <v>0.58325807</v>
      </c>
      <c r="M70" s="18" t="n">
        <v>0</v>
      </c>
      <c r="N70" s="20" t="n">
        <v>0</v>
      </c>
      <c r="O70" s="18" t="n">
        <v>0</v>
      </c>
      <c r="P70" s="20" t="n">
        <v>0</v>
      </c>
      <c r="Q70" s="18" t="n">
        <v>1.6779804</v>
      </c>
      <c r="R70" s="20" t="n">
        <v>0.3432434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(2510.0/B72*100)</f>
        <v/>
      </c>
      <c r="D72" s="19" t="n">
        <v>597</v>
      </c>
      <c r="E72" s="18" t="n">
        <v>32.83305698</v>
      </c>
      <c r="F72" s="20" t="n">
        <v>2.52354682</v>
      </c>
      <c r="G72" s="18" t="n">
        <v>65.72463644</v>
      </c>
      <c r="H72" s="20" t="n">
        <v>2.49382573</v>
      </c>
      <c r="I72" s="18" t="n">
        <v>0</v>
      </c>
      <c r="J72" s="20" t="n">
        <v>0</v>
      </c>
      <c r="K72" s="18" t="n">
        <v>1.07067147</v>
      </c>
      <c r="L72" s="20" t="n">
        <v>0.36172932</v>
      </c>
      <c r="M72" s="18" t="n">
        <v>0</v>
      </c>
      <c r="N72" s="20" t="n">
        <v>0</v>
      </c>
      <c r="O72" s="18" t="n">
        <v>0</v>
      </c>
      <c r="P72" s="20" t="n">
        <v>0</v>
      </c>
      <c r="Q72" s="18" t="n">
        <v>0.37163511</v>
      </c>
      <c r="R72" s="20" t="n">
        <v>0.10062148</v>
      </c>
    </row>
    <row r="73" spans="1:18">
      <c r="A73" s="15" t="s">
        <v>633</v>
      </c>
      <c r="B73" s="17" t="n">
        <v>2973</v>
      </c>
      <c r="C73" s="18">
        <f>(2286.0/B73*100)</f>
        <v/>
      </c>
      <c r="D73" s="19" t="n">
        <v>687</v>
      </c>
      <c r="E73" s="18" t="n">
        <v>13.372327</v>
      </c>
      <c r="F73" s="20" t="n">
        <v>1.24041468</v>
      </c>
      <c r="G73" s="18" t="n">
        <v>86.52957047</v>
      </c>
      <c r="H73" s="20" t="n">
        <v>1.24123592</v>
      </c>
      <c r="I73" s="18" t="n">
        <v>0</v>
      </c>
      <c r="J73" s="20" t="n">
        <v>0</v>
      </c>
      <c r="K73" s="18" t="n">
        <v>0.09810252999999999</v>
      </c>
      <c r="L73" s="20" t="n">
        <v>0.09817873000000001</v>
      </c>
      <c r="M73" s="18" t="n">
        <v>0</v>
      </c>
      <c r="N73" s="20" t="n">
        <v>0</v>
      </c>
      <c r="O73" s="18" t="n">
        <v>0</v>
      </c>
      <c r="P73" s="20" t="n">
        <v>0</v>
      </c>
      <c r="Q73" s="18" t="n">
        <v>0</v>
      </c>
      <c r="R73" s="20" t="n">
        <v>0</v>
      </c>
    </row>
    <row r="74" spans="1:18">
      <c r="A74" s="15" t="s">
        <v>634</v>
      </c>
      <c r="B74" s="17" t="n">
        <v>3819</v>
      </c>
      <c r="C74" s="18">
        <f>(2948.0/B74*100)</f>
        <v/>
      </c>
      <c r="D74" s="19" t="n">
        <v>871</v>
      </c>
      <c r="E74" s="18" t="n">
        <v>11.17440399</v>
      </c>
      <c r="F74" s="20" t="n">
        <v>1.13606372</v>
      </c>
      <c r="G74" s="18" t="n">
        <v>88.14503062999999</v>
      </c>
      <c r="H74" s="20" t="n">
        <v>1.15028816</v>
      </c>
      <c r="I74" s="18" t="n">
        <v>0</v>
      </c>
      <c r="J74" s="20" t="n">
        <v>0</v>
      </c>
      <c r="K74" s="18" t="n">
        <v>0.47386349</v>
      </c>
      <c r="L74" s="20" t="n">
        <v>0.22999087</v>
      </c>
      <c r="M74" s="18" t="n">
        <v>0</v>
      </c>
      <c r="N74" s="20" t="n">
        <v>0</v>
      </c>
      <c r="O74" s="18" t="n">
        <v>0</v>
      </c>
      <c r="P74" s="20" t="n">
        <v>0</v>
      </c>
      <c r="Q74" s="18" t="n">
        <v>0.20670189</v>
      </c>
      <c r="R74" s="20" t="n">
        <v>0.1445423</v>
      </c>
    </row>
    <row r="75" spans="1:18">
      <c r="A75" s="15" t="s">
        <v>635</v>
      </c>
      <c r="B75" s="17" t="n">
        <v>4652</v>
      </c>
      <c r="C75" s="18">
        <f>(3756.0/B75*100)</f>
        <v/>
      </c>
      <c r="D75" s="19" t="n">
        <v>896</v>
      </c>
      <c r="E75" s="18" t="n">
        <v>38.94164042</v>
      </c>
      <c r="F75" s="20" t="n">
        <v>1.84839964</v>
      </c>
      <c r="G75" s="18" t="n">
        <v>58.20750288</v>
      </c>
      <c r="H75" s="20" t="n">
        <v>1.94617213</v>
      </c>
      <c r="I75" s="18" t="n">
        <v>0</v>
      </c>
      <c r="J75" s="20" t="n">
        <v>0</v>
      </c>
      <c r="K75" s="18" t="n">
        <v>0.35732592</v>
      </c>
      <c r="L75" s="20" t="n">
        <v>0.25055519</v>
      </c>
      <c r="M75" s="18" t="n">
        <v>0</v>
      </c>
      <c r="N75" s="20" t="n">
        <v>0</v>
      </c>
      <c r="O75" s="18" t="n">
        <v>0</v>
      </c>
      <c r="P75" s="20" t="n">
        <v>0</v>
      </c>
      <c r="Q75" s="18" t="n">
        <v>2.49353079</v>
      </c>
      <c r="R75" s="20" t="n">
        <v>0.63187685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(2429.0/B77*100)</f>
        <v/>
      </c>
      <c r="D77" s="19" t="n">
        <v>540</v>
      </c>
      <c r="E77" s="18" t="n">
        <v>44.34140857</v>
      </c>
      <c r="F77" s="20" t="n">
        <v>2.03999685</v>
      </c>
      <c r="G77" s="18" t="n">
        <v>42.91165859</v>
      </c>
      <c r="H77" s="20" t="n">
        <v>2.1157131</v>
      </c>
      <c r="I77" s="18" t="n">
        <v>0</v>
      </c>
      <c r="J77" s="20" t="n">
        <v>0</v>
      </c>
      <c r="K77" s="18" t="n">
        <v>9.70309668</v>
      </c>
      <c r="L77" s="20" t="n">
        <v>1.73378573</v>
      </c>
      <c r="M77" s="18" t="n">
        <v>0</v>
      </c>
      <c r="N77" s="20" t="n">
        <v>0</v>
      </c>
      <c r="O77" s="18" t="n">
        <v>0</v>
      </c>
      <c r="P77" s="20" t="n">
        <v>0</v>
      </c>
      <c r="Q77" s="18" t="n">
        <v>3.04383615</v>
      </c>
      <c r="R77" s="20" t="n">
        <v>0.74111304</v>
      </c>
    </row>
    <row r="78" spans="1:18">
      <c r="A78" s="15" t="s">
        <v>638</v>
      </c>
      <c r="B78" s="17" t="n">
        <v>7115</v>
      </c>
      <c r="C78" s="18">
        <f>(5552.0/B78*100)</f>
        <v/>
      </c>
      <c r="D78" s="19" t="n">
        <v>1563</v>
      </c>
      <c r="E78" s="18" t="n">
        <v>33.97550964</v>
      </c>
      <c r="F78" s="20" t="n">
        <v>1.49598522</v>
      </c>
      <c r="G78" s="18" t="n">
        <v>64.05314779</v>
      </c>
      <c r="H78" s="20" t="n">
        <v>1.53224191</v>
      </c>
      <c r="I78" s="18" t="n">
        <v>0</v>
      </c>
      <c r="J78" s="20" t="n">
        <v>0</v>
      </c>
      <c r="K78" s="18" t="n">
        <v>1.70104294</v>
      </c>
      <c r="L78" s="20" t="n">
        <v>0.38406448</v>
      </c>
      <c r="M78" s="18" t="n">
        <v>0</v>
      </c>
      <c r="N78" s="20" t="n">
        <v>0</v>
      </c>
      <c r="O78" s="18" t="n">
        <v>0</v>
      </c>
      <c r="P78" s="20" t="n">
        <v>0</v>
      </c>
      <c r="Q78" s="18" t="n">
        <v>0.27029963</v>
      </c>
      <c r="R78" s="20" t="n">
        <v>0.13449713</v>
      </c>
    </row>
    <row r="79" spans="1:18">
      <c r="A79" s="15" t="s">
        <v>639</v>
      </c>
      <c r="B79" s="17" t="n">
        <v>3154</v>
      </c>
      <c r="C79" s="18">
        <f>(2551.0/B79*100)</f>
        <v/>
      </c>
      <c r="D79" s="19" t="n">
        <v>603</v>
      </c>
      <c r="E79" s="18" t="n">
        <v>30.87167837</v>
      </c>
      <c r="F79" s="20" t="n">
        <v>2.04873467</v>
      </c>
      <c r="G79" s="18" t="n">
        <v>62.02591073</v>
      </c>
      <c r="H79" s="20" t="n">
        <v>1.99419834</v>
      </c>
      <c r="I79" s="18" t="n">
        <v>0</v>
      </c>
      <c r="J79" s="20" t="n">
        <v>0</v>
      </c>
      <c r="K79" s="18" t="n">
        <v>4.56667776</v>
      </c>
      <c r="L79" s="20" t="n">
        <v>1.03617548</v>
      </c>
      <c r="M79" s="18" t="n">
        <v>0</v>
      </c>
      <c r="N79" s="20" t="n">
        <v>0</v>
      </c>
      <c r="O79" s="18" t="n">
        <v>0</v>
      </c>
      <c r="P79" s="20" t="n">
        <v>0</v>
      </c>
      <c r="Q79" s="18" t="n">
        <v>2.53573314</v>
      </c>
      <c r="R79" s="20" t="n">
        <v>0.80131999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(12613.0/B82*100)</f>
        <v/>
      </c>
      <c r="D82" s="19" t="n">
        <v>3348</v>
      </c>
      <c r="E82" s="18" t="n">
        <v>28.06497894</v>
      </c>
      <c r="F82" s="20" t="n">
        <v>1.12978999</v>
      </c>
      <c r="G82" s="18" t="n">
        <v>70.29086751</v>
      </c>
      <c r="H82" s="20" t="n">
        <v>1.14188</v>
      </c>
      <c r="I82" s="18" t="n">
        <v>0</v>
      </c>
      <c r="J82" s="20" t="n">
        <v>0</v>
      </c>
      <c r="K82" s="18" t="n">
        <v>0.87657015</v>
      </c>
      <c r="L82" s="20" t="n">
        <v>0.25170451</v>
      </c>
      <c r="M82" s="18" t="n">
        <v>0</v>
      </c>
      <c r="N82" s="20" t="n">
        <v>0</v>
      </c>
      <c r="O82" s="18" t="n">
        <v>0</v>
      </c>
      <c r="P82" s="20" t="n">
        <v>0</v>
      </c>
      <c r="Q82" s="18" t="n">
        <v>0.76758339</v>
      </c>
      <c r="R82" s="20" t="n">
        <v>0.22471996</v>
      </c>
    </row>
    <row r="83" spans="1:18">
      <c r="A83" s="15" t="s">
        <v>643</v>
      </c>
      <c r="B83" s="17" t="n">
        <v>808</v>
      </c>
      <c r="C83" s="18">
        <f>(656.0/B83*100)</f>
        <v/>
      </c>
      <c r="D83" s="19" t="n">
        <v>152</v>
      </c>
      <c r="E83" s="18" t="n">
        <v>12.69249566</v>
      </c>
      <c r="F83" s="20" t="n">
        <v>2.43714518</v>
      </c>
      <c r="G83" s="18" t="n">
        <v>87.30750433999999</v>
      </c>
      <c r="H83" s="20" t="n">
        <v>2.43714518</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(718.0/B84*100)</f>
        <v/>
      </c>
      <c r="D84" s="19" t="n">
        <v>220</v>
      </c>
      <c r="E84" s="18" t="n">
        <v>19.09584424</v>
      </c>
      <c r="F84" s="20" t="n">
        <v>2.81548598</v>
      </c>
      <c r="G84" s="18" t="n">
        <v>80.43655127</v>
      </c>
      <c r="H84" s="20" t="n">
        <v>2.66244994</v>
      </c>
      <c r="I84" s="18" t="n">
        <v>0</v>
      </c>
      <c r="J84" s="20" t="n">
        <v>0</v>
      </c>
      <c r="K84" s="18" t="n">
        <v>0.46760449</v>
      </c>
      <c r="L84" s="20" t="n">
        <v>0.47710936</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(5683.0/B7*100)</f>
        <v/>
      </c>
      <c r="D7" s="19" t="n">
        <v>1480</v>
      </c>
      <c r="E7" s="18" t="n">
        <v>53.25509183</v>
      </c>
      <c r="F7" s="20" t="n">
        <v>1.52437708</v>
      </c>
      <c r="G7" s="18" t="n">
        <v>45.07766885</v>
      </c>
      <c r="H7" s="20" t="n">
        <v>1.45527143</v>
      </c>
      <c r="I7" s="18" t="n">
        <v>0</v>
      </c>
      <c r="J7" s="20" t="n">
        <v>0</v>
      </c>
      <c r="K7" s="18" t="n">
        <v>1.64887175</v>
      </c>
      <c r="L7" s="20" t="n">
        <v>0.35258889</v>
      </c>
      <c r="M7" s="18" t="n">
        <v>0</v>
      </c>
      <c r="N7" s="20" t="n">
        <v>0</v>
      </c>
      <c r="O7" s="18" t="n">
        <v>0</v>
      </c>
      <c r="P7" s="20" t="n">
        <v>0</v>
      </c>
      <c r="Q7" s="18" t="n">
        <v>0.01836757</v>
      </c>
      <c r="R7" s="20" t="n">
        <v>0.01759767</v>
      </c>
    </row>
    <row r="8" spans="1:18">
      <c r="A8" s="15" t="s">
        <v>566</v>
      </c>
      <c r="B8" s="17" t="n">
        <v>3443</v>
      </c>
      <c r="C8" s="18">
        <f>(2740.0/B8*100)</f>
        <v/>
      </c>
      <c r="D8" s="19" t="n">
        <v>703</v>
      </c>
      <c r="E8" s="18" t="n">
        <v>61.44397435</v>
      </c>
      <c r="F8" s="20" t="n">
        <v>2.06963069</v>
      </c>
      <c r="G8" s="18" t="n">
        <v>37.00598619</v>
      </c>
      <c r="H8" s="20" t="n">
        <v>2.17266823</v>
      </c>
      <c r="I8" s="18" t="n">
        <v>0</v>
      </c>
      <c r="J8" s="20" t="n">
        <v>0</v>
      </c>
      <c r="K8" s="18" t="n">
        <v>1.35634259</v>
      </c>
      <c r="L8" s="20" t="n">
        <v>0.44615081</v>
      </c>
      <c r="M8" s="18" t="n">
        <v>0</v>
      </c>
      <c r="N8" s="20" t="n">
        <v>0</v>
      </c>
      <c r="O8" s="18" t="n">
        <v>0</v>
      </c>
      <c r="P8" s="20" t="n">
        <v>0</v>
      </c>
      <c r="Q8" s="18" t="n">
        <v>0.19369688</v>
      </c>
      <c r="R8" s="20" t="n">
        <v>0.20633068</v>
      </c>
    </row>
    <row r="9" spans="1:18">
      <c r="A9" s="15" t="s">
        <v>567</v>
      </c>
      <c r="B9" s="17" t="n">
        <v>4752</v>
      </c>
      <c r="C9" s="18">
        <f>(3837.0/B9*100)</f>
        <v/>
      </c>
      <c r="D9" s="19" t="n">
        <v>915</v>
      </c>
      <c r="E9" s="18" t="n">
        <v>65.87688824999999</v>
      </c>
      <c r="F9" s="20" t="n">
        <v>1.41656957</v>
      </c>
      <c r="G9" s="18" t="n">
        <v>30.86256916</v>
      </c>
      <c r="H9" s="20" t="n">
        <v>1.45118524</v>
      </c>
      <c r="I9" s="18" t="n">
        <v>0</v>
      </c>
      <c r="J9" s="20" t="n">
        <v>0</v>
      </c>
      <c r="K9" s="18" t="n">
        <v>3.26054259</v>
      </c>
      <c r="L9" s="20" t="n">
        <v>0.61425933</v>
      </c>
      <c r="M9" s="18" t="n">
        <v>0</v>
      </c>
      <c r="N9" s="20" t="n">
        <v>0</v>
      </c>
      <c r="O9" s="18" t="n">
        <v>0</v>
      </c>
      <c r="P9" s="20" t="n">
        <v>0</v>
      </c>
      <c r="Q9" s="18" t="n">
        <v>0</v>
      </c>
      <c r="R9" s="20" t="n">
        <v>0</v>
      </c>
    </row>
    <row r="10" spans="1:18">
      <c r="A10" s="15" t="s">
        <v>568</v>
      </c>
      <c r="B10" s="17" t="n">
        <v>10022</v>
      </c>
      <c r="C10" s="18">
        <f>(7813.0/B10*100)</f>
        <v/>
      </c>
      <c r="D10" s="19" t="n">
        <v>2209</v>
      </c>
      <c r="E10" s="18" t="n">
        <v>58.97927566</v>
      </c>
      <c r="F10" s="20" t="n">
        <v>1.72105152</v>
      </c>
      <c r="G10" s="18" t="n">
        <v>39.10882733</v>
      </c>
      <c r="H10" s="20" t="n">
        <v>1.72001956</v>
      </c>
      <c r="I10" s="18" t="n">
        <v>0</v>
      </c>
      <c r="J10" s="20" t="n">
        <v>0</v>
      </c>
      <c r="K10" s="18" t="n">
        <v>1.78287629</v>
      </c>
      <c r="L10" s="20" t="n">
        <v>0.43897819</v>
      </c>
      <c r="M10" s="18" t="n">
        <v>0</v>
      </c>
      <c r="N10" s="20" t="n">
        <v>0</v>
      </c>
      <c r="O10" s="18" t="n">
        <v>0</v>
      </c>
      <c r="P10" s="20" t="n">
        <v>0</v>
      </c>
      <c r="Q10" s="18" t="n">
        <v>0.12902072</v>
      </c>
      <c r="R10" s="20" t="n">
        <v>0.12060552</v>
      </c>
    </row>
    <row r="11" spans="1:18">
      <c r="A11" s="15" t="s">
        <v>569</v>
      </c>
      <c r="B11" s="17" t="n">
        <v>3500</v>
      </c>
      <c r="C11" s="18">
        <f>(2776.0/B11*100)</f>
        <v/>
      </c>
      <c r="D11" s="19" t="n">
        <v>724</v>
      </c>
      <c r="E11" s="18" t="n">
        <v>85.63549485</v>
      </c>
      <c r="F11" s="20" t="n">
        <v>1.76424368</v>
      </c>
      <c r="G11" s="18" t="n">
        <v>10.25727454</v>
      </c>
      <c r="H11" s="20" t="n">
        <v>1.23933965</v>
      </c>
      <c r="I11" s="18" t="n">
        <v>0</v>
      </c>
      <c r="J11" s="20" t="n">
        <v>0</v>
      </c>
      <c r="K11" s="18" t="n">
        <v>4.10723061</v>
      </c>
      <c r="L11" s="20" t="n">
        <v>0.95465234</v>
      </c>
      <c r="M11" s="18" t="n">
        <v>0</v>
      </c>
      <c r="N11" s="20" t="n">
        <v>0</v>
      </c>
      <c r="O11" s="18" t="n">
        <v>0</v>
      </c>
      <c r="P11" s="20" t="n">
        <v>0</v>
      </c>
      <c r="Q11" s="18" t="n">
        <v>0</v>
      </c>
      <c r="R11" s="20" t="n">
        <v>0</v>
      </c>
    </row>
    <row r="12" spans="1:18">
      <c r="A12" s="15" t="s">
        <v>570</v>
      </c>
      <c r="B12" s="17" t="n">
        <v>3422</v>
      </c>
      <c r="C12" s="18">
        <f>(2678.0/B12*100)</f>
        <v/>
      </c>
      <c r="D12" s="19" t="n">
        <v>744</v>
      </c>
      <c r="E12" s="18" t="n">
        <v>85.02769920999999</v>
      </c>
      <c r="F12" s="20" t="n">
        <v>1.49369166</v>
      </c>
      <c r="G12" s="18" t="n">
        <v>14.06414669</v>
      </c>
      <c r="H12" s="20" t="n">
        <v>1.46618141</v>
      </c>
      <c r="I12" s="18" t="n">
        <v>0</v>
      </c>
      <c r="J12" s="20" t="n">
        <v>0</v>
      </c>
      <c r="K12" s="18" t="n">
        <v>0.90815411</v>
      </c>
      <c r="L12" s="20" t="n">
        <v>0.34968034</v>
      </c>
      <c r="M12" s="18" t="n">
        <v>0</v>
      </c>
      <c r="N12" s="20" t="n">
        <v>0</v>
      </c>
      <c r="O12" s="18" t="n">
        <v>0</v>
      </c>
      <c r="P12" s="20" t="n">
        <v>0</v>
      </c>
      <c r="Q12" s="18" t="n">
        <v>0</v>
      </c>
      <c r="R12" s="20" t="n">
        <v>0</v>
      </c>
    </row>
    <row r="13" spans="1:18">
      <c r="A13" s="15" t="s">
        <v>571</v>
      </c>
      <c r="B13" s="17" t="n">
        <v>3602</v>
      </c>
      <c r="C13" s="18">
        <f>(2884.0/B13*100)</f>
        <v/>
      </c>
      <c r="D13" s="19" t="n">
        <v>718</v>
      </c>
      <c r="E13" s="18" t="n">
        <v>60.9315336</v>
      </c>
      <c r="F13" s="20" t="n">
        <v>2.02520738</v>
      </c>
      <c r="G13" s="18" t="n">
        <v>37.98302991</v>
      </c>
      <c r="H13" s="20" t="n">
        <v>2.06503372</v>
      </c>
      <c r="I13" s="18" t="n">
        <v>0</v>
      </c>
      <c r="J13" s="20" t="n">
        <v>0</v>
      </c>
      <c r="K13" s="18" t="n">
        <v>1.08543648</v>
      </c>
      <c r="L13" s="20" t="n">
        <v>0.50406872</v>
      </c>
      <c r="M13" s="18" t="n">
        <v>0</v>
      </c>
      <c r="N13" s="20" t="n">
        <v>0</v>
      </c>
      <c r="O13" s="18" t="n">
        <v>0</v>
      </c>
      <c r="P13" s="20" t="n">
        <v>0</v>
      </c>
      <c r="Q13" s="18" t="n">
        <v>0</v>
      </c>
      <c r="R13" s="20" t="n">
        <v>0</v>
      </c>
    </row>
    <row r="14" spans="1:18">
      <c r="A14" s="15" t="s">
        <v>572</v>
      </c>
      <c r="B14" s="17" t="n">
        <v>2788</v>
      </c>
      <c r="C14" s="18">
        <f>(2189.0/B14*100)</f>
        <v/>
      </c>
      <c r="D14" s="19" t="n">
        <v>599</v>
      </c>
      <c r="E14" s="18" t="n">
        <v>56.39154907</v>
      </c>
      <c r="F14" s="20" t="n">
        <v>2.08479709</v>
      </c>
      <c r="G14" s="18" t="n">
        <v>41.98841405</v>
      </c>
      <c r="H14" s="20" t="n">
        <v>2.20406533</v>
      </c>
      <c r="I14" s="18" t="n">
        <v>0</v>
      </c>
      <c r="J14" s="20" t="n">
        <v>0</v>
      </c>
      <c r="K14" s="18" t="n">
        <v>1.62003688</v>
      </c>
      <c r="L14" s="20" t="n">
        <v>0.53788651</v>
      </c>
      <c r="M14" s="18" t="n">
        <v>0</v>
      </c>
      <c r="N14" s="20" t="n">
        <v>0</v>
      </c>
      <c r="O14" s="18" t="n">
        <v>0</v>
      </c>
      <c r="P14" s="20" t="n">
        <v>0</v>
      </c>
      <c r="Q14" s="18" t="n">
        <v>0</v>
      </c>
      <c r="R14" s="20" t="n">
        <v>0</v>
      </c>
    </row>
    <row r="15" spans="1:18">
      <c r="A15" s="15" t="s">
        <v>573</v>
      </c>
      <c r="B15" s="17" t="n">
        <v>2863</v>
      </c>
      <c r="C15" s="18">
        <f>(2244.0/B15*100)</f>
        <v/>
      </c>
      <c r="D15" s="19" t="n">
        <v>619</v>
      </c>
      <c r="E15" s="18" t="n">
        <v>54.21263969</v>
      </c>
      <c r="F15" s="20" t="n">
        <v>2.11387741</v>
      </c>
      <c r="G15" s="18" t="n">
        <v>45.78736031</v>
      </c>
      <c r="H15" s="20" t="n">
        <v>2.11387741</v>
      </c>
      <c r="I15" s="18" t="n">
        <v>0</v>
      </c>
      <c r="J15" s="20" t="n">
        <v>0</v>
      </c>
      <c r="K15" s="18" t="n">
        <v>0</v>
      </c>
      <c r="L15" s="20" t="n">
        <v>0</v>
      </c>
      <c r="M15" s="18" t="n">
        <v>0</v>
      </c>
      <c r="N15" s="20" t="n">
        <v>0</v>
      </c>
      <c r="O15" s="18" t="n">
        <v>0</v>
      </c>
      <c r="P15" s="20" t="n">
        <v>0</v>
      </c>
      <c r="Q15" s="18" t="n">
        <v>0</v>
      </c>
      <c r="R15" s="20" t="n">
        <v>0</v>
      </c>
    </row>
    <row r="16" spans="1:18">
      <c r="A16" s="15" t="s">
        <v>574</v>
      </c>
      <c r="B16" s="17" t="n">
        <v>3111</v>
      </c>
      <c r="C16" s="18">
        <f>(2448.0/B16*100)</f>
        <v/>
      </c>
      <c r="D16" s="19" t="n">
        <v>663</v>
      </c>
      <c r="E16" s="18" t="n">
        <v>72.27454145</v>
      </c>
      <c r="F16" s="20" t="n">
        <v>1.96451868</v>
      </c>
      <c r="G16" s="18" t="n">
        <v>25.41795722</v>
      </c>
      <c r="H16" s="20" t="n">
        <v>2.02354166</v>
      </c>
      <c r="I16" s="18" t="n">
        <v>0</v>
      </c>
      <c r="J16" s="20" t="n">
        <v>0</v>
      </c>
      <c r="K16" s="18" t="n">
        <v>2.16673902</v>
      </c>
      <c r="L16" s="20" t="n">
        <v>0.62072965</v>
      </c>
      <c r="M16" s="18" t="n">
        <v>0</v>
      </c>
      <c r="N16" s="20" t="n">
        <v>0</v>
      </c>
      <c r="O16" s="18" t="n">
        <v>0</v>
      </c>
      <c r="P16" s="20" t="n">
        <v>0</v>
      </c>
      <c r="Q16" s="18" t="n">
        <v>0.14076231</v>
      </c>
      <c r="R16" s="20" t="n">
        <v>0.14683449</v>
      </c>
    </row>
    <row r="17" spans="1:18">
      <c r="A17" s="15" t="s">
        <v>575</v>
      </c>
      <c r="B17" s="17" t="n">
        <v>3197</v>
      </c>
      <c r="C17" s="18">
        <f>(2555.0/B17*100)</f>
        <v/>
      </c>
      <c r="D17" s="19" t="n">
        <v>642</v>
      </c>
      <c r="E17" s="18" t="n">
        <v>55.28708581</v>
      </c>
      <c r="F17" s="20" t="n">
        <v>2.1506487</v>
      </c>
      <c r="G17" s="18" t="n">
        <v>43.40506339</v>
      </c>
      <c r="H17" s="20" t="n">
        <v>2.11407641</v>
      </c>
      <c r="I17" s="18" t="n">
        <v>0</v>
      </c>
      <c r="J17" s="20" t="n">
        <v>0</v>
      </c>
      <c r="K17" s="18" t="n">
        <v>1.3078508</v>
      </c>
      <c r="L17" s="20" t="n">
        <v>0.41536327</v>
      </c>
      <c r="M17" s="18" t="n">
        <v>0</v>
      </c>
      <c r="N17" s="20" t="n">
        <v>0</v>
      </c>
      <c r="O17" s="18" t="n">
        <v>0</v>
      </c>
      <c r="P17" s="20" t="n">
        <v>0</v>
      </c>
      <c r="Q17" s="18" t="n">
        <v>0</v>
      </c>
      <c r="R17" s="20" t="n">
        <v>0</v>
      </c>
    </row>
    <row r="18" spans="1:18">
      <c r="A18" s="15" t="s">
        <v>576</v>
      </c>
      <c r="B18" s="17" t="n">
        <v>2706</v>
      </c>
      <c r="C18" s="18">
        <f>(2110.0/B18*100)</f>
        <v/>
      </c>
      <c r="D18" s="19" t="n">
        <v>596</v>
      </c>
      <c r="E18" s="18" t="n">
        <v>74.06708472</v>
      </c>
      <c r="F18" s="20" t="n">
        <v>1.81496565</v>
      </c>
      <c r="G18" s="18" t="n">
        <v>23.43373142</v>
      </c>
      <c r="H18" s="20" t="n">
        <v>1.70184012</v>
      </c>
      <c r="I18" s="18" t="n">
        <v>0</v>
      </c>
      <c r="J18" s="20" t="n">
        <v>0</v>
      </c>
      <c r="K18" s="18" t="n">
        <v>2.49918386</v>
      </c>
      <c r="L18" s="20" t="n">
        <v>0.62908715</v>
      </c>
      <c r="M18" s="18" t="n">
        <v>0</v>
      </c>
      <c r="N18" s="20" t="n">
        <v>0</v>
      </c>
      <c r="O18" s="18" t="n">
        <v>0</v>
      </c>
      <c r="P18" s="20" t="n">
        <v>0</v>
      </c>
      <c r="Q18" s="18" t="n">
        <v>0</v>
      </c>
      <c r="R18" s="20" t="n">
        <v>0</v>
      </c>
    </row>
    <row r="19" spans="1:18">
      <c r="A19" s="15" t="s">
        <v>577</v>
      </c>
      <c r="B19" s="17" t="n">
        <v>2850</v>
      </c>
      <c r="C19" s="18">
        <f>(2210.0/B19*100)</f>
        <v/>
      </c>
      <c r="D19" s="19" t="n">
        <v>640</v>
      </c>
      <c r="E19" s="18" t="n">
        <v>74.4570591</v>
      </c>
      <c r="F19" s="20" t="n">
        <v>1.78402175</v>
      </c>
      <c r="G19" s="18" t="n">
        <v>24.14771793</v>
      </c>
      <c r="H19" s="20" t="n">
        <v>1.8013165</v>
      </c>
      <c r="I19" s="18" t="n">
        <v>0</v>
      </c>
      <c r="J19" s="20" t="n">
        <v>0</v>
      </c>
      <c r="K19" s="18" t="n">
        <v>1.39522297</v>
      </c>
      <c r="L19" s="20" t="n">
        <v>0.56599836</v>
      </c>
      <c r="M19" s="18" t="n">
        <v>0</v>
      </c>
      <c r="N19" s="20" t="n">
        <v>0</v>
      </c>
      <c r="O19" s="18" t="n">
        <v>0</v>
      </c>
      <c r="P19" s="20" t="n">
        <v>0</v>
      </c>
      <c r="Q19" s="18" t="n">
        <v>0</v>
      </c>
      <c r="R19" s="20" t="n">
        <v>0</v>
      </c>
    </row>
    <row r="20" spans="1:18">
      <c r="A20" s="15" t="s">
        <v>578</v>
      </c>
      <c r="B20" s="17" t="n">
        <v>1741</v>
      </c>
      <c r="C20" s="18">
        <f>(1364.0/B20*100)</f>
        <v/>
      </c>
      <c r="D20" s="19" t="n">
        <v>377</v>
      </c>
      <c r="E20" s="18" t="n">
        <v>75.92194114</v>
      </c>
      <c r="F20" s="20" t="n">
        <v>2.30965117</v>
      </c>
      <c r="G20" s="18" t="n">
        <v>22.66672167</v>
      </c>
      <c r="H20" s="20" t="n">
        <v>2.32696477</v>
      </c>
      <c r="I20" s="18" t="n">
        <v>0</v>
      </c>
      <c r="J20" s="20" t="n">
        <v>0</v>
      </c>
      <c r="K20" s="18" t="n">
        <v>1.09599867</v>
      </c>
      <c r="L20" s="20" t="n">
        <v>0.54586882</v>
      </c>
      <c r="M20" s="18" t="n">
        <v>0</v>
      </c>
      <c r="N20" s="20" t="n">
        <v>0</v>
      </c>
      <c r="O20" s="18" t="n">
        <v>0</v>
      </c>
      <c r="P20" s="20" t="n">
        <v>0</v>
      </c>
      <c r="Q20" s="18" t="n">
        <v>0.31533852</v>
      </c>
      <c r="R20" s="20" t="n">
        <v>0.31534043</v>
      </c>
    </row>
    <row r="21" spans="1:18">
      <c r="A21" s="15" t="s">
        <v>579</v>
      </c>
      <c r="B21" s="17" t="n">
        <v>2833</v>
      </c>
      <c r="C21" s="18">
        <f>(2214.0/B21*100)</f>
        <v/>
      </c>
      <c r="D21" s="19" t="n">
        <v>619</v>
      </c>
      <c r="E21" s="18" t="n">
        <v>54.47281252</v>
      </c>
      <c r="F21" s="20" t="n">
        <v>1.6900853</v>
      </c>
      <c r="G21" s="18" t="n">
        <v>44.74790086</v>
      </c>
      <c r="H21" s="20" t="n">
        <v>1.73973982</v>
      </c>
      <c r="I21" s="18" t="n">
        <v>0</v>
      </c>
      <c r="J21" s="20" t="n">
        <v>0</v>
      </c>
      <c r="K21" s="18" t="n">
        <v>0.77928662</v>
      </c>
      <c r="L21" s="20" t="n">
        <v>0.34646151</v>
      </c>
      <c r="M21" s="18" t="n">
        <v>0</v>
      </c>
      <c r="N21" s="20" t="n">
        <v>0</v>
      </c>
      <c r="O21" s="18" t="n">
        <v>0</v>
      </c>
      <c r="P21" s="20" t="n">
        <v>0</v>
      </c>
      <c r="Q21" s="18" t="n">
        <v>0</v>
      </c>
      <c r="R21" s="20" t="n">
        <v>0</v>
      </c>
    </row>
    <row r="22" spans="1:18">
      <c r="A22" s="15" t="s">
        <v>580</v>
      </c>
      <c r="B22" s="17" t="n">
        <v>3667</v>
      </c>
      <c r="C22" s="18">
        <f>(2929.0/B22*100)</f>
        <v/>
      </c>
      <c r="D22" s="19" t="n">
        <v>738</v>
      </c>
      <c r="E22" s="18" t="n">
        <v>55.83615659</v>
      </c>
      <c r="F22" s="20" t="n">
        <v>2.14161123</v>
      </c>
      <c r="G22" s="18" t="n">
        <v>41.25938787</v>
      </c>
      <c r="H22" s="20" t="n">
        <v>2.10879542</v>
      </c>
      <c r="I22" s="18" t="n">
        <v>0</v>
      </c>
      <c r="J22" s="20" t="n">
        <v>0</v>
      </c>
      <c r="K22" s="18" t="n">
        <v>2.90445554</v>
      </c>
      <c r="L22" s="20" t="n">
        <v>0.73779162</v>
      </c>
      <c r="M22" s="18" t="n">
        <v>0</v>
      </c>
      <c r="N22" s="20" t="n">
        <v>0</v>
      </c>
      <c r="O22" s="18" t="n">
        <v>0</v>
      </c>
      <c r="P22" s="20" t="n">
        <v>0</v>
      </c>
      <c r="Q22" s="18" t="n">
        <v>0</v>
      </c>
      <c r="R22" s="20" t="n">
        <v>0</v>
      </c>
    </row>
    <row r="23" spans="1:18">
      <c r="A23" s="15" t="s">
        <v>581</v>
      </c>
      <c r="B23" s="17" t="n">
        <v>5792</v>
      </c>
      <c r="C23" s="18">
        <f>(4597.0/B23*100)</f>
        <v/>
      </c>
      <c r="D23" s="19" t="n">
        <v>1195</v>
      </c>
      <c r="E23" s="18" t="n">
        <v>62.23578729</v>
      </c>
      <c r="F23" s="20" t="n">
        <v>2.639277</v>
      </c>
      <c r="G23" s="18" t="n">
        <v>30.30981119</v>
      </c>
      <c r="H23" s="20" t="n">
        <v>2.31727749</v>
      </c>
      <c r="I23" s="18" t="n">
        <v>0</v>
      </c>
      <c r="J23" s="20" t="n">
        <v>0</v>
      </c>
      <c r="K23" s="18" t="n">
        <v>6.77385866</v>
      </c>
      <c r="L23" s="20" t="n">
        <v>1.94698921</v>
      </c>
      <c r="M23" s="18" t="n">
        <v>0</v>
      </c>
      <c r="N23" s="20" t="n">
        <v>0</v>
      </c>
      <c r="O23" s="18" t="n">
        <v>0</v>
      </c>
      <c r="P23" s="20" t="n">
        <v>0</v>
      </c>
      <c r="Q23" s="18" t="n">
        <v>0.68054285</v>
      </c>
      <c r="R23" s="20" t="n">
        <v>0.43084531</v>
      </c>
    </row>
    <row r="24" spans="1:18">
      <c r="A24" s="15" t="s">
        <v>582</v>
      </c>
      <c r="B24" s="17" t="n">
        <v>3309</v>
      </c>
      <c r="C24" s="18">
        <f>(2597.0/B24*100)</f>
        <v/>
      </c>
      <c r="D24" s="19" t="n">
        <v>712</v>
      </c>
      <c r="E24" s="18" t="n">
        <v>57.68269364</v>
      </c>
      <c r="F24" s="20" t="n">
        <v>2.06102837</v>
      </c>
      <c r="G24" s="18" t="n">
        <v>41.92432866</v>
      </c>
      <c r="H24" s="20" t="n">
        <v>2.08305238</v>
      </c>
      <c r="I24" s="18" t="n">
        <v>0</v>
      </c>
      <c r="J24" s="20" t="n">
        <v>0</v>
      </c>
      <c r="K24" s="18" t="n">
        <v>0.3929777</v>
      </c>
      <c r="L24" s="20" t="n">
        <v>0.28863891</v>
      </c>
      <c r="M24" s="18" t="n">
        <v>0</v>
      </c>
      <c r="N24" s="20" t="n">
        <v>0</v>
      </c>
      <c r="O24" s="18" t="n">
        <v>0</v>
      </c>
      <c r="P24" s="20" t="n">
        <v>0</v>
      </c>
      <c r="Q24" s="18" t="n">
        <v>0</v>
      </c>
      <c r="R24" s="20" t="n">
        <v>0</v>
      </c>
    </row>
    <row r="25" spans="1:18">
      <c r="A25" s="15" t="s">
        <v>583</v>
      </c>
      <c r="B25" s="17" t="n">
        <v>2669</v>
      </c>
      <c r="C25" s="18">
        <f>(2098.0/B25*100)</f>
        <v/>
      </c>
      <c r="D25" s="19" t="n">
        <v>571</v>
      </c>
      <c r="E25" s="18" t="n">
        <v>65.76898169</v>
      </c>
      <c r="F25" s="20" t="n">
        <v>1.94208161</v>
      </c>
      <c r="G25" s="18" t="n">
        <v>33.89567229</v>
      </c>
      <c r="H25" s="20" t="n">
        <v>1.93969593</v>
      </c>
      <c r="I25" s="18" t="n">
        <v>0</v>
      </c>
      <c r="J25" s="20" t="n">
        <v>0</v>
      </c>
      <c r="K25" s="18" t="n">
        <v>0.33534602</v>
      </c>
      <c r="L25" s="20" t="n">
        <v>0.27848345</v>
      </c>
      <c r="M25" s="18" t="n">
        <v>0</v>
      </c>
      <c r="N25" s="20" t="n">
        <v>0</v>
      </c>
      <c r="O25" s="18" t="n">
        <v>0</v>
      </c>
      <c r="P25" s="20" t="n">
        <v>0</v>
      </c>
      <c r="Q25" s="18" t="n">
        <v>0</v>
      </c>
      <c r="R25" s="20" t="n">
        <v>0</v>
      </c>
    </row>
    <row r="26" spans="1:18">
      <c r="A26" s="15" t="s">
        <v>584</v>
      </c>
      <c r="B26" s="17" t="n">
        <v>2419</v>
      </c>
      <c r="C26" s="18">
        <f>(1935.0/B26*100)</f>
        <v/>
      </c>
      <c r="D26" s="19" t="n">
        <v>484</v>
      </c>
      <c r="E26" s="18" t="n">
        <v>74.35618008</v>
      </c>
      <c r="F26" s="20" t="n">
        <v>2.24808783</v>
      </c>
      <c r="G26" s="18" t="n">
        <v>25.4581986</v>
      </c>
      <c r="H26" s="20" t="n">
        <v>2.25896231</v>
      </c>
      <c r="I26" s="18" t="n">
        <v>0</v>
      </c>
      <c r="J26" s="20" t="n">
        <v>0</v>
      </c>
      <c r="K26" s="18" t="n">
        <v>0.18562132</v>
      </c>
      <c r="L26" s="20" t="n">
        <v>0.18605091</v>
      </c>
      <c r="M26" s="18" t="n">
        <v>0</v>
      </c>
      <c r="N26" s="20" t="n">
        <v>0</v>
      </c>
      <c r="O26" s="18" t="n">
        <v>0</v>
      </c>
      <c r="P26" s="20" t="n">
        <v>0</v>
      </c>
      <c r="Q26" s="18" t="n">
        <v>0</v>
      </c>
      <c r="R26" s="20" t="n">
        <v>0</v>
      </c>
    </row>
    <row r="27" spans="1:18">
      <c r="A27" s="15" t="s">
        <v>585</v>
      </c>
      <c r="B27" s="17" t="n">
        <v>2683</v>
      </c>
      <c r="C27" s="18">
        <f>(2142.0/B27*100)</f>
        <v/>
      </c>
      <c r="D27" s="19" t="n">
        <v>541</v>
      </c>
      <c r="E27" s="18" t="n">
        <v>64.59500804</v>
      </c>
      <c r="F27" s="20" t="n">
        <v>2.05722797</v>
      </c>
      <c r="G27" s="18" t="n">
        <v>33.72050199</v>
      </c>
      <c r="H27" s="20" t="n">
        <v>2.08057848</v>
      </c>
      <c r="I27" s="18" t="n">
        <v>0</v>
      </c>
      <c r="J27" s="20" t="n">
        <v>0</v>
      </c>
      <c r="K27" s="18" t="n">
        <v>1.68448998</v>
      </c>
      <c r="L27" s="20" t="n">
        <v>0.49881345</v>
      </c>
      <c r="M27" s="18" t="n">
        <v>0</v>
      </c>
      <c r="N27" s="20" t="n">
        <v>0</v>
      </c>
      <c r="O27" s="18" t="n">
        <v>0</v>
      </c>
      <c r="P27" s="20" t="n">
        <v>0</v>
      </c>
      <c r="Q27" s="18" t="n">
        <v>0</v>
      </c>
      <c r="R27" s="20" t="n">
        <v>0</v>
      </c>
    </row>
    <row r="28" spans="1:18">
      <c r="A28" s="15" t="s">
        <v>586</v>
      </c>
      <c r="B28" s="17" t="n">
        <v>3803</v>
      </c>
      <c r="C28" s="18">
        <f>(3080.0/B28*100)</f>
        <v/>
      </c>
      <c r="D28" s="19" t="n">
        <v>723</v>
      </c>
      <c r="E28" s="18" t="n">
        <v>84.67003907</v>
      </c>
      <c r="F28" s="20" t="n">
        <v>1.55857146</v>
      </c>
      <c r="G28" s="18" t="n">
        <v>12.74870455</v>
      </c>
      <c r="H28" s="20" t="n">
        <v>1.34371904</v>
      </c>
      <c r="I28" s="18" t="n">
        <v>0</v>
      </c>
      <c r="J28" s="20" t="n">
        <v>0</v>
      </c>
      <c r="K28" s="18" t="n">
        <v>2.58125637</v>
      </c>
      <c r="L28" s="20" t="n">
        <v>0.80541082</v>
      </c>
      <c r="M28" s="18" t="n">
        <v>0</v>
      </c>
      <c r="N28" s="20" t="n">
        <v>0</v>
      </c>
      <c r="O28" s="18" t="n">
        <v>0</v>
      </c>
      <c r="P28" s="20" t="n">
        <v>0</v>
      </c>
      <c r="Q28" s="18" t="n">
        <v>0</v>
      </c>
      <c r="R28" s="20" t="n">
        <v>0</v>
      </c>
    </row>
    <row r="29" spans="1:18">
      <c r="A29" s="15" t="s">
        <v>587</v>
      </c>
      <c r="B29" s="17" t="n">
        <v>2700</v>
      </c>
      <c r="C29" s="18">
        <f>(2100.0/B29*100)</f>
        <v/>
      </c>
      <c r="D29" s="19" t="n">
        <v>600</v>
      </c>
      <c r="E29" s="18" t="n">
        <v>61.64942519</v>
      </c>
      <c r="F29" s="20" t="n">
        <v>2.37299266</v>
      </c>
      <c r="G29" s="18" t="n">
        <v>37.75976475</v>
      </c>
      <c r="H29" s="20" t="n">
        <v>2.36368545</v>
      </c>
      <c r="I29" s="18" t="n">
        <v>0</v>
      </c>
      <c r="J29" s="20" t="n">
        <v>0</v>
      </c>
      <c r="K29" s="18" t="n">
        <v>0.59081005</v>
      </c>
      <c r="L29" s="20" t="n">
        <v>0.33105698</v>
      </c>
      <c r="M29" s="18" t="n">
        <v>0</v>
      </c>
      <c r="N29" s="20" t="n">
        <v>0</v>
      </c>
      <c r="O29" s="18" t="n">
        <v>0</v>
      </c>
      <c r="P29" s="20" t="n">
        <v>0</v>
      </c>
      <c r="Q29" s="18" t="n">
        <v>0</v>
      </c>
      <c r="R29" s="20" t="n">
        <v>0</v>
      </c>
    </row>
    <row r="30" spans="1:18">
      <c r="A30" s="15" t="s">
        <v>588</v>
      </c>
      <c r="B30" s="17" t="n">
        <v>2257</v>
      </c>
      <c r="C30" s="18">
        <f>(1768.0/B30*100)</f>
        <v/>
      </c>
      <c r="D30" s="19" t="n">
        <v>489</v>
      </c>
      <c r="E30" s="18" t="n">
        <v>54.91744527</v>
      </c>
      <c r="F30" s="20" t="n">
        <v>2.32104153</v>
      </c>
      <c r="G30" s="18" t="n">
        <v>43.67901573</v>
      </c>
      <c r="H30" s="20" t="n">
        <v>2.32724663</v>
      </c>
      <c r="I30" s="18" t="n">
        <v>0</v>
      </c>
      <c r="J30" s="20" t="n">
        <v>0</v>
      </c>
      <c r="K30" s="18" t="n">
        <v>1.403539</v>
      </c>
      <c r="L30" s="20" t="n">
        <v>0.44480296</v>
      </c>
      <c r="M30" s="18" t="n">
        <v>0</v>
      </c>
      <c r="N30" s="20" t="n">
        <v>0</v>
      </c>
      <c r="O30" s="18" t="n">
        <v>0</v>
      </c>
      <c r="P30" s="20" t="n">
        <v>0</v>
      </c>
      <c r="Q30" s="18" t="n">
        <v>0</v>
      </c>
      <c r="R30" s="20" t="n">
        <v>0</v>
      </c>
    </row>
    <row r="31" spans="1:18">
      <c r="A31" s="15" t="s">
        <v>589</v>
      </c>
      <c r="B31" s="17" t="n">
        <v>2706</v>
      </c>
      <c r="C31" s="18">
        <f>(2107.0/B31*100)</f>
        <v/>
      </c>
      <c r="D31" s="19" t="n">
        <v>599</v>
      </c>
      <c r="E31" s="18" t="n">
        <v>74.08377403999999</v>
      </c>
      <c r="F31" s="20" t="n">
        <v>2.0190932</v>
      </c>
      <c r="G31" s="18" t="n">
        <v>23.38421993</v>
      </c>
      <c r="H31" s="20" t="n">
        <v>1.98795391</v>
      </c>
      <c r="I31" s="18" t="n">
        <v>0</v>
      </c>
      <c r="J31" s="20" t="n">
        <v>0</v>
      </c>
      <c r="K31" s="18" t="n">
        <v>2.53200603</v>
      </c>
      <c r="L31" s="20" t="n">
        <v>0.72387875</v>
      </c>
      <c r="M31" s="18" t="n">
        <v>0</v>
      </c>
      <c r="N31" s="20" t="n">
        <v>0</v>
      </c>
      <c r="O31" s="18" t="n">
        <v>0</v>
      </c>
      <c r="P31" s="20" t="n">
        <v>0</v>
      </c>
      <c r="Q31" s="18" t="n">
        <v>0</v>
      </c>
      <c r="R31" s="20" t="n">
        <v>0</v>
      </c>
    </row>
    <row r="32" spans="1:18">
      <c r="A32" s="15" t="s">
        <v>590</v>
      </c>
      <c r="B32" s="17" t="n">
        <v>2209</v>
      </c>
      <c r="C32" s="18">
        <f>(1759.0/B32*100)</f>
        <v/>
      </c>
      <c r="D32" s="19" t="n">
        <v>450</v>
      </c>
      <c r="E32" s="18" t="n">
        <v>65.06016126999999</v>
      </c>
      <c r="F32" s="20" t="n">
        <v>2.45706116</v>
      </c>
      <c r="G32" s="18" t="n">
        <v>33.93527927</v>
      </c>
      <c r="H32" s="20" t="n">
        <v>2.39014103</v>
      </c>
      <c r="I32" s="18" t="n">
        <v>0</v>
      </c>
      <c r="J32" s="20" t="n">
        <v>0</v>
      </c>
      <c r="K32" s="18" t="n">
        <v>1.00455946</v>
      </c>
      <c r="L32" s="20" t="n">
        <v>0.45108945</v>
      </c>
      <c r="M32" s="18" t="n">
        <v>0</v>
      </c>
      <c r="N32" s="20" t="n">
        <v>0</v>
      </c>
      <c r="O32" s="18" t="n">
        <v>0</v>
      </c>
      <c r="P32" s="20" t="n">
        <v>0</v>
      </c>
      <c r="Q32" s="18" t="n">
        <v>0</v>
      </c>
      <c r="R32" s="20" t="n">
        <v>0</v>
      </c>
    </row>
    <row r="33" spans="1:18">
      <c r="A33" s="15" t="s">
        <v>591</v>
      </c>
      <c r="B33" s="17" t="n">
        <v>3651</v>
      </c>
      <c r="C33" s="18">
        <f>(2984.0/B33*100)</f>
        <v/>
      </c>
      <c r="D33" s="19" t="n">
        <v>667</v>
      </c>
      <c r="E33" s="18" t="n">
        <v>69.98478393000001</v>
      </c>
      <c r="F33" s="20" t="n">
        <v>2.17549572</v>
      </c>
      <c r="G33" s="18" t="n">
        <v>28.96762856</v>
      </c>
      <c r="H33" s="20" t="n">
        <v>2.17694277</v>
      </c>
      <c r="I33" s="18" t="n">
        <v>0</v>
      </c>
      <c r="J33" s="20" t="n">
        <v>0</v>
      </c>
      <c r="K33" s="18" t="n">
        <v>1.04758751</v>
      </c>
      <c r="L33" s="20" t="n">
        <v>0.42834613</v>
      </c>
      <c r="M33" s="18" t="n">
        <v>0</v>
      </c>
      <c r="N33" s="20" t="n">
        <v>0</v>
      </c>
      <c r="O33" s="18" t="n">
        <v>0</v>
      </c>
      <c r="P33" s="20" t="n">
        <v>0</v>
      </c>
      <c r="Q33" s="18" t="n">
        <v>0</v>
      </c>
      <c r="R33" s="20" t="n">
        <v>0</v>
      </c>
    </row>
    <row r="34" spans="1:18">
      <c r="A34" s="15" t="s">
        <v>592</v>
      </c>
      <c r="B34" s="17" t="n">
        <v>3035</v>
      </c>
      <c r="C34" s="18">
        <f>(2392.0/B34*100)</f>
        <v/>
      </c>
      <c r="D34" s="19" t="n">
        <v>643</v>
      </c>
      <c r="E34" s="18" t="n">
        <v>76.83755050000001</v>
      </c>
      <c r="F34" s="20" t="n">
        <v>1.76322525</v>
      </c>
      <c r="G34" s="18" t="n">
        <v>20.65161214</v>
      </c>
      <c r="H34" s="20" t="n">
        <v>1.59744427</v>
      </c>
      <c r="I34" s="18" t="n">
        <v>0</v>
      </c>
      <c r="J34" s="20" t="n">
        <v>0</v>
      </c>
      <c r="K34" s="18" t="n">
        <v>1.86694161</v>
      </c>
      <c r="L34" s="20" t="n">
        <v>0.45384629</v>
      </c>
      <c r="M34" s="18" t="n">
        <v>0</v>
      </c>
      <c r="N34" s="20" t="n">
        <v>0</v>
      </c>
      <c r="O34" s="18" t="n">
        <v>0</v>
      </c>
      <c r="P34" s="20" t="n">
        <v>0</v>
      </c>
      <c r="Q34" s="18" t="n">
        <v>0.64389575</v>
      </c>
      <c r="R34" s="20" t="n">
        <v>0.26843142</v>
      </c>
    </row>
    <row r="35" spans="1:18">
      <c r="A35" s="15" t="s">
        <v>593</v>
      </c>
      <c r="B35" s="17" t="n">
        <v>2901</v>
      </c>
      <c r="C35" s="18">
        <f>(2277.0/B35*100)</f>
        <v/>
      </c>
      <c r="D35" s="19" t="n">
        <v>624</v>
      </c>
      <c r="E35" s="18" t="n">
        <v>64.29010298999999</v>
      </c>
      <c r="F35" s="20" t="n">
        <v>2.58975727</v>
      </c>
      <c r="G35" s="18" t="n">
        <v>35.04801617</v>
      </c>
      <c r="H35" s="20" t="n">
        <v>2.53585881</v>
      </c>
      <c r="I35" s="18" t="n">
        <v>0</v>
      </c>
      <c r="J35" s="20" t="n">
        <v>0</v>
      </c>
      <c r="K35" s="18" t="n">
        <v>0.37296189</v>
      </c>
      <c r="L35" s="20" t="n">
        <v>0.17640109</v>
      </c>
      <c r="M35" s="18" t="n">
        <v>0</v>
      </c>
      <c r="N35" s="20" t="n">
        <v>0</v>
      </c>
      <c r="O35" s="18" t="n">
        <v>0</v>
      </c>
      <c r="P35" s="20" t="n">
        <v>0</v>
      </c>
      <c r="Q35" s="18" t="n">
        <v>0.28891895</v>
      </c>
      <c r="R35" s="20" t="n">
        <v>0.28696653</v>
      </c>
    </row>
    <row r="36" spans="1:18">
      <c r="A36" s="15" t="s">
        <v>594</v>
      </c>
      <c r="B36" s="17" t="n">
        <v>3404</v>
      </c>
      <c r="C36" s="18">
        <f>(2705.0/B36*100)</f>
        <v/>
      </c>
      <c r="D36" s="19" t="n">
        <v>699</v>
      </c>
      <c r="E36" s="18" t="n">
        <v>76.94857112</v>
      </c>
      <c r="F36" s="20" t="n">
        <v>1.66325202</v>
      </c>
      <c r="G36" s="18" t="n">
        <v>21.96165568</v>
      </c>
      <c r="H36" s="20" t="n">
        <v>1.67664038</v>
      </c>
      <c r="I36" s="18" t="n">
        <v>0</v>
      </c>
      <c r="J36" s="20" t="n">
        <v>0</v>
      </c>
      <c r="K36" s="18" t="n">
        <v>1.0897732</v>
      </c>
      <c r="L36" s="20" t="n">
        <v>0.35864414</v>
      </c>
      <c r="M36" s="18" t="n">
        <v>0</v>
      </c>
      <c r="N36" s="20" t="n">
        <v>0</v>
      </c>
      <c r="O36" s="18" t="n">
        <v>0</v>
      </c>
      <c r="P36" s="20" t="n">
        <v>0</v>
      </c>
      <c r="Q36" s="18" t="n">
        <v>0</v>
      </c>
      <c r="R36" s="20" t="n">
        <v>0</v>
      </c>
    </row>
    <row r="37" spans="1:18">
      <c r="A37" s="15" t="s">
        <v>595</v>
      </c>
      <c r="B37" s="17" t="n">
        <v>2731</v>
      </c>
      <c r="C37" s="18">
        <f>(2188.0/B37*100)</f>
        <v/>
      </c>
      <c r="D37" s="19" t="n">
        <v>543</v>
      </c>
      <c r="E37" s="18" t="n">
        <v>65.22468324</v>
      </c>
      <c r="F37" s="20" t="n">
        <v>1.96146164</v>
      </c>
      <c r="G37" s="18" t="n">
        <v>29.48144786</v>
      </c>
      <c r="H37" s="20" t="n">
        <v>2.09345524</v>
      </c>
      <c r="I37" s="18" t="n">
        <v>0</v>
      </c>
      <c r="J37" s="20" t="n">
        <v>0</v>
      </c>
      <c r="K37" s="18" t="n">
        <v>5.12225229</v>
      </c>
      <c r="L37" s="20" t="n">
        <v>1.02997422</v>
      </c>
      <c r="M37" s="18" t="n">
        <v>0</v>
      </c>
      <c r="N37" s="20" t="n">
        <v>0</v>
      </c>
      <c r="O37" s="18" t="n">
        <v>0</v>
      </c>
      <c r="P37" s="20" t="n">
        <v>0</v>
      </c>
      <c r="Q37" s="18" t="n">
        <v>0.17161661</v>
      </c>
      <c r="R37" s="20" t="n">
        <v>0.18028236</v>
      </c>
    </row>
    <row r="38" spans="1:18">
      <c r="A38" s="15" t="s">
        <v>596</v>
      </c>
      <c r="B38" s="17" t="n">
        <v>2807</v>
      </c>
      <c r="C38" s="18">
        <f>(2259.0/B38*100)</f>
        <v/>
      </c>
      <c r="D38" s="19" t="n">
        <v>548</v>
      </c>
      <c r="E38" s="18" t="n">
        <v>66.28063434000001</v>
      </c>
      <c r="F38" s="20" t="n">
        <v>2.32079963</v>
      </c>
      <c r="G38" s="18" t="n">
        <v>32.21778958</v>
      </c>
      <c r="H38" s="20" t="n">
        <v>2.27492205</v>
      </c>
      <c r="I38" s="18" t="n">
        <v>0</v>
      </c>
      <c r="J38" s="20" t="n">
        <v>0</v>
      </c>
      <c r="K38" s="18" t="n">
        <v>1.50157608</v>
      </c>
      <c r="L38" s="20" t="n">
        <v>0.63984208</v>
      </c>
      <c r="M38" s="18" t="n">
        <v>0</v>
      </c>
      <c r="N38" s="20" t="n">
        <v>0</v>
      </c>
      <c r="O38" s="18" t="n">
        <v>0</v>
      </c>
      <c r="P38" s="20" t="n">
        <v>0</v>
      </c>
      <c r="Q38" s="18" t="n">
        <v>0</v>
      </c>
      <c r="R38" s="20" t="n">
        <v>0</v>
      </c>
    </row>
    <row r="39" spans="1:18">
      <c r="A39" s="15" t="s">
        <v>597</v>
      </c>
      <c r="B39" s="17" t="n">
        <v>2938</v>
      </c>
      <c r="C39" s="18">
        <f>(2272.0/B39*100)</f>
        <v/>
      </c>
      <c r="D39" s="19" t="n">
        <v>666</v>
      </c>
      <c r="E39" s="18" t="n">
        <v>81.70085831</v>
      </c>
      <c r="F39" s="20" t="n">
        <v>1.80011566</v>
      </c>
      <c r="G39" s="18" t="n">
        <v>17.27987765</v>
      </c>
      <c r="H39" s="20" t="n">
        <v>1.72194362</v>
      </c>
      <c r="I39" s="18" t="n">
        <v>0</v>
      </c>
      <c r="J39" s="20" t="n">
        <v>0</v>
      </c>
      <c r="K39" s="18" t="n">
        <v>0.92467122</v>
      </c>
      <c r="L39" s="20" t="n">
        <v>0.34695677</v>
      </c>
      <c r="M39" s="18" t="n">
        <v>0</v>
      </c>
      <c r="N39" s="20" t="n">
        <v>0</v>
      </c>
      <c r="O39" s="18" t="n">
        <v>0</v>
      </c>
      <c r="P39" s="20" t="n">
        <v>0</v>
      </c>
      <c r="Q39" s="18" t="n">
        <v>0.09459281999999999</v>
      </c>
      <c r="R39" s="20" t="n">
        <v>0.06618186</v>
      </c>
    </row>
    <row r="40" spans="1:18">
      <c r="A40" s="15" t="s">
        <v>598</v>
      </c>
      <c r="B40" s="17" t="n">
        <v>6922</v>
      </c>
      <c r="C40" s="18">
        <f>(5397.0/B40*100)</f>
        <v/>
      </c>
      <c r="D40" s="19" t="n">
        <v>1525</v>
      </c>
      <c r="E40" s="18" t="n">
        <v>48.59406268</v>
      </c>
      <c r="F40" s="20" t="n">
        <v>2.04665935</v>
      </c>
      <c r="G40" s="18" t="n">
        <v>50.03512558</v>
      </c>
      <c r="H40" s="20" t="n">
        <v>2.09564436</v>
      </c>
      <c r="I40" s="18" t="n">
        <v>0</v>
      </c>
      <c r="J40" s="20" t="n">
        <v>0</v>
      </c>
      <c r="K40" s="18" t="n">
        <v>1.37081174</v>
      </c>
      <c r="L40" s="20" t="n">
        <v>0.49509611</v>
      </c>
      <c r="M40" s="18" t="n">
        <v>0</v>
      </c>
      <c r="N40" s="20" t="n">
        <v>0</v>
      </c>
      <c r="O40" s="18" t="n">
        <v>0</v>
      </c>
      <c r="P40" s="20" t="n">
        <v>0</v>
      </c>
      <c r="Q40" s="18" t="n">
        <v>0</v>
      </c>
      <c r="R40" s="20" t="n">
        <v>0</v>
      </c>
    </row>
    <row r="41" spans="1:18">
      <c r="A41" s="15" t="s">
        <v>599</v>
      </c>
      <c r="B41" s="17" t="n">
        <v>2854</v>
      </c>
      <c r="C41" s="18">
        <f>(2257.0/B41*100)</f>
        <v/>
      </c>
      <c r="D41" s="19" t="n">
        <v>597</v>
      </c>
      <c r="E41" s="18" t="n">
        <v>59.02105716</v>
      </c>
      <c r="F41" s="20" t="n">
        <v>2.15832829</v>
      </c>
      <c r="G41" s="18" t="n">
        <v>40.04273234</v>
      </c>
      <c r="H41" s="20" t="n">
        <v>2.13117049</v>
      </c>
      <c r="I41" s="18" t="n">
        <v>0</v>
      </c>
      <c r="J41" s="20" t="n">
        <v>0</v>
      </c>
      <c r="K41" s="18" t="n">
        <v>0.56081196</v>
      </c>
      <c r="L41" s="20" t="n">
        <v>0.29648379</v>
      </c>
      <c r="M41" s="18" t="n">
        <v>0</v>
      </c>
      <c r="N41" s="20" t="n">
        <v>0</v>
      </c>
      <c r="O41" s="18" t="n">
        <v>0</v>
      </c>
      <c r="P41" s="20" t="n">
        <v>0</v>
      </c>
      <c r="Q41" s="18" t="n">
        <v>0.37539854</v>
      </c>
      <c r="R41" s="20" t="n">
        <v>0.36759026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(10375.0/B46*100)</f>
        <v/>
      </c>
      <c r="D46" s="19" t="n">
        <v>1698</v>
      </c>
      <c r="E46" s="18" t="n">
        <v>84.99736402000001</v>
      </c>
      <c r="F46" s="20" t="n">
        <v>1.14533939</v>
      </c>
      <c r="G46" s="18" t="n">
        <v>10.88045522</v>
      </c>
      <c r="H46" s="20" t="n">
        <v>1.04028113</v>
      </c>
      <c r="I46" s="18" t="n">
        <v>0</v>
      </c>
      <c r="J46" s="20" t="n">
        <v>0</v>
      </c>
      <c r="K46" s="18" t="n">
        <v>3.89773852</v>
      </c>
      <c r="L46" s="20" t="n">
        <v>0.64156315</v>
      </c>
      <c r="M46" s="18" t="n">
        <v>0</v>
      </c>
      <c r="N46" s="20" t="n">
        <v>0</v>
      </c>
      <c r="O46" s="18" t="n">
        <v>0</v>
      </c>
      <c r="P46" s="20" t="n">
        <v>0</v>
      </c>
      <c r="Q46" s="18" t="n">
        <v>0.22444225</v>
      </c>
      <c r="R46" s="20" t="n">
        <v>0.14950194</v>
      </c>
    </row>
    <row r="47" spans="1:18">
      <c r="A47" s="15" t="s">
        <v>606</v>
      </c>
      <c r="B47" s="17" t="n">
        <v>2823</v>
      </c>
      <c r="C47" s="18">
        <f>(2246.0/B47*100)</f>
        <v/>
      </c>
      <c r="D47" s="19" t="n">
        <v>577</v>
      </c>
      <c r="E47" s="18" t="n">
        <v>78.13605388000001</v>
      </c>
      <c r="F47" s="20" t="n">
        <v>1.97559142</v>
      </c>
      <c r="G47" s="18" t="n">
        <v>19.25355399</v>
      </c>
      <c r="H47" s="20" t="n">
        <v>1.71484643</v>
      </c>
      <c r="I47" s="18" t="n">
        <v>0</v>
      </c>
      <c r="J47" s="20" t="n">
        <v>0</v>
      </c>
      <c r="K47" s="18" t="n">
        <v>2.61039213</v>
      </c>
      <c r="L47" s="20" t="n">
        <v>0.77492408</v>
      </c>
      <c r="M47" s="18" t="n">
        <v>0</v>
      </c>
      <c r="N47" s="20" t="n">
        <v>0</v>
      </c>
      <c r="O47" s="18" t="n">
        <v>0</v>
      </c>
      <c r="P47" s="20" t="n">
        <v>0</v>
      </c>
      <c r="Q47" s="18" t="n">
        <v>0</v>
      </c>
      <c r="R47" s="20" t="n">
        <v>0</v>
      </c>
    </row>
    <row r="48" spans="1:18">
      <c r="A48" s="15" t="s">
        <v>607</v>
      </c>
      <c r="B48" s="17" t="n">
        <v>4682</v>
      </c>
      <c r="C48" s="18">
        <f>(3711.0/B48*100)</f>
        <v/>
      </c>
      <c r="D48" s="19" t="n">
        <v>971</v>
      </c>
      <c r="E48" s="18" t="n">
        <v>79.6730283</v>
      </c>
      <c r="F48" s="20" t="n">
        <v>1.601514</v>
      </c>
      <c r="G48" s="18" t="n">
        <v>19.12542339</v>
      </c>
      <c r="H48" s="20" t="n">
        <v>1.45670164</v>
      </c>
      <c r="I48" s="18" t="n">
        <v>0</v>
      </c>
      <c r="J48" s="20" t="n">
        <v>0</v>
      </c>
      <c r="K48" s="18" t="n">
        <v>1.20154831</v>
      </c>
      <c r="L48" s="20" t="n">
        <v>0.67355845</v>
      </c>
      <c r="M48" s="18" t="n">
        <v>0</v>
      </c>
      <c r="N48" s="20" t="n">
        <v>0</v>
      </c>
      <c r="O48" s="18" t="n">
        <v>0</v>
      </c>
      <c r="P48" s="20" t="n">
        <v>0</v>
      </c>
      <c r="Q48" s="18" t="n">
        <v>0</v>
      </c>
      <c r="R48" s="20" t="n">
        <v>0</v>
      </c>
    </row>
    <row r="49" spans="1:18">
      <c r="A49" s="15" t="s">
        <v>608</v>
      </c>
      <c r="B49" s="17" t="n">
        <v>6158</v>
      </c>
      <c r="C49" s="18">
        <f>(4938.0/B49*100)</f>
        <v/>
      </c>
      <c r="D49" s="19" t="n">
        <v>1220</v>
      </c>
      <c r="E49" s="18" t="n">
        <v>79.10890139999999</v>
      </c>
      <c r="F49" s="20" t="n">
        <v>1.51530267</v>
      </c>
      <c r="G49" s="18" t="n">
        <v>16.91712995</v>
      </c>
      <c r="H49" s="20" t="n">
        <v>1.43681284</v>
      </c>
      <c r="I49" s="18" t="n">
        <v>0</v>
      </c>
      <c r="J49" s="20" t="n">
        <v>0</v>
      </c>
      <c r="K49" s="18" t="n">
        <v>3.7354424</v>
      </c>
      <c r="L49" s="20" t="n">
        <v>0.6954384300000001</v>
      </c>
      <c r="M49" s="18" t="n">
        <v>0</v>
      </c>
      <c r="N49" s="20" t="n">
        <v>0</v>
      </c>
      <c r="O49" s="18" t="n">
        <v>0</v>
      </c>
      <c r="P49" s="20" t="n">
        <v>0</v>
      </c>
      <c r="Q49" s="18" t="n">
        <v>0.23852626</v>
      </c>
      <c r="R49" s="20" t="n">
        <v>0.20969009</v>
      </c>
    </row>
    <row r="50" spans="1:18">
      <c r="A50" s="15" t="s">
        <v>609</v>
      </c>
      <c r="B50" s="17" t="n">
        <v>3494</v>
      </c>
      <c r="C50" s="18">
        <f>(2903.0/B50*100)</f>
        <v/>
      </c>
      <c r="D50" s="19" t="n">
        <v>591</v>
      </c>
      <c r="E50" s="18" t="n">
        <v>93.40776855999999</v>
      </c>
      <c r="F50" s="20" t="n">
        <v>1.19752595</v>
      </c>
      <c r="G50" s="18" t="n">
        <v>4.59251114</v>
      </c>
      <c r="H50" s="20" t="n">
        <v>1.05430418</v>
      </c>
      <c r="I50" s="18" t="n">
        <v>0</v>
      </c>
      <c r="J50" s="20" t="n">
        <v>0</v>
      </c>
      <c r="K50" s="18" t="n">
        <v>1.99972029</v>
      </c>
      <c r="L50" s="20" t="n">
        <v>0.65026962</v>
      </c>
      <c r="M50" s="18" t="n">
        <v>0</v>
      </c>
      <c r="N50" s="20" t="n">
        <v>0</v>
      </c>
      <c r="O50" s="18" t="n">
        <v>0</v>
      </c>
      <c r="P50" s="20" t="n">
        <v>0</v>
      </c>
      <c r="Q50" s="18" t="n">
        <v>0</v>
      </c>
      <c r="R50" s="20" t="n">
        <v>0</v>
      </c>
    </row>
    <row r="51" spans="1:18">
      <c r="A51" s="15" t="s">
        <v>610</v>
      </c>
      <c r="B51" s="17" t="n">
        <v>3013</v>
      </c>
      <c r="C51" s="18">
        <f>(2386.0/B51*100)</f>
        <v/>
      </c>
      <c r="D51" s="19" t="n">
        <v>627</v>
      </c>
      <c r="E51" s="18" t="n">
        <v>70.54079138</v>
      </c>
      <c r="F51" s="20" t="n">
        <v>1.73560498</v>
      </c>
      <c r="G51" s="18" t="n">
        <v>28.72695826</v>
      </c>
      <c r="H51" s="20" t="n">
        <v>1.73824141</v>
      </c>
      <c r="I51" s="18" t="n">
        <v>0</v>
      </c>
      <c r="J51" s="20" t="n">
        <v>0</v>
      </c>
      <c r="K51" s="18" t="n">
        <v>0.73225036</v>
      </c>
      <c r="L51" s="20" t="n">
        <v>0.37112661</v>
      </c>
      <c r="M51" s="18" t="n">
        <v>0</v>
      </c>
      <c r="N51" s="20" t="n">
        <v>0</v>
      </c>
      <c r="O51" s="18" t="n">
        <v>0</v>
      </c>
      <c r="P51" s="20" t="n">
        <v>0</v>
      </c>
      <c r="Q51" s="18" t="n">
        <v>0</v>
      </c>
      <c r="R51" s="20" t="n">
        <v>0</v>
      </c>
    </row>
    <row r="52" spans="1:18">
      <c r="A52" s="15" t="s">
        <v>611</v>
      </c>
      <c r="B52" s="17" t="n">
        <v>2760</v>
      </c>
      <c r="C52" s="18">
        <f>(2213.0/B52*100)</f>
        <v/>
      </c>
      <c r="D52" s="19" t="n">
        <v>547</v>
      </c>
      <c r="E52" s="18" t="n">
        <v>74.29036171</v>
      </c>
      <c r="F52" s="20" t="n">
        <v>1.98865402</v>
      </c>
      <c r="G52" s="18" t="n">
        <v>24.40890432</v>
      </c>
      <c r="H52" s="20" t="n">
        <v>2.04370211</v>
      </c>
      <c r="I52" s="18" t="n">
        <v>0</v>
      </c>
      <c r="J52" s="20" t="n">
        <v>0</v>
      </c>
      <c r="K52" s="18" t="n">
        <v>1.30073398</v>
      </c>
      <c r="L52" s="20" t="n">
        <v>0.47405951</v>
      </c>
      <c r="M52" s="18" t="n">
        <v>0</v>
      </c>
      <c r="N52" s="20" t="n">
        <v>0</v>
      </c>
      <c r="O52" s="18" t="n">
        <v>0</v>
      </c>
      <c r="P52" s="20" t="n">
        <v>0</v>
      </c>
      <c r="Q52" s="18" t="n">
        <v>0</v>
      </c>
      <c r="R52" s="20" t="n">
        <v>0</v>
      </c>
    </row>
    <row r="53" spans="1:18">
      <c r="A53" s="15" t="s">
        <v>612</v>
      </c>
      <c r="B53" s="17" t="n">
        <v>2474</v>
      </c>
      <c r="C53" s="18">
        <f>(1902.0/B53*100)</f>
        <v/>
      </c>
      <c r="D53" s="19" t="n">
        <v>572</v>
      </c>
      <c r="E53" s="18" t="n">
        <v>63.88215988</v>
      </c>
      <c r="F53" s="20" t="n">
        <v>2.22376522</v>
      </c>
      <c r="G53" s="18" t="n">
        <v>3.46920388</v>
      </c>
      <c r="H53" s="20" t="n">
        <v>0.87901867</v>
      </c>
      <c r="I53" s="18" t="n">
        <v>0</v>
      </c>
      <c r="J53" s="20" t="n">
        <v>0</v>
      </c>
      <c r="K53" s="18" t="n">
        <v>32.31870173</v>
      </c>
      <c r="L53" s="20" t="n">
        <v>2.24417372</v>
      </c>
      <c r="M53" s="18" t="n">
        <v>0</v>
      </c>
      <c r="N53" s="20" t="n">
        <v>0</v>
      </c>
      <c r="O53" s="18" t="n">
        <v>0</v>
      </c>
      <c r="P53" s="20" t="n">
        <v>0</v>
      </c>
      <c r="Q53" s="18" t="n">
        <v>0.32993451</v>
      </c>
      <c r="R53" s="20" t="n">
        <v>0.24747063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(2081.0/B55*100)</f>
        <v/>
      </c>
      <c r="D55" s="19" t="n">
        <v>594</v>
      </c>
      <c r="E55" s="18" t="n">
        <v>37.82875895</v>
      </c>
      <c r="F55" s="20" t="n">
        <v>1.98592339</v>
      </c>
      <c r="G55" s="18" t="n">
        <v>61.38417329</v>
      </c>
      <c r="H55" s="20" t="n">
        <v>2.02966917</v>
      </c>
      <c r="I55" s="18" t="n">
        <v>0</v>
      </c>
      <c r="J55" s="20" t="n">
        <v>0</v>
      </c>
      <c r="K55" s="18" t="n">
        <v>0.65133633</v>
      </c>
      <c r="L55" s="20" t="n">
        <v>0.35136624</v>
      </c>
      <c r="M55" s="18" t="n">
        <v>0</v>
      </c>
      <c r="N55" s="20" t="n">
        <v>0</v>
      </c>
      <c r="O55" s="18" t="n">
        <v>0</v>
      </c>
      <c r="P55" s="20" t="n">
        <v>0</v>
      </c>
      <c r="Q55" s="18" t="n">
        <v>0.13573143</v>
      </c>
      <c r="R55" s="20" t="n">
        <v>0.1351736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(2531.0/B61*100)</f>
        <v/>
      </c>
      <c r="D61" s="19" t="n">
        <v>670</v>
      </c>
      <c r="E61" s="18" t="n">
        <v>77.09993011</v>
      </c>
      <c r="F61" s="20" t="n">
        <v>1.75791072</v>
      </c>
      <c r="G61" s="18" t="n">
        <v>21.8327897</v>
      </c>
      <c r="H61" s="20" t="n">
        <v>1.68567624</v>
      </c>
      <c r="I61" s="18" t="n">
        <v>0</v>
      </c>
      <c r="J61" s="20" t="n">
        <v>0</v>
      </c>
      <c r="K61" s="18" t="n">
        <v>1.06728019</v>
      </c>
      <c r="L61" s="20" t="n">
        <v>0.39931477</v>
      </c>
      <c r="M61" s="18" t="n">
        <v>0</v>
      </c>
      <c r="N61" s="20" t="n">
        <v>0</v>
      </c>
      <c r="O61" s="18" t="n">
        <v>0</v>
      </c>
      <c r="P61" s="20" t="n">
        <v>0</v>
      </c>
      <c r="Q61" s="18" t="n">
        <v>0</v>
      </c>
      <c r="R61" s="20" t="n">
        <v>0</v>
      </c>
    </row>
    <row r="62" spans="1:18">
      <c r="A62" s="15" t="s">
        <v>622</v>
      </c>
      <c r="B62" s="17" t="n">
        <v>2230</v>
      </c>
      <c r="C62" s="18">
        <f>(1780.0/B62*100)</f>
        <v/>
      </c>
      <c r="D62" s="19" t="n">
        <v>450</v>
      </c>
      <c r="E62" s="18" t="n">
        <v>68.06441354</v>
      </c>
      <c r="F62" s="20" t="n">
        <v>2.29413811</v>
      </c>
      <c r="G62" s="18" t="n">
        <v>31.93558646</v>
      </c>
      <c r="H62" s="20" t="n">
        <v>2.29413811</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(2207.0/B67*100)</f>
        <v/>
      </c>
      <c r="D67" s="19" t="n">
        <v>564</v>
      </c>
      <c r="E67" s="18" t="n">
        <v>73.37346597</v>
      </c>
      <c r="F67" s="20" t="n">
        <v>2.02779367</v>
      </c>
      <c r="G67" s="18" t="n">
        <v>24.23037856</v>
      </c>
      <c r="H67" s="20" t="n">
        <v>1.89590142</v>
      </c>
      <c r="I67" s="18" t="n">
        <v>0</v>
      </c>
      <c r="J67" s="20" t="n">
        <v>0</v>
      </c>
      <c r="K67" s="18" t="n">
        <v>1.72615959</v>
      </c>
      <c r="L67" s="20" t="n">
        <v>0.58379868</v>
      </c>
      <c r="M67" s="18" t="n">
        <v>0</v>
      </c>
      <c r="N67" s="20" t="n">
        <v>0</v>
      </c>
      <c r="O67" s="18" t="n">
        <v>0</v>
      </c>
      <c r="P67" s="20" t="n">
        <v>0</v>
      </c>
      <c r="Q67" s="18" t="n">
        <v>0.66999587</v>
      </c>
      <c r="R67" s="20" t="n">
        <v>0.53469568</v>
      </c>
    </row>
    <row r="68" spans="1:18">
      <c r="A68" s="15" t="s">
        <v>628</v>
      </c>
      <c r="B68" s="17" t="n">
        <v>3460</v>
      </c>
      <c r="C68" s="18">
        <f>(2896.0/B68*100)</f>
        <v/>
      </c>
      <c r="D68" s="19" t="n">
        <v>564</v>
      </c>
      <c r="E68" s="18" t="n">
        <v>87.46919115999999</v>
      </c>
      <c r="F68" s="20" t="n">
        <v>1.4841226</v>
      </c>
      <c r="G68" s="18" t="n">
        <v>11.69692682</v>
      </c>
      <c r="H68" s="20" t="n">
        <v>1.3792229</v>
      </c>
      <c r="I68" s="18" t="n">
        <v>0</v>
      </c>
      <c r="J68" s="20" t="n">
        <v>0</v>
      </c>
      <c r="K68" s="18" t="n">
        <v>0.83388202</v>
      </c>
      <c r="L68" s="20" t="n">
        <v>0.36943959</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73.16449464999999</v>
      </c>
      <c r="F70" s="20" t="n">
        <v>1.21275949</v>
      </c>
      <c r="G70" s="18" t="n">
        <v>19.7356806</v>
      </c>
      <c r="H70" s="20" t="n">
        <v>1.19081616</v>
      </c>
      <c r="I70" s="18" t="n">
        <v>0</v>
      </c>
      <c r="J70" s="20" t="n">
        <v>0</v>
      </c>
      <c r="K70" s="18" t="n">
        <v>6.94860346</v>
      </c>
      <c r="L70" s="20" t="n">
        <v>0.5973411</v>
      </c>
      <c r="M70" s="18" t="n">
        <v>0</v>
      </c>
      <c r="N70" s="20" t="n">
        <v>0</v>
      </c>
      <c r="O70" s="18" t="n">
        <v>0</v>
      </c>
      <c r="P70" s="20" t="n">
        <v>0</v>
      </c>
      <c r="Q70" s="18" t="n">
        <v>0.15122129</v>
      </c>
      <c r="R70" s="20" t="n">
        <v>0.10726297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(2511.0/B72*100)</f>
        <v/>
      </c>
      <c r="D72" s="19" t="n">
        <v>596</v>
      </c>
      <c r="E72" s="18" t="n">
        <v>77.1076868</v>
      </c>
      <c r="F72" s="20" t="n">
        <v>1.95774659</v>
      </c>
      <c r="G72" s="18" t="n">
        <v>21.42266374</v>
      </c>
      <c r="H72" s="20" t="n">
        <v>1.84089166</v>
      </c>
      <c r="I72" s="18" t="n">
        <v>0</v>
      </c>
      <c r="J72" s="20" t="n">
        <v>0</v>
      </c>
      <c r="K72" s="18" t="n">
        <v>1.46964947</v>
      </c>
      <c r="L72" s="20" t="n">
        <v>0.48879774</v>
      </c>
      <c r="M72" s="18" t="n">
        <v>0</v>
      </c>
      <c r="N72" s="20" t="n">
        <v>0</v>
      </c>
      <c r="O72" s="18" t="n">
        <v>0</v>
      </c>
      <c r="P72" s="20" t="n">
        <v>0</v>
      </c>
      <c r="Q72" s="18" t="n">
        <v>0</v>
      </c>
      <c r="R72" s="20" t="n">
        <v>0</v>
      </c>
    </row>
    <row r="73" spans="1:18">
      <c r="A73" s="15" t="s">
        <v>633</v>
      </c>
      <c r="B73" s="17" t="n">
        <v>2973</v>
      </c>
      <c r="C73" s="18">
        <f>(2288.0/B73*100)</f>
        <v/>
      </c>
      <c r="D73" s="19" t="n">
        <v>685</v>
      </c>
      <c r="E73" s="18" t="n">
        <v>46.1927141</v>
      </c>
      <c r="F73" s="20" t="n">
        <v>2.03187086</v>
      </c>
      <c r="G73" s="18" t="n">
        <v>53.70888248</v>
      </c>
      <c r="H73" s="20" t="n">
        <v>2.02781793</v>
      </c>
      <c r="I73" s="18" t="n">
        <v>0</v>
      </c>
      <c r="J73" s="20" t="n">
        <v>0</v>
      </c>
      <c r="K73" s="18" t="n">
        <v>0.09840341</v>
      </c>
      <c r="L73" s="20" t="n">
        <v>0.09848071999999999</v>
      </c>
      <c r="M73" s="18" t="n">
        <v>0</v>
      </c>
      <c r="N73" s="20" t="n">
        <v>0</v>
      </c>
      <c r="O73" s="18" t="n">
        <v>0</v>
      </c>
      <c r="P73" s="20" t="n">
        <v>0</v>
      </c>
      <c r="Q73" s="18" t="n">
        <v>0</v>
      </c>
      <c r="R73" s="20" t="n">
        <v>0</v>
      </c>
    </row>
    <row r="74" spans="1:18">
      <c r="A74" s="15" t="s">
        <v>634</v>
      </c>
      <c r="B74" s="17" t="n">
        <v>3819</v>
      </c>
      <c r="C74" s="18">
        <f>(2948.0/B74*100)</f>
        <v/>
      </c>
      <c r="D74" s="19" t="n">
        <v>871</v>
      </c>
      <c r="E74" s="18" t="n">
        <v>65.77287277000001</v>
      </c>
      <c r="F74" s="20" t="n">
        <v>2.21456613</v>
      </c>
      <c r="G74" s="18" t="n">
        <v>33.75326374</v>
      </c>
      <c r="H74" s="20" t="n">
        <v>2.20086942</v>
      </c>
      <c r="I74" s="18" t="n">
        <v>0</v>
      </c>
      <c r="J74" s="20" t="n">
        <v>0</v>
      </c>
      <c r="K74" s="18" t="n">
        <v>0.47386349</v>
      </c>
      <c r="L74" s="20" t="n">
        <v>0.22999087</v>
      </c>
      <c r="M74" s="18" t="n">
        <v>0</v>
      </c>
      <c r="N74" s="20" t="n">
        <v>0</v>
      </c>
      <c r="O74" s="18" t="n">
        <v>0</v>
      </c>
      <c r="P74" s="20" t="n">
        <v>0</v>
      </c>
      <c r="Q74" s="18" t="n">
        <v>0</v>
      </c>
      <c r="R74" s="20" t="n">
        <v>0</v>
      </c>
    </row>
    <row r="75" spans="1:18">
      <c r="A75" s="15" t="s">
        <v>635</v>
      </c>
      <c r="B75" s="17" t="n">
        <v>4652</v>
      </c>
      <c r="C75" s="18">
        <f>(3761.0/B75*100)</f>
        <v/>
      </c>
      <c r="D75" s="19" t="n">
        <v>891</v>
      </c>
      <c r="E75" s="18" t="n">
        <v>75.03316731</v>
      </c>
      <c r="F75" s="20" t="n">
        <v>1.64475852</v>
      </c>
      <c r="G75" s="18" t="n">
        <v>24.60722557</v>
      </c>
      <c r="H75" s="20" t="n">
        <v>1.67139265</v>
      </c>
      <c r="I75" s="18" t="n">
        <v>0</v>
      </c>
      <c r="J75" s="20" t="n">
        <v>0</v>
      </c>
      <c r="K75" s="18" t="n">
        <v>0.35960712</v>
      </c>
      <c r="L75" s="20" t="n">
        <v>0.252713</v>
      </c>
      <c r="M75" s="18" t="n">
        <v>0</v>
      </c>
      <c r="N75" s="20" t="n">
        <v>0</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(2433.0/B77*100)</f>
        <v/>
      </c>
      <c r="D77" s="19" t="n">
        <v>536</v>
      </c>
      <c r="E77" s="18" t="n">
        <v>79.40634235</v>
      </c>
      <c r="F77" s="20" t="n">
        <v>2.15540172</v>
      </c>
      <c r="G77" s="18" t="n">
        <v>10.40798129</v>
      </c>
      <c r="H77" s="20" t="n">
        <v>1.44342762</v>
      </c>
      <c r="I77" s="18" t="n">
        <v>0</v>
      </c>
      <c r="J77" s="20" t="n">
        <v>0</v>
      </c>
      <c r="K77" s="18" t="n">
        <v>10.18567636</v>
      </c>
      <c r="L77" s="20" t="n">
        <v>1.75975628</v>
      </c>
      <c r="M77" s="18" t="n">
        <v>0</v>
      </c>
      <c r="N77" s="20" t="n">
        <v>0</v>
      </c>
      <c r="O77" s="18" t="n">
        <v>0</v>
      </c>
      <c r="P77" s="20" t="n">
        <v>0</v>
      </c>
      <c r="Q77" s="18" t="n">
        <v>0</v>
      </c>
      <c r="R77" s="20" t="n">
        <v>0</v>
      </c>
    </row>
    <row r="78" spans="1:18">
      <c r="A78" s="15" t="s">
        <v>638</v>
      </c>
      <c r="B78" s="17" t="n">
        <v>7115</v>
      </c>
      <c r="C78" s="18">
        <f>(5553.0/B78*100)</f>
        <v/>
      </c>
      <c r="D78" s="19" t="n">
        <v>1562</v>
      </c>
      <c r="E78" s="18" t="n">
        <v>72.74434814999999</v>
      </c>
      <c r="F78" s="20" t="n">
        <v>1.3283711</v>
      </c>
      <c r="G78" s="18" t="n">
        <v>25.4019583</v>
      </c>
      <c r="H78" s="20" t="n">
        <v>1.25569209</v>
      </c>
      <c r="I78" s="18" t="n">
        <v>0</v>
      </c>
      <c r="J78" s="20" t="n">
        <v>0</v>
      </c>
      <c r="K78" s="18" t="n">
        <v>1.78168845</v>
      </c>
      <c r="L78" s="20" t="n">
        <v>0.39118346</v>
      </c>
      <c r="M78" s="18" t="n">
        <v>0</v>
      </c>
      <c r="N78" s="20" t="n">
        <v>0</v>
      </c>
      <c r="O78" s="18" t="n">
        <v>0</v>
      </c>
      <c r="P78" s="20" t="n">
        <v>0</v>
      </c>
      <c r="Q78" s="18" t="n">
        <v>0.07200508999999999</v>
      </c>
      <c r="R78" s="20" t="n">
        <v>0.05666948</v>
      </c>
    </row>
    <row r="79" spans="1:18">
      <c r="A79" s="15" t="s">
        <v>639</v>
      </c>
      <c r="B79" s="17" t="n">
        <v>3154</v>
      </c>
      <c r="C79" s="18">
        <f>(2557.0/B79*100)</f>
        <v/>
      </c>
      <c r="D79" s="19" t="n">
        <v>597</v>
      </c>
      <c r="E79" s="18" t="n">
        <v>78.81177151</v>
      </c>
      <c r="F79" s="20" t="n">
        <v>1.70601096</v>
      </c>
      <c r="G79" s="18" t="n">
        <v>15.67440458</v>
      </c>
      <c r="H79" s="20" t="n">
        <v>1.53690356</v>
      </c>
      <c r="I79" s="18" t="n">
        <v>0</v>
      </c>
      <c r="J79" s="20" t="n">
        <v>0</v>
      </c>
      <c r="K79" s="18" t="n">
        <v>5.51382391</v>
      </c>
      <c r="L79" s="20" t="n">
        <v>1.09329806</v>
      </c>
      <c r="M79" s="18" t="n">
        <v>0</v>
      </c>
      <c r="N79" s="20" t="n">
        <v>0</v>
      </c>
      <c r="O79" s="18" t="n">
        <v>0</v>
      </c>
      <c r="P79" s="20" t="n">
        <v>0</v>
      </c>
      <c r="Q79" s="18" t="n">
        <v>0</v>
      </c>
      <c r="R79" s="20" t="n">
        <v>0</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(12632.0/B82*100)</f>
        <v/>
      </c>
      <c r="D82" s="19" t="n">
        <v>3329</v>
      </c>
      <c r="E82" s="18" t="n">
        <v>78.40772081</v>
      </c>
      <c r="F82" s="20" t="n">
        <v>1.15369734</v>
      </c>
      <c r="G82" s="18" t="n">
        <v>20.38904544</v>
      </c>
      <c r="H82" s="20" t="n">
        <v>1.14524031</v>
      </c>
      <c r="I82" s="18" t="n">
        <v>0</v>
      </c>
      <c r="J82" s="20" t="n">
        <v>0</v>
      </c>
      <c r="K82" s="18" t="n">
        <v>1.14240849</v>
      </c>
      <c r="L82" s="20" t="n">
        <v>0.27949587</v>
      </c>
      <c r="M82" s="18" t="n">
        <v>0</v>
      </c>
      <c r="N82" s="20" t="n">
        <v>0</v>
      </c>
      <c r="O82" s="18" t="n">
        <v>0</v>
      </c>
      <c r="P82" s="20" t="n">
        <v>0</v>
      </c>
      <c r="Q82" s="18" t="n">
        <v>0.06082526</v>
      </c>
      <c r="R82" s="20" t="n">
        <v>0.03663735</v>
      </c>
    </row>
    <row r="83" spans="1:18">
      <c r="A83" s="15" t="s">
        <v>643</v>
      </c>
      <c r="B83" s="17" t="n">
        <v>808</v>
      </c>
      <c r="C83" s="18">
        <f>(656.0/B83*100)</f>
        <v/>
      </c>
      <c r="D83" s="19" t="n">
        <v>152</v>
      </c>
      <c r="E83" s="18" t="n">
        <v>49.39242244</v>
      </c>
      <c r="F83" s="20" t="n">
        <v>6.23097314</v>
      </c>
      <c r="G83" s="18" t="n">
        <v>50.60757756</v>
      </c>
      <c r="H83" s="20" t="n">
        <v>6.23097314</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(720.0/B84*100)</f>
        <v/>
      </c>
      <c r="D84" s="19" t="n">
        <v>218</v>
      </c>
      <c r="E84" s="18" t="n">
        <v>57.33144044</v>
      </c>
      <c r="F84" s="20" t="n">
        <v>3.63075146</v>
      </c>
      <c r="G84" s="18" t="n">
        <v>42.19692565</v>
      </c>
      <c r="H84" s="20" t="n">
        <v>3.55231496</v>
      </c>
      <c r="I84" s="18" t="n">
        <v>0</v>
      </c>
      <c r="J84" s="20" t="n">
        <v>0</v>
      </c>
      <c r="K84" s="18" t="n">
        <v>0.4716339</v>
      </c>
      <c r="L84" s="20" t="n">
        <v>0.48112532</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(5692.0/B7*100)</f>
        <v/>
      </c>
      <c r="D7" s="19" t="n">
        <v>1471</v>
      </c>
      <c r="E7" s="18" t="n">
        <v>38.81254905</v>
      </c>
      <c r="F7" s="20" t="n">
        <v>1.6572719</v>
      </c>
      <c r="G7" s="18" t="n">
        <v>25.90100958</v>
      </c>
      <c r="H7" s="20" t="n">
        <v>1.48139251</v>
      </c>
      <c r="I7" s="18" t="n">
        <v>0</v>
      </c>
      <c r="J7" s="20" t="n">
        <v>0</v>
      </c>
      <c r="K7" s="18" t="n">
        <v>35.26597806</v>
      </c>
      <c r="L7" s="20" t="n">
        <v>1.64784011</v>
      </c>
      <c r="M7" s="18" t="n">
        <v>0.02046331</v>
      </c>
      <c r="N7" s="20" t="n">
        <v>0.01197382</v>
      </c>
      <c r="O7" s="18" t="n">
        <v>0</v>
      </c>
      <c r="P7" s="20" t="n">
        <v>0</v>
      </c>
      <c r="Q7" s="18" t="n">
        <v>0</v>
      </c>
      <c r="R7" s="20" t="n">
        <v>0</v>
      </c>
    </row>
    <row r="8" spans="1:18">
      <c r="A8" s="15" t="s">
        <v>566</v>
      </c>
      <c r="B8" s="17" t="n">
        <v>3443</v>
      </c>
      <c r="C8" s="18">
        <f>(2742.0/B8*100)</f>
        <v/>
      </c>
      <c r="D8" s="19" t="n">
        <v>701</v>
      </c>
      <c r="E8" s="18" t="n">
        <v>20.02349599</v>
      </c>
      <c r="F8" s="20" t="n">
        <v>1.66836948</v>
      </c>
      <c r="G8" s="18" t="n">
        <v>35.83075055</v>
      </c>
      <c r="H8" s="20" t="n">
        <v>2.16627932</v>
      </c>
      <c r="I8" s="18" t="n">
        <v>0</v>
      </c>
      <c r="J8" s="20" t="n">
        <v>0</v>
      </c>
      <c r="K8" s="18" t="n">
        <v>44.14575345</v>
      </c>
      <c r="L8" s="20" t="n">
        <v>2.27770876</v>
      </c>
      <c r="M8" s="18" t="n">
        <v>0</v>
      </c>
      <c r="N8" s="20" t="n">
        <v>0</v>
      </c>
      <c r="O8" s="18" t="n">
        <v>0</v>
      </c>
      <c r="P8" s="20" t="n">
        <v>0</v>
      </c>
      <c r="Q8" s="18" t="n">
        <v>0</v>
      </c>
      <c r="R8" s="20" t="n">
        <v>0</v>
      </c>
    </row>
    <row r="9" spans="1:18">
      <c r="A9" s="15" t="s">
        <v>567</v>
      </c>
      <c r="B9" s="17" t="n">
        <v>4752</v>
      </c>
      <c r="C9" s="18">
        <f>(3839.0/B9*100)</f>
        <v/>
      </c>
      <c r="D9" s="19" t="n">
        <v>913</v>
      </c>
      <c r="E9" s="18" t="n">
        <v>26.76226808</v>
      </c>
      <c r="F9" s="20" t="n">
        <v>1.41623129</v>
      </c>
      <c r="G9" s="18" t="n">
        <v>31.20284344</v>
      </c>
      <c r="H9" s="20" t="n">
        <v>1.65662513</v>
      </c>
      <c r="I9" s="18" t="n">
        <v>0</v>
      </c>
      <c r="J9" s="20" t="n">
        <v>0</v>
      </c>
      <c r="K9" s="18" t="n">
        <v>41.77027584</v>
      </c>
      <c r="L9" s="20" t="n">
        <v>1.54788265</v>
      </c>
      <c r="M9" s="18" t="n">
        <v>0.26461265</v>
      </c>
      <c r="N9" s="20" t="n">
        <v>0.14830099</v>
      </c>
      <c r="O9" s="18" t="n">
        <v>0</v>
      </c>
      <c r="P9" s="20" t="n">
        <v>0</v>
      </c>
      <c r="Q9" s="18" t="n">
        <v>0</v>
      </c>
      <c r="R9" s="20" t="n">
        <v>0</v>
      </c>
    </row>
    <row r="10" spans="1:18">
      <c r="A10" s="15" t="s">
        <v>568</v>
      </c>
      <c r="B10" s="17" t="n">
        <v>10022</v>
      </c>
      <c r="C10" s="18">
        <f>(7823.0/B10*100)</f>
        <v/>
      </c>
      <c r="D10" s="19" t="n">
        <v>2199</v>
      </c>
      <c r="E10" s="18" t="n">
        <v>37.02485348</v>
      </c>
      <c r="F10" s="20" t="n">
        <v>1.52797822</v>
      </c>
      <c r="G10" s="18" t="n">
        <v>36.83570172</v>
      </c>
      <c r="H10" s="20" t="n">
        <v>1.60076212</v>
      </c>
      <c r="I10" s="18" t="n">
        <v>0</v>
      </c>
      <c r="J10" s="20" t="n">
        <v>0</v>
      </c>
      <c r="K10" s="18" t="n">
        <v>26.1394448</v>
      </c>
      <c r="L10" s="20" t="n">
        <v>1.46888714</v>
      </c>
      <c r="M10" s="18" t="n">
        <v>0</v>
      </c>
      <c r="N10" s="20" t="n">
        <v>0</v>
      </c>
      <c r="O10" s="18" t="n">
        <v>0</v>
      </c>
      <c r="P10" s="20" t="n">
        <v>0</v>
      </c>
      <c r="Q10" s="18" t="n">
        <v>0</v>
      </c>
      <c r="R10" s="20" t="n">
        <v>0</v>
      </c>
    </row>
    <row r="11" spans="1:18">
      <c r="A11" s="15" t="s">
        <v>569</v>
      </c>
      <c r="B11" s="17" t="n">
        <v>3500</v>
      </c>
      <c r="C11" s="18">
        <f>(2779.0/B11*100)</f>
        <v/>
      </c>
      <c r="D11" s="19" t="n">
        <v>721</v>
      </c>
      <c r="E11" s="18" t="n">
        <v>25.57857639</v>
      </c>
      <c r="F11" s="20" t="n">
        <v>2.08309301</v>
      </c>
      <c r="G11" s="18" t="n">
        <v>19.43273175</v>
      </c>
      <c r="H11" s="20" t="n">
        <v>1.3513509</v>
      </c>
      <c r="I11" s="18" t="n">
        <v>0</v>
      </c>
      <c r="J11" s="20" t="n">
        <v>0</v>
      </c>
      <c r="K11" s="18" t="n">
        <v>54.97397921</v>
      </c>
      <c r="L11" s="20" t="n">
        <v>1.77236222</v>
      </c>
      <c r="M11" s="18" t="n">
        <v>0.01471265</v>
      </c>
      <c r="N11" s="20" t="n">
        <v>0.0148005</v>
      </c>
      <c r="O11" s="18" t="n">
        <v>0</v>
      </c>
      <c r="P11" s="20" t="n">
        <v>0</v>
      </c>
      <c r="Q11" s="18" t="n">
        <v>0</v>
      </c>
      <c r="R11" s="20" t="n">
        <v>0</v>
      </c>
    </row>
    <row r="12" spans="1:18">
      <c r="A12" s="15" t="s">
        <v>570</v>
      </c>
      <c r="B12" s="17" t="n">
        <v>3422</v>
      </c>
      <c r="C12" s="18">
        <f>(2680.0/B12*100)</f>
        <v/>
      </c>
      <c r="D12" s="19" t="n">
        <v>742</v>
      </c>
      <c r="E12" s="18" t="n">
        <v>23.42389535</v>
      </c>
      <c r="F12" s="20" t="n">
        <v>1.78259116</v>
      </c>
      <c r="G12" s="18" t="n">
        <v>32.75360566</v>
      </c>
      <c r="H12" s="20" t="n">
        <v>2.23057311</v>
      </c>
      <c r="I12" s="18" t="n">
        <v>0</v>
      </c>
      <c r="J12" s="20" t="n">
        <v>0</v>
      </c>
      <c r="K12" s="18" t="n">
        <v>43.82249899</v>
      </c>
      <c r="L12" s="20" t="n">
        <v>2.11404771</v>
      </c>
      <c r="M12" s="18" t="n">
        <v>0</v>
      </c>
      <c r="N12" s="20" t="n">
        <v>0</v>
      </c>
      <c r="O12" s="18" t="n">
        <v>0</v>
      </c>
      <c r="P12" s="20" t="n">
        <v>0</v>
      </c>
      <c r="Q12" s="18" t="n">
        <v>0</v>
      </c>
      <c r="R12" s="20" t="n">
        <v>0</v>
      </c>
    </row>
    <row r="13" spans="1:18">
      <c r="A13" s="15" t="s">
        <v>571</v>
      </c>
      <c r="B13" s="17" t="n">
        <v>3602</v>
      </c>
      <c r="C13" s="18">
        <f>(2889.0/B13*100)</f>
        <v/>
      </c>
      <c r="D13" s="19" t="n">
        <v>713</v>
      </c>
      <c r="E13" s="18" t="n">
        <v>32.14243972</v>
      </c>
      <c r="F13" s="20" t="n">
        <v>1.93646741</v>
      </c>
      <c r="G13" s="18" t="n">
        <v>25.55049528</v>
      </c>
      <c r="H13" s="20" t="n">
        <v>2.24294231</v>
      </c>
      <c r="I13" s="18" t="n">
        <v>0</v>
      </c>
      <c r="J13" s="20" t="n">
        <v>0</v>
      </c>
      <c r="K13" s="18" t="n">
        <v>42.307065</v>
      </c>
      <c r="L13" s="20" t="n">
        <v>2.4334762</v>
      </c>
      <c r="M13" s="18" t="n">
        <v>0</v>
      </c>
      <c r="N13" s="20" t="n">
        <v>0</v>
      </c>
      <c r="O13" s="18" t="n">
        <v>0</v>
      </c>
      <c r="P13" s="20" t="n">
        <v>0</v>
      </c>
      <c r="Q13" s="18" t="n">
        <v>0</v>
      </c>
      <c r="R13" s="20" t="n">
        <v>0</v>
      </c>
    </row>
    <row r="14" spans="1:18">
      <c r="A14" s="15" t="s">
        <v>572</v>
      </c>
      <c r="B14" s="17" t="n">
        <v>2788</v>
      </c>
      <c r="C14" s="18">
        <f>(2191.0/B14*100)</f>
        <v/>
      </c>
      <c r="D14" s="19" t="n">
        <v>597</v>
      </c>
      <c r="E14" s="18" t="n">
        <v>20.82292563</v>
      </c>
      <c r="F14" s="20" t="n">
        <v>1.52835557</v>
      </c>
      <c r="G14" s="18" t="n">
        <v>48.85521448</v>
      </c>
      <c r="H14" s="20" t="n">
        <v>2.58943945</v>
      </c>
      <c r="I14" s="18" t="n">
        <v>0</v>
      </c>
      <c r="J14" s="20" t="n">
        <v>0</v>
      </c>
      <c r="K14" s="18" t="n">
        <v>30.32185989</v>
      </c>
      <c r="L14" s="20" t="n">
        <v>2.12176964</v>
      </c>
      <c r="M14" s="18" t="n">
        <v>0</v>
      </c>
      <c r="N14" s="20" t="n">
        <v>0</v>
      </c>
      <c r="O14" s="18" t="n">
        <v>0</v>
      </c>
      <c r="P14" s="20" t="n">
        <v>0</v>
      </c>
      <c r="Q14" s="18" t="n">
        <v>0</v>
      </c>
      <c r="R14" s="20" t="n">
        <v>0</v>
      </c>
    </row>
    <row r="15" spans="1:18">
      <c r="A15" s="15" t="s">
        <v>573</v>
      </c>
      <c r="B15" s="17" t="n">
        <v>2863</v>
      </c>
      <c r="C15" s="18">
        <f>(2247.0/B15*100)</f>
        <v/>
      </c>
      <c r="D15" s="19" t="n">
        <v>616</v>
      </c>
      <c r="E15" s="18" t="n">
        <v>23.69850336</v>
      </c>
      <c r="F15" s="20" t="n">
        <v>1.9303707</v>
      </c>
      <c r="G15" s="18" t="n">
        <v>52.39622207</v>
      </c>
      <c r="H15" s="20" t="n">
        <v>1.94254151</v>
      </c>
      <c r="I15" s="18" t="n">
        <v>0</v>
      </c>
      <c r="J15" s="20" t="n">
        <v>0</v>
      </c>
      <c r="K15" s="18" t="n">
        <v>23.90527457</v>
      </c>
      <c r="L15" s="20" t="n">
        <v>1.84734174</v>
      </c>
      <c r="M15" s="18" t="n">
        <v>0</v>
      </c>
      <c r="N15" s="20" t="n">
        <v>0</v>
      </c>
      <c r="O15" s="18" t="n">
        <v>0</v>
      </c>
      <c r="P15" s="20" t="n">
        <v>0</v>
      </c>
      <c r="Q15" s="18" t="n">
        <v>0</v>
      </c>
      <c r="R15" s="20" t="n">
        <v>0</v>
      </c>
    </row>
    <row r="16" spans="1:18">
      <c r="A16" s="15" t="s">
        <v>574</v>
      </c>
      <c r="B16" s="17" t="n">
        <v>3111</v>
      </c>
      <c r="C16" s="18">
        <f>(2452.0/B16*100)</f>
        <v/>
      </c>
      <c r="D16" s="19" t="n">
        <v>659</v>
      </c>
      <c r="E16" s="18" t="n">
        <v>16.65455731</v>
      </c>
      <c r="F16" s="20" t="n">
        <v>1.50917191</v>
      </c>
      <c r="G16" s="18" t="n">
        <v>37.59621624</v>
      </c>
      <c r="H16" s="20" t="n">
        <v>2.28544604</v>
      </c>
      <c r="I16" s="18" t="n">
        <v>0</v>
      </c>
      <c r="J16" s="20" t="n">
        <v>0</v>
      </c>
      <c r="K16" s="18" t="n">
        <v>45.74922645</v>
      </c>
      <c r="L16" s="20" t="n">
        <v>2.27594877</v>
      </c>
      <c r="M16" s="18" t="n">
        <v>0</v>
      </c>
      <c r="N16" s="20" t="n">
        <v>0</v>
      </c>
      <c r="O16" s="18" t="n">
        <v>0</v>
      </c>
      <c r="P16" s="20" t="n">
        <v>0</v>
      </c>
      <c r="Q16" s="18" t="n">
        <v>0</v>
      </c>
      <c r="R16" s="20" t="n">
        <v>0</v>
      </c>
    </row>
    <row r="17" spans="1:18">
      <c r="A17" s="15" t="s">
        <v>575</v>
      </c>
      <c r="B17" s="17" t="n">
        <v>3197</v>
      </c>
      <c r="C17" s="18">
        <f>(2559.0/B17*100)</f>
        <v/>
      </c>
      <c r="D17" s="19" t="n">
        <v>638</v>
      </c>
      <c r="E17" s="18" t="n">
        <v>18.10450647</v>
      </c>
      <c r="F17" s="20" t="n">
        <v>1.3678142</v>
      </c>
      <c r="G17" s="18" t="n">
        <v>35.90392158</v>
      </c>
      <c r="H17" s="20" t="n">
        <v>2.0021043</v>
      </c>
      <c r="I17" s="18" t="n">
        <v>0</v>
      </c>
      <c r="J17" s="20" t="n">
        <v>0</v>
      </c>
      <c r="K17" s="18" t="n">
        <v>45.99157195</v>
      </c>
      <c r="L17" s="20" t="n">
        <v>1.93605549</v>
      </c>
      <c r="M17" s="18" t="n">
        <v>0</v>
      </c>
      <c r="N17" s="20" t="n">
        <v>0</v>
      </c>
      <c r="O17" s="18" t="n">
        <v>0</v>
      </c>
      <c r="P17" s="20" t="n">
        <v>0</v>
      </c>
      <c r="Q17" s="18" t="n">
        <v>0</v>
      </c>
      <c r="R17" s="20" t="n">
        <v>0</v>
      </c>
    </row>
    <row r="18" spans="1:18">
      <c r="A18" s="15" t="s">
        <v>576</v>
      </c>
      <c r="B18" s="17" t="n">
        <v>2706</v>
      </c>
      <c r="C18" s="18">
        <f>(2114.0/B18*100)</f>
        <v/>
      </c>
      <c r="D18" s="19" t="n">
        <v>592</v>
      </c>
      <c r="E18" s="18" t="n">
        <v>25.27307406</v>
      </c>
      <c r="F18" s="20" t="n">
        <v>2.02712687</v>
      </c>
      <c r="G18" s="18" t="n">
        <v>34.03327574</v>
      </c>
      <c r="H18" s="20" t="n">
        <v>2.27119241</v>
      </c>
      <c r="I18" s="18" t="n">
        <v>0</v>
      </c>
      <c r="J18" s="20" t="n">
        <v>0</v>
      </c>
      <c r="K18" s="18" t="n">
        <v>40.6936502</v>
      </c>
      <c r="L18" s="20" t="n">
        <v>2.10958919</v>
      </c>
      <c r="M18" s="18" t="n">
        <v>0</v>
      </c>
      <c r="N18" s="20" t="n">
        <v>0</v>
      </c>
      <c r="O18" s="18" t="n">
        <v>0</v>
      </c>
      <c r="P18" s="20" t="n">
        <v>0</v>
      </c>
      <c r="Q18" s="18" t="n">
        <v>0</v>
      </c>
      <c r="R18" s="20" t="n">
        <v>0</v>
      </c>
    </row>
    <row r="19" spans="1:18">
      <c r="A19" s="15" t="s">
        <v>577</v>
      </c>
      <c r="B19" s="17" t="n">
        <v>2850</v>
      </c>
      <c r="C19" s="18">
        <f>(2212.0/B19*100)</f>
        <v/>
      </c>
      <c r="D19" s="19" t="n">
        <v>638</v>
      </c>
      <c r="E19" s="18" t="n">
        <v>24.89761273</v>
      </c>
      <c r="F19" s="20" t="n">
        <v>1.95088771</v>
      </c>
      <c r="G19" s="18" t="n">
        <v>24.17007049</v>
      </c>
      <c r="H19" s="20" t="n">
        <v>1.73165235</v>
      </c>
      <c r="I19" s="18" t="n">
        <v>0</v>
      </c>
      <c r="J19" s="20" t="n">
        <v>0</v>
      </c>
      <c r="K19" s="18" t="n">
        <v>50.93231678</v>
      </c>
      <c r="L19" s="20" t="n">
        <v>2.12196494</v>
      </c>
      <c r="M19" s="18" t="n">
        <v>0</v>
      </c>
      <c r="N19" s="20" t="n">
        <v>0</v>
      </c>
      <c r="O19" s="18" t="n">
        <v>0</v>
      </c>
      <c r="P19" s="20" t="n">
        <v>0</v>
      </c>
      <c r="Q19" s="18" t="n">
        <v>0</v>
      </c>
      <c r="R19" s="20" t="n">
        <v>0</v>
      </c>
    </row>
    <row r="20" spans="1:18">
      <c r="A20" s="15" t="s">
        <v>578</v>
      </c>
      <c r="B20" s="17" t="n">
        <v>1741</v>
      </c>
      <c r="C20" s="18">
        <f>(1370.0/B20*100)</f>
        <v/>
      </c>
      <c r="D20" s="19" t="n">
        <v>371</v>
      </c>
      <c r="E20" s="18" t="n">
        <v>37.26952749</v>
      </c>
      <c r="F20" s="20" t="n">
        <v>2.40003176</v>
      </c>
      <c r="G20" s="18" t="n">
        <v>23.97466094</v>
      </c>
      <c r="H20" s="20" t="n">
        <v>1.96745189</v>
      </c>
      <c r="I20" s="18" t="n">
        <v>0</v>
      </c>
      <c r="J20" s="20" t="n">
        <v>0</v>
      </c>
      <c r="K20" s="18" t="n">
        <v>38.33969039</v>
      </c>
      <c r="L20" s="20" t="n">
        <v>2.79715518</v>
      </c>
      <c r="M20" s="18" t="n">
        <v>0.41612118</v>
      </c>
      <c r="N20" s="20" t="n">
        <v>0.40193071</v>
      </c>
      <c r="O20" s="18" t="n">
        <v>0</v>
      </c>
      <c r="P20" s="20" t="n">
        <v>0</v>
      </c>
      <c r="Q20" s="18" t="n">
        <v>0</v>
      </c>
      <c r="R20" s="20" t="n">
        <v>0</v>
      </c>
    </row>
    <row r="21" spans="1:18">
      <c r="A21" s="15" t="s">
        <v>579</v>
      </c>
      <c r="B21" s="17" t="n">
        <v>2833</v>
      </c>
      <c r="C21" s="18">
        <f>(2216.0/B21*100)</f>
        <v/>
      </c>
      <c r="D21" s="19" t="n">
        <v>617</v>
      </c>
      <c r="E21" s="18" t="n">
        <v>34.68560166</v>
      </c>
      <c r="F21" s="20" t="n">
        <v>1.91388385</v>
      </c>
      <c r="G21" s="18" t="n">
        <v>24.60092042</v>
      </c>
      <c r="H21" s="20" t="n">
        <v>1.70019617</v>
      </c>
      <c r="I21" s="18" t="n">
        <v>0</v>
      </c>
      <c r="J21" s="20" t="n">
        <v>0</v>
      </c>
      <c r="K21" s="18" t="n">
        <v>40.71347792</v>
      </c>
      <c r="L21" s="20" t="n">
        <v>2.03247773</v>
      </c>
      <c r="M21" s="18" t="n">
        <v>0</v>
      </c>
      <c r="N21" s="20" t="n">
        <v>0</v>
      </c>
      <c r="O21" s="18" t="n">
        <v>0</v>
      </c>
      <c r="P21" s="20" t="n">
        <v>0</v>
      </c>
      <c r="Q21" s="18" t="n">
        <v>0</v>
      </c>
      <c r="R21" s="20" t="n">
        <v>0</v>
      </c>
    </row>
    <row r="22" spans="1:18">
      <c r="A22" s="15" t="s">
        <v>580</v>
      </c>
      <c r="B22" s="17" t="n">
        <v>3667</v>
      </c>
      <c r="C22" s="18">
        <f>(2934.0/B22*100)</f>
        <v/>
      </c>
      <c r="D22" s="19" t="n">
        <v>733</v>
      </c>
      <c r="E22" s="18" t="n">
        <v>27.14462845</v>
      </c>
      <c r="F22" s="20" t="n">
        <v>1.9548151</v>
      </c>
      <c r="G22" s="18" t="n">
        <v>31.25044655</v>
      </c>
      <c r="H22" s="20" t="n">
        <v>1.48444537</v>
      </c>
      <c r="I22" s="18" t="n">
        <v>0</v>
      </c>
      <c r="J22" s="20" t="n">
        <v>0</v>
      </c>
      <c r="K22" s="18" t="n">
        <v>41.48149394</v>
      </c>
      <c r="L22" s="20" t="n">
        <v>1.81227338</v>
      </c>
      <c r="M22" s="18" t="n">
        <v>0.12343106</v>
      </c>
      <c r="N22" s="20" t="n">
        <v>0.12365807</v>
      </c>
      <c r="O22" s="18" t="n">
        <v>0</v>
      </c>
      <c r="P22" s="20" t="n">
        <v>0</v>
      </c>
      <c r="Q22" s="18" t="n">
        <v>0</v>
      </c>
      <c r="R22" s="20" t="n">
        <v>0</v>
      </c>
    </row>
    <row r="23" spans="1:18">
      <c r="A23" s="15" t="s">
        <v>581</v>
      </c>
      <c r="B23" s="17" t="n">
        <v>5792</v>
      </c>
      <c r="C23" s="18">
        <f>(4602.0/B23*100)</f>
        <v/>
      </c>
      <c r="D23" s="19" t="n">
        <v>1190</v>
      </c>
      <c r="E23" s="18" t="n">
        <v>16.65048532</v>
      </c>
      <c r="F23" s="20" t="n">
        <v>1.30760249</v>
      </c>
      <c r="G23" s="18" t="n">
        <v>33.64481527</v>
      </c>
      <c r="H23" s="20" t="n">
        <v>1.87191922</v>
      </c>
      <c r="I23" s="18" t="n">
        <v>0</v>
      </c>
      <c r="J23" s="20" t="n">
        <v>0</v>
      </c>
      <c r="K23" s="18" t="n">
        <v>49.70469941</v>
      </c>
      <c r="L23" s="20" t="n">
        <v>1.86021641</v>
      </c>
      <c r="M23" s="18" t="n">
        <v>0</v>
      </c>
      <c r="N23" s="20" t="n">
        <v>0</v>
      </c>
      <c r="O23" s="18" t="n">
        <v>0</v>
      </c>
      <c r="P23" s="20" t="n">
        <v>0</v>
      </c>
      <c r="Q23" s="18" t="n">
        <v>0</v>
      </c>
      <c r="R23" s="20" t="n">
        <v>0</v>
      </c>
    </row>
    <row r="24" spans="1:18">
      <c r="A24" s="15" t="s">
        <v>582</v>
      </c>
      <c r="B24" s="17" t="n">
        <v>3309</v>
      </c>
      <c r="C24" s="18">
        <f>(2598.0/B24*100)</f>
        <v/>
      </c>
      <c r="D24" s="19" t="n">
        <v>711</v>
      </c>
      <c r="E24" s="18" t="n">
        <v>44.89090229</v>
      </c>
      <c r="F24" s="20" t="n">
        <v>1.91958028</v>
      </c>
      <c r="G24" s="18" t="n">
        <v>27.85299125</v>
      </c>
      <c r="H24" s="20" t="n">
        <v>1.89896797</v>
      </c>
      <c r="I24" s="18" t="n">
        <v>0</v>
      </c>
      <c r="J24" s="20" t="n">
        <v>0</v>
      </c>
      <c r="K24" s="18" t="n">
        <v>27.25610646</v>
      </c>
      <c r="L24" s="20" t="n">
        <v>1.77645065</v>
      </c>
      <c r="M24" s="18" t="n">
        <v>0</v>
      </c>
      <c r="N24" s="20" t="n">
        <v>0</v>
      </c>
      <c r="O24" s="18" t="n">
        <v>0</v>
      </c>
      <c r="P24" s="20" t="n">
        <v>0</v>
      </c>
      <c r="Q24" s="18" t="n">
        <v>0</v>
      </c>
      <c r="R24" s="20" t="n">
        <v>0</v>
      </c>
    </row>
    <row r="25" spans="1:18">
      <c r="A25" s="15" t="s">
        <v>583</v>
      </c>
      <c r="B25" s="17" t="n">
        <v>2669</v>
      </c>
      <c r="C25" s="18">
        <f>(2099.0/B25*100)</f>
        <v/>
      </c>
      <c r="D25" s="19" t="n">
        <v>570</v>
      </c>
      <c r="E25" s="18" t="n">
        <v>44.98347325</v>
      </c>
      <c r="F25" s="20" t="n">
        <v>2.0863171</v>
      </c>
      <c r="G25" s="18" t="n">
        <v>17.5654962</v>
      </c>
      <c r="H25" s="20" t="n">
        <v>1.85084551</v>
      </c>
      <c r="I25" s="18" t="n">
        <v>0</v>
      </c>
      <c r="J25" s="20" t="n">
        <v>0</v>
      </c>
      <c r="K25" s="18" t="n">
        <v>37.45103054</v>
      </c>
      <c r="L25" s="20" t="n">
        <v>2.35975348</v>
      </c>
      <c r="M25" s="18" t="n">
        <v>0</v>
      </c>
      <c r="N25" s="20" t="n">
        <v>0</v>
      </c>
      <c r="O25" s="18" t="n">
        <v>0</v>
      </c>
      <c r="P25" s="20" t="n">
        <v>0</v>
      </c>
      <c r="Q25" s="18" t="n">
        <v>0</v>
      </c>
      <c r="R25" s="20" t="n">
        <v>0</v>
      </c>
    </row>
    <row r="26" spans="1:18">
      <c r="A26" s="15" t="s">
        <v>584</v>
      </c>
      <c r="B26" s="17" t="n">
        <v>2419</v>
      </c>
      <c r="C26" s="18">
        <f>(1938.0/B26*100)</f>
        <v/>
      </c>
      <c r="D26" s="19" t="n">
        <v>481</v>
      </c>
      <c r="E26" s="18" t="n">
        <v>33.80887863</v>
      </c>
      <c r="F26" s="20" t="n">
        <v>2.57887272</v>
      </c>
      <c r="G26" s="18" t="n">
        <v>30.03937452</v>
      </c>
      <c r="H26" s="20" t="n">
        <v>2.73516947</v>
      </c>
      <c r="I26" s="18" t="n">
        <v>0</v>
      </c>
      <c r="J26" s="20" t="n">
        <v>0</v>
      </c>
      <c r="K26" s="18" t="n">
        <v>36.15174685</v>
      </c>
      <c r="L26" s="20" t="n">
        <v>2.67354403</v>
      </c>
      <c r="M26" s="18" t="n">
        <v>0</v>
      </c>
      <c r="N26" s="20" t="n">
        <v>0</v>
      </c>
      <c r="O26" s="18" t="n">
        <v>0</v>
      </c>
      <c r="P26" s="20" t="n">
        <v>0</v>
      </c>
      <c r="Q26" s="18" t="n">
        <v>0</v>
      </c>
      <c r="R26" s="20" t="n">
        <v>0</v>
      </c>
    </row>
    <row r="27" spans="1:18">
      <c r="A27" s="15" t="s">
        <v>585</v>
      </c>
      <c r="B27" s="17" t="n">
        <v>2683</v>
      </c>
      <c r="C27" s="18">
        <f>(2146.0/B27*100)</f>
        <v/>
      </c>
      <c r="D27" s="19" t="n">
        <v>537</v>
      </c>
      <c r="E27" s="18" t="n">
        <v>23.05581271</v>
      </c>
      <c r="F27" s="20" t="n">
        <v>1.7085227</v>
      </c>
      <c r="G27" s="18" t="n">
        <v>30.09203501</v>
      </c>
      <c r="H27" s="20" t="n">
        <v>1.86967115</v>
      </c>
      <c r="I27" s="18" t="n">
        <v>0</v>
      </c>
      <c r="J27" s="20" t="n">
        <v>0</v>
      </c>
      <c r="K27" s="18" t="n">
        <v>46.85215229</v>
      </c>
      <c r="L27" s="20" t="n">
        <v>2.18971225</v>
      </c>
      <c r="M27" s="18" t="n">
        <v>0</v>
      </c>
      <c r="N27" s="20" t="n">
        <v>0</v>
      </c>
      <c r="O27" s="18" t="n">
        <v>0</v>
      </c>
      <c r="P27" s="20" t="n">
        <v>0</v>
      </c>
      <c r="Q27" s="18" t="n">
        <v>0</v>
      </c>
      <c r="R27" s="20" t="n">
        <v>0</v>
      </c>
    </row>
    <row r="28" spans="1:18">
      <c r="A28" s="15" t="s">
        <v>586</v>
      </c>
      <c r="B28" s="17" t="n">
        <v>3803</v>
      </c>
      <c r="C28" s="18">
        <f>(3096.0/B28*100)</f>
        <v/>
      </c>
      <c r="D28" s="19" t="n">
        <v>707</v>
      </c>
      <c r="E28" s="18" t="n">
        <v>69.70427012</v>
      </c>
      <c r="F28" s="20" t="n">
        <v>1.95946034</v>
      </c>
      <c r="G28" s="18" t="n">
        <v>7.30812439</v>
      </c>
      <c r="H28" s="20" t="n">
        <v>1.13000515</v>
      </c>
      <c r="I28" s="18" t="n">
        <v>0</v>
      </c>
      <c r="J28" s="20" t="n">
        <v>0</v>
      </c>
      <c r="K28" s="18" t="n">
        <v>22.98760549</v>
      </c>
      <c r="L28" s="20" t="n">
        <v>1.90216731</v>
      </c>
      <c r="M28" s="18" t="n">
        <v>0</v>
      </c>
      <c r="N28" s="20" t="n">
        <v>0</v>
      </c>
      <c r="O28" s="18" t="n">
        <v>0</v>
      </c>
      <c r="P28" s="20" t="n">
        <v>0</v>
      </c>
      <c r="Q28" s="18" t="n">
        <v>0</v>
      </c>
      <c r="R28" s="20" t="n">
        <v>0</v>
      </c>
    </row>
    <row r="29" spans="1:18">
      <c r="A29" s="15" t="s">
        <v>587</v>
      </c>
      <c r="B29" s="17" t="n">
        <v>2700</v>
      </c>
      <c r="C29" s="18">
        <f>(2100.0/B29*100)</f>
        <v/>
      </c>
      <c r="D29" s="19" t="n">
        <v>600</v>
      </c>
      <c r="E29" s="18" t="n">
        <v>31.25008275</v>
      </c>
      <c r="F29" s="20" t="n">
        <v>1.82258538</v>
      </c>
      <c r="G29" s="18" t="n">
        <v>52.53709454</v>
      </c>
      <c r="H29" s="20" t="n">
        <v>2.01849869</v>
      </c>
      <c r="I29" s="18" t="n">
        <v>0</v>
      </c>
      <c r="J29" s="20" t="n">
        <v>0</v>
      </c>
      <c r="K29" s="18" t="n">
        <v>16.21282272</v>
      </c>
      <c r="L29" s="20" t="n">
        <v>1.56788082</v>
      </c>
      <c r="M29" s="18" t="n">
        <v>0</v>
      </c>
      <c r="N29" s="20" t="n">
        <v>0</v>
      </c>
      <c r="O29" s="18" t="n">
        <v>0</v>
      </c>
      <c r="P29" s="20" t="n">
        <v>0</v>
      </c>
      <c r="Q29" s="18" t="n">
        <v>0</v>
      </c>
      <c r="R29" s="20" t="n">
        <v>0</v>
      </c>
    </row>
    <row r="30" spans="1:18">
      <c r="A30" s="15" t="s">
        <v>588</v>
      </c>
      <c r="B30" s="17" t="n">
        <v>2257</v>
      </c>
      <c r="C30" s="18">
        <f>(1773.0/B30*100)</f>
        <v/>
      </c>
      <c r="D30" s="19" t="n">
        <v>484</v>
      </c>
      <c r="E30" s="18" t="n">
        <v>31.80995349</v>
      </c>
      <c r="F30" s="20" t="n">
        <v>2.38767781</v>
      </c>
      <c r="G30" s="18" t="n">
        <v>24.74477309</v>
      </c>
      <c r="H30" s="20" t="n">
        <v>2.02709485</v>
      </c>
      <c r="I30" s="18" t="n">
        <v>0</v>
      </c>
      <c r="J30" s="20" t="n">
        <v>0</v>
      </c>
      <c r="K30" s="18" t="n">
        <v>43.44527343</v>
      </c>
      <c r="L30" s="20" t="n">
        <v>2.24722999</v>
      </c>
      <c r="M30" s="18" t="n">
        <v>0</v>
      </c>
      <c r="N30" s="20" t="n">
        <v>0</v>
      </c>
      <c r="O30" s="18" t="n">
        <v>0</v>
      </c>
      <c r="P30" s="20" t="n">
        <v>0</v>
      </c>
      <c r="Q30" s="18" t="n">
        <v>0</v>
      </c>
      <c r="R30" s="20" t="n">
        <v>0</v>
      </c>
    </row>
    <row r="31" spans="1:18">
      <c r="A31" s="15" t="s">
        <v>589</v>
      </c>
      <c r="B31" s="17" t="n">
        <v>2706</v>
      </c>
      <c r="C31" s="18">
        <f>(2111.0/B31*100)</f>
        <v/>
      </c>
      <c r="D31" s="19" t="n">
        <v>595</v>
      </c>
      <c r="E31" s="18" t="n">
        <v>29.97153128</v>
      </c>
      <c r="F31" s="20" t="n">
        <v>1.81035951</v>
      </c>
      <c r="G31" s="18" t="n">
        <v>27.83871636</v>
      </c>
      <c r="H31" s="20" t="n">
        <v>2.0792124</v>
      </c>
      <c r="I31" s="18" t="n">
        <v>0</v>
      </c>
      <c r="J31" s="20" t="n">
        <v>0</v>
      </c>
      <c r="K31" s="18" t="n">
        <v>42.18975236</v>
      </c>
      <c r="L31" s="20" t="n">
        <v>2.19959379</v>
      </c>
      <c r="M31" s="18" t="n">
        <v>0</v>
      </c>
      <c r="N31" s="20" t="n">
        <v>0</v>
      </c>
      <c r="O31" s="18" t="n">
        <v>0</v>
      </c>
      <c r="P31" s="20" t="n">
        <v>0</v>
      </c>
      <c r="Q31" s="18" t="n">
        <v>0</v>
      </c>
      <c r="R31" s="20" t="n">
        <v>0</v>
      </c>
    </row>
    <row r="32" spans="1:18">
      <c r="A32" s="15" t="s">
        <v>590</v>
      </c>
      <c r="B32" s="17" t="n">
        <v>2209</v>
      </c>
      <c r="C32" s="18">
        <f>(1762.0/B32*100)</f>
        <v/>
      </c>
      <c r="D32" s="19" t="n">
        <v>447</v>
      </c>
      <c r="E32" s="18" t="n">
        <v>18.407979</v>
      </c>
      <c r="F32" s="20" t="n">
        <v>1.62685259</v>
      </c>
      <c r="G32" s="18" t="n">
        <v>35.08816388</v>
      </c>
      <c r="H32" s="20" t="n">
        <v>2.50296509</v>
      </c>
      <c r="I32" s="18" t="n">
        <v>0</v>
      </c>
      <c r="J32" s="20" t="n">
        <v>0</v>
      </c>
      <c r="K32" s="18" t="n">
        <v>46.2388776</v>
      </c>
      <c r="L32" s="20" t="n">
        <v>2.41051539</v>
      </c>
      <c r="M32" s="18" t="n">
        <v>0.26497953</v>
      </c>
      <c r="N32" s="20" t="n">
        <v>0.2507949</v>
      </c>
      <c r="O32" s="18" t="n">
        <v>0</v>
      </c>
      <c r="P32" s="20" t="n">
        <v>0</v>
      </c>
      <c r="Q32" s="18" t="n">
        <v>0</v>
      </c>
      <c r="R32" s="20" t="n">
        <v>0</v>
      </c>
    </row>
    <row r="33" spans="1:18">
      <c r="A33" s="15" t="s">
        <v>591</v>
      </c>
      <c r="B33" s="17" t="n">
        <v>3651</v>
      </c>
      <c r="C33" s="18">
        <f>(2989.0/B33*100)</f>
        <v/>
      </c>
      <c r="D33" s="19" t="n">
        <v>662</v>
      </c>
      <c r="E33" s="18" t="n">
        <v>21.56172323</v>
      </c>
      <c r="F33" s="20" t="n">
        <v>1.69586711</v>
      </c>
      <c r="G33" s="18" t="n">
        <v>29.72632178</v>
      </c>
      <c r="H33" s="20" t="n">
        <v>2.22650342</v>
      </c>
      <c r="I33" s="18" t="n">
        <v>0</v>
      </c>
      <c r="J33" s="20" t="n">
        <v>0</v>
      </c>
      <c r="K33" s="18" t="n">
        <v>48.48346451</v>
      </c>
      <c r="L33" s="20" t="n">
        <v>2.29093837</v>
      </c>
      <c r="M33" s="18" t="n">
        <v>0.22849047</v>
      </c>
      <c r="N33" s="20" t="n">
        <v>0.17002048</v>
      </c>
      <c r="O33" s="18" t="n">
        <v>0</v>
      </c>
      <c r="P33" s="20" t="n">
        <v>0</v>
      </c>
      <c r="Q33" s="18" t="n">
        <v>0</v>
      </c>
      <c r="R33" s="20" t="n">
        <v>0</v>
      </c>
    </row>
    <row r="34" spans="1:18">
      <c r="A34" s="15" t="s">
        <v>592</v>
      </c>
      <c r="B34" s="17" t="n">
        <v>3035</v>
      </c>
      <c r="C34" s="18">
        <f>(2398.0/B34*100)</f>
        <v/>
      </c>
      <c r="D34" s="19" t="n">
        <v>637</v>
      </c>
      <c r="E34" s="18" t="n">
        <v>30.12198894</v>
      </c>
      <c r="F34" s="20" t="n">
        <v>1.98758985</v>
      </c>
      <c r="G34" s="18" t="n">
        <v>31.69825917</v>
      </c>
      <c r="H34" s="20" t="n">
        <v>2.13287804</v>
      </c>
      <c r="I34" s="18" t="n">
        <v>0</v>
      </c>
      <c r="J34" s="20" t="n">
        <v>0</v>
      </c>
      <c r="K34" s="18" t="n">
        <v>37.78370726</v>
      </c>
      <c r="L34" s="20" t="n">
        <v>2.1421296</v>
      </c>
      <c r="M34" s="18" t="n">
        <v>0.39604463</v>
      </c>
      <c r="N34" s="20" t="n">
        <v>0.20859906</v>
      </c>
      <c r="O34" s="18" t="n">
        <v>0</v>
      </c>
      <c r="P34" s="20" t="n">
        <v>0</v>
      </c>
      <c r="Q34" s="18" t="n">
        <v>0</v>
      </c>
      <c r="R34" s="20" t="n">
        <v>0</v>
      </c>
    </row>
    <row r="35" spans="1:18">
      <c r="A35" s="15" t="s">
        <v>593</v>
      </c>
      <c r="B35" s="17" t="n">
        <v>2901</v>
      </c>
      <c r="C35" s="18">
        <f>(2277.0/B35*100)</f>
        <v/>
      </c>
      <c r="D35" s="19" t="n">
        <v>624</v>
      </c>
      <c r="E35" s="18" t="n">
        <v>16.69084294</v>
      </c>
      <c r="F35" s="20" t="n">
        <v>1.53212398</v>
      </c>
      <c r="G35" s="18" t="n">
        <v>55.80976235</v>
      </c>
      <c r="H35" s="20" t="n">
        <v>1.99042933</v>
      </c>
      <c r="I35" s="18" t="n">
        <v>0</v>
      </c>
      <c r="J35" s="20" t="n">
        <v>0</v>
      </c>
      <c r="K35" s="18" t="n">
        <v>27.49939471</v>
      </c>
      <c r="L35" s="20" t="n">
        <v>2.0619638</v>
      </c>
      <c r="M35" s="18" t="n">
        <v>0</v>
      </c>
      <c r="N35" s="20" t="n">
        <v>0</v>
      </c>
      <c r="O35" s="18" t="n">
        <v>0</v>
      </c>
      <c r="P35" s="20" t="n">
        <v>0</v>
      </c>
      <c r="Q35" s="18" t="n">
        <v>0</v>
      </c>
      <c r="R35" s="20" t="n">
        <v>0</v>
      </c>
    </row>
    <row r="36" spans="1:18">
      <c r="A36" s="15" t="s">
        <v>594</v>
      </c>
      <c r="B36" s="17" t="n">
        <v>3404</v>
      </c>
      <c r="C36" s="18">
        <f>(2711.0/B36*100)</f>
        <v/>
      </c>
      <c r="D36" s="19" t="n">
        <v>693</v>
      </c>
      <c r="E36" s="18" t="n">
        <v>20.06413087</v>
      </c>
      <c r="F36" s="20" t="n">
        <v>1.77519777</v>
      </c>
      <c r="G36" s="18" t="n">
        <v>42.073137</v>
      </c>
      <c r="H36" s="20" t="n">
        <v>2.19411365</v>
      </c>
      <c r="I36" s="18" t="n">
        <v>0</v>
      </c>
      <c r="J36" s="20" t="n">
        <v>0</v>
      </c>
      <c r="K36" s="18" t="n">
        <v>37.86273214</v>
      </c>
      <c r="L36" s="20" t="n">
        <v>2.0742616</v>
      </c>
      <c r="M36" s="18" t="n">
        <v>0</v>
      </c>
      <c r="N36" s="20" t="n">
        <v>0</v>
      </c>
      <c r="O36" s="18" t="n">
        <v>0</v>
      </c>
      <c r="P36" s="20" t="n">
        <v>0</v>
      </c>
      <c r="Q36" s="18" t="n">
        <v>0</v>
      </c>
      <c r="R36" s="20" t="n">
        <v>0</v>
      </c>
    </row>
    <row r="37" spans="1:18">
      <c r="A37" s="15" t="s">
        <v>595</v>
      </c>
      <c r="B37" s="17" t="n">
        <v>2731</v>
      </c>
      <c r="C37" s="18">
        <f>(2191.0/B37*100)</f>
        <v/>
      </c>
      <c r="D37" s="19" t="n">
        <v>540</v>
      </c>
      <c r="E37" s="18" t="n">
        <v>23.71807729</v>
      </c>
      <c r="F37" s="20" t="n">
        <v>1.88643538</v>
      </c>
      <c r="G37" s="18" t="n">
        <v>19.21431302</v>
      </c>
      <c r="H37" s="20" t="n">
        <v>1.99625044</v>
      </c>
      <c r="I37" s="18" t="n">
        <v>0</v>
      </c>
      <c r="J37" s="20" t="n">
        <v>0</v>
      </c>
      <c r="K37" s="18" t="n">
        <v>57.06760969</v>
      </c>
      <c r="L37" s="20" t="n">
        <v>2.47182292</v>
      </c>
      <c r="M37" s="18" t="n">
        <v>0</v>
      </c>
      <c r="N37" s="20" t="n">
        <v>0</v>
      </c>
      <c r="O37" s="18" t="n">
        <v>0</v>
      </c>
      <c r="P37" s="20" t="n">
        <v>0</v>
      </c>
      <c r="Q37" s="18" t="n">
        <v>0</v>
      </c>
      <c r="R37" s="20" t="n">
        <v>0</v>
      </c>
    </row>
    <row r="38" spans="1:18">
      <c r="A38" s="15" t="s">
        <v>596</v>
      </c>
      <c r="B38" s="17" t="n">
        <v>2807</v>
      </c>
      <c r="C38" s="18">
        <f>(2260.0/B38*100)</f>
        <v/>
      </c>
      <c r="D38" s="19" t="n">
        <v>547</v>
      </c>
      <c r="E38" s="18" t="n">
        <v>28.30695489</v>
      </c>
      <c r="F38" s="20" t="n">
        <v>2.33222873</v>
      </c>
      <c r="G38" s="18" t="n">
        <v>31.67194619</v>
      </c>
      <c r="H38" s="20" t="n">
        <v>2.16269498</v>
      </c>
      <c r="I38" s="18" t="n">
        <v>0</v>
      </c>
      <c r="J38" s="20" t="n">
        <v>0</v>
      </c>
      <c r="K38" s="18" t="n">
        <v>38.02875659</v>
      </c>
      <c r="L38" s="20" t="n">
        <v>2.39623275</v>
      </c>
      <c r="M38" s="18" t="n">
        <v>1.99234233</v>
      </c>
      <c r="N38" s="20" t="n">
        <v>0.72057127</v>
      </c>
      <c r="O38" s="18" t="n">
        <v>0</v>
      </c>
      <c r="P38" s="20" t="n">
        <v>0</v>
      </c>
      <c r="Q38" s="18" t="n">
        <v>0</v>
      </c>
      <c r="R38" s="20" t="n">
        <v>0</v>
      </c>
    </row>
    <row r="39" spans="1:18">
      <c r="A39" s="15" t="s">
        <v>597</v>
      </c>
      <c r="B39" s="17" t="n">
        <v>2938</v>
      </c>
      <c r="C39" s="18">
        <f>(2271.0/B39*100)</f>
        <v/>
      </c>
      <c r="D39" s="19" t="n">
        <v>667</v>
      </c>
      <c r="E39" s="18" t="n">
        <v>43.64578673</v>
      </c>
      <c r="F39" s="20" t="n">
        <v>2.21264645</v>
      </c>
      <c r="G39" s="18" t="n">
        <v>20.01322324</v>
      </c>
      <c r="H39" s="20" t="n">
        <v>2.0787764</v>
      </c>
      <c r="I39" s="18" t="n">
        <v>0</v>
      </c>
      <c r="J39" s="20" t="n">
        <v>0</v>
      </c>
      <c r="K39" s="18" t="n">
        <v>36.27298066</v>
      </c>
      <c r="L39" s="20" t="n">
        <v>2.21858174</v>
      </c>
      <c r="M39" s="18" t="n">
        <v>0.06800936</v>
      </c>
      <c r="N39" s="20" t="n">
        <v>0.06929275999999999</v>
      </c>
      <c r="O39" s="18" t="n">
        <v>0</v>
      </c>
      <c r="P39" s="20" t="n">
        <v>0</v>
      </c>
      <c r="Q39" s="18" t="n">
        <v>0</v>
      </c>
      <c r="R39" s="20" t="n">
        <v>0</v>
      </c>
    </row>
    <row r="40" spans="1:18">
      <c r="A40" s="15" t="s">
        <v>598</v>
      </c>
      <c r="B40" s="17" t="n">
        <v>6922</v>
      </c>
      <c r="C40" s="18">
        <f>(5397.0/B40*100)</f>
        <v/>
      </c>
      <c r="D40" s="19" t="n">
        <v>1525</v>
      </c>
      <c r="E40" s="18" t="n">
        <v>22.1493667</v>
      </c>
      <c r="F40" s="20" t="n">
        <v>1.70803605</v>
      </c>
      <c r="G40" s="18" t="n">
        <v>35.86334399</v>
      </c>
      <c r="H40" s="20" t="n">
        <v>2.558855</v>
      </c>
      <c r="I40" s="18" t="n">
        <v>0</v>
      </c>
      <c r="J40" s="20" t="n">
        <v>0</v>
      </c>
      <c r="K40" s="18" t="n">
        <v>41.98728931</v>
      </c>
      <c r="L40" s="20" t="n">
        <v>2.18046262</v>
      </c>
      <c r="M40" s="18" t="n">
        <v>0</v>
      </c>
      <c r="N40" s="20" t="n">
        <v>0</v>
      </c>
      <c r="O40" s="18" t="n">
        <v>0</v>
      </c>
      <c r="P40" s="20" t="n">
        <v>0</v>
      </c>
      <c r="Q40" s="18" t="n">
        <v>0</v>
      </c>
      <c r="R40" s="20" t="n">
        <v>0</v>
      </c>
    </row>
    <row r="41" spans="1:18">
      <c r="A41" s="15" t="s">
        <v>599</v>
      </c>
      <c r="B41" s="17" t="n">
        <v>2854</v>
      </c>
      <c r="C41" s="18">
        <f>(2264.0/B41*100)</f>
        <v/>
      </c>
      <c r="D41" s="19" t="n">
        <v>590</v>
      </c>
      <c r="E41" s="18" t="n">
        <v>50.88173991</v>
      </c>
      <c r="F41" s="20" t="n">
        <v>2.23198726</v>
      </c>
      <c r="G41" s="18" t="n">
        <v>30.34059468</v>
      </c>
      <c r="H41" s="20" t="n">
        <v>2.02438573</v>
      </c>
      <c r="I41" s="18" t="n">
        <v>0</v>
      </c>
      <c r="J41" s="20" t="n">
        <v>0</v>
      </c>
      <c r="K41" s="18" t="n">
        <v>18.77766541</v>
      </c>
      <c r="L41" s="20" t="n">
        <v>1.92993055</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(10417.0/B46*100)</f>
        <v/>
      </c>
      <c r="D46" s="19" t="n">
        <v>1656</v>
      </c>
      <c r="E46" s="18" t="n">
        <v>33.75654248</v>
      </c>
      <c r="F46" s="20" t="n">
        <v>1.65981449</v>
      </c>
      <c r="G46" s="18" t="n">
        <v>19.47526243</v>
      </c>
      <c r="H46" s="20" t="n">
        <v>1.34228137</v>
      </c>
      <c r="I46" s="18" t="n">
        <v>0</v>
      </c>
      <c r="J46" s="20" t="n">
        <v>0</v>
      </c>
      <c r="K46" s="18" t="n">
        <v>46.72610208</v>
      </c>
      <c r="L46" s="20" t="n">
        <v>1.88222798</v>
      </c>
      <c r="M46" s="18" t="n">
        <v>0.04209301</v>
      </c>
      <c r="N46" s="20" t="n">
        <v>0.03393823</v>
      </c>
      <c r="O46" s="18" t="n">
        <v>0</v>
      </c>
      <c r="P46" s="20" t="n">
        <v>0</v>
      </c>
      <c r="Q46" s="18" t="n">
        <v>0</v>
      </c>
      <c r="R46" s="20" t="n">
        <v>0</v>
      </c>
    </row>
    <row r="47" spans="1:18">
      <c r="A47" s="15" t="s">
        <v>606</v>
      </c>
      <c r="B47" s="17" t="n">
        <v>2823</v>
      </c>
      <c r="C47" s="18">
        <f>(2247.0/B47*100)</f>
        <v/>
      </c>
      <c r="D47" s="19" t="n">
        <v>576</v>
      </c>
      <c r="E47" s="18" t="n">
        <v>16.69698645</v>
      </c>
      <c r="F47" s="20" t="n">
        <v>1.68901917</v>
      </c>
      <c r="G47" s="18" t="n">
        <v>35.88303142</v>
      </c>
      <c r="H47" s="20" t="n">
        <v>2.04591691</v>
      </c>
      <c r="I47" s="18" t="n">
        <v>0</v>
      </c>
      <c r="J47" s="20" t="n">
        <v>0</v>
      </c>
      <c r="K47" s="18" t="n">
        <v>47.41998213</v>
      </c>
      <c r="L47" s="20" t="n">
        <v>2.27153221</v>
      </c>
      <c r="M47" s="18" t="n">
        <v>0</v>
      </c>
      <c r="N47" s="20" t="n">
        <v>0</v>
      </c>
      <c r="O47" s="18" t="n">
        <v>0</v>
      </c>
      <c r="P47" s="20" t="n">
        <v>0</v>
      </c>
      <c r="Q47" s="18" t="n">
        <v>0</v>
      </c>
      <c r="R47" s="20" t="n">
        <v>0</v>
      </c>
    </row>
    <row r="48" spans="1:18">
      <c r="A48" s="15" t="s">
        <v>607</v>
      </c>
      <c r="B48" s="17" t="n">
        <v>4682</v>
      </c>
      <c r="C48" s="18">
        <f>(3715.0/B48*100)</f>
        <v/>
      </c>
      <c r="D48" s="19" t="n">
        <v>967</v>
      </c>
      <c r="E48" s="18" t="n">
        <v>24.83221203</v>
      </c>
      <c r="F48" s="20" t="n">
        <v>1.7361532</v>
      </c>
      <c r="G48" s="18" t="n">
        <v>62.70445391</v>
      </c>
      <c r="H48" s="20" t="n">
        <v>2.23893802</v>
      </c>
      <c r="I48" s="18" t="n">
        <v>0</v>
      </c>
      <c r="J48" s="20" t="n">
        <v>0</v>
      </c>
      <c r="K48" s="18" t="n">
        <v>12.44010915</v>
      </c>
      <c r="L48" s="20" t="n">
        <v>1.62325973</v>
      </c>
      <c r="M48" s="18" t="n">
        <v>0.02322491</v>
      </c>
      <c r="N48" s="20" t="n">
        <v>0.02320662</v>
      </c>
      <c r="O48" s="18" t="n">
        <v>0</v>
      </c>
      <c r="P48" s="20" t="n">
        <v>0</v>
      </c>
      <c r="Q48" s="18" t="n">
        <v>0</v>
      </c>
      <c r="R48" s="20" t="n">
        <v>0</v>
      </c>
    </row>
    <row r="49" spans="1:18">
      <c r="A49" s="15" t="s">
        <v>608</v>
      </c>
      <c r="B49" s="17" t="n">
        <v>6158</v>
      </c>
      <c r="C49" s="18">
        <f>(4941.0/B49*100)</f>
        <v/>
      </c>
      <c r="D49" s="19" t="n">
        <v>1217</v>
      </c>
      <c r="E49" s="18" t="n">
        <v>54.67499567</v>
      </c>
      <c r="F49" s="20" t="n">
        <v>2.04530367</v>
      </c>
      <c r="G49" s="18" t="n">
        <v>18.29931194</v>
      </c>
      <c r="H49" s="20" t="n">
        <v>1.42781573</v>
      </c>
      <c r="I49" s="18" t="n">
        <v>0</v>
      </c>
      <c r="J49" s="20" t="n">
        <v>0</v>
      </c>
      <c r="K49" s="18" t="n">
        <v>26.91297774</v>
      </c>
      <c r="L49" s="20" t="n">
        <v>1.47687388</v>
      </c>
      <c r="M49" s="18" t="n">
        <v>0.11271466</v>
      </c>
      <c r="N49" s="20" t="n">
        <v>0.06491935</v>
      </c>
      <c r="O49" s="18" t="n">
        <v>0</v>
      </c>
      <c r="P49" s="20" t="n">
        <v>0</v>
      </c>
      <c r="Q49" s="18" t="n">
        <v>0</v>
      </c>
      <c r="R49" s="20" t="n">
        <v>0</v>
      </c>
    </row>
    <row r="50" spans="1:18">
      <c r="A50" s="15" t="s">
        <v>609</v>
      </c>
      <c r="B50" s="17" t="n">
        <v>3494</v>
      </c>
      <c r="C50" s="18">
        <f>(2910.0/B50*100)</f>
        <v/>
      </c>
      <c r="D50" s="19" t="n">
        <v>584</v>
      </c>
      <c r="E50" s="18" t="n">
        <v>49.74053065</v>
      </c>
      <c r="F50" s="20" t="n">
        <v>2.2841286</v>
      </c>
      <c r="G50" s="18" t="n">
        <v>15.18853289</v>
      </c>
      <c r="H50" s="20" t="n">
        <v>1.61857023</v>
      </c>
      <c r="I50" s="18" t="n">
        <v>0</v>
      </c>
      <c r="J50" s="20" t="n">
        <v>0</v>
      </c>
      <c r="K50" s="18" t="n">
        <v>35.07093646</v>
      </c>
      <c r="L50" s="20" t="n">
        <v>2.07369358</v>
      </c>
      <c r="M50" s="18" t="n">
        <v>0</v>
      </c>
      <c r="N50" s="20" t="n">
        <v>0</v>
      </c>
      <c r="O50" s="18" t="n">
        <v>0</v>
      </c>
      <c r="P50" s="20" t="n">
        <v>0</v>
      </c>
      <c r="Q50" s="18" t="n">
        <v>0</v>
      </c>
      <c r="R50" s="20" t="n">
        <v>0</v>
      </c>
    </row>
    <row r="51" spans="1:18">
      <c r="A51" s="15" t="s">
        <v>610</v>
      </c>
      <c r="B51" s="17" t="n">
        <v>3013</v>
      </c>
      <c r="C51" s="18">
        <f>(2390.0/B51*100)</f>
        <v/>
      </c>
      <c r="D51" s="19" t="n">
        <v>623</v>
      </c>
      <c r="E51" s="18" t="n">
        <v>16.2550104</v>
      </c>
      <c r="F51" s="20" t="n">
        <v>1.71527529</v>
      </c>
      <c r="G51" s="18" t="n">
        <v>45.65568963</v>
      </c>
      <c r="H51" s="20" t="n">
        <v>2.03719148</v>
      </c>
      <c r="I51" s="18" t="n">
        <v>0</v>
      </c>
      <c r="J51" s="20" t="n">
        <v>0</v>
      </c>
      <c r="K51" s="18" t="n">
        <v>38.08929997</v>
      </c>
      <c r="L51" s="20" t="n">
        <v>1.85139725</v>
      </c>
      <c r="M51" s="18" t="n">
        <v>0</v>
      </c>
      <c r="N51" s="20" t="n">
        <v>0</v>
      </c>
      <c r="O51" s="18" t="n">
        <v>0</v>
      </c>
      <c r="P51" s="20" t="n">
        <v>0</v>
      </c>
      <c r="Q51" s="18" t="n">
        <v>0</v>
      </c>
      <c r="R51" s="20" t="n">
        <v>0</v>
      </c>
    </row>
    <row r="52" spans="1:18">
      <c r="A52" s="15" t="s">
        <v>611</v>
      </c>
      <c r="B52" s="17" t="n">
        <v>2760</v>
      </c>
      <c r="C52" s="18">
        <f>(2217.0/B52*100)</f>
        <v/>
      </c>
      <c r="D52" s="19" t="n">
        <v>543</v>
      </c>
      <c r="E52" s="18" t="n">
        <v>23.27277797</v>
      </c>
      <c r="F52" s="20" t="n">
        <v>2.06536076</v>
      </c>
      <c r="G52" s="18" t="n">
        <v>31.60010915</v>
      </c>
      <c r="H52" s="20" t="n">
        <v>2.30257729</v>
      </c>
      <c r="I52" s="18" t="n">
        <v>0</v>
      </c>
      <c r="J52" s="20" t="n">
        <v>0</v>
      </c>
      <c r="K52" s="18" t="n">
        <v>45.12711288</v>
      </c>
      <c r="L52" s="20" t="n">
        <v>2.02352275</v>
      </c>
      <c r="M52" s="18" t="n">
        <v>0</v>
      </c>
      <c r="N52" s="20" t="n">
        <v>0</v>
      </c>
      <c r="O52" s="18" t="n">
        <v>0</v>
      </c>
      <c r="P52" s="20" t="n">
        <v>0</v>
      </c>
      <c r="Q52" s="18" t="n">
        <v>0</v>
      </c>
      <c r="R52" s="20" t="n">
        <v>0</v>
      </c>
    </row>
    <row r="53" spans="1:18">
      <c r="A53" s="15" t="s">
        <v>612</v>
      </c>
      <c r="B53" s="17" t="n">
        <v>2474</v>
      </c>
      <c r="C53" s="18">
        <f>(1903.0/B53*100)</f>
        <v/>
      </c>
      <c r="D53" s="19" t="n">
        <v>571</v>
      </c>
      <c r="E53" s="18" t="n">
        <v>26.26367291</v>
      </c>
      <c r="F53" s="20" t="n">
        <v>2.11267164</v>
      </c>
      <c r="G53" s="18" t="n">
        <v>2.07211252</v>
      </c>
      <c r="H53" s="20" t="n">
        <v>0.6022413</v>
      </c>
      <c r="I53" s="18" t="n">
        <v>0</v>
      </c>
      <c r="J53" s="20" t="n">
        <v>0</v>
      </c>
      <c r="K53" s="18" t="n">
        <v>71.07854349999999</v>
      </c>
      <c r="L53" s="20" t="n">
        <v>2.08428333</v>
      </c>
      <c r="M53" s="18" t="n">
        <v>0.58567107</v>
      </c>
      <c r="N53" s="20" t="n">
        <v>0.63190958</v>
      </c>
      <c r="O53" s="18" t="n">
        <v>0</v>
      </c>
      <c r="P53" s="20" t="n">
        <v>0</v>
      </c>
      <c r="Q53" s="18" t="n">
        <v>0</v>
      </c>
      <c r="R53" s="20" t="n">
        <v>0</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(2084.0/B55*100)</f>
        <v/>
      </c>
      <c r="D55" s="19" t="n">
        <v>591</v>
      </c>
      <c r="E55" s="18" t="n">
        <v>29.78138052</v>
      </c>
      <c r="F55" s="20" t="n">
        <v>2.71434578</v>
      </c>
      <c r="G55" s="18" t="n">
        <v>57.43015286</v>
      </c>
      <c r="H55" s="20" t="n">
        <v>2.58625499</v>
      </c>
      <c r="I55" s="18" t="n">
        <v>0</v>
      </c>
      <c r="J55" s="20" t="n">
        <v>0</v>
      </c>
      <c r="K55" s="18" t="n">
        <v>12.78846662</v>
      </c>
      <c r="L55" s="20" t="n">
        <v>1.70256602</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(2532.0/B61*100)</f>
        <v/>
      </c>
      <c r="D61" s="19" t="n">
        <v>669</v>
      </c>
      <c r="E61" s="18" t="n">
        <v>20.96892281</v>
      </c>
      <c r="F61" s="20" t="n">
        <v>1.7203179</v>
      </c>
      <c r="G61" s="18" t="n">
        <v>32.07803145</v>
      </c>
      <c r="H61" s="20" t="n">
        <v>2.10535257</v>
      </c>
      <c r="I61" s="18" t="n">
        <v>0</v>
      </c>
      <c r="J61" s="20" t="n">
        <v>0</v>
      </c>
      <c r="K61" s="18" t="n">
        <v>46.95304574</v>
      </c>
      <c r="L61" s="20" t="n">
        <v>1.91498239</v>
      </c>
      <c r="M61" s="18" t="n">
        <v>0</v>
      </c>
      <c r="N61" s="20" t="n">
        <v>0</v>
      </c>
      <c r="O61" s="18" t="n">
        <v>0</v>
      </c>
      <c r="P61" s="20" t="n">
        <v>0</v>
      </c>
      <c r="Q61" s="18" t="n">
        <v>0</v>
      </c>
      <c r="R61" s="20" t="n">
        <v>0</v>
      </c>
    </row>
    <row r="62" spans="1:18">
      <c r="A62" s="15" t="s">
        <v>622</v>
      </c>
      <c r="B62" s="17" t="n">
        <v>2230</v>
      </c>
      <c r="C62" s="18">
        <f>(1791.0/B62*100)</f>
        <v/>
      </c>
      <c r="D62" s="19" t="n">
        <v>439</v>
      </c>
      <c r="E62" s="18" t="n">
        <v>37.61775422</v>
      </c>
      <c r="F62" s="20" t="n">
        <v>2.36133738</v>
      </c>
      <c r="G62" s="18" t="n">
        <v>53.72183026</v>
      </c>
      <c r="H62" s="20" t="n">
        <v>2.27822226</v>
      </c>
      <c r="I62" s="18" t="n">
        <v>0</v>
      </c>
      <c r="J62" s="20" t="n">
        <v>0</v>
      </c>
      <c r="K62" s="18" t="n">
        <v>8.4315155</v>
      </c>
      <c r="L62" s="20" t="n">
        <v>1.33222349</v>
      </c>
      <c r="M62" s="18" t="n">
        <v>0.22890002</v>
      </c>
      <c r="N62" s="20" t="n">
        <v>0.22932093</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(2209.0/B67*100)</f>
        <v/>
      </c>
      <c r="D67" s="19" t="n">
        <v>562</v>
      </c>
      <c r="E67" s="18" t="n">
        <v>9.23373602</v>
      </c>
      <c r="F67" s="20" t="n">
        <v>1.14703455</v>
      </c>
      <c r="G67" s="18" t="n">
        <v>13.50771454</v>
      </c>
      <c r="H67" s="20" t="n">
        <v>1.58797339</v>
      </c>
      <c r="I67" s="18" t="n">
        <v>0</v>
      </c>
      <c r="J67" s="20" t="n">
        <v>0</v>
      </c>
      <c r="K67" s="18" t="n">
        <v>46.81903367</v>
      </c>
      <c r="L67" s="20" t="n">
        <v>2.27226867</v>
      </c>
      <c r="M67" s="18" t="n">
        <v>30.43951578</v>
      </c>
      <c r="N67" s="20" t="n">
        <v>1.86347617</v>
      </c>
      <c r="O67" s="18" t="n">
        <v>0</v>
      </c>
      <c r="P67" s="20" t="n">
        <v>0</v>
      </c>
      <c r="Q67" s="18" t="n">
        <v>0</v>
      </c>
      <c r="R67" s="20" t="n">
        <v>0</v>
      </c>
    </row>
    <row r="68" spans="1:18">
      <c r="A68" s="15" t="s">
        <v>628</v>
      </c>
      <c r="B68" s="17" t="n">
        <v>3460</v>
      </c>
      <c r="C68" s="18">
        <f>(2906.0/B68*100)</f>
        <v/>
      </c>
      <c r="D68" s="19" t="n">
        <v>554</v>
      </c>
      <c r="E68" s="18" t="n">
        <v>42.79455152</v>
      </c>
      <c r="F68" s="20" t="n">
        <v>2.70401221</v>
      </c>
      <c r="G68" s="18" t="n">
        <v>16.48025976</v>
      </c>
      <c r="H68" s="20" t="n">
        <v>1.82561304</v>
      </c>
      <c r="I68" s="18" t="n">
        <v>0</v>
      </c>
      <c r="J68" s="20" t="n">
        <v>0</v>
      </c>
      <c r="K68" s="18" t="n">
        <v>40.72518872</v>
      </c>
      <c r="L68" s="20" t="n">
        <v>2.52806091</v>
      </c>
      <c r="M68" s="18" t="n">
        <v>0</v>
      </c>
      <c r="N68" s="20" t="n">
        <v>0</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(4719.0/B70*100)</f>
        <v/>
      </c>
      <c r="D70" s="19" t="n">
        <v>1315</v>
      </c>
      <c r="E70" s="18" t="n">
        <v>40.78489283</v>
      </c>
      <c r="F70" s="20" t="n">
        <v>1.31478011</v>
      </c>
      <c r="G70" s="18" t="n">
        <v>21.39386268</v>
      </c>
      <c r="H70" s="20" t="n">
        <v>1.18881776</v>
      </c>
      <c r="I70" s="18" t="n">
        <v>0</v>
      </c>
      <c r="J70" s="20" t="n">
        <v>0</v>
      </c>
      <c r="K70" s="18" t="n">
        <v>37.74666431</v>
      </c>
      <c r="L70" s="20" t="n">
        <v>1.30484761</v>
      </c>
      <c r="M70" s="18" t="n">
        <v>0.07458019</v>
      </c>
      <c r="N70" s="20" t="n">
        <v>0.07438702</v>
      </c>
      <c r="O70" s="18" t="n">
        <v>0</v>
      </c>
      <c r="P70" s="20" t="n">
        <v>0</v>
      </c>
      <c r="Q70" s="18" t="n">
        <v>0</v>
      </c>
      <c r="R70" s="20" t="n">
        <v>0</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(2516.0/B72*100)</f>
        <v/>
      </c>
      <c r="D72" s="19" t="n">
        <v>591</v>
      </c>
      <c r="E72" s="18" t="n">
        <v>22.21264043</v>
      </c>
      <c r="F72" s="20" t="n">
        <v>1.82912637</v>
      </c>
      <c r="G72" s="18" t="n">
        <v>39.18959438</v>
      </c>
      <c r="H72" s="20" t="n">
        <v>2.43554216</v>
      </c>
      <c r="I72" s="18" t="n">
        <v>0</v>
      </c>
      <c r="J72" s="20" t="n">
        <v>0</v>
      </c>
      <c r="K72" s="18" t="n">
        <v>38.59776519</v>
      </c>
      <c r="L72" s="20" t="n">
        <v>2.75335115</v>
      </c>
      <c r="M72" s="18" t="n">
        <v>0</v>
      </c>
      <c r="N72" s="20" t="n">
        <v>0</v>
      </c>
      <c r="O72" s="18" t="n">
        <v>0</v>
      </c>
      <c r="P72" s="20" t="n">
        <v>0</v>
      </c>
      <c r="Q72" s="18" t="n">
        <v>0</v>
      </c>
      <c r="R72" s="20" t="n">
        <v>0</v>
      </c>
    </row>
    <row r="73" spans="1:18">
      <c r="A73" s="15" t="s">
        <v>633</v>
      </c>
      <c r="B73" s="17" t="n">
        <v>2973</v>
      </c>
      <c r="C73" s="18">
        <f>(2290.0/B73*100)</f>
        <v/>
      </c>
      <c r="D73" s="19" t="n">
        <v>683</v>
      </c>
      <c r="E73" s="18" t="n">
        <v>30.20833621</v>
      </c>
      <c r="F73" s="20" t="n">
        <v>1.80120244</v>
      </c>
      <c r="G73" s="18" t="n">
        <v>53.97415419</v>
      </c>
      <c r="H73" s="20" t="n">
        <v>1.79161704</v>
      </c>
      <c r="I73" s="18" t="n">
        <v>0</v>
      </c>
      <c r="J73" s="20" t="n">
        <v>0</v>
      </c>
      <c r="K73" s="18" t="n">
        <v>15.8175096</v>
      </c>
      <c r="L73" s="20" t="n">
        <v>1.60489948</v>
      </c>
      <c r="M73" s="18" t="n">
        <v>0</v>
      </c>
      <c r="N73" s="20" t="n">
        <v>0</v>
      </c>
      <c r="O73" s="18" t="n">
        <v>0</v>
      </c>
      <c r="P73" s="20" t="n">
        <v>0</v>
      </c>
      <c r="Q73" s="18" t="n">
        <v>0</v>
      </c>
      <c r="R73" s="20" t="n">
        <v>0</v>
      </c>
    </row>
    <row r="74" spans="1:18">
      <c r="A74" s="15" t="s">
        <v>634</v>
      </c>
      <c r="B74" s="17" t="n">
        <v>3819</v>
      </c>
      <c r="C74" s="18">
        <f>(2949.0/B74*100)</f>
        <v/>
      </c>
      <c r="D74" s="19" t="n">
        <v>870</v>
      </c>
      <c r="E74" s="18" t="n">
        <v>24.01803479</v>
      </c>
      <c r="F74" s="20" t="n">
        <v>1.63062619</v>
      </c>
      <c r="G74" s="18" t="n">
        <v>62.75291985</v>
      </c>
      <c r="H74" s="20" t="n">
        <v>2.07011664</v>
      </c>
      <c r="I74" s="18" t="n">
        <v>0</v>
      </c>
      <c r="J74" s="20" t="n">
        <v>0</v>
      </c>
      <c r="K74" s="18" t="n">
        <v>13.22904536</v>
      </c>
      <c r="L74" s="20" t="n">
        <v>1.44739858</v>
      </c>
      <c r="M74" s="18" t="n">
        <v>0</v>
      </c>
      <c r="N74" s="20" t="n">
        <v>0</v>
      </c>
      <c r="O74" s="18" t="n">
        <v>0</v>
      </c>
      <c r="P74" s="20" t="n">
        <v>0</v>
      </c>
      <c r="Q74" s="18" t="n">
        <v>0</v>
      </c>
      <c r="R74" s="20" t="n">
        <v>0</v>
      </c>
    </row>
    <row r="75" spans="1:18">
      <c r="A75" s="15" t="s">
        <v>635</v>
      </c>
      <c r="B75" s="17" t="n">
        <v>4652</v>
      </c>
      <c r="C75" s="18">
        <f>(3771.0/B75*100)</f>
        <v/>
      </c>
      <c r="D75" s="19" t="n">
        <v>881</v>
      </c>
      <c r="E75" s="18" t="n">
        <v>64.60044006</v>
      </c>
      <c r="F75" s="20" t="n">
        <v>2.22829307</v>
      </c>
      <c r="G75" s="18" t="n">
        <v>25.95779424</v>
      </c>
      <c r="H75" s="20" t="n">
        <v>2.16598867</v>
      </c>
      <c r="I75" s="18" t="n">
        <v>0</v>
      </c>
      <c r="J75" s="20" t="n">
        <v>0</v>
      </c>
      <c r="K75" s="18" t="n">
        <v>9.28062463</v>
      </c>
      <c r="L75" s="20" t="n">
        <v>1.23978364</v>
      </c>
      <c r="M75" s="18" t="n">
        <v>0.16114107</v>
      </c>
      <c r="N75" s="20" t="n">
        <v>0.15857856</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(2437.0/B77*100)</f>
        <v/>
      </c>
      <c r="D77" s="19" t="n">
        <v>532</v>
      </c>
      <c r="E77" s="18" t="n">
        <v>25.42624779</v>
      </c>
      <c r="F77" s="20" t="n">
        <v>2.27391375</v>
      </c>
      <c r="G77" s="18" t="n">
        <v>7.45342002</v>
      </c>
      <c r="H77" s="20" t="n">
        <v>1.34371676</v>
      </c>
      <c r="I77" s="18" t="n">
        <v>0</v>
      </c>
      <c r="J77" s="20" t="n">
        <v>0</v>
      </c>
      <c r="K77" s="18" t="n">
        <v>66.94854300999999</v>
      </c>
      <c r="L77" s="20" t="n">
        <v>2.37457736</v>
      </c>
      <c r="M77" s="18" t="n">
        <v>0.17178918</v>
      </c>
      <c r="N77" s="20" t="n">
        <v>0.17201718</v>
      </c>
      <c r="O77" s="18" t="n">
        <v>0</v>
      </c>
      <c r="P77" s="20" t="n">
        <v>0</v>
      </c>
      <c r="Q77" s="18" t="n">
        <v>0</v>
      </c>
      <c r="R77" s="20" t="n">
        <v>0</v>
      </c>
    </row>
    <row r="78" spans="1:18">
      <c r="A78" s="15" t="s">
        <v>638</v>
      </c>
      <c r="B78" s="17" t="n">
        <v>7115</v>
      </c>
      <c r="C78" s="18">
        <f>(5553.0/B78*100)</f>
        <v/>
      </c>
      <c r="D78" s="19" t="n">
        <v>1562</v>
      </c>
      <c r="E78" s="18" t="n">
        <v>49.97235524</v>
      </c>
      <c r="F78" s="20" t="n">
        <v>1.77205632</v>
      </c>
      <c r="G78" s="18" t="n">
        <v>27.1302369</v>
      </c>
      <c r="H78" s="20" t="n">
        <v>1.56685508</v>
      </c>
      <c r="I78" s="18" t="n">
        <v>0</v>
      </c>
      <c r="J78" s="20" t="n">
        <v>0</v>
      </c>
      <c r="K78" s="18" t="n">
        <v>22.82830712</v>
      </c>
      <c r="L78" s="20" t="n">
        <v>1.67262946</v>
      </c>
      <c r="M78" s="18" t="n">
        <v>0.06910073</v>
      </c>
      <c r="N78" s="20" t="n">
        <v>0.06511361</v>
      </c>
      <c r="O78" s="18" t="n">
        <v>0</v>
      </c>
      <c r="P78" s="20" t="n">
        <v>0</v>
      </c>
      <c r="Q78" s="18" t="n">
        <v>0</v>
      </c>
      <c r="R78" s="20" t="n">
        <v>0</v>
      </c>
    </row>
    <row r="79" spans="1:18">
      <c r="A79" s="15" t="s">
        <v>639</v>
      </c>
      <c r="B79" s="17" t="n">
        <v>3154</v>
      </c>
      <c r="C79" s="18">
        <f>(2562.0/B79*100)</f>
        <v/>
      </c>
      <c r="D79" s="19" t="n">
        <v>592</v>
      </c>
      <c r="E79" s="18" t="n">
        <v>22.52813812</v>
      </c>
      <c r="F79" s="20" t="n">
        <v>1.68318823</v>
      </c>
      <c r="G79" s="18" t="n">
        <v>20.02877525</v>
      </c>
      <c r="H79" s="20" t="n">
        <v>1.59534509</v>
      </c>
      <c r="I79" s="18" t="n">
        <v>0</v>
      </c>
      <c r="J79" s="20" t="n">
        <v>0</v>
      </c>
      <c r="K79" s="18" t="n">
        <v>57.44308663</v>
      </c>
      <c r="L79" s="20" t="n">
        <v>1.96849205</v>
      </c>
      <c r="M79" s="18" t="n">
        <v>0</v>
      </c>
      <c r="N79" s="20" t="n">
        <v>0</v>
      </c>
      <c r="O79" s="18" t="n">
        <v>0</v>
      </c>
      <c r="P79" s="20" t="n">
        <v>0</v>
      </c>
      <c r="Q79" s="18" t="n">
        <v>0</v>
      </c>
      <c r="R79" s="20" t="n">
        <v>0</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(12650.0/B82*100)</f>
        <v/>
      </c>
      <c r="D82" s="19" t="n">
        <v>3311</v>
      </c>
      <c r="E82" s="18" t="n">
        <v>19.79617543</v>
      </c>
      <c r="F82" s="20" t="n">
        <v>1.13290204</v>
      </c>
      <c r="G82" s="18" t="n">
        <v>40.4828549</v>
      </c>
      <c r="H82" s="20" t="n">
        <v>1.23579171</v>
      </c>
      <c r="I82" s="18" t="n">
        <v>0</v>
      </c>
      <c r="J82" s="20" t="n">
        <v>0</v>
      </c>
      <c r="K82" s="18" t="n">
        <v>39.72096967</v>
      </c>
      <c r="L82" s="20" t="n">
        <v>1.30183758</v>
      </c>
      <c r="M82" s="18" t="n">
        <v>0</v>
      </c>
      <c r="N82" s="20" t="n">
        <v>0</v>
      </c>
      <c r="O82" s="18" t="n">
        <v>0</v>
      </c>
      <c r="P82" s="20" t="n">
        <v>0</v>
      </c>
      <c r="Q82" s="18" t="n">
        <v>0</v>
      </c>
      <c r="R82" s="20" t="n">
        <v>0</v>
      </c>
    </row>
    <row r="83" spans="1:18">
      <c r="A83" s="15" t="s">
        <v>643</v>
      </c>
      <c r="B83" s="17" t="n">
        <v>808</v>
      </c>
      <c r="C83" s="18">
        <f>(656.0/B83*100)</f>
        <v/>
      </c>
      <c r="D83" s="19" t="n">
        <v>152</v>
      </c>
      <c r="E83" s="18" t="n">
        <v>38.44844647</v>
      </c>
      <c r="F83" s="20" t="n">
        <v>3.93291553</v>
      </c>
      <c r="G83" s="18" t="n">
        <v>44.40115253</v>
      </c>
      <c r="H83" s="20" t="n">
        <v>4.03567432</v>
      </c>
      <c r="I83" s="18" t="n">
        <v>0</v>
      </c>
      <c r="J83" s="20" t="n">
        <v>0</v>
      </c>
      <c r="K83" s="18" t="n">
        <v>17.150401</v>
      </c>
      <c r="L83" s="20" t="n">
        <v>3.55320594</v>
      </c>
      <c r="M83" s="18" t="n">
        <v>0</v>
      </c>
      <c r="N83" s="20" t="n">
        <v>0</v>
      </c>
      <c r="O83" s="18" t="n">
        <v>0</v>
      </c>
      <c r="P83" s="20" t="n">
        <v>0</v>
      </c>
      <c r="Q83" s="18" t="n">
        <v>0</v>
      </c>
      <c r="R83" s="20" t="n">
        <v>0</v>
      </c>
    </row>
    <row r="84" spans="1:18">
      <c r="A84" s="23" t="s">
        <v>644</v>
      </c>
      <c r="B84" s="24" t="n">
        <v>938</v>
      </c>
      <c r="C84" s="25">
        <f>(721.0/B84*100)</f>
        <v/>
      </c>
      <c r="D84" s="19" t="n">
        <v>217</v>
      </c>
      <c r="E84" s="18" t="n">
        <v>52.34094886</v>
      </c>
      <c r="F84" s="20" t="n">
        <v>4.07873643</v>
      </c>
      <c r="G84" s="18" t="n">
        <v>34.04632365</v>
      </c>
      <c r="H84" s="20" t="n">
        <v>3.27401657</v>
      </c>
      <c r="I84" s="18" t="n">
        <v>0</v>
      </c>
      <c r="J84" s="20" t="n">
        <v>0</v>
      </c>
      <c r="K84" s="18" t="n">
        <v>13.61272749</v>
      </c>
      <c r="L84" s="20" t="n">
        <v>2.8857839</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(5587.0/B7*100)</f>
        <v/>
      </c>
      <c r="D7" s="19" t="n">
        <v>1576</v>
      </c>
      <c r="E7" s="18" t="n">
        <v>37.73558543</v>
      </c>
      <c r="F7" s="20" t="n">
        <v>1.26740193</v>
      </c>
      <c r="G7" s="18" t="n">
        <v>56.25867322</v>
      </c>
      <c r="H7" s="20" t="n">
        <v>1.33988857</v>
      </c>
      <c r="I7" s="18" t="n">
        <v>0</v>
      </c>
      <c r="J7" s="20" t="n">
        <v>0</v>
      </c>
      <c r="K7" s="18" t="n">
        <v>0</v>
      </c>
      <c r="L7" s="20" t="n">
        <v>0</v>
      </c>
      <c r="M7" s="18" t="n">
        <v>0.1148923</v>
      </c>
      <c r="N7" s="20" t="n">
        <v>0.05843572</v>
      </c>
      <c r="O7" s="18" t="n">
        <v>0</v>
      </c>
      <c r="P7" s="20" t="n">
        <v>0</v>
      </c>
      <c r="Q7" s="18" t="n">
        <v>5.89084906</v>
      </c>
      <c r="R7" s="20" t="n">
        <v>0.74270015</v>
      </c>
    </row>
    <row r="8" spans="1:18">
      <c r="A8" s="15" t="s">
        <v>566</v>
      </c>
      <c r="B8" s="17" t="n">
        <v>3443</v>
      </c>
      <c r="C8" s="18">
        <f>(2724.0/B8*100)</f>
        <v/>
      </c>
      <c r="D8" s="19" t="n">
        <v>719</v>
      </c>
      <c r="E8" s="18" t="n">
        <v>44.43392089</v>
      </c>
      <c r="F8" s="20" t="n">
        <v>1.86408421</v>
      </c>
      <c r="G8" s="18" t="n">
        <v>35.69066236</v>
      </c>
      <c r="H8" s="20" t="n">
        <v>2.22082703</v>
      </c>
      <c r="I8" s="18" t="n">
        <v>0</v>
      </c>
      <c r="J8" s="20" t="n">
        <v>0</v>
      </c>
      <c r="K8" s="18" t="n">
        <v>0</v>
      </c>
      <c r="L8" s="20" t="n">
        <v>0</v>
      </c>
      <c r="M8" s="18" t="n">
        <v>0</v>
      </c>
      <c r="N8" s="20" t="n">
        <v>0</v>
      </c>
      <c r="O8" s="18" t="n">
        <v>0</v>
      </c>
      <c r="P8" s="20" t="n">
        <v>0</v>
      </c>
      <c r="Q8" s="18" t="n">
        <v>19.87541675</v>
      </c>
      <c r="R8" s="20" t="n">
        <v>1.64635888</v>
      </c>
    </row>
    <row r="9" spans="1:18">
      <c r="A9" s="15" t="s">
        <v>567</v>
      </c>
      <c r="B9" s="17" t="n">
        <v>4752</v>
      </c>
      <c r="C9" s="18">
        <f>(3711.0/B9*100)</f>
        <v/>
      </c>
      <c r="D9" s="19" t="n">
        <v>1041</v>
      </c>
      <c r="E9" s="18" t="n">
        <v>42.95278043</v>
      </c>
      <c r="F9" s="20" t="n">
        <v>1.82564693</v>
      </c>
      <c r="G9" s="18" t="n">
        <v>46.09295304</v>
      </c>
      <c r="H9" s="20" t="n">
        <v>1.89396769</v>
      </c>
      <c r="I9" s="18" t="n">
        <v>0</v>
      </c>
      <c r="J9" s="20" t="n">
        <v>0</v>
      </c>
      <c r="K9" s="18" t="n">
        <v>0.10775656</v>
      </c>
      <c r="L9" s="20" t="n">
        <v>0.1130348</v>
      </c>
      <c r="M9" s="18" t="n">
        <v>0.4998174</v>
      </c>
      <c r="N9" s="20" t="n">
        <v>0.19651434</v>
      </c>
      <c r="O9" s="18" t="n">
        <v>0</v>
      </c>
      <c r="P9" s="20" t="n">
        <v>0</v>
      </c>
      <c r="Q9" s="18" t="n">
        <v>10.34669257</v>
      </c>
      <c r="R9" s="20" t="n">
        <v>0.9929902900000001</v>
      </c>
    </row>
    <row r="10" spans="1:18">
      <c r="A10" s="15" t="s">
        <v>568</v>
      </c>
      <c r="B10" s="17" t="n">
        <v>10022</v>
      </c>
      <c r="C10" s="18">
        <f>(7840.0/B10*100)</f>
        <v/>
      </c>
      <c r="D10" s="19" t="n">
        <v>2182</v>
      </c>
      <c r="E10" s="18" t="n">
        <v>37.44482569</v>
      </c>
      <c r="F10" s="20" t="n">
        <v>1.23608712</v>
      </c>
      <c r="G10" s="18" t="n">
        <v>58.09982698</v>
      </c>
      <c r="H10" s="20" t="n">
        <v>1.31701068</v>
      </c>
      <c r="I10" s="18" t="n">
        <v>0</v>
      </c>
      <c r="J10" s="20" t="n">
        <v>0</v>
      </c>
      <c r="K10" s="18" t="n">
        <v>0.11325315</v>
      </c>
      <c r="L10" s="20" t="n">
        <v>0.12482702</v>
      </c>
      <c r="M10" s="18" t="n">
        <v>0.008260429999999999</v>
      </c>
      <c r="N10" s="20" t="n">
        <v>0.00584153</v>
      </c>
      <c r="O10" s="18" t="n">
        <v>0</v>
      </c>
      <c r="P10" s="20" t="n">
        <v>0</v>
      </c>
      <c r="Q10" s="18" t="n">
        <v>4.33383375</v>
      </c>
      <c r="R10" s="20" t="n">
        <v>0.55574066</v>
      </c>
    </row>
    <row r="11" spans="1:18">
      <c r="A11" s="15" t="s">
        <v>569</v>
      </c>
      <c r="B11" s="17" t="n">
        <v>3500</v>
      </c>
      <c r="C11" s="18">
        <f>(2750.0/B11*100)</f>
        <v/>
      </c>
      <c r="D11" s="19" t="n">
        <v>750</v>
      </c>
      <c r="E11" s="18" t="n">
        <v>41.56097534</v>
      </c>
      <c r="F11" s="20" t="n">
        <v>2.58437166</v>
      </c>
      <c r="G11" s="18" t="n">
        <v>40.64298874</v>
      </c>
      <c r="H11" s="20" t="n">
        <v>2.22964602</v>
      </c>
      <c r="I11" s="18" t="n">
        <v>0</v>
      </c>
      <c r="J11" s="20" t="n">
        <v>0</v>
      </c>
      <c r="K11" s="18" t="n">
        <v>0.10984296</v>
      </c>
      <c r="L11" s="20" t="n">
        <v>0.1068214</v>
      </c>
      <c r="M11" s="18" t="n">
        <v>0.05880741</v>
      </c>
      <c r="N11" s="20" t="n">
        <v>0.06433229</v>
      </c>
      <c r="O11" s="18" t="n">
        <v>0</v>
      </c>
      <c r="P11" s="20" t="n">
        <v>0</v>
      </c>
      <c r="Q11" s="18" t="n">
        <v>17.62738554</v>
      </c>
      <c r="R11" s="20" t="n">
        <v>1.78069501</v>
      </c>
    </row>
    <row r="12" spans="1:18">
      <c r="A12" s="15" t="s">
        <v>570</v>
      </c>
      <c r="B12" s="17" t="n">
        <v>3422</v>
      </c>
      <c r="C12" s="18">
        <f>(2652.0/B12*100)</f>
        <v/>
      </c>
      <c r="D12" s="19" t="n">
        <v>770</v>
      </c>
      <c r="E12" s="18" t="n">
        <v>41.68876925</v>
      </c>
      <c r="F12" s="20" t="n">
        <v>1.74960976</v>
      </c>
      <c r="G12" s="18" t="n">
        <v>42.70347307</v>
      </c>
      <c r="H12" s="20" t="n">
        <v>1.92730261</v>
      </c>
      <c r="I12" s="18" t="n">
        <v>0</v>
      </c>
      <c r="J12" s="20" t="n">
        <v>0</v>
      </c>
      <c r="K12" s="18" t="n">
        <v>0.11581903</v>
      </c>
      <c r="L12" s="20" t="n">
        <v>0.10973679</v>
      </c>
      <c r="M12" s="18" t="n">
        <v>0.04913114</v>
      </c>
      <c r="N12" s="20" t="n">
        <v>0.04912027</v>
      </c>
      <c r="O12" s="18" t="n">
        <v>0</v>
      </c>
      <c r="P12" s="20" t="n">
        <v>0</v>
      </c>
      <c r="Q12" s="18" t="n">
        <v>15.4428075</v>
      </c>
      <c r="R12" s="20" t="n">
        <v>1.48575298</v>
      </c>
    </row>
    <row r="13" spans="1:18">
      <c r="A13" s="15" t="s">
        <v>571</v>
      </c>
      <c r="B13" s="17" t="n">
        <v>3602</v>
      </c>
      <c r="C13" s="18">
        <f>(2829.0/B13*100)</f>
        <v/>
      </c>
      <c r="D13" s="19" t="n">
        <v>773</v>
      </c>
      <c r="E13" s="18" t="n">
        <v>43.2869076</v>
      </c>
      <c r="F13" s="20" t="n">
        <v>2.26089836</v>
      </c>
      <c r="G13" s="18" t="n">
        <v>49.27148845</v>
      </c>
      <c r="H13" s="20" t="n">
        <v>2.3725516</v>
      </c>
      <c r="I13" s="18" t="n">
        <v>0</v>
      </c>
      <c r="J13" s="20" t="n">
        <v>0</v>
      </c>
      <c r="K13" s="18" t="n">
        <v>0.04105897</v>
      </c>
      <c r="L13" s="20" t="n">
        <v>0.04108568</v>
      </c>
      <c r="M13" s="18" t="n">
        <v>0</v>
      </c>
      <c r="N13" s="20" t="n">
        <v>0</v>
      </c>
      <c r="O13" s="18" t="n">
        <v>0</v>
      </c>
      <c r="P13" s="20" t="n">
        <v>0</v>
      </c>
      <c r="Q13" s="18" t="n">
        <v>7.40054498</v>
      </c>
      <c r="R13" s="20" t="n">
        <v>1.03990156</v>
      </c>
    </row>
    <row r="14" spans="1:18">
      <c r="A14" s="15" t="s">
        <v>572</v>
      </c>
      <c r="B14" s="17" t="n">
        <v>2788</v>
      </c>
      <c r="C14" s="18">
        <f>(2182.0/B14*100)</f>
        <v/>
      </c>
      <c r="D14" s="19" t="n">
        <v>606</v>
      </c>
      <c r="E14" s="18" t="n">
        <v>38.47755649</v>
      </c>
      <c r="F14" s="20" t="n">
        <v>2.16652017</v>
      </c>
      <c r="G14" s="18" t="n">
        <v>53.98468168</v>
      </c>
      <c r="H14" s="20" t="n">
        <v>2.10407612</v>
      </c>
      <c r="I14" s="18" t="n">
        <v>0</v>
      </c>
      <c r="J14" s="20" t="n">
        <v>0</v>
      </c>
      <c r="K14" s="18" t="n">
        <v>0.11920603</v>
      </c>
      <c r="L14" s="20" t="n">
        <v>0.11951838</v>
      </c>
      <c r="M14" s="18" t="n">
        <v>0</v>
      </c>
      <c r="N14" s="20" t="n">
        <v>0</v>
      </c>
      <c r="O14" s="18" t="n">
        <v>0</v>
      </c>
      <c r="P14" s="20" t="n">
        <v>0</v>
      </c>
      <c r="Q14" s="18" t="n">
        <v>7.4185558</v>
      </c>
      <c r="R14" s="20" t="n">
        <v>1.20032494</v>
      </c>
    </row>
    <row r="15" spans="1:18">
      <c r="A15" s="15" t="s">
        <v>573</v>
      </c>
      <c r="B15" s="17" t="n">
        <v>2863</v>
      </c>
      <c r="C15" s="18">
        <f>(2248.0/B15*100)</f>
        <v/>
      </c>
      <c r="D15" s="19" t="n">
        <v>615</v>
      </c>
      <c r="E15" s="18" t="n">
        <v>36.1456867</v>
      </c>
      <c r="F15" s="20" t="n">
        <v>1.86053625</v>
      </c>
      <c r="G15" s="18" t="n">
        <v>57.87892652</v>
      </c>
      <c r="H15" s="20" t="n">
        <v>2.24452755</v>
      </c>
      <c r="I15" s="18" t="n">
        <v>0</v>
      </c>
      <c r="J15" s="20" t="n">
        <v>0</v>
      </c>
      <c r="K15" s="18" t="n">
        <v>0</v>
      </c>
      <c r="L15" s="20" t="n">
        <v>0</v>
      </c>
      <c r="M15" s="18" t="n">
        <v>0</v>
      </c>
      <c r="N15" s="20" t="n">
        <v>0</v>
      </c>
      <c r="O15" s="18" t="n">
        <v>0</v>
      </c>
      <c r="P15" s="20" t="n">
        <v>0</v>
      </c>
      <c r="Q15" s="18" t="n">
        <v>5.97538678</v>
      </c>
      <c r="R15" s="20" t="n">
        <v>0.98328804</v>
      </c>
    </row>
    <row r="16" spans="1:18">
      <c r="A16" s="15" t="s">
        <v>574</v>
      </c>
      <c r="B16" s="17" t="n">
        <v>3111</v>
      </c>
      <c r="C16" s="18">
        <f>(2438.0/B16*100)</f>
        <v/>
      </c>
      <c r="D16" s="19" t="n">
        <v>673</v>
      </c>
      <c r="E16" s="18" t="n">
        <v>42.48670679</v>
      </c>
      <c r="F16" s="20" t="n">
        <v>2.06379458</v>
      </c>
      <c r="G16" s="18" t="n">
        <v>46.14976844</v>
      </c>
      <c r="H16" s="20" t="n">
        <v>2.01865632</v>
      </c>
      <c r="I16" s="18" t="n">
        <v>0</v>
      </c>
      <c r="J16" s="20" t="n">
        <v>0</v>
      </c>
      <c r="K16" s="18" t="n">
        <v>0</v>
      </c>
      <c r="L16" s="20" t="n">
        <v>0</v>
      </c>
      <c r="M16" s="18" t="n">
        <v>0</v>
      </c>
      <c r="N16" s="20" t="n">
        <v>0</v>
      </c>
      <c r="O16" s="18" t="n">
        <v>0</v>
      </c>
      <c r="P16" s="20" t="n">
        <v>0</v>
      </c>
      <c r="Q16" s="18" t="n">
        <v>11.36352476</v>
      </c>
      <c r="R16" s="20" t="n">
        <v>1.45968597</v>
      </c>
    </row>
    <row r="17" spans="1:18">
      <c r="A17" s="15" t="s">
        <v>575</v>
      </c>
      <c r="B17" s="17" t="n">
        <v>3197</v>
      </c>
      <c r="C17" s="18">
        <f>(2466.0/B17*100)</f>
        <v/>
      </c>
      <c r="D17" s="19" t="n">
        <v>731</v>
      </c>
      <c r="E17" s="18" t="n">
        <v>44.54090526</v>
      </c>
      <c r="F17" s="20" t="n">
        <v>1.7846579</v>
      </c>
      <c r="G17" s="18" t="n">
        <v>40.74413727</v>
      </c>
      <c r="H17" s="20" t="n">
        <v>1.93064056</v>
      </c>
      <c r="I17" s="18" t="n">
        <v>0</v>
      </c>
      <c r="J17" s="20" t="n">
        <v>0</v>
      </c>
      <c r="K17" s="18" t="n">
        <v>0</v>
      </c>
      <c r="L17" s="20" t="n">
        <v>0</v>
      </c>
      <c r="M17" s="18" t="n">
        <v>0</v>
      </c>
      <c r="N17" s="20" t="n">
        <v>0</v>
      </c>
      <c r="O17" s="18" t="n">
        <v>0</v>
      </c>
      <c r="P17" s="20" t="n">
        <v>0</v>
      </c>
      <c r="Q17" s="18" t="n">
        <v>14.71495747</v>
      </c>
      <c r="R17" s="20" t="n">
        <v>1.3837316</v>
      </c>
    </row>
    <row r="18" spans="1:18">
      <c r="A18" s="15" t="s">
        <v>576</v>
      </c>
      <c r="B18" s="17" t="n">
        <v>2706</v>
      </c>
      <c r="C18" s="18">
        <f>(2093.0/B18*100)</f>
        <v/>
      </c>
      <c r="D18" s="19" t="n">
        <v>613</v>
      </c>
      <c r="E18" s="18" t="n">
        <v>53.81949902</v>
      </c>
      <c r="F18" s="20" t="n">
        <v>2.10249472</v>
      </c>
      <c r="G18" s="18" t="n">
        <v>30.08280499</v>
      </c>
      <c r="H18" s="20" t="n">
        <v>1.76834586</v>
      </c>
      <c r="I18" s="18" t="n">
        <v>0</v>
      </c>
      <c r="J18" s="20" t="n">
        <v>0</v>
      </c>
      <c r="K18" s="18" t="n">
        <v>0</v>
      </c>
      <c r="L18" s="20" t="n">
        <v>0</v>
      </c>
      <c r="M18" s="18" t="n">
        <v>0</v>
      </c>
      <c r="N18" s="20" t="n">
        <v>0</v>
      </c>
      <c r="O18" s="18" t="n">
        <v>0</v>
      </c>
      <c r="P18" s="20" t="n">
        <v>0</v>
      </c>
      <c r="Q18" s="18" t="n">
        <v>16.09769599</v>
      </c>
      <c r="R18" s="20" t="n">
        <v>2.04787453</v>
      </c>
    </row>
    <row r="19" spans="1:18">
      <c r="A19" s="15" t="s">
        <v>577</v>
      </c>
      <c r="B19" s="17" t="n">
        <v>2850</v>
      </c>
      <c r="C19" s="18">
        <f>(2258.0/B19*100)</f>
        <v/>
      </c>
      <c r="D19" s="19" t="n">
        <v>592</v>
      </c>
      <c r="E19" s="18" t="n">
        <v>48.73087949</v>
      </c>
      <c r="F19" s="20" t="n">
        <v>2.10487054</v>
      </c>
      <c r="G19" s="18" t="n">
        <v>38.01862925</v>
      </c>
      <c r="H19" s="20" t="n">
        <v>2.20745454</v>
      </c>
      <c r="I19" s="18" t="n">
        <v>0</v>
      </c>
      <c r="J19" s="20" t="n">
        <v>0</v>
      </c>
      <c r="K19" s="18" t="n">
        <v>0.14429168</v>
      </c>
      <c r="L19" s="20" t="n">
        <v>0.10337554</v>
      </c>
      <c r="M19" s="18" t="n">
        <v>0</v>
      </c>
      <c r="N19" s="20" t="n">
        <v>0</v>
      </c>
      <c r="O19" s="18" t="n">
        <v>0</v>
      </c>
      <c r="P19" s="20" t="n">
        <v>0</v>
      </c>
      <c r="Q19" s="18" t="n">
        <v>13.10619959</v>
      </c>
      <c r="R19" s="20" t="n">
        <v>1.55450447</v>
      </c>
    </row>
    <row r="20" spans="1:18">
      <c r="A20" s="15" t="s">
        <v>578</v>
      </c>
      <c r="B20" s="17" t="n">
        <v>1741</v>
      </c>
      <c r="C20" s="18">
        <f>(1367.0/B20*100)</f>
        <v/>
      </c>
      <c r="D20" s="19" t="n">
        <v>374</v>
      </c>
      <c r="E20" s="18" t="n">
        <v>53.3642395</v>
      </c>
      <c r="F20" s="20" t="n">
        <v>2.64683901</v>
      </c>
      <c r="G20" s="18" t="n">
        <v>29.03305358</v>
      </c>
      <c r="H20" s="20" t="n">
        <v>2.3309958</v>
      </c>
      <c r="I20" s="18" t="n">
        <v>0</v>
      </c>
      <c r="J20" s="20" t="n">
        <v>0</v>
      </c>
      <c r="K20" s="18" t="n">
        <v>0</v>
      </c>
      <c r="L20" s="20" t="n">
        <v>0</v>
      </c>
      <c r="M20" s="18" t="n">
        <v>0.41422279</v>
      </c>
      <c r="N20" s="20" t="n">
        <v>0.42076378</v>
      </c>
      <c r="O20" s="18" t="n">
        <v>0</v>
      </c>
      <c r="P20" s="20" t="n">
        <v>0</v>
      </c>
      <c r="Q20" s="18" t="n">
        <v>17.18848413</v>
      </c>
      <c r="R20" s="20" t="n">
        <v>2.25072332</v>
      </c>
    </row>
    <row r="21" spans="1:18">
      <c r="A21" s="15" t="s">
        <v>579</v>
      </c>
      <c r="B21" s="17" t="n">
        <v>2833</v>
      </c>
      <c r="C21" s="18">
        <f>(2180.0/B21*100)</f>
        <v/>
      </c>
      <c r="D21" s="19" t="n">
        <v>653</v>
      </c>
      <c r="E21" s="18" t="n">
        <v>40.46147261</v>
      </c>
      <c r="F21" s="20" t="n">
        <v>2.07976349</v>
      </c>
      <c r="G21" s="18" t="n">
        <v>55.48650124</v>
      </c>
      <c r="H21" s="20" t="n">
        <v>2.10301761</v>
      </c>
      <c r="I21" s="18" t="n">
        <v>0</v>
      </c>
      <c r="J21" s="20" t="n">
        <v>0</v>
      </c>
      <c r="K21" s="18" t="n">
        <v>0</v>
      </c>
      <c r="L21" s="20" t="n">
        <v>0</v>
      </c>
      <c r="M21" s="18" t="n">
        <v>0</v>
      </c>
      <c r="N21" s="20" t="n">
        <v>0</v>
      </c>
      <c r="O21" s="18" t="n">
        <v>0</v>
      </c>
      <c r="P21" s="20" t="n">
        <v>0</v>
      </c>
      <c r="Q21" s="18" t="n">
        <v>4.05202615</v>
      </c>
      <c r="R21" s="20" t="n">
        <v>0.67396283</v>
      </c>
    </row>
    <row r="22" spans="1:18">
      <c r="A22" s="15" t="s">
        <v>580</v>
      </c>
      <c r="B22" s="17" t="n">
        <v>3667</v>
      </c>
      <c r="C22" s="18">
        <f>(2823.0/B22*100)</f>
        <v/>
      </c>
      <c r="D22" s="19" t="n">
        <v>844</v>
      </c>
      <c r="E22" s="18" t="n">
        <v>43.25241869</v>
      </c>
      <c r="F22" s="20" t="n">
        <v>1.88235923</v>
      </c>
      <c r="G22" s="18" t="n">
        <v>45.12850859</v>
      </c>
      <c r="H22" s="20" t="n">
        <v>2.1376696</v>
      </c>
      <c r="I22" s="18" t="n">
        <v>0</v>
      </c>
      <c r="J22" s="20" t="n">
        <v>0</v>
      </c>
      <c r="K22" s="18" t="n">
        <v>0.24476048</v>
      </c>
      <c r="L22" s="20" t="n">
        <v>0.17063624</v>
      </c>
      <c r="M22" s="18" t="n">
        <v>0</v>
      </c>
      <c r="N22" s="20" t="n">
        <v>0</v>
      </c>
      <c r="O22" s="18" t="n">
        <v>0</v>
      </c>
      <c r="P22" s="20" t="n">
        <v>0</v>
      </c>
      <c r="Q22" s="18" t="n">
        <v>11.37431224</v>
      </c>
      <c r="R22" s="20" t="n">
        <v>1.38173331</v>
      </c>
    </row>
    <row r="23" spans="1:18">
      <c r="A23" s="15" t="s">
        <v>581</v>
      </c>
      <c r="B23" s="17" t="n">
        <v>5792</v>
      </c>
      <c r="C23" s="18">
        <f>(4508.0/B23*100)</f>
        <v/>
      </c>
      <c r="D23" s="19" t="n">
        <v>1284</v>
      </c>
      <c r="E23" s="18" t="n">
        <v>42.85896431</v>
      </c>
      <c r="F23" s="20" t="n">
        <v>2.08057073</v>
      </c>
      <c r="G23" s="18" t="n">
        <v>39.31894968</v>
      </c>
      <c r="H23" s="20" t="n">
        <v>1.91975659</v>
      </c>
      <c r="I23" s="18" t="n">
        <v>0</v>
      </c>
      <c r="J23" s="20" t="n">
        <v>0</v>
      </c>
      <c r="K23" s="18" t="n">
        <v>0.14781284</v>
      </c>
      <c r="L23" s="20" t="n">
        <v>0.14649011</v>
      </c>
      <c r="M23" s="18" t="n">
        <v>0.09364512999999999</v>
      </c>
      <c r="N23" s="20" t="n">
        <v>0.09385302</v>
      </c>
      <c r="O23" s="18" t="n">
        <v>0</v>
      </c>
      <c r="P23" s="20" t="n">
        <v>0</v>
      </c>
      <c r="Q23" s="18" t="n">
        <v>17.58062804</v>
      </c>
      <c r="R23" s="20" t="n">
        <v>1.83725555</v>
      </c>
    </row>
    <row r="24" spans="1:18">
      <c r="A24" s="15" t="s">
        <v>582</v>
      </c>
      <c r="B24" s="17" t="n">
        <v>3309</v>
      </c>
      <c r="C24" s="18">
        <f>(2531.0/B24*100)</f>
        <v/>
      </c>
      <c r="D24" s="19" t="n">
        <v>778</v>
      </c>
      <c r="E24" s="18" t="n">
        <v>45.69242805</v>
      </c>
      <c r="F24" s="20" t="n">
        <v>1.94062573</v>
      </c>
      <c r="G24" s="18" t="n">
        <v>41.66658969</v>
      </c>
      <c r="H24" s="20" t="n">
        <v>2.01413128</v>
      </c>
      <c r="I24" s="18" t="n">
        <v>0</v>
      </c>
      <c r="J24" s="20" t="n">
        <v>0</v>
      </c>
      <c r="K24" s="18" t="n">
        <v>0</v>
      </c>
      <c r="L24" s="20" t="n">
        <v>0</v>
      </c>
      <c r="M24" s="18" t="n">
        <v>0</v>
      </c>
      <c r="N24" s="20" t="n">
        <v>0</v>
      </c>
      <c r="O24" s="18" t="n">
        <v>0</v>
      </c>
      <c r="P24" s="20" t="n">
        <v>0</v>
      </c>
      <c r="Q24" s="18" t="n">
        <v>12.64098226</v>
      </c>
      <c r="R24" s="20" t="n">
        <v>1.25746831</v>
      </c>
    </row>
    <row r="25" spans="1:18">
      <c r="A25" s="15" t="s">
        <v>583</v>
      </c>
      <c r="B25" s="17" t="n">
        <v>2669</v>
      </c>
      <c r="C25" s="18">
        <f>(2087.0/B25*100)</f>
        <v/>
      </c>
      <c r="D25" s="19" t="n">
        <v>582</v>
      </c>
      <c r="E25" s="18" t="n">
        <v>47.13655934</v>
      </c>
      <c r="F25" s="20" t="n">
        <v>2.11811514</v>
      </c>
      <c r="G25" s="18" t="n">
        <v>41.93322992</v>
      </c>
      <c r="H25" s="20" t="n">
        <v>2.0912976</v>
      </c>
      <c r="I25" s="18" t="n">
        <v>0</v>
      </c>
      <c r="J25" s="20" t="n">
        <v>0</v>
      </c>
      <c r="K25" s="18" t="n">
        <v>0.16309914</v>
      </c>
      <c r="L25" s="20" t="n">
        <v>0.16277181</v>
      </c>
      <c r="M25" s="18" t="n">
        <v>0</v>
      </c>
      <c r="N25" s="20" t="n">
        <v>0</v>
      </c>
      <c r="O25" s="18" t="n">
        <v>0</v>
      </c>
      <c r="P25" s="20" t="n">
        <v>0</v>
      </c>
      <c r="Q25" s="18" t="n">
        <v>10.76711161</v>
      </c>
      <c r="R25" s="20" t="n">
        <v>1.48082985</v>
      </c>
    </row>
    <row r="26" spans="1:18">
      <c r="A26" s="15" t="s">
        <v>584</v>
      </c>
      <c r="B26" s="17" t="n">
        <v>2419</v>
      </c>
      <c r="C26" s="18">
        <f>(1894.0/B26*100)</f>
        <v/>
      </c>
      <c r="D26" s="19" t="n">
        <v>525</v>
      </c>
      <c r="E26" s="18" t="n">
        <v>53.74726187</v>
      </c>
      <c r="F26" s="20" t="n">
        <v>2.18371351</v>
      </c>
      <c r="G26" s="18" t="n">
        <v>38.66358273</v>
      </c>
      <c r="H26" s="20" t="n">
        <v>2.09442899</v>
      </c>
      <c r="I26" s="18" t="n">
        <v>0</v>
      </c>
      <c r="J26" s="20" t="n">
        <v>0</v>
      </c>
      <c r="K26" s="18" t="n">
        <v>0</v>
      </c>
      <c r="L26" s="20" t="n">
        <v>0</v>
      </c>
      <c r="M26" s="18" t="n">
        <v>0.13340543</v>
      </c>
      <c r="N26" s="20" t="n">
        <v>0.13435657</v>
      </c>
      <c r="O26" s="18" t="n">
        <v>0</v>
      </c>
      <c r="P26" s="20" t="n">
        <v>0</v>
      </c>
      <c r="Q26" s="18" t="n">
        <v>7.45574997</v>
      </c>
      <c r="R26" s="20" t="n">
        <v>1.19369271</v>
      </c>
    </row>
    <row r="27" spans="1:18">
      <c r="A27" s="15" t="s">
        <v>585</v>
      </c>
      <c r="B27" s="17" t="n">
        <v>2683</v>
      </c>
      <c r="C27" s="18">
        <f>(2048.0/B27*100)</f>
        <v/>
      </c>
      <c r="D27" s="19" t="n">
        <v>635</v>
      </c>
      <c r="E27" s="18" t="n">
        <v>49.03928965</v>
      </c>
      <c r="F27" s="20" t="n">
        <v>2.00745195</v>
      </c>
      <c r="G27" s="18" t="n">
        <v>30.41950949</v>
      </c>
      <c r="H27" s="20" t="n">
        <v>1.76506094</v>
      </c>
      <c r="I27" s="18" t="n">
        <v>0</v>
      </c>
      <c r="J27" s="20" t="n">
        <v>0</v>
      </c>
      <c r="K27" s="18" t="n">
        <v>0</v>
      </c>
      <c r="L27" s="20" t="n">
        <v>0</v>
      </c>
      <c r="M27" s="18" t="n">
        <v>0</v>
      </c>
      <c r="N27" s="20" t="n">
        <v>0</v>
      </c>
      <c r="O27" s="18" t="n">
        <v>0</v>
      </c>
      <c r="P27" s="20" t="n">
        <v>0</v>
      </c>
      <c r="Q27" s="18" t="n">
        <v>20.54120086</v>
      </c>
      <c r="R27" s="20" t="n">
        <v>1.54446836</v>
      </c>
    </row>
    <row r="28" spans="1:18">
      <c r="A28" s="15" t="s">
        <v>586</v>
      </c>
      <c r="B28" s="17" t="n">
        <v>3803</v>
      </c>
      <c r="C28" s="18">
        <f>(2997.0/B28*100)</f>
        <v/>
      </c>
      <c r="D28" s="19" t="n">
        <v>806</v>
      </c>
      <c r="E28" s="18" t="n">
        <v>73.08821863999999</v>
      </c>
      <c r="F28" s="20" t="n">
        <v>1.87650978</v>
      </c>
      <c r="G28" s="18" t="n">
        <v>21.9278377</v>
      </c>
      <c r="H28" s="20" t="n">
        <v>1.55729507</v>
      </c>
      <c r="I28" s="18" t="n">
        <v>0</v>
      </c>
      <c r="J28" s="20" t="n">
        <v>0</v>
      </c>
      <c r="K28" s="18" t="n">
        <v>0.10265834</v>
      </c>
      <c r="L28" s="20" t="n">
        <v>0.10266814</v>
      </c>
      <c r="M28" s="18" t="n">
        <v>0.20328561</v>
      </c>
      <c r="N28" s="20" t="n">
        <v>0.13961851</v>
      </c>
      <c r="O28" s="18" t="n">
        <v>0</v>
      </c>
      <c r="P28" s="20" t="n">
        <v>0</v>
      </c>
      <c r="Q28" s="18" t="n">
        <v>4.67799971</v>
      </c>
      <c r="R28" s="20" t="n">
        <v>0.8221744</v>
      </c>
    </row>
    <row r="29" spans="1:18">
      <c r="A29" s="15" t="s">
        <v>587</v>
      </c>
      <c r="B29" s="17" t="n">
        <v>2700</v>
      </c>
      <c r="C29" s="18">
        <f>(2118.0/B29*100)</f>
        <v/>
      </c>
      <c r="D29" s="19" t="n">
        <v>582</v>
      </c>
      <c r="E29" s="18" t="n">
        <v>37.77186655</v>
      </c>
      <c r="F29" s="20" t="n">
        <v>2.10767612</v>
      </c>
      <c r="G29" s="18" t="n">
        <v>58.35814831</v>
      </c>
      <c r="H29" s="20" t="n">
        <v>2.15092899</v>
      </c>
      <c r="I29" s="18" t="n">
        <v>0</v>
      </c>
      <c r="J29" s="20" t="n">
        <v>0</v>
      </c>
      <c r="K29" s="18" t="n">
        <v>0</v>
      </c>
      <c r="L29" s="20" t="n">
        <v>0</v>
      </c>
      <c r="M29" s="18" t="n">
        <v>0</v>
      </c>
      <c r="N29" s="20" t="n">
        <v>0</v>
      </c>
      <c r="O29" s="18" t="n">
        <v>0</v>
      </c>
      <c r="P29" s="20" t="n">
        <v>0</v>
      </c>
      <c r="Q29" s="18" t="n">
        <v>3.86998514</v>
      </c>
      <c r="R29" s="20" t="n">
        <v>0.74565674</v>
      </c>
    </row>
    <row r="30" spans="1:18">
      <c r="A30" s="15" t="s">
        <v>588</v>
      </c>
      <c r="B30" s="17" t="n">
        <v>2257</v>
      </c>
      <c r="C30" s="18">
        <f>(1774.0/B30*100)</f>
        <v/>
      </c>
      <c r="D30" s="19" t="n">
        <v>483</v>
      </c>
      <c r="E30" s="18" t="n">
        <v>46.30097291</v>
      </c>
      <c r="F30" s="20" t="n">
        <v>2.44500244</v>
      </c>
      <c r="G30" s="18" t="n">
        <v>44.91496579</v>
      </c>
      <c r="H30" s="20" t="n">
        <v>2.26109175</v>
      </c>
      <c r="I30" s="18" t="n">
        <v>0</v>
      </c>
      <c r="J30" s="20" t="n">
        <v>0</v>
      </c>
      <c r="K30" s="18" t="n">
        <v>0</v>
      </c>
      <c r="L30" s="20" t="n">
        <v>0</v>
      </c>
      <c r="M30" s="18" t="n">
        <v>0</v>
      </c>
      <c r="N30" s="20" t="n">
        <v>0</v>
      </c>
      <c r="O30" s="18" t="n">
        <v>0</v>
      </c>
      <c r="P30" s="20" t="n">
        <v>0</v>
      </c>
      <c r="Q30" s="18" t="n">
        <v>8.784061299999999</v>
      </c>
      <c r="R30" s="20" t="n">
        <v>1.3861877</v>
      </c>
    </row>
    <row r="31" spans="1:18">
      <c r="A31" s="15" t="s">
        <v>589</v>
      </c>
      <c r="B31" s="17" t="n">
        <v>2706</v>
      </c>
      <c r="C31" s="18">
        <f>(2110.0/B31*100)</f>
        <v/>
      </c>
      <c r="D31" s="19" t="n">
        <v>596</v>
      </c>
      <c r="E31" s="18" t="n">
        <v>43.28006998</v>
      </c>
      <c r="F31" s="20" t="n">
        <v>2.32150175</v>
      </c>
      <c r="G31" s="18" t="n">
        <v>51.14918737</v>
      </c>
      <c r="H31" s="20" t="n">
        <v>2.52687327</v>
      </c>
      <c r="I31" s="18" t="n">
        <v>0</v>
      </c>
      <c r="J31" s="20" t="n">
        <v>0</v>
      </c>
      <c r="K31" s="18" t="n">
        <v>0.15713007</v>
      </c>
      <c r="L31" s="20" t="n">
        <v>0.15142573</v>
      </c>
      <c r="M31" s="18" t="n">
        <v>0</v>
      </c>
      <c r="N31" s="20" t="n">
        <v>0</v>
      </c>
      <c r="O31" s="18" t="n">
        <v>0</v>
      </c>
      <c r="P31" s="20" t="n">
        <v>0</v>
      </c>
      <c r="Q31" s="18" t="n">
        <v>5.41361259</v>
      </c>
      <c r="R31" s="20" t="n">
        <v>1.00937132</v>
      </c>
    </row>
    <row r="32" spans="1:18">
      <c r="A32" s="15" t="s">
        <v>590</v>
      </c>
      <c r="B32" s="17" t="n">
        <v>2209</v>
      </c>
      <c r="C32" s="18">
        <f>(1754.0/B32*100)</f>
        <v/>
      </c>
      <c r="D32" s="19" t="n">
        <v>455</v>
      </c>
      <c r="E32" s="18" t="n">
        <v>40.24208109</v>
      </c>
      <c r="F32" s="20" t="n">
        <v>2.95135611</v>
      </c>
      <c r="G32" s="18" t="n">
        <v>48.72315373</v>
      </c>
      <c r="H32" s="20" t="n">
        <v>2.79972519</v>
      </c>
      <c r="I32" s="18" t="n">
        <v>0</v>
      </c>
      <c r="J32" s="20" t="n">
        <v>0</v>
      </c>
      <c r="K32" s="18" t="n">
        <v>0</v>
      </c>
      <c r="L32" s="20" t="n">
        <v>0</v>
      </c>
      <c r="M32" s="18" t="n">
        <v>0</v>
      </c>
      <c r="N32" s="20" t="n">
        <v>0</v>
      </c>
      <c r="O32" s="18" t="n">
        <v>0</v>
      </c>
      <c r="P32" s="20" t="n">
        <v>0</v>
      </c>
      <c r="Q32" s="18" t="n">
        <v>11.03476518</v>
      </c>
      <c r="R32" s="20" t="n">
        <v>1.39838858</v>
      </c>
    </row>
    <row r="33" spans="1:18">
      <c r="A33" s="15" t="s">
        <v>591</v>
      </c>
      <c r="B33" s="17" t="n">
        <v>3651</v>
      </c>
      <c r="C33" s="18">
        <f>(2895.0/B33*100)</f>
        <v/>
      </c>
      <c r="D33" s="19" t="n">
        <v>756</v>
      </c>
      <c r="E33" s="18" t="n">
        <v>48.29622096</v>
      </c>
      <c r="F33" s="20" t="n">
        <v>2.40675464</v>
      </c>
      <c r="G33" s="18" t="n">
        <v>41.54106836</v>
      </c>
      <c r="H33" s="20" t="n">
        <v>2.41182688</v>
      </c>
      <c r="I33" s="18" t="n">
        <v>0</v>
      </c>
      <c r="J33" s="20" t="n">
        <v>0</v>
      </c>
      <c r="K33" s="18" t="n">
        <v>0</v>
      </c>
      <c r="L33" s="20" t="n">
        <v>0</v>
      </c>
      <c r="M33" s="18" t="n">
        <v>0.21132998</v>
      </c>
      <c r="N33" s="20" t="n">
        <v>0.14888215</v>
      </c>
      <c r="O33" s="18" t="n">
        <v>0</v>
      </c>
      <c r="P33" s="20" t="n">
        <v>0</v>
      </c>
      <c r="Q33" s="18" t="n">
        <v>9.95138071</v>
      </c>
      <c r="R33" s="20" t="n">
        <v>1.27464298</v>
      </c>
    </row>
    <row r="34" spans="1:18">
      <c r="A34" s="15" t="s">
        <v>592</v>
      </c>
      <c r="B34" s="17" t="n">
        <v>3035</v>
      </c>
      <c r="C34" s="18">
        <f>(2373.0/B34*100)</f>
        <v/>
      </c>
      <c r="D34" s="19" t="n">
        <v>662</v>
      </c>
      <c r="E34" s="18" t="n">
        <v>43.23048976</v>
      </c>
      <c r="F34" s="20" t="n">
        <v>1.99749423</v>
      </c>
      <c r="G34" s="18" t="n">
        <v>38.22024075</v>
      </c>
      <c r="H34" s="20" t="n">
        <v>2.20167295</v>
      </c>
      <c r="I34" s="18" t="n">
        <v>0</v>
      </c>
      <c r="J34" s="20" t="n">
        <v>0</v>
      </c>
      <c r="K34" s="18" t="n">
        <v>0</v>
      </c>
      <c r="L34" s="20" t="n">
        <v>0</v>
      </c>
      <c r="M34" s="18" t="n">
        <v>0.55763001</v>
      </c>
      <c r="N34" s="20" t="n">
        <v>0.26130853</v>
      </c>
      <c r="O34" s="18" t="n">
        <v>0</v>
      </c>
      <c r="P34" s="20" t="n">
        <v>0</v>
      </c>
      <c r="Q34" s="18" t="n">
        <v>17.99163947</v>
      </c>
      <c r="R34" s="20" t="n">
        <v>1.60318096</v>
      </c>
    </row>
    <row r="35" spans="1:18">
      <c r="A35" s="15" t="s">
        <v>593</v>
      </c>
      <c r="B35" s="17" t="n">
        <v>2901</v>
      </c>
      <c r="C35" s="18">
        <f>(2247.0/B35*100)</f>
        <v/>
      </c>
      <c r="D35" s="19" t="n">
        <v>654</v>
      </c>
      <c r="E35" s="18" t="n">
        <v>41.36688312</v>
      </c>
      <c r="F35" s="20" t="n">
        <v>2.08693303</v>
      </c>
      <c r="G35" s="18" t="n">
        <v>49.71764719</v>
      </c>
      <c r="H35" s="20" t="n">
        <v>2.09238851</v>
      </c>
      <c r="I35" s="18" t="n">
        <v>0</v>
      </c>
      <c r="J35" s="20" t="n">
        <v>0</v>
      </c>
      <c r="K35" s="18" t="n">
        <v>0</v>
      </c>
      <c r="L35" s="20" t="n">
        <v>0</v>
      </c>
      <c r="M35" s="18" t="n">
        <v>0</v>
      </c>
      <c r="N35" s="20" t="n">
        <v>0</v>
      </c>
      <c r="O35" s="18" t="n">
        <v>0</v>
      </c>
      <c r="P35" s="20" t="n">
        <v>0</v>
      </c>
      <c r="Q35" s="18" t="n">
        <v>8.915469699999999</v>
      </c>
      <c r="R35" s="20" t="n">
        <v>1.27085173</v>
      </c>
    </row>
    <row r="36" spans="1:18">
      <c r="A36" s="15" t="s">
        <v>594</v>
      </c>
      <c r="B36" s="17" t="n">
        <v>3404</v>
      </c>
      <c r="C36" s="18">
        <f>(2661.0/B36*100)</f>
        <v/>
      </c>
      <c r="D36" s="19" t="n">
        <v>743</v>
      </c>
      <c r="E36" s="18" t="n">
        <v>44.81543677</v>
      </c>
      <c r="F36" s="20" t="n">
        <v>1.94076488</v>
      </c>
      <c r="G36" s="18" t="n">
        <v>47.02881552</v>
      </c>
      <c r="H36" s="20" t="n">
        <v>1.77206994</v>
      </c>
      <c r="I36" s="18" t="n">
        <v>0</v>
      </c>
      <c r="J36" s="20" t="n">
        <v>0</v>
      </c>
      <c r="K36" s="18" t="n">
        <v>0</v>
      </c>
      <c r="L36" s="20" t="n">
        <v>0</v>
      </c>
      <c r="M36" s="18" t="n">
        <v>0</v>
      </c>
      <c r="N36" s="20" t="n">
        <v>0</v>
      </c>
      <c r="O36" s="18" t="n">
        <v>0</v>
      </c>
      <c r="P36" s="20" t="n">
        <v>0</v>
      </c>
      <c r="Q36" s="18" t="n">
        <v>8.15574771</v>
      </c>
      <c r="R36" s="20" t="n">
        <v>1.10825258</v>
      </c>
    </row>
    <row r="37" spans="1:18">
      <c r="A37" s="15" t="s">
        <v>595</v>
      </c>
      <c r="B37" s="17" t="n">
        <v>2731</v>
      </c>
      <c r="C37" s="18">
        <f>(2128.0/B37*100)</f>
        <v/>
      </c>
      <c r="D37" s="19" t="n">
        <v>603</v>
      </c>
      <c r="E37" s="18" t="n">
        <v>34.08055014</v>
      </c>
      <c r="F37" s="20" t="n">
        <v>1.94885789</v>
      </c>
      <c r="G37" s="18" t="n">
        <v>50.33891689</v>
      </c>
      <c r="H37" s="20" t="n">
        <v>2.23684126</v>
      </c>
      <c r="I37" s="18" t="n">
        <v>0</v>
      </c>
      <c r="J37" s="20" t="n">
        <v>0</v>
      </c>
      <c r="K37" s="18" t="n">
        <v>0</v>
      </c>
      <c r="L37" s="20" t="n">
        <v>0</v>
      </c>
      <c r="M37" s="18" t="n">
        <v>0</v>
      </c>
      <c r="N37" s="20" t="n">
        <v>0</v>
      </c>
      <c r="O37" s="18" t="n">
        <v>0</v>
      </c>
      <c r="P37" s="20" t="n">
        <v>0</v>
      </c>
      <c r="Q37" s="18" t="n">
        <v>15.58053297</v>
      </c>
      <c r="R37" s="20" t="n">
        <v>1.75733312</v>
      </c>
    </row>
    <row r="38" spans="1:18">
      <c r="A38" s="15" t="s">
        <v>596</v>
      </c>
      <c r="B38" s="17" t="n">
        <v>2807</v>
      </c>
      <c r="C38" s="18">
        <f>(2163.0/B38*100)</f>
        <v/>
      </c>
      <c r="D38" s="19" t="n">
        <v>644</v>
      </c>
      <c r="E38" s="18" t="n">
        <v>45.09599927</v>
      </c>
      <c r="F38" s="20" t="n">
        <v>1.90510297</v>
      </c>
      <c r="G38" s="18" t="n">
        <v>44.03103813</v>
      </c>
      <c r="H38" s="20" t="n">
        <v>2.15190909</v>
      </c>
      <c r="I38" s="18" t="n">
        <v>0</v>
      </c>
      <c r="J38" s="20" t="n">
        <v>0</v>
      </c>
      <c r="K38" s="18" t="n">
        <v>0.03029824</v>
      </c>
      <c r="L38" s="20" t="n">
        <v>0.02937974</v>
      </c>
      <c r="M38" s="18" t="n">
        <v>1.41054229</v>
      </c>
      <c r="N38" s="20" t="n">
        <v>0.48740839</v>
      </c>
      <c r="O38" s="18" t="n">
        <v>0</v>
      </c>
      <c r="P38" s="20" t="n">
        <v>0</v>
      </c>
      <c r="Q38" s="18" t="n">
        <v>9.43212207</v>
      </c>
      <c r="R38" s="20" t="n">
        <v>1.46375075</v>
      </c>
    </row>
    <row r="39" spans="1:18">
      <c r="A39" s="15" t="s">
        <v>597</v>
      </c>
      <c r="B39" s="17" t="n">
        <v>2938</v>
      </c>
      <c r="C39" s="18">
        <f>(2274.0/B39*100)</f>
        <v/>
      </c>
      <c r="D39" s="19" t="n">
        <v>664</v>
      </c>
      <c r="E39" s="18" t="n">
        <v>64.46889406</v>
      </c>
      <c r="F39" s="20" t="n">
        <v>1.98984631</v>
      </c>
      <c r="G39" s="18" t="n">
        <v>22.78144264</v>
      </c>
      <c r="H39" s="20" t="n">
        <v>1.59820497</v>
      </c>
      <c r="I39" s="18" t="n">
        <v>0</v>
      </c>
      <c r="J39" s="20" t="n">
        <v>0</v>
      </c>
      <c r="K39" s="18" t="n">
        <v>0</v>
      </c>
      <c r="L39" s="20" t="n">
        <v>0</v>
      </c>
      <c r="M39" s="18" t="n">
        <v>0</v>
      </c>
      <c r="N39" s="20" t="n">
        <v>0</v>
      </c>
      <c r="O39" s="18" t="n">
        <v>0</v>
      </c>
      <c r="P39" s="20" t="n">
        <v>0</v>
      </c>
      <c r="Q39" s="18" t="n">
        <v>12.7496633</v>
      </c>
      <c r="R39" s="20" t="n">
        <v>1.6973616</v>
      </c>
    </row>
    <row r="40" spans="1:18">
      <c r="A40" s="15" t="s">
        <v>598</v>
      </c>
      <c r="B40" s="17" t="n">
        <v>6922</v>
      </c>
      <c r="C40" s="18">
        <f>(5470.0/B40*100)</f>
        <v/>
      </c>
      <c r="D40" s="19" t="n">
        <v>1452</v>
      </c>
      <c r="E40" s="18" t="n">
        <v>47.12468752</v>
      </c>
      <c r="F40" s="20" t="n">
        <v>2.13881892</v>
      </c>
      <c r="G40" s="18" t="n">
        <v>46.50236833</v>
      </c>
      <c r="H40" s="20" t="n">
        <v>2.0136386</v>
      </c>
      <c r="I40" s="18" t="n">
        <v>0</v>
      </c>
      <c r="J40" s="20" t="n">
        <v>0</v>
      </c>
      <c r="K40" s="18" t="n">
        <v>0.03884703</v>
      </c>
      <c r="L40" s="20" t="n">
        <v>0.02789466</v>
      </c>
      <c r="M40" s="18" t="n">
        <v>0</v>
      </c>
      <c r="N40" s="20" t="n">
        <v>0</v>
      </c>
      <c r="O40" s="18" t="n">
        <v>0</v>
      </c>
      <c r="P40" s="20" t="n">
        <v>0</v>
      </c>
      <c r="Q40" s="18" t="n">
        <v>6.33409713</v>
      </c>
      <c r="R40" s="20" t="n">
        <v>0.92969667</v>
      </c>
    </row>
    <row r="41" spans="1:18">
      <c r="A41" s="15" t="s">
        <v>599</v>
      </c>
      <c r="B41" s="17" t="n">
        <v>2854</v>
      </c>
      <c r="C41" s="18">
        <f>(2198.0/B41*100)</f>
        <v/>
      </c>
      <c r="D41" s="19" t="n">
        <v>656</v>
      </c>
      <c r="E41" s="18" t="n">
        <v>47.18335337</v>
      </c>
      <c r="F41" s="20" t="n">
        <v>2.00821554</v>
      </c>
      <c r="G41" s="18" t="n">
        <v>51.19575902</v>
      </c>
      <c r="H41" s="20" t="n">
        <v>1.95368889</v>
      </c>
      <c r="I41" s="18" t="n">
        <v>0</v>
      </c>
      <c r="J41" s="20" t="n">
        <v>0</v>
      </c>
      <c r="K41" s="18" t="n">
        <v>0</v>
      </c>
      <c r="L41" s="20" t="n">
        <v>0</v>
      </c>
      <c r="M41" s="18" t="n">
        <v>0</v>
      </c>
      <c r="N41" s="20" t="n">
        <v>0</v>
      </c>
      <c r="O41" s="18" t="n">
        <v>0</v>
      </c>
      <c r="P41" s="20" t="n">
        <v>0</v>
      </c>
      <c r="Q41" s="18" t="n">
        <v>1.62088761</v>
      </c>
      <c r="R41" s="20" t="n">
        <v>0.45561343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(9570.0/B46*100)</f>
        <v/>
      </c>
      <c r="D46" s="19" t="n">
        <v>2503</v>
      </c>
      <c r="E46" s="18" t="n">
        <v>58.47773757</v>
      </c>
      <c r="F46" s="20" t="n">
        <v>1.48746967</v>
      </c>
      <c r="G46" s="18" t="n">
        <v>21.35573805</v>
      </c>
      <c r="H46" s="20" t="n">
        <v>1.29281979</v>
      </c>
      <c r="I46" s="18" t="n">
        <v>0</v>
      </c>
      <c r="J46" s="20" t="n">
        <v>0</v>
      </c>
      <c r="K46" s="18" t="n">
        <v>0.16276114</v>
      </c>
      <c r="L46" s="20" t="n">
        <v>0.08224115999999999</v>
      </c>
      <c r="M46" s="18" t="n">
        <v>0.31402101</v>
      </c>
      <c r="N46" s="20" t="n">
        <v>0.11478126</v>
      </c>
      <c r="O46" s="18" t="n">
        <v>0</v>
      </c>
      <c r="P46" s="20" t="n">
        <v>0</v>
      </c>
      <c r="Q46" s="18" t="n">
        <v>19.68974223</v>
      </c>
      <c r="R46" s="20" t="n">
        <v>1.16627228</v>
      </c>
    </row>
    <row r="47" spans="1:18">
      <c r="A47" s="15" t="s">
        <v>606</v>
      </c>
      <c r="B47" s="17" t="n">
        <v>2823</v>
      </c>
      <c r="C47" s="18">
        <f>(2203.0/B47*100)</f>
        <v/>
      </c>
      <c r="D47" s="19" t="n">
        <v>620</v>
      </c>
      <c r="E47" s="18" t="n">
        <v>45.87709218</v>
      </c>
      <c r="F47" s="20" t="n">
        <v>1.77912646</v>
      </c>
      <c r="G47" s="18" t="n">
        <v>32.03730107</v>
      </c>
      <c r="H47" s="20" t="n">
        <v>2.34916854</v>
      </c>
      <c r="I47" s="18" t="n">
        <v>0</v>
      </c>
      <c r="J47" s="20" t="n">
        <v>0</v>
      </c>
      <c r="K47" s="18" t="n">
        <v>0</v>
      </c>
      <c r="L47" s="20" t="n">
        <v>0</v>
      </c>
      <c r="M47" s="18" t="n">
        <v>0.15855648</v>
      </c>
      <c r="N47" s="20" t="n">
        <v>0.15766867</v>
      </c>
      <c r="O47" s="18" t="n">
        <v>0</v>
      </c>
      <c r="P47" s="20" t="n">
        <v>0</v>
      </c>
      <c r="Q47" s="18" t="n">
        <v>21.92705027</v>
      </c>
      <c r="R47" s="20" t="n">
        <v>1.97385614</v>
      </c>
    </row>
    <row r="48" spans="1:18">
      <c r="A48" s="15" t="s">
        <v>607</v>
      </c>
      <c r="B48" s="17" t="n">
        <v>4682</v>
      </c>
      <c r="C48" s="18">
        <f>(3621.0/B48*100)</f>
        <v/>
      </c>
      <c r="D48" s="19" t="n">
        <v>1061</v>
      </c>
      <c r="E48" s="18" t="n">
        <v>41.42767346</v>
      </c>
      <c r="F48" s="20" t="n">
        <v>2.24267561</v>
      </c>
      <c r="G48" s="18" t="n">
        <v>49.93060688</v>
      </c>
      <c r="H48" s="20" t="n">
        <v>2.28293513</v>
      </c>
      <c r="I48" s="18" t="n">
        <v>0</v>
      </c>
      <c r="J48" s="20" t="n">
        <v>0</v>
      </c>
      <c r="K48" s="18" t="n">
        <v>0.5597086100000001</v>
      </c>
      <c r="L48" s="20" t="n">
        <v>0.28818703</v>
      </c>
      <c r="M48" s="18" t="n">
        <v>0</v>
      </c>
      <c r="N48" s="20" t="n">
        <v>0</v>
      </c>
      <c r="O48" s="18" t="n">
        <v>0</v>
      </c>
      <c r="P48" s="20" t="n">
        <v>0</v>
      </c>
      <c r="Q48" s="18" t="n">
        <v>8.082011059999999</v>
      </c>
      <c r="R48" s="20" t="n">
        <v>1.12613845</v>
      </c>
    </row>
    <row r="49" spans="1:18">
      <c r="A49" s="15" t="s">
        <v>608</v>
      </c>
      <c r="B49" s="17" t="n">
        <v>6158</v>
      </c>
      <c r="C49" s="18">
        <f>(4813.0/B49*100)</f>
        <v/>
      </c>
      <c r="D49" s="19" t="n">
        <v>1345</v>
      </c>
      <c r="E49" s="18" t="n">
        <v>70.55912463</v>
      </c>
      <c r="F49" s="20" t="n">
        <v>1.57156849</v>
      </c>
      <c r="G49" s="18" t="n">
        <v>23.95536155</v>
      </c>
      <c r="H49" s="20" t="n">
        <v>1.52510563</v>
      </c>
      <c r="I49" s="18" t="n">
        <v>0</v>
      </c>
      <c r="J49" s="20" t="n">
        <v>0</v>
      </c>
      <c r="K49" s="18" t="n">
        <v>0.42951453</v>
      </c>
      <c r="L49" s="20" t="n">
        <v>0.228615</v>
      </c>
      <c r="M49" s="18" t="n">
        <v>0.21253012</v>
      </c>
      <c r="N49" s="20" t="n">
        <v>0.12039386</v>
      </c>
      <c r="O49" s="18" t="n">
        <v>0</v>
      </c>
      <c r="P49" s="20" t="n">
        <v>0</v>
      </c>
      <c r="Q49" s="18" t="n">
        <v>4.84346917</v>
      </c>
      <c r="R49" s="20" t="n">
        <v>0.69362837</v>
      </c>
    </row>
    <row r="50" spans="1:18">
      <c r="A50" s="15" t="s">
        <v>609</v>
      </c>
      <c r="B50" s="17" t="n">
        <v>3494</v>
      </c>
      <c r="C50" s="18">
        <f>(2784.0/B50*100)</f>
        <v/>
      </c>
      <c r="D50" s="19" t="n">
        <v>710</v>
      </c>
      <c r="E50" s="18" t="n">
        <v>63.47897754</v>
      </c>
      <c r="F50" s="20" t="n">
        <v>2.14121855</v>
      </c>
      <c r="G50" s="18" t="n">
        <v>26.31494676</v>
      </c>
      <c r="H50" s="20" t="n">
        <v>2.02543582</v>
      </c>
      <c r="I50" s="18" t="n">
        <v>0</v>
      </c>
      <c r="J50" s="20" t="n">
        <v>0</v>
      </c>
      <c r="K50" s="18" t="n">
        <v>0</v>
      </c>
      <c r="L50" s="20" t="n">
        <v>0</v>
      </c>
      <c r="M50" s="18" t="n">
        <v>0</v>
      </c>
      <c r="N50" s="20" t="n">
        <v>0</v>
      </c>
      <c r="O50" s="18" t="n">
        <v>0</v>
      </c>
      <c r="P50" s="20" t="n">
        <v>0</v>
      </c>
      <c r="Q50" s="18" t="n">
        <v>10.2060757</v>
      </c>
      <c r="R50" s="20" t="n">
        <v>1.26647015</v>
      </c>
    </row>
    <row r="51" spans="1:18">
      <c r="A51" s="15" t="s">
        <v>610</v>
      </c>
      <c r="B51" s="17" t="n">
        <v>3013</v>
      </c>
      <c r="C51" s="18">
        <f>(2344.0/B51*100)</f>
        <v/>
      </c>
      <c r="D51" s="19" t="n">
        <v>669</v>
      </c>
      <c r="E51" s="18" t="n">
        <v>59.12023269</v>
      </c>
      <c r="F51" s="20" t="n">
        <v>1.97458851</v>
      </c>
      <c r="G51" s="18" t="n">
        <v>30.77116061</v>
      </c>
      <c r="H51" s="20" t="n">
        <v>1.90289564</v>
      </c>
      <c r="I51" s="18" t="n">
        <v>0</v>
      </c>
      <c r="J51" s="20" t="n">
        <v>0</v>
      </c>
      <c r="K51" s="18" t="n">
        <v>0.13781946</v>
      </c>
      <c r="L51" s="20" t="n">
        <v>0.13746443</v>
      </c>
      <c r="M51" s="18" t="n">
        <v>0</v>
      </c>
      <c r="N51" s="20" t="n">
        <v>0</v>
      </c>
      <c r="O51" s="18" t="n">
        <v>0</v>
      </c>
      <c r="P51" s="20" t="n">
        <v>0</v>
      </c>
      <c r="Q51" s="18" t="n">
        <v>9.97078724</v>
      </c>
      <c r="R51" s="20" t="n">
        <v>0.85662342</v>
      </c>
    </row>
    <row r="52" spans="1:18">
      <c r="A52" s="15" t="s">
        <v>611</v>
      </c>
      <c r="B52" s="17" t="n">
        <v>2760</v>
      </c>
      <c r="C52" s="18">
        <f>(2138.0/B52*100)</f>
        <v/>
      </c>
      <c r="D52" s="19" t="n">
        <v>622</v>
      </c>
      <c r="E52" s="18" t="n">
        <v>54.94722288</v>
      </c>
      <c r="F52" s="20" t="n">
        <v>2.02827687</v>
      </c>
      <c r="G52" s="18" t="n">
        <v>27.9177475</v>
      </c>
      <c r="H52" s="20" t="n">
        <v>2.08782529</v>
      </c>
      <c r="I52" s="18" t="n">
        <v>0</v>
      </c>
      <c r="J52" s="20" t="n">
        <v>0</v>
      </c>
      <c r="K52" s="18" t="n">
        <v>0</v>
      </c>
      <c r="L52" s="20" t="n">
        <v>0</v>
      </c>
      <c r="M52" s="18" t="n">
        <v>0</v>
      </c>
      <c r="N52" s="20" t="n">
        <v>0</v>
      </c>
      <c r="O52" s="18" t="n">
        <v>0</v>
      </c>
      <c r="P52" s="20" t="n">
        <v>0</v>
      </c>
      <c r="Q52" s="18" t="n">
        <v>17.13502962</v>
      </c>
      <c r="R52" s="20" t="n">
        <v>1.49778786</v>
      </c>
    </row>
    <row r="53" spans="1:18">
      <c r="A53" s="15" t="s">
        <v>612</v>
      </c>
      <c r="B53" s="17" t="n">
        <v>2474</v>
      </c>
      <c r="C53" s="18">
        <f>(1939.0/B53*100)</f>
        <v/>
      </c>
      <c r="D53" s="19" t="n">
        <v>535</v>
      </c>
      <c r="E53" s="18" t="n">
        <v>67.72172559000001</v>
      </c>
      <c r="F53" s="20" t="n">
        <v>2.37723163</v>
      </c>
      <c r="G53" s="18" t="n">
        <v>7.13840376</v>
      </c>
      <c r="H53" s="20" t="n">
        <v>1.04847419</v>
      </c>
      <c r="I53" s="18" t="n">
        <v>0</v>
      </c>
      <c r="J53" s="20" t="n">
        <v>0</v>
      </c>
      <c r="K53" s="18" t="n">
        <v>5.36753173</v>
      </c>
      <c r="L53" s="20" t="n">
        <v>1.14071714</v>
      </c>
      <c r="M53" s="18" t="n">
        <v>0.59690807</v>
      </c>
      <c r="N53" s="20" t="n">
        <v>0.49937688</v>
      </c>
      <c r="O53" s="18" t="n">
        <v>0</v>
      </c>
      <c r="P53" s="20" t="n">
        <v>0</v>
      </c>
      <c r="Q53" s="18" t="n">
        <v>19.17543085</v>
      </c>
      <c r="R53" s="20" t="n">
        <v>2.08580925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(2042.0/B55*100)</f>
        <v/>
      </c>
      <c r="D55" s="19" t="n">
        <v>633</v>
      </c>
      <c r="E55" s="18" t="n">
        <v>34.84255115</v>
      </c>
      <c r="F55" s="20" t="n">
        <v>2.00940945</v>
      </c>
      <c r="G55" s="18" t="n">
        <v>62.48665537</v>
      </c>
      <c r="H55" s="20" t="n">
        <v>2.18138044</v>
      </c>
      <c r="I55" s="18" t="n">
        <v>0</v>
      </c>
      <c r="J55" s="20" t="n">
        <v>0</v>
      </c>
      <c r="K55" s="18" t="n">
        <v>0</v>
      </c>
      <c r="L55" s="20" t="n">
        <v>0</v>
      </c>
      <c r="M55" s="18" t="n">
        <v>0.19809611</v>
      </c>
      <c r="N55" s="20" t="n">
        <v>0.21883013</v>
      </c>
      <c r="O55" s="18" t="n">
        <v>0</v>
      </c>
      <c r="P55" s="20" t="n">
        <v>0</v>
      </c>
      <c r="Q55" s="18" t="n">
        <v>2.47269737</v>
      </c>
      <c r="R55" s="20" t="n">
        <v>0.6197980199999999</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(2474.0/B61*100)</f>
        <v/>
      </c>
      <c r="D61" s="19" t="n">
        <v>727</v>
      </c>
      <c r="E61" s="18" t="n">
        <v>48.45407303</v>
      </c>
      <c r="F61" s="20" t="n">
        <v>2.04184375</v>
      </c>
      <c r="G61" s="18" t="n">
        <v>35.88628711</v>
      </c>
      <c r="H61" s="20" t="n">
        <v>2.03847894</v>
      </c>
      <c r="I61" s="18" t="n">
        <v>0</v>
      </c>
      <c r="J61" s="20" t="n">
        <v>0</v>
      </c>
      <c r="K61" s="18" t="n">
        <v>0</v>
      </c>
      <c r="L61" s="20" t="n">
        <v>0</v>
      </c>
      <c r="M61" s="18" t="n">
        <v>0</v>
      </c>
      <c r="N61" s="20" t="n">
        <v>0</v>
      </c>
      <c r="O61" s="18" t="n">
        <v>0</v>
      </c>
      <c r="P61" s="20" t="n">
        <v>0</v>
      </c>
      <c r="Q61" s="18" t="n">
        <v>15.65963986</v>
      </c>
      <c r="R61" s="20" t="n">
        <v>1.59693909</v>
      </c>
    </row>
    <row r="62" spans="1:18">
      <c r="A62" s="15" t="s">
        <v>622</v>
      </c>
      <c r="B62" s="17" t="n">
        <v>2230</v>
      </c>
      <c r="C62" s="18">
        <f>(1725.0/B62*100)</f>
        <v/>
      </c>
      <c r="D62" s="19" t="n">
        <v>505</v>
      </c>
      <c r="E62" s="18" t="n">
        <v>51.23783152</v>
      </c>
      <c r="F62" s="20" t="n">
        <v>2.36792097</v>
      </c>
      <c r="G62" s="18" t="n">
        <v>46.38932361</v>
      </c>
      <c r="H62" s="20" t="n">
        <v>2.34704014</v>
      </c>
      <c r="I62" s="18" t="n">
        <v>0</v>
      </c>
      <c r="J62" s="20" t="n">
        <v>0</v>
      </c>
      <c r="K62" s="18" t="n">
        <v>0</v>
      </c>
      <c r="L62" s="20" t="n">
        <v>0</v>
      </c>
      <c r="M62" s="18" t="n">
        <v>0</v>
      </c>
      <c r="N62" s="20" t="n">
        <v>0</v>
      </c>
      <c r="O62" s="18" t="n">
        <v>0</v>
      </c>
      <c r="P62" s="20" t="n">
        <v>0</v>
      </c>
      <c r="Q62" s="18" t="n">
        <v>2.37284486</v>
      </c>
      <c r="R62" s="20" t="n">
        <v>0.70152398</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(2162.0/B67*100)</f>
        <v/>
      </c>
      <c r="D67" s="19" t="n">
        <v>609</v>
      </c>
      <c r="E67" s="18" t="n">
        <v>50.9498197</v>
      </c>
      <c r="F67" s="20" t="n">
        <v>2.08698954</v>
      </c>
      <c r="G67" s="18" t="n">
        <v>13.1392181</v>
      </c>
      <c r="H67" s="20" t="n">
        <v>1.400584</v>
      </c>
      <c r="I67" s="18" t="n">
        <v>0</v>
      </c>
      <c r="J67" s="20" t="n">
        <v>0</v>
      </c>
      <c r="K67" s="18" t="n">
        <v>0</v>
      </c>
      <c r="L67" s="20" t="n">
        <v>0</v>
      </c>
      <c r="M67" s="18" t="n">
        <v>0.57999112</v>
      </c>
      <c r="N67" s="20" t="n">
        <v>0.293621</v>
      </c>
      <c r="O67" s="18" t="n">
        <v>0</v>
      </c>
      <c r="P67" s="20" t="n">
        <v>0</v>
      </c>
      <c r="Q67" s="18" t="n">
        <v>35.33097108</v>
      </c>
      <c r="R67" s="20" t="n">
        <v>2.03525524</v>
      </c>
    </row>
    <row r="68" spans="1:18">
      <c r="A68" s="15" t="s">
        <v>628</v>
      </c>
      <c r="B68" s="17" t="n">
        <v>3460</v>
      </c>
      <c r="C68" s="18">
        <f>(2749.0/B68*100)</f>
        <v/>
      </c>
      <c r="D68" s="19" t="n">
        <v>711</v>
      </c>
      <c r="E68" s="18" t="n">
        <v>71.28667059999999</v>
      </c>
      <c r="F68" s="20" t="n">
        <v>2.01784575</v>
      </c>
      <c r="G68" s="18" t="n">
        <v>14.88832426</v>
      </c>
      <c r="H68" s="20" t="n">
        <v>1.51913055</v>
      </c>
      <c r="I68" s="18" t="n">
        <v>0</v>
      </c>
      <c r="J68" s="20" t="n">
        <v>0</v>
      </c>
      <c r="K68" s="18" t="n">
        <v>0.13206758</v>
      </c>
      <c r="L68" s="20" t="n">
        <v>0.12841151</v>
      </c>
      <c r="M68" s="18" t="n">
        <v>0.1427333</v>
      </c>
      <c r="N68" s="20" t="n">
        <v>0.14326182</v>
      </c>
      <c r="O68" s="18" t="n">
        <v>0</v>
      </c>
      <c r="P68" s="20" t="n">
        <v>0</v>
      </c>
      <c r="Q68" s="18" t="n">
        <v>13.55020427</v>
      </c>
      <c r="R68" s="20" t="n">
        <v>1.54551002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(4649.0/B70*100)</f>
        <v/>
      </c>
      <c r="D70" s="19" t="n">
        <v>1385</v>
      </c>
      <c r="E70" s="18" t="n">
        <v>64.03777873999999</v>
      </c>
      <c r="F70" s="20" t="n">
        <v>1.26916267</v>
      </c>
      <c r="G70" s="18" t="n">
        <v>26.71928763</v>
      </c>
      <c r="H70" s="20" t="n">
        <v>1.11499005</v>
      </c>
      <c r="I70" s="18" t="n">
        <v>0</v>
      </c>
      <c r="J70" s="20" t="n">
        <v>0</v>
      </c>
      <c r="K70" s="18" t="n">
        <v>0.49409815</v>
      </c>
      <c r="L70" s="20" t="n">
        <v>0.18593614</v>
      </c>
      <c r="M70" s="18" t="n">
        <v>0.07001528999999999</v>
      </c>
      <c r="N70" s="20" t="n">
        <v>0.06972562</v>
      </c>
      <c r="O70" s="18" t="n">
        <v>0</v>
      </c>
      <c r="P70" s="20" t="n">
        <v>0</v>
      </c>
      <c r="Q70" s="18" t="n">
        <v>8.67882019</v>
      </c>
      <c r="R70" s="20" t="n">
        <v>0.79071322</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(2494.0/B72*100)</f>
        <v/>
      </c>
      <c r="D72" s="19" t="n">
        <v>613</v>
      </c>
      <c r="E72" s="18" t="n">
        <v>56.64761159</v>
      </c>
      <c r="F72" s="20" t="n">
        <v>2.00261847</v>
      </c>
      <c r="G72" s="18" t="n">
        <v>32.84488341</v>
      </c>
      <c r="H72" s="20" t="n">
        <v>2.00998997</v>
      </c>
      <c r="I72" s="18" t="n">
        <v>0</v>
      </c>
      <c r="J72" s="20" t="n">
        <v>0</v>
      </c>
      <c r="K72" s="18" t="n">
        <v>0</v>
      </c>
      <c r="L72" s="20" t="n">
        <v>0</v>
      </c>
      <c r="M72" s="18" t="n">
        <v>0</v>
      </c>
      <c r="N72" s="20" t="n">
        <v>0</v>
      </c>
      <c r="O72" s="18" t="n">
        <v>0</v>
      </c>
      <c r="P72" s="20" t="n">
        <v>0</v>
      </c>
      <c r="Q72" s="18" t="n">
        <v>10.507505</v>
      </c>
      <c r="R72" s="20" t="n">
        <v>1.76058581</v>
      </c>
    </row>
    <row r="73" spans="1:18">
      <c r="A73" s="15" t="s">
        <v>633</v>
      </c>
      <c r="B73" s="17" t="n">
        <v>2973</v>
      </c>
      <c r="C73" s="18">
        <f>(2329.0/B73*100)</f>
        <v/>
      </c>
      <c r="D73" s="19" t="n">
        <v>644</v>
      </c>
      <c r="E73" s="18" t="n">
        <v>47.66355059</v>
      </c>
      <c r="F73" s="20" t="n">
        <v>1.91764954</v>
      </c>
      <c r="G73" s="18" t="n">
        <v>49.06938241</v>
      </c>
      <c r="H73" s="20" t="n">
        <v>1.98790018</v>
      </c>
      <c r="I73" s="18" t="n">
        <v>0</v>
      </c>
      <c r="J73" s="20" t="n">
        <v>0</v>
      </c>
      <c r="K73" s="18" t="n">
        <v>0.33694263</v>
      </c>
      <c r="L73" s="20" t="n">
        <v>0.23849512</v>
      </c>
      <c r="M73" s="18" t="n">
        <v>0</v>
      </c>
      <c r="N73" s="20" t="n">
        <v>0</v>
      </c>
      <c r="O73" s="18" t="n">
        <v>0</v>
      </c>
      <c r="P73" s="20" t="n">
        <v>0</v>
      </c>
      <c r="Q73" s="18" t="n">
        <v>2.93012437</v>
      </c>
      <c r="R73" s="20" t="n">
        <v>0.70562201</v>
      </c>
    </row>
    <row r="74" spans="1:18">
      <c r="A74" s="15" t="s">
        <v>634</v>
      </c>
      <c r="B74" s="17" t="n">
        <v>3819</v>
      </c>
      <c r="C74" s="18">
        <f>(2977.0/B74*100)</f>
        <v/>
      </c>
      <c r="D74" s="19" t="n">
        <v>842</v>
      </c>
      <c r="E74" s="18" t="n">
        <v>52.50120513</v>
      </c>
      <c r="F74" s="20" t="n">
        <v>2.04503001</v>
      </c>
      <c r="G74" s="18" t="n">
        <v>38.40954264</v>
      </c>
      <c r="H74" s="20" t="n">
        <v>1.989217</v>
      </c>
      <c r="I74" s="18" t="n">
        <v>0</v>
      </c>
      <c r="J74" s="20" t="n">
        <v>0</v>
      </c>
      <c r="K74" s="18" t="n">
        <v>0</v>
      </c>
      <c r="L74" s="20" t="n">
        <v>0</v>
      </c>
      <c r="M74" s="18" t="n">
        <v>0</v>
      </c>
      <c r="N74" s="20" t="n">
        <v>0</v>
      </c>
      <c r="O74" s="18" t="n">
        <v>0</v>
      </c>
      <c r="P74" s="20" t="n">
        <v>0</v>
      </c>
      <c r="Q74" s="18" t="n">
        <v>9.08925223</v>
      </c>
      <c r="R74" s="20" t="n">
        <v>1.15172388</v>
      </c>
    </row>
    <row r="75" spans="1:18">
      <c r="A75" s="15" t="s">
        <v>635</v>
      </c>
      <c r="B75" s="17" t="n">
        <v>4652</v>
      </c>
      <c r="C75" s="18">
        <f>(3638.0/B75*100)</f>
        <v/>
      </c>
      <c r="D75" s="19" t="n">
        <v>1014</v>
      </c>
      <c r="E75" s="18" t="n">
        <v>77.76507204000001</v>
      </c>
      <c r="F75" s="20" t="n">
        <v>1.90409556</v>
      </c>
      <c r="G75" s="18" t="n">
        <v>19.45179483</v>
      </c>
      <c r="H75" s="20" t="n">
        <v>1.788287</v>
      </c>
      <c r="I75" s="18" t="n">
        <v>0</v>
      </c>
      <c r="J75" s="20" t="n">
        <v>0</v>
      </c>
      <c r="K75" s="18" t="n">
        <v>0</v>
      </c>
      <c r="L75" s="20" t="n">
        <v>0</v>
      </c>
      <c r="M75" s="18" t="n">
        <v>0.5999106400000001</v>
      </c>
      <c r="N75" s="20" t="n">
        <v>0.2865002</v>
      </c>
      <c r="O75" s="18" t="n">
        <v>0</v>
      </c>
      <c r="P75" s="20" t="n">
        <v>0</v>
      </c>
      <c r="Q75" s="18" t="n">
        <v>2.18322249</v>
      </c>
      <c r="R75" s="20" t="n">
        <v>0.51263369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(2379.0/B77*100)</f>
        <v/>
      </c>
      <c r="D77" s="19" t="n">
        <v>590</v>
      </c>
      <c r="E77" s="18" t="n">
        <v>68.04818967</v>
      </c>
      <c r="F77" s="20" t="n">
        <v>1.99719378</v>
      </c>
      <c r="G77" s="18" t="n">
        <v>9.26915443</v>
      </c>
      <c r="H77" s="20" t="n">
        <v>1.19984955</v>
      </c>
      <c r="I77" s="18" t="n">
        <v>0</v>
      </c>
      <c r="J77" s="20" t="n">
        <v>0</v>
      </c>
      <c r="K77" s="18" t="n">
        <v>0.40136606</v>
      </c>
      <c r="L77" s="20" t="n">
        <v>0.2348757</v>
      </c>
      <c r="M77" s="18" t="n">
        <v>1.36022421</v>
      </c>
      <c r="N77" s="20" t="n">
        <v>0.48966752</v>
      </c>
      <c r="O77" s="18" t="n">
        <v>0</v>
      </c>
      <c r="P77" s="20" t="n">
        <v>0</v>
      </c>
      <c r="Q77" s="18" t="n">
        <v>20.92106562</v>
      </c>
      <c r="R77" s="20" t="n">
        <v>1.87065091</v>
      </c>
    </row>
    <row r="78" spans="1:18">
      <c r="A78" s="15" t="s">
        <v>638</v>
      </c>
      <c r="B78" s="17" t="n">
        <v>7115</v>
      </c>
      <c r="C78" s="18">
        <f>(5562.0/B78*100)</f>
        <v/>
      </c>
      <c r="D78" s="19" t="n">
        <v>1553</v>
      </c>
      <c r="E78" s="18" t="n">
        <v>64.79176166000001</v>
      </c>
      <c r="F78" s="20" t="n">
        <v>1.54826811</v>
      </c>
      <c r="G78" s="18" t="n">
        <v>30.07415137</v>
      </c>
      <c r="H78" s="20" t="n">
        <v>1.61037334</v>
      </c>
      <c r="I78" s="18" t="n">
        <v>0</v>
      </c>
      <c r="J78" s="20" t="n">
        <v>0</v>
      </c>
      <c r="K78" s="18" t="n">
        <v>0.19204622</v>
      </c>
      <c r="L78" s="20" t="n">
        <v>0.1089204</v>
      </c>
      <c r="M78" s="18" t="n">
        <v>0.24951485</v>
      </c>
      <c r="N78" s="20" t="n">
        <v>0.17850913</v>
      </c>
      <c r="O78" s="18" t="n">
        <v>0</v>
      </c>
      <c r="P78" s="20" t="n">
        <v>0</v>
      </c>
      <c r="Q78" s="18" t="n">
        <v>4.6925259</v>
      </c>
      <c r="R78" s="20" t="n">
        <v>0.68814675</v>
      </c>
    </row>
    <row r="79" spans="1:18">
      <c r="A79" s="15" t="s">
        <v>639</v>
      </c>
      <c r="B79" s="17" t="n">
        <v>3154</v>
      </c>
      <c r="C79" s="18">
        <f>(2450.0/B79*100)</f>
        <v/>
      </c>
      <c r="D79" s="19" t="n">
        <v>704</v>
      </c>
      <c r="E79" s="18" t="n">
        <v>41.59874568</v>
      </c>
      <c r="F79" s="20" t="n">
        <v>1.86690819</v>
      </c>
      <c r="G79" s="18" t="n">
        <v>35.23871369</v>
      </c>
      <c r="H79" s="20" t="n">
        <v>1.93706945</v>
      </c>
      <c r="I79" s="18" t="n">
        <v>0</v>
      </c>
      <c r="J79" s="20" t="n">
        <v>0</v>
      </c>
      <c r="K79" s="18" t="n">
        <v>0.15439573</v>
      </c>
      <c r="L79" s="20" t="n">
        <v>0.135524</v>
      </c>
      <c r="M79" s="18" t="n">
        <v>0.14477605</v>
      </c>
      <c r="N79" s="20" t="n">
        <v>0.17149812</v>
      </c>
      <c r="O79" s="18" t="n">
        <v>0</v>
      </c>
      <c r="P79" s="20" t="n">
        <v>0</v>
      </c>
      <c r="Q79" s="18" t="n">
        <v>22.86336884</v>
      </c>
      <c r="R79" s="20" t="n">
        <v>1.70746257</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(12421.0/B82*100)</f>
        <v/>
      </c>
      <c r="D82" s="19" t="n">
        <v>3540</v>
      </c>
      <c r="E82" s="18" t="n">
        <v>44.21031487</v>
      </c>
      <c r="F82" s="20" t="n">
        <v>1.2612652</v>
      </c>
      <c r="G82" s="18" t="n">
        <v>47.06673414</v>
      </c>
      <c r="H82" s="20" t="n">
        <v>1.21248743</v>
      </c>
      <c r="I82" s="18" t="n">
        <v>0</v>
      </c>
      <c r="J82" s="20" t="n">
        <v>0</v>
      </c>
      <c r="K82" s="18" t="n">
        <v>0</v>
      </c>
      <c r="L82" s="20" t="n">
        <v>0</v>
      </c>
      <c r="M82" s="18" t="n">
        <v>0</v>
      </c>
      <c r="N82" s="20" t="n">
        <v>0</v>
      </c>
      <c r="O82" s="18" t="n">
        <v>0</v>
      </c>
      <c r="P82" s="20" t="n">
        <v>0</v>
      </c>
      <c r="Q82" s="18" t="n">
        <v>8.722950989999999</v>
      </c>
      <c r="R82" s="20" t="n">
        <v>0.6547662400000001</v>
      </c>
    </row>
    <row r="83" spans="1:18">
      <c r="A83" s="15" t="s">
        <v>643</v>
      </c>
      <c r="B83" s="17" t="n">
        <v>808</v>
      </c>
      <c r="C83" s="18">
        <f>(632.0/B83*100)</f>
        <v/>
      </c>
      <c r="D83" s="19" t="n">
        <v>176</v>
      </c>
      <c r="E83" s="18" t="n">
        <v>36.40012455</v>
      </c>
      <c r="F83" s="20" t="n">
        <v>4.61649059</v>
      </c>
      <c r="G83" s="18" t="n">
        <v>61.8309892</v>
      </c>
      <c r="H83" s="20" t="n">
        <v>4.71275712</v>
      </c>
      <c r="I83" s="18" t="n">
        <v>0</v>
      </c>
      <c r="J83" s="20" t="n">
        <v>0</v>
      </c>
      <c r="K83" s="18" t="n">
        <v>0</v>
      </c>
      <c r="L83" s="20" t="n">
        <v>0</v>
      </c>
      <c r="M83" s="18" t="n">
        <v>0</v>
      </c>
      <c r="N83" s="20" t="n">
        <v>0</v>
      </c>
      <c r="O83" s="18" t="n">
        <v>0</v>
      </c>
      <c r="P83" s="20" t="n">
        <v>0</v>
      </c>
      <c r="Q83" s="18" t="n">
        <v>1.76888625</v>
      </c>
      <c r="R83" s="20" t="n">
        <v>0.9906708400000001</v>
      </c>
    </row>
    <row r="84" spans="1:18">
      <c r="A84" s="23" t="s">
        <v>644</v>
      </c>
      <c r="B84" s="24" t="n">
        <v>938</v>
      </c>
      <c r="C84" s="25">
        <f>(739.0/B84*100)</f>
        <v/>
      </c>
      <c r="D84" s="19" t="n">
        <v>199</v>
      </c>
      <c r="E84" s="18" t="n">
        <v>48.53404595</v>
      </c>
      <c r="F84" s="20" t="n">
        <v>3.90861085</v>
      </c>
      <c r="G84" s="18" t="n">
        <v>49.38299687</v>
      </c>
      <c r="H84" s="20" t="n">
        <v>3.79137613</v>
      </c>
      <c r="I84" s="18" t="n">
        <v>0</v>
      </c>
      <c r="J84" s="20" t="n">
        <v>0</v>
      </c>
      <c r="K84" s="18" t="n">
        <v>0</v>
      </c>
      <c r="L84" s="20" t="n">
        <v>0</v>
      </c>
      <c r="M84" s="18" t="n">
        <v>0</v>
      </c>
      <c r="N84" s="20" t="n">
        <v>0</v>
      </c>
      <c r="O84" s="18" t="n">
        <v>0</v>
      </c>
      <c r="P84" s="20" t="n">
        <v>0</v>
      </c>
      <c r="Q84" s="18" t="n">
        <v>2.08295718</v>
      </c>
      <c r="R84" s="20" t="n">
        <v>1.0666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(5587.0/B7*100)</f>
        <v/>
      </c>
      <c r="D7" s="19" t="n">
        <v>1576</v>
      </c>
      <c r="E7" s="18" t="n">
        <v>37.21476184</v>
      </c>
      <c r="F7" s="20" t="n">
        <v>1.37855077</v>
      </c>
      <c r="G7" s="18" t="n">
        <v>62.03680432</v>
      </c>
      <c r="H7" s="20" t="n">
        <v>1.38491936</v>
      </c>
      <c r="I7" s="18" t="n">
        <v>0</v>
      </c>
      <c r="J7" s="20" t="n">
        <v>0</v>
      </c>
      <c r="K7" s="18" t="n">
        <v>0</v>
      </c>
      <c r="L7" s="20" t="n">
        <v>0</v>
      </c>
      <c r="M7" s="18" t="n">
        <v>0</v>
      </c>
      <c r="N7" s="20" t="n">
        <v>0</v>
      </c>
      <c r="O7" s="18" t="n">
        <v>0</v>
      </c>
      <c r="P7" s="20" t="n">
        <v>0</v>
      </c>
      <c r="Q7" s="18" t="n">
        <v>0.74843383</v>
      </c>
      <c r="R7" s="20" t="n">
        <v>0.240093</v>
      </c>
    </row>
    <row r="8" spans="1:18">
      <c r="A8" s="15" t="s">
        <v>566</v>
      </c>
      <c r="B8" s="17" t="n">
        <v>3443</v>
      </c>
      <c r="C8" s="18">
        <f>(2724.0/B8*100)</f>
        <v/>
      </c>
      <c r="D8" s="19" t="n">
        <v>719</v>
      </c>
      <c r="E8" s="18" t="n">
        <v>30.88798159</v>
      </c>
      <c r="F8" s="20" t="n">
        <v>1.9168561</v>
      </c>
      <c r="G8" s="18" t="n">
        <v>67.74207271</v>
      </c>
      <c r="H8" s="20" t="n">
        <v>1.98365409</v>
      </c>
      <c r="I8" s="18" t="n">
        <v>0</v>
      </c>
      <c r="J8" s="20" t="n">
        <v>0</v>
      </c>
      <c r="K8" s="18" t="n">
        <v>0</v>
      </c>
      <c r="L8" s="20" t="n">
        <v>0</v>
      </c>
      <c r="M8" s="18" t="n">
        <v>0</v>
      </c>
      <c r="N8" s="20" t="n">
        <v>0</v>
      </c>
      <c r="O8" s="18" t="n">
        <v>0</v>
      </c>
      <c r="P8" s="20" t="n">
        <v>0</v>
      </c>
      <c r="Q8" s="18" t="n">
        <v>1.36994569</v>
      </c>
      <c r="R8" s="20" t="n">
        <v>0.41154751</v>
      </c>
    </row>
    <row r="9" spans="1:18">
      <c r="A9" s="15" t="s">
        <v>567</v>
      </c>
      <c r="B9" s="17" t="n">
        <v>4752</v>
      </c>
      <c r="C9" s="18">
        <f>(3711.0/B9*100)</f>
        <v/>
      </c>
      <c r="D9" s="19" t="n">
        <v>1041</v>
      </c>
      <c r="E9" s="18" t="n">
        <v>40.74433609</v>
      </c>
      <c r="F9" s="20" t="n">
        <v>1.50054389</v>
      </c>
      <c r="G9" s="18" t="n">
        <v>58.52071111</v>
      </c>
      <c r="H9" s="20" t="n">
        <v>1.58777097</v>
      </c>
      <c r="I9" s="18" t="n">
        <v>0</v>
      </c>
      <c r="J9" s="20" t="n">
        <v>0</v>
      </c>
      <c r="K9" s="18" t="n">
        <v>0.10775656</v>
      </c>
      <c r="L9" s="20" t="n">
        <v>0.1130348</v>
      </c>
      <c r="M9" s="18" t="n">
        <v>0</v>
      </c>
      <c r="N9" s="20" t="n">
        <v>0</v>
      </c>
      <c r="O9" s="18" t="n">
        <v>0</v>
      </c>
      <c r="P9" s="20" t="n">
        <v>0</v>
      </c>
      <c r="Q9" s="18" t="n">
        <v>0.62719624</v>
      </c>
      <c r="R9" s="20" t="n">
        <v>0.28618541</v>
      </c>
    </row>
    <row r="10" spans="1:18">
      <c r="A10" s="15" t="s">
        <v>568</v>
      </c>
      <c r="B10" s="17" t="n">
        <v>10022</v>
      </c>
      <c r="C10" s="18">
        <f>(7839.0/B10*100)</f>
        <v/>
      </c>
      <c r="D10" s="19" t="n">
        <v>2183</v>
      </c>
      <c r="E10" s="18" t="n">
        <v>30.56159909</v>
      </c>
      <c r="F10" s="20" t="n">
        <v>1.29884729</v>
      </c>
      <c r="G10" s="18" t="n">
        <v>68.8616375</v>
      </c>
      <c r="H10" s="20" t="n">
        <v>1.33814151</v>
      </c>
      <c r="I10" s="18" t="n">
        <v>0</v>
      </c>
      <c r="J10" s="20" t="n">
        <v>0</v>
      </c>
      <c r="K10" s="18" t="n">
        <v>0.11309505</v>
      </c>
      <c r="L10" s="20" t="n">
        <v>0.12464998</v>
      </c>
      <c r="M10" s="18" t="n">
        <v>0</v>
      </c>
      <c r="N10" s="20" t="n">
        <v>0</v>
      </c>
      <c r="O10" s="18" t="n">
        <v>0</v>
      </c>
      <c r="P10" s="20" t="n">
        <v>0</v>
      </c>
      <c r="Q10" s="18" t="n">
        <v>0.46366836</v>
      </c>
      <c r="R10" s="20" t="n">
        <v>0.21990382</v>
      </c>
    </row>
    <row r="11" spans="1:18">
      <c r="A11" s="15" t="s">
        <v>569</v>
      </c>
      <c r="B11" s="17" t="n">
        <v>3500</v>
      </c>
      <c r="C11" s="18">
        <f>(2750.0/B11*100)</f>
        <v/>
      </c>
      <c r="D11" s="19" t="n">
        <v>750</v>
      </c>
      <c r="E11" s="18" t="n">
        <v>61.86311174</v>
      </c>
      <c r="F11" s="20" t="n">
        <v>1.73033316</v>
      </c>
      <c r="G11" s="18" t="n">
        <v>36.45457356</v>
      </c>
      <c r="H11" s="20" t="n">
        <v>1.7249885</v>
      </c>
      <c r="I11" s="18" t="n">
        <v>0</v>
      </c>
      <c r="J11" s="20" t="n">
        <v>0</v>
      </c>
      <c r="K11" s="18" t="n">
        <v>0.10955569</v>
      </c>
      <c r="L11" s="20" t="n">
        <v>0.10652877</v>
      </c>
      <c r="M11" s="18" t="n">
        <v>0</v>
      </c>
      <c r="N11" s="20" t="n">
        <v>0</v>
      </c>
      <c r="O11" s="18" t="n">
        <v>0</v>
      </c>
      <c r="P11" s="20" t="n">
        <v>0</v>
      </c>
      <c r="Q11" s="18" t="n">
        <v>1.57275901</v>
      </c>
      <c r="R11" s="20" t="n">
        <v>0.51828329</v>
      </c>
    </row>
    <row r="12" spans="1:18">
      <c r="A12" s="15" t="s">
        <v>570</v>
      </c>
      <c r="B12" s="17" t="n">
        <v>3422</v>
      </c>
      <c r="C12" s="18">
        <f>(2652.0/B12*100)</f>
        <v/>
      </c>
      <c r="D12" s="19" t="n">
        <v>770</v>
      </c>
      <c r="E12" s="18" t="n">
        <v>32.32230532</v>
      </c>
      <c r="F12" s="20" t="n">
        <v>1.72035469</v>
      </c>
      <c r="G12" s="18" t="n">
        <v>67.23142082</v>
      </c>
      <c r="H12" s="20" t="n">
        <v>1.76608798</v>
      </c>
      <c r="I12" s="18" t="n">
        <v>0</v>
      </c>
      <c r="J12" s="20" t="n">
        <v>0</v>
      </c>
      <c r="K12" s="18" t="n">
        <v>0.11581903</v>
      </c>
      <c r="L12" s="20" t="n">
        <v>0.10973679</v>
      </c>
      <c r="M12" s="18" t="n">
        <v>0</v>
      </c>
      <c r="N12" s="20" t="n">
        <v>0</v>
      </c>
      <c r="O12" s="18" t="n">
        <v>0</v>
      </c>
      <c r="P12" s="20" t="n">
        <v>0</v>
      </c>
      <c r="Q12" s="18" t="n">
        <v>0.33045483</v>
      </c>
      <c r="R12" s="20" t="n">
        <v>0.34647837</v>
      </c>
    </row>
    <row r="13" spans="1:18">
      <c r="A13" s="15" t="s">
        <v>571</v>
      </c>
      <c r="B13" s="17" t="n">
        <v>3602</v>
      </c>
      <c r="C13" s="18">
        <f>(2829.0/B13*100)</f>
        <v/>
      </c>
      <c r="D13" s="19" t="n">
        <v>773</v>
      </c>
      <c r="E13" s="18" t="n">
        <v>27.38431641</v>
      </c>
      <c r="F13" s="20" t="n">
        <v>1.90785247</v>
      </c>
      <c r="G13" s="18" t="n">
        <v>71.36104594</v>
      </c>
      <c r="H13" s="20" t="n">
        <v>1.9682638</v>
      </c>
      <c r="I13" s="18" t="n">
        <v>0</v>
      </c>
      <c r="J13" s="20" t="n">
        <v>0</v>
      </c>
      <c r="K13" s="18" t="n">
        <v>0.04105897</v>
      </c>
      <c r="L13" s="20" t="n">
        <v>0.04108568</v>
      </c>
      <c r="M13" s="18" t="n">
        <v>0</v>
      </c>
      <c r="N13" s="20" t="n">
        <v>0</v>
      </c>
      <c r="O13" s="18" t="n">
        <v>0</v>
      </c>
      <c r="P13" s="20" t="n">
        <v>0</v>
      </c>
      <c r="Q13" s="18" t="n">
        <v>1.21357868</v>
      </c>
      <c r="R13" s="20" t="n">
        <v>0.40893806</v>
      </c>
    </row>
    <row r="14" spans="1:18">
      <c r="A14" s="15" t="s">
        <v>572</v>
      </c>
      <c r="B14" s="17" t="n">
        <v>2788</v>
      </c>
      <c r="C14" s="18">
        <f>(2182.0/B14*100)</f>
        <v/>
      </c>
      <c r="D14" s="19" t="n">
        <v>606</v>
      </c>
      <c r="E14" s="18" t="n">
        <v>38.96008151</v>
      </c>
      <c r="F14" s="20" t="n">
        <v>2.05130684</v>
      </c>
      <c r="G14" s="18" t="n">
        <v>60.92071246</v>
      </c>
      <c r="H14" s="20" t="n">
        <v>2.04578279</v>
      </c>
      <c r="I14" s="18" t="n">
        <v>0</v>
      </c>
      <c r="J14" s="20" t="n">
        <v>0</v>
      </c>
      <c r="K14" s="18" t="n">
        <v>0.11920603</v>
      </c>
      <c r="L14" s="20" t="n">
        <v>0.11951838</v>
      </c>
      <c r="M14" s="18" t="n">
        <v>0</v>
      </c>
      <c r="N14" s="20" t="n">
        <v>0</v>
      </c>
      <c r="O14" s="18" t="n">
        <v>0</v>
      </c>
      <c r="P14" s="20" t="n">
        <v>0</v>
      </c>
      <c r="Q14" s="18" t="n">
        <v>0</v>
      </c>
      <c r="R14" s="20" t="n">
        <v>0</v>
      </c>
    </row>
    <row r="15" spans="1:18">
      <c r="A15" s="15" t="s">
        <v>573</v>
      </c>
      <c r="B15" s="17" t="n">
        <v>2863</v>
      </c>
      <c r="C15" s="18">
        <f>(2248.0/B15*100)</f>
        <v/>
      </c>
      <c r="D15" s="19" t="n">
        <v>615</v>
      </c>
      <c r="E15" s="18" t="n">
        <v>24.62496145</v>
      </c>
      <c r="F15" s="20" t="n">
        <v>1.55502356</v>
      </c>
      <c r="G15" s="18" t="n">
        <v>75.0682023</v>
      </c>
      <c r="H15" s="20" t="n">
        <v>1.57154014</v>
      </c>
      <c r="I15" s="18" t="n">
        <v>0</v>
      </c>
      <c r="J15" s="20" t="n">
        <v>0</v>
      </c>
      <c r="K15" s="18" t="n">
        <v>0</v>
      </c>
      <c r="L15" s="20" t="n">
        <v>0</v>
      </c>
      <c r="M15" s="18" t="n">
        <v>0</v>
      </c>
      <c r="N15" s="20" t="n">
        <v>0</v>
      </c>
      <c r="O15" s="18" t="n">
        <v>0</v>
      </c>
      <c r="P15" s="20" t="n">
        <v>0</v>
      </c>
      <c r="Q15" s="18" t="n">
        <v>0.30683625</v>
      </c>
      <c r="R15" s="20" t="n">
        <v>0.21820745</v>
      </c>
    </row>
    <row r="16" spans="1:18">
      <c r="A16" s="15" t="s">
        <v>574</v>
      </c>
      <c r="B16" s="17" t="n">
        <v>3111</v>
      </c>
      <c r="C16" s="18">
        <f>(2437.0/B16*100)</f>
        <v/>
      </c>
      <c r="D16" s="19" t="n">
        <v>674</v>
      </c>
      <c r="E16" s="18" t="n">
        <v>46.21562482</v>
      </c>
      <c r="F16" s="20" t="n">
        <v>2.03990999</v>
      </c>
      <c r="G16" s="18" t="n">
        <v>51.62902058</v>
      </c>
      <c r="H16" s="20" t="n">
        <v>2.01597066</v>
      </c>
      <c r="I16" s="18" t="n">
        <v>0</v>
      </c>
      <c r="J16" s="20" t="n">
        <v>0</v>
      </c>
      <c r="K16" s="18" t="n">
        <v>0</v>
      </c>
      <c r="L16" s="20" t="n">
        <v>0</v>
      </c>
      <c r="M16" s="18" t="n">
        <v>0</v>
      </c>
      <c r="N16" s="20" t="n">
        <v>0</v>
      </c>
      <c r="O16" s="18" t="n">
        <v>0</v>
      </c>
      <c r="P16" s="20" t="n">
        <v>0</v>
      </c>
      <c r="Q16" s="18" t="n">
        <v>2.1553546</v>
      </c>
      <c r="R16" s="20" t="n">
        <v>0.67736176</v>
      </c>
    </row>
    <row r="17" spans="1:18">
      <c r="A17" s="15" t="s">
        <v>575</v>
      </c>
      <c r="B17" s="17" t="n">
        <v>3197</v>
      </c>
      <c r="C17" s="18">
        <f>(2466.0/B17*100)</f>
        <v/>
      </c>
      <c r="D17" s="19" t="n">
        <v>731</v>
      </c>
      <c r="E17" s="18" t="n">
        <v>37.18752267</v>
      </c>
      <c r="F17" s="20" t="n">
        <v>2.05504896</v>
      </c>
      <c r="G17" s="18" t="n">
        <v>61.26602292</v>
      </c>
      <c r="H17" s="20" t="n">
        <v>2.02806142</v>
      </c>
      <c r="I17" s="18" t="n">
        <v>0</v>
      </c>
      <c r="J17" s="20" t="n">
        <v>0</v>
      </c>
      <c r="K17" s="18" t="n">
        <v>0</v>
      </c>
      <c r="L17" s="20" t="n">
        <v>0</v>
      </c>
      <c r="M17" s="18" t="n">
        <v>0</v>
      </c>
      <c r="N17" s="20" t="n">
        <v>0</v>
      </c>
      <c r="O17" s="18" t="n">
        <v>0</v>
      </c>
      <c r="P17" s="20" t="n">
        <v>0</v>
      </c>
      <c r="Q17" s="18" t="n">
        <v>1.54645441</v>
      </c>
      <c r="R17" s="20" t="n">
        <v>0.4236383</v>
      </c>
    </row>
    <row r="18" spans="1:18">
      <c r="A18" s="15" t="s">
        <v>576</v>
      </c>
      <c r="B18" s="17" t="n">
        <v>2706</v>
      </c>
      <c r="C18" s="18">
        <f>(2093.0/B18*100)</f>
        <v/>
      </c>
      <c r="D18" s="19" t="n">
        <v>613</v>
      </c>
      <c r="E18" s="18" t="n">
        <v>60.02083087</v>
      </c>
      <c r="F18" s="20" t="n">
        <v>2.1461062</v>
      </c>
      <c r="G18" s="18" t="n">
        <v>38.72994451</v>
      </c>
      <c r="H18" s="20" t="n">
        <v>2.14940348</v>
      </c>
      <c r="I18" s="18" t="n">
        <v>0</v>
      </c>
      <c r="J18" s="20" t="n">
        <v>0</v>
      </c>
      <c r="K18" s="18" t="n">
        <v>0</v>
      </c>
      <c r="L18" s="20" t="n">
        <v>0</v>
      </c>
      <c r="M18" s="18" t="n">
        <v>0</v>
      </c>
      <c r="N18" s="20" t="n">
        <v>0</v>
      </c>
      <c r="O18" s="18" t="n">
        <v>0</v>
      </c>
      <c r="P18" s="20" t="n">
        <v>0</v>
      </c>
      <c r="Q18" s="18" t="n">
        <v>1.24922462</v>
      </c>
      <c r="R18" s="20" t="n">
        <v>0.48642288</v>
      </c>
    </row>
    <row r="19" spans="1:18">
      <c r="A19" s="15" t="s">
        <v>577</v>
      </c>
      <c r="B19" s="17" t="n">
        <v>2850</v>
      </c>
      <c r="C19" s="18">
        <f>(2258.0/B19*100)</f>
        <v/>
      </c>
      <c r="D19" s="19" t="n">
        <v>592</v>
      </c>
      <c r="E19" s="18" t="n">
        <v>54.4909626</v>
      </c>
      <c r="F19" s="20" t="n">
        <v>1.97508909</v>
      </c>
      <c r="G19" s="18" t="n">
        <v>44.53402297</v>
      </c>
      <c r="H19" s="20" t="n">
        <v>1.96274447</v>
      </c>
      <c r="I19" s="18" t="n">
        <v>0</v>
      </c>
      <c r="J19" s="20" t="n">
        <v>0</v>
      </c>
      <c r="K19" s="18" t="n">
        <v>0.14429168</v>
      </c>
      <c r="L19" s="20" t="n">
        <v>0.10337554</v>
      </c>
      <c r="M19" s="18" t="n">
        <v>0</v>
      </c>
      <c r="N19" s="20" t="n">
        <v>0</v>
      </c>
      <c r="O19" s="18" t="n">
        <v>0</v>
      </c>
      <c r="P19" s="20" t="n">
        <v>0</v>
      </c>
      <c r="Q19" s="18" t="n">
        <v>0.83072276</v>
      </c>
      <c r="R19" s="20" t="n">
        <v>0.37671447</v>
      </c>
    </row>
    <row r="20" spans="1:18">
      <c r="A20" s="15" t="s">
        <v>578</v>
      </c>
      <c r="B20" s="17" t="n">
        <v>1741</v>
      </c>
      <c r="C20" s="18">
        <f>(1367.0/B20*100)</f>
        <v/>
      </c>
      <c r="D20" s="19" t="n">
        <v>374</v>
      </c>
      <c r="E20" s="18" t="n">
        <v>44.98466138</v>
      </c>
      <c r="F20" s="20" t="n">
        <v>2.82823805</v>
      </c>
      <c r="G20" s="18" t="n">
        <v>53.34238999</v>
      </c>
      <c r="H20" s="20" t="n">
        <v>2.85885965</v>
      </c>
      <c r="I20" s="18" t="n">
        <v>0</v>
      </c>
      <c r="J20" s="20" t="n">
        <v>0</v>
      </c>
      <c r="K20" s="18" t="n">
        <v>0</v>
      </c>
      <c r="L20" s="20" t="n">
        <v>0</v>
      </c>
      <c r="M20" s="18" t="n">
        <v>0</v>
      </c>
      <c r="N20" s="20" t="n">
        <v>0</v>
      </c>
      <c r="O20" s="18" t="n">
        <v>0</v>
      </c>
      <c r="P20" s="20" t="n">
        <v>0</v>
      </c>
      <c r="Q20" s="18" t="n">
        <v>1.67294863</v>
      </c>
      <c r="R20" s="20" t="n">
        <v>0.68768004</v>
      </c>
    </row>
    <row r="21" spans="1:18">
      <c r="A21" s="15" t="s">
        <v>579</v>
      </c>
      <c r="B21" s="17" t="n">
        <v>2833</v>
      </c>
      <c r="C21" s="18">
        <f>(2180.0/B21*100)</f>
        <v/>
      </c>
      <c r="D21" s="19" t="n">
        <v>653</v>
      </c>
      <c r="E21" s="18" t="n">
        <v>33.78725948</v>
      </c>
      <c r="F21" s="20" t="n">
        <v>1.99306055</v>
      </c>
      <c r="G21" s="18" t="n">
        <v>65.27002625</v>
      </c>
      <c r="H21" s="20" t="n">
        <v>2.05964725</v>
      </c>
      <c r="I21" s="18" t="n">
        <v>0</v>
      </c>
      <c r="J21" s="20" t="n">
        <v>0</v>
      </c>
      <c r="K21" s="18" t="n">
        <v>0</v>
      </c>
      <c r="L21" s="20" t="n">
        <v>0</v>
      </c>
      <c r="M21" s="18" t="n">
        <v>0</v>
      </c>
      <c r="N21" s="20" t="n">
        <v>0</v>
      </c>
      <c r="O21" s="18" t="n">
        <v>0</v>
      </c>
      <c r="P21" s="20" t="n">
        <v>0</v>
      </c>
      <c r="Q21" s="18" t="n">
        <v>0.94271428</v>
      </c>
      <c r="R21" s="20" t="n">
        <v>0.33664177</v>
      </c>
    </row>
    <row r="22" spans="1:18">
      <c r="A22" s="15" t="s">
        <v>580</v>
      </c>
      <c r="B22" s="17" t="n">
        <v>3667</v>
      </c>
      <c r="C22" s="18">
        <f>(2822.0/B22*100)</f>
        <v/>
      </c>
      <c r="D22" s="19" t="n">
        <v>845</v>
      </c>
      <c r="E22" s="18" t="n">
        <v>60.19700151</v>
      </c>
      <c r="F22" s="20" t="n">
        <v>2.04660666</v>
      </c>
      <c r="G22" s="18" t="n">
        <v>37.067055</v>
      </c>
      <c r="H22" s="20" t="n">
        <v>2.01008093</v>
      </c>
      <c r="I22" s="18" t="n">
        <v>0</v>
      </c>
      <c r="J22" s="20" t="n">
        <v>0</v>
      </c>
      <c r="K22" s="18" t="n">
        <v>0.24448974</v>
      </c>
      <c r="L22" s="20" t="n">
        <v>0.17044644</v>
      </c>
      <c r="M22" s="18" t="n">
        <v>0</v>
      </c>
      <c r="N22" s="20" t="n">
        <v>0</v>
      </c>
      <c r="O22" s="18" t="n">
        <v>0</v>
      </c>
      <c r="P22" s="20" t="n">
        <v>0</v>
      </c>
      <c r="Q22" s="18" t="n">
        <v>2.49145375</v>
      </c>
      <c r="R22" s="20" t="n">
        <v>0.55736624</v>
      </c>
    </row>
    <row r="23" spans="1:18">
      <c r="A23" s="15" t="s">
        <v>581</v>
      </c>
      <c r="B23" s="17" t="n">
        <v>5792</v>
      </c>
      <c r="C23" s="18">
        <f>(4508.0/B23*100)</f>
        <v/>
      </c>
      <c r="D23" s="19" t="n">
        <v>1284</v>
      </c>
      <c r="E23" s="18" t="n">
        <v>50.48247974</v>
      </c>
      <c r="F23" s="20" t="n">
        <v>1.83778789</v>
      </c>
      <c r="G23" s="18" t="n">
        <v>48.45952798</v>
      </c>
      <c r="H23" s="20" t="n">
        <v>1.76702729</v>
      </c>
      <c r="I23" s="18" t="n">
        <v>0</v>
      </c>
      <c r="J23" s="20" t="n">
        <v>0</v>
      </c>
      <c r="K23" s="18" t="n">
        <v>0.14781284</v>
      </c>
      <c r="L23" s="20" t="n">
        <v>0.14649011</v>
      </c>
      <c r="M23" s="18" t="n">
        <v>0</v>
      </c>
      <c r="N23" s="20" t="n">
        <v>0</v>
      </c>
      <c r="O23" s="18" t="n">
        <v>0</v>
      </c>
      <c r="P23" s="20" t="n">
        <v>0</v>
      </c>
      <c r="Q23" s="18" t="n">
        <v>0.91017944</v>
      </c>
      <c r="R23" s="20" t="n">
        <v>0.4234744</v>
      </c>
    </row>
    <row r="24" spans="1:18">
      <c r="A24" s="15" t="s">
        <v>582</v>
      </c>
      <c r="B24" s="17" t="n">
        <v>3309</v>
      </c>
      <c r="C24" s="18">
        <f>(2531.0/B24*100)</f>
        <v/>
      </c>
      <c r="D24" s="19" t="n">
        <v>778</v>
      </c>
      <c r="E24" s="18" t="n">
        <v>26.16432089</v>
      </c>
      <c r="F24" s="20" t="n">
        <v>1.92562607</v>
      </c>
      <c r="G24" s="18" t="n">
        <v>72.51362666999999</v>
      </c>
      <c r="H24" s="20" t="n">
        <v>1.97881465</v>
      </c>
      <c r="I24" s="18" t="n">
        <v>0</v>
      </c>
      <c r="J24" s="20" t="n">
        <v>0</v>
      </c>
      <c r="K24" s="18" t="n">
        <v>0</v>
      </c>
      <c r="L24" s="20" t="n">
        <v>0</v>
      </c>
      <c r="M24" s="18" t="n">
        <v>0</v>
      </c>
      <c r="N24" s="20" t="n">
        <v>0</v>
      </c>
      <c r="O24" s="18" t="n">
        <v>0</v>
      </c>
      <c r="P24" s="20" t="n">
        <v>0</v>
      </c>
      <c r="Q24" s="18" t="n">
        <v>1.32205244</v>
      </c>
      <c r="R24" s="20" t="n">
        <v>0.38777292</v>
      </c>
    </row>
    <row r="25" spans="1:18">
      <c r="A25" s="15" t="s">
        <v>583</v>
      </c>
      <c r="B25" s="17" t="n">
        <v>2669</v>
      </c>
      <c r="C25" s="18">
        <f>(2087.0/B25*100)</f>
        <v/>
      </c>
      <c r="D25" s="19" t="n">
        <v>582</v>
      </c>
      <c r="E25" s="18" t="n">
        <v>31.38828051</v>
      </c>
      <c r="F25" s="20" t="n">
        <v>1.89557525</v>
      </c>
      <c r="G25" s="18" t="n">
        <v>67.82449388000001</v>
      </c>
      <c r="H25" s="20" t="n">
        <v>1.92881981</v>
      </c>
      <c r="I25" s="18" t="n">
        <v>0</v>
      </c>
      <c r="J25" s="20" t="n">
        <v>0</v>
      </c>
      <c r="K25" s="18" t="n">
        <v>0.16309914</v>
      </c>
      <c r="L25" s="20" t="n">
        <v>0.16277181</v>
      </c>
      <c r="M25" s="18" t="n">
        <v>0</v>
      </c>
      <c r="N25" s="20" t="n">
        <v>0</v>
      </c>
      <c r="O25" s="18" t="n">
        <v>0</v>
      </c>
      <c r="P25" s="20" t="n">
        <v>0</v>
      </c>
      <c r="Q25" s="18" t="n">
        <v>0.62412647</v>
      </c>
      <c r="R25" s="20" t="n">
        <v>0.31173958</v>
      </c>
    </row>
    <row r="26" spans="1:18">
      <c r="A26" s="15" t="s">
        <v>584</v>
      </c>
      <c r="B26" s="17" t="n">
        <v>2419</v>
      </c>
      <c r="C26" s="18">
        <f>(1894.0/B26*100)</f>
        <v/>
      </c>
      <c r="D26" s="19" t="n">
        <v>525</v>
      </c>
      <c r="E26" s="18" t="n">
        <v>40.10410344</v>
      </c>
      <c r="F26" s="20" t="n">
        <v>2.31621045</v>
      </c>
      <c r="G26" s="18" t="n">
        <v>59.59268881</v>
      </c>
      <c r="H26" s="20" t="n">
        <v>2.2566478</v>
      </c>
      <c r="I26" s="18" t="n">
        <v>0</v>
      </c>
      <c r="J26" s="20" t="n">
        <v>0</v>
      </c>
      <c r="K26" s="18" t="n">
        <v>0</v>
      </c>
      <c r="L26" s="20" t="n">
        <v>0</v>
      </c>
      <c r="M26" s="18" t="n">
        <v>0</v>
      </c>
      <c r="N26" s="20" t="n">
        <v>0</v>
      </c>
      <c r="O26" s="18" t="n">
        <v>0</v>
      </c>
      <c r="P26" s="20" t="n">
        <v>0</v>
      </c>
      <c r="Q26" s="18" t="n">
        <v>0.30320776</v>
      </c>
      <c r="R26" s="20" t="n">
        <v>0.25635069</v>
      </c>
    </row>
    <row r="27" spans="1:18">
      <c r="A27" s="15" t="s">
        <v>585</v>
      </c>
      <c r="B27" s="17" t="n">
        <v>2683</v>
      </c>
      <c r="C27" s="18">
        <f>(2047.0/B27*100)</f>
        <v/>
      </c>
      <c r="D27" s="19" t="n">
        <v>636</v>
      </c>
      <c r="E27" s="18" t="n">
        <v>44.83516861</v>
      </c>
      <c r="F27" s="20" t="n">
        <v>1.86451156</v>
      </c>
      <c r="G27" s="18" t="n">
        <v>54.05513055</v>
      </c>
      <c r="H27" s="20" t="n">
        <v>1.8898977</v>
      </c>
      <c r="I27" s="18" t="n">
        <v>0</v>
      </c>
      <c r="J27" s="20" t="n">
        <v>0</v>
      </c>
      <c r="K27" s="18" t="n">
        <v>0</v>
      </c>
      <c r="L27" s="20" t="n">
        <v>0</v>
      </c>
      <c r="M27" s="18" t="n">
        <v>0</v>
      </c>
      <c r="N27" s="20" t="n">
        <v>0</v>
      </c>
      <c r="O27" s="18" t="n">
        <v>0</v>
      </c>
      <c r="P27" s="20" t="n">
        <v>0</v>
      </c>
      <c r="Q27" s="18" t="n">
        <v>1.10970084</v>
      </c>
      <c r="R27" s="20" t="n">
        <v>0.41938175</v>
      </c>
    </row>
    <row r="28" spans="1:18">
      <c r="A28" s="15" t="s">
        <v>586</v>
      </c>
      <c r="B28" s="17" t="n">
        <v>3803</v>
      </c>
      <c r="C28" s="18">
        <f>(2996.0/B28*100)</f>
        <v/>
      </c>
      <c r="D28" s="19" t="n">
        <v>807</v>
      </c>
      <c r="E28" s="18" t="n">
        <v>65.41956814</v>
      </c>
      <c r="F28" s="20" t="n">
        <v>1.52695907</v>
      </c>
      <c r="G28" s="18" t="n">
        <v>33.57898517</v>
      </c>
      <c r="H28" s="20" t="n">
        <v>1.5299643</v>
      </c>
      <c r="I28" s="18" t="n">
        <v>0</v>
      </c>
      <c r="J28" s="20" t="n">
        <v>0</v>
      </c>
      <c r="K28" s="18" t="n">
        <v>0.10257789</v>
      </c>
      <c r="L28" s="20" t="n">
        <v>0.10258639</v>
      </c>
      <c r="M28" s="18" t="n">
        <v>0</v>
      </c>
      <c r="N28" s="20" t="n">
        <v>0</v>
      </c>
      <c r="O28" s="18" t="n">
        <v>0</v>
      </c>
      <c r="P28" s="20" t="n">
        <v>0</v>
      </c>
      <c r="Q28" s="18" t="n">
        <v>0.8988688</v>
      </c>
      <c r="R28" s="20" t="n">
        <v>0.31989842</v>
      </c>
    </row>
    <row r="29" spans="1:18">
      <c r="A29" s="15" t="s">
        <v>587</v>
      </c>
      <c r="B29" s="17" t="n">
        <v>2700</v>
      </c>
      <c r="C29" s="18">
        <f>(2118.0/B29*100)</f>
        <v/>
      </c>
      <c r="D29" s="19" t="n">
        <v>582</v>
      </c>
      <c r="E29" s="18" t="n">
        <v>33.20564656</v>
      </c>
      <c r="F29" s="20" t="n">
        <v>2.13128889</v>
      </c>
      <c r="G29" s="18" t="n">
        <v>66.56797662</v>
      </c>
      <c r="H29" s="20" t="n">
        <v>2.14850911</v>
      </c>
      <c r="I29" s="18" t="n">
        <v>0</v>
      </c>
      <c r="J29" s="20" t="n">
        <v>0</v>
      </c>
      <c r="K29" s="18" t="n">
        <v>0</v>
      </c>
      <c r="L29" s="20" t="n">
        <v>0</v>
      </c>
      <c r="M29" s="18" t="n">
        <v>0</v>
      </c>
      <c r="N29" s="20" t="n">
        <v>0</v>
      </c>
      <c r="O29" s="18" t="n">
        <v>0</v>
      </c>
      <c r="P29" s="20" t="n">
        <v>0</v>
      </c>
      <c r="Q29" s="18" t="n">
        <v>0.22637682</v>
      </c>
      <c r="R29" s="20" t="n">
        <v>0.17333564</v>
      </c>
    </row>
    <row r="30" spans="1:18">
      <c r="A30" s="15" t="s">
        <v>588</v>
      </c>
      <c r="B30" s="17" t="n">
        <v>2257</v>
      </c>
      <c r="C30" s="18">
        <f>(1774.0/B30*100)</f>
        <v/>
      </c>
      <c r="D30" s="19" t="n">
        <v>483</v>
      </c>
      <c r="E30" s="18" t="n">
        <v>31.37800295</v>
      </c>
      <c r="F30" s="20" t="n">
        <v>1.98632756</v>
      </c>
      <c r="G30" s="18" t="n">
        <v>67.71704998</v>
      </c>
      <c r="H30" s="20" t="n">
        <v>2.02541228</v>
      </c>
      <c r="I30" s="18" t="n">
        <v>0</v>
      </c>
      <c r="J30" s="20" t="n">
        <v>0</v>
      </c>
      <c r="K30" s="18" t="n">
        <v>0</v>
      </c>
      <c r="L30" s="20" t="n">
        <v>0</v>
      </c>
      <c r="M30" s="18" t="n">
        <v>0</v>
      </c>
      <c r="N30" s="20" t="n">
        <v>0</v>
      </c>
      <c r="O30" s="18" t="n">
        <v>0</v>
      </c>
      <c r="P30" s="20" t="n">
        <v>0</v>
      </c>
      <c r="Q30" s="18" t="n">
        <v>0.90494707</v>
      </c>
      <c r="R30" s="20" t="n">
        <v>0.40465172</v>
      </c>
    </row>
    <row r="31" spans="1:18">
      <c r="A31" s="15" t="s">
        <v>589</v>
      </c>
      <c r="B31" s="17" t="n">
        <v>2706</v>
      </c>
      <c r="C31" s="18">
        <f>(2109.0/B31*100)</f>
        <v/>
      </c>
      <c r="D31" s="19" t="n">
        <v>597</v>
      </c>
      <c r="E31" s="18" t="n">
        <v>39.25301843</v>
      </c>
      <c r="F31" s="20" t="n">
        <v>2.08953837</v>
      </c>
      <c r="G31" s="18" t="n">
        <v>60.23918884</v>
      </c>
      <c r="H31" s="20" t="n">
        <v>2.07812759</v>
      </c>
      <c r="I31" s="18" t="n">
        <v>0</v>
      </c>
      <c r="J31" s="20" t="n">
        <v>0</v>
      </c>
      <c r="K31" s="18" t="n">
        <v>0.1568359</v>
      </c>
      <c r="L31" s="20" t="n">
        <v>0.15113934</v>
      </c>
      <c r="M31" s="18" t="n">
        <v>0</v>
      </c>
      <c r="N31" s="20" t="n">
        <v>0</v>
      </c>
      <c r="O31" s="18" t="n">
        <v>0</v>
      </c>
      <c r="P31" s="20" t="n">
        <v>0</v>
      </c>
      <c r="Q31" s="18" t="n">
        <v>0.35095683</v>
      </c>
      <c r="R31" s="20" t="n">
        <v>0.24728695</v>
      </c>
    </row>
    <row r="32" spans="1:18">
      <c r="A32" s="15" t="s">
        <v>590</v>
      </c>
      <c r="B32" s="17" t="n">
        <v>2209</v>
      </c>
      <c r="C32" s="18">
        <f>(1754.0/B32*100)</f>
        <v/>
      </c>
      <c r="D32" s="19" t="n">
        <v>455</v>
      </c>
      <c r="E32" s="18" t="n">
        <v>36.56433324</v>
      </c>
      <c r="F32" s="20" t="n">
        <v>2.39014229</v>
      </c>
      <c r="G32" s="18" t="n">
        <v>63.23044784</v>
      </c>
      <c r="H32" s="20" t="n">
        <v>2.37662179</v>
      </c>
      <c r="I32" s="18" t="n">
        <v>0</v>
      </c>
      <c r="J32" s="20" t="n">
        <v>0</v>
      </c>
      <c r="K32" s="18" t="n">
        <v>0</v>
      </c>
      <c r="L32" s="20" t="n">
        <v>0</v>
      </c>
      <c r="M32" s="18" t="n">
        <v>0</v>
      </c>
      <c r="N32" s="20" t="n">
        <v>0</v>
      </c>
      <c r="O32" s="18" t="n">
        <v>0</v>
      </c>
      <c r="P32" s="20" t="n">
        <v>0</v>
      </c>
      <c r="Q32" s="18" t="n">
        <v>0.20521893</v>
      </c>
      <c r="R32" s="20" t="n">
        <v>0.20584617</v>
      </c>
    </row>
    <row r="33" spans="1:18">
      <c r="A33" s="15" t="s">
        <v>591</v>
      </c>
      <c r="B33" s="17" t="n">
        <v>3651</v>
      </c>
      <c r="C33" s="18">
        <f>(2893.0/B33*100)</f>
        <v/>
      </c>
      <c r="D33" s="19" t="n">
        <v>758</v>
      </c>
      <c r="E33" s="18" t="n">
        <v>46.95788153</v>
      </c>
      <c r="F33" s="20" t="n">
        <v>2.00675248</v>
      </c>
      <c r="G33" s="18" t="n">
        <v>52.85792437</v>
      </c>
      <c r="H33" s="20" t="n">
        <v>2.0071254</v>
      </c>
      <c r="I33" s="18" t="n">
        <v>0</v>
      </c>
      <c r="J33" s="20" t="n">
        <v>0</v>
      </c>
      <c r="K33" s="18" t="n">
        <v>0</v>
      </c>
      <c r="L33" s="20" t="n">
        <v>0</v>
      </c>
      <c r="M33" s="18" t="n">
        <v>0</v>
      </c>
      <c r="N33" s="20" t="n">
        <v>0</v>
      </c>
      <c r="O33" s="18" t="n">
        <v>0</v>
      </c>
      <c r="P33" s="20" t="n">
        <v>0</v>
      </c>
      <c r="Q33" s="18" t="n">
        <v>0.1841941</v>
      </c>
      <c r="R33" s="20" t="n">
        <v>0.1104873</v>
      </c>
    </row>
    <row r="34" spans="1:18">
      <c r="A34" s="15" t="s">
        <v>592</v>
      </c>
      <c r="B34" s="17" t="n">
        <v>3035</v>
      </c>
      <c r="C34" s="18">
        <f>(2373.0/B34*100)</f>
        <v/>
      </c>
      <c r="D34" s="19" t="n">
        <v>662</v>
      </c>
      <c r="E34" s="18" t="n">
        <v>45.06017521</v>
      </c>
      <c r="F34" s="20" t="n">
        <v>2.22958252</v>
      </c>
      <c r="G34" s="18" t="n">
        <v>54.10651143</v>
      </c>
      <c r="H34" s="20" t="n">
        <v>2.20604108</v>
      </c>
      <c r="I34" s="18" t="n">
        <v>0</v>
      </c>
      <c r="J34" s="20" t="n">
        <v>0</v>
      </c>
      <c r="K34" s="18" t="n">
        <v>0</v>
      </c>
      <c r="L34" s="20" t="n">
        <v>0</v>
      </c>
      <c r="M34" s="18" t="n">
        <v>0</v>
      </c>
      <c r="N34" s="20" t="n">
        <v>0</v>
      </c>
      <c r="O34" s="18" t="n">
        <v>0</v>
      </c>
      <c r="P34" s="20" t="n">
        <v>0</v>
      </c>
      <c r="Q34" s="18" t="n">
        <v>0.83331336</v>
      </c>
      <c r="R34" s="20" t="n">
        <v>0.3536183</v>
      </c>
    </row>
    <row r="35" spans="1:18">
      <c r="A35" s="15" t="s">
        <v>593</v>
      </c>
      <c r="B35" s="17" t="n">
        <v>2901</v>
      </c>
      <c r="C35" s="18">
        <f>(2247.0/B35*100)</f>
        <v/>
      </c>
      <c r="D35" s="19" t="n">
        <v>654</v>
      </c>
      <c r="E35" s="18" t="n">
        <v>42.74201573</v>
      </c>
      <c r="F35" s="20" t="n">
        <v>2.22442579</v>
      </c>
      <c r="G35" s="18" t="n">
        <v>56.93913814</v>
      </c>
      <c r="H35" s="20" t="n">
        <v>2.24493092</v>
      </c>
      <c r="I35" s="18" t="n">
        <v>0</v>
      </c>
      <c r="J35" s="20" t="n">
        <v>0</v>
      </c>
      <c r="K35" s="18" t="n">
        <v>0</v>
      </c>
      <c r="L35" s="20" t="n">
        <v>0</v>
      </c>
      <c r="M35" s="18" t="n">
        <v>0</v>
      </c>
      <c r="N35" s="20" t="n">
        <v>0</v>
      </c>
      <c r="O35" s="18" t="n">
        <v>0</v>
      </c>
      <c r="P35" s="20" t="n">
        <v>0</v>
      </c>
      <c r="Q35" s="18" t="n">
        <v>0.31884614</v>
      </c>
      <c r="R35" s="20" t="n">
        <v>0.18967451</v>
      </c>
    </row>
    <row r="36" spans="1:18">
      <c r="A36" s="15" t="s">
        <v>594</v>
      </c>
      <c r="B36" s="17" t="n">
        <v>3404</v>
      </c>
      <c r="C36" s="18">
        <f>(2661.0/B36*100)</f>
        <v/>
      </c>
      <c r="D36" s="19" t="n">
        <v>743</v>
      </c>
      <c r="E36" s="18" t="n">
        <v>48.26225139</v>
      </c>
      <c r="F36" s="20" t="n">
        <v>1.96341097</v>
      </c>
      <c r="G36" s="18" t="n">
        <v>51.01306209</v>
      </c>
      <c r="H36" s="20" t="n">
        <v>2.03951203</v>
      </c>
      <c r="I36" s="18" t="n">
        <v>0</v>
      </c>
      <c r="J36" s="20" t="n">
        <v>0</v>
      </c>
      <c r="K36" s="18" t="n">
        <v>0</v>
      </c>
      <c r="L36" s="20" t="n">
        <v>0</v>
      </c>
      <c r="M36" s="18" t="n">
        <v>0</v>
      </c>
      <c r="N36" s="20" t="n">
        <v>0</v>
      </c>
      <c r="O36" s="18" t="n">
        <v>0</v>
      </c>
      <c r="P36" s="20" t="n">
        <v>0</v>
      </c>
      <c r="Q36" s="18" t="n">
        <v>0.72468652</v>
      </c>
      <c r="R36" s="20" t="n">
        <v>0.42236585</v>
      </c>
    </row>
    <row r="37" spans="1:18">
      <c r="A37" s="15" t="s">
        <v>595</v>
      </c>
      <c r="B37" s="17" t="n">
        <v>2731</v>
      </c>
      <c r="C37" s="18">
        <f>(2126.0/B37*100)</f>
        <v/>
      </c>
      <c r="D37" s="19" t="n">
        <v>605</v>
      </c>
      <c r="E37" s="18" t="n">
        <v>37.44791269</v>
      </c>
      <c r="F37" s="20" t="n">
        <v>2.26182536</v>
      </c>
      <c r="G37" s="18" t="n">
        <v>60.51355627</v>
      </c>
      <c r="H37" s="20" t="n">
        <v>2.26161483</v>
      </c>
      <c r="I37" s="18" t="n">
        <v>0</v>
      </c>
      <c r="J37" s="20" t="n">
        <v>0</v>
      </c>
      <c r="K37" s="18" t="n">
        <v>0</v>
      </c>
      <c r="L37" s="20" t="n">
        <v>0</v>
      </c>
      <c r="M37" s="18" t="n">
        <v>0</v>
      </c>
      <c r="N37" s="20" t="n">
        <v>0</v>
      </c>
      <c r="O37" s="18" t="n">
        <v>0</v>
      </c>
      <c r="P37" s="20" t="n">
        <v>0</v>
      </c>
      <c r="Q37" s="18" t="n">
        <v>2.03853104</v>
      </c>
      <c r="R37" s="20" t="n">
        <v>0.67802882</v>
      </c>
    </row>
    <row r="38" spans="1:18">
      <c r="A38" s="15" t="s">
        <v>596</v>
      </c>
      <c r="B38" s="17" t="n">
        <v>2807</v>
      </c>
      <c r="C38" s="18">
        <f>(2163.0/B38*100)</f>
        <v/>
      </c>
      <c r="D38" s="19" t="n">
        <v>644</v>
      </c>
      <c r="E38" s="18" t="n">
        <v>32.0356982</v>
      </c>
      <c r="F38" s="20" t="n">
        <v>2.02570055</v>
      </c>
      <c r="G38" s="18" t="n">
        <v>67.23040863999999</v>
      </c>
      <c r="H38" s="20" t="n">
        <v>2.04409303</v>
      </c>
      <c r="I38" s="18" t="n">
        <v>0</v>
      </c>
      <c r="J38" s="20" t="n">
        <v>0</v>
      </c>
      <c r="K38" s="18" t="n">
        <v>0.03029824</v>
      </c>
      <c r="L38" s="20" t="n">
        <v>0.02937974</v>
      </c>
      <c r="M38" s="18" t="n">
        <v>0</v>
      </c>
      <c r="N38" s="20" t="n">
        <v>0</v>
      </c>
      <c r="O38" s="18" t="n">
        <v>0</v>
      </c>
      <c r="P38" s="20" t="n">
        <v>0</v>
      </c>
      <c r="Q38" s="18" t="n">
        <v>0.70359492</v>
      </c>
      <c r="R38" s="20" t="n">
        <v>0.34221976</v>
      </c>
    </row>
    <row r="39" spans="1:18">
      <c r="A39" s="15" t="s">
        <v>597</v>
      </c>
      <c r="B39" s="17" t="n">
        <v>2938</v>
      </c>
      <c r="C39" s="18">
        <f>(2274.0/B39*100)</f>
        <v/>
      </c>
      <c r="D39" s="19" t="n">
        <v>664</v>
      </c>
      <c r="E39" s="18" t="n">
        <v>74.2752862</v>
      </c>
      <c r="F39" s="20" t="n">
        <v>1.49204819</v>
      </c>
      <c r="G39" s="18" t="n">
        <v>24.87004709</v>
      </c>
      <c r="H39" s="20" t="n">
        <v>1.43431879</v>
      </c>
      <c r="I39" s="18" t="n">
        <v>0</v>
      </c>
      <c r="J39" s="20" t="n">
        <v>0</v>
      </c>
      <c r="K39" s="18" t="n">
        <v>0</v>
      </c>
      <c r="L39" s="20" t="n">
        <v>0</v>
      </c>
      <c r="M39" s="18" t="n">
        <v>0</v>
      </c>
      <c r="N39" s="20" t="n">
        <v>0</v>
      </c>
      <c r="O39" s="18" t="n">
        <v>0</v>
      </c>
      <c r="P39" s="20" t="n">
        <v>0</v>
      </c>
      <c r="Q39" s="18" t="n">
        <v>0.8546667100000001</v>
      </c>
      <c r="R39" s="20" t="n">
        <v>0.44192063</v>
      </c>
    </row>
    <row r="40" spans="1:18">
      <c r="A40" s="15" t="s">
        <v>598</v>
      </c>
      <c r="B40" s="17" t="n">
        <v>6922</v>
      </c>
      <c r="C40" s="18">
        <f>(5470.0/B40*100)</f>
        <v/>
      </c>
      <c r="D40" s="19" t="n">
        <v>1452</v>
      </c>
      <c r="E40" s="18" t="n">
        <v>35.73992747</v>
      </c>
      <c r="F40" s="20" t="n">
        <v>1.87688738</v>
      </c>
      <c r="G40" s="18" t="n">
        <v>63.52493412</v>
      </c>
      <c r="H40" s="20" t="n">
        <v>1.93523894</v>
      </c>
      <c r="I40" s="18" t="n">
        <v>0</v>
      </c>
      <c r="J40" s="20" t="n">
        <v>0</v>
      </c>
      <c r="K40" s="18" t="n">
        <v>0.03884703</v>
      </c>
      <c r="L40" s="20" t="n">
        <v>0.02789466</v>
      </c>
      <c r="M40" s="18" t="n">
        <v>0</v>
      </c>
      <c r="N40" s="20" t="n">
        <v>0</v>
      </c>
      <c r="O40" s="18" t="n">
        <v>0</v>
      </c>
      <c r="P40" s="20" t="n">
        <v>0</v>
      </c>
      <c r="Q40" s="18" t="n">
        <v>0.69629138</v>
      </c>
      <c r="R40" s="20" t="n">
        <v>0.17431833</v>
      </c>
    </row>
    <row r="41" spans="1:18">
      <c r="A41" s="15" t="s">
        <v>599</v>
      </c>
      <c r="B41" s="17" t="n">
        <v>2854</v>
      </c>
      <c r="C41" s="18">
        <f>(2198.0/B41*100)</f>
        <v/>
      </c>
      <c r="D41" s="19" t="n">
        <v>656</v>
      </c>
      <c r="E41" s="18" t="n">
        <v>40.65029188</v>
      </c>
      <c r="F41" s="20" t="n">
        <v>1.80595787</v>
      </c>
      <c r="G41" s="18" t="n">
        <v>58.80330021</v>
      </c>
      <c r="H41" s="20" t="n">
        <v>1.83093281</v>
      </c>
      <c r="I41" s="18" t="n">
        <v>0</v>
      </c>
      <c r="J41" s="20" t="n">
        <v>0</v>
      </c>
      <c r="K41" s="18" t="n">
        <v>0</v>
      </c>
      <c r="L41" s="20" t="n">
        <v>0</v>
      </c>
      <c r="M41" s="18" t="n">
        <v>0</v>
      </c>
      <c r="N41" s="20" t="n">
        <v>0</v>
      </c>
      <c r="O41" s="18" t="n">
        <v>0</v>
      </c>
      <c r="P41" s="20" t="n">
        <v>0</v>
      </c>
      <c r="Q41" s="18" t="n">
        <v>0.54640791</v>
      </c>
      <c r="R41" s="20" t="n">
        <v>0.24856246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(9539.0/B46*100)</f>
        <v/>
      </c>
      <c r="D46" s="19" t="n">
        <v>2534</v>
      </c>
      <c r="E46" s="18" t="n">
        <v>57.49304897</v>
      </c>
      <c r="F46" s="20" t="n">
        <v>1.53113855</v>
      </c>
      <c r="G46" s="18" t="n">
        <v>40.47797309</v>
      </c>
      <c r="H46" s="20" t="n">
        <v>1.4608281</v>
      </c>
      <c r="I46" s="18" t="n">
        <v>0</v>
      </c>
      <c r="J46" s="20" t="n">
        <v>0</v>
      </c>
      <c r="K46" s="18" t="n">
        <v>0.16106771</v>
      </c>
      <c r="L46" s="20" t="n">
        <v>0.08140512</v>
      </c>
      <c r="M46" s="18" t="n">
        <v>0</v>
      </c>
      <c r="N46" s="20" t="n">
        <v>0</v>
      </c>
      <c r="O46" s="18" t="n">
        <v>0</v>
      </c>
      <c r="P46" s="20" t="n">
        <v>0</v>
      </c>
      <c r="Q46" s="18" t="n">
        <v>1.86791022</v>
      </c>
      <c r="R46" s="20" t="n">
        <v>0.40877312</v>
      </c>
    </row>
    <row r="47" spans="1:18">
      <c r="A47" s="15" t="s">
        <v>606</v>
      </c>
      <c r="B47" s="17" t="n">
        <v>2823</v>
      </c>
      <c r="C47" s="18">
        <f>(2203.0/B47*100)</f>
        <v/>
      </c>
      <c r="D47" s="19" t="n">
        <v>620</v>
      </c>
      <c r="E47" s="18" t="n">
        <v>46.18098941</v>
      </c>
      <c r="F47" s="20" t="n">
        <v>2.27039807</v>
      </c>
      <c r="G47" s="18" t="n">
        <v>52.54008011</v>
      </c>
      <c r="H47" s="20" t="n">
        <v>2.27511865</v>
      </c>
      <c r="I47" s="18" t="n">
        <v>0</v>
      </c>
      <c r="J47" s="20" t="n">
        <v>0</v>
      </c>
      <c r="K47" s="18" t="n">
        <v>0</v>
      </c>
      <c r="L47" s="20" t="n">
        <v>0</v>
      </c>
      <c r="M47" s="18" t="n">
        <v>0</v>
      </c>
      <c r="N47" s="20" t="n">
        <v>0</v>
      </c>
      <c r="O47" s="18" t="n">
        <v>0</v>
      </c>
      <c r="P47" s="20" t="n">
        <v>0</v>
      </c>
      <c r="Q47" s="18" t="n">
        <v>1.27893048</v>
      </c>
      <c r="R47" s="20" t="n">
        <v>0.44470472</v>
      </c>
    </row>
    <row r="48" spans="1:18">
      <c r="A48" s="15" t="s">
        <v>607</v>
      </c>
      <c r="B48" s="17" t="n">
        <v>4682</v>
      </c>
      <c r="C48" s="18">
        <f>(3621.0/B48*100)</f>
        <v/>
      </c>
      <c r="D48" s="19" t="n">
        <v>1061</v>
      </c>
      <c r="E48" s="18" t="n">
        <v>35.75341572</v>
      </c>
      <c r="F48" s="20" t="n">
        <v>1.75032563</v>
      </c>
      <c r="G48" s="18" t="n">
        <v>62.43130351</v>
      </c>
      <c r="H48" s="20" t="n">
        <v>1.76374165</v>
      </c>
      <c r="I48" s="18" t="n">
        <v>0</v>
      </c>
      <c r="J48" s="20" t="n">
        <v>0</v>
      </c>
      <c r="K48" s="18" t="n">
        <v>0.5597086100000001</v>
      </c>
      <c r="L48" s="20" t="n">
        <v>0.28818703</v>
      </c>
      <c r="M48" s="18" t="n">
        <v>0</v>
      </c>
      <c r="N48" s="20" t="n">
        <v>0</v>
      </c>
      <c r="O48" s="18" t="n">
        <v>0</v>
      </c>
      <c r="P48" s="20" t="n">
        <v>0</v>
      </c>
      <c r="Q48" s="18" t="n">
        <v>1.25557217</v>
      </c>
      <c r="R48" s="20" t="n">
        <v>0.44673041</v>
      </c>
    </row>
    <row r="49" spans="1:18">
      <c r="A49" s="15" t="s">
        <v>608</v>
      </c>
      <c r="B49" s="17" t="n">
        <v>6158</v>
      </c>
      <c r="C49" s="18">
        <f>(4811.0/B49*100)</f>
        <v/>
      </c>
      <c r="D49" s="19" t="n">
        <v>1347</v>
      </c>
      <c r="E49" s="18" t="n">
        <v>72.41958167</v>
      </c>
      <c r="F49" s="20" t="n">
        <v>1.62889087</v>
      </c>
      <c r="G49" s="18" t="n">
        <v>25.91796861</v>
      </c>
      <c r="H49" s="20" t="n">
        <v>1.67037455</v>
      </c>
      <c r="I49" s="18" t="n">
        <v>0</v>
      </c>
      <c r="J49" s="20" t="n">
        <v>0</v>
      </c>
      <c r="K49" s="18" t="n">
        <v>0.507953</v>
      </c>
      <c r="L49" s="20" t="n">
        <v>0.24267848</v>
      </c>
      <c r="M49" s="18" t="n">
        <v>0</v>
      </c>
      <c r="N49" s="20" t="n">
        <v>0</v>
      </c>
      <c r="O49" s="18" t="n">
        <v>0</v>
      </c>
      <c r="P49" s="20" t="n">
        <v>0</v>
      </c>
      <c r="Q49" s="18" t="n">
        <v>1.15449671</v>
      </c>
      <c r="R49" s="20" t="n">
        <v>0.36150517</v>
      </c>
    </row>
    <row r="50" spans="1:18">
      <c r="A50" s="15" t="s">
        <v>609</v>
      </c>
      <c r="B50" s="17" t="n">
        <v>3494</v>
      </c>
      <c r="C50" s="18">
        <f>(2782.0/B50*100)</f>
        <v/>
      </c>
      <c r="D50" s="19" t="n">
        <v>712</v>
      </c>
      <c r="E50" s="18" t="n">
        <v>60.30758265</v>
      </c>
      <c r="F50" s="20" t="n">
        <v>1.6504431</v>
      </c>
      <c r="G50" s="18" t="n">
        <v>38.48270712</v>
      </c>
      <c r="H50" s="20" t="n">
        <v>1.791358</v>
      </c>
      <c r="I50" s="18" t="n">
        <v>0</v>
      </c>
      <c r="J50" s="20" t="n">
        <v>0</v>
      </c>
      <c r="K50" s="18" t="n">
        <v>0</v>
      </c>
      <c r="L50" s="20" t="n">
        <v>0</v>
      </c>
      <c r="M50" s="18" t="n">
        <v>0</v>
      </c>
      <c r="N50" s="20" t="n">
        <v>0</v>
      </c>
      <c r="O50" s="18" t="n">
        <v>0</v>
      </c>
      <c r="P50" s="20" t="n">
        <v>0</v>
      </c>
      <c r="Q50" s="18" t="n">
        <v>1.20971023</v>
      </c>
      <c r="R50" s="20" t="n">
        <v>0.46473037</v>
      </c>
    </row>
    <row r="51" spans="1:18">
      <c r="A51" s="15" t="s">
        <v>610</v>
      </c>
      <c r="B51" s="17" t="n">
        <v>3013</v>
      </c>
      <c r="C51" s="18">
        <f>(2344.0/B51*100)</f>
        <v/>
      </c>
      <c r="D51" s="19" t="n">
        <v>669</v>
      </c>
      <c r="E51" s="18" t="n">
        <v>46.8601852</v>
      </c>
      <c r="F51" s="20" t="n">
        <v>2.17466228</v>
      </c>
      <c r="G51" s="18" t="n">
        <v>51.89553541</v>
      </c>
      <c r="H51" s="20" t="n">
        <v>2.08965091</v>
      </c>
      <c r="I51" s="18" t="n">
        <v>0</v>
      </c>
      <c r="J51" s="20" t="n">
        <v>0</v>
      </c>
      <c r="K51" s="18" t="n">
        <v>0.13781946</v>
      </c>
      <c r="L51" s="20" t="n">
        <v>0.13746443</v>
      </c>
      <c r="M51" s="18" t="n">
        <v>0</v>
      </c>
      <c r="N51" s="20" t="n">
        <v>0</v>
      </c>
      <c r="O51" s="18" t="n">
        <v>0</v>
      </c>
      <c r="P51" s="20" t="n">
        <v>0</v>
      </c>
      <c r="Q51" s="18" t="n">
        <v>1.10645993</v>
      </c>
      <c r="R51" s="20" t="n">
        <v>0.35159458</v>
      </c>
    </row>
    <row r="52" spans="1:18">
      <c r="A52" s="15" t="s">
        <v>611</v>
      </c>
      <c r="B52" s="17" t="n">
        <v>2760</v>
      </c>
      <c r="C52" s="18">
        <f>(2138.0/B52*100)</f>
        <v/>
      </c>
      <c r="D52" s="19" t="n">
        <v>622</v>
      </c>
      <c r="E52" s="18" t="n">
        <v>65.25907633</v>
      </c>
      <c r="F52" s="20" t="n">
        <v>2.12857417</v>
      </c>
      <c r="G52" s="18" t="n">
        <v>33.98946613</v>
      </c>
      <c r="H52" s="20" t="n">
        <v>2.11615932</v>
      </c>
      <c r="I52" s="18" t="n">
        <v>0</v>
      </c>
      <c r="J52" s="20" t="n">
        <v>0</v>
      </c>
      <c r="K52" s="18" t="n">
        <v>0</v>
      </c>
      <c r="L52" s="20" t="n">
        <v>0</v>
      </c>
      <c r="M52" s="18" t="n">
        <v>0</v>
      </c>
      <c r="N52" s="20" t="n">
        <v>0</v>
      </c>
      <c r="O52" s="18" t="n">
        <v>0</v>
      </c>
      <c r="P52" s="20" t="n">
        <v>0</v>
      </c>
      <c r="Q52" s="18" t="n">
        <v>0.75145754</v>
      </c>
      <c r="R52" s="20" t="n">
        <v>0.35698596</v>
      </c>
    </row>
    <row r="53" spans="1:18">
      <c r="A53" s="15" t="s">
        <v>612</v>
      </c>
      <c r="B53" s="17" t="n">
        <v>2474</v>
      </c>
      <c r="C53" s="18">
        <f>(1939.0/B53*100)</f>
        <v/>
      </c>
      <c r="D53" s="19" t="n">
        <v>535</v>
      </c>
      <c r="E53" s="18" t="n">
        <v>67.6900732</v>
      </c>
      <c r="F53" s="20" t="n">
        <v>1.95727719</v>
      </c>
      <c r="G53" s="18" t="n">
        <v>22.95428862</v>
      </c>
      <c r="H53" s="20" t="n">
        <v>1.65887712</v>
      </c>
      <c r="I53" s="18" t="n">
        <v>0</v>
      </c>
      <c r="J53" s="20" t="n">
        <v>0</v>
      </c>
      <c r="K53" s="18" t="n">
        <v>5.56429652</v>
      </c>
      <c r="L53" s="20" t="n">
        <v>1.16806489</v>
      </c>
      <c r="M53" s="18" t="n">
        <v>0</v>
      </c>
      <c r="N53" s="20" t="n">
        <v>0</v>
      </c>
      <c r="O53" s="18" t="n">
        <v>0</v>
      </c>
      <c r="P53" s="20" t="n">
        <v>0</v>
      </c>
      <c r="Q53" s="18" t="n">
        <v>3.79134167</v>
      </c>
      <c r="R53" s="20" t="n">
        <v>1.00034805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(2042.0/B55*100)</f>
        <v/>
      </c>
      <c r="D55" s="19" t="n">
        <v>633</v>
      </c>
      <c r="E55" s="18" t="n">
        <v>31.29050385</v>
      </c>
      <c r="F55" s="20" t="n">
        <v>1.98971349</v>
      </c>
      <c r="G55" s="18" t="n">
        <v>68.16337670999999</v>
      </c>
      <c r="H55" s="20" t="n">
        <v>1.96741631</v>
      </c>
      <c r="I55" s="18" t="n">
        <v>0</v>
      </c>
      <c r="J55" s="20" t="n">
        <v>0</v>
      </c>
      <c r="K55" s="18" t="n">
        <v>0</v>
      </c>
      <c r="L55" s="20" t="n">
        <v>0</v>
      </c>
      <c r="M55" s="18" t="n">
        <v>0</v>
      </c>
      <c r="N55" s="20" t="n">
        <v>0</v>
      </c>
      <c r="O55" s="18" t="n">
        <v>0</v>
      </c>
      <c r="P55" s="20" t="n">
        <v>0</v>
      </c>
      <c r="Q55" s="18" t="n">
        <v>0.54611944</v>
      </c>
      <c r="R55" s="20" t="n">
        <v>0.31711605</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(2474.0/B61*100)</f>
        <v/>
      </c>
      <c r="D61" s="19" t="n">
        <v>727</v>
      </c>
      <c r="E61" s="18" t="n">
        <v>45.03759968</v>
      </c>
      <c r="F61" s="20" t="n">
        <v>2.16298754</v>
      </c>
      <c r="G61" s="18" t="n">
        <v>53.96140157</v>
      </c>
      <c r="H61" s="20" t="n">
        <v>2.18742329</v>
      </c>
      <c r="I61" s="18" t="n">
        <v>0</v>
      </c>
      <c r="J61" s="20" t="n">
        <v>0</v>
      </c>
      <c r="K61" s="18" t="n">
        <v>0</v>
      </c>
      <c r="L61" s="20" t="n">
        <v>0</v>
      </c>
      <c r="M61" s="18" t="n">
        <v>0</v>
      </c>
      <c r="N61" s="20" t="n">
        <v>0</v>
      </c>
      <c r="O61" s="18" t="n">
        <v>0</v>
      </c>
      <c r="P61" s="20" t="n">
        <v>0</v>
      </c>
      <c r="Q61" s="18" t="n">
        <v>1.00099875</v>
      </c>
      <c r="R61" s="20" t="n">
        <v>0.4090462</v>
      </c>
    </row>
    <row r="62" spans="1:18">
      <c r="A62" s="15" t="s">
        <v>622</v>
      </c>
      <c r="B62" s="17" t="n">
        <v>2230</v>
      </c>
      <c r="C62" s="18">
        <f>(1725.0/B62*100)</f>
        <v/>
      </c>
      <c r="D62" s="19" t="n">
        <v>505</v>
      </c>
      <c r="E62" s="18" t="n">
        <v>27.16829097</v>
      </c>
      <c r="F62" s="20" t="n">
        <v>2.06237426</v>
      </c>
      <c r="G62" s="18" t="n">
        <v>72.43844015000001</v>
      </c>
      <c r="H62" s="20" t="n">
        <v>2.13149338</v>
      </c>
      <c r="I62" s="18" t="n">
        <v>0</v>
      </c>
      <c r="J62" s="20" t="n">
        <v>0</v>
      </c>
      <c r="K62" s="18" t="n">
        <v>0</v>
      </c>
      <c r="L62" s="20" t="n">
        <v>0</v>
      </c>
      <c r="M62" s="18" t="n">
        <v>0</v>
      </c>
      <c r="N62" s="20" t="n">
        <v>0</v>
      </c>
      <c r="O62" s="18" t="n">
        <v>0</v>
      </c>
      <c r="P62" s="20" t="n">
        <v>0</v>
      </c>
      <c r="Q62" s="18" t="n">
        <v>0.39326889</v>
      </c>
      <c r="R62" s="20" t="n">
        <v>0.27740566</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(2163.0/B67*100)</f>
        <v/>
      </c>
      <c r="D67" s="19" t="n">
        <v>608</v>
      </c>
      <c r="E67" s="18" t="n">
        <v>50.24139858</v>
      </c>
      <c r="F67" s="20" t="n">
        <v>2.15302255</v>
      </c>
      <c r="G67" s="18" t="n">
        <v>47.12336399</v>
      </c>
      <c r="H67" s="20" t="n">
        <v>2.04437252</v>
      </c>
      <c r="I67" s="18" t="n">
        <v>0</v>
      </c>
      <c r="J67" s="20" t="n">
        <v>0</v>
      </c>
      <c r="K67" s="18" t="n">
        <v>0</v>
      </c>
      <c r="L67" s="20" t="n">
        <v>0</v>
      </c>
      <c r="M67" s="18" t="n">
        <v>0</v>
      </c>
      <c r="N67" s="20" t="n">
        <v>0</v>
      </c>
      <c r="O67" s="18" t="n">
        <v>0</v>
      </c>
      <c r="P67" s="20" t="n">
        <v>0</v>
      </c>
      <c r="Q67" s="18" t="n">
        <v>2.63523743</v>
      </c>
      <c r="R67" s="20" t="n">
        <v>0.64732269</v>
      </c>
    </row>
    <row r="68" spans="1:18">
      <c r="A68" s="15" t="s">
        <v>628</v>
      </c>
      <c r="B68" s="17" t="n">
        <v>3460</v>
      </c>
      <c r="C68" s="18">
        <f>(2746.0/B68*100)</f>
        <v/>
      </c>
      <c r="D68" s="19" t="n">
        <v>714</v>
      </c>
      <c r="E68" s="18" t="n">
        <v>74.33146875</v>
      </c>
      <c r="F68" s="20" t="n">
        <v>1.87174992</v>
      </c>
      <c r="G68" s="18" t="n">
        <v>23.29830519</v>
      </c>
      <c r="H68" s="20" t="n">
        <v>1.79331663</v>
      </c>
      <c r="I68" s="18" t="n">
        <v>0</v>
      </c>
      <c r="J68" s="20" t="n">
        <v>0</v>
      </c>
      <c r="K68" s="18" t="n">
        <v>0.13143186</v>
      </c>
      <c r="L68" s="20" t="n">
        <v>0.12779194</v>
      </c>
      <c r="M68" s="18" t="n">
        <v>0</v>
      </c>
      <c r="N68" s="20" t="n">
        <v>0</v>
      </c>
      <c r="O68" s="18" t="n">
        <v>0</v>
      </c>
      <c r="P68" s="20" t="n">
        <v>0</v>
      </c>
      <c r="Q68" s="18" t="n">
        <v>2.2387942</v>
      </c>
      <c r="R68" s="20" t="n">
        <v>0.47807872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(4649.0/B70*100)</f>
        <v/>
      </c>
      <c r="D70" s="19" t="n">
        <v>1385</v>
      </c>
      <c r="E70" s="18" t="n">
        <v>67.04168034</v>
      </c>
      <c r="F70" s="20" t="n">
        <v>1.08027519</v>
      </c>
      <c r="G70" s="18" t="n">
        <v>30.49425037</v>
      </c>
      <c r="H70" s="20" t="n">
        <v>1.08826019</v>
      </c>
      <c r="I70" s="18" t="n">
        <v>0</v>
      </c>
      <c r="J70" s="20" t="n">
        <v>0</v>
      </c>
      <c r="K70" s="18" t="n">
        <v>0.49409815</v>
      </c>
      <c r="L70" s="20" t="n">
        <v>0.18593614</v>
      </c>
      <c r="M70" s="18" t="n">
        <v>0</v>
      </c>
      <c r="N70" s="20" t="n">
        <v>0</v>
      </c>
      <c r="O70" s="18" t="n">
        <v>0</v>
      </c>
      <c r="P70" s="20" t="n">
        <v>0</v>
      </c>
      <c r="Q70" s="18" t="n">
        <v>1.96997114</v>
      </c>
      <c r="R70" s="20" t="n">
        <v>0.41189641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(2493.0/B72*100)</f>
        <v/>
      </c>
      <c r="D72" s="19" t="n">
        <v>614</v>
      </c>
      <c r="E72" s="18" t="n">
        <v>38.81839169</v>
      </c>
      <c r="F72" s="20" t="n">
        <v>2.53444498</v>
      </c>
      <c r="G72" s="18" t="n">
        <v>60.3560554</v>
      </c>
      <c r="H72" s="20" t="n">
        <v>2.48497647</v>
      </c>
      <c r="I72" s="18" t="n">
        <v>0</v>
      </c>
      <c r="J72" s="20" t="n">
        <v>0</v>
      </c>
      <c r="K72" s="18" t="n">
        <v>0</v>
      </c>
      <c r="L72" s="20" t="n">
        <v>0</v>
      </c>
      <c r="M72" s="18" t="n">
        <v>0</v>
      </c>
      <c r="N72" s="20" t="n">
        <v>0</v>
      </c>
      <c r="O72" s="18" t="n">
        <v>0</v>
      </c>
      <c r="P72" s="20" t="n">
        <v>0</v>
      </c>
      <c r="Q72" s="18" t="n">
        <v>0.82555291</v>
      </c>
      <c r="R72" s="20" t="n">
        <v>0.40927397</v>
      </c>
    </row>
    <row r="73" spans="1:18">
      <c r="A73" s="15" t="s">
        <v>633</v>
      </c>
      <c r="B73" s="17" t="n">
        <v>2973</v>
      </c>
      <c r="C73" s="18">
        <f>(2329.0/B73*100)</f>
        <v/>
      </c>
      <c r="D73" s="19" t="n">
        <v>644</v>
      </c>
      <c r="E73" s="18" t="n">
        <v>33.12143058</v>
      </c>
      <c r="F73" s="20" t="n">
        <v>1.89509786</v>
      </c>
      <c r="G73" s="18" t="n">
        <v>65.96545343</v>
      </c>
      <c r="H73" s="20" t="n">
        <v>1.92182525</v>
      </c>
      <c r="I73" s="18" t="n">
        <v>0</v>
      </c>
      <c r="J73" s="20" t="n">
        <v>0</v>
      </c>
      <c r="K73" s="18" t="n">
        <v>0.33694263</v>
      </c>
      <c r="L73" s="20" t="n">
        <v>0.23849512</v>
      </c>
      <c r="M73" s="18" t="n">
        <v>0</v>
      </c>
      <c r="N73" s="20" t="n">
        <v>0</v>
      </c>
      <c r="O73" s="18" t="n">
        <v>0</v>
      </c>
      <c r="P73" s="20" t="n">
        <v>0</v>
      </c>
      <c r="Q73" s="18" t="n">
        <v>0.57617336</v>
      </c>
      <c r="R73" s="20" t="n">
        <v>0.33577299</v>
      </c>
    </row>
    <row r="74" spans="1:18">
      <c r="A74" s="15" t="s">
        <v>634</v>
      </c>
      <c r="B74" s="17" t="n">
        <v>3819</v>
      </c>
      <c r="C74" s="18">
        <f>(2977.0/B74*100)</f>
        <v/>
      </c>
      <c r="D74" s="19" t="n">
        <v>842</v>
      </c>
      <c r="E74" s="18" t="n">
        <v>36.63761853</v>
      </c>
      <c r="F74" s="20" t="n">
        <v>1.86449894</v>
      </c>
      <c r="G74" s="18" t="n">
        <v>63.07236073</v>
      </c>
      <c r="H74" s="20" t="n">
        <v>1.86365628</v>
      </c>
      <c r="I74" s="18" t="n">
        <v>0</v>
      </c>
      <c r="J74" s="20" t="n">
        <v>0</v>
      </c>
      <c r="K74" s="18" t="n">
        <v>0</v>
      </c>
      <c r="L74" s="20" t="n">
        <v>0</v>
      </c>
      <c r="M74" s="18" t="n">
        <v>0</v>
      </c>
      <c r="N74" s="20" t="n">
        <v>0</v>
      </c>
      <c r="O74" s="18" t="n">
        <v>0</v>
      </c>
      <c r="P74" s="20" t="n">
        <v>0</v>
      </c>
      <c r="Q74" s="18" t="n">
        <v>0.29002074</v>
      </c>
      <c r="R74" s="20" t="n">
        <v>0.17119036</v>
      </c>
    </row>
    <row r="75" spans="1:18">
      <c r="A75" s="15" t="s">
        <v>635</v>
      </c>
      <c r="B75" s="17" t="n">
        <v>4652</v>
      </c>
      <c r="C75" s="18">
        <f>(3632.0/B75*100)</f>
        <v/>
      </c>
      <c r="D75" s="19" t="n">
        <v>1020</v>
      </c>
      <c r="E75" s="18" t="n">
        <v>62.57708243</v>
      </c>
      <c r="F75" s="20" t="n">
        <v>1.68224941</v>
      </c>
      <c r="G75" s="18" t="n">
        <v>36.83263688</v>
      </c>
      <c r="H75" s="20" t="n">
        <v>1.65254308</v>
      </c>
      <c r="I75" s="18" t="n">
        <v>0</v>
      </c>
      <c r="J75" s="20" t="n">
        <v>0</v>
      </c>
      <c r="K75" s="18" t="n">
        <v>0</v>
      </c>
      <c r="L75" s="20" t="n">
        <v>0</v>
      </c>
      <c r="M75" s="18" t="n">
        <v>0</v>
      </c>
      <c r="N75" s="20" t="n">
        <v>0</v>
      </c>
      <c r="O75" s="18" t="n">
        <v>0</v>
      </c>
      <c r="P75" s="20" t="n">
        <v>0</v>
      </c>
      <c r="Q75" s="18" t="n">
        <v>0.5902806900000001</v>
      </c>
      <c r="R75" s="20" t="n">
        <v>0.18206507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(2378.0/B77*100)</f>
        <v/>
      </c>
      <c r="D77" s="19" t="n">
        <v>591</v>
      </c>
      <c r="E77" s="18" t="n">
        <v>72.49900482</v>
      </c>
      <c r="F77" s="20" t="n">
        <v>1.6544318</v>
      </c>
      <c r="G77" s="18" t="n">
        <v>23.23168371</v>
      </c>
      <c r="H77" s="20" t="n">
        <v>1.6774216</v>
      </c>
      <c r="I77" s="18" t="n">
        <v>0</v>
      </c>
      <c r="J77" s="20" t="n">
        <v>0</v>
      </c>
      <c r="K77" s="18" t="n">
        <v>0.78353144</v>
      </c>
      <c r="L77" s="20" t="n">
        <v>0.33438637</v>
      </c>
      <c r="M77" s="18" t="n">
        <v>0</v>
      </c>
      <c r="N77" s="20" t="n">
        <v>0</v>
      </c>
      <c r="O77" s="18" t="n">
        <v>0</v>
      </c>
      <c r="P77" s="20" t="n">
        <v>0</v>
      </c>
      <c r="Q77" s="18" t="n">
        <v>3.48578002</v>
      </c>
      <c r="R77" s="20" t="n">
        <v>0.77491368</v>
      </c>
    </row>
    <row r="78" spans="1:18">
      <c r="A78" s="15" t="s">
        <v>638</v>
      </c>
      <c r="B78" s="17" t="n">
        <v>7115</v>
      </c>
      <c r="C78" s="18">
        <f>(5562.0/B78*100)</f>
        <v/>
      </c>
      <c r="D78" s="19" t="n">
        <v>1553</v>
      </c>
      <c r="E78" s="18" t="n">
        <v>63.52411016</v>
      </c>
      <c r="F78" s="20" t="n">
        <v>1.71837531</v>
      </c>
      <c r="G78" s="18" t="n">
        <v>35.25282569</v>
      </c>
      <c r="H78" s="20" t="n">
        <v>1.75521407</v>
      </c>
      <c r="I78" s="18" t="n">
        <v>0</v>
      </c>
      <c r="J78" s="20" t="n">
        <v>0</v>
      </c>
      <c r="K78" s="18" t="n">
        <v>0.19204622</v>
      </c>
      <c r="L78" s="20" t="n">
        <v>0.1089204</v>
      </c>
      <c r="M78" s="18" t="n">
        <v>0</v>
      </c>
      <c r="N78" s="20" t="n">
        <v>0</v>
      </c>
      <c r="O78" s="18" t="n">
        <v>0</v>
      </c>
      <c r="P78" s="20" t="n">
        <v>0</v>
      </c>
      <c r="Q78" s="18" t="n">
        <v>1.03101793</v>
      </c>
      <c r="R78" s="20" t="n">
        <v>0.33875769</v>
      </c>
    </row>
    <row r="79" spans="1:18">
      <c r="A79" s="15" t="s">
        <v>639</v>
      </c>
      <c r="B79" s="17" t="n">
        <v>3154</v>
      </c>
      <c r="C79" s="18">
        <f>(2449.0/B79*100)</f>
        <v/>
      </c>
      <c r="D79" s="19" t="n">
        <v>705</v>
      </c>
      <c r="E79" s="18" t="n">
        <v>64.89217524999999</v>
      </c>
      <c r="F79" s="20" t="n">
        <v>1.99803487</v>
      </c>
      <c r="G79" s="18" t="n">
        <v>32.56882174</v>
      </c>
      <c r="H79" s="20" t="n">
        <v>1.93844843</v>
      </c>
      <c r="I79" s="18" t="n">
        <v>0</v>
      </c>
      <c r="J79" s="20" t="n">
        <v>0</v>
      </c>
      <c r="K79" s="18" t="n">
        <v>0.15414834</v>
      </c>
      <c r="L79" s="20" t="n">
        <v>0.13530979</v>
      </c>
      <c r="M79" s="18" t="n">
        <v>0</v>
      </c>
      <c r="N79" s="20" t="n">
        <v>0</v>
      </c>
      <c r="O79" s="18" t="n">
        <v>0</v>
      </c>
      <c r="P79" s="20" t="n">
        <v>0</v>
      </c>
      <c r="Q79" s="18" t="n">
        <v>2.38485466</v>
      </c>
      <c r="R79" s="20" t="n">
        <v>0.52106198</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(12420.0/B82*100)</f>
        <v/>
      </c>
      <c r="D82" s="19" t="n">
        <v>3541</v>
      </c>
      <c r="E82" s="18" t="n">
        <v>47.96705503</v>
      </c>
      <c r="F82" s="20" t="n">
        <v>1.1312476</v>
      </c>
      <c r="G82" s="18" t="n">
        <v>51.31417215</v>
      </c>
      <c r="H82" s="20" t="n">
        <v>1.08439307</v>
      </c>
      <c r="I82" s="18" t="n">
        <v>0</v>
      </c>
      <c r="J82" s="20" t="n">
        <v>0</v>
      </c>
      <c r="K82" s="18" t="n">
        <v>0</v>
      </c>
      <c r="L82" s="20" t="n">
        <v>0</v>
      </c>
      <c r="M82" s="18" t="n">
        <v>0</v>
      </c>
      <c r="N82" s="20" t="n">
        <v>0</v>
      </c>
      <c r="O82" s="18" t="n">
        <v>0</v>
      </c>
      <c r="P82" s="20" t="n">
        <v>0</v>
      </c>
      <c r="Q82" s="18" t="n">
        <v>0.71877283</v>
      </c>
      <c r="R82" s="20" t="n">
        <v>0.23629022</v>
      </c>
    </row>
    <row r="83" spans="1:18">
      <c r="A83" s="15" t="s">
        <v>643</v>
      </c>
      <c r="B83" s="17" t="n">
        <v>808</v>
      </c>
      <c r="C83" s="18">
        <f>(632.0/B83*100)</f>
        <v/>
      </c>
      <c r="D83" s="19" t="n">
        <v>176</v>
      </c>
      <c r="E83" s="18" t="n">
        <v>27.87998051</v>
      </c>
      <c r="F83" s="20" t="n">
        <v>2.77802192</v>
      </c>
      <c r="G83" s="18" t="n">
        <v>72.12001949</v>
      </c>
      <c r="H83" s="20" t="n">
        <v>2.77802192</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(739.0/B84*100)</f>
        <v/>
      </c>
      <c r="D84" s="19" t="n">
        <v>199</v>
      </c>
      <c r="E84" s="18" t="n">
        <v>32.35458902</v>
      </c>
      <c r="F84" s="20" t="n">
        <v>2.97437512</v>
      </c>
      <c r="G84" s="18" t="n">
        <v>66.62358309</v>
      </c>
      <c r="H84" s="20" t="n">
        <v>3.10786638</v>
      </c>
      <c r="I84" s="18" t="n">
        <v>0</v>
      </c>
      <c r="J84" s="20" t="n">
        <v>0</v>
      </c>
      <c r="K84" s="18" t="n">
        <v>0</v>
      </c>
      <c r="L84" s="20" t="n">
        <v>0</v>
      </c>
      <c r="M84" s="18" t="n">
        <v>0</v>
      </c>
      <c r="N84" s="20" t="n">
        <v>0</v>
      </c>
      <c r="O84" s="18" t="n">
        <v>0</v>
      </c>
      <c r="P84" s="20" t="n">
        <v>0</v>
      </c>
      <c r="Q84" s="18" t="n">
        <v>1.02182789</v>
      </c>
      <c r="R84" s="20" t="n">
        <v>0.70758222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(5587.0/B7*100)</f>
        <v/>
      </c>
      <c r="D7" s="19" t="n">
        <v>1576</v>
      </c>
      <c r="E7" s="18" t="n">
        <v>41.92259504</v>
      </c>
      <c r="F7" s="20" t="n">
        <v>1.37976042</v>
      </c>
      <c r="G7" s="18" t="n">
        <v>57.49077481</v>
      </c>
      <c r="H7" s="20" t="n">
        <v>1.37530356</v>
      </c>
      <c r="I7" s="18" t="n">
        <v>0</v>
      </c>
      <c r="J7" s="20" t="n">
        <v>0</v>
      </c>
      <c r="K7" s="18" t="n">
        <v>0</v>
      </c>
      <c r="L7" s="20" t="n">
        <v>0</v>
      </c>
      <c r="M7" s="18" t="n">
        <v>0</v>
      </c>
      <c r="N7" s="20" t="n">
        <v>0</v>
      </c>
      <c r="O7" s="18" t="n">
        <v>0</v>
      </c>
      <c r="P7" s="20" t="n">
        <v>0</v>
      </c>
      <c r="Q7" s="18" t="n">
        <v>0.58663015</v>
      </c>
      <c r="R7" s="20" t="n">
        <v>0.23501624</v>
      </c>
    </row>
    <row r="8" spans="1:18">
      <c r="A8" s="15" t="s">
        <v>566</v>
      </c>
      <c r="B8" s="17" t="n">
        <v>3443</v>
      </c>
      <c r="C8" s="18">
        <f>(2724.0/B8*100)</f>
        <v/>
      </c>
      <c r="D8" s="19" t="n">
        <v>719</v>
      </c>
      <c r="E8" s="18" t="n">
        <v>39.85830056</v>
      </c>
      <c r="F8" s="20" t="n">
        <v>2.00063989</v>
      </c>
      <c r="G8" s="18" t="n">
        <v>58.93317433</v>
      </c>
      <c r="H8" s="20" t="n">
        <v>1.99453579</v>
      </c>
      <c r="I8" s="18" t="n">
        <v>0</v>
      </c>
      <c r="J8" s="20" t="n">
        <v>0</v>
      </c>
      <c r="K8" s="18" t="n">
        <v>0</v>
      </c>
      <c r="L8" s="20" t="n">
        <v>0</v>
      </c>
      <c r="M8" s="18" t="n">
        <v>0</v>
      </c>
      <c r="N8" s="20" t="n">
        <v>0</v>
      </c>
      <c r="O8" s="18" t="n">
        <v>0</v>
      </c>
      <c r="P8" s="20" t="n">
        <v>0</v>
      </c>
      <c r="Q8" s="18" t="n">
        <v>1.20852511</v>
      </c>
      <c r="R8" s="20" t="n">
        <v>0.47469191</v>
      </c>
    </row>
    <row r="9" spans="1:18">
      <c r="A9" s="15" t="s">
        <v>567</v>
      </c>
      <c r="B9" s="17" t="n">
        <v>4752</v>
      </c>
      <c r="C9" s="18">
        <f>(3711.0/B9*100)</f>
        <v/>
      </c>
      <c r="D9" s="19" t="n">
        <v>1041</v>
      </c>
      <c r="E9" s="18" t="n">
        <v>39.07646535</v>
      </c>
      <c r="F9" s="20" t="n">
        <v>1.63848299</v>
      </c>
      <c r="G9" s="18" t="n">
        <v>60.29103695</v>
      </c>
      <c r="H9" s="20" t="n">
        <v>1.68195313</v>
      </c>
      <c r="I9" s="18" t="n">
        <v>0</v>
      </c>
      <c r="J9" s="20" t="n">
        <v>0</v>
      </c>
      <c r="K9" s="18" t="n">
        <v>0.19444122</v>
      </c>
      <c r="L9" s="20" t="n">
        <v>0.14201285</v>
      </c>
      <c r="M9" s="18" t="n">
        <v>0</v>
      </c>
      <c r="N9" s="20" t="n">
        <v>0</v>
      </c>
      <c r="O9" s="18" t="n">
        <v>0</v>
      </c>
      <c r="P9" s="20" t="n">
        <v>0</v>
      </c>
      <c r="Q9" s="18" t="n">
        <v>0.43805648</v>
      </c>
      <c r="R9" s="20" t="n">
        <v>0.2188409</v>
      </c>
    </row>
    <row r="10" spans="1:18">
      <c r="A10" s="15" t="s">
        <v>568</v>
      </c>
      <c r="B10" s="17" t="n">
        <v>10022</v>
      </c>
      <c r="C10" s="18">
        <f>(7840.0/B10*100)</f>
        <v/>
      </c>
      <c r="D10" s="19" t="n">
        <v>2182</v>
      </c>
      <c r="E10" s="18" t="n">
        <v>41.19833193</v>
      </c>
      <c r="F10" s="20" t="n">
        <v>1.39635768</v>
      </c>
      <c r="G10" s="18" t="n">
        <v>58.28244268</v>
      </c>
      <c r="H10" s="20" t="n">
        <v>1.43731771</v>
      </c>
      <c r="I10" s="18" t="n">
        <v>0</v>
      </c>
      <c r="J10" s="20" t="n">
        <v>0</v>
      </c>
      <c r="K10" s="18" t="n">
        <v>0.11325315</v>
      </c>
      <c r="L10" s="20" t="n">
        <v>0.12482702</v>
      </c>
      <c r="M10" s="18" t="n">
        <v>0</v>
      </c>
      <c r="N10" s="20" t="n">
        <v>0</v>
      </c>
      <c r="O10" s="18" t="n">
        <v>0</v>
      </c>
      <c r="P10" s="20" t="n">
        <v>0</v>
      </c>
      <c r="Q10" s="18" t="n">
        <v>0.40597224</v>
      </c>
      <c r="R10" s="20" t="n">
        <v>0.17752351</v>
      </c>
    </row>
    <row r="11" spans="1:18">
      <c r="A11" s="15" t="s">
        <v>569</v>
      </c>
      <c r="B11" s="17" t="n">
        <v>3500</v>
      </c>
      <c r="C11" s="18">
        <f>(2750.0/B11*100)</f>
        <v/>
      </c>
      <c r="D11" s="19" t="n">
        <v>750</v>
      </c>
      <c r="E11" s="18" t="n">
        <v>56.92437064</v>
      </c>
      <c r="F11" s="20" t="n">
        <v>2.03608418</v>
      </c>
      <c r="G11" s="18" t="n">
        <v>42.14636756</v>
      </c>
      <c r="H11" s="20" t="n">
        <v>2.07495951</v>
      </c>
      <c r="I11" s="18" t="n">
        <v>0</v>
      </c>
      <c r="J11" s="20" t="n">
        <v>0</v>
      </c>
      <c r="K11" s="18" t="n">
        <v>0.10984296</v>
      </c>
      <c r="L11" s="20" t="n">
        <v>0.1068214</v>
      </c>
      <c r="M11" s="18" t="n">
        <v>0</v>
      </c>
      <c r="N11" s="20" t="n">
        <v>0</v>
      </c>
      <c r="O11" s="18" t="n">
        <v>0</v>
      </c>
      <c r="P11" s="20" t="n">
        <v>0</v>
      </c>
      <c r="Q11" s="18" t="n">
        <v>0.81941883</v>
      </c>
      <c r="R11" s="20" t="n">
        <v>0.35020722</v>
      </c>
    </row>
    <row r="12" spans="1:18">
      <c r="A12" s="15" t="s">
        <v>570</v>
      </c>
      <c r="B12" s="17" t="n">
        <v>3422</v>
      </c>
      <c r="C12" s="18">
        <f>(2652.0/B12*100)</f>
        <v/>
      </c>
      <c r="D12" s="19" t="n">
        <v>770</v>
      </c>
      <c r="E12" s="18" t="n">
        <v>35.89227973</v>
      </c>
      <c r="F12" s="20" t="n">
        <v>2.14593824</v>
      </c>
      <c r="G12" s="18" t="n">
        <v>63.6252792</v>
      </c>
      <c r="H12" s="20" t="n">
        <v>2.17032264</v>
      </c>
      <c r="I12" s="18" t="n">
        <v>0</v>
      </c>
      <c r="J12" s="20" t="n">
        <v>0</v>
      </c>
      <c r="K12" s="18" t="n">
        <v>0.11581903</v>
      </c>
      <c r="L12" s="20" t="n">
        <v>0.10973679</v>
      </c>
      <c r="M12" s="18" t="n">
        <v>0</v>
      </c>
      <c r="N12" s="20" t="n">
        <v>0</v>
      </c>
      <c r="O12" s="18" t="n">
        <v>0</v>
      </c>
      <c r="P12" s="20" t="n">
        <v>0</v>
      </c>
      <c r="Q12" s="18" t="n">
        <v>0.36662203</v>
      </c>
      <c r="R12" s="20" t="n">
        <v>0.26578441</v>
      </c>
    </row>
    <row r="13" spans="1:18">
      <c r="A13" s="15" t="s">
        <v>571</v>
      </c>
      <c r="B13" s="17" t="n">
        <v>3602</v>
      </c>
      <c r="C13" s="18">
        <f>(2829.0/B13*100)</f>
        <v/>
      </c>
      <c r="D13" s="19" t="n">
        <v>773</v>
      </c>
      <c r="E13" s="18" t="n">
        <v>31.34324863</v>
      </c>
      <c r="F13" s="20" t="n">
        <v>2.26326094</v>
      </c>
      <c r="G13" s="18" t="n">
        <v>67.67292415999999</v>
      </c>
      <c r="H13" s="20" t="n">
        <v>2.27704078</v>
      </c>
      <c r="I13" s="18" t="n">
        <v>0</v>
      </c>
      <c r="J13" s="20" t="n">
        <v>0</v>
      </c>
      <c r="K13" s="18" t="n">
        <v>0.04105897</v>
      </c>
      <c r="L13" s="20" t="n">
        <v>0.04108568</v>
      </c>
      <c r="M13" s="18" t="n">
        <v>0</v>
      </c>
      <c r="N13" s="20" t="n">
        <v>0</v>
      </c>
      <c r="O13" s="18" t="n">
        <v>0</v>
      </c>
      <c r="P13" s="20" t="n">
        <v>0</v>
      </c>
      <c r="Q13" s="18" t="n">
        <v>0.94276824</v>
      </c>
      <c r="R13" s="20" t="n">
        <v>0.33063853</v>
      </c>
    </row>
    <row r="14" spans="1:18">
      <c r="A14" s="15" t="s">
        <v>572</v>
      </c>
      <c r="B14" s="17" t="n">
        <v>2788</v>
      </c>
      <c r="C14" s="18">
        <f>(2182.0/B14*100)</f>
        <v/>
      </c>
      <c r="D14" s="19" t="n">
        <v>606</v>
      </c>
      <c r="E14" s="18" t="n">
        <v>34.84432361</v>
      </c>
      <c r="F14" s="20" t="n">
        <v>2.16856219</v>
      </c>
      <c r="G14" s="18" t="n">
        <v>65.03647036</v>
      </c>
      <c r="H14" s="20" t="n">
        <v>2.16055012</v>
      </c>
      <c r="I14" s="18" t="n">
        <v>0</v>
      </c>
      <c r="J14" s="20" t="n">
        <v>0</v>
      </c>
      <c r="K14" s="18" t="n">
        <v>0.11920603</v>
      </c>
      <c r="L14" s="20" t="n">
        <v>0.11951838</v>
      </c>
      <c r="M14" s="18" t="n">
        <v>0</v>
      </c>
      <c r="N14" s="20" t="n">
        <v>0</v>
      </c>
      <c r="O14" s="18" t="n">
        <v>0</v>
      </c>
      <c r="P14" s="20" t="n">
        <v>0</v>
      </c>
      <c r="Q14" s="18" t="n">
        <v>0</v>
      </c>
      <c r="R14" s="20" t="n">
        <v>0</v>
      </c>
    </row>
    <row r="15" spans="1:18">
      <c r="A15" s="15" t="s">
        <v>573</v>
      </c>
      <c r="B15" s="17" t="n">
        <v>2863</v>
      </c>
      <c r="C15" s="18">
        <f>(2248.0/B15*100)</f>
        <v/>
      </c>
      <c r="D15" s="19" t="n">
        <v>615</v>
      </c>
      <c r="E15" s="18" t="n">
        <v>30.61602909</v>
      </c>
      <c r="F15" s="20" t="n">
        <v>1.85071212</v>
      </c>
      <c r="G15" s="18" t="n">
        <v>68.91870557</v>
      </c>
      <c r="H15" s="20" t="n">
        <v>1.86054013</v>
      </c>
      <c r="I15" s="18" t="n">
        <v>0</v>
      </c>
      <c r="J15" s="20" t="n">
        <v>0</v>
      </c>
      <c r="K15" s="18" t="n">
        <v>0</v>
      </c>
      <c r="L15" s="20" t="n">
        <v>0</v>
      </c>
      <c r="M15" s="18" t="n">
        <v>0</v>
      </c>
      <c r="N15" s="20" t="n">
        <v>0</v>
      </c>
      <c r="O15" s="18" t="n">
        <v>0</v>
      </c>
      <c r="P15" s="20" t="n">
        <v>0</v>
      </c>
      <c r="Q15" s="18" t="n">
        <v>0.46526534</v>
      </c>
      <c r="R15" s="20" t="n">
        <v>0.27069253</v>
      </c>
    </row>
    <row r="16" spans="1:18">
      <c r="A16" s="15" t="s">
        <v>574</v>
      </c>
      <c r="B16" s="17" t="n">
        <v>3111</v>
      </c>
      <c r="C16" s="18">
        <f>(2438.0/B16*100)</f>
        <v/>
      </c>
      <c r="D16" s="19" t="n">
        <v>673</v>
      </c>
      <c r="E16" s="18" t="n">
        <v>38.19941232</v>
      </c>
      <c r="F16" s="20" t="n">
        <v>1.98209397</v>
      </c>
      <c r="G16" s="18" t="n">
        <v>60.6421818</v>
      </c>
      <c r="H16" s="20" t="n">
        <v>1.93559378</v>
      </c>
      <c r="I16" s="18" t="n">
        <v>0</v>
      </c>
      <c r="J16" s="20" t="n">
        <v>0</v>
      </c>
      <c r="K16" s="18" t="n">
        <v>0</v>
      </c>
      <c r="L16" s="20" t="n">
        <v>0</v>
      </c>
      <c r="M16" s="18" t="n">
        <v>0</v>
      </c>
      <c r="N16" s="20" t="n">
        <v>0</v>
      </c>
      <c r="O16" s="18" t="n">
        <v>0</v>
      </c>
      <c r="P16" s="20" t="n">
        <v>0</v>
      </c>
      <c r="Q16" s="18" t="n">
        <v>1.15840588</v>
      </c>
      <c r="R16" s="20" t="n">
        <v>0.4537103</v>
      </c>
    </row>
    <row r="17" spans="1:18">
      <c r="A17" s="15" t="s">
        <v>575</v>
      </c>
      <c r="B17" s="17" t="n">
        <v>3197</v>
      </c>
      <c r="C17" s="18">
        <f>(2466.0/B17*100)</f>
        <v/>
      </c>
      <c r="D17" s="19" t="n">
        <v>731</v>
      </c>
      <c r="E17" s="18" t="n">
        <v>35.71147703</v>
      </c>
      <c r="F17" s="20" t="n">
        <v>2.06382869</v>
      </c>
      <c r="G17" s="18" t="n">
        <v>63.61142877</v>
      </c>
      <c r="H17" s="20" t="n">
        <v>2.07208241</v>
      </c>
      <c r="I17" s="18" t="n">
        <v>0</v>
      </c>
      <c r="J17" s="20" t="n">
        <v>0</v>
      </c>
      <c r="K17" s="18" t="n">
        <v>0</v>
      </c>
      <c r="L17" s="20" t="n">
        <v>0</v>
      </c>
      <c r="M17" s="18" t="n">
        <v>0</v>
      </c>
      <c r="N17" s="20" t="n">
        <v>0</v>
      </c>
      <c r="O17" s="18" t="n">
        <v>0</v>
      </c>
      <c r="P17" s="20" t="n">
        <v>0</v>
      </c>
      <c r="Q17" s="18" t="n">
        <v>0.6770942</v>
      </c>
      <c r="R17" s="20" t="n">
        <v>0.24717764</v>
      </c>
    </row>
    <row r="18" spans="1:18">
      <c r="A18" s="15" t="s">
        <v>576</v>
      </c>
      <c r="B18" s="17" t="n">
        <v>2706</v>
      </c>
      <c r="C18" s="18">
        <f>(2093.0/B18*100)</f>
        <v/>
      </c>
      <c r="D18" s="19" t="n">
        <v>613</v>
      </c>
      <c r="E18" s="18" t="n">
        <v>58.32694774</v>
      </c>
      <c r="F18" s="20" t="n">
        <v>1.86839175</v>
      </c>
      <c r="G18" s="18" t="n">
        <v>40.65165989</v>
      </c>
      <c r="H18" s="20" t="n">
        <v>1.9478298</v>
      </c>
      <c r="I18" s="18" t="n">
        <v>0</v>
      </c>
      <c r="J18" s="20" t="n">
        <v>0</v>
      </c>
      <c r="K18" s="18" t="n">
        <v>0</v>
      </c>
      <c r="L18" s="20" t="n">
        <v>0</v>
      </c>
      <c r="M18" s="18" t="n">
        <v>0</v>
      </c>
      <c r="N18" s="20" t="n">
        <v>0</v>
      </c>
      <c r="O18" s="18" t="n">
        <v>0</v>
      </c>
      <c r="P18" s="20" t="n">
        <v>0</v>
      </c>
      <c r="Q18" s="18" t="n">
        <v>1.02139237</v>
      </c>
      <c r="R18" s="20" t="n">
        <v>0.45023533</v>
      </c>
    </row>
    <row r="19" spans="1:18">
      <c r="A19" s="15" t="s">
        <v>577</v>
      </c>
      <c r="B19" s="17" t="n">
        <v>2850</v>
      </c>
      <c r="C19" s="18">
        <f>(2258.0/B19*100)</f>
        <v/>
      </c>
      <c r="D19" s="19" t="n">
        <v>592</v>
      </c>
      <c r="E19" s="18" t="n">
        <v>39.96399554</v>
      </c>
      <c r="F19" s="20" t="n">
        <v>2.34448518</v>
      </c>
      <c r="G19" s="18" t="n">
        <v>59.57761018</v>
      </c>
      <c r="H19" s="20" t="n">
        <v>2.35616932</v>
      </c>
      <c r="I19" s="18" t="n">
        <v>0</v>
      </c>
      <c r="J19" s="20" t="n">
        <v>0</v>
      </c>
      <c r="K19" s="18" t="n">
        <v>0.14429168</v>
      </c>
      <c r="L19" s="20" t="n">
        <v>0.10337554</v>
      </c>
      <c r="M19" s="18" t="n">
        <v>0</v>
      </c>
      <c r="N19" s="20" t="n">
        <v>0</v>
      </c>
      <c r="O19" s="18" t="n">
        <v>0</v>
      </c>
      <c r="P19" s="20" t="n">
        <v>0</v>
      </c>
      <c r="Q19" s="18" t="n">
        <v>0.31410261</v>
      </c>
      <c r="R19" s="20" t="n">
        <v>0.21540419</v>
      </c>
    </row>
    <row r="20" spans="1:18">
      <c r="A20" s="15" t="s">
        <v>578</v>
      </c>
      <c r="B20" s="17" t="n">
        <v>1741</v>
      </c>
      <c r="C20" s="18">
        <f>(1367.0/B20*100)</f>
        <v/>
      </c>
      <c r="D20" s="19" t="n">
        <v>374</v>
      </c>
      <c r="E20" s="18" t="n">
        <v>51.39140717</v>
      </c>
      <c r="F20" s="20" t="n">
        <v>2.67394007</v>
      </c>
      <c r="G20" s="18" t="n">
        <v>46.13089793</v>
      </c>
      <c r="H20" s="20" t="n">
        <v>2.66884567</v>
      </c>
      <c r="I20" s="18" t="n">
        <v>0</v>
      </c>
      <c r="J20" s="20" t="n">
        <v>0</v>
      </c>
      <c r="K20" s="18" t="n">
        <v>0</v>
      </c>
      <c r="L20" s="20" t="n">
        <v>0</v>
      </c>
      <c r="M20" s="18" t="n">
        <v>0</v>
      </c>
      <c r="N20" s="20" t="n">
        <v>0</v>
      </c>
      <c r="O20" s="18" t="n">
        <v>0</v>
      </c>
      <c r="P20" s="20" t="n">
        <v>0</v>
      </c>
      <c r="Q20" s="18" t="n">
        <v>2.4776949</v>
      </c>
      <c r="R20" s="20" t="n">
        <v>0.81199739</v>
      </c>
    </row>
    <row r="21" spans="1:18">
      <c r="A21" s="15" t="s">
        <v>579</v>
      </c>
      <c r="B21" s="17" t="n">
        <v>2833</v>
      </c>
      <c r="C21" s="18">
        <f>(2180.0/B21*100)</f>
        <v/>
      </c>
      <c r="D21" s="19" t="n">
        <v>653</v>
      </c>
      <c r="E21" s="18" t="n">
        <v>58.20591435</v>
      </c>
      <c r="F21" s="20" t="n">
        <v>2.1043952</v>
      </c>
      <c r="G21" s="18" t="n">
        <v>41.45352222</v>
      </c>
      <c r="H21" s="20" t="n">
        <v>2.03020085</v>
      </c>
      <c r="I21" s="18" t="n">
        <v>0</v>
      </c>
      <c r="J21" s="20" t="n">
        <v>0</v>
      </c>
      <c r="K21" s="18" t="n">
        <v>0</v>
      </c>
      <c r="L21" s="20" t="n">
        <v>0</v>
      </c>
      <c r="M21" s="18" t="n">
        <v>0</v>
      </c>
      <c r="N21" s="20" t="n">
        <v>0</v>
      </c>
      <c r="O21" s="18" t="n">
        <v>0</v>
      </c>
      <c r="P21" s="20" t="n">
        <v>0</v>
      </c>
      <c r="Q21" s="18" t="n">
        <v>0.34056343</v>
      </c>
      <c r="R21" s="20" t="n">
        <v>0.23351346</v>
      </c>
    </row>
    <row r="22" spans="1:18">
      <c r="A22" s="15" t="s">
        <v>580</v>
      </c>
      <c r="B22" s="17" t="n">
        <v>3667</v>
      </c>
      <c r="C22" s="18">
        <f>(2823.0/B22*100)</f>
        <v/>
      </c>
      <c r="D22" s="19" t="n">
        <v>844</v>
      </c>
      <c r="E22" s="18" t="n">
        <v>45.29560979</v>
      </c>
      <c r="F22" s="20" t="n">
        <v>1.91377144</v>
      </c>
      <c r="G22" s="18" t="n">
        <v>51.78415365</v>
      </c>
      <c r="H22" s="20" t="n">
        <v>1.98849208</v>
      </c>
      <c r="I22" s="18" t="n">
        <v>0</v>
      </c>
      <c r="J22" s="20" t="n">
        <v>0</v>
      </c>
      <c r="K22" s="18" t="n">
        <v>0.3538578</v>
      </c>
      <c r="L22" s="20" t="n">
        <v>0.20300628</v>
      </c>
      <c r="M22" s="18" t="n">
        <v>0</v>
      </c>
      <c r="N22" s="20" t="n">
        <v>0</v>
      </c>
      <c r="O22" s="18" t="n">
        <v>0</v>
      </c>
      <c r="P22" s="20" t="n">
        <v>0</v>
      </c>
      <c r="Q22" s="18" t="n">
        <v>2.56637877</v>
      </c>
      <c r="R22" s="20" t="n">
        <v>0.71120676</v>
      </c>
    </row>
    <row r="23" spans="1:18">
      <c r="A23" s="15" t="s">
        <v>581</v>
      </c>
      <c r="B23" s="17" t="n">
        <v>5792</v>
      </c>
      <c r="C23" s="18">
        <f>(4509.0/B23*100)</f>
        <v/>
      </c>
      <c r="D23" s="19" t="n">
        <v>1283</v>
      </c>
      <c r="E23" s="18" t="n">
        <v>46.68281683</v>
      </c>
      <c r="F23" s="20" t="n">
        <v>2.24319411</v>
      </c>
      <c r="G23" s="18" t="n">
        <v>52.5436209</v>
      </c>
      <c r="H23" s="20" t="n">
        <v>2.24344658</v>
      </c>
      <c r="I23" s="18" t="n">
        <v>0</v>
      </c>
      <c r="J23" s="20" t="n">
        <v>0</v>
      </c>
      <c r="K23" s="18" t="n">
        <v>0.14782415</v>
      </c>
      <c r="L23" s="20" t="n">
        <v>0.14650126</v>
      </c>
      <c r="M23" s="18" t="n">
        <v>0</v>
      </c>
      <c r="N23" s="20" t="n">
        <v>0</v>
      </c>
      <c r="O23" s="18" t="n">
        <v>0</v>
      </c>
      <c r="P23" s="20" t="n">
        <v>0</v>
      </c>
      <c r="Q23" s="18" t="n">
        <v>0.62573812</v>
      </c>
      <c r="R23" s="20" t="n">
        <v>0.31488761</v>
      </c>
    </row>
    <row r="24" spans="1:18">
      <c r="A24" s="15" t="s">
        <v>582</v>
      </c>
      <c r="B24" s="17" t="n">
        <v>3309</v>
      </c>
      <c r="C24" s="18">
        <f>(2531.0/B24*100)</f>
        <v/>
      </c>
      <c r="D24" s="19" t="n">
        <v>778</v>
      </c>
      <c r="E24" s="18" t="n">
        <v>39.86035845</v>
      </c>
      <c r="F24" s="20" t="n">
        <v>1.69900559</v>
      </c>
      <c r="G24" s="18" t="n">
        <v>59.32359208</v>
      </c>
      <c r="H24" s="20" t="n">
        <v>1.72560067</v>
      </c>
      <c r="I24" s="18" t="n">
        <v>0</v>
      </c>
      <c r="J24" s="20" t="n">
        <v>0</v>
      </c>
      <c r="K24" s="18" t="n">
        <v>0</v>
      </c>
      <c r="L24" s="20" t="n">
        <v>0</v>
      </c>
      <c r="M24" s="18" t="n">
        <v>0</v>
      </c>
      <c r="N24" s="20" t="n">
        <v>0</v>
      </c>
      <c r="O24" s="18" t="n">
        <v>0</v>
      </c>
      <c r="P24" s="20" t="n">
        <v>0</v>
      </c>
      <c r="Q24" s="18" t="n">
        <v>0.81604948</v>
      </c>
      <c r="R24" s="20" t="n">
        <v>0.33852452</v>
      </c>
    </row>
    <row r="25" spans="1:18">
      <c r="A25" s="15" t="s">
        <v>583</v>
      </c>
      <c r="B25" s="17" t="n">
        <v>2669</v>
      </c>
      <c r="C25" s="18">
        <f>(2087.0/B25*100)</f>
        <v/>
      </c>
      <c r="D25" s="19" t="n">
        <v>582</v>
      </c>
      <c r="E25" s="18" t="n">
        <v>46.18638447</v>
      </c>
      <c r="F25" s="20" t="n">
        <v>2.16582668</v>
      </c>
      <c r="G25" s="18" t="n">
        <v>52.87296854</v>
      </c>
      <c r="H25" s="20" t="n">
        <v>2.12259286</v>
      </c>
      <c r="I25" s="18" t="n">
        <v>0</v>
      </c>
      <c r="J25" s="20" t="n">
        <v>0</v>
      </c>
      <c r="K25" s="18" t="n">
        <v>0.16309914</v>
      </c>
      <c r="L25" s="20" t="n">
        <v>0.16277181</v>
      </c>
      <c r="M25" s="18" t="n">
        <v>0</v>
      </c>
      <c r="N25" s="20" t="n">
        <v>0</v>
      </c>
      <c r="O25" s="18" t="n">
        <v>0</v>
      </c>
      <c r="P25" s="20" t="n">
        <v>0</v>
      </c>
      <c r="Q25" s="18" t="n">
        <v>0.77754785</v>
      </c>
      <c r="R25" s="20" t="n">
        <v>0.34809439</v>
      </c>
    </row>
    <row r="26" spans="1:18">
      <c r="A26" s="15" t="s">
        <v>584</v>
      </c>
      <c r="B26" s="17" t="n">
        <v>2419</v>
      </c>
      <c r="C26" s="18">
        <f>(1894.0/B26*100)</f>
        <v/>
      </c>
      <c r="D26" s="19" t="n">
        <v>525</v>
      </c>
      <c r="E26" s="18" t="n">
        <v>36.41123475</v>
      </c>
      <c r="F26" s="20" t="n">
        <v>2.32072347</v>
      </c>
      <c r="G26" s="18" t="n">
        <v>63.58876525</v>
      </c>
      <c r="H26" s="20" t="n">
        <v>2.32072347</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(2048.0/B27*100)</f>
        <v/>
      </c>
      <c r="D27" s="19" t="n">
        <v>635</v>
      </c>
      <c r="E27" s="18" t="n">
        <v>43.61222175</v>
      </c>
      <c r="F27" s="20" t="n">
        <v>1.88930106</v>
      </c>
      <c r="G27" s="18" t="n">
        <v>55.6015039</v>
      </c>
      <c r="H27" s="20" t="n">
        <v>1.88115408</v>
      </c>
      <c r="I27" s="18" t="n">
        <v>0</v>
      </c>
      <c r="J27" s="20" t="n">
        <v>0</v>
      </c>
      <c r="K27" s="18" t="n">
        <v>0</v>
      </c>
      <c r="L27" s="20" t="n">
        <v>0</v>
      </c>
      <c r="M27" s="18" t="n">
        <v>0</v>
      </c>
      <c r="N27" s="20" t="n">
        <v>0</v>
      </c>
      <c r="O27" s="18" t="n">
        <v>0</v>
      </c>
      <c r="P27" s="20" t="n">
        <v>0</v>
      </c>
      <c r="Q27" s="18" t="n">
        <v>0.78627435</v>
      </c>
      <c r="R27" s="20" t="n">
        <v>0.35004519</v>
      </c>
    </row>
    <row r="28" spans="1:18">
      <c r="A28" s="15" t="s">
        <v>586</v>
      </c>
      <c r="B28" s="17" t="n">
        <v>3803</v>
      </c>
      <c r="C28" s="18">
        <f>(2998.0/B28*100)</f>
        <v/>
      </c>
      <c r="D28" s="19" t="n">
        <v>805</v>
      </c>
      <c r="E28" s="18" t="n">
        <v>63.38589658</v>
      </c>
      <c r="F28" s="20" t="n">
        <v>1.83330755</v>
      </c>
      <c r="G28" s="18" t="n">
        <v>36.00578451</v>
      </c>
      <c r="H28" s="20" t="n">
        <v>1.80484547</v>
      </c>
      <c r="I28" s="18" t="n">
        <v>0</v>
      </c>
      <c r="J28" s="20" t="n">
        <v>0</v>
      </c>
      <c r="K28" s="18" t="n">
        <v>0.10269436</v>
      </c>
      <c r="L28" s="20" t="n">
        <v>0.10272229</v>
      </c>
      <c r="M28" s="18" t="n">
        <v>0</v>
      </c>
      <c r="N28" s="20" t="n">
        <v>0</v>
      </c>
      <c r="O28" s="18" t="n">
        <v>0</v>
      </c>
      <c r="P28" s="20" t="n">
        <v>0</v>
      </c>
      <c r="Q28" s="18" t="n">
        <v>0.50562455</v>
      </c>
      <c r="R28" s="20" t="n">
        <v>0.28917512</v>
      </c>
    </row>
    <row r="29" spans="1:18">
      <c r="A29" s="15" t="s">
        <v>587</v>
      </c>
      <c r="B29" s="17" t="n">
        <v>2700</v>
      </c>
      <c r="C29" s="18">
        <f>(2118.0/B29*100)</f>
        <v/>
      </c>
      <c r="D29" s="19" t="n">
        <v>582</v>
      </c>
      <c r="E29" s="18" t="n">
        <v>34.01554082</v>
      </c>
      <c r="F29" s="20" t="n">
        <v>2.03148071</v>
      </c>
      <c r="G29" s="18" t="n">
        <v>65.75808236</v>
      </c>
      <c r="H29" s="20" t="n">
        <v>2.04643701</v>
      </c>
      <c r="I29" s="18" t="n">
        <v>0</v>
      </c>
      <c r="J29" s="20" t="n">
        <v>0</v>
      </c>
      <c r="K29" s="18" t="n">
        <v>0</v>
      </c>
      <c r="L29" s="20" t="n">
        <v>0</v>
      </c>
      <c r="M29" s="18" t="n">
        <v>0</v>
      </c>
      <c r="N29" s="20" t="n">
        <v>0</v>
      </c>
      <c r="O29" s="18" t="n">
        <v>0</v>
      </c>
      <c r="P29" s="20" t="n">
        <v>0</v>
      </c>
      <c r="Q29" s="18" t="n">
        <v>0.22637682</v>
      </c>
      <c r="R29" s="20" t="n">
        <v>0.17333564</v>
      </c>
    </row>
    <row r="30" spans="1:18">
      <c r="A30" s="15" t="s">
        <v>588</v>
      </c>
      <c r="B30" s="17" t="n">
        <v>2257</v>
      </c>
      <c r="C30" s="18">
        <f>(1774.0/B30*100)</f>
        <v/>
      </c>
      <c r="D30" s="19" t="n">
        <v>483</v>
      </c>
      <c r="E30" s="18" t="n">
        <v>41.61586623</v>
      </c>
      <c r="F30" s="20" t="n">
        <v>2.41178759</v>
      </c>
      <c r="G30" s="18" t="n">
        <v>57.26946488</v>
      </c>
      <c r="H30" s="20" t="n">
        <v>2.41316375</v>
      </c>
      <c r="I30" s="18" t="n">
        <v>0</v>
      </c>
      <c r="J30" s="20" t="n">
        <v>0</v>
      </c>
      <c r="K30" s="18" t="n">
        <v>0</v>
      </c>
      <c r="L30" s="20" t="n">
        <v>0</v>
      </c>
      <c r="M30" s="18" t="n">
        <v>0</v>
      </c>
      <c r="N30" s="20" t="n">
        <v>0</v>
      </c>
      <c r="O30" s="18" t="n">
        <v>0</v>
      </c>
      <c r="P30" s="20" t="n">
        <v>0</v>
      </c>
      <c r="Q30" s="18" t="n">
        <v>1.11466889</v>
      </c>
      <c r="R30" s="20" t="n">
        <v>0.38721086</v>
      </c>
    </row>
    <row r="31" spans="1:18">
      <c r="A31" s="15" t="s">
        <v>589</v>
      </c>
      <c r="B31" s="17" t="n">
        <v>2706</v>
      </c>
      <c r="C31" s="18">
        <f>(2109.0/B31*100)</f>
        <v/>
      </c>
      <c r="D31" s="19" t="n">
        <v>597</v>
      </c>
      <c r="E31" s="18" t="n">
        <v>33.20036522</v>
      </c>
      <c r="F31" s="20" t="n">
        <v>1.83059919</v>
      </c>
      <c r="G31" s="18" t="n">
        <v>66.45558638999999</v>
      </c>
      <c r="H31" s="20" t="n">
        <v>1.85525622</v>
      </c>
      <c r="I31" s="18" t="n">
        <v>0</v>
      </c>
      <c r="J31" s="20" t="n">
        <v>0</v>
      </c>
      <c r="K31" s="18" t="n">
        <v>0.1568359</v>
      </c>
      <c r="L31" s="20" t="n">
        <v>0.15113934</v>
      </c>
      <c r="M31" s="18" t="n">
        <v>0</v>
      </c>
      <c r="N31" s="20" t="n">
        <v>0</v>
      </c>
      <c r="O31" s="18" t="n">
        <v>0</v>
      </c>
      <c r="P31" s="20" t="n">
        <v>0</v>
      </c>
      <c r="Q31" s="18" t="n">
        <v>0.18721248</v>
      </c>
      <c r="R31" s="20" t="n">
        <v>0.1797997</v>
      </c>
    </row>
    <row r="32" spans="1:18">
      <c r="A32" s="15" t="s">
        <v>590</v>
      </c>
      <c r="B32" s="17" t="n">
        <v>2209</v>
      </c>
      <c r="C32" s="18">
        <f>(1754.0/B32*100)</f>
        <v/>
      </c>
      <c r="D32" s="19" t="n">
        <v>455</v>
      </c>
      <c r="E32" s="18" t="n">
        <v>32.89626252</v>
      </c>
      <c r="F32" s="20" t="n">
        <v>2.36500712</v>
      </c>
      <c r="G32" s="18" t="n">
        <v>67.10373748000001</v>
      </c>
      <c r="H32" s="20" t="n">
        <v>2.36500712</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(2895.0/B33*100)</f>
        <v/>
      </c>
      <c r="D33" s="19" t="n">
        <v>756</v>
      </c>
      <c r="E33" s="18" t="n">
        <v>41.30796737</v>
      </c>
      <c r="F33" s="20" t="n">
        <v>2.24908391</v>
      </c>
      <c r="G33" s="18" t="n">
        <v>58.44794827</v>
      </c>
      <c r="H33" s="20" t="n">
        <v>2.26187647</v>
      </c>
      <c r="I33" s="18" t="n">
        <v>0</v>
      </c>
      <c r="J33" s="20" t="n">
        <v>0</v>
      </c>
      <c r="K33" s="18" t="n">
        <v>0</v>
      </c>
      <c r="L33" s="20" t="n">
        <v>0</v>
      </c>
      <c r="M33" s="18" t="n">
        <v>0</v>
      </c>
      <c r="N33" s="20" t="n">
        <v>0</v>
      </c>
      <c r="O33" s="18" t="n">
        <v>0</v>
      </c>
      <c r="P33" s="20" t="n">
        <v>0</v>
      </c>
      <c r="Q33" s="18" t="n">
        <v>0.24408436</v>
      </c>
      <c r="R33" s="20" t="n">
        <v>0.22832327</v>
      </c>
    </row>
    <row r="34" spans="1:18">
      <c r="A34" s="15" t="s">
        <v>592</v>
      </c>
      <c r="B34" s="17" t="n">
        <v>3035</v>
      </c>
      <c r="C34" s="18">
        <f>(2373.0/B34*100)</f>
        <v/>
      </c>
      <c r="D34" s="19" t="n">
        <v>662</v>
      </c>
      <c r="E34" s="18" t="n">
        <v>47.01766453</v>
      </c>
      <c r="F34" s="20" t="n">
        <v>2.14675437</v>
      </c>
      <c r="G34" s="18" t="n">
        <v>52.85013217</v>
      </c>
      <c r="H34" s="20" t="n">
        <v>2.13226916</v>
      </c>
      <c r="I34" s="18" t="n">
        <v>0</v>
      </c>
      <c r="J34" s="20" t="n">
        <v>0</v>
      </c>
      <c r="K34" s="18" t="n">
        <v>0</v>
      </c>
      <c r="L34" s="20" t="n">
        <v>0</v>
      </c>
      <c r="M34" s="18" t="n">
        <v>0</v>
      </c>
      <c r="N34" s="20" t="n">
        <v>0</v>
      </c>
      <c r="O34" s="18" t="n">
        <v>0</v>
      </c>
      <c r="P34" s="20" t="n">
        <v>0</v>
      </c>
      <c r="Q34" s="18" t="n">
        <v>0.13220329</v>
      </c>
      <c r="R34" s="20" t="n">
        <v>0.14389259</v>
      </c>
    </row>
    <row r="35" spans="1:18">
      <c r="A35" s="15" t="s">
        <v>593</v>
      </c>
      <c r="B35" s="17" t="n">
        <v>2901</v>
      </c>
      <c r="C35" s="18">
        <f>(2247.0/B35*100)</f>
        <v/>
      </c>
      <c r="D35" s="19" t="n">
        <v>654</v>
      </c>
      <c r="E35" s="18" t="n">
        <v>31.87833584</v>
      </c>
      <c r="F35" s="20" t="n">
        <v>1.97137988</v>
      </c>
      <c r="G35" s="18" t="n">
        <v>67.90269818</v>
      </c>
      <c r="H35" s="20" t="n">
        <v>1.95494157</v>
      </c>
      <c r="I35" s="18" t="n">
        <v>0</v>
      </c>
      <c r="J35" s="20" t="n">
        <v>0</v>
      </c>
      <c r="K35" s="18" t="n">
        <v>0</v>
      </c>
      <c r="L35" s="20" t="n">
        <v>0</v>
      </c>
      <c r="M35" s="18" t="n">
        <v>0</v>
      </c>
      <c r="N35" s="20" t="n">
        <v>0</v>
      </c>
      <c r="O35" s="18" t="n">
        <v>0</v>
      </c>
      <c r="P35" s="20" t="n">
        <v>0</v>
      </c>
      <c r="Q35" s="18" t="n">
        <v>0.21896598</v>
      </c>
      <c r="R35" s="20" t="n">
        <v>0.16401737</v>
      </c>
    </row>
    <row r="36" spans="1:18">
      <c r="A36" s="15" t="s">
        <v>594</v>
      </c>
      <c r="B36" s="17" t="n">
        <v>3404</v>
      </c>
      <c r="C36" s="18">
        <f>(2661.0/B36*100)</f>
        <v/>
      </c>
      <c r="D36" s="19" t="n">
        <v>743</v>
      </c>
      <c r="E36" s="18" t="n">
        <v>51.00306685</v>
      </c>
      <c r="F36" s="20" t="n">
        <v>1.82851672</v>
      </c>
      <c r="G36" s="18" t="n">
        <v>48.06550697</v>
      </c>
      <c r="H36" s="20" t="n">
        <v>1.83530168</v>
      </c>
      <c r="I36" s="18" t="n">
        <v>0</v>
      </c>
      <c r="J36" s="20" t="n">
        <v>0</v>
      </c>
      <c r="K36" s="18" t="n">
        <v>0</v>
      </c>
      <c r="L36" s="20" t="n">
        <v>0</v>
      </c>
      <c r="M36" s="18" t="n">
        <v>0</v>
      </c>
      <c r="N36" s="20" t="n">
        <v>0</v>
      </c>
      <c r="O36" s="18" t="n">
        <v>0</v>
      </c>
      <c r="P36" s="20" t="n">
        <v>0</v>
      </c>
      <c r="Q36" s="18" t="n">
        <v>0.93142619</v>
      </c>
      <c r="R36" s="20" t="n">
        <v>0.36102457</v>
      </c>
    </row>
    <row r="37" spans="1:18">
      <c r="A37" s="15" t="s">
        <v>595</v>
      </c>
      <c r="B37" s="17" t="n">
        <v>2731</v>
      </c>
      <c r="C37" s="18">
        <f>(2127.0/B37*100)</f>
        <v/>
      </c>
      <c r="D37" s="19" t="n">
        <v>604</v>
      </c>
      <c r="E37" s="18" t="n">
        <v>45.04614479</v>
      </c>
      <c r="F37" s="20" t="n">
        <v>1.94460002</v>
      </c>
      <c r="G37" s="18" t="n">
        <v>52.90436643</v>
      </c>
      <c r="H37" s="20" t="n">
        <v>1.93821706</v>
      </c>
      <c r="I37" s="18" t="n">
        <v>0</v>
      </c>
      <c r="J37" s="20" t="n">
        <v>0</v>
      </c>
      <c r="K37" s="18" t="n">
        <v>0</v>
      </c>
      <c r="L37" s="20" t="n">
        <v>0</v>
      </c>
      <c r="M37" s="18" t="n">
        <v>0</v>
      </c>
      <c r="N37" s="20" t="n">
        <v>0</v>
      </c>
      <c r="O37" s="18" t="n">
        <v>0</v>
      </c>
      <c r="P37" s="20" t="n">
        <v>0</v>
      </c>
      <c r="Q37" s="18" t="n">
        <v>2.04948878</v>
      </c>
      <c r="R37" s="20" t="n">
        <v>0.62113069</v>
      </c>
    </row>
    <row r="38" spans="1:18">
      <c r="A38" s="15" t="s">
        <v>596</v>
      </c>
      <c r="B38" s="17" t="n">
        <v>2807</v>
      </c>
      <c r="C38" s="18">
        <f>(2163.0/B38*100)</f>
        <v/>
      </c>
      <c r="D38" s="19" t="n">
        <v>644</v>
      </c>
      <c r="E38" s="18" t="n">
        <v>39.42147307</v>
      </c>
      <c r="F38" s="20" t="n">
        <v>2.01261147</v>
      </c>
      <c r="G38" s="18" t="n">
        <v>59.8777619</v>
      </c>
      <c r="H38" s="20" t="n">
        <v>2.04076293</v>
      </c>
      <c r="I38" s="18" t="n">
        <v>0</v>
      </c>
      <c r="J38" s="20" t="n">
        <v>0</v>
      </c>
      <c r="K38" s="18" t="n">
        <v>0.03029824</v>
      </c>
      <c r="L38" s="20" t="n">
        <v>0.02937974</v>
      </c>
      <c r="M38" s="18" t="n">
        <v>0</v>
      </c>
      <c r="N38" s="20" t="n">
        <v>0</v>
      </c>
      <c r="O38" s="18" t="n">
        <v>0</v>
      </c>
      <c r="P38" s="20" t="n">
        <v>0</v>
      </c>
      <c r="Q38" s="18" t="n">
        <v>0.6704668</v>
      </c>
      <c r="R38" s="20" t="n">
        <v>0.32051207</v>
      </c>
    </row>
    <row r="39" spans="1:18">
      <c r="A39" s="15" t="s">
        <v>597</v>
      </c>
      <c r="B39" s="17" t="n">
        <v>2938</v>
      </c>
      <c r="C39" s="18">
        <f>(2274.0/B39*100)</f>
        <v/>
      </c>
      <c r="D39" s="19" t="n">
        <v>664</v>
      </c>
      <c r="E39" s="18" t="n">
        <v>56.08488772</v>
      </c>
      <c r="F39" s="20" t="n">
        <v>2.19045077</v>
      </c>
      <c r="G39" s="18" t="n">
        <v>43.10368718</v>
      </c>
      <c r="H39" s="20" t="n">
        <v>2.20360102</v>
      </c>
      <c r="I39" s="18" t="n">
        <v>0</v>
      </c>
      <c r="J39" s="20" t="n">
        <v>0</v>
      </c>
      <c r="K39" s="18" t="n">
        <v>0</v>
      </c>
      <c r="L39" s="20" t="n">
        <v>0</v>
      </c>
      <c r="M39" s="18" t="n">
        <v>0</v>
      </c>
      <c r="N39" s="20" t="n">
        <v>0</v>
      </c>
      <c r="O39" s="18" t="n">
        <v>0</v>
      </c>
      <c r="P39" s="20" t="n">
        <v>0</v>
      </c>
      <c r="Q39" s="18" t="n">
        <v>0.81142509</v>
      </c>
      <c r="R39" s="20" t="n">
        <v>0.29760144</v>
      </c>
    </row>
    <row r="40" spans="1:18">
      <c r="A40" s="15" t="s">
        <v>598</v>
      </c>
      <c r="B40" s="17" t="n">
        <v>6922</v>
      </c>
      <c r="C40" s="18">
        <f>(5470.0/B40*100)</f>
        <v/>
      </c>
      <c r="D40" s="19" t="n">
        <v>1452</v>
      </c>
      <c r="E40" s="18" t="n">
        <v>52.66432384</v>
      </c>
      <c r="F40" s="20" t="n">
        <v>2.0538967</v>
      </c>
      <c r="G40" s="18" t="n">
        <v>46.33606319</v>
      </c>
      <c r="H40" s="20" t="n">
        <v>2.01619324</v>
      </c>
      <c r="I40" s="18" t="n">
        <v>0</v>
      </c>
      <c r="J40" s="20" t="n">
        <v>0</v>
      </c>
      <c r="K40" s="18" t="n">
        <v>0.03884703</v>
      </c>
      <c r="L40" s="20" t="n">
        <v>0.02789466</v>
      </c>
      <c r="M40" s="18" t="n">
        <v>0</v>
      </c>
      <c r="N40" s="20" t="n">
        <v>0</v>
      </c>
      <c r="O40" s="18" t="n">
        <v>0</v>
      </c>
      <c r="P40" s="20" t="n">
        <v>0</v>
      </c>
      <c r="Q40" s="18" t="n">
        <v>0.96076595</v>
      </c>
      <c r="R40" s="20" t="n">
        <v>0.42905694</v>
      </c>
    </row>
    <row r="41" spans="1:18">
      <c r="A41" s="15" t="s">
        <v>599</v>
      </c>
      <c r="B41" s="17" t="n">
        <v>2854</v>
      </c>
      <c r="C41" s="18">
        <f>(2198.0/B41*100)</f>
        <v/>
      </c>
      <c r="D41" s="19" t="n">
        <v>656</v>
      </c>
      <c r="E41" s="18" t="n">
        <v>43.27751497</v>
      </c>
      <c r="F41" s="20" t="n">
        <v>2.02983731</v>
      </c>
      <c r="G41" s="18" t="n">
        <v>56.36783896</v>
      </c>
      <c r="H41" s="20" t="n">
        <v>2.01981565</v>
      </c>
      <c r="I41" s="18" t="n">
        <v>0</v>
      </c>
      <c r="J41" s="20" t="n">
        <v>0</v>
      </c>
      <c r="K41" s="18" t="n">
        <v>0</v>
      </c>
      <c r="L41" s="20" t="n">
        <v>0</v>
      </c>
      <c r="M41" s="18" t="n">
        <v>0</v>
      </c>
      <c r="N41" s="20" t="n">
        <v>0</v>
      </c>
      <c r="O41" s="18" t="n">
        <v>0</v>
      </c>
      <c r="P41" s="20" t="n">
        <v>0</v>
      </c>
      <c r="Q41" s="18" t="n">
        <v>0.35464606</v>
      </c>
      <c r="R41" s="20" t="n">
        <v>0.20658819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(9569.0/B46*100)</f>
        <v/>
      </c>
      <c r="D46" s="19" t="n">
        <v>2504</v>
      </c>
      <c r="E46" s="18" t="n">
        <v>66.66018929000001</v>
      </c>
      <c r="F46" s="20" t="n">
        <v>1.10391902</v>
      </c>
      <c r="G46" s="18" t="n">
        <v>31.13409407</v>
      </c>
      <c r="H46" s="20" t="n">
        <v>1.12412043</v>
      </c>
      <c r="I46" s="18" t="n">
        <v>0</v>
      </c>
      <c r="J46" s="20" t="n">
        <v>0</v>
      </c>
      <c r="K46" s="18" t="n">
        <v>0.27759172</v>
      </c>
      <c r="L46" s="20" t="n">
        <v>0.14806664</v>
      </c>
      <c r="M46" s="18" t="n">
        <v>0</v>
      </c>
      <c r="N46" s="20" t="n">
        <v>0</v>
      </c>
      <c r="O46" s="18" t="n">
        <v>0</v>
      </c>
      <c r="P46" s="20" t="n">
        <v>0</v>
      </c>
      <c r="Q46" s="18" t="n">
        <v>1.92812492</v>
      </c>
      <c r="R46" s="20" t="n">
        <v>0.42463463</v>
      </c>
    </row>
    <row r="47" spans="1:18">
      <c r="A47" s="15" t="s">
        <v>606</v>
      </c>
      <c r="B47" s="17" t="n">
        <v>2823</v>
      </c>
      <c r="C47" s="18">
        <f>(2203.0/B47*100)</f>
        <v/>
      </c>
      <c r="D47" s="19" t="n">
        <v>620</v>
      </c>
      <c r="E47" s="18" t="n">
        <v>51.14806295</v>
      </c>
      <c r="F47" s="20" t="n">
        <v>1.99047126</v>
      </c>
      <c r="G47" s="18" t="n">
        <v>47.07297798</v>
      </c>
      <c r="H47" s="20" t="n">
        <v>1.94639423</v>
      </c>
      <c r="I47" s="18" t="n">
        <v>0</v>
      </c>
      <c r="J47" s="20" t="n">
        <v>0</v>
      </c>
      <c r="K47" s="18" t="n">
        <v>0</v>
      </c>
      <c r="L47" s="20" t="n">
        <v>0</v>
      </c>
      <c r="M47" s="18" t="n">
        <v>0</v>
      </c>
      <c r="N47" s="20" t="n">
        <v>0</v>
      </c>
      <c r="O47" s="18" t="n">
        <v>0</v>
      </c>
      <c r="P47" s="20" t="n">
        <v>0</v>
      </c>
      <c r="Q47" s="18" t="n">
        <v>1.77895907</v>
      </c>
      <c r="R47" s="20" t="n">
        <v>0.5535662099999999</v>
      </c>
    </row>
    <row r="48" spans="1:18">
      <c r="A48" s="15" t="s">
        <v>607</v>
      </c>
      <c r="B48" s="17" t="n">
        <v>4682</v>
      </c>
      <c r="C48" s="18">
        <f>(3622.0/B48*100)</f>
        <v/>
      </c>
      <c r="D48" s="19" t="n">
        <v>1060</v>
      </c>
      <c r="E48" s="18" t="n">
        <v>40.70170359</v>
      </c>
      <c r="F48" s="20" t="n">
        <v>2.45436259</v>
      </c>
      <c r="G48" s="18" t="n">
        <v>58.10444863</v>
      </c>
      <c r="H48" s="20" t="n">
        <v>2.47716741</v>
      </c>
      <c r="I48" s="18" t="n">
        <v>0</v>
      </c>
      <c r="J48" s="20" t="n">
        <v>0</v>
      </c>
      <c r="K48" s="18" t="n">
        <v>0.56058251</v>
      </c>
      <c r="L48" s="20" t="n">
        <v>0.28863242</v>
      </c>
      <c r="M48" s="18" t="n">
        <v>0</v>
      </c>
      <c r="N48" s="20" t="n">
        <v>0</v>
      </c>
      <c r="O48" s="18" t="n">
        <v>0</v>
      </c>
      <c r="P48" s="20" t="n">
        <v>0</v>
      </c>
      <c r="Q48" s="18" t="n">
        <v>0.63326527</v>
      </c>
      <c r="R48" s="20" t="n">
        <v>0.30601825</v>
      </c>
    </row>
    <row r="49" spans="1:18">
      <c r="A49" s="15" t="s">
        <v>608</v>
      </c>
      <c r="B49" s="17" t="n">
        <v>6158</v>
      </c>
      <c r="C49" s="18">
        <f>(4813.0/B49*100)</f>
        <v/>
      </c>
      <c r="D49" s="19" t="n">
        <v>1345</v>
      </c>
      <c r="E49" s="18" t="n">
        <v>67.86472895999999</v>
      </c>
      <c r="F49" s="20" t="n">
        <v>1.74597839</v>
      </c>
      <c r="G49" s="18" t="n">
        <v>30.74936022</v>
      </c>
      <c r="H49" s="20" t="n">
        <v>1.76146995</v>
      </c>
      <c r="I49" s="18" t="n">
        <v>0</v>
      </c>
      <c r="J49" s="20" t="n">
        <v>0</v>
      </c>
      <c r="K49" s="18" t="n">
        <v>0.50890977</v>
      </c>
      <c r="L49" s="20" t="n">
        <v>0.24273771</v>
      </c>
      <c r="M49" s="18" t="n">
        <v>0</v>
      </c>
      <c r="N49" s="20" t="n">
        <v>0</v>
      </c>
      <c r="O49" s="18" t="n">
        <v>0</v>
      </c>
      <c r="P49" s="20" t="n">
        <v>0</v>
      </c>
      <c r="Q49" s="18" t="n">
        <v>0.87700106</v>
      </c>
      <c r="R49" s="20" t="n">
        <v>0.29730237</v>
      </c>
    </row>
    <row r="50" spans="1:18">
      <c r="A50" s="15" t="s">
        <v>609</v>
      </c>
      <c r="B50" s="17" t="n">
        <v>3494</v>
      </c>
      <c r="C50" s="18">
        <f>(2783.0/B50*100)</f>
        <v/>
      </c>
      <c r="D50" s="19" t="n">
        <v>711</v>
      </c>
      <c r="E50" s="18" t="n">
        <v>71.21811169999999</v>
      </c>
      <c r="F50" s="20" t="n">
        <v>1.83020627</v>
      </c>
      <c r="G50" s="18" t="n">
        <v>27.79009247</v>
      </c>
      <c r="H50" s="20" t="n">
        <v>2.00273462</v>
      </c>
      <c r="I50" s="18" t="n">
        <v>0</v>
      </c>
      <c r="J50" s="20" t="n">
        <v>0</v>
      </c>
      <c r="K50" s="18" t="n">
        <v>0</v>
      </c>
      <c r="L50" s="20" t="n">
        <v>0</v>
      </c>
      <c r="M50" s="18" t="n">
        <v>0</v>
      </c>
      <c r="N50" s="20" t="n">
        <v>0</v>
      </c>
      <c r="O50" s="18" t="n">
        <v>0</v>
      </c>
      <c r="P50" s="20" t="n">
        <v>0</v>
      </c>
      <c r="Q50" s="18" t="n">
        <v>0.99179583</v>
      </c>
      <c r="R50" s="20" t="n">
        <v>0.44911152</v>
      </c>
    </row>
    <row r="51" spans="1:18">
      <c r="A51" s="15" t="s">
        <v>610</v>
      </c>
      <c r="B51" s="17" t="n">
        <v>3013</v>
      </c>
      <c r="C51" s="18">
        <f>(2344.0/B51*100)</f>
        <v/>
      </c>
      <c r="D51" s="19" t="n">
        <v>669</v>
      </c>
      <c r="E51" s="18" t="n">
        <v>37.16618441</v>
      </c>
      <c r="F51" s="20" t="n">
        <v>2.03835479</v>
      </c>
      <c r="G51" s="18" t="n">
        <v>61.75891189</v>
      </c>
      <c r="H51" s="20" t="n">
        <v>1.91187683</v>
      </c>
      <c r="I51" s="18" t="n">
        <v>0</v>
      </c>
      <c r="J51" s="20" t="n">
        <v>0</v>
      </c>
      <c r="K51" s="18" t="n">
        <v>0.13781946</v>
      </c>
      <c r="L51" s="20" t="n">
        <v>0.13746443</v>
      </c>
      <c r="M51" s="18" t="n">
        <v>0</v>
      </c>
      <c r="N51" s="20" t="n">
        <v>0</v>
      </c>
      <c r="O51" s="18" t="n">
        <v>0</v>
      </c>
      <c r="P51" s="20" t="n">
        <v>0</v>
      </c>
      <c r="Q51" s="18" t="n">
        <v>0.93708424</v>
      </c>
      <c r="R51" s="20" t="n">
        <v>0.4186194</v>
      </c>
    </row>
    <row r="52" spans="1:18">
      <c r="A52" s="15" t="s">
        <v>611</v>
      </c>
      <c r="B52" s="17" t="n">
        <v>2760</v>
      </c>
      <c r="C52" s="18">
        <f>(2138.0/B52*100)</f>
        <v/>
      </c>
      <c r="D52" s="19" t="n">
        <v>622</v>
      </c>
      <c r="E52" s="18" t="n">
        <v>57.97848494</v>
      </c>
      <c r="F52" s="20" t="n">
        <v>2.17942289</v>
      </c>
      <c r="G52" s="18" t="n">
        <v>40.84355247</v>
      </c>
      <c r="H52" s="20" t="n">
        <v>2.13510143</v>
      </c>
      <c r="I52" s="18" t="n">
        <v>0</v>
      </c>
      <c r="J52" s="20" t="n">
        <v>0</v>
      </c>
      <c r="K52" s="18" t="n">
        <v>0</v>
      </c>
      <c r="L52" s="20" t="n">
        <v>0</v>
      </c>
      <c r="M52" s="18" t="n">
        <v>0</v>
      </c>
      <c r="N52" s="20" t="n">
        <v>0</v>
      </c>
      <c r="O52" s="18" t="n">
        <v>0</v>
      </c>
      <c r="P52" s="20" t="n">
        <v>0</v>
      </c>
      <c r="Q52" s="18" t="n">
        <v>1.17796259</v>
      </c>
      <c r="R52" s="20" t="n">
        <v>0.43143663</v>
      </c>
    </row>
    <row r="53" spans="1:18">
      <c r="A53" s="15" t="s">
        <v>612</v>
      </c>
      <c r="B53" s="17" t="n">
        <v>2474</v>
      </c>
      <c r="C53" s="18">
        <f>(1939.0/B53*100)</f>
        <v/>
      </c>
      <c r="D53" s="19" t="n">
        <v>535</v>
      </c>
      <c r="E53" s="18" t="n">
        <v>74.19234212000001</v>
      </c>
      <c r="F53" s="20" t="n">
        <v>1.95129473</v>
      </c>
      <c r="G53" s="18" t="n">
        <v>17.62258127</v>
      </c>
      <c r="H53" s="20" t="n">
        <v>1.63090839</v>
      </c>
      <c r="I53" s="18" t="n">
        <v>0</v>
      </c>
      <c r="J53" s="20" t="n">
        <v>0</v>
      </c>
      <c r="K53" s="18" t="n">
        <v>5.79012066</v>
      </c>
      <c r="L53" s="20" t="n">
        <v>1.18940806</v>
      </c>
      <c r="M53" s="18" t="n">
        <v>0</v>
      </c>
      <c r="N53" s="20" t="n">
        <v>0</v>
      </c>
      <c r="O53" s="18" t="n">
        <v>0</v>
      </c>
      <c r="P53" s="20" t="n">
        <v>0</v>
      </c>
      <c r="Q53" s="18" t="n">
        <v>2.39495595</v>
      </c>
      <c r="R53" s="20" t="n">
        <v>0.7585183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(2043.0/B55*100)</f>
        <v/>
      </c>
      <c r="D55" s="19" t="n">
        <v>632</v>
      </c>
      <c r="E55" s="18" t="n">
        <v>35.65617453</v>
      </c>
      <c r="F55" s="20" t="n">
        <v>2.38372219</v>
      </c>
      <c r="G55" s="18" t="n">
        <v>64.34382547</v>
      </c>
      <c r="H55" s="20" t="n">
        <v>2.38372219</v>
      </c>
      <c r="I55" s="18" t="n">
        <v>0</v>
      </c>
      <c r="J55" s="20" t="n">
        <v>0</v>
      </c>
      <c r="K55" s="18" t="n">
        <v>0</v>
      </c>
      <c r="L55" s="20" t="n">
        <v>0</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(2474.0/B61*100)</f>
        <v/>
      </c>
      <c r="D61" s="19" t="n">
        <v>727</v>
      </c>
      <c r="E61" s="18" t="n">
        <v>36.41470847</v>
      </c>
      <c r="F61" s="20" t="n">
        <v>1.92955758</v>
      </c>
      <c r="G61" s="18" t="n">
        <v>63.00840714</v>
      </c>
      <c r="H61" s="20" t="n">
        <v>1.9172973</v>
      </c>
      <c r="I61" s="18" t="n">
        <v>0</v>
      </c>
      <c r="J61" s="20" t="n">
        <v>0</v>
      </c>
      <c r="K61" s="18" t="n">
        <v>0</v>
      </c>
      <c r="L61" s="20" t="n">
        <v>0</v>
      </c>
      <c r="M61" s="18" t="n">
        <v>0</v>
      </c>
      <c r="N61" s="20" t="n">
        <v>0</v>
      </c>
      <c r="O61" s="18" t="n">
        <v>0</v>
      </c>
      <c r="P61" s="20" t="n">
        <v>0</v>
      </c>
      <c r="Q61" s="18" t="n">
        <v>0.57688439</v>
      </c>
      <c r="R61" s="20" t="n">
        <v>0.31714327</v>
      </c>
    </row>
    <row r="62" spans="1:18">
      <c r="A62" s="15" t="s">
        <v>622</v>
      </c>
      <c r="B62" s="17" t="n">
        <v>2230</v>
      </c>
      <c r="C62" s="18">
        <f>(1725.0/B62*100)</f>
        <v/>
      </c>
      <c r="D62" s="19" t="n">
        <v>505</v>
      </c>
      <c r="E62" s="18" t="n">
        <v>53.69180579</v>
      </c>
      <c r="F62" s="20" t="n">
        <v>2.32416871</v>
      </c>
      <c r="G62" s="18" t="n">
        <v>46.30819421</v>
      </c>
      <c r="H62" s="20" t="n">
        <v>2.32416871</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(2164.0/B67*100)</f>
        <v/>
      </c>
      <c r="D67" s="19" t="n">
        <v>607</v>
      </c>
      <c r="E67" s="18" t="n">
        <v>65.13647867</v>
      </c>
      <c r="F67" s="20" t="n">
        <v>1.89330844</v>
      </c>
      <c r="G67" s="18" t="n">
        <v>33.84084596</v>
      </c>
      <c r="H67" s="20" t="n">
        <v>1.91262928</v>
      </c>
      <c r="I67" s="18" t="n">
        <v>0</v>
      </c>
      <c r="J67" s="20" t="n">
        <v>0</v>
      </c>
      <c r="K67" s="18" t="n">
        <v>0</v>
      </c>
      <c r="L67" s="20" t="n">
        <v>0</v>
      </c>
      <c r="M67" s="18" t="n">
        <v>0</v>
      </c>
      <c r="N67" s="20" t="n">
        <v>0</v>
      </c>
      <c r="O67" s="18" t="n">
        <v>0</v>
      </c>
      <c r="P67" s="20" t="n">
        <v>0</v>
      </c>
      <c r="Q67" s="18" t="n">
        <v>1.02267537</v>
      </c>
      <c r="R67" s="20" t="n">
        <v>0.38397075</v>
      </c>
    </row>
    <row r="68" spans="1:18">
      <c r="A68" s="15" t="s">
        <v>628</v>
      </c>
      <c r="B68" s="17" t="n">
        <v>3460</v>
      </c>
      <c r="C68" s="18">
        <f>(2748.0/B68*100)</f>
        <v/>
      </c>
      <c r="D68" s="19" t="n">
        <v>712</v>
      </c>
      <c r="E68" s="18" t="n">
        <v>74.70875517</v>
      </c>
      <c r="F68" s="20" t="n">
        <v>1.59443553</v>
      </c>
      <c r="G68" s="18" t="n">
        <v>24.44172782</v>
      </c>
      <c r="H68" s="20" t="n">
        <v>1.55086322</v>
      </c>
      <c r="I68" s="18" t="n">
        <v>0</v>
      </c>
      <c r="J68" s="20" t="n">
        <v>0</v>
      </c>
      <c r="K68" s="18" t="n">
        <v>0.13190177</v>
      </c>
      <c r="L68" s="20" t="n">
        <v>0.12825355</v>
      </c>
      <c r="M68" s="18" t="n">
        <v>0</v>
      </c>
      <c r="N68" s="20" t="n">
        <v>0</v>
      </c>
      <c r="O68" s="18" t="n">
        <v>0</v>
      </c>
      <c r="P68" s="20" t="n">
        <v>0</v>
      </c>
      <c r="Q68" s="18" t="n">
        <v>0.71761525</v>
      </c>
      <c r="R68" s="20" t="n">
        <v>0.28993295</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(4649.0/B70*100)</f>
        <v/>
      </c>
      <c r="D70" s="19" t="n">
        <v>1385</v>
      </c>
      <c r="E70" s="18" t="n">
        <v>68.3146983</v>
      </c>
      <c r="F70" s="20" t="n">
        <v>1.07187565</v>
      </c>
      <c r="G70" s="18" t="n">
        <v>28.94180111</v>
      </c>
      <c r="H70" s="20" t="n">
        <v>1.16309569</v>
      </c>
      <c r="I70" s="18" t="n">
        <v>0</v>
      </c>
      <c r="J70" s="20" t="n">
        <v>0</v>
      </c>
      <c r="K70" s="18" t="n">
        <v>0.63586152</v>
      </c>
      <c r="L70" s="20" t="n">
        <v>0.21137195</v>
      </c>
      <c r="M70" s="18" t="n">
        <v>0</v>
      </c>
      <c r="N70" s="20" t="n">
        <v>0</v>
      </c>
      <c r="O70" s="18" t="n">
        <v>0</v>
      </c>
      <c r="P70" s="20" t="n">
        <v>0</v>
      </c>
      <c r="Q70" s="18" t="n">
        <v>2.10763907</v>
      </c>
      <c r="R70" s="20" t="n">
        <v>0.3448281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(2493.0/B72*100)</f>
        <v/>
      </c>
      <c r="D72" s="19" t="n">
        <v>614</v>
      </c>
      <c r="E72" s="18" t="n">
        <v>43.66390886</v>
      </c>
      <c r="F72" s="20" t="n">
        <v>2.56990789</v>
      </c>
      <c r="G72" s="18" t="n">
        <v>56.08612952</v>
      </c>
      <c r="H72" s="20" t="n">
        <v>2.58795505</v>
      </c>
      <c r="I72" s="18" t="n">
        <v>0</v>
      </c>
      <c r="J72" s="20" t="n">
        <v>0</v>
      </c>
      <c r="K72" s="18" t="n">
        <v>0</v>
      </c>
      <c r="L72" s="20" t="n">
        <v>0</v>
      </c>
      <c r="M72" s="18" t="n">
        <v>0</v>
      </c>
      <c r="N72" s="20" t="n">
        <v>0</v>
      </c>
      <c r="O72" s="18" t="n">
        <v>0</v>
      </c>
      <c r="P72" s="20" t="n">
        <v>0</v>
      </c>
      <c r="Q72" s="18" t="n">
        <v>0.24996161</v>
      </c>
      <c r="R72" s="20" t="n">
        <v>0.17673065</v>
      </c>
    </row>
    <row r="73" spans="1:18">
      <c r="A73" s="15" t="s">
        <v>633</v>
      </c>
      <c r="B73" s="17" t="n">
        <v>2973</v>
      </c>
      <c r="C73" s="18">
        <f>(2329.0/B73*100)</f>
        <v/>
      </c>
      <c r="D73" s="19" t="n">
        <v>644</v>
      </c>
      <c r="E73" s="18" t="n">
        <v>55.73965347</v>
      </c>
      <c r="F73" s="20" t="n">
        <v>2.36377398</v>
      </c>
      <c r="G73" s="18" t="n">
        <v>43.49602238</v>
      </c>
      <c r="H73" s="20" t="n">
        <v>2.40073569</v>
      </c>
      <c r="I73" s="18" t="n">
        <v>0</v>
      </c>
      <c r="J73" s="20" t="n">
        <v>0</v>
      </c>
      <c r="K73" s="18" t="n">
        <v>0.33694263</v>
      </c>
      <c r="L73" s="20" t="n">
        <v>0.23849512</v>
      </c>
      <c r="M73" s="18" t="n">
        <v>0</v>
      </c>
      <c r="N73" s="20" t="n">
        <v>0</v>
      </c>
      <c r="O73" s="18" t="n">
        <v>0</v>
      </c>
      <c r="P73" s="20" t="n">
        <v>0</v>
      </c>
      <c r="Q73" s="18" t="n">
        <v>0.42738152</v>
      </c>
      <c r="R73" s="20" t="n">
        <v>0.30165317</v>
      </c>
    </row>
    <row r="74" spans="1:18">
      <c r="A74" s="15" t="s">
        <v>634</v>
      </c>
      <c r="B74" s="17" t="n">
        <v>3819</v>
      </c>
      <c r="C74" s="18">
        <f>(2977.0/B74*100)</f>
        <v/>
      </c>
      <c r="D74" s="19" t="n">
        <v>842</v>
      </c>
      <c r="E74" s="18" t="n">
        <v>42.1911912</v>
      </c>
      <c r="F74" s="20" t="n">
        <v>2.05184702</v>
      </c>
      <c r="G74" s="18" t="n">
        <v>57.53087232</v>
      </c>
      <c r="H74" s="20" t="n">
        <v>2.07272454</v>
      </c>
      <c r="I74" s="18" t="n">
        <v>0</v>
      </c>
      <c r="J74" s="20" t="n">
        <v>0</v>
      </c>
      <c r="K74" s="18" t="n">
        <v>0</v>
      </c>
      <c r="L74" s="20" t="n">
        <v>0</v>
      </c>
      <c r="M74" s="18" t="n">
        <v>0</v>
      </c>
      <c r="N74" s="20" t="n">
        <v>0</v>
      </c>
      <c r="O74" s="18" t="n">
        <v>0</v>
      </c>
      <c r="P74" s="20" t="n">
        <v>0</v>
      </c>
      <c r="Q74" s="18" t="n">
        <v>0.27793647</v>
      </c>
      <c r="R74" s="20" t="n">
        <v>0.16611147</v>
      </c>
    </row>
    <row r="75" spans="1:18">
      <c r="A75" s="15" t="s">
        <v>635</v>
      </c>
      <c r="B75" s="17" t="n">
        <v>4652</v>
      </c>
      <c r="C75" s="18">
        <f>(3638.0/B75*100)</f>
        <v/>
      </c>
      <c r="D75" s="19" t="n">
        <v>1014</v>
      </c>
      <c r="E75" s="18" t="n">
        <v>61.99811824</v>
      </c>
      <c r="F75" s="20" t="n">
        <v>1.93730308</v>
      </c>
      <c r="G75" s="18" t="n">
        <v>37.40597715</v>
      </c>
      <c r="H75" s="20" t="n">
        <v>1.93043098</v>
      </c>
      <c r="I75" s="18" t="n">
        <v>0</v>
      </c>
      <c r="J75" s="20" t="n">
        <v>0</v>
      </c>
      <c r="K75" s="18" t="n">
        <v>0</v>
      </c>
      <c r="L75" s="20" t="n">
        <v>0</v>
      </c>
      <c r="M75" s="18" t="n">
        <v>0</v>
      </c>
      <c r="N75" s="20" t="n">
        <v>0</v>
      </c>
      <c r="O75" s="18" t="n">
        <v>0</v>
      </c>
      <c r="P75" s="20" t="n">
        <v>0</v>
      </c>
      <c r="Q75" s="18" t="n">
        <v>0.5959046099999999</v>
      </c>
      <c r="R75" s="20" t="n">
        <v>0.2155391</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(2381.0/B77*100)</f>
        <v/>
      </c>
      <c r="D77" s="19" t="n">
        <v>588</v>
      </c>
      <c r="E77" s="18" t="n">
        <v>61.75333593</v>
      </c>
      <c r="F77" s="20" t="n">
        <v>1.60904671</v>
      </c>
      <c r="G77" s="18" t="n">
        <v>34.80296094</v>
      </c>
      <c r="H77" s="20" t="n">
        <v>1.77137592</v>
      </c>
      <c r="I77" s="18" t="n">
        <v>0</v>
      </c>
      <c r="J77" s="20" t="n">
        <v>0</v>
      </c>
      <c r="K77" s="18" t="n">
        <v>0.78785781</v>
      </c>
      <c r="L77" s="20" t="n">
        <v>0.3363031</v>
      </c>
      <c r="M77" s="18" t="n">
        <v>0</v>
      </c>
      <c r="N77" s="20" t="n">
        <v>0</v>
      </c>
      <c r="O77" s="18" t="n">
        <v>0</v>
      </c>
      <c r="P77" s="20" t="n">
        <v>0</v>
      </c>
      <c r="Q77" s="18" t="n">
        <v>2.65584532</v>
      </c>
      <c r="R77" s="20" t="n">
        <v>0.62241593</v>
      </c>
    </row>
    <row r="78" spans="1:18">
      <c r="A78" s="15" t="s">
        <v>638</v>
      </c>
      <c r="B78" s="17" t="n">
        <v>7115</v>
      </c>
      <c r="C78" s="18">
        <f>(5562.0/B78*100)</f>
        <v/>
      </c>
      <c r="D78" s="19" t="n">
        <v>1553</v>
      </c>
      <c r="E78" s="18" t="n">
        <v>61.2113684</v>
      </c>
      <c r="F78" s="20" t="n">
        <v>1.8383918</v>
      </c>
      <c r="G78" s="18" t="n">
        <v>37.58556215</v>
      </c>
      <c r="H78" s="20" t="n">
        <v>1.92195168</v>
      </c>
      <c r="I78" s="18" t="n">
        <v>0</v>
      </c>
      <c r="J78" s="20" t="n">
        <v>0</v>
      </c>
      <c r="K78" s="18" t="n">
        <v>0.19204622</v>
      </c>
      <c r="L78" s="20" t="n">
        <v>0.1089204</v>
      </c>
      <c r="M78" s="18" t="n">
        <v>0</v>
      </c>
      <c r="N78" s="20" t="n">
        <v>0</v>
      </c>
      <c r="O78" s="18" t="n">
        <v>0</v>
      </c>
      <c r="P78" s="20" t="n">
        <v>0</v>
      </c>
      <c r="Q78" s="18" t="n">
        <v>1.01102323</v>
      </c>
      <c r="R78" s="20" t="n">
        <v>0.36215387</v>
      </c>
    </row>
    <row r="79" spans="1:18">
      <c r="A79" s="15" t="s">
        <v>639</v>
      </c>
      <c r="B79" s="17" t="n">
        <v>3154</v>
      </c>
      <c r="C79" s="18">
        <f>(2449.0/B79*100)</f>
        <v/>
      </c>
      <c r="D79" s="19" t="n">
        <v>705</v>
      </c>
      <c r="E79" s="18" t="n">
        <v>54.1707757</v>
      </c>
      <c r="F79" s="20" t="n">
        <v>1.93609698</v>
      </c>
      <c r="G79" s="18" t="n">
        <v>43.91716236</v>
      </c>
      <c r="H79" s="20" t="n">
        <v>1.83315039</v>
      </c>
      <c r="I79" s="18" t="n">
        <v>0</v>
      </c>
      <c r="J79" s="20" t="n">
        <v>0</v>
      </c>
      <c r="K79" s="18" t="n">
        <v>0.15414834</v>
      </c>
      <c r="L79" s="20" t="n">
        <v>0.13530979</v>
      </c>
      <c r="M79" s="18" t="n">
        <v>0</v>
      </c>
      <c r="N79" s="20" t="n">
        <v>0</v>
      </c>
      <c r="O79" s="18" t="n">
        <v>0</v>
      </c>
      <c r="P79" s="20" t="n">
        <v>0</v>
      </c>
      <c r="Q79" s="18" t="n">
        <v>1.7579136</v>
      </c>
      <c r="R79" s="20" t="n">
        <v>0.48501182</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(12422.0/B82*100)</f>
        <v/>
      </c>
      <c r="D82" s="19" t="n">
        <v>3539</v>
      </c>
      <c r="E82" s="18" t="n">
        <v>49.61626733</v>
      </c>
      <c r="F82" s="20" t="n">
        <v>1.35690512</v>
      </c>
      <c r="G82" s="18" t="n">
        <v>49.76016501</v>
      </c>
      <c r="H82" s="20" t="n">
        <v>1.3354768</v>
      </c>
      <c r="I82" s="18" t="n">
        <v>0</v>
      </c>
      <c r="J82" s="20" t="n">
        <v>0</v>
      </c>
      <c r="K82" s="18" t="n">
        <v>0</v>
      </c>
      <c r="L82" s="20" t="n">
        <v>0</v>
      </c>
      <c r="M82" s="18" t="n">
        <v>0</v>
      </c>
      <c r="N82" s="20" t="n">
        <v>0</v>
      </c>
      <c r="O82" s="18" t="n">
        <v>0</v>
      </c>
      <c r="P82" s="20" t="n">
        <v>0</v>
      </c>
      <c r="Q82" s="18" t="n">
        <v>0.62356766</v>
      </c>
      <c r="R82" s="20" t="n">
        <v>0.16936094</v>
      </c>
    </row>
    <row r="83" spans="1:18">
      <c r="A83" s="15" t="s">
        <v>643</v>
      </c>
      <c r="B83" s="17" t="n">
        <v>808</v>
      </c>
      <c r="C83" s="18">
        <f>(632.0/B83*100)</f>
        <v/>
      </c>
      <c r="D83" s="19" t="n">
        <v>176</v>
      </c>
      <c r="E83" s="18" t="n">
        <v>33.55214561</v>
      </c>
      <c r="F83" s="20" t="n">
        <v>3.62123224</v>
      </c>
      <c r="G83" s="18" t="n">
        <v>65.78843664999999</v>
      </c>
      <c r="H83" s="20" t="n">
        <v>3.35484491</v>
      </c>
      <c r="I83" s="18" t="n">
        <v>0</v>
      </c>
      <c r="J83" s="20" t="n">
        <v>0</v>
      </c>
      <c r="K83" s="18" t="n">
        <v>0</v>
      </c>
      <c r="L83" s="20" t="n">
        <v>0</v>
      </c>
      <c r="M83" s="18" t="n">
        <v>0</v>
      </c>
      <c r="N83" s="20" t="n">
        <v>0</v>
      </c>
      <c r="O83" s="18" t="n">
        <v>0</v>
      </c>
      <c r="P83" s="20" t="n">
        <v>0</v>
      </c>
      <c r="Q83" s="18" t="n">
        <v>0.65941774</v>
      </c>
      <c r="R83" s="20" t="n">
        <v>0.62074607</v>
      </c>
    </row>
    <row r="84" spans="1:18">
      <c r="A84" s="23" t="s">
        <v>644</v>
      </c>
      <c r="B84" s="24" t="n">
        <v>938</v>
      </c>
      <c r="C84" s="25">
        <f>(739.0/B84*100)</f>
        <v/>
      </c>
      <c r="D84" s="19" t="n">
        <v>199</v>
      </c>
      <c r="E84" s="18" t="n">
        <v>37.20974241</v>
      </c>
      <c r="F84" s="20" t="n">
        <v>3.34520445</v>
      </c>
      <c r="G84" s="18" t="n">
        <v>62.26141574</v>
      </c>
      <c r="H84" s="20" t="n">
        <v>3.56428901</v>
      </c>
      <c r="I84" s="18" t="n">
        <v>0</v>
      </c>
      <c r="J84" s="20" t="n">
        <v>0</v>
      </c>
      <c r="K84" s="18" t="n">
        <v>0</v>
      </c>
      <c r="L84" s="20" t="n">
        <v>0</v>
      </c>
      <c r="M84" s="18" t="n">
        <v>0</v>
      </c>
      <c r="N84" s="20" t="n">
        <v>0</v>
      </c>
      <c r="O84" s="18" t="n">
        <v>0</v>
      </c>
      <c r="P84" s="20" t="n">
        <v>0</v>
      </c>
      <c r="Q84" s="18" t="n">
        <v>0.5288418499999999</v>
      </c>
      <c r="R84" s="20" t="n">
        <v>0.53206947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(5590.0/B7*100)</f>
        <v/>
      </c>
      <c r="D7" s="19" t="n">
        <v>1573</v>
      </c>
      <c r="E7" s="18" t="n">
        <v>70.4039598</v>
      </c>
      <c r="F7" s="20" t="n">
        <v>1.37420105</v>
      </c>
      <c r="G7" s="18" t="n">
        <v>28.90313271</v>
      </c>
      <c r="H7" s="20" t="n">
        <v>1.37173874</v>
      </c>
      <c r="I7" s="18" t="n">
        <v>0</v>
      </c>
      <c r="J7" s="20" t="n">
        <v>0</v>
      </c>
      <c r="K7" s="18" t="n">
        <v>0</v>
      </c>
      <c r="L7" s="20" t="n">
        <v>0</v>
      </c>
      <c r="M7" s="18" t="n">
        <v>0</v>
      </c>
      <c r="N7" s="20" t="n">
        <v>0</v>
      </c>
      <c r="O7" s="18" t="n">
        <v>0</v>
      </c>
      <c r="P7" s="20" t="n">
        <v>0</v>
      </c>
      <c r="Q7" s="18" t="n">
        <v>0.69290748</v>
      </c>
      <c r="R7" s="20" t="n">
        <v>0.25572186</v>
      </c>
    </row>
    <row r="8" spans="1:18">
      <c r="A8" s="15" t="s">
        <v>566</v>
      </c>
      <c r="B8" s="17" t="n">
        <v>3443</v>
      </c>
      <c r="C8" s="18">
        <f>(2725.0/B8*100)</f>
        <v/>
      </c>
      <c r="D8" s="19" t="n">
        <v>718</v>
      </c>
      <c r="E8" s="18" t="n">
        <v>69.07294985</v>
      </c>
      <c r="F8" s="20" t="n">
        <v>1.90792527</v>
      </c>
      <c r="G8" s="18" t="n">
        <v>30.61311446</v>
      </c>
      <c r="H8" s="20" t="n">
        <v>1.93818055</v>
      </c>
      <c r="I8" s="18" t="n">
        <v>0</v>
      </c>
      <c r="J8" s="20" t="n">
        <v>0</v>
      </c>
      <c r="K8" s="18" t="n">
        <v>0</v>
      </c>
      <c r="L8" s="20" t="n">
        <v>0</v>
      </c>
      <c r="M8" s="18" t="n">
        <v>0</v>
      </c>
      <c r="N8" s="20" t="n">
        <v>0</v>
      </c>
      <c r="O8" s="18" t="n">
        <v>0</v>
      </c>
      <c r="P8" s="20" t="n">
        <v>0</v>
      </c>
      <c r="Q8" s="18" t="n">
        <v>0.31393569</v>
      </c>
      <c r="R8" s="20" t="n">
        <v>0.19277125</v>
      </c>
    </row>
    <row r="9" spans="1:18">
      <c r="A9" s="15" t="s">
        <v>567</v>
      </c>
      <c r="B9" s="17" t="n">
        <v>4752</v>
      </c>
      <c r="C9" s="18">
        <f>(3713.0/B9*100)</f>
        <v/>
      </c>
      <c r="D9" s="19" t="n">
        <v>1039</v>
      </c>
      <c r="E9" s="18" t="n">
        <v>65.14699297</v>
      </c>
      <c r="F9" s="20" t="n">
        <v>1.8736556</v>
      </c>
      <c r="G9" s="18" t="n">
        <v>33.85322499</v>
      </c>
      <c r="H9" s="20" t="n">
        <v>1.86342203</v>
      </c>
      <c r="I9" s="18" t="n">
        <v>0</v>
      </c>
      <c r="J9" s="20" t="n">
        <v>0</v>
      </c>
      <c r="K9" s="18" t="n">
        <v>0.1948944</v>
      </c>
      <c r="L9" s="20" t="n">
        <v>0.14232579</v>
      </c>
      <c r="M9" s="18" t="n">
        <v>0</v>
      </c>
      <c r="N9" s="20" t="n">
        <v>0</v>
      </c>
      <c r="O9" s="18" t="n">
        <v>0</v>
      </c>
      <c r="P9" s="20" t="n">
        <v>0</v>
      </c>
      <c r="Q9" s="18" t="n">
        <v>0.80488764</v>
      </c>
      <c r="R9" s="20" t="n">
        <v>0.27074574</v>
      </c>
    </row>
    <row r="10" spans="1:18">
      <c r="A10" s="15" t="s">
        <v>568</v>
      </c>
      <c r="B10" s="17" t="n">
        <v>10022</v>
      </c>
      <c r="C10" s="18">
        <f>(7843.0/B10*100)</f>
        <v/>
      </c>
      <c r="D10" s="19" t="n">
        <v>2179</v>
      </c>
      <c r="E10" s="18" t="n">
        <v>65.36258135999999</v>
      </c>
      <c r="F10" s="20" t="n">
        <v>1.46408845</v>
      </c>
      <c r="G10" s="18" t="n">
        <v>34.28538927</v>
      </c>
      <c r="H10" s="20" t="n">
        <v>1.45758729</v>
      </c>
      <c r="I10" s="18" t="n">
        <v>0</v>
      </c>
      <c r="J10" s="20" t="n">
        <v>0</v>
      </c>
      <c r="K10" s="18" t="n">
        <v>0.11349819</v>
      </c>
      <c r="L10" s="20" t="n">
        <v>0.12509791</v>
      </c>
      <c r="M10" s="18" t="n">
        <v>0</v>
      </c>
      <c r="N10" s="20" t="n">
        <v>0</v>
      </c>
      <c r="O10" s="18" t="n">
        <v>0</v>
      </c>
      <c r="P10" s="20" t="n">
        <v>0</v>
      </c>
      <c r="Q10" s="18" t="n">
        <v>0.23853118</v>
      </c>
      <c r="R10" s="20" t="n">
        <v>0.11676548</v>
      </c>
    </row>
    <row r="11" spans="1:18">
      <c r="A11" s="15" t="s">
        <v>569</v>
      </c>
      <c r="B11" s="17" t="n">
        <v>3500</v>
      </c>
      <c r="C11" s="18">
        <f>(2756.0/B11*100)</f>
        <v/>
      </c>
      <c r="D11" s="19" t="n">
        <v>744</v>
      </c>
      <c r="E11" s="18" t="n">
        <v>82.52415616</v>
      </c>
      <c r="F11" s="20" t="n">
        <v>2.09558247</v>
      </c>
      <c r="G11" s="18" t="n">
        <v>17.17809053</v>
      </c>
      <c r="H11" s="20" t="n">
        <v>2.09307134</v>
      </c>
      <c r="I11" s="18" t="n">
        <v>0</v>
      </c>
      <c r="J11" s="20" t="n">
        <v>0</v>
      </c>
      <c r="K11" s="18" t="n">
        <v>0.11097238</v>
      </c>
      <c r="L11" s="20" t="n">
        <v>0.10792074</v>
      </c>
      <c r="M11" s="18" t="n">
        <v>0</v>
      </c>
      <c r="N11" s="20" t="n">
        <v>0</v>
      </c>
      <c r="O11" s="18" t="n">
        <v>0</v>
      </c>
      <c r="P11" s="20" t="n">
        <v>0</v>
      </c>
      <c r="Q11" s="18" t="n">
        <v>0.18678093</v>
      </c>
      <c r="R11" s="20" t="n">
        <v>0.16832148</v>
      </c>
    </row>
    <row r="12" spans="1:18">
      <c r="A12" s="15" t="s">
        <v>570</v>
      </c>
      <c r="B12" s="17" t="n">
        <v>3422</v>
      </c>
      <c r="C12" s="18">
        <f>(2653.0/B12*100)</f>
        <v/>
      </c>
      <c r="D12" s="19" t="n">
        <v>769</v>
      </c>
      <c r="E12" s="18" t="n">
        <v>62.80202379</v>
      </c>
      <c r="F12" s="20" t="n">
        <v>1.95774398</v>
      </c>
      <c r="G12" s="18" t="n">
        <v>36.93261265</v>
      </c>
      <c r="H12" s="20" t="n">
        <v>1.94958934</v>
      </c>
      <c r="I12" s="18" t="n">
        <v>0</v>
      </c>
      <c r="J12" s="20" t="n">
        <v>0</v>
      </c>
      <c r="K12" s="18" t="n">
        <v>0.11595736</v>
      </c>
      <c r="L12" s="20" t="n">
        <v>0.10986837</v>
      </c>
      <c r="M12" s="18" t="n">
        <v>0</v>
      </c>
      <c r="N12" s="20" t="n">
        <v>0</v>
      </c>
      <c r="O12" s="18" t="n">
        <v>0</v>
      </c>
      <c r="P12" s="20" t="n">
        <v>0</v>
      </c>
      <c r="Q12" s="18" t="n">
        <v>0.1494062</v>
      </c>
      <c r="R12" s="20" t="n">
        <v>0.13698277</v>
      </c>
    </row>
    <row r="13" spans="1:18">
      <c r="A13" s="15" t="s">
        <v>571</v>
      </c>
      <c r="B13" s="17" t="n">
        <v>3602</v>
      </c>
      <c r="C13" s="18">
        <f>(2832.0/B13*100)</f>
        <v/>
      </c>
      <c r="D13" s="19" t="n">
        <v>770</v>
      </c>
      <c r="E13" s="18" t="n">
        <v>67.24506233</v>
      </c>
      <c r="F13" s="20" t="n">
        <v>2.49838086</v>
      </c>
      <c r="G13" s="18" t="n">
        <v>32.10235574</v>
      </c>
      <c r="H13" s="20" t="n">
        <v>2.49859243</v>
      </c>
      <c r="I13" s="18" t="n">
        <v>0</v>
      </c>
      <c r="J13" s="20" t="n">
        <v>0</v>
      </c>
      <c r="K13" s="18" t="n">
        <v>0.06944002000000001</v>
      </c>
      <c r="L13" s="20" t="n">
        <v>0.05021849</v>
      </c>
      <c r="M13" s="18" t="n">
        <v>0</v>
      </c>
      <c r="N13" s="20" t="n">
        <v>0</v>
      </c>
      <c r="O13" s="18" t="n">
        <v>0</v>
      </c>
      <c r="P13" s="20" t="n">
        <v>0</v>
      </c>
      <c r="Q13" s="18" t="n">
        <v>0.58314191</v>
      </c>
      <c r="R13" s="20" t="n">
        <v>0.30684031</v>
      </c>
    </row>
    <row r="14" spans="1:18">
      <c r="A14" s="15" t="s">
        <v>572</v>
      </c>
      <c r="B14" s="17" t="n">
        <v>2788</v>
      </c>
      <c r="C14" s="18">
        <f>(2183.0/B14*100)</f>
        <v/>
      </c>
      <c r="D14" s="19" t="n">
        <v>605</v>
      </c>
      <c r="E14" s="18" t="n">
        <v>57.73225384</v>
      </c>
      <c r="F14" s="20" t="n">
        <v>2.39335725</v>
      </c>
      <c r="G14" s="18" t="n">
        <v>41.99224203</v>
      </c>
      <c r="H14" s="20" t="n">
        <v>2.41473896</v>
      </c>
      <c r="I14" s="18" t="n">
        <v>0</v>
      </c>
      <c r="J14" s="20" t="n">
        <v>0</v>
      </c>
      <c r="K14" s="18" t="n">
        <v>0.11948086</v>
      </c>
      <c r="L14" s="20" t="n">
        <v>0.11979764</v>
      </c>
      <c r="M14" s="18" t="n">
        <v>0</v>
      </c>
      <c r="N14" s="20" t="n">
        <v>0</v>
      </c>
      <c r="O14" s="18" t="n">
        <v>0</v>
      </c>
      <c r="P14" s="20" t="n">
        <v>0</v>
      </c>
      <c r="Q14" s="18" t="n">
        <v>0.15602327</v>
      </c>
      <c r="R14" s="20" t="n">
        <v>0.15627041</v>
      </c>
    </row>
    <row r="15" spans="1:18">
      <c r="A15" s="15" t="s">
        <v>573</v>
      </c>
      <c r="B15" s="17" t="n">
        <v>2863</v>
      </c>
      <c r="C15" s="18">
        <f>(2248.0/B15*100)</f>
        <v/>
      </c>
      <c r="D15" s="19" t="n">
        <v>615</v>
      </c>
      <c r="E15" s="18" t="n">
        <v>57.57966323</v>
      </c>
      <c r="F15" s="20" t="n">
        <v>2.1001353</v>
      </c>
      <c r="G15" s="18" t="n">
        <v>42.27275604</v>
      </c>
      <c r="H15" s="20" t="n">
        <v>2.07893979</v>
      </c>
      <c r="I15" s="18" t="n">
        <v>0</v>
      </c>
      <c r="J15" s="20" t="n">
        <v>0</v>
      </c>
      <c r="K15" s="18" t="n">
        <v>0</v>
      </c>
      <c r="L15" s="20" t="n">
        <v>0</v>
      </c>
      <c r="M15" s="18" t="n">
        <v>0</v>
      </c>
      <c r="N15" s="20" t="n">
        <v>0</v>
      </c>
      <c r="O15" s="18" t="n">
        <v>0</v>
      </c>
      <c r="P15" s="20" t="n">
        <v>0</v>
      </c>
      <c r="Q15" s="18" t="n">
        <v>0.14758073</v>
      </c>
      <c r="R15" s="20" t="n">
        <v>0.14744081</v>
      </c>
    </row>
    <row r="16" spans="1:18">
      <c r="A16" s="15" t="s">
        <v>574</v>
      </c>
      <c r="B16" s="17" t="n">
        <v>3111</v>
      </c>
      <c r="C16" s="18">
        <f>(2439.0/B16*100)</f>
        <v/>
      </c>
      <c r="D16" s="19" t="n">
        <v>672</v>
      </c>
      <c r="E16" s="18" t="n">
        <v>68.31891692000001</v>
      </c>
      <c r="F16" s="20" t="n">
        <v>1.6698044</v>
      </c>
      <c r="G16" s="18" t="n">
        <v>31.0562402</v>
      </c>
      <c r="H16" s="20" t="n">
        <v>1.64677462</v>
      </c>
      <c r="I16" s="18" t="n">
        <v>0</v>
      </c>
      <c r="J16" s="20" t="n">
        <v>0</v>
      </c>
      <c r="K16" s="18" t="n">
        <v>0</v>
      </c>
      <c r="L16" s="20" t="n">
        <v>0</v>
      </c>
      <c r="M16" s="18" t="n">
        <v>0</v>
      </c>
      <c r="N16" s="20" t="n">
        <v>0</v>
      </c>
      <c r="O16" s="18" t="n">
        <v>0</v>
      </c>
      <c r="P16" s="20" t="n">
        <v>0</v>
      </c>
      <c r="Q16" s="18" t="n">
        <v>0.6248428700000001</v>
      </c>
      <c r="R16" s="20" t="n">
        <v>0.37628605</v>
      </c>
    </row>
    <row r="17" spans="1:18">
      <c r="A17" s="15" t="s">
        <v>575</v>
      </c>
      <c r="B17" s="17" t="n">
        <v>3197</v>
      </c>
      <c r="C17" s="18">
        <f>(2466.0/B17*100)</f>
        <v/>
      </c>
      <c r="D17" s="19" t="n">
        <v>731</v>
      </c>
      <c r="E17" s="18" t="n">
        <v>60.93742351</v>
      </c>
      <c r="F17" s="20" t="n">
        <v>1.87438385</v>
      </c>
      <c r="G17" s="18" t="n">
        <v>37.56832852</v>
      </c>
      <c r="H17" s="20" t="n">
        <v>1.84845314</v>
      </c>
      <c r="I17" s="18" t="n">
        <v>0</v>
      </c>
      <c r="J17" s="20" t="n">
        <v>0</v>
      </c>
      <c r="K17" s="18" t="n">
        <v>0</v>
      </c>
      <c r="L17" s="20" t="n">
        <v>0</v>
      </c>
      <c r="M17" s="18" t="n">
        <v>0</v>
      </c>
      <c r="N17" s="20" t="n">
        <v>0</v>
      </c>
      <c r="O17" s="18" t="n">
        <v>0</v>
      </c>
      <c r="P17" s="20" t="n">
        <v>0</v>
      </c>
      <c r="Q17" s="18" t="n">
        <v>1.49424796</v>
      </c>
      <c r="R17" s="20" t="n">
        <v>0.57875747</v>
      </c>
    </row>
    <row r="18" spans="1:18">
      <c r="A18" s="15" t="s">
        <v>576</v>
      </c>
      <c r="B18" s="17" t="n">
        <v>2706</v>
      </c>
      <c r="C18" s="18">
        <f>(2093.0/B18*100)</f>
        <v/>
      </c>
      <c r="D18" s="19" t="n">
        <v>613</v>
      </c>
      <c r="E18" s="18" t="n">
        <v>74.17183249</v>
      </c>
      <c r="F18" s="20" t="n">
        <v>1.95600578</v>
      </c>
      <c r="G18" s="18" t="n">
        <v>24.68775092</v>
      </c>
      <c r="H18" s="20" t="n">
        <v>1.95136925</v>
      </c>
      <c r="I18" s="18" t="n">
        <v>0</v>
      </c>
      <c r="J18" s="20" t="n">
        <v>0</v>
      </c>
      <c r="K18" s="18" t="n">
        <v>0</v>
      </c>
      <c r="L18" s="20" t="n">
        <v>0</v>
      </c>
      <c r="M18" s="18" t="n">
        <v>0</v>
      </c>
      <c r="N18" s="20" t="n">
        <v>0</v>
      </c>
      <c r="O18" s="18" t="n">
        <v>0</v>
      </c>
      <c r="P18" s="20" t="n">
        <v>0</v>
      </c>
      <c r="Q18" s="18" t="n">
        <v>1.1404166</v>
      </c>
      <c r="R18" s="20" t="n">
        <v>0.55607535</v>
      </c>
    </row>
    <row r="19" spans="1:18">
      <c r="A19" s="15" t="s">
        <v>577</v>
      </c>
      <c r="B19" s="17" t="n">
        <v>2850</v>
      </c>
      <c r="C19" s="18">
        <f>(2262.0/B19*100)</f>
        <v/>
      </c>
      <c r="D19" s="19" t="n">
        <v>588</v>
      </c>
      <c r="E19" s="18" t="n">
        <v>67.68502947</v>
      </c>
      <c r="F19" s="20" t="n">
        <v>2.26592417</v>
      </c>
      <c r="G19" s="18" t="n">
        <v>32.0097934</v>
      </c>
      <c r="H19" s="20" t="n">
        <v>2.27201217</v>
      </c>
      <c r="I19" s="18" t="n">
        <v>0</v>
      </c>
      <c r="J19" s="20" t="n">
        <v>0</v>
      </c>
      <c r="K19" s="18" t="n">
        <v>0.14517712</v>
      </c>
      <c r="L19" s="20" t="n">
        <v>0.10401898</v>
      </c>
      <c r="M19" s="18" t="n">
        <v>0</v>
      </c>
      <c r="N19" s="20" t="n">
        <v>0</v>
      </c>
      <c r="O19" s="18" t="n">
        <v>0</v>
      </c>
      <c r="P19" s="20" t="n">
        <v>0</v>
      </c>
      <c r="Q19" s="18" t="n">
        <v>0.16</v>
      </c>
      <c r="R19" s="20" t="n">
        <v>0.16310016</v>
      </c>
    </row>
    <row r="20" spans="1:18">
      <c r="A20" s="15" t="s">
        <v>578</v>
      </c>
      <c r="B20" s="17" t="n">
        <v>1741</v>
      </c>
      <c r="C20" s="18">
        <f>(1369.0/B20*100)</f>
        <v/>
      </c>
      <c r="D20" s="19" t="n">
        <v>372</v>
      </c>
      <c r="E20" s="18" t="n">
        <v>75.04448425</v>
      </c>
      <c r="F20" s="20" t="n">
        <v>2.13760512</v>
      </c>
      <c r="G20" s="18" t="n">
        <v>24.28201914</v>
      </c>
      <c r="H20" s="20" t="n">
        <v>2.1032813</v>
      </c>
      <c r="I20" s="18" t="n">
        <v>0</v>
      </c>
      <c r="J20" s="20" t="n">
        <v>0</v>
      </c>
      <c r="K20" s="18" t="n">
        <v>0</v>
      </c>
      <c r="L20" s="20" t="n">
        <v>0</v>
      </c>
      <c r="M20" s="18" t="n">
        <v>0</v>
      </c>
      <c r="N20" s="20" t="n">
        <v>0</v>
      </c>
      <c r="O20" s="18" t="n">
        <v>0</v>
      </c>
      <c r="P20" s="20" t="n">
        <v>0</v>
      </c>
      <c r="Q20" s="18" t="n">
        <v>0.6734966</v>
      </c>
      <c r="R20" s="20" t="n">
        <v>0.49389807</v>
      </c>
    </row>
    <row r="21" spans="1:18">
      <c r="A21" s="15" t="s">
        <v>579</v>
      </c>
      <c r="B21" s="17" t="n">
        <v>2833</v>
      </c>
      <c r="C21" s="18">
        <f>(2180.0/B21*100)</f>
        <v/>
      </c>
      <c r="D21" s="19" t="n">
        <v>653</v>
      </c>
      <c r="E21" s="18" t="n">
        <v>80.95880862999999</v>
      </c>
      <c r="F21" s="20" t="n">
        <v>1.74759592</v>
      </c>
      <c r="G21" s="18" t="n">
        <v>19.04119137</v>
      </c>
      <c r="H21" s="20" t="n">
        <v>1.74759592</v>
      </c>
      <c r="I21" s="18" t="n">
        <v>0</v>
      </c>
      <c r="J21" s="20" t="n">
        <v>0</v>
      </c>
      <c r="K21" s="18" t="n">
        <v>0</v>
      </c>
      <c r="L21" s="20" t="n">
        <v>0</v>
      </c>
      <c r="M21" s="18" t="n">
        <v>0</v>
      </c>
      <c r="N21" s="20" t="n">
        <v>0</v>
      </c>
      <c r="O21" s="18" t="n">
        <v>0</v>
      </c>
      <c r="P21" s="20" t="n">
        <v>0</v>
      </c>
      <c r="Q21" s="18" t="n">
        <v>0</v>
      </c>
      <c r="R21" s="20" t="n">
        <v>0</v>
      </c>
    </row>
    <row r="22" spans="1:18">
      <c r="A22" s="15" t="s">
        <v>580</v>
      </c>
      <c r="B22" s="17" t="n">
        <v>3667</v>
      </c>
      <c r="C22" s="18">
        <f>(2826.0/B22*100)</f>
        <v/>
      </c>
      <c r="D22" s="19" t="n">
        <v>841</v>
      </c>
      <c r="E22" s="18" t="n">
        <v>73.08544408</v>
      </c>
      <c r="F22" s="20" t="n">
        <v>2.12279536</v>
      </c>
      <c r="G22" s="18" t="n">
        <v>25.7513369</v>
      </c>
      <c r="H22" s="20" t="n">
        <v>2.08026532</v>
      </c>
      <c r="I22" s="18" t="n">
        <v>0</v>
      </c>
      <c r="J22" s="20" t="n">
        <v>0</v>
      </c>
      <c r="K22" s="18" t="n">
        <v>0.3546565</v>
      </c>
      <c r="L22" s="20" t="n">
        <v>0.20345872</v>
      </c>
      <c r="M22" s="18" t="n">
        <v>0</v>
      </c>
      <c r="N22" s="20" t="n">
        <v>0</v>
      </c>
      <c r="O22" s="18" t="n">
        <v>0</v>
      </c>
      <c r="P22" s="20" t="n">
        <v>0</v>
      </c>
      <c r="Q22" s="18" t="n">
        <v>0.80856252</v>
      </c>
      <c r="R22" s="20" t="n">
        <v>0.27088131</v>
      </c>
    </row>
    <row r="23" spans="1:18">
      <c r="A23" s="15" t="s">
        <v>581</v>
      </c>
      <c r="B23" s="17" t="n">
        <v>5792</v>
      </c>
      <c r="C23" s="18">
        <f>(4516.0/B23*100)</f>
        <v/>
      </c>
      <c r="D23" s="19" t="n">
        <v>1276</v>
      </c>
      <c r="E23" s="18" t="n">
        <v>74.17690483</v>
      </c>
      <c r="F23" s="20" t="n">
        <v>1.92354525</v>
      </c>
      <c r="G23" s="18" t="n">
        <v>24.48362802</v>
      </c>
      <c r="H23" s="20" t="n">
        <v>1.86103987</v>
      </c>
      <c r="I23" s="18" t="n">
        <v>0</v>
      </c>
      <c r="J23" s="20" t="n">
        <v>0</v>
      </c>
      <c r="K23" s="18" t="n">
        <v>0.14813278</v>
      </c>
      <c r="L23" s="20" t="n">
        <v>0.14680758</v>
      </c>
      <c r="M23" s="18" t="n">
        <v>0</v>
      </c>
      <c r="N23" s="20" t="n">
        <v>0</v>
      </c>
      <c r="O23" s="18" t="n">
        <v>0</v>
      </c>
      <c r="P23" s="20" t="n">
        <v>0</v>
      </c>
      <c r="Q23" s="18" t="n">
        <v>1.19133437</v>
      </c>
      <c r="R23" s="20" t="n">
        <v>0.54220161</v>
      </c>
    </row>
    <row r="24" spans="1:18">
      <c r="A24" s="15" t="s">
        <v>582</v>
      </c>
      <c r="B24" s="17" t="n">
        <v>3309</v>
      </c>
      <c r="C24" s="18">
        <f>(2531.0/B24*100)</f>
        <v/>
      </c>
      <c r="D24" s="19" t="n">
        <v>778</v>
      </c>
      <c r="E24" s="18" t="n">
        <v>61.03676578</v>
      </c>
      <c r="F24" s="20" t="n">
        <v>1.50699681</v>
      </c>
      <c r="G24" s="18" t="n">
        <v>38.14648603</v>
      </c>
      <c r="H24" s="20" t="n">
        <v>1.56325034</v>
      </c>
      <c r="I24" s="18" t="n">
        <v>0</v>
      </c>
      <c r="J24" s="20" t="n">
        <v>0</v>
      </c>
      <c r="K24" s="18" t="n">
        <v>0</v>
      </c>
      <c r="L24" s="20" t="n">
        <v>0</v>
      </c>
      <c r="M24" s="18" t="n">
        <v>0</v>
      </c>
      <c r="N24" s="20" t="n">
        <v>0</v>
      </c>
      <c r="O24" s="18" t="n">
        <v>0</v>
      </c>
      <c r="P24" s="20" t="n">
        <v>0</v>
      </c>
      <c r="Q24" s="18" t="n">
        <v>0.81674819</v>
      </c>
      <c r="R24" s="20" t="n">
        <v>0.32968214</v>
      </c>
    </row>
    <row r="25" spans="1:18">
      <c r="A25" s="15" t="s">
        <v>583</v>
      </c>
      <c r="B25" s="17" t="n">
        <v>2669</v>
      </c>
      <c r="C25" s="18">
        <f>(2087.0/B25*100)</f>
        <v/>
      </c>
      <c r="D25" s="19" t="n">
        <v>582</v>
      </c>
      <c r="E25" s="18" t="n">
        <v>56.83905028</v>
      </c>
      <c r="F25" s="20" t="n">
        <v>1.98414848</v>
      </c>
      <c r="G25" s="18" t="n">
        <v>42.6799259</v>
      </c>
      <c r="H25" s="20" t="n">
        <v>1.94784071</v>
      </c>
      <c r="I25" s="18" t="n">
        <v>0</v>
      </c>
      <c r="J25" s="20" t="n">
        <v>0</v>
      </c>
      <c r="K25" s="18" t="n">
        <v>0.16309914</v>
      </c>
      <c r="L25" s="20" t="n">
        <v>0.16277181</v>
      </c>
      <c r="M25" s="18" t="n">
        <v>0</v>
      </c>
      <c r="N25" s="20" t="n">
        <v>0</v>
      </c>
      <c r="O25" s="18" t="n">
        <v>0</v>
      </c>
      <c r="P25" s="20" t="n">
        <v>0</v>
      </c>
      <c r="Q25" s="18" t="n">
        <v>0.31792468</v>
      </c>
      <c r="R25" s="20" t="n">
        <v>0.22871892</v>
      </c>
    </row>
    <row r="26" spans="1:18">
      <c r="A26" s="15" t="s">
        <v>584</v>
      </c>
      <c r="B26" s="17" t="n">
        <v>2419</v>
      </c>
      <c r="C26" s="18">
        <f>(1894.0/B26*100)</f>
        <v/>
      </c>
      <c r="D26" s="19" t="n">
        <v>525</v>
      </c>
      <c r="E26" s="18" t="n">
        <v>72.26530485000001</v>
      </c>
      <c r="F26" s="20" t="n">
        <v>2.09916476</v>
      </c>
      <c r="G26" s="18" t="n">
        <v>27.73469515</v>
      </c>
      <c r="H26" s="20" t="n">
        <v>2.09916476</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(2053.0/B27*100)</f>
        <v/>
      </c>
      <c r="D27" s="19" t="n">
        <v>630</v>
      </c>
      <c r="E27" s="18" t="n">
        <v>72.82654909999999</v>
      </c>
      <c r="F27" s="20" t="n">
        <v>1.77228121</v>
      </c>
      <c r="G27" s="18" t="n">
        <v>26.84739956</v>
      </c>
      <c r="H27" s="20" t="n">
        <v>1.76189292</v>
      </c>
      <c r="I27" s="18" t="n">
        <v>0</v>
      </c>
      <c r="J27" s="20" t="n">
        <v>0</v>
      </c>
      <c r="K27" s="18" t="n">
        <v>0</v>
      </c>
      <c r="L27" s="20" t="n">
        <v>0</v>
      </c>
      <c r="M27" s="18" t="n">
        <v>0</v>
      </c>
      <c r="N27" s="20" t="n">
        <v>0</v>
      </c>
      <c r="O27" s="18" t="n">
        <v>0</v>
      </c>
      <c r="P27" s="20" t="n">
        <v>0</v>
      </c>
      <c r="Q27" s="18" t="n">
        <v>0.32605134</v>
      </c>
      <c r="R27" s="20" t="n">
        <v>0.22723726</v>
      </c>
    </row>
    <row r="28" spans="1:18">
      <c r="A28" s="15" t="s">
        <v>586</v>
      </c>
      <c r="B28" s="17" t="n">
        <v>3803</v>
      </c>
      <c r="C28" s="18">
        <f>(3007.0/B28*100)</f>
        <v/>
      </c>
      <c r="D28" s="19" t="n">
        <v>796</v>
      </c>
      <c r="E28" s="18" t="n">
        <v>89.97665665</v>
      </c>
      <c r="F28" s="20" t="n">
        <v>1.12641131</v>
      </c>
      <c r="G28" s="18" t="n">
        <v>9.190300089999999</v>
      </c>
      <c r="H28" s="20" t="n">
        <v>1.08642315</v>
      </c>
      <c r="I28" s="18" t="n">
        <v>0</v>
      </c>
      <c r="J28" s="20" t="n">
        <v>0</v>
      </c>
      <c r="K28" s="18" t="n">
        <v>0.10447794</v>
      </c>
      <c r="L28" s="20" t="n">
        <v>0.10453995</v>
      </c>
      <c r="M28" s="18" t="n">
        <v>0</v>
      </c>
      <c r="N28" s="20" t="n">
        <v>0</v>
      </c>
      <c r="O28" s="18" t="n">
        <v>0</v>
      </c>
      <c r="P28" s="20" t="n">
        <v>0</v>
      </c>
      <c r="Q28" s="18" t="n">
        <v>0.72856531</v>
      </c>
      <c r="R28" s="20" t="n">
        <v>0.34597871</v>
      </c>
    </row>
    <row r="29" spans="1:18">
      <c r="A29" s="15" t="s">
        <v>587</v>
      </c>
      <c r="B29" s="17" t="n">
        <v>2700</v>
      </c>
      <c r="C29" s="18">
        <f>(2118.0/B29*100)</f>
        <v/>
      </c>
      <c r="D29" s="19" t="n">
        <v>582</v>
      </c>
      <c r="E29" s="18" t="n">
        <v>64.0624351</v>
      </c>
      <c r="F29" s="20" t="n">
        <v>1.93066968</v>
      </c>
      <c r="G29" s="18" t="n">
        <v>35.52285075</v>
      </c>
      <c r="H29" s="20" t="n">
        <v>1.92579076</v>
      </c>
      <c r="I29" s="18" t="n">
        <v>0</v>
      </c>
      <c r="J29" s="20" t="n">
        <v>0</v>
      </c>
      <c r="K29" s="18" t="n">
        <v>0</v>
      </c>
      <c r="L29" s="20" t="n">
        <v>0</v>
      </c>
      <c r="M29" s="18" t="n">
        <v>0</v>
      </c>
      <c r="N29" s="20" t="n">
        <v>0</v>
      </c>
      <c r="O29" s="18" t="n">
        <v>0</v>
      </c>
      <c r="P29" s="20" t="n">
        <v>0</v>
      </c>
      <c r="Q29" s="18" t="n">
        <v>0.41471416</v>
      </c>
      <c r="R29" s="20" t="n">
        <v>0.27611792</v>
      </c>
    </row>
    <row r="30" spans="1:18">
      <c r="A30" s="15" t="s">
        <v>588</v>
      </c>
      <c r="B30" s="17" t="n">
        <v>2257</v>
      </c>
      <c r="C30" s="18">
        <f>(1777.0/B30*100)</f>
        <v/>
      </c>
      <c r="D30" s="19" t="n">
        <v>480</v>
      </c>
      <c r="E30" s="18" t="n">
        <v>72.38839658000001</v>
      </c>
      <c r="F30" s="20" t="n">
        <v>2.21246374</v>
      </c>
      <c r="G30" s="18" t="n">
        <v>27.47989248</v>
      </c>
      <c r="H30" s="20" t="n">
        <v>2.19956009</v>
      </c>
      <c r="I30" s="18" t="n">
        <v>0</v>
      </c>
      <c r="J30" s="20" t="n">
        <v>0</v>
      </c>
      <c r="K30" s="18" t="n">
        <v>0</v>
      </c>
      <c r="L30" s="20" t="n">
        <v>0</v>
      </c>
      <c r="M30" s="18" t="n">
        <v>0</v>
      </c>
      <c r="N30" s="20" t="n">
        <v>0</v>
      </c>
      <c r="O30" s="18" t="n">
        <v>0</v>
      </c>
      <c r="P30" s="20" t="n">
        <v>0</v>
      </c>
      <c r="Q30" s="18" t="n">
        <v>0.13171094</v>
      </c>
      <c r="R30" s="20" t="n">
        <v>0.14122999</v>
      </c>
    </row>
    <row r="31" spans="1:18">
      <c r="A31" s="15" t="s">
        <v>589</v>
      </c>
      <c r="B31" s="17" t="n">
        <v>2706</v>
      </c>
      <c r="C31" s="18">
        <f>(2109.0/B31*100)</f>
        <v/>
      </c>
      <c r="D31" s="19" t="n">
        <v>597</v>
      </c>
      <c r="E31" s="18" t="n">
        <v>64.06699089</v>
      </c>
      <c r="F31" s="20" t="n">
        <v>1.92396908</v>
      </c>
      <c r="G31" s="18" t="n">
        <v>35.43561851</v>
      </c>
      <c r="H31" s="20" t="n">
        <v>1.92997604</v>
      </c>
      <c r="I31" s="18" t="n">
        <v>0</v>
      </c>
      <c r="J31" s="20" t="n">
        <v>0</v>
      </c>
      <c r="K31" s="18" t="n">
        <v>0.31017812</v>
      </c>
      <c r="L31" s="20" t="n">
        <v>0.21301619</v>
      </c>
      <c r="M31" s="18" t="n">
        <v>0</v>
      </c>
      <c r="N31" s="20" t="n">
        <v>0</v>
      </c>
      <c r="O31" s="18" t="n">
        <v>0</v>
      </c>
      <c r="P31" s="20" t="n">
        <v>0</v>
      </c>
      <c r="Q31" s="18" t="n">
        <v>0.18721248</v>
      </c>
      <c r="R31" s="20" t="n">
        <v>0.1797997</v>
      </c>
    </row>
    <row r="32" spans="1:18">
      <c r="A32" s="15" t="s">
        <v>590</v>
      </c>
      <c r="B32" s="17" t="n">
        <v>2209</v>
      </c>
      <c r="C32" s="18">
        <f>(1754.0/B32*100)</f>
        <v/>
      </c>
      <c r="D32" s="19" t="n">
        <v>455</v>
      </c>
      <c r="E32" s="18" t="n">
        <v>67.17599032</v>
      </c>
      <c r="F32" s="20" t="n">
        <v>2.72482164</v>
      </c>
      <c r="G32" s="18" t="n">
        <v>32.62023268</v>
      </c>
      <c r="H32" s="20" t="n">
        <v>2.7143653</v>
      </c>
      <c r="I32" s="18" t="n">
        <v>0</v>
      </c>
      <c r="J32" s="20" t="n">
        <v>0</v>
      </c>
      <c r="K32" s="18" t="n">
        <v>0</v>
      </c>
      <c r="L32" s="20" t="n">
        <v>0</v>
      </c>
      <c r="M32" s="18" t="n">
        <v>0</v>
      </c>
      <c r="N32" s="20" t="n">
        <v>0</v>
      </c>
      <c r="O32" s="18" t="n">
        <v>0</v>
      </c>
      <c r="P32" s="20" t="n">
        <v>0</v>
      </c>
      <c r="Q32" s="18" t="n">
        <v>0.203777</v>
      </c>
      <c r="R32" s="20" t="n">
        <v>0.20273757</v>
      </c>
    </row>
    <row r="33" spans="1:18">
      <c r="A33" s="15" t="s">
        <v>591</v>
      </c>
      <c r="B33" s="17" t="n">
        <v>3651</v>
      </c>
      <c r="C33" s="18">
        <f>(2901.0/B33*100)</f>
        <v/>
      </c>
      <c r="D33" s="19" t="n">
        <v>750</v>
      </c>
      <c r="E33" s="18" t="n">
        <v>67.36271161000001</v>
      </c>
      <c r="F33" s="20" t="n">
        <v>1.8598816</v>
      </c>
      <c r="G33" s="18" t="n">
        <v>32.25361519</v>
      </c>
      <c r="H33" s="20" t="n">
        <v>1.86207483</v>
      </c>
      <c r="I33" s="18" t="n">
        <v>0</v>
      </c>
      <c r="J33" s="20" t="n">
        <v>0</v>
      </c>
      <c r="K33" s="18" t="n">
        <v>0.19148714</v>
      </c>
      <c r="L33" s="20" t="n">
        <v>0.19132015</v>
      </c>
      <c r="M33" s="18" t="n">
        <v>0</v>
      </c>
      <c r="N33" s="20" t="n">
        <v>0</v>
      </c>
      <c r="O33" s="18" t="n">
        <v>0</v>
      </c>
      <c r="P33" s="20" t="n">
        <v>0</v>
      </c>
      <c r="Q33" s="18" t="n">
        <v>0.19218606</v>
      </c>
      <c r="R33" s="20" t="n">
        <v>0.19234505</v>
      </c>
    </row>
    <row r="34" spans="1:18">
      <c r="A34" s="15" t="s">
        <v>592</v>
      </c>
      <c r="B34" s="17" t="n">
        <v>3035</v>
      </c>
      <c r="C34" s="18">
        <f>(2373.0/B34*100)</f>
        <v/>
      </c>
      <c r="D34" s="19" t="n">
        <v>662</v>
      </c>
      <c r="E34" s="18" t="n">
        <v>67.91320123</v>
      </c>
      <c r="F34" s="20" t="n">
        <v>1.99599563</v>
      </c>
      <c r="G34" s="18" t="n">
        <v>31.55164572</v>
      </c>
      <c r="H34" s="20" t="n">
        <v>1.97903746</v>
      </c>
      <c r="I34" s="18" t="n">
        <v>0</v>
      </c>
      <c r="J34" s="20" t="n">
        <v>0</v>
      </c>
      <c r="K34" s="18" t="n">
        <v>0</v>
      </c>
      <c r="L34" s="20" t="n">
        <v>0</v>
      </c>
      <c r="M34" s="18" t="n">
        <v>0</v>
      </c>
      <c r="N34" s="20" t="n">
        <v>0</v>
      </c>
      <c r="O34" s="18" t="n">
        <v>0</v>
      </c>
      <c r="P34" s="20" t="n">
        <v>0</v>
      </c>
      <c r="Q34" s="18" t="n">
        <v>0.53515305</v>
      </c>
      <c r="R34" s="20" t="n">
        <v>0.34394114</v>
      </c>
    </row>
    <row r="35" spans="1:18">
      <c r="A35" s="15" t="s">
        <v>593</v>
      </c>
      <c r="B35" s="17" t="n">
        <v>2901</v>
      </c>
      <c r="C35" s="18">
        <f>(2247.0/B35*100)</f>
        <v/>
      </c>
      <c r="D35" s="19" t="n">
        <v>654</v>
      </c>
      <c r="E35" s="18" t="n">
        <v>60.05198338</v>
      </c>
      <c r="F35" s="20" t="n">
        <v>2.21375233</v>
      </c>
      <c r="G35" s="18" t="n">
        <v>39.94801662</v>
      </c>
      <c r="H35" s="20" t="n">
        <v>2.21375233</v>
      </c>
      <c r="I35" s="18" t="n">
        <v>0</v>
      </c>
      <c r="J35" s="20" t="n">
        <v>0</v>
      </c>
      <c r="K35" s="18" t="n">
        <v>0</v>
      </c>
      <c r="L35" s="20" t="n">
        <v>0</v>
      </c>
      <c r="M35" s="18" t="n">
        <v>0</v>
      </c>
      <c r="N35" s="20" t="n">
        <v>0</v>
      </c>
      <c r="O35" s="18" t="n">
        <v>0</v>
      </c>
      <c r="P35" s="20" t="n">
        <v>0</v>
      </c>
      <c r="Q35" s="18" t="n">
        <v>0</v>
      </c>
      <c r="R35" s="20" t="n">
        <v>0</v>
      </c>
    </row>
    <row r="36" spans="1:18">
      <c r="A36" s="15" t="s">
        <v>594</v>
      </c>
      <c r="B36" s="17" t="n">
        <v>3404</v>
      </c>
      <c r="C36" s="18">
        <f>(2664.0/B36*100)</f>
        <v/>
      </c>
      <c r="D36" s="19" t="n">
        <v>740</v>
      </c>
      <c r="E36" s="18" t="n">
        <v>80.82085874000001</v>
      </c>
      <c r="F36" s="20" t="n">
        <v>1.44879184</v>
      </c>
      <c r="G36" s="18" t="n">
        <v>18.71601166</v>
      </c>
      <c r="H36" s="20" t="n">
        <v>1.43949346</v>
      </c>
      <c r="I36" s="18" t="n">
        <v>0</v>
      </c>
      <c r="J36" s="20" t="n">
        <v>0</v>
      </c>
      <c r="K36" s="18" t="n">
        <v>0</v>
      </c>
      <c r="L36" s="20" t="n">
        <v>0</v>
      </c>
      <c r="M36" s="18" t="n">
        <v>0</v>
      </c>
      <c r="N36" s="20" t="n">
        <v>0</v>
      </c>
      <c r="O36" s="18" t="n">
        <v>0</v>
      </c>
      <c r="P36" s="20" t="n">
        <v>0</v>
      </c>
      <c r="Q36" s="18" t="n">
        <v>0.4631296</v>
      </c>
      <c r="R36" s="20" t="n">
        <v>0.25741479</v>
      </c>
    </row>
    <row r="37" spans="1:18">
      <c r="A37" s="15" t="s">
        <v>595</v>
      </c>
      <c r="B37" s="17" t="n">
        <v>2731</v>
      </c>
      <c r="C37" s="18">
        <f>(2130.0/B37*100)</f>
        <v/>
      </c>
      <c r="D37" s="19" t="n">
        <v>601</v>
      </c>
      <c r="E37" s="18" t="n">
        <v>65.34796593</v>
      </c>
      <c r="F37" s="20" t="n">
        <v>2.11711606</v>
      </c>
      <c r="G37" s="18" t="n">
        <v>33.92304649</v>
      </c>
      <c r="H37" s="20" t="n">
        <v>2.16659197</v>
      </c>
      <c r="I37" s="18" t="n">
        <v>0</v>
      </c>
      <c r="J37" s="20" t="n">
        <v>0</v>
      </c>
      <c r="K37" s="18" t="n">
        <v>0</v>
      </c>
      <c r="L37" s="20" t="n">
        <v>0</v>
      </c>
      <c r="M37" s="18" t="n">
        <v>0</v>
      </c>
      <c r="N37" s="20" t="n">
        <v>0</v>
      </c>
      <c r="O37" s="18" t="n">
        <v>0</v>
      </c>
      <c r="P37" s="20" t="n">
        <v>0</v>
      </c>
      <c r="Q37" s="18" t="n">
        <v>0.72898757</v>
      </c>
      <c r="R37" s="20" t="n">
        <v>0.27138728</v>
      </c>
    </row>
    <row r="38" spans="1:18">
      <c r="A38" s="15" t="s">
        <v>596</v>
      </c>
      <c r="B38" s="17" t="n">
        <v>2807</v>
      </c>
      <c r="C38" s="18">
        <f>(2165.0/B38*100)</f>
        <v/>
      </c>
      <c r="D38" s="19" t="n">
        <v>642</v>
      </c>
      <c r="E38" s="18" t="n">
        <v>60.92391923</v>
      </c>
      <c r="F38" s="20" t="n">
        <v>2.39680525</v>
      </c>
      <c r="G38" s="18" t="n">
        <v>38.56653366</v>
      </c>
      <c r="H38" s="20" t="n">
        <v>2.38912858</v>
      </c>
      <c r="I38" s="18" t="n">
        <v>0</v>
      </c>
      <c r="J38" s="20" t="n">
        <v>0</v>
      </c>
      <c r="K38" s="18" t="n">
        <v>0.03034753</v>
      </c>
      <c r="L38" s="20" t="n">
        <v>0.02942735</v>
      </c>
      <c r="M38" s="18" t="n">
        <v>0</v>
      </c>
      <c r="N38" s="20" t="n">
        <v>0</v>
      </c>
      <c r="O38" s="18" t="n">
        <v>0</v>
      </c>
      <c r="P38" s="20" t="n">
        <v>0</v>
      </c>
      <c r="Q38" s="18" t="n">
        <v>0.47919958</v>
      </c>
      <c r="R38" s="20" t="n">
        <v>0.30514535</v>
      </c>
    </row>
    <row r="39" spans="1:18">
      <c r="A39" s="15" t="s">
        <v>597</v>
      </c>
      <c r="B39" s="17" t="n">
        <v>2938</v>
      </c>
      <c r="C39" s="18">
        <f>(2274.0/B39*100)</f>
        <v/>
      </c>
      <c r="D39" s="19" t="n">
        <v>664</v>
      </c>
      <c r="E39" s="18" t="n">
        <v>86.88547813</v>
      </c>
      <c r="F39" s="20" t="n">
        <v>1.8336058</v>
      </c>
      <c r="G39" s="18" t="n">
        <v>12.28232332</v>
      </c>
      <c r="H39" s="20" t="n">
        <v>1.7901945</v>
      </c>
      <c r="I39" s="18" t="n">
        <v>0</v>
      </c>
      <c r="J39" s="20" t="n">
        <v>0</v>
      </c>
      <c r="K39" s="18" t="n">
        <v>0</v>
      </c>
      <c r="L39" s="20" t="n">
        <v>0</v>
      </c>
      <c r="M39" s="18" t="n">
        <v>0</v>
      </c>
      <c r="N39" s="20" t="n">
        <v>0</v>
      </c>
      <c r="O39" s="18" t="n">
        <v>0</v>
      </c>
      <c r="P39" s="20" t="n">
        <v>0</v>
      </c>
      <c r="Q39" s="18" t="n">
        <v>0.83219855</v>
      </c>
      <c r="R39" s="20" t="n">
        <v>0.55218192</v>
      </c>
    </row>
    <row r="40" spans="1:18">
      <c r="A40" s="15" t="s">
        <v>598</v>
      </c>
      <c r="B40" s="17" t="n">
        <v>6922</v>
      </c>
      <c r="C40" s="18">
        <f>(5471.0/B40*100)</f>
        <v/>
      </c>
      <c r="D40" s="19" t="n">
        <v>1451</v>
      </c>
      <c r="E40" s="18" t="n">
        <v>76.88926275</v>
      </c>
      <c r="F40" s="20" t="n">
        <v>1.73543672</v>
      </c>
      <c r="G40" s="18" t="n">
        <v>22.28172331</v>
      </c>
      <c r="H40" s="20" t="n">
        <v>1.72956341</v>
      </c>
      <c r="I40" s="18" t="n">
        <v>0</v>
      </c>
      <c r="J40" s="20" t="n">
        <v>0</v>
      </c>
      <c r="K40" s="18" t="n">
        <v>0.03885389</v>
      </c>
      <c r="L40" s="20" t="n">
        <v>0.02789999</v>
      </c>
      <c r="M40" s="18" t="n">
        <v>0</v>
      </c>
      <c r="N40" s="20" t="n">
        <v>0</v>
      </c>
      <c r="O40" s="18" t="n">
        <v>0</v>
      </c>
      <c r="P40" s="20" t="n">
        <v>0</v>
      </c>
      <c r="Q40" s="18" t="n">
        <v>0.79016005</v>
      </c>
      <c r="R40" s="20" t="n">
        <v>0.36994009</v>
      </c>
    </row>
    <row r="41" spans="1:18">
      <c r="A41" s="15" t="s">
        <v>599</v>
      </c>
      <c r="B41" s="17" t="n">
        <v>2854</v>
      </c>
      <c r="C41" s="18">
        <f>(2201.0/B41*100)</f>
        <v/>
      </c>
      <c r="D41" s="19" t="n">
        <v>653</v>
      </c>
      <c r="E41" s="18" t="n">
        <v>71.91089821</v>
      </c>
      <c r="F41" s="20" t="n">
        <v>1.63991017</v>
      </c>
      <c r="G41" s="18" t="n">
        <v>27.13651008</v>
      </c>
      <c r="H41" s="20" t="n">
        <v>1.71110718</v>
      </c>
      <c r="I41" s="18" t="n">
        <v>0</v>
      </c>
      <c r="J41" s="20" t="n">
        <v>0</v>
      </c>
      <c r="K41" s="18" t="n">
        <v>0</v>
      </c>
      <c r="L41" s="20" t="n">
        <v>0</v>
      </c>
      <c r="M41" s="18" t="n">
        <v>0</v>
      </c>
      <c r="N41" s="20" t="n">
        <v>0</v>
      </c>
      <c r="O41" s="18" t="n">
        <v>0</v>
      </c>
      <c r="P41" s="20" t="n">
        <v>0</v>
      </c>
      <c r="Q41" s="18" t="n">
        <v>0.95259171</v>
      </c>
      <c r="R41" s="20" t="n">
        <v>0.29852468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(9658.0/B46*100)</f>
        <v/>
      </c>
      <c r="D46" s="19" t="n">
        <v>2415</v>
      </c>
      <c r="E46" s="18" t="n">
        <v>87.29923238000001</v>
      </c>
      <c r="F46" s="20" t="n">
        <v>1.44398232</v>
      </c>
      <c r="G46" s="18" t="n">
        <v>10.32390628</v>
      </c>
      <c r="H46" s="20" t="n">
        <v>1.32016052</v>
      </c>
      <c r="I46" s="18" t="n">
        <v>0</v>
      </c>
      <c r="J46" s="20" t="n">
        <v>0</v>
      </c>
      <c r="K46" s="18" t="n">
        <v>0.42181059</v>
      </c>
      <c r="L46" s="20" t="n">
        <v>0.23297376</v>
      </c>
      <c r="M46" s="18" t="n">
        <v>0</v>
      </c>
      <c r="N46" s="20" t="n">
        <v>0</v>
      </c>
      <c r="O46" s="18" t="n">
        <v>0</v>
      </c>
      <c r="P46" s="20" t="n">
        <v>0</v>
      </c>
      <c r="Q46" s="18" t="n">
        <v>1.95505075</v>
      </c>
      <c r="R46" s="20" t="n">
        <v>0.39332367</v>
      </c>
    </row>
    <row r="47" spans="1:18">
      <c r="A47" s="15" t="s">
        <v>606</v>
      </c>
      <c r="B47" s="17" t="n">
        <v>2823</v>
      </c>
      <c r="C47" s="18">
        <f>(2206.0/B47*100)</f>
        <v/>
      </c>
      <c r="D47" s="19" t="n">
        <v>617</v>
      </c>
      <c r="E47" s="18" t="n">
        <v>82.39458759999999</v>
      </c>
      <c r="F47" s="20" t="n">
        <v>1.79226134</v>
      </c>
      <c r="G47" s="18" t="n">
        <v>16.64063127</v>
      </c>
      <c r="H47" s="20" t="n">
        <v>1.7855804</v>
      </c>
      <c r="I47" s="18" t="n">
        <v>0</v>
      </c>
      <c r="J47" s="20" t="n">
        <v>0</v>
      </c>
      <c r="K47" s="18" t="n">
        <v>0</v>
      </c>
      <c r="L47" s="20" t="n">
        <v>0</v>
      </c>
      <c r="M47" s="18" t="n">
        <v>0</v>
      </c>
      <c r="N47" s="20" t="n">
        <v>0</v>
      </c>
      <c r="O47" s="18" t="n">
        <v>0</v>
      </c>
      <c r="P47" s="20" t="n">
        <v>0</v>
      </c>
      <c r="Q47" s="18" t="n">
        <v>0.96478113</v>
      </c>
      <c r="R47" s="20" t="n">
        <v>0.38324538</v>
      </c>
    </row>
    <row r="48" spans="1:18">
      <c r="A48" s="15" t="s">
        <v>607</v>
      </c>
      <c r="B48" s="17" t="n">
        <v>4682</v>
      </c>
      <c r="C48" s="18">
        <f>(3622.0/B48*100)</f>
        <v/>
      </c>
      <c r="D48" s="19" t="n">
        <v>1060</v>
      </c>
      <c r="E48" s="18" t="n">
        <v>62.56696433</v>
      </c>
      <c r="F48" s="20" t="n">
        <v>1.67682642</v>
      </c>
      <c r="G48" s="18" t="n">
        <v>36.87242892</v>
      </c>
      <c r="H48" s="20" t="n">
        <v>1.69871001</v>
      </c>
      <c r="I48" s="18" t="n">
        <v>0</v>
      </c>
      <c r="J48" s="20" t="n">
        <v>0</v>
      </c>
      <c r="K48" s="18" t="n">
        <v>0.56060675</v>
      </c>
      <c r="L48" s="20" t="n">
        <v>0.28864837</v>
      </c>
      <c r="M48" s="18" t="n">
        <v>0</v>
      </c>
      <c r="N48" s="20" t="n">
        <v>0</v>
      </c>
      <c r="O48" s="18" t="n">
        <v>0</v>
      </c>
      <c r="P48" s="20" t="n">
        <v>0</v>
      </c>
      <c r="Q48" s="18" t="n">
        <v>0</v>
      </c>
      <c r="R48" s="20" t="n">
        <v>0</v>
      </c>
    </row>
    <row r="49" spans="1:18">
      <c r="A49" s="15" t="s">
        <v>608</v>
      </c>
      <c r="B49" s="17" t="n">
        <v>6158</v>
      </c>
      <c r="C49" s="18">
        <f>(4826.0/B49*100)</f>
        <v/>
      </c>
      <c r="D49" s="19" t="n">
        <v>1332</v>
      </c>
      <c r="E49" s="18" t="n">
        <v>87.18982207000001</v>
      </c>
      <c r="F49" s="20" t="n">
        <v>1.58786901</v>
      </c>
      <c r="G49" s="18" t="n">
        <v>11.48583916</v>
      </c>
      <c r="H49" s="20" t="n">
        <v>1.52485911</v>
      </c>
      <c r="I49" s="18" t="n">
        <v>0</v>
      </c>
      <c r="J49" s="20" t="n">
        <v>0</v>
      </c>
      <c r="K49" s="18" t="n">
        <v>0.51484551</v>
      </c>
      <c r="L49" s="20" t="n">
        <v>0.24554519</v>
      </c>
      <c r="M49" s="18" t="n">
        <v>0</v>
      </c>
      <c r="N49" s="20" t="n">
        <v>0</v>
      </c>
      <c r="O49" s="18" t="n">
        <v>0</v>
      </c>
      <c r="P49" s="20" t="n">
        <v>0</v>
      </c>
      <c r="Q49" s="18" t="n">
        <v>0.80949326</v>
      </c>
      <c r="R49" s="20" t="n">
        <v>0.3269769</v>
      </c>
    </row>
    <row r="50" spans="1:18">
      <c r="A50" s="15" t="s">
        <v>609</v>
      </c>
      <c r="B50" s="17" t="n">
        <v>3494</v>
      </c>
      <c r="C50" s="18">
        <f>(2790.0/B50*100)</f>
        <v/>
      </c>
      <c r="D50" s="19" t="n">
        <v>704</v>
      </c>
      <c r="E50" s="18" t="n">
        <v>91.75875153</v>
      </c>
      <c r="F50" s="20" t="n">
        <v>1.07329127</v>
      </c>
      <c r="G50" s="18" t="n">
        <v>7.2112734</v>
      </c>
      <c r="H50" s="20" t="n">
        <v>1.01686523</v>
      </c>
      <c r="I50" s="18" t="n">
        <v>0</v>
      </c>
      <c r="J50" s="20" t="n">
        <v>0</v>
      </c>
      <c r="K50" s="18" t="n">
        <v>0</v>
      </c>
      <c r="L50" s="20" t="n">
        <v>0</v>
      </c>
      <c r="M50" s="18" t="n">
        <v>0</v>
      </c>
      <c r="N50" s="20" t="n">
        <v>0</v>
      </c>
      <c r="O50" s="18" t="n">
        <v>0</v>
      </c>
      <c r="P50" s="20" t="n">
        <v>0</v>
      </c>
      <c r="Q50" s="18" t="n">
        <v>1.02997507</v>
      </c>
      <c r="R50" s="20" t="n">
        <v>0.46618801</v>
      </c>
    </row>
    <row r="51" spans="1:18">
      <c r="A51" s="15" t="s">
        <v>610</v>
      </c>
      <c r="B51" s="17" t="n">
        <v>3013</v>
      </c>
      <c r="C51" s="18">
        <f>(2345.0/B51*100)</f>
        <v/>
      </c>
      <c r="D51" s="19" t="n">
        <v>668</v>
      </c>
      <c r="E51" s="18" t="n">
        <v>74.90328122</v>
      </c>
      <c r="F51" s="20" t="n">
        <v>1.76862513</v>
      </c>
      <c r="G51" s="18" t="n">
        <v>24.25207711</v>
      </c>
      <c r="H51" s="20" t="n">
        <v>1.79279271</v>
      </c>
      <c r="I51" s="18" t="n">
        <v>0</v>
      </c>
      <c r="J51" s="20" t="n">
        <v>0</v>
      </c>
      <c r="K51" s="18" t="n">
        <v>0.1380656</v>
      </c>
      <c r="L51" s="20" t="n">
        <v>0.13771063</v>
      </c>
      <c r="M51" s="18" t="n">
        <v>0</v>
      </c>
      <c r="N51" s="20" t="n">
        <v>0</v>
      </c>
      <c r="O51" s="18" t="n">
        <v>0</v>
      </c>
      <c r="P51" s="20" t="n">
        <v>0</v>
      </c>
      <c r="Q51" s="18" t="n">
        <v>0.70657607</v>
      </c>
      <c r="R51" s="20" t="n">
        <v>0.3326315</v>
      </c>
    </row>
    <row r="52" spans="1:18">
      <c r="A52" s="15" t="s">
        <v>611</v>
      </c>
      <c r="B52" s="17" t="n">
        <v>2760</v>
      </c>
      <c r="C52" s="18">
        <f>(2139.0/B52*100)</f>
        <v/>
      </c>
      <c r="D52" s="19" t="n">
        <v>621</v>
      </c>
      <c r="E52" s="18" t="n">
        <v>82.22436852</v>
      </c>
      <c r="F52" s="20" t="n">
        <v>1.50043923</v>
      </c>
      <c r="G52" s="18" t="n">
        <v>17.24527266</v>
      </c>
      <c r="H52" s="20" t="n">
        <v>1.51873235</v>
      </c>
      <c r="I52" s="18" t="n">
        <v>0</v>
      </c>
      <c r="J52" s="20" t="n">
        <v>0</v>
      </c>
      <c r="K52" s="18" t="n">
        <v>0</v>
      </c>
      <c r="L52" s="20" t="n">
        <v>0</v>
      </c>
      <c r="M52" s="18" t="n">
        <v>0</v>
      </c>
      <c r="N52" s="20" t="n">
        <v>0</v>
      </c>
      <c r="O52" s="18" t="n">
        <v>0</v>
      </c>
      <c r="P52" s="20" t="n">
        <v>0</v>
      </c>
      <c r="Q52" s="18" t="n">
        <v>0.53035882</v>
      </c>
      <c r="R52" s="20" t="n">
        <v>0.18161682</v>
      </c>
    </row>
    <row r="53" spans="1:18">
      <c r="A53" s="15" t="s">
        <v>612</v>
      </c>
      <c r="B53" s="17" t="n">
        <v>2474</v>
      </c>
      <c r="C53" s="18">
        <f>(1941.0/B53*100)</f>
        <v/>
      </c>
      <c r="D53" s="19" t="n">
        <v>533</v>
      </c>
      <c r="E53" s="18" t="n">
        <v>86.70598902</v>
      </c>
      <c r="F53" s="20" t="n">
        <v>1.7292859</v>
      </c>
      <c r="G53" s="18" t="n">
        <v>3.65424362</v>
      </c>
      <c r="H53" s="20" t="n">
        <v>0.9128691799999999</v>
      </c>
      <c r="I53" s="18" t="n">
        <v>0</v>
      </c>
      <c r="J53" s="20" t="n">
        <v>0</v>
      </c>
      <c r="K53" s="18" t="n">
        <v>7.86098653</v>
      </c>
      <c r="L53" s="20" t="n">
        <v>1.44023346</v>
      </c>
      <c r="M53" s="18" t="n">
        <v>0</v>
      </c>
      <c r="N53" s="20" t="n">
        <v>0</v>
      </c>
      <c r="O53" s="18" t="n">
        <v>0</v>
      </c>
      <c r="P53" s="20" t="n">
        <v>0</v>
      </c>
      <c r="Q53" s="18" t="n">
        <v>1.77878082</v>
      </c>
      <c r="R53" s="20" t="n">
        <v>0.62063672</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(2042.0/B55*100)</f>
        <v/>
      </c>
      <c r="D55" s="19" t="n">
        <v>633</v>
      </c>
      <c r="E55" s="18" t="n">
        <v>63.52481332</v>
      </c>
      <c r="F55" s="20" t="n">
        <v>1.92100232</v>
      </c>
      <c r="G55" s="18" t="n">
        <v>35.76838353</v>
      </c>
      <c r="H55" s="20" t="n">
        <v>1.90004906</v>
      </c>
      <c r="I55" s="18" t="n">
        <v>0</v>
      </c>
      <c r="J55" s="20" t="n">
        <v>0</v>
      </c>
      <c r="K55" s="18" t="n">
        <v>0</v>
      </c>
      <c r="L55" s="20" t="n">
        <v>0</v>
      </c>
      <c r="M55" s="18" t="n">
        <v>0</v>
      </c>
      <c r="N55" s="20" t="n">
        <v>0</v>
      </c>
      <c r="O55" s="18" t="n">
        <v>0</v>
      </c>
      <c r="P55" s="20" t="n">
        <v>0</v>
      </c>
      <c r="Q55" s="18" t="n">
        <v>0.70680316</v>
      </c>
      <c r="R55" s="20" t="n">
        <v>0.31897246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(2475.0/B61*100)</f>
        <v/>
      </c>
      <c r="D61" s="19" t="n">
        <v>726</v>
      </c>
      <c r="E61" s="18" t="n">
        <v>76.81515263</v>
      </c>
      <c r="F61" s="20" t="n">
        <v>1.95672348</v>
      </c>
      <c r="G61" s="18" t="n">
        <v>22.89130987</v>
      </c>
      <c r="H61" s="20" t="n">
        <v>1.92512167</v>
      </c>
      <c r="I61" s="18" t="n">
        <v>0</v>
      </c>
      <c r="J61" s="20" t="n">
        <v>0</v>
      </c>
      <c r="K61" s="18" t="n">
        <v>0</v>
      </c>
      <c r="L61" s="20" t="n">
        <v>0</v>
      </c>
      <c r="M61" s="18" t="n">
        <v>0</v>
      </c>
      <c r="N61" s="20" t="n">
        <v>0</v>
      </c>
      <c r="O61" s="18" t="n">
        <v>0</v>
      </c>
      <c r="P61" s="20" t="n">
        <v>0</v>
      </c>
      <c r="Q61" s="18" t="n">
        <v>0.29353749</v>
      </c>
      <c r="R61" s="20" t="n">
        <v>0.18877417</v>
      </c>
    </row>
    <row r="62" spans="1:18">
      <c r="A62" s="15" t="s">
        <v>622</v>
      </c>
      <c r="B62" s="17" t="n">
        <v>2230</v>
      </c>
      <c r="C62" s="18">
        <f>(1725.0/B62*100)</f>
        <v/>
      </c>
      <c r="D62" s="19" t="n">
        <v>505</v>
      </c>
      <c r="E62" s="18" t="n">
        <v>59.86803862</v>
      </c>
      <c r="F62" s="20" t="n">
        <v>2.02926155</v>
      </c>
      <c r="G62" s="18" t="n">
        <v>39.93532693</v>
      </c>
      <c r="H62" s="20" t="n">
        <v>2.00176747</v>
      </c>
      <c r="I62" s="18" t="n">
        <v>0</v>
      </c>
      <c r="J62" s="20" t="n">
        <v>0</v>
      </c>
      <c r="K62" s="18" t="n">
        <v>0</v>
      </c>
      <c r="L62" s="20" t="n">
        <v>0</v>
      </c>
      <c r="M62" s="18" t="n">
        <v>0</v>
      </c>
      <c r="N62" s="20" t="n">
        <v>0</v>
      </c>
      <c r="O62" s="18" t="n">
        <v>0</v>
      </c>
      <c r="P62" s="20" t="n">
        <v>0</v>
      </c>
      <c r="Q62" s="18" t="n">
        <v>0.19663444</v>
      </c>
      <c r="R62" s="20" t="n">
        <v>0.19721261</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(2166.0/B67*100)</f>
        <v/>
      </c>
      <c r="D67" s="19" t="n">
        <v>605</v>
      </c>
      <c r="E67" s="18" t="n">
        <v>88.83696251000001</v>
      </c>
      <c r="F67" s="20" t="n">
        <v>1.31534851</v>
      </c>
      <c r="G67" s="18" t="n">
        <v>9.16942308</v>
      </c>
      <c r="H67" s="20" t="n">
        <v>1.19368122</v>
      </c>
      <c r="I67" s="18" t="n">
        <v>0</v>
      </c>
      <c r="J67" s="20" t="n">
        <v>0</v>
      </c>
      <c r="K67" s="18" t="n">
        <v>0</v>
      </c>
      <c r="L67" s="20" t="n">
        <v>0</v>
      </c>
      <c r="M67" s="18" t="n">
        <v>0</v>
      </c>
      <c r="N67" s="20" t="n">
        <v>0</v>
      </c>
      <c r="O67" s="18" t="n">
        <v>0</v>
      </c>
      <c r="P67" s="20" t="n">
        <v>0</v>
      </c>
      <c r="Q67" s="18" t="n">
        <v>1.99361441</v>
      </c>
      <c r="R67" s="20" t="n">
        <v>0.50453405</v>
      </c>
    </row>
    <row r="68" spans="1:18">
      <c r="A68" s="15" t="s">
        <v>628</v>
      </c>
      <c r="B68" s="17" t="n">
        <v>3460</v>
      </c>
      <c r="C68" s="18">
        <f>(2768.0/B68*100)</f>
        <v/>
      </c>
      <c r="D68" s="19" t="n">
        <v>692</v>
      </c>
      <c r="E68" s="18" t="n">
        <v>88.70339417</v>
      </c>
      <c r="F68" s="20" t="n">
        <v>1.38483797</v>
      </c>
      <c r="G68" s="18" t="n">
        <v>10.23625763</v>
      </c>
      <c r="H68" s="20" t="n">
        <v>1.40771412</v>
      </c>
      <c r="I68" s="18" t="n">
        <v>0</v>
      </c>
      <c r="J68" s="20" t="n">
        <v>0</v>
      </c>
      <c r="K68" s="18" t="n">
        <v>0.13587298</v>
      </c>
      <c r="L68" s="20" t="n">
        <v>0.13211362</v>
      </c>
      <c r="M68" s="18" t="n">
        <v>0</v>
      </c>
      <c r="N68" s="20" t="n">
        <v>0</v>
      </c>
      <c r="O68" s="18" t="n">
        <v>0</v>
      </c>
      <c r="P68" s="20" t="n">
        <v>0</v>
      </c>
      <c r="Q68" s="18" t="n">
        <v>0.92447521</v>
      </c>
      <c r="R68" s="20" t="n">
        <v>0.353119</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(4652.0/B70*100)</f>
        <v/>
      </c>
      <c r="D70" s="19" t="n">
        <v>1382</v>
      </c>
      <c r="E70" s="18" t="n">
        <v>84.68162262</v>
      </c>
      <c r="F70" s="20" t="n">
        <v>0.9763960699999999</v>
      </c>
      <c r="G70" s="18" t="n">
        <v>13.2206529</v>
      </c>
      <c r="H70" s="20" t="n">
        <v>0.91785182</v>
      </c>
      <c r="I70" s="18" t="n">
        <v>0</v>
      </c>
      <c r="J70" s="20" t="n">
        <v>0</v>
      </c>
      <c r="K70" s="18" t="n">
        <v>0.93581774</v>
      </c>
      <c r="L70" s="20" t="n">
        <v>0.25631653</v>
      </c>
      <c r="M70" s="18" t="n">
        <v>0</v>
      </c>
      <c r="N70" s="20" t="n">
        <v>0</v>
      </c>
      <c r="O70" s="18" t="n">
        <v>0</v>
      </c>
      <c r="P70" s="20" t="n">
        <v>0</v>
      </c>
      <c r="Q70" s="18" t="n">
        <v>1.16190675</v>
      </c>
      <c r="R70" s="20" t="n">
        <v>0.32683527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(2498.0/B72*100)</f>
        <v/>
      </c>
      <c r="D72" s="19" t="n">
        <v>609</v>
      </c>
      <c r="E72" s="18" t="n">
        <v>69.45742693</v>
      </c>
      <c r="F72" s="20" t="n">
        <v>2.33195614</v>
      </c>
      <c r="G72" s="18" t="n">
        <v>29.68769212</v>
      </c>
      <c r="H72" s="20" t="n">
        <v>2.28394083</v>
      </c>
      <c r="I72" s="18" t="n">
        <v>0</v>
      </c>
      <c r="J72" s="20" t="n">
        <v>0</v>
      </c>
      <c r="K72" s="18" t="n">
        <v>0.14113018</v>
      </c>
      <c r="L72" s="20" t="n">
        <v>0.09988845</v>
      </c>
      <c r="M72" s="18" t="n">
        <v>0</v>
      </c>
      <c r="N72" s="20" t="n">
        <v>0</v>
      </c>
      <c r="O72" s="18" t="n">
        <v>0</v>
      </c>
      <c r="P72" s="20" t="n">
        <v>0</v>
      </c>
      <c r="Q72" s="18" t="n">
        <v>0.71375077</v>
      </c>
      <c r="R72" s="20" t="n">
        <v>0.33002626</v>
      </c>
    </row>
    <row r="73" spans="1:18">
      <c r="A73" s="15" t="s">
        <v>633</v>
      </c>
      <c r="B73" s="17" t="n">
        <v>2973</v>
      </c>
      <c r="C73" s="18">
        <f>(2329.0/B73*100)</f>
        <v/>
      </c>
      <c r="D73" s="19" t="n">
        <v>644</v>
      </c>
      <c r="E73" s="18" t="n">
        <v>54.82885545</v>
      </c>
      <c r="F73" s="20" t="n">
        <v>1.88212286</v>
      </c>
      <c r="G73" s="18" t="n">
        <v>44.43745395</v>
      </c>
      <c r="H73" s="20" t="n">
        <v>1.90177606</v>
      </c>
      <c r="I73" s="18" t="n">
        <v>0</v>
      </c>
      <c r="J73" s="20" t="n">
        <v>0</v>
      </c>
      <c r="K73" s="18" t="n">
        <v>0.33694263</v>
      </c>
      <c r="L73" s="20" t="n">
        <v>0.23849512</v>
      </c>
      <c r="M73" s="18" t="n">
        <v>0</v>
      </c>
      <c r="N73" s="20" t="n">
        <v>0</v>
      </c>
      <c r="O73" s="18" t="n">
        <v>0</v>
      </c>
      <c r="P73" s="20" t="n">
        <v>0</v>
      </c>
      <c r="Q73" s="18" t="n">
        <v>0.39674797</v>
      </c>
      <c r="R73" s="20" t="n">
        <v>0.28509836</v>
      </c>
    </row>
    <row r="74" spans="1:18">
      <c r="A74" s="15" t="s">
        <v>634</v>
      </c>
      <c r="B74" s="17" t="n">
        <v>3819</v>
      </c>
      <c r="C74" s="18">
        <f>(2977.0/B74*100)</f>
        <v/>
      </c>
      <c r="D74" s="19" t="n">
        <v>842</v>
      </c>
      <c r="E74" s="18" t="n">
        <v>58.81341464</v>
      </c>
      <c r="F74" s="20" t="n">
        <v>1.8821546</v>
      </c>
      <c r="G74" s="18" t="n">
        <v>41.05958362</v>
      </c>
      <c r="H74" s="20" t="n">
        <v>1.87832906</v>
      </c>
      <c r="I74" s="18" t="n">
        <v>0</v>
      </c>
      <c r="J74" s="20" t="n">
        <v>0</v>
      </c>
      <c r="K74" s="18" t="n">
        <v>0</v>
      </c>
      <c r="L74" s="20" t="n">
        <v>0</v>
      </c>
      <c r="M74" s="18" t="n">
        <v>0</v>
      </c>
      <c r="N74" s="20" t="n">
        <v>0</v>
      </c>
      <c r="O74" s="18" t="n">
        <v>0</v>
      </c>
      <c r="P74" s="20" t="n">
        <v>0</v>
      </c>
      <c r="Q74" s="18" t="n">
        <v>0.12700174</v>
      </c>
      <c r="R74" s="20" t="n">
        <v>0.10254579</v>
      </c>
    </row>
    <row r="75" spans="1:18">
      <c r="A75" s="15" t="s">
        <v>635</v>
      </c>
      <c r="B75" s="17" t="n">
        <v>4652</v>
      </c>
      <c r="C75" s="18">
        <f>(3646.0/B75*100)</f>
        <v/>
      </c>
      <c r="D75" s="19" t="n">
        <v>1006</v>
      </c>
      <c r="E75" s="18" t="n">
        <v>83.75602365</v>
      </c>
      <c r="F75" s="20" t="n">
        <v>1.71724467</v>
      </c>
      <c r="G75" s="18" t="n">
        <v>15.8771585</v>
      </c>
      <c r="H75" s="20" t="n">
        <v>1.67532289</v>
      </c>
      <c r="I75" s="18" t="n">
        <v>0</v>
      </c>
      <c r="J75" s="20" t="n">
        <v>0</v>
      </c>
      <c r="K75" s="18" t="n">
        <v>0</v>
      </c>
      <c r="L75" s="20" t="n">
        <v>0</v>
      </c>
      <c r="M75" s="18" t="n">
        <v>0</v>
      </c>
      <c r="N75" s="20" t="n">
        <v>0</v>
      </c>
      <c r="O75" s="18" t="n">
        <v>0</v>
      </c>
      <c r="P75" s="20" t="n">
        <v>0</v>
      </c>
      <c r="Q75" s="18" t="n">
        <v>0.36681785</v>
      </c>
      <c r="R75" s="20" t="n">
        <v>0.23038391</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(2387.0/B77*100)</f>
        <v/>
      </c>
      <c r="D77" s="19" t="n">
        <v>582</v>
      </c>
      <c r="E77" s="18" t="n">
        <v>91.15499606</v>
      </c>
      <c r="F77" s="20" t="n">
        <v>1.2641922</v>
      </c>
      <c r="G77" s="18" t="n">
        <v>5.62368711</v>
      </c>
      <c r="H77" s="20" t="n">
        <v>1.07364939</v>
      </c>
      <c r="I77" s="18" t="n">
        <v>0</v>
      </c>
      <c r="J77" s="20" t="n">
        <v>0</v>
      </c>
      <c r="K77" s="18" t="n">
        <v>1.64617424</v>
      </c>
      <c r="L77" s="20" t="n">
        <v>0.58152147</v>
      </c>
      <c r="M77" s="18" t="n">
        <v>0</v>
      </c>
      <c r="N77" s="20" t="n">
        <v>0</v>
      </c>
      <c r="O77" s="18" t="n">
        <v>0</v>
      </c>
      <c r="P77" s="20" t="n">
        <v>0</v>
      </c>
      <c r="Q77" s="18" t="n">
        <v>1.57514259</v>
      </c>
      <c r="R77" s="20" t="n">
        <v>0.55112911</v>
      </c>
    </row>
    <row r="78" spans="1:18">
      <c r="A78" s="15" t="s">
        <v>638</v>
      </c>
      <c r="B78" s="17" t="n">
        <v>7115</v>
      </c>
      <c r="C78" s="18">
        <f>(5564.0/B78*100)</f>
        <v/>
      </c>
      <c r="D78" s="19" t="n">
        <v>1551</v>
      </c>
      <c r="E78" s="18" t="n">
        <v>82.21836353</v>
      </c>
      <c r="F78" s="20" t="n">
        <v>1.57385294</v>
      </c>
      <c r="G78" s="18" t="n">
        <v>16.93696878</v>
      </c>
      <c r="H78" s="20" t="n">
        <v>1.57383303</v>
      </c>
      <c r="I78" s="18" t="n">
        <v>0</v>
      </c>
      <c r="J78" s="20" t="n">
        <v>0</v>
      </c>
      <c r="K78" s="18" t="n">
        <v>0.19234034</v>
      </c>
      <c r="L78" s="20" t="n">
        <v>0.10908578</v>
      </c>
      <c r="M78" s="18" t="n">
        <v>0</v>
      </c>
      <c r="N78" s="20" t="n">
        <v>0</v>
      </c>
      <c r="O78" s="18" t="n">
        <v>0</v>
      </c>
      <c r="P78" s="20" t="n">
        <v>0</v>
      </c>
      <c r="Q78" s="18" t="n">
        <v>0.65232735</v>
      </c>
      <c r="R78" s="20" t="n">
        <v>0.25748149</v>
      </c>
    </row>
    <row r="79" spans="1:18">
      <c r="A79" s="15" t="s">
        <v>639</v>
      </c>
      <c r="B79" s="17" t="n">
        <v>3154</v>
      </c>
      <c r="C79" s="18">
        <f>(2457.0/B79*100)</f>
        <v/>
      </c>
      <c r="D79" s="19" t="n">
        <v>697</v>
      </c>
      <c r="E79" s="18" t="n">
        <v>83.31031272</v>
      </c>
      <c r="F79" s="20" t="n">
        <v>1.68840497</v>
      </c>
      <c r="G79" s="18" t="n">
        <v>15.23471759</v>
      </c>
      <c r="H79" s="20" t="n">
        <v>1.51959805</v>
      </c>
      <c r="I79" s="18" t="n">
        <v>0</v>
      </c>
      <c r="J79" s="20" t="n">
        <v>0</v>
      </c>
      <c r="K79" s="18" t="n">
        <v>0.15563753</v>
      </c>
      <c r="L79" s="20" t="n">
        <v>0.13659895</v>
      </c>
      <c r="M79" s="18" t="n">
        <v>0</v>
      </c>
      <c r="N79" s="20" t="n">
        <v>0</v>
      </c>
      <c r="O79" s="18" t="n">
        <v>0</v>
      </c>
      <c r="P79" s="20" t="n">
        <v>0</v>
      </c>
      <c r="Q79" s="18" t="n">
        <v>1.29933215</v>
      </c>
      <c r="R79" s="20" t="n">
        <v>0.43997484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(12431.0/B82*100)</f>
        <v/>
      </c>
      <c r="D82" s="19" t="n">
        <v>3530</v>
      </c>
      <c r="E82" s="18" t="n">
        <v>80.98889108</v>
      </c>
      <c r="F82" s="20" t="n">
        <v>0.81225091</v>
      </c>
      <c r="G82" s="18" t="n">
        <v>18.58002426</v>
      </c>
      <c r="H82" s="20" t="n">
        <v>0.7866030899999999</v>
      </c>
      <c r="I82" s="18" t="n">
        <v>0</v>
      </c>
      <c r="J82" s="20" t="n">
        <v>0</v>
      </c>
      <c r="K82" s="18" t="n">
        <v>0</v>
      </c>
      <c r="L82" s="20" t="n">
        <v>0</v>
      </c>
      <c r="M82" s="18" t="n">
        <v>0</v>
      </c>
      <c r="N82" s="20" t="n">
        <v>0</v>
      </c>
      <c r="O82" s="18" t="n">
        <v>0</v>
      </c>
      <c r="P82" s="20" t="n">
        <v>0</v>
      </c>
      <c r="Q82" s="18" t="n">
        <v>0.43108466</v>
      </c>
      <c r="R82" s="20" t="n">
        <v>0.19207105</v>
      </c>
    </row>
    <row r="83" spans="1:18">
      <c r="A83" s="15" t="s">
        <v>643</v>
      </c>
      <c r="B83" s="17" t="n">
        <v>808</v>
      </c>
      <c r="C83" s="18">
        <f>(632.0/B83*100)</f>
        <v/>
      </c>
      <c r="D83" s="19" t="n">
        <v>176</v>
      </c>
      <c r="E83" s="18" t="n">
        <v>65.74037438000001</v>
      </c>
      <c r="F83" s="20" t="n">
        <v>4.11315258</v>
      </c>
      <c r="G83" s="18" t="n">
        <v>34.25962562</v>
      </c>
      <c r="H83" s="20" t="n">
        <v>4.11315258</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(739.0/B84*100)</f>
        <v/>
      </c>
      <c r="D84" s="19" t="n">
        <v>199</v>
      </c>
      <c r="E84" s="18" t="n">
        <v>66.19876273</v>
      </c>
      <c r="F84" s="20" t="n">
        <v>3.42909627</v>
      </c>
      <c r="G84" s="18" t="n">
        <v>33.80123727</v>
      </c>
      <c r="H84" s="20" t="n">
        <v>3.42909627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(5594.0/B7*100)</f>
        <v/>
      </c>
      <c r="D7" s="19" t="n">
        <v>1569</v>
      </c>
      <c r="E7" s="18" t="n">
        <v>18.20982728</v>
      </c>
      <c r="F7" s="20" t="n">
        <v>1.08714037</v>
      </c>
      <c r="G7" s="18" t="n">
        <v>81.04576225</v>
      </c>
      <c r="H7" s="20" t="n">
        <v>1.09668672</v>
      </c>
      <c r="I7" s="18" t="n">
        <v>0</v>
      </c>
      <c r="J7" s="20" t="n">
        <v>0</v>
      </c>
      <c r="K7" s="18" t="n">
        <v>0</v>
      </c>
      <c r="L7" s="20" t="n">
        <v>0</v>
      </c>
      <c r="M7" s="18" t="n">
        <v>0</v>
      </c>
      <c r="N7" s="20" t="n">
        <v>0</v>
      </c>
      <c r="O7" s="18" t="n">
        <v>0</v>
      </c>
      <c r="P7" s="20" t="n">
        <v>0</v>
      </c>
      <c r="Q7" s="18" t="n">
        <v>0.74441047</v>
      </c>
      <c r="R7" s="20" t="n">
        <v>0.26493142</v>
      </c>
    </row>
    <row r="8" spans="1:18">
      <c r="A8" s="15" t="s">
        <v>566</v>
      </c>
      <c r="B8" s="17" t="n">
        <v>3443</v>
      </c>
      <c r="C8" s="18">
        <f>(2725.0/B8*100)</f>
        <v/>
      </c>
      <c r="D8" s="19" t="n">
        <v>718</v>
      </c>
      <c r="E8" s="18" t="n">
        <v>20.06699282</v>
      </c>
      <c r="F8" s="20" t="n">
        <v>1.8907839</v>
      </c>
      <c r="G8" s="18" t="n">
        <v>78.94223181</v>
      </c>
      <c r="H8" s="20" t="n">
        <v>1.95128671</v>
      </c>
      <c r="I8" s="18" t="n">
        <v>0</v>
      </c>
      <c r="J8" s="20" t="n">
        <v>0</v>
      </c>
      <c r="K8" s="18" t="n">
        <v>0</v>
      </c>
      <c r="L8" s="20" t="n">
        <v>0</v>
      </c>
      <c r="M8" s="18" t="n">
        <v>0</v>
      </c>
      <c r="N8" s="20" t="n">
        <v>0</v>
      </c>
      <c r="O8" s="18" t="n">
        <v>0</v>
      </c>
      <c r="P8" s="20" t="n">
        <v>0</v>
      </c>
      <c r="Q8" s="18" t="n">
        <v>0.99077538</v>
      </c>
      <c r="R8" s="20" t="n">
        <v>0.47722937</v>
      </c>
    </row>
    <row r="9" spans="1:18">
      <c r="A9" s="15" t="s">
        <v>567</v>
      </c>
      <c r="B9" s="17" t="n">
        <v>4752</v>
      </c>
      <c r="C9" s="18">
        <f>(3713.0/B9*100)</f>
        <v/>
      </c>
      <c r="D9" s="19" t="n">
        <v>1039</v>
      </c>
      <c r="E9" s="18" t="n">
        <v>18.36293532</v>
      </c>
      <c r="F9" s="20" t="n">
        <v>1.22710594</v>
      </c>
      <c r="G9" s="18" t="n">
        <v>79.44855511999999</v>
      </c>
      <c r="H9" s="20" t="n">
        <v>1.32994185</v>
      </c>
      <c r="I9" s="18" t="n">
        <v>0</v>
      </c>
      <c r="J9" s="20" t="n">
        <v>0</v>
      </c>
      <c r="K9" s="18" t="n">
        <v>0.1948944</v>
      </c>
      <c r="L9" s="20" t="n">
        <v>0.14232579</v>
      </c>
      <c r="M9" s="18" t="n">
        <v>0</v>
      </c>
      <c r="N9" s="20" t="n">
        <v>0</v>
      </c>
      <c r="O9" s="18" t="n">
        <v>0</v>
      </c>
      <c r="P9" s="20" t="n">
        <v>0</v>
      </c>
      <c r="Q9" s="18" t="n">
        <v>1.99361516</v>
      </c>
      <c r="R9" s="20" t="n">
        <v>0.40021346</v>
      </c>
    </row>
    <row r="10" spans="1:18">
      <c r="A10" s="15" t="s">
        <v>568</v>
      </c>
      <c r="B10" s="17" t="n">
        <v>10022</v>
      </c>
      <c r="C10" s="18">
        <f>(7845.0/B10*100)</f>
        <v/>
      </c>
      <c r="D10" s="19" t="n">
        <v>2177</v>
      </c>
      <c r="E10" s="18" t="n">
        <v>14.33211446</v>
      </c>
      <c r="F10" s="20" t="n">
        <v>0.98333097</v>
      </c>
      <c r="G10" s="18" t="n">
        <v>84.07968434999999</v>
      </c>
      <c r="H10" s="20" t="n">
        <v>1.00472738</v>
      </c>
      <c r="I10" s="18" t="n">
        <v>0</v>
      </c>
      <c r="J10" s="20" t="n">
        <v>0</v>
      </c>
      <c r="K10" s="18" t="n">
        <v>0.16300579</v>
      </c>
      <c r="L10" s="20" t="n">
        <v>0.13143785</v>
      </c>
      <c r="M10" s="18" t="n">
        <v>0</v>
      </c>
      <c r="N10" s="20" t="n">
        <v>0</v>
      </c>
      <c r="O10" s="18" t="n">
        <v>0</v>
      </c>
      <c r="P10" s="20" t="n">
        <v>0</v>
      </c>
      <c r="Q10" s="18" t="n">
        <v>1.42519541</v>
      </c>
      <c r="R10" s="20" t="n">
        <v>0.37599055</v>
      </c>
    </row>
    <row r="11" spans="1:18">
      <c r="A11" s="15" t="s">
        <v>569</v>
      </c>
      <c r="B11" s="17" t="n">
        <v>3500</v>
      </c>
      <c r="C11" s="18">
        <f>(2763.0/B11*100)</f>
        <v/>
      </c>
      <c r="D11" s="19" t="n">
        <v>737</v>
      </c>
      <c r="E11" s="18" t="n">
        <v>25.39654611</v>
      </c>
      <c r="F11" s="20" t="n">
        <v>1.96990868</v>
      </c>
      <c r="G11" s="18" t="n">
        <v>72.73899426</v>
      </c>
      <c r="H11" s="20" t="n">
        <v>2.01900908</v>
      </c>
      <c r="I11" s="18" t="n">
        <v>0</v>
      </c>
      <c r="J11" s="20" t="n">
        <v>0</v>
      </c>
      <c r="K11" s="18" t="n">
        <v>0.11183824</v>
      </c>
      <c r="L11" s="20" t="n">
        <v>0.10877256</v>
      </c>
      <c r="M11" s="18" t="n">
        <v>0</v>
      </c>
      <c r="N11" s="20" t="n">
        <v>0</v>
      </c>
      <c r="O11" s="18" t="n">
        <v>0</v>
      </c>
      <c r="P11" s="20" t="n">
        <v>0</v>
      </c>
      <c r="Q11" s="18" t="n">
        <v>1.75262138</v>
      </c>
      <c r="R11" s="20" t="n">
        <v>0.49765388</v>
      </c>
    </row>
    <row r="12" spans="1:18">
      <c r="A12" s="15" t="s">
        <v>570</v>
      </c>
      <c r="B12" s="17" t="n">
        <v>3422</v>
      </c>
      <c r="C12" s="18">
        <f>(2655.0/B12*100)</f>
        <v/>
      </c>
      <c r="D12" s="19" t="n">
        <v>767</v>
      </c>
      <c r="E12" s="18" t="n">
        <v>12.92903902</v>
      </c>
      <c r="F12" s="20" t="n">
        <v>1.30374248</v>
      </c>
      <c r="G12" s="18" t="n">
        <v>86.35756209</v>
      </c>
      <c r="H12" s="20" t="n">
        <v>1.27373218</v>
      </c>
      <c r="I12" s="18" t="n">
        <v>0</v>
      </c>
      <c r="J12" s="20" t="n">
        <v>0</v>
      </c>
      <c r="K12" s="18" t="n">
        <v>0.1162172</v>
      </c>
      <c r="L12" s="20" t="n">
        <v>0.11011189</v>
      </c>
      <c r="M12" s="18" t="n">
        <v>0</v>
      </c>
      <c r="N12" s="20" t="n">
        <v>0</v>
      </c>
      <c r="O12" s="18" t="n">
        <v>0</v>
      </c>
      <c r="P12" s="20" t="n">
        <v>0</v>
      </c>
      <c r="Q12" s="18" t="n">
        <v>0.59718169</v>
      </c>
      <c r="R12" s="20" t="n">
        <v>0.28928247</v>
      </c>
    </row>
    <row r="13" spans="1:18">
      <c r="A13" s="15" t="s">
        <v>571</v>
      </c>
      <c r="B13" s="17" t="n">
        <v>3602</v>
      </c>
      <c r="C13" s="18">
        <f>(2834.0/B13*100)</f>
        <v/>
      </c>
      <c r="D13" s="19" t="n">
        <v>768</v>
      </c>
      <c r="E13" s="18" t="n">
        <v>12.09051785</v>
      </c>
      <c r="F13" s="20" t="n">
        <v>1.38673537</v>
      </c>
      <c r="G13" s="18" t="n">
        <v>86.54677934</v>
      </c>
      <c r="H13" s="20" t="n">
        <v>1.40924645</v>
      </c>
      <c r="I13" s="18" t="n">
        <v>0</v>
      </c>
      <c r="J13" s="20" t="n">
        <v>0</v>
      </c>
      <c r="K13" s="18" t="n">
        <v>0.06946626</v>
      </c>
      <c r="L13" s="20" t="n">
        <v>0.05023767</v>
      </c>
      <c r="M13" s="18" t="n">
        <v>0</v>
      </c>
      <c r="N13" s="20" t="n">
        <v>0</v>
      </c>
      <c r="O13" s="18" t="n">
        <v>0</v>
      </c>
      <c r="P13" s="20" t="n">
        <v>0</v>
      </c>
      <c r="Q13" s="18" t="n">
        <v>1.29323654</v>
      </c>
      <c r="R13" s="20" t="n">
        <v>0.47672583</v>
      </c>
    </row>
    <row r="14" spans="1:18">
      <c r="A14" s="15" t="s">
        <v>572</v>
      </c>
      <c r="B14" s="17" t="n">
        <v>2788</v>
      </c>
      <c r="C14" s="18">
        <f>(2182.0/B14*100)</f>
        <v/>
      </c>
      <c r="D14" s="19" t="n">
        <v>606</v>
      </c>
      <c r="E14" s="18" t="n">
        <v>10.36199188</v>
      </c>
      <c r="F14" s="20" t="n">
        <v>1.27538795</v>
      </c>
      <c r="G14" s="18" t="n">
        <v>89.4020538</v>
      </c>
      <c r="H14" s="20" t="n">
        <v>1.29779994</v>
      </c>
      <c r="I14" s="18" t="n">
        <v>0</v>
      </c>
      <c r="J14" s="20" t="n">
        <v>0</v>
      </c>
      <c r="K14" s="18" t="n">
        <v>0.23595432</v>
      </c>
      <c r="L14" s="20" t="n">
        <v>0.166843</v>
      </c>
      <c r="M14" s="18" t="n">
        <v>0</v>
      </c>
      <c r="N14" s="20" t="n">
        <v>0</v>
      </c>
      <c r="O14" s="18" t="n">
        <v>0</v>
      </c>
      <c r="P14" s="20" t="n">
        <v>0</v>
      </c>
      <c r="Q14" s="18" t="n">
        <v>0</v>
      </c>
      <c r="R14" s="20" t="n">
        <v>0</v>
      </c>
    </row>
    <row r="15" spans="1:18">
      <c r="A15" s="15" t="s">
        <v>573</v>
      </c>
      <c r="B15" s="17" t="n">
        <v>2863</v>
      </c>
      <c r="C15" s="18">
        <f>(2248.0/B15*100)</f>
        <v/>
      </c>
      <c r="D15" s="19" t="n">
        <v>615</v>
      </c>
      <c r="E15" s="18" t="n">
        <v>15.3282509</v>
      </c>
      <c r="F15" s="20" t="n">
        <v>1.61443235</v>
      </c>
      <c r="G15" s="18" t="n">
        <v>83.84628175</v>
      </c>
      <c r="H15" s="20" t="n">
        <v>1.61301392</v>
      </c>
      <c r="I15" s="18" t="n">
        <v>0</v>
      </c>
      <c r="J15" s="20" t="n">
        <v>0</v>
      </c>
      <c r="K15" s="18" t="n">
        <v>0</v>
      </c>
      <c r="L15" s="20" t="n">
        <v>0</v>
      </c>
      <c r="M15" s="18" t="n">
        <v>0</v>
      </c>
      <c r="N15" s="20" t="n">
        <v>0</v>
      </c>
      <c r="O15" s="18" t="n">
        <v>0</v>
      </c>
      <c r="P15" s="20" t="n">
        <v>0</v>
      </c>
      <c r="Q15" s="18" t="n">
        <v>0.82546734</v>
      </c>
      <c r="R15" s="20" t="n">
        <v>0.37756424</v>
      </c>
    </row>
    <row r="16" spans="1:18">
      <c r="A16" s="15" t="s">
        <v>574</v>
      </c>
      <c r="B16" s="17" t="n">
        <v>3111</v>
      </c>
      <c r="C16" s="18">
        <f>(2442.0/B16*100)</f>
        <v/>
      </c>
      <c r="D16" s="19" t="n">
        <v>669</v>
      </c>
      <c r="E16" s="18" t="n">
        <v>19.29991123</v>
      </c>
      <c r="F16" s="20" t="n">
        <v>1.67546501</v>
      </c>
      <c r="G16" s="18" t="n">
        <v>77.52536014</v>
      </c>
      <c r="H16" s="20" t="n">
        <v>1.68038886</v>
      </c>
      <c r="I16" s="18" t="n">
        <v>0</v>
      </c>
      <c r="J16" s="20" t="n">
        <v>0</v>
      </c>
      <c r="K16" s="18" t="n">
        <v>0</v>
      </c>
      <c r="L16" s="20" t="n">
        <v>0</v>
      </c>
      <c r="M16" s="18" t="n">
        <v>0</v>
      </c>
      <c r="N16" s="20" t="n">
        <v>0</v>
      </c>
      <c r="O16" s="18" t="n">
        <v>0</v>
      </c>
      <c r="P16" s="20" t="n">
        <v>0</v>
      </c>
      <c r="Q16" s="18" t="n">
        <v>3.17472863</v>
      </c>
      <c r="R16" s="20" t="n">
        <v>0.8175421</v>
      </c>
    </row>
    <row r="17" spans="1:18">
      <c r="A17" s="15" t="s">
        <v>575</v>
      </c>
      <c r="B17" s="17" t="n">
        <v>3197</v>
      </c>
      <c r="C17" s="18">
        <f>(2466.0/B17*100)</f>
        <v/>
      </c>
      <c r="D17" s="19" t="n">
        <v>731</v>
      </c>
      <c r="E17" s="18" t="n">
        <v>14.50935343</v>
      </c>
      <c r="F17" s="20" t="n">
        <v>1.41801889</v>
      </c>
      <c r="G17" s="18" t="n">
        <v>84.06225357</v>
      </c>
      <c r="H17" s="20" t="n">
        <v>1.54459158</v>
      </c>
      <c r="I17" s="18" t="n">
        <v>0</v>
      </c>
      <c r="J17" s="20" t="n">
        <v>0</v>
      </c>
      <c r="K17" s="18" t="n">
        <v>0</v>
      </c>
      <c r="L17" s="20" t="n">
        <v>0</v>
      </c>
      <c r="M17" s="18" t="n">
        <v>0</v>
      </c>
      <c r="N17" s="20" t="n">
        <v>0</v>
      </c>
      <c r="O17" s="18" t="n">
        <v>0</v>
      </c>
      <c r="P17" s="20" t="n">
        <v>0</v>
      </c>
      <c r="Q17" s="18" t="n">
        <v>1.42839299</v>
      </c>
      <c r="R17" s="20" t="n">
        <v>0.47848521</v>
      </c>
    </row>
    <row r="18" spans="1:18">
      <c r="A18" s="15" t="s">
        <v>576</v>
      </c>
      <c r="B18" s="17" t="n">
        <v>2706</v>
      </c>
      <c r="C18" s="18">
        <f>(2094.0/B18*100)</f>
        <v/>
      </c>
      <c r="D18" s="19" t="n">
        <v>612</v>
      </c>
      <c r="E18" s="18" t="n">
        <v>27.1771558</v>
      </c>
      <c r="F18" s="20" t="n">
        <v>1.90893759</v>
      </c>
      <c r="G18" s="18" t="n">
        <v>71.12638969</v>
      </c>
      <c r="H18" s="20" t="n">
        <v>2.02594737</v>
      </c>
      <c r="I18" s="18" t="n">
        <v>0</v>
      </c>
      <c r="J18" s="20" t="n">
        <v>0</v>
      </c>
      <c r="K18" s="18" t="n">
        <v>0</v>
      </c>
      <c r="L18" s="20" t="n">
        <v>0</v>
      </c>
      <c r="M18" s="18" t="n">
        <v>0</v>
      </c>
      <c r="N18" s="20" t="n">
        <v>0</v>
      </c>
      <c r="O18" s="18" t="n">
        <v>0</v>
      </c>
      <c r="P18" s="20" t="n">
        <v>0</v>
      </c>
      <c r="Q18" s="18" t="n">
        <v>1.69645452</v>
      </c>
      <c r="R18" s="20" t="n">
        <v>0.7639573</v>
      </c>
    </row>
    <row r="19" spans="1:18">
      <c r="A19" s="15" t="s">
        <v>577</v>
      </c>
      <c r="B19" s="17" t="n">
        <v>2850</v>
      </c>
      <c r="C19" s="18">
        <f>(2263.0/B19*100)</f>
        <v/>
      </c>
      <c r="D19" s="19" t="n">
        <v>587</v>
      </c>
      <c r="E19" s="18" t="n">
        <v>18.5731432</v>
      </c>
      <c r="F19" s="20" t="n">
        <v>2.10848529</v>
      </c>
      <c r="G19" s="18" t="n">
        <v>79.86453621</v>
      </c>
      <c r="H19" s="20" t="n">
        <v>2.39004562</v>
      </c>
      <c r="I19" s="18" t="n">
        <v>0</v>
      </c>
      <c r="J19" s="20" t="n">
        <v>0</v>
      </c>
      <c r="K19" s="18" t="n">
        <v>0.14542335</v>
      </c>
      <c r="L19" s="20" t="n">
        <v>0.10419214</v>
      </c>
      <c r="M19" s="18" t="n">
        <v>0</v>
      </c>
      <c r="N19" s="20" t="n">
        <v>0</v>
      </c>
      <c r="O19" s="18" t="n">
        <v>0</v>
      </c>
      <c r="P19" s="20" t="n">
        <v>0</v>
      </c>
      <c r="Q19" s="18" t="n">
        <v>1.41689724</v>
      </c>
      <c r="R19" s="20" t="n">
        <v>0.59752337</v>
      </c>
    </row>
    <row r="20" spans="1:18">
      <c r="A20" s="15" t="s">
        <v>578</v>
      </c>
      <c r="B20" s="17" t="n">
        <v>1741</v>
      </c>
      <c r="C20" s="18">
        <f>(1369.0/B20*100)</f>
        <v/>
      </c>
      <c r="D20" s="19" t="n">
        <v>372</v>
      </c>
      <c r="E20" s="18" t="n">
        <v>15.29766421</v>
      </c>
      <c r="F20" s="20" t="n">
        <v>2.01221186</v>
      </c>
      <c r="G20" s="18" t="n">
        <v>83.45344943000001</v>
      </c>
      <c r="H20" s="20" t="n">
        <v>2.05846806</v>
      </c>
      <c r="I20" s="18" t="n">
        <v>0</v>
      </c>
      <c r="J20" s="20" t="n">
        <v>0</v>
      </c>
      <c r="K20" s="18" t="n">
        <v>0</v>
      </c>
      <c r="L20" s="20" t="n">
        <v>0</v>
      </c>
      <c r="M20" s="18" t="n">
        <v>0</v>
      </c>
      <c r="N20" s="20" t="n">
        <v>0</v>
      </c>
      <c r="O20" s="18" t="n">
        <v>0</v>
      </c>
      <c r="P20" s="20" t="n">
        <v>0</v>
      </c>
      <c r="Q20" s="18" t="n">
        <v>1.24888635</v>
      </c>
      <c r="R20" s="20" t="n">
        <v>0.63595259</v>
      </c>
    </row>
    <row r="21" spans="1:18">
      <c r="A21" s="15" t="s">
        <v>579</v>
      </c>
      <c r="B21" s="17" t="n">
        <v>2833</v>
      </c>
      <c r="C21" s="18">
        <f>(2181.0/B21*100)</f>
        <v/>
      </c>
      <c r="D21" s="19" t="n">
        <v>652</v>
      </c>
      <c r="E21" s="18" t="n">
        <v>20.29263632</v>
      </c>
      <c r="F21" s="20" t="n">
        <v>1.27561746</v>
      </c>
      <c r="G21" s="18" t="n">
        <v>79.34072756</v>
      </c>
      <c r="H21" s="20" t="n">
        <v>1.25501622</v>
      </c>
      <c r="I21" s="18" t="n">
        <v>0</v>
      </c>
      <c r="J21" s="20" t="n">
        <v>0</v>
      </c>
      <c r="K21" s="18" t="n">
        <v>0</v>
      </c>
      <c r="L21" s="20" t="n">
        <v>0</v>
      </c>
      <c r="M21" s="18" t="n">
        <v>0</v>
      </c>
      <c r="N21" s="20" t="n">
        <v>0</v>
      </c>
      <c r="O21" s="18" t="n">
        <v>0</v>
      </c>
      <c r="P21" s="20" t="n">
        <v>0</v>
      </c>
      <c r="Q21" s="18" t="n">
        <v>0.36663612</v>
      </c>
      <c r="R21" s="20" t="n">
        <v>0.26025251</v>
      </c>
    </row>
    <row r="22" spans="1:18">
      <c r="A22" s="15" t="s">
        <v>580</v>
      </c>
      <c r="B22" s="17" t="n">
        <v>3667</v>
      </c>
      <c r="C22" s="18">
        <f>(2826.0/B22*100)</f>
        <v/>
      </c>
      <c r="D22" s="19" t="n">
        <v>841</v>
      </c>
      <c r="E22" s="18" t="n">
        <v>21.11696429</v>
      </c>
      <c r="F22" s="20" t="n">
        <v>1.95430226</v>
      </c>
      <c r="G22" s="18" t="n">
        <v>74.08424199</v>
      </c>
      <c r="H22" s="20" t="n">
        <v>2.09691701</v>
      </c>
      <c r="I22" s="18" t="n">
        <v>0</v>
      </c>
      <c r="J22" s="20" t="n">
        <v>0</v>
      </c>
      <c r="K22" s="18" t="n">
        <v>0.3546565</v>
      </c>
      <c r="L22" s="20" t="n">
        <v>0.20345872</v>
      </c>
      <c r="M22" s="18" t="n">
        <v>0</v>
      </c>
      <c r="N22" s="20" t="n">
        <v>0</v>
      </c>
      <c r="O22" s="18" t="n">
        <v>0</v>
      </c>
      <c r="P22" s="20" t="n">
        <v>0</v>
      </c>
      <c r="Q22" s="18" t="n">
        <v>4.44413723</v>
      </c>
      <c r="R22" s="20" t="n">
        <v>0.9679926599999999</v>
      </c>
    </row>
    <row r="23" spans="1:18">
      <c r="A23" s="15" t="s">
        <v>581</v>
      </c>
      <c r="B23" s="17" t="n">
        <v>5792</v>
      </c>
      <c r="C23" s="18">
        <f>(4518.0/B23*100)</f>
        <v/>
      </c>
      <c r="D23" s="19" t="n">
        <v>1274</v>
      </c>
      <c r="E23" s="18" t="n">
        <v>19.58627194</v>
      </c>
      <c r="F23" s="20" t="n">
        <v>1.88277834</v>
      </c>
      <c r="G23" s="18" t="n">
        <v>76.71497789999999</v>
      </c>
      <c r="H23" s="20" t="n">
        <v>1.81040459</v>
      </c>
      <c r="I23" s="18" t="n">
        <v>0</v>
      </c>
      <c r="J23" s="20" t="n">
        <v>0</v>
      </c>
      <c r="K23" s="18" t="n">
        <v>0.14836295</v>
      </c>
      <c r="L23" s="20" t="n">
        <v>0.14703799</v>
      </c>
      <c r="M23" s="18" t="n">
        <v>0</v>
      </c>
      <c r="N23" s="20" t="n">
        <v>0</v>
      </c>
      <c r="O23" s="18" t="n">
        <v>0</v>
      </c>
      <c r="P23" s="20" t="n">
        <v>0</v>
      </c>
      <c r="Q23" s="18" t="n">
        <v>3.55038721</v>
      </c>
      <c r="R23" s="20" t="n">
        <v>0.79299118</v>
      </c>
    </row>
    <row r="24" spans="1:18">
      <c r="A24" s="15" t="s">
        <v>582</v>
      </c>
      <c r="B24" s="17" t="n">
        <v>3309</v>
      </c>
      <c r="C24" s="18">
        <f>(2531.0/B24*100)</f>
        <v/>
      </c>
      <c r="D24" s="19" t="n">
        <v>778</v>
      </c>
      <c r="E24" s="18" t="n">
        <v>20.7344472</v>
      </c>
      <c r="F24" s="20" t="n">
        <v>1.45146181</v>
      </c>
      <c r="G24" s="18" t="n">
        <v>77.97494411</v>
      </c>
      <c r="H24" s="20" t="n">
        <v>1.52488148</v>
      </c>
      <c r="I24" s="18" t="n">
        <v>0</v>
      </c>
      <c r="J24" s="20" t="n">
        <v>0</v>
      </c>
      <c r="K24" s="18" t="n">
        <v>0</v>
      </c>
      <c r="L24" s="20" t="n">
        <v>0</v>
      </c>
      <c r="M24" s="18" t="n">
        <v>0</v>
      </c>
      <c r="N24" s="20" t="n">
        <v>0</v>
      </c>
      <c r="O24" s="18" t="n">
        <v>0</v>
      </c>
      <c r="P24" s="20" t="n">
        <v>0</v>
      </c>
      <c r="Q24" s="18" t="n">
        <v>1.29060869</v>
      </c>
      <c r="R24" s="20" t="n">
        <v>0.40058816</v>
      </c>
    </row>
    <row r="25" spans="1:18">
      <c r="A25" s="15" t="s">
        <v>583</v>
      </c>
      <c r="B25" s="17" t="n">
        <v>2669</v>
      </c>
      <c r="C25" s="18">
        <f>(2087.0/B25*100)</f>
        <v/>
      </c>
      <c r="D25" s="19" t="n">
        <v>582</v>
      </c>
      <c r="E25" s="18" t="n">
        <v>10.96338032</v>
      </c>
      <c r="F25" s="20" t="n">
        <v>1.31063089</v>
      </c>
      <c r="G25" s="18" t="n">
        <v>88.08322865</v>
      </c>
      <c r="H25" s="20" t="n">
        <v>1.24731235</v>
      </c>
      <c r="I25" s="18" t="n">
        <v>0</v>
      </c>
      <c r="J25" s="20" t="n">
        <v>0</v>
      </c>
      <c r="K25" s="18" t="n">
        <v>0.16309914</v>
      </c>
      <c r="L25" s="20" t="n">
        <v>0.16277181</v>
      </c>
      <c r="M25" s="18" t="n">
        <v>0</v>
      </c>
      <c r="N25" s="20" t="n">
        <v>0</v>
      </c>
      <c r="O25" s="18" t="n">
        <v>0</v>
      </c>
      <c r="P25" s="20" t="n">
        <v>0</v>
      </c>
      <c r="Q25" s="18" t="n">
        <v>0.7902919</v>
      </c>
      <c r="R25" s="20" t="n">
        <v>0.4294006</v>
      </c>
    </row>
    <row r="26" spans="1:18">
      <c r="A26" s="15" t="s">
        <v>584</v>
      </c>
      <c r="B26" s="17" t="n">
        <v>2419</v>
      </c>
      <c r="C26" s="18">
        <f>(1894.0/B26*100)</f>
        <v/>
      </c>
      <c r="D26" s="19" t="n">
        <v>525</v>
      </c>
      <c r="E26" s="18" t="n">
        <v>16.71028132</v>
      </c>
      <c r="F26" s="20" t="n">
        <v>1.61790204</v>
      </c>
      <c r="G26" s="18" t="n">
        <v>82.65270590999999</v>
      </c>
      <c r="H26" s="20" t="n">
        <v>1.6326252</v>
      </c>
      <c r="I26" s="18" t="n">
        <v>0</v>
      </c>
      <c r="J26" s="20" t="n">
        <v>0</v>
      </c>
      <c r="K26" s="18" t="n">
        <v>0</v>
      </c>
      <c r="L26" s="20" t="n">
        <v>0</v>
      </c>
      <c r="M26" s="18" t="n">
        <v>0</v>
      </c>
      <c r="N26" s="20" t="n">
        <v>0</v>
      </c>
      <c r="O26" s="18" t="n">
        <v>0</v>
      </c>
      <c r="P26" s="20" t="n">
        <v>0</v>
      </c>
      <c r="Q26" s="18" t="n">
        <v>0.63701277</v>
      </c>
      <c r="R26" s="20" t="n">
        <v>0.36830167</v>
      </c>
    </row>
    <row r="27" spans="1:18">
      <c r="A27" s="15" t="s">
        <v>585</v>
      </c>
      <c r="B27" s="17" t="n">
        <v>2683</v>
      </c>
      <c r="C27" s="18">
        <f>(2056.0/B27*100)</f>
        <v/>
      </c>
      <c r="D27" s="19" t="n">
        <v>627</v>
      </c>
      <c r="E27" s="18" t="n">
        <v>19.18197656</v>
      </c>
      <c r="F27" s="20" t="n">
        <v>1.61975341</v>
      </c>
      <c r="G27" s="18" t="n">
        <v>79.87396046000001</v>
      </c>
      <c r="H27" s="20" t="n">
        <v>1.64984336</v>
      </c>
      <c r="I27" s="18" t="n">
        <v>0</v>
      </c>
      <c r="J27" s="20" t="n">
        <v>0</v>
      </c>
      <c r="K27" s="18" t="n">
        <v>0</v>
      </c>
      <c r="L27" s="20" t="n">
        <v>0</v>
      </c>
      <c r="M27" s="18" t="n">
        <v>0</v>
      </c>
      <c r="N27" s="20" t="n">
        <v>0</v>
      </c>
      <c r="O27" s="18" t="n">
        <v>0</v>
      </c>
      <c r="P27" s="20" t="n">
        <v>0</v>
      </c>
      <c r="Q27" s="18" t="n">
        <v>0.94406298</v>
      </c>
      <c r="R27" s="20" t="n">
        <v>0.38557276</v>
      </c>
    </row>
    <row r="28" spans="1:18">
      <c r="A28" s="15" t="s">
        <v>586</v>
      </c>
      <c r="B28" s="17" t="n">
        <v>3803</v>
      </c>
      <c r="C28" s="18">
        <f>(3014.0/B28*100)</f>
        <v/>
      </c>
      <c r="D28" s="19" t="n">
        <v>789</v>
      </c>
      <c r="E28" s="18" t="n">
        <v>33.48643409</v>
      </c>
      <c r="F28" s="20" t="n">
        <v>2.00948464</v>
      </c>
      <c r="G28" s="18" t="n">
        <v>64.47531601</v>
      </c>
      <c r="H28" s="20" t="n">
        <v>1.97418323</v>
      </c>
      <c r="I28" s="18" t="n">
        <v>0</v>
      </c>
      <c r="J28" s="20" t="n">
        <v>0</v>
      </c>
      <c r="K28" s="18" t="n">
        <v>0.10562063</v>
      </c>
      <c r="L28" s="20" t="n">
        <v>0.10568898</v>
      </c>
      <c r="M28" s="18" t="n">
        <v>0</v>
      </c>
      <c r="N28" s="20" t="n">
        <v>0</v>
      </c>
      <c r="O28" s="18" t="n">
        <v>0</v>
      </c>
      <c r="P28" s="20" t="n">
        <v>0</v>
      </c>
      <c r="Q28" s="18" t="n">
        <v>1.93262927</v>
      </c>
      <c r="R28" s="20" t="n">
        <v>0.71738787</v>
      </c>
    </row>
    <row r="29" spans="1:18">
      <c r="A29" s="15" t="s">
        <v>587</v>
      </c>
      <c r="B29" s="17" t="n">
        <v>2700</v>
      </c>
      <c r="C29" s="18">
        <f>(2118.0/B29*100)</f>
        <v/>
      </c>
      <c r="D29" s="19" t="n">
        <v>582</v>
      </c>
      <c r="E29" s="18" t="n">
        <v>12.7936563</v>
      </c>
      <c r="F29" s="20" t="n">
        <v>1.29031677</v>
      </c>
      <c r="G29" s="18" t="n">
        <v>86.18780894</v>
      </c>
      <c r="H29" s="20" t="n">
        <v>1.38368558</v>
      </c>
      <c r="I29" s="18" t="n">
        <v>0</v>
      </c>
      <c r="J29" s="20" t="n">
        <v>0</v>
      </c>
      <c r="K29" s="18" t="n">
        <v>0</v>
      </c>
      <c r="L29" s="20" t="n">
        <v>0</v>
      </c>
      <c r="M29" s="18" t="n">
        <v>0</v>
      </c>
      <c r="N29" s="20" t="n">
        <v>0</v>
      </c>
      <c r="O29" s="18" t="n">
        <v>0</v>
      </c>
      <c r="P29" s="20" t="n">
        <v>0</v>
      </c>
      <c r="Q29" s="18" t="n">
        <v>1.01853475</v>
      </c>
      <c r="R29" s="20" t="n">
        <v>0.43616822</v>
      </c>
    </row>
    <row r="30" spans="1:18">
      <c r="A30" s="15" t="s">
        <v>588</v>
      </c>
      <c r="B30" s="17" t="n">
        <v>2257</v>
      </c>
      <c r="C30" s="18">
        <f>(1779.0/B30*100)</f>
        <v/>
      </c>
      <c r="D30" s="19" t="n">
        <v>478</v>
      </c>
      <c r="E30" s="18" t="n">
        <v>19.19577827</v>
      </c>
      <c r="F30" s="20" t="n">
        <v>1.76864523</v>
      </c>
      <c r="G30" s="18" t="n">
        <v>79.75682943</v>
      </c>
      <c r="H30" s="20" t="n">
        <v>1.88371751</v>
      </c>
      <c r="I30" s="18" t="n">
        <v>0</v>
      </c>
      <c r="J30" s="20" t="n">
        <v>0</v>
      </c>
      <c r="K30" s="18" t="n">
        <v>0</v>
      </c>
      <c r="L30" s="20" t="n">
        <v>0</v>
      </c>
      <c r="M30" s="18" t="n">
        <v>0</v>
      </c>
      <c r="N30" s="20" t="n">
        <v>0</v>
      </c>
      <c r="O30" s="18" t="n">
        <v>0</v>
      </c>
      <c r="P30" s="20" t="n">
        <v>0</v>
      </c>
      <c r="Q30" s="18" t="n">
        <v>1.0473923</v>
      </c>
      <c r="R30" s="20" t="n">
        <v>0.41988363</v>
      </c>
    </row>
    <row r="31" spans="1:18">
      <c r="A31" s="15" t="s">
        <v>589</v>
      </c>
      <c r="B31" s="17" t="n">
        <v>2706</v>
      </c>
      <c r="C31" s="18">
        <f>(2111.0/B31*100)</f>
        <v/>
      </c>
      <c r="D31" s="19" t="n">
        <v>595</v>
      </c>
      <c r="E31" s="18" t="n">
        <v>12.47464715</v>
      </c>
      <c r="F31" s="20" t="n">
        <v>1.46750194</v>
      </c>
      <c r="G31" s="18" t="n">
        <v>85.74691688999999</v>
      </c>
      <c r="H31" s="20" t="n">
        <v>1.5956614</v>
      </c>
      <c r="I31" s="18" t="n">
        <v>0</v>
      </c>
      <c r="J31" s="20" t="n">
        <v>0</v>
      </c>
      <c r="K31" s="18" t="n">
        <v>0.31112939</v>
      </c>
      <c r="L31" s="20" t="n">
        <v>0.21365526</v>
      </c>
      <c r="M31" s="18" t="n">
        <v>0</v>
      </c>
      <c r="N31" s="20" t="n">
        <v>0</v>
      </c>
      <c r="O31" s="18" t="n">
        <v>0</v>
      </c>
      <c r="P31" s="20" t="n">
        <v>0</v>
      </c>
      <c r="Q31" s="18" t="n">
        <v>1.46730657</v>
      </c>
      <c r="R31" s="20" t="n">
        <v>0.44474962</v>
      </c>
    </row>
    <row r="32" spans="1:18">
      <c r="A32" s="15" t="s">
        <v>590</v>
      </c>
      <c r="B32" s="17" t="n">
        <v>2209</v>
      </c>
      <c r="C32" s="18">
        <f>(1754.0/B32*100)</f>
        <v/>
      </c>
      <c r="D32" s="19" t="n">
        <v>455</v>
      </c>
      <c r="E32" s="18" t="n">
        <v>17.31528563</v>
      </c>
      <c r="F32" s="20" t="n">
        <v>1.57442808</v>
      </c>
      <c r="G32" s="18" t="n">
        <v>81.79282907</v>
      </c>
      <c r="H32" s="20" t="n">
        <v>1.59311373</v>
      </c>
      <c r="I32" s="18" t="n">
        <v>0</v>
      </c>
      <c r="J32" s="20" t="n">
        <v>0</v>
      </c>
      <c r="K32" s="18" t="n">
        <v>0</v>
      </c>
      <c r="L32" s="20" t="n">
        <v>0</v>
      </c>
      <c r="M32" s="18" t="n">
        <v>0</v>
      </c>
      <c r="N32" s="20" t="n">
        <v>0</v>
      </c>
      <c r="O32" s="18" t="n">
        <v>0</v>
      </c>
      <c r="P32" s="20" t="n">
        <v>0</v>
      </c>
      <c r="Q32" s="18" t="n">
        <v>0.8918853</v>
      </c>
      <c r="R32" s="20" t="n">
        <v>0.43467684</v>
      </c>
    </row>
    <row r="33" spans="1:18">
      <c r="A33" s="15" t="s">
        <v>591</v>
      </c>
      <c r="B33" s="17" t="n">
        <v>3651</v>
      </c>
      <c r="C33" s="18">
        <f>(2902.0/B33*100)</f>
        <v/>
      </c>
      <c r="D33" s="19" t="n">
        <v>749</v>
      </c>
      <c r="E33" s="18" t="n">
        <v>21.99525714</v>
      </c>
      <c r="F33" s="20" t="n">
        <v>2.0422097</v>
      </c>
      <c r="G33" s="18" t="n">
        <v>77.43686112</v>
      </c>
      <c r="H33" s="20" t="n">
        <v>2.09626599</v>
      </c>
      <c r="I33" s="18" t="n">
        <v>0</v>
      </c>
      <c r="J33" s="20" t="n">
        <v>0</v>
      </c>
      <c r="K33" s="18" t="n">
        <v>0.19155851</v>
      </c>
      <c r="L33" s="20" t="n">
        <v>0.19139223</v>
      </c>
      <c r="M33" s="18" t="n">
        <v>0</v>
      </c>
      <c r="N33" s="20" t="n">
        <v>0</v>
      </c>
      <c r="O33" s="18" t="n">
        <v>0</v>
      </c>
      <c r="P33" s="20" t="n">
        <v>0</v>
      </c>
      <c r="Q33" s="18" t="n">
        <v>0.37632324</v>
      </c>
      <c r="R33" s="20" t="n">
        <v>0.24061237</v>
      </c>
    </row>
    <row r="34" spans="1:18">
      <c r="A34" s="15" t="s">
        <v>592</v>
      </c>
      <c r="B34" s="17" t="n">
        <v>3035</v>
      </c>
      <c r="C34" s="18">
        <f>(2374.0/B34*100)</f>
        <v/>
      </c>
      <c r="D34" s="19" t="n">
        <v>661</v>
      </c>
      <c r="E34" s="18" t="n">
        <v>16.05468565</v>
      </c>
      <c r="F34" s="20" t="n">
        <v>1.71934986</v>
      </c>
      <c r="G34" s="18" t="n">
        <v>81.37742521</v>
      </c>
      <c r="H34" s="20" t="n">
        <v>1.91020509</v>
      </c>
      <c r="I34" s="18" t="n">
        <v>0</v>
      </c>
      <c r="J34" s="20" t="n">
        <v>0</v>
      </c>
      <c r="K34" s="18" t="n">
        <v>0</v>
      </c>
      <c r="L34" s="20" t="n">
        <v>0</v>
      </c>
      <c r="M34" s="18" t="n">
        <v>0</v>
      </c>
      <c r="N34" s="20" t="n">
        <v>0</v>
      </c>
      <c r="O34" s="18" t="n">
        <v>0</v>
      </c>
      <c r="P34" s="20" t="n">
        <v>0</v>
      </c>
      <c r="Q34" s="18" t="n">
        <v>2.56788914</v>
      </c>
      <c r="R34" s="20" t="n">
        <v>0.72600473</v>
      </c>
    </row>
    <row r="35" spans="1:18">
      <c r="A35" s="15" t="s">
        <v>593</v>
      </c>
      <c r="B35" s="17" t="n">
        <v>2901</v>
      </c>
      <c r="C35" s="18">
        <f>(2247.0/B35*100)</f>
        <v/>
      </c>
      <c r="D35" s="19" t="n">
        <v>654</v>
      </c>
      <c r="E35" s="18" t="n">
        <v>15.20116601</v>
      </c>
      <c r="F35" s="20" t="n">
        <v>1.47302512</v>
      </c>
      <c r="G35" s="18" t="n">
        <v>84.09666844</v>
      </c>
      <c r="H35" s="20" t="n">
        <v>1.52538419</v>
      </c>
      <c r="I35" s="18" t="n">
        <v>0</v>
      </c>
      <c r="J35" s="20" t="n">
        <v>0</v>
      </c>
      <c r="K35" s="18" t="n">
        <v>0</v>
      </c>
      <c r="L35" s="20" t="n">
        <v>0</v>
      </c>
      <c r="M35" s="18" t="n">
        <v>0</v>
      </c>
      <c r="N35" s="20" t="n">
        <v>0</v>
      </c>
      <c r="O35" s="18" t="n">
        <v>0</v>
      </c>
      <c r="P35" s="20" t="n">
        <v>0</v>
      </c>
      <c r="Q35" s="18" t="n">
        <v>0.70216555</v>
      </c>
      <c r="R35" s="20" t="n">
        <v>0.34653692</v>
      </c>
    </row>
    <row r="36" spans="1:18">
      <c r="A36" s="15" t="s">
        <v>594</v>
      </c>
      <c r="B36" s="17" t="n">
        <v>3404</v>
      </c>
      <c r="C36" s="18">
        <f>(2664.0/B36*100)</f>
        <v/>
      </c>
      <c r="D36" s="19" t="n">
        <v>740</v>
      </c>
      <c r="E36" s="18" t="n">
        <v>20.607939</v>
      </c>
      <c r="F36" s="20" t="n">
        <v>1.67779247</v>
      </c>
      <c r="G36" s="18" t="n">
        <v>77.94781249</v>
      </c>
      <c r="H36" s="20" t="n">
        <v>1.73560642</v>
      </c>
      <c r="I36" s="18" t="n">
        <v>0</v>
      </c>
      <c r="J36" s="20" t="n">
        <v>0</v>
      </c>
      <c r="K36" s="18" t="n">
        <v>0.16782418</v>
      </c>
      <c r="L36" s="20" t="n">
        <v>0.17561466</v>
      </c>
      <c r="M36" s="18" t="n">
        <v>0</v>
      </c>
      <c r="N36" s="20" t="n">
        <v>0</v>
      </c>
      <c r="O36" s="18" t="n">
        <v>0</v>
      </c>
      <c r="P36" s="20" t="n">
        <v>0</v>
      </c>
      <c r="Q36" s="18" t="n">
        <v>1.27642433</v>
      </c>
      <c r="R36" s="20" t="n">
        <v>0.40357619</v>
      </c>
    </row>
    <row r="37" spans="1:18">
      <c r="A37" s="15" t="s">
        <v>595</v>
      </c>
      <c r="B37" s="17" t="n">
        <v>2731</v>
      </c>
      <c r="C37" s="18">
        <f>(2132.0/B37*100)</f>
        <v/>
      </c>
      <c r="D37" s="19" t="n">
        <v>599</v>
      </c>
      <c r="E37" s="18" t="n">
        <v>18.095114</v>
      </c>
      <c r="F37" s="20" t="n">
        <v>1.66715109</v>
      </c>
      <c r="G37" s="18" t="n">
        <v>79.12023311</v>
      </c>
      <c r="H37" s="20" t="n">
        <v>1.83371368</v>
      </c>
      <c r="I37" s="18" t="n">
        <v>0</v>
      </c>
      <c r="J37" s="20" t="n">
        <v>0</v>
      </c>
      <c r="K37" s="18" t="n">
        <v>0</v>
      </c>
      <c r="L37" s="20" t="n">
        <v>0</v>
      </c>
      <c r="M37" s="18" t="n">
        <v>0</v>
      </c>
      <c r="N37" s="20" t="n">
        <v>0</v>
      </c>
      <c r="O37" s="18" t="n">
        <v>0</v>
      </c>
      <c r="P37" s="20" t="n">
        <v>0</v>
      </c>
      <c r="Q37" s="18" t="n">
        <v>2.78465289</v>
      </c>
      <c r="R37" s="20" t="n">
        <v>0.70327271</v>
      </c>
    </row>
    <row r="38" spans="1:18">
      <c r="A38" s="15" t="s">
        <v>596</v>
      </c>
      <c r="B38" s="17" t="n">
        <v>2807</v>
      </c>
      <c r="C38" s="18">
        <f>(2165.0/B38*100)</f>
        <v/>
      </c>
      <c r="D38" s="19" t="n">
        <v>642</v>
      </c>
      <c r="E38" s="18" t="n">
        <v>11.81269316</v>
      </c>
      <c r="F38" s="20" t="n">
        <v>1.4982841</v>
      </c>
      <c r="G38" s="18" t="n">
        <v>87.56991821</v>
      </c>
      <c r="H38" s="20" t="n">
        <v>1.49616358</v>
      </c>
      <c r="I38" s="18" t="n">
        <v>0</v>
      </c>
      <c r="J38" s="20" t="n">
        <v>0</v>
      </c>
      <c r="K38" s="18" t="n">
        <v>0.03034753</v>
      </c>
      <c r="L38" s="20" t="n">
        <v>0.02942735</v>
      </c>
      <c r="M38" s="18" t="n">
        <v>0</v>
      </c>
      <c r="N38" s="20" t="n">
        <v>0</v>
      </c>
      <c r="O38" s="18" t="n">
        <v>0</v>
      </c>
      <c r="P38" s="20" t="n">
        <v>0</v>
      </c>
      <c r="Q38" s="18" t="n">
        <v>0.5870411</v>
      </c>
      <c r="R38" s="20" t="n">
        <v>0.28091712</v>
      </c>
    </row>
    <row r="39" spans="1:18">
      <c r="A39" s="15" t="s">
        <v>597</v>
      </c>
      <c r="B39" s="17" t="n">
        <v>2938</v>
      </c>
      <c r="C39" s="18">
        <f>(2275.0/B39*100)</f>
        <v/>
      </c>
      <c r="D39" s="19" t="n">
        <v>663</v>
      </c>
      <c r="E39" s="18" t="n">
        <v>32.77078439</v>
      </c>
      <c r="F39" s="20" t="n">
        <v>1.79880116</v>
      </c>
      <c r="G39" s="18" t="n">
        <v>65.17896224</v>
      </c>
      <c r="H39" s="20" t="n">
        <v>2.07046912</v>
      </c>
      <c r="I39" s="18" t="n">
        <v>0</v>
      </c>
      <c r="J39" s="20" t="n">
        <v>0</v>
      </c>
      <c r="K39" s="18" t="n">
        <v>0</v>
      </c>
      <c r="L39" s="20" t="n">
        <v>0</v>
      </c>
      <c r="M39" s="18" t="n">
        <v>0</v>
      </c>
      <c r="N39" s="20" t="n">
        <v>0</v>
      </c>
      <c r="O39" s="18" t="n">
        <v>0</v>
      </c>
      <c r="P39" s="20" t="n">
        <v>0</v>
      </c>
      <c r="Q39" s="18" t="n">
        <v>2.05025338</v>
      </c>
      <c r="R39" s="20" t="n">
        <v>0.69083963</v>
      </c>
    </row>
    <row r="40" spans="1:18">
      <c r="A40" s="15" t="s">
        <v>598</v>
      </c>
      <c r="B40" s="17" t="n">
        <v>6922</v>
      </c>
      <c r="C40" s="18">
        <f>(5473.0/B40*100)</f>
        <v/>
      </c>
      <c r="D40" s="19" t="n">
        <v>1449</v>
      </c>
      <c r="E40" s="18" t="n">
        <v>16.2393967</v>
      </c>
      <c r="F40" s="20" t="n">
        <v>1.41663124</v>
      </c>
      <c r="G40" s="18" t="n">
        <v>83.15726496000001</v>
      </c>
      <c r="H40" s="20" t="n">
        <v>1.4520302</v>
      </c>
      <c r="I40" s="18" t="n">
        <v>0</v>
      </c>
      <c r="J40" s="20" t="n">
        <v>0</v>
      </c>
      <c r="K40" s="18" t="n">
        <v>0.03889789</v>
      </c>
      <c r="L40" s="20" t="n">
        <v>0.02793104</v>
      </c>
      <c r="M40" s="18" t="n">
        <v>0</v>
      </c>
      <c r="N40" s="20" t="n">
        <v>0</v>
      </c>
      <c r="O40" s="18" t="n">
        <v>0</v>
      </c>
      <c r="P40" s="20" t="n">
        <v>0</v>
      </c>
      <c r="Q40" s="18" t="n">
        <v>0.56444045</v>
      </c>
      <c r="R40" s="20" t="n">
        <v>0.37478952</v>
      </c>
    </row>
    <row r="41" spans="1:18">
      <c r="A41" s="15" t="s">
        <v>599</v>
      </c>
      <c r="B41" s="17" t="n">
        <v>2854</v>
      </c>
      <c r="C41" s="18">
        <f>(2202.0/B41*100)</f>
        <v/>
      </c>
      <c r="D41" s="19" t="n">
        <v>652</v>
      </c>
      <c r="E41" s="18" t="n">
        <v>16.37236198</v>
      </c>
      <c r="F41" s="20" t="n">
        <v>1.4374066</v>
      </c>
      <c r="G41" s="18" t="n">
        <v>82.25001573</v>
      </c>
      <c r="H41" s="20" t="n">
        <v>1.52312455</v>
      </c>
      <c r="I41" s="18" t="n">
        <v>0</v>
      </c>
      <c r="J41" s="20" t="n">
        <v>0</v>
      </c>
      <c r="K41" s="18" t="n">
        <v>0</v>
      </c>
      <c r="L41" s="20" t="n">
        <v>0</v>
      </c>
      <c r="M41" s="18" t="n">
        <v>0</v>
      </c>
      <c r="N41" s="20" t="n">
        <v>0</v>
      </c>
      <c r="O41" s="18" t="n">
        <v>0</v>
      </c>
      <c r="P41" s="20" t="n">
        <v>0</v>
      </c>
      <c r="Q41" s="18" t="n">
        <v>1.37762229</v>
      </c>
      <c r="R41" s="20" t="n">
        <v>0.51883274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(9688.0/B46*100)</f>
        <v/>
      </c>
      <c r="D46" s="19" t="n">
        <v>2385</v>
      </c>
      <c r="E46" s="18" t="n">
        <v>37.8521197</v>
      </c>
      <c r="F46" s="20" t="n">
        <v>1.4211725</v>
      </c>
      <c r="G46" s="18" t="n">
        <v>53.69646233</v>
      </c>
      <c r="H46" s="20" t="n">
        <v>1.44534017</v>
      </c>
      <c r="I46" s="18" t="n">
        <v>0</v>
      </c>
      <c r="J46" s="20" t="n">
        <v>0</v>
      </c>
      <c r="K46" s="18" t="n">
        <v>0.53448834</v>
      </c>
      <c r="L46" s="20" t="n">
        <v>0.2446344</v>
      </c>
      <c r="M46" s="18" t="n">
        <v>0</v>
      </c>
      <c r="N46" s="20" t="n">
        <v>0</v>
      </c>
      <c r="O46" s="18" t="n">
        <v>0</v>
      </c>
      <c r="P46" s="20" t="n">
        <v>0</v>
      </c>
      <c r="Q46" s="18" t="n">
        <v>7.91692962</v>
      </c>
      <c r="R46" s="20" t="n">
        <v>0.76350328</v>
      </c>
    </row>
    <row r="47" spans="1:18">
      <c r="A47" s="15" t="s">
        <v>606</v>
      </c>
      <c r="B47" s="17" t="n">
        <v>2823</v>
      </c>
      <c r="C47" s="18">
        <f>(2207.0/B47*100)</f>
        <v/>
      </c>
      <c r="D47" s="19" t="n">
        <v>616</v>
      </c>
      <c r="E47" s="18" t="n">
        <v>22.36016599</v>
      </c>
      <c r="F47" s="20" t="n">
        <v>2.06237453</v>
      </c>
      <c r="G47" s="18" t="n">
        <v>72.61433230999999</v>
      </c>
      <c r="H47" s="20" t="n">
        <v>2.22679795</v>
      </c>
      <c r="I47" s="18" t="n">
        <v>0</v>
      </c>
      <c r="J47" s="20" t="n">
        <v>0</v>
      </c>
      <c r="K47" s="18" t="n">
        <v>0.16377434</v>
      </c>
      <c r="L47" s="20" t="n">
        <v>0.163263</v>
      </c>
      <c r="M47" s="18" t="n">
        <v>0</v>
      </c>
      <c r="N47" s="20" t="n">
        <v>0</v>
      </c>
      <c r="O47" s="18" t="n">
        <v>0</v>
      </c>
      <c r="P47" s="20" t="n">
        <v>0</v>
      </c>
      <c r="Q47" s="18" t="n">
        <v>4.86172736</v>
      </c>
      <c r="R47" s="20" t="n">
        <v>0.8528958</v>
      </c>
    </row>
    <row r="48" spans="1:18">
      <c r="A48" s="15" t="s">
        <v>607</v>
      </c>
      <c r="B48" s="17" t="n">
        <v>4682</v>
      </c>
      <c r="C48" s="18">
        <f>(3623.0/B48*100)</f>
        <v/>
      </c>
      <c r="D48" s="19" t="n">
        <v>1059</v>
      </c>
      <c r="E48" s="18" t="n">
        <v>18.87866938</v>
      </c>
      <c r="F48" s="20" t="n">
        <v>1.82173095</v>
      </c>
      <c r="G48" s="18" t="n">
        <v>79.19334598</v>
      </c>
      <c r="H48" s="20" t="n">
        <v>1.98010214</v>
      </c>
      <c r="I48" s="18" t="n">
        <v>0</v>
      </c>
      <c r="J48" s="20" t="n">
        <v>0</v>
      </c>
      <c r="K48" s="18" t="n">
        <v>0.5622036</v>
      </c>
      <c r="L48" s="20" t="n">
        <v>0.28906645</v>
      </c>
      <c r="M48" s="18" t="n">
        <v>0</v>
      </c>
      <c r="N48" s="20" t="n">
        <v>0</v>
      </c>
      <c r="O48" s="18" t="n">
        <v>0</v>
      </c>
      <c r="P48" s="20" t="n">
        <v>0</v>
      </c>
      <c r="Q48" s="18" t="n">
        <v>1.36578104</v>
      </c>
      <c r="R48" s="20" t="n">
        <v>0.49579284</v>
      </c>
    </row>
    <row r="49" spans="1:18">
      <c r="A49" s="15" t="s">
        <v>608</v>
      </c>
      <c r="B49" s="17" t="n">
        <v>6158</v>
      </c>
      <c r="C49" s="18">
        <f>(4830.0/B49*100)</f>
        <v/>
      </c>
      <c r="D49" s="19" t="n">
        <v>1328</v>
      </c>
      <c r="E49" s="18" t="n">
        <v>36.16853</v>
      </c>
      <c r="F49" s="20" t="n">
        <v>1.82131662</v>
      </c>
      <c r="G49" s="18" t="n">
        <v>59.98947901</v>
      </c>
      <c r="H49" s="20" t="n">
        <v>1.85236608</v>
      </c>
      <c r="I49" s="18" t="n">
        <v>0</v>
      </c>
      <c r="J49" s="20" t="n">
        <v>0</v>
      </c>
      <c r="K49" s="18" t="n">
        <v>0.93359006</v>
      </c>
      <c r="L49" s="20" t="n">
        <v>0.38512121</v>
      </c>
      <c r="M49" s="18" t="n">
        <v>0</v>
      </c>
      <c r="N49" s="20" t="n">
        <v>0</v>
      </c>
      <c r="O49" s="18" t="n">
        <v>0</v>
      </c>
      <c r="P49" s="20" t="n">
        <v>0</v>
      </c>
      <c r="Q49" s="18" t="n">
        <v>2.90840093</v>
      </c>
      <c r="R49" s="20" t="n">
        <v>0.5890663</v>
      </c>
    </row>
    <row r="50" spans="1:18">
      <c r="A50" s="15" t="s">
        <v>609</v>
      </c>
      <c r="B50" s="17" t="n">
        <v>3494</v>
      </c>
      <c r="C50" s="18">
        <f>(2792.0/B50*100)</f>
        <v/>
      </c>
      <c r="D50" s="19" t="n">
        <v>702</v>
      </c>
      <c r="E50" s="18" t="n">
        <v>32.64062258</v>
      </c>
      <c r="F50" s="20" t="n">
        <v>1.60632843</v>
      </c>
      <c r="G50" s="18" t="n">
        <v>63.47914707</v>
      </c>
      <c r="H50" s="20" t="n">
        <v>1.74403696</v>
      </c>
      <c r="I50" s="18" t="n">
        <v>0</v>
      </c>
      <c r="J50" s="20" t="n">
        <v>0</v>
      </c>
      <c r="K50" s="18" t="n">
        <v>0</v>
      </c>
      <c r="L50" s="20" t="n">
        <v>0</v>
      </c>
      <c r="M50" s="18" t="n">
        <v>0</v>
      </c>
      <c r="N50" s="20" t="n">
        <v>0</v>
      </c>
      <c r="O50" s="18" t="n">
        <v>0</v>
      </c>
      <c r="P50" s="20" t="n">
        <v>0</v>
      </c>
      <c r="Q50" s="18" t="n">
        <v>3.88023034</v>
      </c>
      <c r="R50" s="20" t="n">
        <v>0.7186328199999999</v>
      </c>
    </row>
    <row r="51" spans="1:18">
      <c r="A51" s="15" t="s">
        <v>610</v>
      </c>
      <c r="B51" s="17" t="n">
        <v>3013</v>
      </c>
      <c r="C51" s="18">
        <f>(2345.0/B51*100)</f>
        <v/>
      </c>
      <c r="D51" s="19" t="n">
        <v>668</v>
      </c>
      <c r="E51" s="18" t="n">
        <v>22.01707684</v>
      </c>
      <c r="F51" s="20" t="n">
        <v>1.83701386</v>
      </c>
      <c r="G51" s="18" t="n">
        <v>76.20473186</v>
      </c>
      <c r="H51" s="20" t="n">
        <v>2.05764199</v>
      </c>
      <c r="I51" s="18" t="n">
        <v>0</v>
      </c>
      <c r="J51" s="20" t="n">
        <v>0</v>
      </c>
      <c r="K51" s="18" t="n">
        <v>0.1380656</v>
      </c>
      <c r="L51" s="20" t="n">
        <v>0.13771063</v>
      </c>
      <c r="M51" s="18" t="n">
        <v>0</v>
      </c>
      <c r="N51" s="20" t="n">
        <v>0</v>
      </c>
      <c r="O51" s="18" t="n">
        <v>0</v>
      </c>
      <c r="P51" s="20" t="n">
        <v>0</v>
      </c>
      <c r="Q51" s="18" t="n">
        <v>1.64012571</v>
      </c>
      <c r="R51" s="20" t="n">
        <v>0.64341368</v>
      </c>
    </row>
    <row r="52" spans="1:18">
      <c r="A52" s="15" t="s">
        <v>611</v>
      </c>
      <c r="B52" s="17" t="n">
        <v>2760</v>
      </c>
      <c r="C52" s="18">
        <f>(2140.0/B52*100)</f>
        <v/>
      </c>
      <c r="D52" s="19" t="n">
        <v>620</v>
      </c>
      <c r="E52" s="18" t="n">
        <v>30.44509577</v>
      </c>
      <c r="F52" s="20" t="n">
        <v>2.01907854</v>
      </c>
      <c r="G52" s="18" t="n">
        <v>67.50235970999999</v>
      </c>
      <c r="H52" s="20" t="n">
        <v>1.9548752</v>
      </c>
      <c r="I52" s="18" t="n">
        <v>0</v>
      </c>
      <c r="J52" s="20" t="n">
        <v>0</v>
      </c>
      <c r="K52" s="18" t="n">
        <v>0</v>
      </c>
      <c r="L52" s="20" t="n">
        <v>0</v>
      </c>
      <c r="M52" s="18" t="n">
        <v>0</v>
      </c>
      <c r="N52" s="20" t="n">
        <v>0</v>
      </c>
      <c r="O52" s="18" t="n">
        <v>0</v>
      </c>
      <c r="P52" s="20" t="n">
        <v>0</v>
      </c>
      <c r="Q52" s="18" t="n">
        <v>2.05254452</v>
      </c>
      <c r="R52" s="20" t="n">
        <v>0.62438911</v>
      </c>
    </row>
    <row r="53" spans="1:18">
      <c r="A53" s="15" t="s">
        <v>612</v>
      </c>
      <c r="B53" s="17" t="n">
        <v>2474</v>
      </c>
      <c r="C53" s="18">
        <f>(1941.0/B53*100)</f>
        <v/>
      </c>
      <c r="D53" s="19" t="n">
        <v>533</v>
      </c>
      <c r="E53" s="18" t="n">
        <v>39.81628494</v>
      </c>
      <c r="F53" s="20" t="n">
        <v>2.55839433</v>
      </c>
      <c r="G53" s="18" t="n">
        <v>42.32600782</v>
      </c>
      <c r="H53" s="20" t="n">
        <v>2.72612785</v>
      </c>
      <c r="I53" s="18" t="n">
        <v>0</v>
      </c>
      <c r="J53" s="20" t="n">
        <v>0</v>
      </c>
      <c r="K53" s="18" t="n">
        <v>8.714531210000001</v>
      </c>
      <c r="L53" s="20" t="n">
        <v>1.551453</v>
      </c>
      <c r="M53" s="18" t="n">
        <v>0</v>
      </c>
      <c r="N53" s="20" t="n">
        <v>0</v>
      </c>
      <c r="O53" s="18" t="n">
        <v>0</v>
      </c>
      <c r="P53" s="20" t="n">
        <v>0</v>
      </c>
      <c r="Q53" s="18" t="n">
        <v>9.143176029999999</v>
      </c>
      <c r="R53" s="20" t="n">
        <v>1.50328693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(2042.0/B55*100)</f>
        <v/>
      </c>
      <c r="D55" s="19" t="n">
        <v>633</v>
      </c>
      <c r="E55" s="18" t="n">
        <v>16.18179446</v>
      </c>
      <c r="F55" s="20" t="n">
        <v>1.60399335</v>
      </c>
      <c r="G55" s="18" t="n">
        <v>83.04498721</v>
      </c>
      <c r="H55" s="20" t="n">
        <v>1.59106376</v>
      </c>
      <c r="I55" s="18" t="n">
        <v>0</v>
      </c>
      <c r="J55" s="20" t="n">
        <v>0</v>
      </c>
      <c r="K55" s="18" t="n">
        <v>0</v>
      </c>
      <c r="L55" s="20" t="n">
        <v>0</v>
      </c>
      <c r="M55" s="18" t="n">
        <v>0</v>
      </c>
      <c r="N55" s="20" t="n">
        <v>0</v>
      </c>
      <c r="O55" s="18" t="n">
        <v>0</v>
      </c>
      <c r="P55" s="20" t="n">
        <v>0</v>
      </c>
      <c r="Q55" s="18" t="n">
        <v>0.77321833</v>
      </c>
      <c r="R55" s="20" t="n">
        <v>0.37677676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(2476.0/B61*100)</f>
        <v/>
      </c>
      <c r="D61" s="19" t="n">
        <v>725</v>
      </c>
      <c r="E61" s="18" t="n">
        <v>22.25108115</v>
      </c>
      <c r="F61" s="20" t="n">
        <v>1.74449385</v>
      </c>
      <c r="G61" s="18" t="n">
        <v>75.15652045</v>
      </c>
      <c r="H61" s="20" t="n">
        <v>1.87519983</v>
      </c>
      <c r="I61" s="18" t="n">
        <v>0</v>
      </c>
      <c r="J61" s="20" t="n">
        <v>0</v>
      </c>
      <c r="K61" s="18" t="n">
        <v>0</v>
      </c>
      <c r="L61" s="20" t="n">
        <v>0</v>
      </c>
      <c r="M61" s="18" t="n">
        <v>0</v>
      </c>
      <c r="N61" s="20" t="n">
        <v>0</v>
      </c>
      <c r="O61" s="18" t="n">
        <v>0</v>
      </c>
      <c r="P61" s="20" t="n">
        <v>0</v>
      </c>
      <c r="Q61" s="18" t="n">
        <v>2.59239839</v>
      </c>
      <c r="R61" s="20" t="n">
        <v>0.63310833</v>
      </c>
    </row>
    <row r="62" spans="1:18">
      <c r="A62" s="15" t="s">
        <v>622</v>
      </c>
      <c r="B62" s="17" t="n">
        <v>2230</v>
      </c>
      <c r="C62" s="18">
        <f>(1726.0/B62*100)</f>
        <v/>
      </c>
      <c r="D62" s="19" t="n">
        <v>504</v>
      </c>
      <c r="E62" s="18" t="n">
        <v>9.13527695</v>
      </c>
      <c r="F62" s="20" t="n">
        <v>1.37367771</v>
      </c>
      <c r="G62" s="18" t="n">
        <v>90.86472304999999</v>
      </c>
      <c r="H62" s="20" t="n">
        <v>1.37367771</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(2170.0/B67*100)</f>
        <v/>
      </c>
      <c r="D67" s="19" t="n">
        <v>601</v>
      </c>
      <c r="E67" s="18" t="n">
        <v>33.64353894</v>
      </c>
      <c r="F67" s="20" t="n">
        <v>1.99790642</v>
      </c>
      <c r="G67" s="18" t="n">
        <v>57.34947637</v>
      </c>
      <c r="H67" s="20" t="n">
        <v>2.10278431</v>
      </c>
      <c r="I67" s="18" t="n">
        <v>0</v>
      </c>
      <c r="J67" s="20" t="n">
        <v>0</v>
      </c>
      <c r="K67" s="18" t="n">
        <v>0</v>
      </c>
      <c r="L67" s="20" t="n">
        <v>0</v>
      </c>
      <c r="M67" s="18" t="n">
        <v>0</v>
      </c>
      <c r="N67" s="20" t="n">
        <v>0</v>
      </c>
      <c r="O67" s="18" t="n">
        <v>0</v>
      </c>
      <c r="P67" s="20" t="n">
        <v>0</v>
      </c>
      <c r="Q67" s="18" t="n">
        <v>9.00698468</v>
      </c>
      <c r="R67" s="20" t="n">
        <v>0.99311626</v>
      </c>
    </row>
    <row r="68" spans="1:18">
      <c r="A68" s="15" t="s">
        <v>628</v>
      </c>
      <c r="B68" s="17" t="n">
        <v>3460</v>
      </c>
      <c r="C68" s="18">
        <f>(2778.0/B68*100)</f>
        <v/>
      </c>
      <c r="D68" s="19" t="n">
        <v>682</v>
      </c>
      <c r="E68" s="18" t="n">
        <v>43.37690412</v>
      </c>
      <c r="F68" s="20" t="n">
        <v>1.92048978</v>
      </c>
      <c r="G68" s="18" t="n">
        <v>51.61145119</v>
      </c>
      <c r="H68" s="20" t="n">
        <v>2.07503999</v>
      </c>
      <c r="I68" s="18" t="n">
        <v>0</v>
      </c>
      <c r="J68" s="20" t="n">
        <v>0</v>
      </c>
      <c r="K68" s="18" t="n">
        <v>0.13796224</v>
      </c>
      <c r="L68" s="20" t="n">
        <v>0.13414828</v>
      </c>
      <c r="M68" s="18" t="n">
        <v>0</v>
      </c>
      <c r="N68" s="20" t="n">
        <v>0</v>
      </c>
      <c r="O68" s="18" t="n">
        <v>0</v>
      </c>
      <c r="P68" s="20" t="n">
        <v>0</v>
      </c>
      <c r="Q68" s="18" t="n">
        <v>4.87368245</v>
      </c>
      <c r="R68" s="20" t="n">
        <v>1.03947774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(4652.0/B70*100)</f>
        <v/>
      </c>
      <c r="D70" s="19" t="n">
        <v>1382</v>
      </c>
      <c r="E70" s="18" t="n">
        <v>31.2765505</v>
      </c>
      <c r="F70" s="20" t="n">
        <v>1.33108824</v>
      </c>
      <c r="G70" s="18" t="n">
        <v>63.44991106</v>
      </c>
      <c r="H70" s="20" t="n">
        <v>1.42531754</v>
      </c>
      <c r="I70" s="18" t="n">
        <v>0</v>
      </c>
      <c r="J70" s="20" t="n">
        <v>0</v>
      </c>
      <c r="K70" s="18" t="n">
        <v>1.220202</v>
      </c>
      <c r="L70" s="20" t="n">
        <v>0.29004741</v>
      </c>
      <c r="M70" s="18" t="n">
        <v>0</v>
      </c>
      <c r="N70" s="20" t="n">
        <v>0</v>
      </c>
      <c r="O70" s="18" t="n">
        <v>0</v>
      </c>
      <c r="P70" s="20" t="n">
        <v>0</v>
      </c>
      <c r="Q70" s="18" t="n">
        <v>4.05333644</v>
      </c>
      <c r="R70" s="20" t="n">
        <v>0.55054366</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(2500.0/B72*100)</f>
        <v/>
      </c>
      <c r="D72" s="19" t="n">
        <v>607</v>
      </c>
      <c r="E72" s="18" t="n">
        <v>15.5094307</v>
      </c>
      <c r="F72" s="20" t="n">
        <v>1.21967149</v>
      </c>
      <c r="G72" s="18" t="n">
        <v>82.43190125</v>
      </c>
      <c r="H72" s="20" t="n">
        <v>1.30388571</v>
      </c>
      <c r="I72" s="18" t="n">
        <v>0</v>
      </c>
      <c r="J72" s="20" t="n">
        <v>0</v>
      </c>
      <c r="K72" s="18" t="n">
        <v>0.14151234</v>
      </c>
      <c r="L72" s="20" t="n">
        <v>0.10015716</v>
      </c>
      <c r="M72" s="18" t="n">
        <v>0</v>
      </c>
      <c r="N72" s="20" t="n">
        <v>0</v>
      </c>
      <c r="O72" s="18" t="n">
        <v>0</v>
      </c>
      <c r="P72" s="20" t="n">
        <v>0</v>
      </c>
      <c r="Q72" s="18" t="n">
        <v>1.91715571</v>
      </c>
      <c r="R72" s="20" t="n">
        <v>0.5346328299999999</v>
      </c>
    </row>
    <row r="73" spans="1:18">
      <c r="A73" s="15" t="s">
        <v>633</v>
      </c>
      <c r="B73" s="17" t="n">
        <v>2973</v>
      </c>
      <c r="C73" s="18">
        <f>(2330.0/B73*100)</f>
        <v/>
      </c>
      <c r="D73" s="19" t="n">
        <v>643</v>
      </c>
      <c r="E73" s="18" t="n">
        <v>15.27837606</v>
      </c>
      <c r="F73" s="20" t="n">
        <v>1.65152722</v>
      </c>
      <c r="G73" s="18" t="n">
        <v>83.34084932</v>
      </c>
      <c r="H73" s="20" t="n">
        <v>1.71967859</v>
      </c>
      <c r="I73" s="18" t="n">
        <v>0</v>
      </c>
      <c r="J73" s="20" t="n">
        <v>0</v>
      </c>
      <c r="K73" s="18" t="n">
        <v>0.33736677</v>
      </c>
      <c r="L73" s="20" t="n">
        <v>0.23879556</v>
      </c>
      <c r="M73" s="18" t="n">
        <v>0</v>
      </c>
      <c r="N73" s="20" t="n">
        <v>0</v>
      </c>
      <c r="O73" s="18" t="n">
        <v>0</v>
      </c>
      <c r="P73" s="20" t="n">
        <v>0</v>
      </c>
      <c r="Q73" s="18" t="n">
        <v>1.04340785</v>
      </c>
      <c r="R73" s="20" t="n">
        <v>0.43413031</v>
      </c>
    </row>
    <row r="74" spans="1:18">
      <c r="A74" s="15" t="s">
        <v>634</v>
      </c>
      <c r="B74" s="17" t="n">
        <v>3819</v>
      </c>
      <c r="C74" s="18">
        <f>(2978.0/B74*100)</f>
        <v/>
      </c>
      <c r="D74" s="19" t="n">
        <v>841</v>
      </c>
      <c r="E74" s="18" t="n">
        <v>12.87625583</v>
      </c>
      <c r="F74" s="20" t="n">
        <v>1.35968584</v>
      </c>
      <c r="G74" s="18" t="n">
        <v>86.6189279</v>
      </c>
      <c r="H74" s="20" t="n">
        <v>1.37030434</v>
      </c>
      <c r="I74" s="18" t="n">
        <v>0</v>
      </c>
      <c r="J74" s="20" t="n">
        <v>0</v>
      </c>
      <c r="K74" s="18" t="n">
        <v>0</v>
      </c>
      <c r="L74" s="20" t="n">
        <v>0</v>
      </c>
      <c r="M74" s="18" t="n">
        <v>0</v>
      </c>
      <c r="N74" s="20" t="n">
        <v>0</v>
      </c>
      <c r="O74" s="18" t="n">
        <v>0</v>
      </c>
      <c r="P74" s="20" t="n">
        <v>0</v>
      </c>
      <c r="Q74" s="18" t="n">
        <v>0.50481627</v>
      </c>
      <c r="R74" s="20" t="n">
        <v>0.20580318</v>
      </c>
    </row>
    <row r="75" spans="1:18">
      <c r="A75" s="15" t="s">
        <v>635</v>
      </c>
      <c r="B75" s="17" t="n">
        <v>4652</v>
      </c>
      <c r="C75" s="18">
        <f>(3652.0/B75*100)</f>
        <v/>
      </c>
      <c r="D75" s="19" t="n">
        <v>1000</v>
      </c>
      <c r="E75" s="18" t="n">
        <v>35.78079742</v>
      </c>
      <c r="F75" s="20" t="n">
        <v>1.96481596</v>
      </c>
      <c r="G75" s="18" t="n">
        <v>61.72363976</v>
      </c>
      <c r="H75" s="20" t="n">
        <v>1.93594679</v>
      </c>
      <c r="I75" s="18" t="n">
        <v>0</v>
      </c>
      <c r="J75" s="20" t="n">
        <v>0</v>
      </c>
      <c r="K75" s="18" t="n">
        <v>0</v>
      </c>
      <c r="L75" s="20" t="n">
        <v>0</v>
      </c>
      <c r="M75" s="18" t="n">
        <v>0</v>
      </c>
      <c r="N75" s="20" t="n">
        <v>0</v>
      </c>
      <c r="O75" s="18" t="n">
        <v>0</v>
      </c>
      <c r="P75" s="20" t="n">
        <v>0</v>
      </c>
      <c r="Q75" s="18" t="n">
        <v>2.49556282</v>
      </c>
      <c r="R75" s="20" t="n">
        <v>0.61662445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(2388.0/B77*100)</f>
        <v/>
      </c>
      <c r="D77" s="19" t="n">
        <v>581</v>
      </c>
      <c r="E77" s="18" t="n">
        <v>47.43840715</v>
      </c>
      <c r="F77" s="20" t="n">
        <v>1.98388063</v>
      </c>
      <c r="G77" s="18" t="n">
        <v>44.30602167</v>
      </c>
      <c r="H77" s="20" t="n">
        <v>2.23779283</v>
      </c>
      <c r="I77" s="18" t="n">
        <v>0</v>
      </c>
      <c r="J77" s="20" t="n">
        <v>0</v>
      </c>
      <c r="K77" s="18" t="n">
        <v>2.00804362</v>
      </c>
      <c r="L77" s="20" t="n">
        <v>0.5727754900000001</v>
      </c>
      <c r="M77" s="18" t="n">
        <v>0</v>
      </c>
      <c r="N77" s="20" t="n">
        <v>0</v>
      </c>
      <c r="O77" s="18" t="n">
        <v>0</v>
      </c>
      <c r="P77" s="20" t="n">
        <v>0</v>
      </c>
      <c r="Q77" s="18" t="n">
        <v>6.24752756</v>
      </c>
      <c r="R77" s="20" t="n">
        <v>1.08697355</v>
      </c>
    </row>
    <row r="78" spans="1:18">
      <c r="A78" s="15" t="s">
        <v>638</v>
      </c>
      <c r="B78" s="17" t="n">
        <v>7115</v>
      </c>
      <c r="C78" s="18">
        <f>(5564.0/B78*100)</f>
        <v/>
      </c>
      <c r="D78" s="19" t="n">
        <v>1551</v>
      </c>
      <c r="E78" s="18" t="n">
        <v>28.11634619</v>
      </c>
      <c r="F78" s="20" t="n">
        <v>1.73754281</v>
      </c>
      <c r="G78" s="18" t="n">
        <v>69.23867018</v>
      </c>
      <c r="H78" s="20" t="n">
        <v>2.03038964</v>
      </c>
      <c r="I78" s="18" t="n">
        <v>0</v>
      </c>
      <c r="J78" s="20" t="n">
        <v>0</v>
      </c>
      <c r="K78" s="18" t="n">
        <v>0.24241639</v>
      </c>
      <c r="L78" s="20" t="n">
        <v>0.12085354</v>
      </c>
      <c r="M78" s="18" t="n">
        <v>0</v>
      </c>
      <c r="N78" s="20" t="n">
        <v>0</v>
      </c>
      <c r="O78" s="18" t="n">
        <v>0</v>
      </c>
      <c r="P78" s="20" t="n">
        <v>0</v>
      </c>
      <c r="Q78" s="18" t="n">
        <v>2.40256725</v>
      </c>
      <c r="R78" s="20" t="n">
        <v>0.58130084</v>
      </c>
    </row>
    <row r="79" spans="1:18">
      <c r="A79" s="15" t="s">
        <v>639</v>
      </c>
      <c r="B79" s="17" t="n">
        <v>3154</v>
      </c>
      <c r="C79" s="18">
        <f>(2459.0/B79*100)</f>
        <v/>
      </c>
      <c r="D79" s="19" t="n">
        <v>695</v>
      </c>
      <c r="E79" s="18" t="n">
        <v>29.39956108</v>
      </c>
      <c r="F79" s="20" t="n">
        <v>1.56278136</v>
      </c>
      <c r="G79" s="18" t="n">
        <v>65.92173421</v>
      </c>
      <c r="H79" s="20" t="n">
        <v>1.7619575</v>
      </c>
      <c r="I79" s="18" t="n">
        <v>0</v>
      </c>
      <c r="J79" s="20" t="n">
        <v>0</v>
      </c>
      <c r="K79" s="18" t="n">
        <v>0.15610446</v>
      </c>
      <c r="L79" s="20" t="n">
        <v>0.13700875</v>
      </c>
      <c r="M79" s="18" t="n">
        <v>0</v>
      </c>
      <c r="N79" s="20" t="n">
        <v>0</v>
      </c>
      <c r="O79" s="18" t="n">
        <v>0</v>
      </c>
      <c r="P79" s="20" t="n">
        <v>0</v>
      </c>
      <c r="Q79" s="18" t="n">
        <v>4.52260025</v>
      </c>
      <c r="R79" s="20" t="n">
        <v>0.94458704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(12437.0/B82*100)</f>
        <v/>
      </c>
      <c r="D82" s="19" t="n">
        <v>3524</v>
      </c>
      <c r="E82" s="18" t="n">
        <v>20.25959216</v>
      </c>
      <c r="F82" s="20" t="n">
        <v>0.90039524</v>
      </c>
      <c r="G82" s="18" t="n">
        <v>78.39135776000001</v>
      </c>
      <c r="H82" s="20" t="n">
        <v>0.98987463</v>
      </c>
      <c r="I82" s="18" t="n">
        <v>0</v>
      </c>
      <c r="J82" s="20" t="n">
        <v>0</v>
      </c>
      <c r="K82" s="18" t="n">
        <v>0.09868903</v>
      </c>
      <c r="L82" s="20" t="n">
        <v>0.09170534</v>
      </c>
      <c r="M82" s="18" t="n">
        <v>0</v>
      </c>
      <c r="N82" s="20" t="n">
        <v>0</v>
      </c>
      <c r="O82" s="18" t="n">
        <v>0</v>
      </c>
      <c r="P82" s="20" t="n">
        <v>0</v>
      </c>
      <c r="Q82" s="18" t="n">
        <v>1.25036105</v>
      </c>
      <c r="R82" s="20" t="n">
        <v>0.28404461</v>
      </c>
    </row>
    <row r="83" spans="1:18">
      <c r="A83" s="15" t="s">
        <v>643</v>
      </c>
      <c r="B83" s="17" t="n">
        <v>808</v>
      </c>
      <c r="C83" s="18">
        <f>(633.0/B83*100)</f>
        <v/>
      </c>
      <c r="D83" s="19" t="n">
        <v>175</v>
      </c>
      <c r="E83" s="18" t="n">
        <v>9.50760753</v>
      </c>
      <c r="F83" s="20" t="n">
        <v>2.30094731</v>
      </c>
      <c r="G83" s="18" t="n">
        <v>89.16161033</v>
      </c>
      <c r="H83" s="20" t="n">
        <v>2.33299165</v>
      </c>
      <c r="I83" s="18" t="n">
        <v>0</v>
      </c>
      <c r="J83" s="20" t="n">
        <v>0</v>
      </c>
      <c r="K83" s="18" t="n">
        <v>0</v>
      </c>
      <c r="L83" s="20" t="n">
        <v>0</v>
      </c>
      <c r="M83" s="18" t="n">
        <v>0</v>
      </c>
      <c r="N83" s="20" t="n">
        <v>0</v>
      </c>
      <c r="O83" s="18" t="n">
        <v>0</v>
      </c>
      <c r="P83" s="20" t="n">
        <v>0</v>
      </c>
      <c r="Q83" s="18" t="n">
        <v>1.33078214</v>
      </c>
      <c r="R83" s="20" t="n">
        <v>0.82912058</v>
      </c>
    </row>
    <row r="84" spans="1:18">
      <c r="A84" s="23" t="s">
        <v>644</v>
      </c>
      <c r="B84" s="24" t="n">
        <v>938</v>
      </c>
      <c r="C84" s="25">
        <f>(739.0/B84*100)</f>
        <v/>
      </c>
      <c r="D84" s="19" t="n">
        <v>199</v>
      </c>
      <c r="E84" s="18" t="n">
        <v>14.81710309</v>
      </c>
      <c r="F84" s="20" t="n">
        <v>2.42395601</v>
      </c>
      <c r="G84" s="18" t="n">
        <v>83.65655914</v>
      </c>
      <c r="H84" s="20" t="n">
        <v>2.66970901</v>
      </c>
      <c r="I84" s="18" t="n">
        <v>0</v>
      </c>
      <c r="J84" s="20" t="n">
        <v>0</v>
      </c>
      <c r="K84" s="18" t="n">
        <v>0</v>
      </c>
      <c r="L84" s="20" t="n">
        <v>0</v>
      </c>
      <c r="M84" s="18" t="n">
        <v>0</v>
      </c>
      <c r="N84" s="20" t="n">
        <v>0</v>
      </c>
      <c r="O84" s="18" t="n">
        <v>0</v>
      </c>
      <c r="P84" s="20" t="n">
        <v>0</v>
      </c>
      <c r="Q84" s="18" t="n">
        <v>1.52633777</v>
      </c>
      <c r="R84" s="20" t="n">
        <v>0.88373641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(5595.0/B7*100)</f>
        <v/>
      </c>
      <c r="D7" s="19" t="n">
        <v>1568</v>
      </c>
      <c r="E7" s="18" t="n">
        <v>49.17066974</v>
      </c>
      <c r="F7" s="20" t="n">
        <v>1.647829</v>
      </c>
      <c r="G7" s="18" t="n">
        <v>49.95342189</v>
      </c>
      <c r="H7" s="20" t="n">
        <v>1.62224814</v>
      </c>
      <c r="I7" s="18" t="n">
        <v>0</v>
      </c>
      <c r="J7" s="20" t="n">
        <v>0</v>
      </c>
      <c r="K7" s="18" t="n">
        <v>0.26651076</v>
      </c>
      <c r="L7" s="20" t="n">
        <v>0.19672335</v>
      </c>
      <c r="M7" s="18" t="n">
        <v>0</v>
      </c>
      <c r="N7" s="20" t="n">
        <v>0</v>
      </c>
      <c r="O7" s="18" t="n">
        <v>0</v>
      </c>
      <c r="P7" s="20" t="n">
        <v>0</v>
      </c>
      <c r="Q7" s="18" t="n">
        <v>0.6093976</v>
      </c>
      <c r="R7" s="20" t="n">
        <v>0.20269682</v>
      </c>
    </row>
    <row r="8" spans="1:18">
      <c r="A8" s="15" t="s">
        <v>566</v>
      </c>
      <c r="B8" s="17" t="n">
        <v>3443</v>
      </c>
      <c r="C8" s="18">
        <f>(2725.0/B8*100)</f>
        <v/>
      </c>
      <c r="D8" s="19" t="n">
        <v>718</v>
      </c>
      <c r="E8" s="18" t="n">
        <v>62.11719666</v>
      </c>
      <c r="F8" s="20" t="n">
        <v>1.7493066</v>
      </c>
      <c r="G8" s="18" t="n">
        <v>37.10695741</v>
      </c>
      <c r="H8" s="20" t="n">
        <v>1.74222677</v>
      </c>
      <c r="I8" s="18" t="n">
        <v>0</v>
      </c>
      <c r="J8" s="20" t="n">
        <v>0</v>
      </c>
      <c r="K8" s="18" t="n">
        <v>0</v>
      </c>
      <c r="L8" s="20" t="n">
        <v>0</v>
      </c>
      <c r="M8" s="18" t="n">
        <v>0</v>
      </c>
      <c r="N8" s="20" t="n">
        <v>0</v>
      </c>
      <c r="O8" s="18" t="n">
        <v>0</v>
      </c>
      <c r="P8" s="20" t="n">
        <v>0</v>
      </c>
      <c r="Q8" s="18" t="n">
        <v>0.77584593</v>
      </c>
      <c r="R8" s="20" t="n">
        <v>0.48575964</v>
      </c>
    </row>
    <row r="9" spans="1:18">
      <c r="A9" s="15" t="s">
        <v>567</v>
      </c>
      <c r="B9" s="17" t="n">
        <v>4752</v>
      </c>
      <c r="C9" s="18">
        <f>(3715.0/B9*100)</f>
        <v/>
      </c>
      <c r="D9" s="19" t="n">
        <v>1037</v>
      </c>
      <c r="E9" s="18" t="n">
        <v>44.38091266</v>
      </c>
      <c r="F9" s="20" t="n">
        <v>1.80989664</v>
      </c>
      <c r="G9" s="18" t="n">
        <v>54.84590214</v>
      </c>
      <c r="H9" s="20" t="n">
        <v>1.83371196</v>
      </c>
      <c r="I9" s="18" t="n">
        <v>0</v>
      </c>
      <c r="J9" s="20" t="n">
        <v>0</v>
      </c>
      <c r="K9" s="18" t="n">
        <v>0.19532928</v>
      </c>
      <c r="L9" s="20" t="n">
        <v>0.14267292</v>
      </c>
      <c r="M9" s="18" t="n">
        <v>0</v>
      </c>
      <c r="N9" s="20" t="n">
        <v>0</v>
      </c>
      <c r="O9" s="18" t="n">
        <v>0</v>
      </c>
      <c r="P9" s="20" t="n">
        <v>0</v>
      </c>
      <c r="Q9" s="18" t="n">
        <v>0.57785592</v>
      </c>
      <c r="R9" s="20" t="n">
        <v>0.23272529</v>
      </c>
    </row>
    <row r="10" spans="1:18">
      <c r="A10" s="15" t="s">
        <v>568</v>
      </c>
      <c r="B10" s="17" t="n">
        <v>10022</v>
      </c>
      <c r="C10" s="18">
        <f>(7849.0/B10*100)</f>
        <v/>
      </c>
      <c r="D10" s="19" t="n">
        <v>2173</v>
      </c>
      <c r="E10" s="18" t="n">
        <v>44.02861488</v>
      </c>
      <c r="F10" s="20" t="n">
        <v>1.4653034</v>
      </c>
      <c r="G10" s="18" t="n">
        <v>55.41474277</v>
      </c>
      <c r="H10" s="20" t="n">
        <v>1.47090931</v>
      </c>
      <c r="I10" s="18" t="n">
        <v>0</v>
      </c>
      <c r="J10" s="20" t="n">
        <v>0</v>
      </c>
      <c r="K10" s="18" t="n">
        <v>0.16315366</v>
      </c>
      <c r="L10" s="20" t="n">
        <v>0.1315485</v>
      </c>
      <c r="M10" s="18" t="n">
        <v>0</v>
      </c>
      <c r="N10" s="20" t="n">
        <v>0</v>
      </c>
      <c r="O10" s="18" t="n">
        <v>0</v>
      </c>
      <c r="P10" s="20" t="n">
        <v>0</v>
      </c>
      <c r="Q10" s="18" t="n">
        <v>0.3934887</v>
      </c>
      <c r="R10" s="20" t="n">
        <v>0.17612085</v>
      </c>
    </row>
    <row r="11" spans="1:18">
      <c r="A11" s="15" t="s">
        <v>569</v>
      </c>
      <c r="B11" s="17" t="n">
        <v>3500</v>
      </c>
      <c r="C11" s="18">
        <f>(2765.0/B11*100)</f>
        <v/>
      </c>
      <c r="D11" s="19" t="n">
        <v>735</v>
      </c>
      <c r="E11" s="18" t="n">
        <v>70.87758511</v>
      </c>
      <c r="F11" s="20" t="n">
        <v>2.0163784</v>
      </c>
      <c r="G11" s="18" t="n">
        <v>28.02982656</v>
      </c>
      <c r="H11" s="20" t="n">
        <v>1.96292176</v>
      </c>
      <c r="I11" s="18" t="n">
        <v>0</v>
      </c>
      <c r="J11" s="20" t="n">
        <v>0</v>
      </c>
      <c r="K11" s="18" t="n">
        <v>0.11201801</v>
      </c>
      <c r="L11" s="20" t="n">
        <v>0.1089503</v>
      </c>
      <c r="M11" s="18" t="n">
        <v>0</v>
      </c>
      <c r="N11" s="20" t="n">
        <v>0</v>
      </c>
      <c r="O11" s="18" t="n">
        <v>0</v>
      </c>
      <c r="P11" s="20" t="n">
        <v>0</v>
      </c>
      <c r="Q11" s="18" t="n">
        <v>0.98057032</v>
      </c>
      <c r="R11" s="20" t="n">
        <v>0.38229436</v>
      </c>
    </row>
    <row r="12" spans="1:18">
      <c r="A12" s="15" t="s">
        <v>570</v>
      </c>
      <c r="B12" s="17" t="n">
        <v>3422</v>
      </c>
      <c r="C12" s="18">
        <f>(2654.0/B12*100)</f>
        <v/>
      </c>
      <c r="D12" s="19" t="n">
        <v>768</v>
      </c>
      <c r="E12" s="18" t="n">
        <v>57.00468339</v>
      </c>
      <c r="F12" s="20" t="n">
        <v>1.95976662</v>
      </c>
      <c r="G12" s="18" t="n">
        <v>41.66834779</v>
      </c>
      <c r="H12" s="20" t="n">
        <v>1.99606568</v>
      </c>
      <c r="I12" s="18" t="n">
        <v>0</v>
      </c>
      <c r="J12" s="20" t="n">
        <v>0</v>
      </c>
      <c r="K12" s="18" t="n">
        <v>0.41054241</v>
      </c>
      <c r="L12" s="20" t="n">
        <v>0.31341768</v>
      </c>
      <c r="M12" s="18" t="n">
        <v>0</v>
      </c>
      <c r="N12" s="20" t="n">
        <v>0</v>
      </c>
      <c r="O12" s="18" t="n">
        <v>0</v>
      </c>
      <c r="P12" s="20" t="n">
        <v>0</v>
      </c>
      <c r="Q12" s="18" t="n">
        <v>0.9164264</v>
      </c>
      <c r="R12" s="20" t="n">
        <v>0.37058253</v>
      </c>
    </row>
    <row r="13" spans="1:18">
      <c r="A13" s="15" t="s">
        <v>571</v>
      </c>
      <c r="B13" s="17" t="n">
        <v>3602</v>
      </c>
      <c r="C13" s="18">
        <f>(2835.0/B13*100)</f>
        <v/>
      </c>
      <c r="D13" s="19" t="n">
        <v>767</v>
      </c>
      <c r="E13" s="18" t="n">
        <v>54.56762071</v>
      </c>
      <c r="F13" s="20" t="n">
        <v>2.15787955</v>
      </c>
      <c r="G13" s="18" t="n">
        <v>44.63884733</v>
      </c>
      <c r="H13" s="20" t="n">
        <v>2.22811238</v>
      </c>
      <c r="I13" s="18" t="n">
        <v>0</v>
      </c>
      <c r="J13" s="20" t="n">
        <v>0</v>
      </c>
      <c r="K13" s="18" t="n">
        <v>0.13057964</v>
      </c>
      <c r="L13" s="20" t="n">
        <v>0.07482374</v>
      </c>
      <c r="M13" s="18" t="n">
        <v>0</v>
      </c>
      <c r="N13" s="20" t="n">
        <v>0</v>
      </c>
      <c r="O13" s="18" t="n">
        <v>0</v>
      </c>
      <c r="P13" s="20" t="n">
        <v>0</v>
      </c>
      <c r="Q13" s="18" t="n">
        <v>0.66295232</v>
      </c>
      <c r="R13" s="20" t="n">
        <v>0.31317319</v>
      </c>
    </row>
    <row r="14" spans="1:18">
      <c r="A14" s="15" t="s">
        <v>572</v>
      </c>
      <c r="B14" s="17" t="n">
        <v>2788</v>
      </c>
      <c r="C14" s="18">
        <f>(2182.0/B14*100)</f>
        <v/>
      </c>
      <c r="D14" s="19" t="n">
        <v>606</v>
      </c>
      <c r="E14" s="18" t="n">
        <v>42.56828535</v>
      </c>
      <c r="F14" s="20" t="n">
        <v>2.05595596</v>
      </c>
      <c r="G14" s="18" t="n">
        <v>57.07229691</v>
      </c>
      <c r="H14" s="20" t="n">
        <v>2.07951955</v>
      </c>
      <c r="I14" s="18" t="n">
        <v>0</v>
      </c>
      <c r="J14" s="20" t="n">
        <v>0</v>
      </c>
      <c r="K14" s="18" t="n">
        <v>0.35941774</v>
      </c>
      <c r="L14" s="20" t="n">
        <v>0.21039184</v>
      </c>
      <c r="M14" s="18" t="n">
        <v>0</v>
      </c>
      <c r="N14" s="20" t="n">
        <v>0</v>
      </c>
      <c r="O14" s="18" t="n">
        <v>0</v>
      </c>
      <c r="P14" s="20" t="n">
        <v>0</v>
      </c>
      <c r="Q14" s="18" t="n">
        <v>0</v>
      </c>
      <c r="R14" s="20" t="n">
        <v>0</v>
      </c>
    </row>
    <row r="15" spans="1:18">
      <c r="A15" s="15" t="s">
        <v>573</v>
      </c>
      <c r="B15" s="17" t="n">
        <v>2863</v>
      </c>
      <c r="C15" s="18">
        <f>(2249.0/B15*100)</f>
        <v/>
      </c>
      <c r="D15" s="19" t="n">
        <v>614</v>
      </c>
      <c r="E15" s="18" t="n">
        <v>48.87379383</v>
      </c>
      <c r="F15" s="20" t="n">
        <v>2.10336055</v>
      </c>
      <c r="G15" s="18" t="n">
        <v>50.76583648</v>
      </c>
      <c r="H15" s="20" t="n">
        <v>2.09993303</v>
      </c>
      <c r="I15" s="18" t="n">
        <v>0</v>
      </c>
      <c r="J15" s="20" t="n">
        <v>0</v>
      </c>
      <c r="K15" s="18" t="n">
        <v>0</v>
      </c>
      <c r="L15" s="20" t="n">
        <v>0</v>
      </c>
      <c r="M15" s="18" t="n">
        <v>0</v>
      </c>
      <c r="N15" s="20" t="n">
        <v>0</v>
      </c>
      <c r="O15" s="18" t="n">
        <v>0</v>
      </c>
      <c r="P15" s="20" t="n">
        <v>0</v>
      </c>
      <c r="Q15" s="18" t="n">
        <v>0.36036969</v>
      </c>
      <c r="R15" s="20" t="n">
        <v>0.26593559</v>
      </c>
    </row>
    <row r="16" spans="1:18">
      <c r="A16" s="15" t="s">
        <v>574</v>
      </c>
      <c r="B16" s="17" t="n">
        <v>3111</v>
      </c>
      <c r="C16" s="18">
        <f>(2443.0/B16*100)</f>
        <v/>
      </c>
      <c r="D16" s="19" t="n">
        <v>668</v>
      </c>
      <c r="E16" s="18" t="n">
        <v>45.12901989</v>
      </c>
      <c r="F16" s="20" t="n">
        <v>1.65908618</v>
      </c>
      <c r="G16" s="18" t="n">
        <v>53.09702137</v>
      </c>
      <c r="H16" s="20" t="n">
        <v>1.77024044</v>
      </c>
      <c r="I16" s="18" t="n">
        <v>0</v>
      </c>
      <c r="J16" s="20" t="n">
        <v>0</v>
      </c>
      <c r="K16" s="18" t="n">
        <v>0.14266818</v>
      </c>
      <c r="L16" s="20" t="n">
        <v>0.16320101</v>
      </c>
      <c r="M16" s="18" t="n">
        <v>0</v>
      </c>
      <c r="N16" s="20" t="n">
        <v>0</v>
      </c>
      <c r="O16" s="18" t="n">
        <v>0</v>
      </c>
      <c r="P16" s="20" t="n">
        <v>0</v>
      </c>
      <c r="Q16" s="18" t="n">
        <v>1.63129056</v>
      </c>
      <c r="R16" s="20" t="n">
        <v>0.6141564900000001</v>
      </c>
    </row>
    <row r="17" spans="1:18">
      <c r="A17" s="15" t="s">
        <v>575</v>
      </c>
      <c r="B17" s="17" t="n">
        <v>3197</v>
      </c>
      <c r="C17" s="18">
        <f>(2467.0/B17*100)</f>
        <v/>
      </c>
      <c r="D17" s="19" t="n">
        <v>730</v>
      </c>
      <c r="E17" s="18" t="n">
        <v>48.53747913</v>
      </c>
      <c r="F17" s="20" t="n">
        <v>1.95285189</v>
      </c>
      <c r="G17" s="18" t="n">
        <v>50.58924755</v>
      </c>
      <c r="H17" s="20" t="n">
        <v>1.98364667</v>
      </c>
      <c r="I17" s="18" t="n">
        <v>0</v>
      </c>
      <c r="J17" s="20" t="n">
        <v>0</v>
      </c>
      <c r="K17" s="18" t="n">
        <v>0</v>
      </c>
      <c r="L17" s="20" t="n">
        <v>0</v>
      </c>
      <c r="M17" s="18" t="n">
        <v>0</v>
      </c>
      <c r="N17" s="20" t="n">
        <v>0</v>
      </c>
      <c r="O17" s="18" t="n">
        <v>0</v>
      </c>
      <c r="P17" s="20" t="n">
        <v>0</v>
      </c>
      <c r="Q17" s="18" t="n">
        <v>0.87327332</v>
      </c>
      <c r="R17" s="20" t="n">
        <v>0.2549047</v>
      </c>
    </row>
    <row r="18" spans="1:18">
      <c r="A18" s="15" t="s">
        <v>576</v>
      </c>
      <c r="B18" s="17" t="n">
        <v>2706</v>
      </c>
      <c r="C18" s="18">
        <f>(2094.0/B18*100)</f>
        <v/>
      </c>
      <c r="D18" s="19" t="n">
        <v>612</v>
      </c>
      <c r="E18" s="18" t="n">
        <v>64.91018277000001</v>
      </c>
      <c r="F18" s="20" t="n">
        <v>2.25606023</v>
      </c>
      <c r="G18" s="18" t="n">
        <v>33.79600311</v>
      </c>
      <c r="H18" s="20" t="n">
        <v>2.3596387</v>
      </c>
      <c r="I18" s="18" t="n">
        <v>0</v>
      </c>
      <c r="J18" s="20" t="n">
        <v>0</v>
      </c>
      <c r="K18" s="18" t="n">
        <v>0</v>
      </c>
      <c r="L18" s="20" t="n">
        <v>0</v>
      </c>
      <c r="M18" s="18" t="n">
        <v>0</v>
      </c>
      <c r="N18" s="20" t="n">
        <v>0</v>
      </c>
      <c r="O18" s="18" t="n">
        <v>0</v>
      </c>
      <c r="P18" s="20" t="n">
        <v>0</v>
      </c>
      <c r="Q18" s="18" t="n">
        <v>1.29381412</v>
      </c>
      <c r="R18" s="20" t="n">
        <v>0.54688047</v>
      </c>
    </row>
    <row r="19" spans="1:18">
      <c r="A19" s="15" t="s">
        <v>577</v>
      </c>
      <c r="B19" s="17" t="n">
        <v>2850</v>
      </c>
      <c r="C19" s="18">
        <f>(2262.0/B19*100)</f>
        <v/>
      </c>
      <c r="D19" s="19" t="n">
        <v>588</v>
      </c>
      <c r="E19" s="18" t="n">
        <v>57.11939132</v>
      </c>
      <c r="F19" s="20" t="n">
        <v>2.18608238</v>
      </c>
      <c r="G19" s="18" t="n">
        <v>41.83306835</v>
      </c>
      <c r="H19" s="20" t="n">
        <v>2.23083709</v>
      </c>
      <c r="I19" s="18" t="n">
        <v>0</v>
      </c>
      <c r="J19" s="20" t="n">
        <v>0</v>
      </c>
      <c r="K19" s="18" t="n">
        <v>0.14517712</v>
      </c>
      <c r="L19" s="20" t="n">
        <v>0.10401898</v>
      </c>
      <c r="M19" s="18" t="n">
        <v>0</v>
      </c>
      <c r="N19" s="20" t="n">
        <v>0</v>
      </c>
      <c r="O19" s="18" t="n">
        <v>0</v>
      </c>
      <c r="P19" s="20" t="n">
        <v>0</v>
      </c>
      <c r="Q19" s="18" t="n">
        <v>0.90236321</v>
      </c>
      <c r="R19" s="20" t="n">
        <v>0.39671594</v>
      </c>
    </row>
    <row r="20" spans="1:18">
      <c r="A20" s="15" t="s">
        <v>578</v>
      </c>
      <c r="B20" s="17" t="n">
        <v>1741</v>
      </c>
      <c r="C20" s="18">
        <f>(1370.0/B20*100)</f>
        <v/>
      </c>
      <c r="D20" s="19" t="n">
        <v>371</v>
      </c>
      <c r="E20" s="18" t="n">
        <v>52.63460306</v>
      </c>
      <c r="F20" s="20" t="n">
        <v>2.51635214</v>
      </c>
      <c r="G20" s="18" t="n">
        <v>45.84411599</v>
      </c>
      <c r="H20" s="20" t="n">
        <v>2.49031903</v>
      </c>
      <c r="I20" s="18" t="n">
        <v>0</v>
      </c>
      <c r="J20" s="20" t="n">
        <v>0</v>
      </c>
      <c r="K20" s="18" t="n">
        <v>0</v>
      </c>
      <c r="L20" s="20" t="n">
        <v>0</v>
      </c>
      <c r="M20" s="18" t="n">
        <v>0</v>
      </c>
      <c r="N20" s="20" t="n">
        <v>0</v>
      </c>
      <c r="O20" s="18" t="n">
        <v>0</v>
      </c>
      <c r="P20" s="20" t="n">
        <v>0</v>
      </c>
      <c r="Q20" s="18" t="n">
        <v>1.52128095</v>
      </c>
      <c r="R20" s="20" t="n">
        <v>0.69220812</v>
      </c>
    </row>
    <row r="21" spans="1:18">
      <c r="A21" s="15" t="s">
        <v>579</v>
      </c>
      <c r="B21" s="17" t="n">
        <v>2833</v>
      </c>
      <c r="C21" s="18">
        <f>(2180.0/B21*100)</f>
        <v/>
      </c>
      <c r="D21" s="19" t="n">
        <v>653</v>
      </c>
      <c r="E21" s="18" t="n">
        <v>58.11945556</v>
      </c>
      <c r="F21" s="20" t="n">
        <v>2.09334015</v>
      </c>
      <c r="G21" s="18" t="n">
        <v>41.38420907</v>
      </c>
      <c r="H21" s="20" t="n">
        <v>2.0946597</v>
      </c>
      <c r="I21" s="18" t="n">
        <v>0</v>
      </c>
      <c r="J21" s="20" t="n">
        <v>0</v>
      </c>
      <c r="K21" s="18" t="n">
        <v>0</v>
      </c>
      <c r="L21" s="20" t="n">
        <v>0</v>
      </c>
      <c r="M21" s="18" t="n">
        <v>0</v>
      </c>
      <c r="N21" s="20" t="n">
        <v>0</v>
      </c>
      <c r="O21" s="18" t="n">
        <v>0</v>
      </c>
      <c r="P21" s="20" t="n">
        <v>0</v>
      </c>
      <c r="Q21" s="18" t="n">
        <v>0.49633536</v>
      </c>
      <c r="R21" s="20" t="n">
        <v>0.28635282</v>
      </c>
    </row>
    <row r="22" spans="1:18">
      <c r="A22" s="15" t="s">
        <v>580</v>
      </c>
      <c r="B22" s="17" t="n">
        <v>3667</v>
      </c>
      <c r="C22" s="18">
        <f>(2829.0/B22*100)</f>
        <v/>
      </c>
      <c r="D22" s="19" t="n">
        <v>838</v>
      </c>
      <c r="E22" s="18" t="n">
        <v>59.33357996</v>
      </c>
      <c r="F22" s="20" t="n">
        <v>1.99704806</v>
      </c>
      <c r="G22" s="18" t="n">
        <v>38.32099461</v>
      </c>
      <c r="H22" s="20" t="n">
        <v>1.99770678</v>
      </c>
      <c r="I22" s="18" t="n">
        <v>0</v>
      </c>
      <c r="J22" s="20" t="n">
        <v>0</v>
      </c>
      <c r="K22" s="18" t="n">
        <v>0.35615017</v>
      </c>
      <c r="L22" s="20" t="n">
        <v>0.20428347</v>
      </c>
      <c r="M22" s="18" t="n">
        <v>0</v>
      </c>
      <c r="N22" s="20" t="n">
        <v>0</v>
      </c>
      <c r="O22" s="18" t="n">
        <v>0</v>
      </c>
      <c r="P22" s="20" t="n">
        <v>0</v>
      </c>
      <c r="Q22" s="18" t="n">
        <v>1.98927526</v>
      </c>
      <c r="R22" s="20" t="n">
        <v>0.56349783</v>
      </c>
    </row>
    <row r="23" spans="1:18">
      <c r="A23" s="15" t="s">
        <v>581</v>
      </c>
      <c r="B23" s="17" t="n">
        <v>5792</v>
      </c>
      <c r="C23" s="18">
        <f>(4519.0/B23*100)</f>
        <v/>
      </c>
      <c r="D23" s="19" t="n">
        <v>1273</v>
      </c>
      <c r="E23" s="18" t="n">
        <v>63.25130982</v>
      </c>
      <c r="F23" s="20" t="n">
        <v>2.07923553</v>
      </c>
      <c r="G23" s="18" t="n">
        <v>35.30847895</v>
      </c>
      <c r="H23" s="20" t="n">
        <v>2.12715157</v>
      </c>
      <c r="I23" s="18" t="n">
        <v>0</v>
      </c>
      <c r="J23" s="20" t="n">
        <v>0</v>
      </c>
      <c r="K23" s="18" t="n">
        <v>0.14848481</v>
      </c>
      <c r="L23" s="20" t="n">
        <v>0.14716087</v>
      </c>
      <c r="M23" s="18" t="n">
        <v>0</v>
      </c>
      <c r="N23" s="20" t="n">
        <v>0</v>
      </c>
      <c r="O23" s="18" t="n">
        <v>0</v>
      </c>
      <c r="P23" s="20" t="n">
        <v>0</v>
      </c>
      <c r="Q23" s="18" t="n">
        <v>1.29172642</v>
      </c>
      <c r="R23" s="20" t="n">
        <v>0.45759399</v>
      </c>
    </row>
    <row r="24" spans="1:18">
      <c r="A24" s="15" t="s">
        <v>582</v>
      </c>
      <c r="B24" s="17" t="n">
        <v>3309</v>
      </c>
      <c r="C24" s="18">
        <f>(2531.0/B24*100)</f>
        <v/>
      </c>
      <c r="D24" s="19" t="n">
        <v>778</v>
      </c>
      <c r="E24" s="18" t="n">
        <v>38.28402765</v>
      </c>
      <c r="F24" s="20" t="n">
        <v>1.80149278</v>
      </c>
      <c r="G24" s="18" t="n">
        <v>61.13725776</v>
      </c>
      <c r="H24" s="20" t="n">
        <v>1.79780355</v>
      </c>
      <c r="I24" s="18" t="n">
        <v>0</v>
      </c>
      <c r="J24" s="20" t="n">
        <v>0</v>
      </c>
      <c r="K24" s="18" t="n">
        <v>0</v>
      </c>
      <c r="L24" s="20" t="n">
        <v>0</v>
      </c>
      <c r="M24" s="18" t="n">
        <v>0</v>
      </c>
      <c r="N24" s="20" t="n">
        <v>0</v>
      </c>
      <c r="O24" s="18" t="n">
        <v>0</v>
      </c>
      <c r="P24" s="20" t="n">
        <v>0</v>
      </c>
      <c r="Q24" s="18" t="n">
        <v>0.57871459</v>
      </c>
      <c r="R24" s="20" t="n">
        <v>0.28514481</v>
      </c>
    </row>
    <row r="25" spans="1:18">
      <c r="A25" s="15" t="s">
        <v>583</v>
      </c>
      <c r="B25" s="17" t="n">
        <v>2669</v>
      </c>
      <c r="C25" s="18">
        <f>(2087.0/B25*100)</f>
        <v/>
      </c>
      <c r="D25" s="19" t="n">
        <v>582</v>
      </c>
      <c r="E25" s="18" t="n">
        <v>42.78658254</v>
      </c>
      <c r="F25" s="20" t="n">
        <v>2.04635524</v>
      </c>
      <c r="G25" s="18" t="n">
        <v>56.36256653</v>
      </c>
      <c r="H25" s="20" t="n">
        <v>2.0792617</v>
      </c>
      <c r="I25" s="18" t="n">
        <v>0</v>
      </c>
      <c r="J25" s="20" t="n">
        <v>0</v>
      </c>
      <c r="K25" s="18" t="n">
        <v>0.16309914</v>
      </c>
      <c r="L25" s="20" t="n">
        <v>0.16277181</v>
      </c>
      <c r="M25" s="18" t="n">
        <v>0</v>
      </c>
      <c r="N25" s="20" t="n">
        <v>0</v>
      </c>
      <c r="O25" s="18" t="n">
        <v>0</v>
      </c>
      <c r="P25" s="20" t="n">
        <v>0</v>
      </c>
      <c r="Q25" s="18" t="n">
        <v>0.68775179</v>
      </c>
      <c r="R25" s="20" t="n">
        <v>0.35708378</v>
      </c>
    </row>
    <row r="26" spans="1:18">
      <c r="A26" s="15" t="s">
        <v>584</v>
      </c>
      <c r="B26" s="17" t="n">
        <v>2419</v>
      </c>
      <c r="C26" s="18">
        <f>(1894.0/B26*100)</f>
        <v/>
      </c>
      <c r="D26" s="19" t="n">
        <v>525</v>
      </c>
      <c r="E26" s="18" t="n">
        <v>51.76489027</v>
      </c>
      <c r="F26" s="20" t="n">
        <v>2.30184645</v>
      </c>
      <c r="G26" s="18" t="n">
        <v>47.91914363</v>
      </c>
      <c r="H26" s="20" t="n">
        <v>2.31142582</v>
      </c>
      <c r="I26" s="18" t="n">
        <v>0</v>
      </c>
      <c r="J26" s="20" t="n">
        <v>0</v>
      </c>
      <c r="K26" s="18" t="n">
        <v>0</v>
      </c>
      <c r="L26" s="20" t="n">
        <v>0</v>
      </c>
      <c r="M26" s="18" t="n">
        <v>0</v>
      </c>
      <c r="N26" s="20" t="n">
        <v>0</v>
      </c>
      <c r="O26" s="18" t="n">
        <v>0</v>
      </c>
      <c r="P26" s="20" t="n">
        <v>0</v>
      </c>
      <c r="Q26" s="18" t="n">
        <v>0.3159661</v>
      </c>
      <c r="R26" s="20" t="n">
        <v>0.2234518</v>
      </c>
    </row>
    <row r="27" spans="1:18">
      <c r="A27" s="15" t="s">
        <v>585</v>
      </c>
      <c r="B27" s="17" t="n">
        <v>2683</v>
      </c>
      <c r="C27" s="18">
        <f>(2055.0/B27*100)</f>
        <v/>
      </c>
      <c r="D27" s="19" t="n">
        <v>628</v>
      </c>
      <c r="E27" s="18" t="n">
        <v>59.10631067</v>
      </c>
      <c r="F27" s="20" t="n">
        <v>1.80562925</v>
      </c>
      <c r="G27" s="18" t="n">
        <v>39.9407664</v>
      </c>
      <c r="H27" s="20" t="n">
        <v>1.77702605</v>
      </c>
      <c r="I27" s="18" t="n">
        <v>0</v>
      </c>
      <c r="J27" s="20" t="n">
        <v>0</v>
      </c>
      <c r="K27" s="18" t="n">
        <v>0</v>
      </c>
      <c r="L27" s="20" t="n">
        <v>0</v>
      </c>
      <c r="M27" s="18" t="n">
        <v>0</v>
      </c>
      <c r="N27" s="20" t="n">
        <v>0</v>
      </c>
      <c r="O27" s="18" t="n">
        <v>0</v>
      </c>
      <c r="P27" s="20" t="n">
        <v>0</v>
      </c>
      <c r="Q27" s="18" t="n">
        <v>0.95292292</v>
      </c>
      <c r="R27" s="20" t="n">
        <v>0.31541799</v>
      </c>
    </row>
    <row r="28" spans="1:18">
      <c r="A28" s="15" t="s">
        <v>586</v>
      </c>
      <c r="B28" s="17" t="n">
        <v>3803</v>
      </c>
      <c r="C28" s="18">
        <f>(3025.0/B28*100)</f>
        <v/>
      </c>
      <c r="D28" s="19" t="n">
        <v>778</v>
      </c>
      <c r="E28" s="18" t="n">
        <v>78.29450654999999</v>
      </c>
      <c r="F28" s="20" t="n">
        <v>1.77802969</v>
      </c>
      <c r="G28" s="18" t="n">
        <v>20.76645495</v>
      </c>
      <c r="H28" s="20" t="n">
        <v>1.80689853</v>
      </c>
      <c r="I28" s="18" t="n">
        <v>0</v>
      </c>
      <c r="J28" s="20" t="n">
        <v>0</v>
      </c>
      <c r="K28" s="18" t="n">
        <v>0.3265655</v>
      </c>
      <c r="L28" s="20" t="n">
        <v>0.24585964</v>
      </c>
      <c r="M28" s="18" t="n">
        <v>0</v>
      </c>
      <c r="N28" s="20" t="n">
        <v>0</v>
      </c>
      <c r="O28" s="18" t="n">
        <v>0</v>
      </c>
      <c r="P28" s="20" t="n">
        <v>0</v>
      </c>
      <c r="Q28" s="18" t="n">
        <v>0.61247301</v>
      </c>
      <c r="R28" s="20" t="n">
        <v>0.27684763</v>
      </c>
    </row>
    <row r="29" spans="1:18">
      <c r="A29" s="15" t="s">
        <v>587</v>
      </c>
      <c r="B29" s="17" t="n">
        <v>2700</v>
      </c>
      <c r="C29" s="18">
        <f>(2118.0/B29*100)</f>
        <v/>
      </c>
      <c r="D29" s="19" t="n">
        <v>582</v>
      </c>
      <c r="E29" s="18" t="n">
        <v>50.01156554</v>
      </c>
      <c r="F29" s="20" t="n">
        <v>2.24583003</v>
      </c>
      <c r="G29" s="18" t="n">
        <v>49.60095731</v>
      </c>
      <c r="H29" s="20" t="n">
        <v>2.27170045</v>
      </c>
      <c r="I29" s="18" t="n">
        <v>0</v>
      </c>
      <c r="J29" s="20" t="n">
        <v>0</v>
      </c>
      <c r="K29" s="18" t="n">
        <v>0</v>
      </c>
      <c r="L29" s="20" t="n">
        <v>0</v>
      </c>
      <c r="M29" s="18" t="n">
        <v>0</v>
      </c>
      <c r="N29" s="20" t="n">
        <v>0</v>
      </c>
      <c r="O29" s="18" t="n">
        <v>0</v>
      </c>
      <c r="P29" s="20" t="n">
        <v>0</v>
      </c>
      <c r="Q29" s="18" t="n">
        <v>0.38747715</v>
      </c>
      <c r="R29" s="20" t="n">
        <v>0.25418582</v>
      </c>
    </row>
    <row r="30" spans="1:18">
      <c r="A30" s="15" t="s">
        <v>588</v>
      </c>
      <c r="B30" s="17" t="n">
        <v>2257</v>
      </c>
      <c r="C30" s="18">
        <f>(1784.0/B30*100)</f>
        <v/>
      </c>
      <c r="D30" s="19" t="n">
        <v>473</v>
      </c>
      <c r="E30" s="18" t="n">
        <v>50.53971108</v>
      </c>
      <c r="F30" s="20" t="n">
        <v>1.90617895</v>
      </c>
      <c r="G30" s="18" t="n">
        <v>49.03543406</v>
      </c>
      <c r="H30" s="20" t="n">
        <v>1.90752403</v>
      </c>
      <c r="I30" s="18" t="n">
        <v>0</v>
      </c>
      <c r="J30" s="20" t="n">
        <v>0</v>
      </c>
      <c r="K30" s="18" t="n">
        <v>0</v>
      </c>
      <c r="L30" s="20" t="n">
        <v>0</v>
      </c>
      <c r="M30" s="18" t="n">
        <v>0</v>
      </c>
      <c r="N30" s="20" t="n">
        <v>0</v>
      </c>
      <c r="O30" s="18" t="n">
        <v>0</v>
      </c>
      <c r="P30" s="20" t="n">
        <v>0</v>
      </c>
      <c r="Q30" s="18" t="n">
        <v>0.42485486</v>
      </c>
      <c r="R30" s="20" t="n">
        <v>0.28592176</v>
      </c>
    </row>
    <row r="31" spans="1:18">
      <c r="A31" s="15" t="s">
        <v>589</v>
      </c>
      <c r="B31" s="17" t="n">
        <v>2706</v>
      </c>
      <c r="C31" s="18">
        <f>(2114.0/B31*100)</f>
        <v/>
      </c>
      <c r="D31" s="19" t="n">
        <v>592</v>
      </c>
      <c r="E31" s="18" t="n">
        <v>50.60693944</v>
      </c>
      <c r="F31" s="20" t="n">
        <v>2.11889555</v>
      </c>
      <c r="G31" s="18" t="n">
        <v>48.06405397</v>
      </c>
      <c r="H31" s="20" t="n">
        <v>2.18279008</v>
      </c>
      <c r="I31" s="18" t="n">
        <v>0</v>
      </c>
      <c r="J31" s="20" t="n">
        <v>0</v>
      </c>
      <c r="K31" s="18" t="n">
        <v>0.31327453</v>
      </c>
      <c r="L31" s="20" t="n">
        <v>0.21515802</v>
      </c>
      <c r="M31" s="18" t="n">
        <v>0</v>
      </c>
      <c r="N31" s="20" t="n">
        <v>0</v>
      </c>
      <c r="O31" s="18" t="n">
        <v>0</v>
      </c>
      <c r="P31" s="20" t="n">
        <v>0</v>
      </c>
      <c r="Q31" s="18" t="n">
        <v>1.01573206</v>
      </c>
      <c r="R31" s="20" t="n">
        <v>0.44633511</v>
      </c>
    </row>
    <row r="32" spans="1:18">
      <c r="A32" s="15" t="s">
        <v>590</v>
      </c>
      <c r="B32" s="17" t="n">
        <v>2209</v>
      </c>
      <c r="C32" s="18">
        <f>(1756.0/B32*100)</f>
        <v/>
      </c>
      <c r="D32" s="19" t="n">
        <v>453</v>
      </c>
      <c r="E32" s="18" t="n">
        <v>48.25447697</v>
      </c>
      <c r="F32" s="20" t="n">
        <v>2.2816687</v>
      </c>
      <c r="G32" s="18" t="n">
        <v>51.33181851</v>
      </c>
      <c r="H32" s="20" t="n">
        <v>2.32727603</v>
      </c>
      <c r="I32" s="18" t="n">
        <v>0</v>
      </c>
      <c r="J32" s="20" t="n">
        <v>0</v>
      </c>
      <c r="K32" s="18" t="n">
        <v>0</v>
      </c>
      <c r="L32" s="20" t="n">
        <v>0</v>
      </c>
      <c r="M32" s="18" t="n">
        <v>0</v>
      </c>
      <c r="N32" s="20" t="n">
        <v>0</v>
      </c>
      <c r="O32" s="18" t="n">
        <v>0</v>
      </c>
      <c r="P32" s="20" t="n">
        <v>0</v>
      </c>
      <c r="Q32" s="18" t="n">
        <v>0.41370452</v>
      </c>
      <c r="R32" s="20" t="n">
        <v>0.28981765</v>
      </c>
    </row>
    <row r="33" spans="1:18">
      <c r="A33" s="15" t="s">
        <v>591</v>
      </c>
      <c r="B33" s="17" t="n">
        <v>3651</v>
      </c>
      <c r="C33" s="18">
        <f>(2904.0/B33*100)</f>
        <v/>
      </c>
      <c r="D33" s="19" t="n">
        <v>747</v>
      </c>
      <c r="E33" s="18" t="n">
        <v>52.8727013</v>
      </c>
      <c r="F33" s="20" t="n">
        <v>2.54316751</v>
      </c>
      <c r="G33" s="18" t="n">
        <v>46.92303993</v>
      </c>
      <c r="H33" s="20" t="n">
        <v>2.53521401</v>
      </c>
      <c r="I33" s="18" t="n">
        <v>0</v>
      </c>
      <c r="J33" s="20" t="n">
        <v>0</v>
      </c>
      <c r="K33" s="18" t="n">
        <v>0.1920446</v>
      </c>
      <c r="L33" s="20" t="n">
        <v>0.1918867</v>
      </c>
      <c r="M33" s="18" t="n">
        <v>0</v>
      </c>
      <c r="N33" s="20" t="n">
        <v>0</v>
      </c>
      <c r="O33" s="18" t="n">
        <v>0</v>
      </c>
      <c r="P33" s="20" t="n">
        <v>0</v>
      </c>
      <c r="Q33" s="18" t="n">
        <v>0.01221417</v>
      </c>
      <c r="R33" s="20" t="n">
        <v>0.01228208</v>
      </c>
    </row>
    <row r="34" spans="1:18">
      <c r="A34" s="15" t="s">
        <v>592</v>
      </c>
      <c r="B34" s="17" t="n">
        <v>3035</v>
      </c>
      <c r="C34" s="18">
        <f>(2376.0/B34*100)</f>
        <v/>
      </c>
      <c r="D34" s="19" t="n">
        <v>659</v>
      </c>
      <c r="E34" s="18" t="n">
        <v>61.63825566</v>
      </c>
      <c r="F34" s="20" t="n">
        <v>1.99301696</v>
      </c>
      <c r="G34" s="18" t="n">
        <v>37.0930629</v>
      </c>
      <c r="H34" s="20" t="n">
        <v>2.01050448</v>
      </c>
      <c r="I34" s="18" t="n">
        <v>0</v>
      </c>
      <c r="J34" s="20" t="n">
        <v>0</v>
      </c>
      <c r="K34" s="18" t="n">
        <v>0</v>
      </c>
      <c r="L34" s="20" t="n">
        <v>0</v>
      </c>
      <c r="M34" s="18" t="n">
        <v>0</v>
      </c>
      <c r="N34" s="20" t="n">
        <v>0</v>
      </c>
      <c r="O34" s="18" t="n">
        <v>0</v>
      </c>
      <c r="P34" s="20" t="n">
        <v>0</v>
      </c>
      <c r="Q34" s="18" t="n">
        <v>1.26868144</v>
      </c>
      <c r="R34" s="20" t="n">
        <v>0.58319243</v>
      </c>
    </row>
    <row r="35" spans="1:18">
      <c r="A35" s="15" t="s">
        <v>593</v>
      </c>
      <c r="B35" s="17" t="n">
        <v>2901</v>
      </c>
      <c r="C35" s="18">
        <f>(2247.0/B35*100)</f>
        <v/>
      </c>
      <c r="D35" s="19" t="n">
        <v>654</v>
      </c>
      <c r="E35" s="18" t="n">
        <v>47.13503419</v>
      </c>
      <c r="F35" s="20" t="n">
        <v>2.21449121</v>
      </c>
      <c r="G35" s="18" t="n">
        <v>52.14152587</v>
      </c>
      <c r="H35" s="20" t="n">
        <v>2.16427175</v>
      </c>
      <c r="I35" s="18" t="n">
        <v>0</v>
      </c>
      <c r="J35" s="20" t="n">
        <v>0</v>
      </c>
      <c r="K35" s="18" t="n">
        <v>0</v>
      </c>
      <c r="L35" s="20" t="n">
        <v>0</v>
      </c>
      <c r="M35" s="18" t="n">
        <v>0</v>
      </c>
      <c r="N35" s="20" t="n">
        <v>0</v>
      </c>
      <c r="O35" s="18" t="n">
        <v>0</v>
      </c>
      <c r="P35" s="20" t="n">
        <v>0</v>
      </c>
      <c r="Q35" s="18" t="n">
        <v>0.72343994</v>
      </c>
      <c r="R35" s="20" t="n">
        <v>0.34093992</v>
      </c>
    </row>
    <row r="36" spans="1:18">
      <c r="A36" s="15" t="s">
        <v>594</v>
      </c>
      <c r="B36" s="17" t="n">
        <v>3404</v>
      </c>
      <c r="C36" s="18">
        <f>(2668.0/B36*100)</f>
        <v/>
      </c>
      <c r="D36" s="19" t="n">
        <v>736</v>
      </c>
      <c r="E36" s="18" t="n">
        <v>57.94395172</v>
      </c>
      <c r="F36" s="20" t="n">
        <v>2.08370041</v>
      </c>
      <c r="G36" s="18" t="n">
        <v>41.03472688</v>
      </c>
      <c r="H36" s="20" t="n">
        <v>2.09799557</v>
      </c>
      <c r="I36" s="18" t="n">
        <v>0</v>
      </c>
      <c r="J36" s="20" t="n">
        <v>0</v>
      </c>
      <c r="K36" s="18" t="n">
        <v>0.16915657</v>
      </c>
      <c r="L36" s="20" t="n">
        <v>0.17702104</v>
      </c>
      <c r="M36" s="18" t="n">
        <v>0</v>
      </c>
      <c r="N36" s="20" t="n">
        <v>0</v>
      </c>
      <c r="O36" s="18" t="n">
        <v>0</v>
      </c>
      <c r="P36" s="20" t="n">
        <v>0</v>
      </c>
      <c r="Q36" s="18" t="n">
        <v>0.85216483</v>
      </c>
      <c r="R36" s="20" t="n">
        <v>0.34311279</v>
      </c>
    </row>
    <row r="37" spans="1:18">
      <c r="A37" s="15" t="s">
        <v>595</v>
      </c>
      <c r="B37" s="17" t="n">
        <v>2731</v>
      </c>
      <c r="C37" s="18">
        <f>(2133.0/B37*100)</f>
        <v/>
      </c>
      <c r="D37" s="19" t="n">
        <v>598</v>
      </c>
      <c r="E37" s="18" t="n">
        <v>56.96892352</v>
      </c>
      <c r="F37" s="20" t="n">
        <v>2.06896052</v>
      </c>
      <c r="G37" s="18" t="n">
        <v>41.27093612</v>
      </c>
      <c r="H37" s="20" t="n">
        <v>2.24283122</v>
      </c>
      <c r="I37" s="18" t="n">
        <v>0</v>
      </c>
      <c r="J37" s="20" t="n">
        <v>0</v>
      </c>
      <c r="K37" s="18" t="n">
        <v>0.14458742</v>
      </c>
      <c r="L37" s="20" t="n">
        <v>0.14357403</v>
      </c>
      <c r="M37" s="18" t="n">
        <v>0</v>
      </c>
      <c r="N37" s="20" t="n">
        <v>0</v>
      </c>
      <c r="O37" s="18" t="n">
        <v>0</v>
      </c>
      <c r="P37" s="20" t="n">
        <v>0</v>
      </c>
      <c r="Q37" s="18" t="n">
        <v>1.61555293</v>
      </c>
      <c r="R37" s="20" t="n">
        <v>0.477932</v>
      </c>
    </row>
    <row r="38" spans="1:18">
      <c r="A38" s="15" t="s">
        <v>596</v>
      </c>
      <c r="B38" s="17" t="n">
        <v>2807</v>
      </c>
      <c r="C38" s="18">
        <f>(2165.0/B38*100)</f>
        <v/>
      </c>
      <c r="D38" s="19" t="n">
        <v>642</v>
      </c>
      <c r="E38" s="18" t="n">
        <v>49.4427163</v>
      </c>
      <c r="F38" s="20" t="n">
        <v>2.49862206</v>
      </c>
      <c r="G38" s="18" t="n">
        <v>49.31207692</v>
      </c>
      <c r="H38" s="20" t="n">
        <v>2.5679645</v>
      </c>
      <c r="I38" s="18" t="n">
        <v>0</v>
      </c>
      <c r="J38" s="20" t="n">
        <v>0</v>
      </c>
      <c r="K38" s="18" t="n">
        <v>0.03034753</v>
      </c>
      <c r="L38" s="20" t="n">
        <v>0.02942735</v>
      </c>
      <c r="M38" s="18" t="n">
        <v>0</v>
      </c>
      <c r="N38" s="20" t="n">
        <v>0</v>
      </c>
      <c r="O38" s="18" t="n">
        <v>0</v>
      </c>
      <c r="P38" s="20" t="n">
        <v>0</v>
      </c>
      <c r="Q38" s="18" t="n">
        <v>1.21485924</v>
      </c>
      <c r="R38" s="20" t="n">
        <v>0.47376737</v>
      </c>
    </row>
    <row r="39" spans="1:18">
      <c r="A39" s="15" t="s">
        <v>597</v>
      </c>
      <c r="B39" s="17" t="n">
        <v>2938</v>
      </c>
      <c r="C39" s="18">
        <f>(2274.0/B39*100)</f>
        <v/>
      </c>
      <c r="D39" s="19" t="n">
        <v>664</v>
      </c>
      <c r="E39" s="18" t="n">
        <v>76.32976218</v>
      </c>
      <c r="F39" s="20" t="n">
        <v>2.37847022</v>
      </c>
      <c r="G39" s="18" t="n">
        <v>22.98736903</v>
      </c>
      <c r="H39" s="20" t="n">
        <v>2.4329546</v>
      </c>
      <c r="I39" s="18" t="n">
        <v>0</v>
      </c>
      <c r="J39" s="20" t="n">
        <v>0</v>
      </c>
      <c r="K39" s="18" t="n">
        <v>0</v>
      </c>
      <c r="L39" s="20" t="n">
        <v>0</v>
      </c>
      <c r="M39" s="18" t="n">
        <v>0</v>
      </c>
      <c r="N39" s="20" t="n">
        <v>0</v>
      </c>
      <c r="O39" s="18" t="n">
        <v>0</v>
      </c>
      <c r="P39" s="20" t="n">
        <v>0</v>
      </c>
      <c r="Q39" s="18" t="n">
        <v>0.68286879</v>
      </c>
      <c r="R39" s="20" t="n">
        <v>0.3963086</v>
      </c>
    </row>
    <row r="40" spans="1:18">
      <c r="A40" s="15" t="s">
        <v>598</v>
      </c>
      <c r="B40" s="17" t="n">
        <v>6922</v>
      </c>
      <c r="C40" s="18">
        <f>(5472.0/B40*100)</f>
        <v/>
      </c>
      <c r="D40" s="19" t="n">
        <v>1450</v>
      </c>
      <c r="E40" s="18" t="n">
        <v>47.04496543</v>
      </c>
      <c r="F40" s="20" t="n">
        <v>2.04740875</v>
      </c>
      <c r="G40" s="18" t="n">
        <v>52.31359712</v>
      </c>
      <c r="H40" s="20" t="n">
        <v>2.08255312</v>
      </c>
      <c r="I40" s="18" t="n">
        <v>0</v>
      </c>
      <c r="J40" s="20" t="n">
        <v>0</v>
      </c>
      <c r="K40" s="18" t="n">
        <v>0.06571174</v>
      </c>
      <c r="L40" s="20" t="n">
        <v>0.03790973</v>
      </c>
      <c r="M40" s="18" t="n">
        <v>0</v>
      </c>
      <c r="N40" s="20" t="n">
        <v>0</v>
      </c>
      <c r="O40" s="18" t="n">
        <v>0</v>
      </c>
      <c r="P40" s="20" t="n">
        <v>0</v>
      </c>
      <c r="Q40" s="18" t="n">
        <v>0.5757257099999999</v>
      </c>
      <c r="R40" s="20" t="n">
        <v>0.30167824</v>
      </c>
    </row>
    <row r="41" spans="1:18">
      <c r="A41" s="15" t="s">
        <v>599</v>
      </c>
      <c r="B41" s="17" t="n">
        <v>2854</v>
      </c>
      <c r="C41" s="18">
        <f>(2202.0/B41*100)</f>
        <v/>
      </c>
      <c r="D41" s="19" t="n">
        <v>652</v>
      </c>
      <c r="E41" s="18" t="n">
        <v>48.65126585</v>
      </c>
      <c r="F41" s="20" t="n">
        <v>2.3228401</v>
      </c>
      <c r="G41" s="18" t="n">
        <v>49.93862703</v>
      </c>
      <c r="H41" s="20" t="n">
        <v>2.32994785</v>
      </c>
      <c r="I41" s="18" t="n">
        <v>0</v>
      </c>
      <c r="J41" s="20" t="n">
        <v>0</v>
      </c>
      <c r="K41" s="18" t="n">
        <v>0.12330264</v>
      </c>
      <c r="L41" s="20" t="n">
        <v>0.12390477</v>
      </c>
      <c r="M41" s="18" t="n">
        <v>0</v>
      </c>
      <c r="N41" s="20" t="n">
        <v>0</v>
      </c>
      <c r="O41" s="18" t="n">
        <v>0</v>
      </c>
      <c r="P41" s="20" t="n">
        <v>0</v>
      </c>
      <c r="Q41" s="18" t="n">
        <v>1.28680448</v>
      </c>
      <c r="R41" s="20" t="n">
        <v>0.52300544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(9740.0/B46*100)</f>
        <v/>
      </c>
      <c r="D46" s="19" t="n">
        <v>2333</v>
      </c>
      <c r="E46" s="18" t="n">
        <v>82.87060927</v>
      </c>
      <c r="F46" s="20" t="n">
        <v>1.15417632</v>
      </c>
      <c r="G46" s="18" t="n">
        <v>12.86462269</v>
      </c>
      <c r="H46" s="20" t="n">
        <v>1.02542202</v>
      </c>
      <c r="I46" s="18" t="n">
        <v>0</v>
      </c>
      <c r="J46" s="20" t="n">
        <v>0</v>
      </c>
      <c r="K46" s="18" t="n">
        <v>0.71461336</v>
      </c>
      <c r="L46" s="20" t="n">
        <v>0.26558814</v>
      </c>
      <c r="M46" s="18" t="n">
        <v>0</v>
      </c>
      <c r="N46" s="20" t="n">
        <v>0</v>
      </c>
      <c r="O46" s="18" t="n">
        <v>0</v>
      </c>
      <c r="P46" s="20" t="n">
        <v>0</v>
      </c>
      <c r="Q46" s="18" t="n">
        <v>3.55015469</v>
      </c>
      <c r="R46" s="20" t="n">
        <v>0.57805669</v>
      </c>
    </row>
    <row r="47" spans="1:18">
      <c r="A47" s="15" t="s">
        <v>606</v>
      </c>
      <c r="B47" s="17" t="n">
        <v>2823</v>
      </c>
      <c r="C47" s="18">
        <f>(2212.0/B47*100)</f>
        <v/>
      </c>
      <c r="D47" s="19" t="n">
        <v>611</v>
      </c>
      <c r="E47" s="18" t="n">
        <v>66.1659377</v>
      </c>
      <c r="F47" s="20" t="n">
        <v>2.21943055</v>
      </c>
      <c r="G47" s="18" t="n">
        <v>32.4934739</v>
      </c>
      <c r="H47" s="20" t="n">
        <v>2.28367482</v>
      </c>
      <c r="I47" s="18" t="n">
        <v>0</v>
      </c>
      <c r="J47" s="20" t="n">
        <v>0</v>
      </c>
      <c r="K47" s="18" t="n">
        <v>0.16537143</v>
      </c>
      <c r="L47" s="20" t="n">
        <v>0.16485449</v>
      </c>
      <c r="M47" s="18" t="n">
        <v>0</v>
      </c>
      <c r="N47" s="20" t="n">
        <v>0</v>
      </c>
      <c r="O47" s="18" t="n">
        <v>0</v>
      </c>
      <c r="P47" s="20" t="n">
        <v>0</v>
      </c>
      <c r="Q47" s="18" t="n">
        <v>1.17521697</v>
      </c>
      <c r="R47" s="20" t="n">
        <v>0.42441961</v>
      </c>
    </row>
    <row r="48" spans="1:18">
      <c r="A48" s="15" t="s">
        <v>607</v>
      </c>
      <c r="B48" s="17" t="n">
        <v>4682</v>
      </c>
      <c r="C48" s="18">
        <f>(3628.0/B48*100)</f>
        <v/>
      </c>
      <c r="D48" s="19" t="n">
        <v>1054</v>
      </c>
      <c r="E48" s="18" t="n">
        <v>40.84391949</v>
      </c>
      <c r="F48" s="20" t="n">
        <v>2.56668289</v>
      </c>
      <c r="G48" s="18" t="n">
        <v>57.81551671</v>
      </c>
      <c r="H48" s="20" t="n">
        <v>2.55487364</v>
      </c>
      <c r="I48" s="18" t="n">
        <v>0</v>
      </c>
      <c r="J48" s="20" t="n">
        <v>0</v>
      </c>
      <c r="K48" s="18" t="n">
        <v>0.72991244</v>
      </c>
      <c r="L48" s="20" t="n">
        <v>0.32745292</v>
      </c>
      <c r="M48" s="18" t="n">
        <v>0</v>
      </c>
      <c r="N48" s="20" t="n">
        <v>0</v>
      </c>
      <c r="O48" s="18" t="n">
        <v>0</v>
      </c>
      <c r="P48" s="20" t="n">
        <v>0</v>
      </c>
      <c r="Q48" s="18" t="n">
        <v>0.61065136</v>
      </c>
      <c r="R48" s="20" t="n">
        <v>0.28789</v>
      </c>
    </row>
    <row r="49" spans="1:18">
      <c r="A49" s="15" t="s">
        <v>608</v>
      </c>
      <c r="B49" s="17" t="n">
        <v>6158</v>
      </c>
      <c r="C49" s="18">
        <f>(4831.0/B49*100)</f>
        <v/>
      </c>
      <c r="D49" s="19" t="n">
        <v>1327</v>
      </c>
      <c r="E49" s="18" t="n">
        <v>80.07845356999999</v>
      </c>
      <c r="F49" s="20" t="n">
        <v>1.61916594</v>
      </c>
      <c r="G49" s="18" t="n">
        <v>18.06836134</v>
      </c>
      <c r="H49" s="20" t="n">
        <v>1.5069425</v>
      </c>
      <c r="I49" s="18" t="n">
        <v>0</v>
      </c>
      <c r="J49" s="20" t="n">
        <v>0</v>
      </c>
      <c r="K49" s="18" t="n">
        <v>1.3084386</v>
      </c>
      <c r="L49" s="20" t="n">
        <v>0.43591272</v>
      </c>
      <c r="M49" s="18" t="n">
        <v>0</v>
      </c>
      <c r="N49" s="20" t="n">
        <v>0</v>
      </c>
      <c r="O49" s="18" t="n">
        <v>0</v>
      </c>
      <c r="P49" s="20" t="n">
        <v>0</v>
      </c>
      <c r="Q49" s="18" t="n">
        <v>0.54474649</v>
      </c>
      <c r="R49" s="20" t="n">
        <v>0.24208689</v>
      </c>
    </row>
    <row r="50" spans="1:18">
      <c r="A50" s="15" t="s">
        <v>609</v>
      </c>
      <c r="B50" s="17" t="n">
        <v>3494</v>
      </c>
      <c r="C50" s="18">
        <f>(2797.0/B50*100)</f>
        <v/>
      </c>
      <c r="D50" s="19" t="n">
        <v>697</v>
      </c>
      <c r="E50" s="18" t="n">
        <v>82.24954734000001</v>
      </c>
      <c r="F50" s="20" t="n">
        <v>1.644565</v>
      </c>
      <c r="G50" s="18" t="n">
        <v>16.63726361</v>
      </c>
      <c r="H50" s="20" t="n">
        <v>1.62535455</v>
      </c>
      <c r="I50" s="18" t="n">
        <v>0</v>
      </c>
      <c r="J50" s="20" t="n">
        <v>0</v>
      </c>
      <c r="K50" s="18" t="n">
        <v>0</v>
      </c>
      <c r="L50" s="20" t="n">
        <v>0</v>
      </c>
      <c r="M50" s="18" t="n">
        <v>0</v>
      </c>
      <c r="N50" s="20" t="n">
        <v>0</v>
      </c>
      <c r="O50" s="18" t="n">
        <v>0</v>
      </c>
      <c r="P50" s="20" t="n">
        <v>0</v>
      </c>
      <c r="Q50" s="18" t="n">
        <v>1.11318905</v>
      </c>
      <c r="R50" s="20" t="n">
        <v>0.44831563</v>
      </c>
    </row>
    <row r="51" spans="1:18">
      <c r="A51" s="15" t="s">
        <v>610</v>
      </c>
      <c r="B51" s="17" t="n">
        <v>3013</v>
      </c>
      <c r="C51" s="18">
        <f>(2346.0/B51*100)</f>
        <v/>
      </c>
      <c r="D51" s="19" t="n">
        <v>667</v>
      </c>
      <c r="E51" s="18" t="n">
        <v>58.04551016</v>
      </c>
      <c r="F51" s="20" t="n">
        <v>2.17850059</v>
      </c>
      <c r="G51" s="18" t="n">
        <v>40.78240309</v>
      </c>
      <c r="H51" s="20" t="n">
        <v>2.11510146</v>
      </c>
      <c r="I51" s="18" t="n">
        <v>0</v>
      </c>
      <c r="J51" s="20" t="n">
        <v>0</v>
      </c>
      <c r="K51" s="18" t="n">
        <v>0.13823302</v>
      </c>
      <c r="L51" s="20" t="n">
        <v>0.13787689</v>
      </c>
      <c r="M51" s="18" t="n">
        <v>0</v>
      </c>
      <c r="N51" s="20" t="n">
        <v>0</v>
      </c>
      <c r="O51" s="18" t="n">
        <v>0</v>
      </c>
      <c r="P51" s="20" t="n">
        <v>0</v>
      </c>
      <c r="Q51" s="18" t="n">
        <v>1.03385372</v>
      </c>
      <c r="R51" s="20" t="n">
        <v>0.40668675</v>
      </c>
    </row>
    <row r="52" spans="1:18">
      <c r="A52" s="15" t="s">
        <v>611</v>
      </c>
      <c r="B52" s="17" t="n">
        <v>2760</v>
      </c>
      <c r="C52" s="18">
        <f>(2142.0/B52*100)</f>
        <v/>
      </c>
      <c r="D52" s="19" t="n">
        <v>618</v>
      </c>
      <c r="E52" s="18" t="n">
        <v>67.24943903</v>
      </c>
      <c r="F52" s="20" t="n">
        <v>2.16657294</v>
      </c>
      <c r="G52" s="18" t="n">
        <v>30.89632177</v>
      </c>
      <c r="H52" s="20" t="n">
        <v>2.18751068</v>
      </c>
      <c r="I52" s="18" t="n">
        <v>0</v>
      </c>
      <c r="J52" s="20" t="n">
        <v>0</v>
      </c>
      <c r="K52" s="18" t="n">
        <v>0</v>
      </c>
      <c r="L52" s="20" t="n">
        <v>0</v>
      </c>
      <c r="M52" s="18" t="n">
        <v>0</v>
      </c>
      <c r="N52" s="20" t="n">
        <v>0</v>
      </c>
      <c r="O52" s="18" t="n">
        <v>0</v>
      </c>
      <c r="P52" s="20" t="n">
        <v>0</v>
      </c>
      <c r="Q52" s="18" t="n">
        <v>1.85423919</v>
      </c>
      <c r="R52" s="20" t="n">
        <v>0.5101596900000001</v>
      </c>
    </row>
    <row r="53" spans="1:18">
      <c r="A53" s="15" t="s">
        <v>612</v>
      </c>
      <c r="B53" s="17" t="n">
        <v>2474</v>
      </c>
      <c r="C53" s="18">
        <f>(1941.0/B53*100)</f>
        <v/>
      </c>
      <c r="D53" s="19" t="n">
        <v>533</v>
      </c>
      <c r="E53" s="18" t="n">
        <v>83.35789817</v>
      </c>
      <c r="F53" s="20" t="n">
        <v>2.12319702</v>
      </c>
      <c r="G53" s="18" t="n">
        <v>2.7131778</v>
      </c>
      <c r="H53" s="20" t="n">
        <v>0.95938538</v>
      </c>
      <c r="I53" s="18" t="n">
        <v>0</v>
      </c>
      <c r="J53" s="20" t="n">
        <v>0</v>
      </c>
      <c r="K53" s="18" t="n">
        <v>10.13351864</v>
      </c>
      <c r="L53" s="20" t="n">
        <v>1.61616868</v>
      </c>
      <c r="M53" s="18" t="n">
        <v>0</v>
      </c>
      <c r="N53" s="20" t="n">
        <v>0</v>
      </c>
      <c r="O53" s="18" t="n">
        <v>0</v>
      </c>
      <c r="P53" s="20" t="n">
        <v>0</v>
      </c>
      <c r="Q53" s="18" t="n">
        <v>3.79540539</v>
      </c>
      <c r="R53" s="20" t="n">
        <v>0.90505477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(2042.0/B55*100)</f>
        <v/>
      </c>
      <c r="D55" s="19" t="n">
        <v>633</v>
      </c>
      <c r="E55" s="18" t="n">
        <v>50.83704516</v>
      </c>
      <c r="F55" s="20" t="n">
        <v>1.92386577</v>
      </c>
      <c r="G55" s="18" t="n">
        <v>49.0291649</v>
      </c>
      <c r="H55" s="20" t="n">
        <v>1.93575769</v>
      </c>
      <c r="I55" s="18" t="n">
        <v>0</v>
      </c>
      <c r="J55" s="20" t="n">
        <v>0</v>
      </c>
      <c r="K55" s="18" t="n">
        <v>0</v>
      </c>
      <c r="L55" s="20" t="n">
        <v>0</v>
      </c>
      <c r="M55" s="18" t="n">
        <v>0</v>
      </c>
      <c r="N55" s="20" t="n">
        <v>0</v>
      </c>
      <c r="O55" s="18" t="n">
        <v>0</v>
      </c>
      <c r="P55" s="20" t="n">
        <v>0</v>
      </c>
      <c r="Q55" s="18" t="n">
        <v>0.13378994</v>
      </c>
      <c r="R55" s="20" t="n">
        <v>0.13457556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(2478.0/B61*100)</f>
        <v/>
      </c>
      <c r="D61" s="19" t="n">
        <v>723</v>
      </c>
      <c r="E61" s="18" t="n">
        <v>68.67824615000001</v>
      </c>
      <c r="F61" s="20" t="n">
        <v>1.74709503</v>
      </c>
      <c r="G61" s="18" t="n">
        <v>30.85072125</v>
      </c>
      <c r="H61" s="20" t="n">
        <v>1.77905917</v>
      </c>
      <c r="I61" s="18" t="n">
        <v>0</v>
      </c>
      <c r="J61" s="20" t="n">
        <v>0</v>
      </c>
      <c r="K61" s="18" t="n">
        <v>0</v>
      </c>
      <c r="L61" s="20" t="n">
        <v>0</v>
      </c>
      <c r="M61" s="18" t="n">
        <v>0</v>
      </c>
      <c r="N61" s="20" t="n">
        <v>0</v>
      </c>
      <c r="O61" s="18" t="n">
        <v>0</v>
      </c>
      <c r="P61" s="20" t="n">
        <v>0</v>
      </c>
      <c r="Q61" s="18" t="n">
        <v>0.4710326</v>
      </c>
      <c r="R61" s="20" t="n">
        <v>0.26934499</v>
      </c>
    </row>
    <row r="62" spans="1:18">
      <c r="A62" s="15" t="s">
        <v>622</v>
      </c>
      <c r="B62" s="17" t="n">
        <v>2230</v>
      </c>
      <c r="C62" s="18">
        <f>(1727.0/B62*100)</f>
        <v/>
      </c>
      <c r="D62" s="19" t="n">
        <v>503</v>
      </c>
      <c r="E62" s="18" t="n">
        <v>40.79034292</v>
      </c>
      <c r="F62" s="20" t="n">
        <v>1.91437144</v>
      </c>
      <c r="G62" s="18" t="n">
        <v>59.20965708</v>
      </c>
      <c r="H62" s="20" t="n">
        <v>1.91437144</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(2171.0/B67*100)</f>
        <v/>
      </c>
      <c r="D67" s="19" t="n">
        <v>600</v>
      </c>
      <c r="E67" s="18" t="n">
        <v>77.23993498999999</v>
      </c>
      <c r="F67" s="20" t="n">
        <v>1.84855838</v>
      </c>
      <c r="G67" s="18" t="n">
        <v>19.63217023</v>
      </c>
      <c r="H67" s="20" t="n">
        <v>1.69785179</v>
      </c>
      <c r="I67" s="18" t="n">
        <v>0</v>
      </c>
      <c r="J67" s="20" t="n">
        <v>0</v>
      </c>
      <c r="K67" s="18" t="n">
        <v>0</v>
      </c>
      <c r="L67" s="20" t="n">
        <v>0</v>
      </c>
      <c r="M67" s="18" t="n">
        <v>0</v>
      </c>
      <c r="N67" s="20" t="n">
        <v>0</v>
      </c>
      <c r="O67" s="18" t="n">
        <v>0</v>
      </c>
      <c r="P67" s="20" t="n">
        <v>0</v>
      </c>
      <c r="Q67" s="18" t="n">
        <v>3.12789478</v>
      </c>
      <c r="R67" s="20" t="n">
        <v>0.73257547</v>
      </c>
    </row>
    <row r="68" spans="1:18">
      <c r="A68" s="15" t="s">
        <v>628</v>
      </c>
      <c r="B68" s="17" t="n">
        <v>3460</v>
      </c>
      <c r="C68" s="18">
        <f>(2790.0/B68*100)</f>
        <v/>
      </c>
      <c r="D68" s="19" t="n">
        <v>670</v>
      </c>
      <c r="E68" s="18" t="n">
        <v>84.36097604</v>
      </c>
      <c r="F68" s="20" t="n">
        <v>1.3679183</v>
      </c>
      <c r="G68" s="18" t="n">
        <v>14.14851537</v>
      </c>
      <c r="H68" s="20" t="n">
        <v>1.33175761</v>
      </c>
      <c r="I68" s="18" t="n">
        <v>0</v>
      </c>
      <c r="J68" s="20" t="n">
        <v>0</v>
      </c>
      <c r="K68" s="18" t="n">
        <v>0.14062995</v>
      </c>
      <c r="L68" s="20" t="n">
        <v>0.13674136</v>
      </c>
      <c r="M68" s="18" t="n">
        <v>0</v>
      </c>
      <c r="N68" s="20" t="n">
        <v>0</v>
      </c>
      <c r="O68" s="18" t="n">
        <v>0</v>
      </c>
      <c r="P68" s="20" t="n">
        <v>0</v>
      </c>
      <c r="Q68" s="18" t="n">
        <v>1.34987863</v>
      </c>
      <c r="R68" s="20" t="n">
        <v>0.49716291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(4652.0/B70*100)</f>
        <v/>
      </c>
      <c r="D70" s="19" t="n">
        <v>1382</v>
      </c>
      <c r="E70" s="18" t="n">
        <v>70.97475123</v>
      </c>
      <c r="F70" s="20" t="n">
        <v>1.05106009</v>
      </c>
      <c r="G70" s="18" t="n">
        <v>26.28009671</v>
      </c>
      <c r="H70" s="20" t="n">
        <v>1.02457614</v>
      </c>
      <c r="I70" s="18" t="n">
        <v>0</v>
      </c>
      <c r="J70" s="20" t="n">
        <v>0</v>
      </c>
      <c r="K70" s="18" t="n">
        <v>1.28941243</v>
      </c>
      <c r="L70" s="20" t="n">
        <v>0.29731623</v>
      </c>
      <c r="M70" s="18" t="n">
        <v>0</v>
      </c>
      <c r="N70" s="20" t="n">
        <v>0</v>
      </c>
      <c r="O70" s="18" t="n">
        <v>0</v>
      </c>
      <c r="P70" s="20" t="n">
        <v>0</v>
      </c>
      <c r="Q70" s="18" t="n">
        <v>1.45573963</v>
      </c>
      <c r="R70" s="20" t="n">
        <v>0.33394698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(2504.0/B72*100)</f>
        <v/>
      </c>
      <c r="D72" s="19" t="n">
        <v>603</v>
      </c>
      <c r="E72" s="18" t="n">
        <v>56.58244207</v>
      </c>
      <c r="F72" s="20" t="n">
        <v>2.05181079</v>
      </c>
      <c r="G72" s="18" t="n">
        <v>42.42896119</v>
      </c>
      <c r="H72" s="20" t="n">
        <v>2.0877489</v>
      </c>
      <c r="I72" s="18" t="n">
        <v>0</v>
      </c>
      <c r="J72" s="20" t="n">
        <v>0</v>
      </c>
      <c r="K72" s="18" t="n">
        <v>0.3824736</v>
      </c>
      <c r="L72" s="20" t="n">
        <v>0.2001981</v>
      </c>
      <c r="M72" s="18" t="n">
        <v>0</v>
      </c>
      <c r="N72" s="20" t="n">
        <v>0</v>
      </c>
      <c r="O72" s="18" t="n">
        <v>0</v>
      </c>
      <c r="P72" s="20" t="n">
        <v>0</v>
      </c>
      <c r="Q72" s="18" t="n">
        <v>0.60612314</v>
      </c>
      <c r="R72" s="20" t="n">
        <v>0.23504684</v>
      </c>
    </row>
    <row r="73" spans="1:18">
      <c r="A73" s="15" t="s">
        <v>633</v>
      </c>
      <c r="B73" s="17" t="n">
        <v>2973</v>
      </c>
      <c r="C73" s="18">
        <f>(2330.0/B73*100)</f>
        <v/>
      </c>
      <c r="D73" s="19" t="n">
        <v>643</v>
      </c>
      <c r="E73" s="18" t="n">
        <v>34.44196021</v>
      </c>
      <c r="F73" s="20" t="n">
        <v>2.04721412</v>
      </c>
      <c r="G73" s="18" t="n">
        <v>64.66837837</v>
      </c>
      <c r="H73" s="20" t="n">
        <v>2.20382249</v>
      </c>
      <c r="I73" s="18" t="n">
        <v>0</v>
      </c>
      <c r="J73" s="20" t="n">
        <v>0</v>
      </c>
      <c r="K73" s="18" t="n">
        <v>0.33736677</v>
      </c>
      <c r="L73" s="20" t="n">
        <v>0.23879556</v>
      </c>
      <c r="M73" s="18" t="n">
        <v>0</v>
      </c>
      <c r="N73" s="20" t="n">
        <v>0</v>
      </c>
      <c r="O73" s="18" t="n">
        <v>0</v>
      </c>
      <c r="P73" s="20" t="n">
        <v>0</v>
      </c>
      <c r="Q73" s="18" t="n">
        <v>0.55229465</v>
      </c>
      <c r="R73" s="20" t="n">
        <v>0.32028951</v>
      </c>
    </row>
    <row r="74" spans="1:18">
      <c r="A74" s="15" t="s">
        <v>634</v>
      </c>
      <c r="B74" s="17" t="n">
        <v>3819</v>
      </c>
      <c r="C74" s="18">
        <f>(2977.0/B74*100)</f>
        <v/>
      </c>
      <c r="D74" s="19" t="n">
        <v>842</v>
      </c>
      <c r="E74" s="18" t="n">
        <v>50.59551526</v>
      </c>
      <c r="F74" s="20" t="n">
        <v>2.13480392</v>
      </c>
      <c r="G74" s="18" t="n">
        <v>49.2417745</v>
      </c>
      <c r="H74" s="20" t="n">
        <v>2.13755913</v>
      </c>
      <c r="I74" s="18" t="n">
        <v>0</v>
      </c>
      <c r="J74" s="20" t="n">
        <v>0</v>
      </c>
      <c r="K74" s="18" t="n">
        <v>0</v>
      </c>
      <c r="L74" s="20" t="n">
        <v>0</v>
      </c>
      <c r="M74" s="18" t="n">
        <v>0</v>
      </c>
      <c r="N74" s="20" t="n">
        <v>0</v>
      </c>
      <c r="O74" s="18" t="n">
        <v>0</v>
      </c>
      <c r="P74" s="20" t="n">
        <v>0</v>
      </c>
      <c r="Q74" s="18" t="n">
        <v>0.16271024</v>
      </c>
      <c r="R74" s="20" t="n">
        <v>0.11692303</v>
      </c>
    </row>
    <row r="75" spans="1:18">
      <c r="A75" s="15" t="s">
        <v>635</v>
      </c>
      <c r="B75" s="17" t="n">
        <v>4652</v>
      </c>
      <c r="C75" s="18">
        <f>(3657.0/B75*100)</f>
        <v/>
      </c>
      <c r="D75" s="19" t="n">
        <v>995</v>
      </c>
      <c r="E75" s="18" t="n">
        <v>76.24407361</v>
      </c>
      <c r="F75" s="20" t="n">
        <v>2.16356456</v>
      </c>
      <c r="G75" s="18" t="n">
        <v>23.23281039</v>
      </c>
      <c r="H75" s="20" t="n">
        <v>2.17452458</v>
      </c>
      <c r="I75" s="18" t="n">
        <v>0</v>
      </c>
      <c r="J75" s="20" t="n">
        <v>0</v>
      </c>
      <c r="K75" s="18" t="n">
        <v>0</v>
      </c>
      <c r="L75" s="20" t="n">
        <v>0</v>
      </c>
      <c r="M75" s="18" t="n">
        <v>0</v>
      </c>
      <c r="N75" s="20" t="n">
        <v>0</v>
      </c>
      <c r="O75" s="18" t="n">
        <v>0</v>
      </c>
      <c r="P75" s="20" t="n">
        <v>0</v>
      </c>
      <c r="Q75" s="18" t="n">
        <v>0.523116</v>
      </c>
      <c r="R75" s="20" t="n">
        <v>0.23559413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(2392.0/B77*100)</f>
        <v/>
      </c>
      <c r="D77" s="19" t="n">
        <v>577</v>
      </c>
      <c r="E77" s="18" t="n">
        <v>84.33826955000001</v>
      </c>
      <c r="F77" s="20" t="n">
        <v>1.64283056</v>
      </c>
      <c r="G77" s="18" t="n">
        <v>11.04921553</v>
      </c>
      <c r="H77" s="20" t="n">
        <v>1.48194172</v>
      </c>
      <c r="I77" s="18" t="n">
        <v>0</v>
      </c>
      <c r="J77" s="20" t="n">
        <v>0</v>
      </c>
      <c r="K77" s="18" t="n">
        <v>2.18048424</v>
      </c>
      <c r="L77" s="20" t="n">
        <v>0.63882997</v>
      </c>
      <c r="M77" s="18" t="n">
        <v>0</v>
      </c>
      <c r="N77" s="20" t="n">
        <v>0</v>
      </c>
      <c r="O77" s="18" t="n">
        <v>0</v>
      </c>
      <c r="P77" s="20" t="n">
        <v>0</v>
      </c>
      <c r="Q77" s="18" t="n">
        <v>2.43203068</v>
      </c>
      <c r="R77" s="20" t="n">
        <v>0.70272459</v>
      </c>
    </row>
    <row r="78" spans="1:18">
      <c r="A78" s="15" t="s">
        <v>638</v>
      </c>
      <c r="B78" s="17" t="n">
        <v>7115</v>
      </c>
      <c r="C78" s="18">
        <f>(5566.0/B78*100)</f>
        <v/>
      </c>
      <c r="D78" s="19" t="n">
        <v>1549</v>
      </c>
      <c r="E78" s="18" t="n">
        <v>66.2855555</v>
      </c>
      <c r="F78" s="20" t="n">
        <v>2.14947811</v>
      </c>
      <c r="G78" s="18" t="n">
        <v>32.28295416</v>
      </c>
      <c r="H78" s="20" t="n">
        <v>2.12200669</v>
      </c>
      <c r="I78" s="18" t="n">
        <v>0</v>
      </c>
      <c r="J78" s="20" t="n">
        <v>0</v>
      </c>
      <c r="K78" s="18" t="n">
        <v>0.24261237</v>
      </c>
      <c r="L78" s="20" t="n">
        <v>0.12095294</v>
      </c>
      <c r="M78" s="18" t="n">
        <v>0</v>
      </c>
      <c r="N78" s="20" t="n">
        <v>0</v>
      </c>
      <c r="O78" s="18" t="n">
        <v>0</v>
      </c>
      <c r="P78" s="20" t="n">
        <v>0</v>
      </c>
      <c r="Q78" s="18" t="n">
        <v>1.18887798</v>
      </c>
      <c r="R78" s="20" t="n">
        <v>0.35725237</v>
      </c>
    </row>
    <row r="79" spans="1:18">
      <c r="A79" s="15" t="s">
        <v>639</v>
      </c>
      <c r="B79" s="17" t="n">
        <v>3154</v>
      </c>
      <c r="C79" s="18">
        <f>(2461.0/B79*100)</f>
        <v/>
      </c>
      <c r="D79" s="19" t="n">
        <v>693</v>
      </c>
      <c r="E79" s="18" t="n">
        <v>70.86319485</v>
      </c>
      <c r="F79" s="20" t="n">
        <v>1.63899403</v>
      </c>
      <c r="G79" s="18" t="n">
        <v>26.09221549</v>
      </c>
      <c r="H79" s="20" t="n">
        <v>1.55986522</v>
      </c>
      <c r="I79" s="18" t="n">
        <v>0</v>
      </c>
      <c r="J79" s="20" t="n">
        <v>0</v>
      </c>
      <c r="K79" s="18" t="n">
        <v>0.28568892</v>
      </c>
      <c r="L79" s="20" t="n">
        <v>0.18850184</v>
      </c>
      <c r="M79" s="18" t="n">
        <v>0</v>
      </c>
      <c r="N79" s="20" t="n">
        <v>0</v>
      </c>
      <c r="O79" s="18" t="n">
        <v>0</v>
      </c>
      <c r="P79" s="20" t="n">
        <v>0</v>
      </c>
      <c r="Q79" s="18" t="n">
        <v>2.75890073</v>
      </c>
      <c r="R79" s="20" t="n">
        <v>0.67611602</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(12447.0/B82*100)</f>
        <v/>
      </c>
      <c r="D82" s="19" t="n">
        <v>3514</v>
      </c>
      <c r="E82" s="18" t="n">
        <v>58.16675899</v>
      </c>
      <c r="F82" s="20" t="n">
        <v>1.14177946</v>
      </c>
      <c r="G82" s="18" t="n">
        <v>40.96461986</v>
      </c>
      <c r="H82" s="20" t="n">
        <v>1.09905708</v>
      </c>
      <c r="I82" s="18" t="n">
        <v>0</v>
      </c>
      <c r="J82" s="20" t="n">
        <v>0</v>
      </c>
      <c r="K82" s="18" t="n">
        <v>0.11144418</v>
      </c>
      <c r="L82" s="20" t="n">
        <v>0.09292039000000001</v>
      </c>
      <c r="M82" s="18" t="n">
        <v>0</v>
      </c>
      <c r="N82" s="20" t="n">
        <v>0</v>
      </c>
      <c r="O82" s="18" t="n">
        <v>0</v>
      </c>
      <c r="P82" s="20" t="n">
        <v>0</v>
      </c>
      <c r="Q82" s="18" t="n">
        <v>0.75717698</v>
      </c>
      <c r="R82" s="20" t="n">
        <v>0.1934209</v>
      </c>
    </row>
    <row r="83" spans="1:18">
      <c r="A83" s="15" t="s">
        <v>643</v>
      </c>
      <c r="B83" s="17" t="n">
        <v>808</v>
      </c>
      <c r="C83" s="18">
        <f>(633.0/B83*100)</f>
        <v/>
      </c>
      <c r="D83" s="19" t="n">
        <v>175</v>
      </c>
      <c r="E83" s="18" t="n">
        <v>41.15492396</v>
      </c>
      <c r="F83" s="20" t="n">
        <v>3.73546973</v>
      </c>
      <c r="G83" s="18" t="n">
        <v>58.84507604</v>
      </c>
      <c r="H83" s="20" t="n">
        <v>3.73546973</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(739.0/B84*100)</f>
        <v/>
      </c>
      <c r="D84" s="19" t="n">
        <v>199</v>
      </c>
      <c r="E84" s="18" t="n">
        <v>46.52849499</v>
      </c>
      <c r="F84" s="20" t="n">
        <v>4.39813768</v>
      </c>
      <c r="G84" s="18" t="n">
        <v>53.47150501</v>
      </c>
      <c r="H84" s="20" t="n">
        <v>4.39813768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(5598.0/B7*100)</f>
        <v/>
      </c>
      <c r="D7" s="19" t="n">
        <v>1565</v>
      </c>
      <c r="E7" s="18" t="n">
        <v>76.87560987000001</v>
      </c>
      <c r="F7" s="20" t="n">
        <v>1.19350517</v>
      </c>
      <c r="G7" s="18" t="n">
        <v>20.35473214</v>
      </c>
      <c r="H7" s="20" t="n">
        <v>1.20188724</v>
      </c>
      <c r="I7" s="18" t="n">
        <v>0</v>
      </c>
      <c r="J7" s="20" t="n">
        <v>0</v>
      </c>
      <c r="K7" s="18" t="n">
        <v>0.30977985</v>
      </c>
      <c r="L7" s="20" t="n">
        <v>0.19900713</v>
      </c>
      <c r="M7" s="18" t="n">
        <v>0</v>
      </c>
      <c r="N7" s="20" t="n">
        <v>0</v>
      </c>
      <c r="O7" s="18" t="n">
        <v>0</v>
      </c>
      <c r="P7" s="20" t="n">
        <v>0</v>
      </c>
      <c r="Q7" s="18" t="n">
        <v>2.45987814</v>
      </c>
      <c r="R7" s="20" t="n">
        <v>0.45316983</v>
      </c>
    </row>
    <row r="8" spans="1:18">
      <c r="A8" s="15" t="s">
        <v>566</v>
      </c>
      <c r="B8" s="17" t="n">
        <v>3443</v>
      </c>
      <c r="C8" s="18">
        <f>(2725.0/B8*100)</f>
        <v/>
      </c>
      <c r="D8" s="19" t="n">
        <v>718</v>
      </c>
      <c r="E8" s="18" t="n">
        <v>80.81754893</v>
      </c>
      <c r="F8" s="20" t="n">
        <v>1.55443971</v>
      </c>
      <c r="G8" s="18" t="n">
        <v>15.04109966</v>
      </c>
      <c r="H8" s="20" t="n">
        <v>1.47516253</v>
      </c>
      <c r="I8" s="18" t="n">
        <v>0</v>
      </c>
      <c r="J8" s="20" t="n">
        <v>0</v>
      </c>
      <c r="K8" s="18" t="n">
        <v>0</v>
      </c>
      <c r="L8" s="20" t="n">
        <v>0</v>
      </c>
      <c r="M8" s="18" t="n">
        <v>0</v>
      </c>
      <c r="N8" s="20" t="n">
        <v>0</v>
      </c>
      <c r="O8" s="18" t="n">
        <v>0</v>
      </c>
      <c r="P8" s="20" t="n">
        <v>0</v>
      </c>
      <c r="Q8" s="18" t="n">
        <v>4.14135141</v>
      </c>
      <c r="R8" s="20" t="n">
        <v>0.67903055</v>
      </c>
    </row>
    <row r="9" spans="1:18">
      <c r="A9" s="15" t="s">
        <v>567</v>
      </c>
      <c r="B9" s="17" t="n">
        <v>4752</v>
      </c>
      <c r="C9" s="18">
        <f>(3718.0/B9*100)</f>
        <v/>
      </c>
      <c r="D9" s="19" t="n">
        <v>1034</v>
      </c>
      <c r="E9" s="18" t="n">
        <v>75.01459921</v>
      </c>
      <c r="F9" s="20" t="n">
        <v>1.24916123</v>
      </c>
      <c r="G9" s="18" t="n">
        <v>22.74784074</v>
      </c>
      <c r="H9" s="20" t="n">
        <v>1.22851619</v>
      </c>
      <c r="I9" s="18" t="n">
        <v>0</v>
      </c>
      <c r="J9" s="20" t="n">
        <v>0</v>
      </c>
      <c r="K9" s="18" t="n">
        <v>0.35423564</v>
      </c>
      <c r="L9" s="20" t="n">
        <v>0.2135958</v>
      </c>
      <c r="M9" s="18" t="n">
        <v>0</v>
      </c>
      <c r="N9" s="20" t="n">
        <v>0</v>
      </c>
      <c r="O9" s="18" t="n">
        <v>0</v>
      </c>
      <c r="P9" s="20" t="n">
        <v>0</v>
      </c>
      <c r="Q9" s="18" t="n">
        <v>1.88332442</v>
      </c>
      <c r="R9" s="20" t="n">
        <v>0.47223435</v>
      </c>
    </row>
    <row r="10" spans="1:18">
      <c r="A10" s="15" t="s">
        <v>568</v>
      </c>
      <c r="B10" s="17" t="n">
        <v>10022</v>
      </c>
      <c r="C10" s="18">
        <f>(7849.0/B10*100)</f>
        <v/>
      </c>
      <c r="D10" s="19" t="n">
        <v>2173</v>
      </c>
      <c r="E10" s="18" t="n">
        <v>78.95660042</v>
      </c>
      <c r="F10" s="20" t="n">
        <v>1.09514908</v>
      </c>
      <c r="G10" s="18" t="n">
        <v>18.50985177</v>
      </c>
      <c r="H10" s="20" t="n">
        <v>1.02406703</v>
      </c>
      <c r="I10" s="18" t="n">
        <v>0</v>
      </c>
      <c r="J10" s="20" t="n">
        <v>0</v>
      </c>
      <c r="K10" s="18" t="n">
        <v>0.30676964</v>
      </c>
      <c r="L10" s="20" t="n">
        <v>0.19436189</v>
      </c>
      <c r="M10" s="18" t="n">
        <v>0</v>
      </c>
      <c r="N10" s="20" t="n">
        <v>0</v>
      </c>
      <c r="O10" s="18" t="n">
        <v>0</v>
      </c>
      <c r="P10" s="20" t="n">
        <v>0</v>
      </c>
      <c r="Q10" s="18" t="n">
        <v>2.22677817</v>
      </c>
      <c r="R10" s="20" t="n">
        <v>0.452013</v>
      </c>
    </row>
    <row r="11" spans="1:18">
      <c r="A11" s="15" t="s">
        <v>569</v>
      </c>
      <c r="B11" s="17" t="n">
        <v>3500</v>
      </c>
      <c r="C11" s="18">
        <f>(2765.0/B11*100)</f>
        <v/>
      </c>
      <c r="D11" s="19" t="n">
        <v>735</v>
      </c>
      <c r="E11" s="18" t="n">
        <v>85.44744772</v>
      </c>
      <c r="F11" s="20" t="n">
        <v>1.51587367</v>
      </c>
      <c r="G11" s="18" t="n">
        <v>11.19051053</v>
      </c>
      <c r="H11" s="20" t="n">
        <v>1.34428674</v>
      </c>
      <c r="I11" s="18" t="n">
        <v>0</v>
      </c>
      <c r="J11" s="20" t="n">
        <v>0</v>
      </c>
      <c r="K11" s="18" t="n">
        <v>0.16214042</v>
      </c>
      <c r="L11" s="20" t="n">
        <v>0.12007764</v>
      </c>
      <c r="M11" s="18" t="n">
        <v>0</v>
      </c>
      <c r="N11" s="20" t="n">
        <v>0</v>
      </c>
      <c r="O11" s="18" t="n">
        <v>0</v>
      </c>
      <c r="P11" s="20" t="n">
        <v>0</v>
      </c>
      <c r="Q11" s="18" t="n">
        <v>3.19990134</v>
      </c>
      <c r="R11" s="20" t="n">
        <v>0.78537426</v>
      </c>
    </row>
    <row r="12" spans="1:18">
      <c r="A12" s="15" t="s">
        <v>570</v>
      </c>
      <c r="B12" s="17" t="n">
        <v>3422</v>
      </c>
      <c r="C12" s="18">
        <f>(2657.0/B12*100)</f>
        <v/>
      </c>
      <c r="D12" s="19" t="n">
        <v>765</v>
      </c>
      <c r="E12" s="18" t="n">
        <v>77.05193297</v>
      </c>
      <c r="F12" s="20" t="n">
        <v>1.92470671</v>
      </c>
      <c r="G12" s="18" t="n">
        <v>19.49860783</v>
      </c>
      <c r="H12" s="20" t="n">
        <v>1.7472938</v>
      </c>
      <c r="I12" s="18" t="n">
        <v>0</v>
      </c>
      <c r="J12" s="20" t="n">
        <v>0</v>
      </c>
      <c r="K12" s="18" t="n">
        <v>0.41300296</v>
      </c>
      <c r="L12" s="20" t="n">
        <v>0.31527726</v>
      </c>
      <c r="M12" s="18" t="n">
        <v>0</v>
      </c>
      <c r="N12" s="20" t="n">
        <v>0</v>
      </c>
      <c r="O12" s="18" t="n">
        <v>0</v>
      </c>
      <c r="P12" s="20" t="n">
        <v>0</v>
      </c>
      <c r="Q12" s="18" t="n">
        <v>3.03645624</v>
      </c>
      <c r="R12" s="20" t="n">
        <v>0.80944564</v>
      </c>
    </row>
    <row r="13" spans="1:18">
      <c r="A13" s="15" t="s">
        <v>571</v>
      </c>
      <c r="B13" s="17" t="n">
        <v>3602</v>
      </c>
      <c r="C13" s="18">
        <f>(2835.0/B13*100)</f>
        <v/>
      </c>
      <c r="D13" s="19" t="n">
        <v>767</v>
      </c>
      <c r="E13" s="18" t="n">
        <v>78.6283354</v>
      </c>
      <c r="F13" s="20" t="n">
        <v>2.00632604</v>
      </c>
      <c r="G13" s="18" t="n">
        <v>19.94014511</v>
      </c>
      <c r="H13" s="20" t="n">
        <v>1.86996408</v>
      </c>
      <c r="I13" s="18" t="n">
        <v>0</v>
      </c>
      <c r="J13" s="20" t="n">
        <v>0</v>
      </c>
      <c r="K13" s="18" t="n">
        <v>0.13069736</v>
      </c>
      <c r="L13" s="20" t="n">
        <v>0.07489504</v>
      </c>
      <c r="M13" s="18" t="n">
        <v>0</v>
      </c>
      <c r="N13" s="20" t="n">
        <v>0</v>
      </c>
      <c r="O13" s="18" t="n">
        <v>0</v>
      </c>
      <c r="P13" s="20" t="n">
        <v>0</v>
      </c>
      <c r="Q13" s="18" t="n">
        <v>1.30082213</v>
      </c>
      <c r="R13" s="20" t="n">
        <v>0.46351954</v>
      </c>
    </row>
    <row r="14" spans="1:18">
      <c r="A14" s="15" t="s">
        <v>572</v>
      </c>
      <c r="B14" s="17" t="n">
        <v>2788</v>
      </c>
      <c r="C14" s="18">
        <f>(2183.0/B14*100)</f>
        <v/>
      </c>
      <c r="D14" s="19" t="n">
        <v>605</v>
      </c>
      <c r="E14" s="18" t="n">
        <v>77.65177658</v>
      </c>
      <c r="F14" s="20" t="n">
        <v>1.78747143</v>
      </c>
      <c r="G14" s="18" t="n">
        <v>21.19111088</v>
      </c>
      <c r="H14" s="20" t="n">
        <v>1.73426749</v>
      </c>
      <c r="I14" s="18" t="n">
        <v>0</v>
      </c>
      <c r="J14" s="20" t="n">
        <v>0</v>
      </c>
      <c r="K14" s="18" t="n">
        <v>0.51206844</v>
      </c>
      <c r="L14" s="20" t="n">
        <v>0.26113627</v>
      </c>
      <c r="M14" s="18" t="n">
        <v>0</v>
      </c>
      <c r="N14" s="20" t="n">
        <v>0</v>
      </c>
      <c r="O14" s="18" t="n">
        <v>0</v>
      </c>
      <c r="P14" s="20" t="n">
        <v>0</v>
      </c>
      <c r="Q14" s="18" t="n">
        <v>0.6450441</v>
      </c>
      <c r="R14" s="20" t="n">
        <v>0.41026421</v>
      </c>
    </row>
    <row r="15" spans="1:18">
      <c r="A15" s="15" t="s">
        <v>573</v>
      </c>
      <c r="B15" s="17" t="n">
        <v>2863</v>
      </c>
      <c r="C15" s="18">
        <f>(2248.0/B15*100)</f>
        <v/>
      </c>
      <c r="D15" s="19" t="n">
        <v>615</v>
      </c>
      <c r="E15" s="18" t="n">
        <v>78.85553231</v>
      </c>
      <c r="F15" s="20" t="n">
        <v>1.62806115</v>
      </c>
      <c r="G15" s="18" t="n">
        <v>19.4141837</v>
      </c>
      <c r="H15" s="20" t="n">
        <v>1.59775902</v>
      </c>
      <c r="I15" s="18" t="n">
        <v>0</v>
      </c>
      <c r="J15" s="20" t="n">
        <v>0</v>
      </c>
      <c r="K15" s="18" t="n">
        <v>0</v>
      </c>
      <c r="L15" s="20" t="n">
        <v>0</v>
      </c>
      <c r="M15" s="18" t="n">
        <v>0</v>
      </c>
      <c r="N15" s="20" t="n">
        <v>0</v>
      </c>
      <c r="O15" s="18" t="n">
        <v>0</v>
      </c>
      <c r="P15" s="20" t="n">
        <v>0</v>
      </c>
      <c r="Q15" s="18" t="n">
        <v>1.73028399</v>
      </c>
      <c r="R15" s="20" t="n">
        <v>0.52016895</v>
      </c>
    </row>
    <row r="16" spans="1:18">
      <c r="A16" s="15" t="s">
        <v>574</v>
      </c>
      <c r="B16" s="17" t="n">
        <v>3111</v>
      </c>
      <c r="C16" s="18">
        <f>(2445.0/B16*100)</f>
        <v/>
      </c>
      <c r="D16" s="19" t="n">
        <v>666</v>
      </c>
      <c r="E16" s="18" t="n">
        <v>73.668137</v>
      </c>
      <c r="F16" s="20" t="n">
        <v>1.7047291</v>
      </c>
      <c r="G16" s="18" t="n">
        <v>21.18408941</v>
      </c>
      <c r="H16" s="20" t="n">
        <v>1.60470446</v>
      </c>
      <c r="I16" s="18" t="n">
        <v>0</v>
      </c>
      <c r="J16" s="20" t="n">
        <v>0</v>
      </c>
      <c r="K16" s="18" t="n">
        <v>0.14310505</v>
      </c>
      <c r="L16" s="20" t="n">
        <v>0.16370777</v>
      </c>
      <c r="M16" s="18" t="n">
        <v>0</v>
      </c>
      <c r="N16" s="20" t="n">
        <v>0</v>
      </c>
      <c r="O16" s="18" t="n">
        <v>0</v>
      </c>
      <c r="P16" s="20" t="n">
        <v>0</v>
      </c>
      <c r="Q16" s="18" t="n">
        <v>5.00466854</v>
      </c>
      <c r="R16" s="20" t="n">
        <v>0.9361724</v>
      </c>
    </row>
    <row r="17" spans="1:18">
      <c r="A17" s="15" t="s">
        <v>575</v>
      </c>
      <c r="B17" s="17" t="n">
        <v>3197</v>
      </c>
      <c r="C17" s="18">
        <f>(2468.0/B17*100)</f>
        <v/>
      </c>
      <c r="D17" s="19" t="n">
        <v>729</v>
      </c>
      <c r="E17" s="18" t="n">
        <v>79.87188931999999</v>
      </c>
      <c r="F17" s="20" t="n">
        <v>1.61762249</v>
      </c>
      <c r="G17" s="18" t="n">
        <v>16.25544695</v>
      </c>
      <c r="H17" s="20" t="n">
        <v>1.46562959</v>
      </c>
      <c r="I17" s="18" t="n">
        <v>0</v>
      </c>
      <c r="J17" s="20" t="n">
        <v>0</v>
      </c>
      <c r="K17" s="18" t="n">
        <v>0</v>
      </c>
      <c r="L17" s="20" t="n">
        <v>0</v>
      </c>
      <c r="M17" s="18" t="n">
        <v>0</v>
      </c>
      <c r="N17" s="20" t="n">
        <v>0</v>
      </c>
      <c r="O17" s="18" t="n">
        <v>0</v>
      </c>
      <c r="P17" s="20" t="n">
        <v>0</v>
      </c>
      <c r="Q17" s="18" t="n">
        <v>3.87266373</v>
      </c>
      <c r="R17" s="20" t="n">
        <v>0.83999244</v>
      </c>
    </row>
    <row r="18" spans="1:18">
      <c r="A18" s="15" t="s">
        <v>576</v>
      </c>
      <c r="B18" s="17" t="n">
        <v>2706</v>
      </c>
      <c r="C18" s="18">
        <f>(2093.0/B18*100)</f>
        <v/>
      </c>
      <c r="D18" s="19" t="n">
        <v>613</v>
      </c>
      <c r="E18" s="18" t="n">
        <v>81.69490399999999</v>
      </c>
      <c r="F18" s="20" t="n">
        <v>1.75217836</v>
      </c>
      <c r="G18" s="18" t="n">
        <v>15.98261156</v>
      </c>
      <c r="H18" s="20" t="n">
        <v>1.74113423</v>
      </c>
      <c r="I18" s="18" t="n">
        <v>0</v>
      </c>
      <c r="J18" s="20" t="n">
        <v>0</v>
      </c>
      <c r="K18" s="18" t="n">
        <v>0</v>
      </c>
      <c r="L18" s="20" t="n">
        <v>0</v>
      </c>
      <c r="M18" s="18" t="n">
        <v>0</v>
      </c>
      <c r="N18" s="20" t="n">
        <v>0</v>
      </c>
      <c r="O18" s="18" t="n">
        <v>0</v>
      </c>
      <c r="P18" s="20" t="n">
        <v>0</v>
      </c>
      <c r="Q18" s="18" t="n">
        <v>2.32248444</v>
      </c>
      <c r="R18" s="20" t="n">
        <v>0.70394268</v>
      </c>
    </row>
    <row r="19" spans="1:18">
      <c r="A19" s="15" t="s">
        <v>577</v>
      </c>
      <c r="B19" s="17" t="n">
        <v>2850</v>
      </c>
      <c r="C19" s="18">
        <f>(2266.0/B19*100)</f>
        <v/>
      </c>
      <c r="D19" s="19" t="n">
        <v>584</v>
      </c>
      <c r="E19" s="18" t="n">
        <v>81.56171872</v>
      </c>
      <c r="F19" s="20" t="n">
        <v>1.65903673</v>
      </c>
      <c r="G19" s="18" t="n">
        <v>16.80220082</v>
      </c>
      <c r="H19" s="20" t="n">
        <v>1.43548798</v>
      </c>
      <c r="I19" s="18" t="n">
        <v>0</v>
      </c>
      <c r="J19" s="20" t="n">
        <v>0</v>
      </c>
      <c r="K19" s="18" t="n">
        <v>0.14614989</v>
      </c>
      <c r="L19" s="20" t="n">
        <v>0.10471338</v>
      </c>
      <c r="M19" s="18" t="n">
        <v>0</v>
      </c>
      <c r="N19" s="20" t="n">
        <v>0</v>
      </c>
      <c r="O19" s="18" t="n">
        <v>0</v>
      </c>
      <c r="P19" s="20" t="n">
        <v>0</v>
      </c>
      <c r="Q19" s="18" t="n">
        <v>1.48993057</v>
      </c>
      <c r="R19" s="20" t="n">
        <v>0.61659816</v>
      </c>
    </row>
    <row r="20" spans="1:18">
      <c r="A20" s="15" t="s">
        <v>578</v>
      </c>
      <c r="B20" s="17" t="n">
        <v>1741</v>
      </c>
      <c r="C20" s="18">
        <f>(1373.0/B20*100)</f>
        <v/>
      </c>
      <c r="D20" s="19" t="n">
        <v>368</v>
      </c>
      <c r="E20" s="18" t="n">
        <v>84.52130925</v>
      </c>
      <c r="F20" s="20" t="n">
        <v>1.73309545</v>
      </c>
      <c r="G20" s="18" t="n">
        <v>13.08492019</v>
      </c>
      <c r="H20" s="20" t="n">
        <v>1.55630788</v>
      </c>
      <c r="I20" s="18" t="n">
        <v>0</v>
      </c>
      <c r="J20" s="20" t="n">
        <v>0</v>
      </c>
      <c r="K20" s="18" t="n">
        <v>0</v>
      </c>
      <c r="L20" s="20" t="n">
        <v>0</v>
      </c>
      <c r="M20" s="18" t="n">
        <v>0</v>
      </c>
      <c r="N20" s="20" t="n">
        <v>0</v>
      </c>
      <c r="O20" s="18" t="n">
        <v>0</v>
      </c>
      <c r="P20" s="20" t="n">
        <v>0</v>
      </c>
      <c r="Q20" s="18" t="n">
        <v>2.39377056</v>
      </c>
      <c r="R20" s="20" t="n">
        <v>0.84232978</v>
      </c>
    </row>
    <row r="21" spans="1:18">
      <c r="A21" s="15" t="s">
        <v>579</v>
      </c>
      <c r="B21" s="17" t="n">
        <v>2833</v>
      </c>
      <c r="C21" s="18">
        <f>(2181.0/B21*100)</f>
        <v/>
      </c>
      <c r="D21" s="19" t="n">
        <v>652</v>
      </c>
      <c r="E21" s="18" t="n">
        <v>85.92259386000001</v>
      </c>
      <c r="F21" s="20" t="n">
        <v>1.43607276</v>
      </c>
      <c r="G21" s="18" t="n">
        <v>12.83364771</v>
      </c>
      <c r="H21" s="20" t="n">
        <v>1.35369656</v>
      </c>
      <c r="I21" s="18" t="n">
        <v>0</v>
      </c>
      <c r="J21" s="20" t="n">
        <v>0</v>
      </c>
      <c r="K21" s="18" t="n">
        <v>0</v>
      </c>
      <c r="L21" s="20" t="n">
        <v>0</v>
      </c>
      <c r="M21" s="18" t="n">
        <v>0</v>
      </c>
      <c r="N21" s="20" t="n">
        <v>0</v>
      </c>
      <c r="O21" s="18" t="n">
        <v>0</v>
      </c>
      <c r="P21" s="20" t="n">
        <v>0</v>
      </c>
      <c r="Q21" s="18" t="n">
        <v>1.24375843</v>
      </c>
      <c r="R21" s="20" t="n">
        <v>0.42033976</v>
      </c>
    </row>
    <row r="22" spans="1:18">
      <c r="A22" s="15" t="s">
        <v>580</v>
      </c>
      <c r="B22" s="17" t="n">
        <v>3667</v>
      </c>
      <c r="C22" s="18">
        <f>(2829.0/B22*100)</f>
        <v/>
      </c>
      <c r="D22" s="19" t="n">
        <v>838</v>
      </c>
      <c r="E22" s="18" t="n">
        <v>84.46158182000001</v>
      </c>
      <c r="F22" s="20" t="n">
        <v>1.26055369</v>
      </c>
      <c r="G22" s="18" t="n">
        <v>12.59440114</v>
      </c>
      <c r="H22" s="20" t="n">
        <v>1.23211076</v>
      </c>
      <c r="I22" s="18" t="n">
        <v>0</v>
      </c>
      <c r="J22" s="20" t="n">
        <v>0</v>
      </c>
      <c r="K22" s="18" t="n">
        <v>0.35615017</v>
      </c>
      <c r="L22" s="20" t="n">
        <v>0.20428347</v>
      </c>
      <c r="M22" s="18" t="n">
        <v>0</v>
      </c>
      <c r="N22" s="20" t="n">
        <v>0</v>
      </c>
      <c r="O22" s="18" t="n">
        <v>0</v>
      </c>
      <c r="P22" s="20" t="n">
        <v>0</v>
      </c>
      <c r="Q22" s="18" t="n">
        <v>2.58786687</v>
      </c>
      <c r="R22" s="20" t="n">
        <v>0.61007431</v>
      </c>
    </row>
    <row r="23" spans="1:18">
      <c r="A23" s="15" t="s">
        <v>581</v>
      </c>
      <c r="B23" s="17" t="n">
        <v>5792</v>
      </c>
      <c r="C23" s="18">
        <f>(4521.0/B23*100)</f>
        <v/>
      </c>
      <c r="D23" s="19" t="n">
        <v>1271</v>
      </c>
      <c r="E23" s="18" t="n">
        <v>84.14875317000001</v>
      </c>
      <c r="F23" s="20" t="n">
        <v>1.39131941</v>
      </c>
      <c r="G23" s="18" t="n">
        <v>11.80662315</v>
      </c>
      <c r="H23" s="20" t="n">
        <v>1.36928031</v>
      </c>
      <c r="I23" s="18" t="n">
        <v>0</v>
      </c>
      <c r="J23" s="20" t="n">
        <v>0</v>
      </c>
      <c r="K23" s="18" t="n">
        <v>0.29666555</v>
      </c>
      <c r="L23" s="20" t="n">
        <v>0.209018</v>
      </c>
      <c r="M23" s="18" t="n">
        <v>0</v>
      </c>
      <c r="N23" s="20" t="n">
        <v>0</v>
      </c>
      <c r="O23" s="18" t="n">
        <v>0</v>
      </c>
      <c r="P23" s="20" t="n">
        <v>0</v>
      </c>
      <c r="Q23" s="18" t="n">
        <v>3.74795814</v>
      </c>
      <c r="R23" s="20" t="n">
        <v>0.68753655</v>
      </c>
    </row>
    <row r="24" spans="1:18">
      <c r="A24" s="15" t="s">
        <v>582</v>
      </c>
      <c r="B24" s="17" t="n">
        <v>3309</v>
      </c>
      <c r="C24" s="18">
        <f>(2531.0/B24*100)</f>
        <v/>
      </c>
      <c r="D24" s="19" t="n">
        <v>778</v>
      </c>
      <c r="E24" s="18" t="n">
        <v>71.18422861000001</v>
      </c>
      <c r="F24" s="20" t="n">
        <v>1.79631543</v>
      </c>
      <c r="G24" s="18" t="n">
        <v>27.25687748</v>
      </c>
      <c r="H24" s="20" t="n">
        <v>1.83843639</v>
      </c>
      <c r="I24" s="18" t="n">
        <v>0</v>
      </c>
      <c r="J24" s="20" t="n">
        <v>0</v>
      </c>
      <c r="K24" s="18" t="n">
        <v>0</v>
      </c>
      <c r="L24" s="20" t="n">
        <v>0</v>
      </c>
      <c r="M24" s="18" t="n">
        <v>0</v>
      </c>
      <c r="N24" s="20" t="n">
        <v>0</v>
      </c>
      <c r="O24" s="18" t="n">
        <v>0</v>
      </c>
      <c r="P24" s="20" t="n">
        <v>0</v>
      </c>
      <c r="Q24" s="18" t="n">
        <v>1.55889391</v>
      </c>
      <c r="R24" s="20" t="n">
        <v>0.50130144</v>
      </c>
    </row>
    <row r="25" spans="1:18">
      <c r="A25" s="15" t="s">
        <v>583</v>
      </c>
      <c r="B25" s="17" t="n">
        <v>2669</v>
      </c>
      <c r="C25" s="18">
        <f>(2087.0/B25*100)</f>
        <v/>
      </c>
      <c r="D25" s="19" t="n">
        <v>582</v>
      </c>
      <c r="E25" s="18" t="n">
        <v>71.21503122</v>
      </c>
      <c r="F25" s="20" t="n">
        <v>1.76368335</v>
      </c>
      <c r="G25" s="18" t="n">
        <v>27.79019922</v>
      </c>
      <c r="H25" s="20" t="n">
        <v>1.75424038</v>
      </c>
      <c r="I25" s="18" t="n">
        <v>0</v>
      </c>
      <c r="J25" s="20" t="n">
        <v>0</v>
      </c>
      <c r="K25" s="18" t="n">
        <v>0.16309914</v>
      </c>
      <c r="L25" s="20" t="n">
        <v>0.16277181</v>
      </c>
      <c r="M25" s="18" t="n">
        <v>0</v>
      </c>
      <c r="N25" s="20" t="n">
        <v>0</v>
      </c>
      <c r="O25" s="18" t="n">
        <v>0</v>
      </c>
      <c r="P25" s="20" t="n">
        <v>0</v>
      </c>
      <c r="Q25" s="18" t="n">
        <v>0.83167042</v>
      </c>
      <c r="R25" s="20" t="n">
        <v>0.38332256</v>
      </c>
    </row>
    <row r="26" spans="1:18">
      <c r="A26" s="15" t="s">
        <v>584</v>
      </c>
      <c r="B26" s="17" t="n">
        <v>2419</v>
      </c>
      <c r="C26" s="18">
        <f>(1894.0/B26*100)</f>
        <v/>
      </c>
      <c r="D26" s="19" t="n">
        <v>525</v>
      </c>
      <c r="E26" s="18" t="n">
        <v>85.42140928000001</v>
      </c>
      <c r="F26" s="20" t="n">
        <v>1.72376631</v>
      </c>
      <c r="G26" s="18" t="n">
        <v>14.30699464</v>
      </c>
      <c r="H26" s="20" t="n">
        <v>1.70563654</v>
      </c>
      <c r="I26" s="18" t="n">
        <v>0</v>
      </c>
      <c r="J26" s="20" t="n">
        <v>0</v>
      </c>
      <c r="K26" s="18" t="n">
        <v>0</v>
      </c>
      <c r="L26" s="20" t="n">
        <v>0</v>
      </c>
      <c r="M26" s="18" t="n">
        <v>0</v>
      </c>
      <c r="N26" s="20" t="n">
        <v>0</v>
      </c>
      <c r="O26" s="18" t="n">
        <v>0</v>
      </c>
      <c r="P26" s="20" t="n">
        <v>0</v>
      </c>
      <c r="Q26" s="18" t="n">
        <v>0.27159607</v>
      </c>
      <c r="R26" s="20" t="n">
        <v>0.18799011</v>
      </c>
    </row>
    <row r="27" spans="1:18">
      <c r="A27" s="15" t="s">
        <v>585</v>
      </c>
      <c r="B27" s="17" t="n">
        <v>2683</v>
      </c>
      <c r="C27" s="18">
        <f>(2056.0/B27*100)</f>
        <v/>
      </c>
      <c r="D27" s="19" t="n">
        <v>627</v>
      </c>
      <c r="E27" s="18" t="n">
        <v>78.85890612</v>
      </c>
      <c r="F27" s="20" t="n">
        <v>1.36432785</v>
      </c>
      <c r="G27" s="18" t="n">
        <v>17.755237</v>
      </c>
      <c r="H27" s="20" t="n">
        <v>1.28306402</v>
      </c>
      <c r="I27" s="18" t="n">
        <v>0</v>
      </c>
      <c r="J27" s="20" t="n">
        <v>0</v>
      </c>
      <c r="K27" s="18" t="n">
        <v>0</v>
      </c>
      <c r="L27" s="20" t="n">
        <v>0</v>
      </c>
      <c r="M27" s="18" t="n">
        <v>0</v>
      </c>
      <c r="N27" s="20" t="n">
        <v>0</v>
      </c>
      <c r="O27" s="18" t="n">
        <v>0</v>
      </c>
      <c r="P27" s="20" t="n">
        <v>0</v>
      </c>
      <c r="Q27" s="18" t="n">
        <v>3.38585689</v>
      </c>
      <c r="R27" s="20" t="n">
        <v>0.66147554</v>
      </c>
    </row>
    <row r="28" spans="1:18">
      <c r="A28" s="15" t="s">
        <v>586</v>
      </c>
      <c r="B28" s="17" t="n">
        <v>3803</v>
      </c>
      <c r="C28" s="18">
        <f>(3030.0/B28*100)</f>
        <v/>
      </c>
      <c r="D28" s="19" t="n">
        <v>773</v>
      </c>
      <c r="E28" s="18" t="n">
        <v>82.73853455</v>
      </c>
      <c r="F28" s="20" t="n">
        <v>1.4494928</v>
      </c>
      <c r="G28" s="18" t="n">
        <v>14.47346276</v>
      </c>
      <c r="H28" s="20" t="n">
        <v>1.27071855</v>
      </c>
      <c r="I28" s="18" t="n">
        <v>0</v>
      </c>
      <c r="J28" s="20" t="n">
        <v>0</v>
      </c>
      <c r="K28" s="18" t="n">
        <v>0.32896407</v>
      </c>
      <c r="L28" s="20" t="n">
        <v>0.24767246</v>
      </c>
      <c r="M28" s="18" t="n">
        <v>0</v>
      </c>
      <c r="N28" s="20" t="n">
        <v>0</v>
      </c>
      <c r="O28" s="18" t="n">
        <v>0</v>
      </c>
      <c r="P28" s="20" t="n">
        <v>0</v>
      </c>
      <c r="Q28" s="18" t="n">
        <v>2.45903861</v>
      </c>
      <c r="R28" s="20" t="n">
        <v>0.58827439</v>
      </c>
    </row>
    <row r="29" spans="1:18">
      <c r="A29" s="15" t="s">
        <v>587</v>
      </c>
      <c r="B29" s="17" t="n">
        <v>2700</v>
      </c>
      <c r="C29" s="18">
        <f>(2118.0/B29*100)</f>
        <v/>
      </c>
      <c r="D29" s="19" t="n">
        <v>582</v>
      </c>
      <c r="E29" s="18" t="n">
        <v>76.96779619</v>
      </c>
      <c r="F29" s="20" t="n">
        <v>1.911526</v>
      </c>
      <c r="G29" s="18" t="n">
        <v>19.74636095</v>
      </c>
      <c r="H29" s="20" t="n">
        <v>1.7692996</v>
      </c>
      <c r="I29" s="18" t="n">
        <v>0</v>
      </c>
      <c r="J29" s="20" t="n">
        <v>0</v>
      </c>
      <c r="K29" s="18" t="n">
        <v>0</v>
      </c>
      <c r="L29" s="20" t="n">
        <v>0</v>
      </c>
      <c r="M29" s="18" t="n">
        <v>0</v>
      </c>
      <c r="N29" s="20" t="n">
        <v>0</v>
      </c>
      <c r="O29" s="18" t="n">
        <v>0</v>
      </c>
      <c r="P29" s="20" t="n">
        <v>0</v>
      </c>
      <c r="Q29" s="18" t="n">
        <v>3.28584286</v>
      </c>
      <c r="R29" s="20" t="n">
        <v>0.69300909</v>
      </c>
    </row>
    <row r="30" spans="1:18">
      <c r="A30" s="15" t="s">
        <v>588</v>
      </c>
      <c r="B30" s="17" t="n">
        <v>2257</v>
      </c>
      <c r="C30" s="18">
        <f>(1786.0/B30*100)</f>
        <v/>
      </c>
      <c r="D30" s="19" t="n">
        <v>471</v>
      </c>
      <c r="E30" s="18" t="n">
        <v>79.13277986999999</v>
      </c>
      <c r="F30" s="20" t="n">
        <v>1.95373941</v>
      </c>
      <c r="G30" s="18" t="n">
        <v>18.16837233</v>
      </c>
      <c r="H30" s="20" t="n">
        <v>1.97997425</v>
      </c>
      <c r="I30" s="18" t="n">
        <v>0</v>
      </c>
      <c r="J30" s="20" t="n">
        <v>0</v>
      </c>
      <c r="K30" s="18" t="n">
        <v>0</v>
      </c>
      <c r="L30" s="20" t="n">
        <v>0</v>
      </c>
      <c r="M30" s="18" t="n">
        <v>0</v>
      </c>
      <c r="N30" s="20" t="n">
        <v>0</v>
      </c>
      <c r="O30" s="18" t="n">
        <v>0</v>
      </c>
      <c r="P30" s="20" t="n">
        <v>0</v>
      </c>
      <c r="Q30" s="18" t="n">
        <v>2.69884779</v>
      </c>
      <c r="R30" s="20" t="n">
        <v>0.69158556</v>
      </c>
    </row>
    <row r="31" spans="1:18">
      <c r="A31" s="15" t="s">
        <v>589</v>
      </c>
      <c r="B31" s="17" t="n">
        <v>2706</v>
      </c>
      <c r="C31" s="18">
        <f>(2116.0/B31*100)</f>
        <v/>
      </c>
      <c r="D31" s="19" t="n">
        <v>590</v>
      </c>
      <c r="E31" s="18" t="n">
        <v>77.69210282</v>
      </c>
      <c r="F31" s="20" t="n">
        <v>1.6460158</v>
      </c>
      <c r="G31" s="18" t="n">
        <v>19.48282117</v>
      </c>
      <c r="H31" s="20" t="n">
        <v>1.53529517</v>
      </c>
      <c r="I31" s="18" t="n">
        <v>0</v>
      </c>
      <c r="J31" s="20" t="n">
        <v>0</v>
      </c>
      <c r="K31" s="18" t="n">
        <v>0.31421085</v>
      </c>
      <c r="L31" s="20" t="n">
        <v>0.21581813</v>
      </c>
      <c r="M31" s="18" t="n">
        <v>0</v>
      </c>
      <c r="N31" s="20" t="n">
        <v>0</v>
      </c>
      <c r="O31" s="18" t="n">
        <v>0</v>
      </c>
      <c r="P31" s="20" t="n">
        <v>0</v>
      </c>
      <c r="Q31" s="18" t="n">
        <v>2.51086516</v>
      </c>
      <c r="R31" s="20" t="n">
        <v>0.53013141</v>
      </c>
    </row>
    <row r="32" spans="1:18">
      <c r="A32" s="15" t="s">
        <v>590</v>
      </c>
      <c r="B32" s="17" t="n">
        <v>2209</v>
      </c>
      <c r="C32" s="18">
        <f>(1756.0/B32*100)</f>
        <v/>
      </c>
      <c r="D32" s="19" t="n">
        <v>453</v>
      </c>
      <c r="E32" s="18" t="n">
        <v>75.45885751</v>
      </c>
      <c r="F32" s="20" t="n">
        <v>2.62231873</v>
      </c>
      <c r="G32" s="18" t="n">
        <v>20.93137136</v>
      </c>
      <c r="H32" s="20" t="n">
        <v>2.54714442</v>
      </c>
      <c r="I32" s="18" t="n">
        <v>0</v>
      </c>
      <c r="J32" s="20" t="n">
        <v>0</v>
      </c>
      <c r="K32" s="18" t="n">
        <v>0</v>
      </c>
      <c r="L32" s="20" t="n">
        <v>0</v>
      </c>
      <c r="M32" s="18" t="n">
        <v>0</v>
      </c>
      <c r="N32" s="20" t="n">
        <v>0</v>
      </c>
      <c r="O32" s="18" t="n">
        <v>0</v>
      </c>
      <c r="P32" s="20" t="n">
        <v>0</v>
      </c>
      <c r="Q32" s="18" t="n">
        <v>3.60977113</v>
      </c>
      <c r="R32" s="20" t="n">
        <v>0.83059064</v>
      </c>
    </row>
    <row r="33" spans="1:18">
      <c r="A33" s="15" t="s">
        <v>591</v>
      </c>
      <c r="B33" s="17" t="n">
        <v>3651</v>
      </c>
      <c r="C33" s="18">
        <f>(2906.0/B33*100)</f>
        <v/>
      </c>
      <c r="D33" s="19" t="n">
        <v>745</v>
      </c>
      <c r="E33" s="18" t="n">
        <v>79.14256837000001</v>
      </c>
      <c r="F33" s="20" t="n">
        <v>2.06532782</v>
      </c>
      <c r="G33" s="18" t="n">
        <v>17.94318051</v>
      </c>
      <c r="H33" s="20" t="n">
        <v>2.06763908</v>
      </c>
      <c r="I33" s="18" t="n">
        <v>0</v>
      </c>
      <c r="J33" s="20" t="n">
        <v>0</v>
      </c>
      <c r="K33" s="18" t="n">
        <v>0.19241465</v>
      </c>
      <c r="L33" s="20" t="n">
        <v>0.19225584</v>
      </c>
      <c r="M33" s="18" t="n">
        <v>0</v>
      </c>
      <c r="N33" s="20" t="n">
        <v>0</v>
      </c>
      <c r="O33" s="18" t="n">
        <v>0</v>
      </c>
      <c r="P33" s="20" t="n">
        <v>0</v>
      </c>
      <c r="Q33" s="18" t="n">
        <v>2.72183648</v>
      </c>
      <c r="R33" s="20" t="n">
        <v>0.80988214</v>
      </c>
    </row>
    <row r="34" spans="1:18">
      <c r="A34" s="15" t="s">
        <v>592</v>
      </c>
      <c r="B34" s="17" t="n">
        <v>3035</v>
      </c>
      <c r="C34" s="18">
        <f>(2378.0/B34*100)</f>
        <v/>
      </c>
      <c r="D34" s="19" t="n">
        <v>657</v>
      </c>
      <c r="E34" s="18" t="n">
        <v>80.73465332000001</v>
      </c>
      <c r="F34" s="20" t="n">
        <v>1.73026162</v>
      </c>
      <c r="G34" s="18" t="n">
        <v>17.53567964</v>
      </c>
      <c r="H34" s="20" t="n">
        <v>1.73742568</v>
      </c>
      <c r="I34" s="18" t="n">
        <v>0</v>
      </c>
      <c r="J34" s="20" t="n">
        <v>0</v>
      </c>
      <c r="K34" s="18" t="n">
        <v>0</v>
      </c>
      <c r="L34" s="20" t="n">
        <v>0</v>
      </c>
      <c r="M34" s="18" t="n">
        <v>0</v>
      </c>
      <c r="N34" s="20" t="n">
        <v>0</v>
      </c>
      <c r="O34" s="18" t="n">
        <v>0</v>
      </c>
      <c r="P34" s="20" t="n">
        <v>0</v>
      </c>
      <c r="Q34" s="18" t="n">
        <v>1.72966705</v>
      </c>
      <c r="R34" s="20" t="n">
        <v>0.59477912</v>
      </c>
    </row>
    <row r="35" spans="1:18">
      <c r="A35" s="15" t="s">
        <v>593</v>
      </c>
      <c r="B35" s="17" t="n">
        <v>2901</v>
      </c>
      <c r="C35" s="18">
        <f>(2247.0/B35*100)</f>
        <v/>
      </c>
      <c r="D35" s="19" t="n">
        <v>654</v>
      </c>
      <c r="E35" s="18" t="n">
        <v>79.52883119000001</v>
      </c>
      <c r="F35" s="20" t="n">
        <v>1.74557737</v>
      </c>
      <c r="G35" s="18" t="n">
        <v>19.19085087</v>
      </c>
      <c r="H35" s="20" t="n">
        <v>1.77722444</v>
      </c>
      <c r="I35" s="18" t="n">
        <v>0</v>
      </c>
      <c r="J35" s="20" t="n">
        <v>0</v>
      </c>
      <c r="K35" s="18" t="n">
        <v>0</v>
      </c>
      <c r="L35" s="20" t="n">
        <v>0</v>
      </c>
      <c r="M35" s="18" t="n">
        <v>0</v>
      </c>
      <c r="N35" s="20" t="n">
        <v>0</v>
      </c>
      <c r="O35" s="18" t="n">
        <v>0</v>
      </c>
      <c r="P35" s="20" t="n">
        <v>0</v>
      </c>
      <c r="Q35" s="18" t="n">
        <v>1.28031794</v>
      </c>
      <c r="R35" s="20" t="n">
        <v>0.40990001</v>
      </c>
    </row>
    <row r="36" spans="1:18">
      <c r="A36" s="15" t="s">
        <v>594</v>
      </c>
      <c r="B36" s="17" t="n">
        <v>3404</v>
      </c>
      <c r="C36" s="18">
        <f>(2669.0/B36*100)</f>
        <v/>
      </c>
      <c r="D36" s="19" t="n">
        <v>735</v>
      </c>
      <c r="E36" s="18" t="n">
        <v>82.88534969</v>
      </c>
      <c r="F36" s="20" t="n">
        <v>1.34862434</v>
      </c>
      <c r="G36" s="18" t="n">
        <v>15.44566024</v>
      </c>
      <c r="H36" s="20" t="n">
        <v>1.26756619</v>
      </c>
      <c r="I36" s="18" t="n">
        <v>0</v>
      </c>
      <c r="J36" s="20" t="n">
        <v>0</v>
      </c>
      <c r="K36" s="18" t="n">
        <v>0.16937235</v>
      </c>
      <c r="L36" s="20" t="n">
        <v>0.17724383</v>
      </c>
      <c r="M36" s="18" t="n">
        <v>0</v>
      </c>
      <c r="N36" s="20" t="n">
        <v>0</v>
      </c>
      <c r="O36" s="18" t="n">
        <v>0</v>
      </c>
      <c r="P36" s="20" t="n">
        <v>0</v>
      </c>
      <c r="Q36" s="18" t="n">
        <v>1.49961772</v>
      </c>
      <c r="R36" s="20" t="n">
        <v>0.45440787</v>
      </c>
    </row>
    <row r="37" spans="1:18">
      <c r="A37" s="15" t="s">
        <v>595</v>
      </c>
      <c r="B37" s="17" t="n">
        <v>2731</v>
      </c>
      <c r="C37" s="18">
        <f>(2134.0/B37*100)</f>
        <v/>
      </c>
      <c r="D37" s="19" t="n">
        <v>597</v>
      </c>
      <c r="E37" s="18" t="n">
        <v>81.94388336</v>
      </c>
      <c r="F37" s="20" t="n">
        <v>1.61567773</v>
      </c>
      <c r="G37" s="18" t="n">
        <v>14.70663977</v>
      </c>
      <c r="H37" s="20" t="n">
        <v>1.46696687</v>
      </c>
      <c r="I37" s="18" t="n">
        <v>0</v>
      </c>
      <c r="J37" s="20" t="n">
        <v>0</v>
      </c>
      <c r="K37" s="18" t="n">
        <v>0.14482562</v>
      </c>
      <c r="L37" s="20" t="n">
        <v>0.14380839</v>
      </c>
      <c r="M37" s="18" t="n">
        <v>0</v>
      </c>
      <c r="N37" s="20" t="n">
        <v>0</v>
      </c>
      <c r="O37" s="18" t="n">
        <v>0</v>
      </c>
      <c r="P37" s="20" t="n">
        <v>0</v>
      </c>
      <c r="Q37" s="18" t="n">
        <v>3.20465124</v>
      </c>
      <c r="R37" s="20" t="n">
        <v>0.77741034</v>
      </c>
    </row>
    <row r="38" spans="1:18">
      <c r="A38" s="15" t="s">
        <v>596</v>
      </c>
      <c r="B38" s="17" t="n">
        <v>2807</v>
      </c>
      <c r="C38" s="18">
        <f>(2165.0/B38*100)</f>
        <v/>
      </c>
      <c r="D38" s="19" t="n">
        <v>642</v>
      </c>
      <c r="E38" s="18" t="n">
        <v>75.01795711</v>
      </c>
      <c r="F38" s="20" t="n">
        <v>2.00953009</v>
      </c>
      <c r="G38" s="18" t="n">
        <v>21.10202433</v>
      </c>
      <c r="H38" s="20" t="n">
        <v>1.9237325</v>
      </c>
      <c r="I38" s="18" t="n">
        <v>0</v>
      </c>
      <c r="J38" s="20" t="n">
        <v>0</v>
      </c>
      <c r="K38" s="18" t="n">
        <v>0.03034753</v>
      </c>
      <c r="L38" s="20" t="n">
        <v>0.02942735</v>
      </c>
      <c r="M38" s="18" t="n">
        <v>0</v>
      </c>
      <c r="N38" s="20" t="n">
        <v>0</v>
      </c>
      <c r="O38" s="18" t="n">
        <v>0</v>
      </c>
      <c r="P38" s="20" t="n">
        <v>0</v>
      </c>
      <c r="Q38" s="18" t="n">
        <v>3.84967102</v>
      </c>
      <c r="R38" s="20" t="n">
        <v>0.80352664</v>
      </c>
    </row>
    <row r="39" spans="1:18">
      <c r="A39" s="15" t="s">
        <v>597</v>
      </c>
      <c r="B39" s="17" t="n">
        <v>2938</v>
      </c>
      <c r="C39" s="18">
        <f>(2274.0/B39*100)</f>
        <v/>
      </c>
      <c r="D39" s="19" t="n">
        <v>664</v>
      </c>
      <c r="E39" s="18" t="n">
        <v>77.20281666</v>
      </c>
      <c r="F39" s="20" t="n">
        <v>1.61978333</v>
      </c>
      <c r="G39" s="18" t="n">
        <v>20.28298808</v>
      </c>
      <c r="H39" s="20" t="n">
        <v>1.60404606</v>
      </c>
      <c r="I39" s="18" t="n">
        <v>0</v>
      </c>
      <c r="J39" s="20" t="n">
        <v>0</v>
      </c>
      <c r="K39" s="18" t="n">
        <v>0</v>
      </c>
      <c r="L39" s="20" t="n">
        <v>0</v>
      </c>
      <c r="M39" s="18" t="n">
        <v>0</v>
      </c>
      <c r="N39" s="20" t="n">
        <v>0</v>
      </c>
      <c r="O39" s="18" t="n">
        <v>0</v>
      </c>
      <c r="P39" s="20" t="n">
        <v>0</v>
      </c>
      <c r="Q39" s="18" t="n">
        <v>2.51419526</v>
      </c>
      <c r="R39" s="20" t="n">
        <v>0.61352545</v>
      </c>
    </row>
    <row r="40" spans="1:18">
      <c r="A40" s="15" t="s">
        <v>598</v>
      </c>
      <c r="B40" s="17" t="n">
        <v>6922</v>
      </c>
      <c r="C40" s="18">
        <f>(5473.0/B40*100)</f>
        <v/>
      </c>
      <c r="D40" s="19" t="n">
        <v>1449</v>
      </c>
      <c r="E40" s="18" t="n">
        <v>81.49436335</v>
      </c>
      <c r="F40" s="20" t="n">
        <v>1.60067535</v>
      </c>
      <c r="G40" s="18" t="n">
        <v>16.17686439</v>
      </c>
      <c r="H40" s="20" t="n">
        <v>1.67058289</v>
      </c>
      <c r="I40" s="18" t="n">
        <v>0</v>
      </c>
      <c r="J40" s="20" t="n">
        <v>0</v>
      </c>
      <c r="K40" s="18" t="n">
        <v>0.06572139</v>
      </c>
      <c r="L40" s="20" t="n">
        <v>0.03791519</v>
      </c>
      <c r="M40" s="18" t="n">
        <v>0</v>
      </c>
      <c r="N40" s="20" t="n">
        <v>0</v>
      </c>
      <c r="O40" s="18" t="n">
        <v>0</v>
      </c>
      <c r="P40" s="20" t="n">
        <v>0</v>
      </c>
      <c r="Q40" s="18" t="n">
        <v>2.26305088</v>
      </c>
      <c r="R40" s="20" t="n">
        <v>0.57234249</v>
      </c>
    </row>
    <row r="41" spans="1:18">
      <c r="A41" s="15" t="s">
        <v>599</v>
      </c>
      <c r="B41" s="17" t="n">
        <v>2854</v>
      </c>
      <c r="C41" s="18">
        <f>(2203.0/B41*100)</f>
        <v/>
      </c>
      <c r="D41" s="19" t="n">
        <v>651</v>
      </c>
      <c r="E41" s="18" t="n">
        <v>75.00053741000001</v>
      </c>
      <c r="F41" s="20" t="n">
        <v>1.622358</v>
      </c>
      <c r="G41" s="18" t="n">
        <v>20.64300521</v>
      </c>
      <c r="H41" s="20" t="n">
        <v>1.43440429</v>
      </c>
      <c r="I41" s="18" t="n">
        <v>0</v>
      </c>
      <c r="J41" s="20" t="n">
        <v>0</v>
      </c>
      <c r="K41" s="18" t="n">
        <v>0.2830875</v>
      </c>
      <c r="L41" s="20" t="n">
        <v>0.20242658</v>
      </c>
      <c r="M41" s="18" t="n">
        <v>0</v>
      </c>
      <c r="N41" s="20" t="n">
        <v>0</v>
      </c>
      <c r="O41" s="18" t="n">
        <v>0</v>
      </c>
      <c r="P41" s="20" t="n">
        <v>0</v>
      </c>
      <c r="Q41" s="18" t="n">
        <v>4.07336988</v>
      </c>
      <c r="R41" s="20" t="n">
        <v>0.84425492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(9779.0/B46*100)</f>
        <v/>
      </c>
      <c r="D46" s="19" t="n">
        <v>2294</v>
      </c>
      <c r="E46" s="18" t="n">
        <v>82.98654859</v>
      </c>
      <c r="F46" s="20" t="n">
        <v>1.01398413</v>
      </c>
      <c r="G46" s="18" t="n">
        <v>9.24191499</v>
      </c>
      <c r="H46" s="20" t="n">
        <v>0.74897682</v>
      </c>
      <c r="I46" s="18" t="n">
        <v>0</v>
      </c>
      <c r="J46" s="20" t="n">
        <v>0</v>
      </c>
      <c r="K46" s="18" t="n">
        <v>0.92651188</v>
      </c>
      <c r="L46" s="20" t="n">
        <v>0.33318817</v>
      </c>
      <c r="M46" s="18" t="n">
        <v>0</v>
      </c>
      <c r="N46" s="20" t="n">
        <v>0</v>
      </c>
      <c r="O46" s="18" t="n">
        <v>0</v>
      </c>
      <c r="P46" s="20" t="n">
        <v>0</v>
      </c>
      <c r="Q46" s="18" t="n">
        <v>6.84502454</v>
      </c>
      <c r="R46" s="20" t="n">
        <v>0.76668799</v>
      </c>
    </row>
    <row r="47" spans="1:18">
      <c r="A47" s="15" t="s">
        <v>606</v>
      </c>
      <c r="B47" s="17" t="n">
        <v>2823</v>
      </c>
      <c r="C47" s="18">
        <f>(2216.0/B47*100)</f>
        <v/>
      </c>
      <c r="D47" s="19" t="n">
        <v>607</v>
      </c>
      <c r="E47" s="18" t="n">
        <v>84.11767946000001</v>
      </c>
      <c r="F47" s="20" t="n">
        <v>1.32009811</v>
      </c>
      <c r="G47" s="18" t="n">
        <v>11.90145353</v>
      </c>
      <c r="H47" s="20" t="n">
        <v>1.22487396</v>
      </c>
      <c r="I47" s="18" t="n">
        <v>0</v>
      </c>
      <c r="J47" s="20" t="n">
        <v>0</v>
      </c>
      <c r="K47" s="18" t="n">
        <v>0.16643361</v>
      </c>
      <c r="L47" s="20" t="n">
        <v>0.16592027</v>
      </c>
      <c r="M47" s="18" t="n">
        <v>0</v>
      </c>
      <c r="N47" s="20" t="n">
        <v>0</v>
      </c>
      <c r="O47" s="18" t="n">
        <v>0</v>
      </c>
      <c r="P47" s="20" t="n">
        <v>0</v>
      </c>
      <c r="Q47" s="18" t="n">
        <v>3.81443339</v>
      </c>
      <c r="R47" s="20" t="n">
        <v>0.81050573</v>
      </c>
    </row>
    <row r="48" spans="1:18">
      <c r="A48" s="15" t="s">
        <v>607</v>
      </c>
      <c r="B48" s="17" t="n">
        <v>4682</v>
      </c>
      <c r="C48" s="18">
        <f>(3629.0/B48*100)</f>
        <v/>
      </c>
      <c r="D48" s="19" t="n">
        <v>1053</v>
      </c>
      <c r="E48" s="18" t="n">
        <v>68.51977587</v>
      </c>
      <c r="F48" s="20" t="n">
        <v>1.93113948</v>
      </c>
      <c r="G48" s="18" t="n">
        <v>29.10239752</v>
      </c>
      <c r="H48" s="20" t="n">
        <v>1.96551075</v>
      </c>
      <c r="I48" s="18" t="n">
        <v>0</v>
      </c>
      <c r="J48" s="20" t="n">
        <v>0</v>
      </c>
      <c r="K48" s="18" t="n">
        <v>0.72992166</v>
      </c>
      <c r="L48" s="20" t="n">
        <v>0.3274575</v>
      </c>
      <c r="M48" s="18" t="n">
        <v>0</v>
      </c>
      <c r="N48" s="20" t="n">
        <v>0</v>
      </c>
      <c r="O48" s="18" t="n">
        <v>0</v>
      </c>
      <c r="P48" s="20" t="n">
        <v>0</v>
      </c>
      <c r="Q48" s="18" t="n">
        <v>1.64790495</v>
      </c>
      <c r="R48" s="20" t="n">
        <v>0.45158404</v>
      </c>
    </row>
    <row r="49" spans="1:18">
      <c r="A49" s="15" t="s">
        <v>608</v>
      </c>
      <c r="B49" s="17" t="n">
        <v>6158</v>
      </c>
      <c r="C49" s="18">
        <f>(4836.0/B49*100)</f>
        <v/>
      </c>
      <c r="D49" s="19" t="n">
        <v>1322</v>
      </c>
      <c r="E49" s="18" t="n">
        <v>82.51139075</v>
      </c>
      <c r="F49" s="20" t="n">
        <v>1.30931075</v>
      </c>
      <c r="G49" s="18" t="n">
        <v>14.7928159</v>
      </c>
      <c r="H49" s="20" t="n">
        <v>1.21259236</v>
      </c>
      <c r="I49" s="18" t="n">
        <v>0</v>
      </c>
      <c r="J49" s="20" t="n">
        <v>0</v>
      </c>
      <c r="K49" s="18" t="n">
        <v>1.49750552</v>
      </c>
      <c r="L49" s="20" t="n">
        <v>0.46525678</v>
      </c>
      <c r="M49" s="18" t="n">
        <v>0</v>
      </c>
      <c r="N49" s="20" t="n">
        <v>0</v>
      </c>
      <c r="O49" s="18" t="n">
        <v>0</v>
      </c>
      <c r="P49" s="20" t="n">
        <v>0</v>
      </c>
      <c r="Q49" s="18" t="n">
        <v>1.19828784</v>
      </c>
      <c r="R49" s="20" t="n">
        <v>0.39055266</v>
      </c>
    </row>
    <row r="50" spans="1:18">
      <c r="A50" s="15" t="s">
        <v>609</v>
      </c>
      <c r="B50" s="17" t="n">
        <v>3494</v>
      </c>
      <c r="C50" s="18">
        <f>(2798.0/B50*100)</f>
        <v/>
      </c>
      <c r="D50" s="19" t="n">
        <v>696</v>
      </c>
      <c r="E50" s="18" t="n">
        <v>84.59273127</v>
      </c>
      <c r="F50" s="20" t="n">
        <v>1.32991382</v>
      </c>
      <c r="G50" s="18" t="n">
        <v>12.21339764</v>
      </c>
      <c r="H50" s="20" t="n">
        <v>1.35660974</v>
      </c>
      <c r="I50" s="18" t="n">
        <v>0</v>
      </c>
      <c r="J50" s="20" t="n">
        <v>0</v>
      </c>
      <c r="K50" s="18" t="n">
        <v>0</v>
      </c>
      <c r="L50" s="20" t="n">
        <v>0</v>
      </c>
      <c r="M50" s="18" t="n">
        <v>0</v>
      </c>
      <c r="N50" s="20" t="n">
        <v>0</v>
      </c>
      <c r="O50" s="18" t="n">
        <v>0</v>
      </c>
      <c r="P50" s="20" t="n">
        <v>0</v>
      </c>
      <c r="Q50" s="18" t="n">
        <v>3.19387109</v>
      </c>
      <c r="R50" s="20" t="n">
        <v>0.70376591</v>
      </c>
    </row>
    <row r="51" spans="1:18">
      <c r="A51" s="15" t="s">
        <v>610</v>
      </c>
      <c r="B51" s="17" t="n">
        <v>3013</v>
      </c>
      <c r="C51" s="18">
        <f>(2347.0/B51*100)</f>
        <v/>
      </c>
      <c r="D51" s="19" t="n">
        <v>666</v>
      </c>
      <c r="E51" s="18" t="n">
        <v>72.50968542</v>
      </c>
      <c r="F51" s="20" t="n">
        <v>1.61522934</v>
      </c>
      <c r="G51" s="18" t="n">
        <v>23.71344926</v>
      </c>
      <c r="H51" s="20" t="n">
        <v>1.53831641</v>
      </c>
      <c r="I51" s="18" t="n">
        <v>0</v>
      </c>
      <c r="J51" s="20" t="n">
        <v>0</v>
      </c>
      <c r="K51" s="18" t="n">
        <v>0.13845378</v>
      </c>
      <c r="L51" s="20" t="n">
        <v>0.138099</v>
      </c>
      <c r="M51" s="18" t="n">
        <v>0</v>
      </c>
      <c r="N51" s="20" t="n">
        <v>0</v>
      </c>
      <c r="O51" s="18" t="n">
        <v>0</v>
      </c>
      <c r="P51" s="20" t="n">
        <v>0</v>
      </c>
      <c r="Q51" s="18" t="n">
        <v>3.63841154</v>
      </c>
      <c r="R51" s="20" t="n">
        <v>0.80387852</v>
      </c>
    </row>
    <row r="52" spans="1:18">
      <c r="A52" s="15" t="s">
        <v>611</v>
      </c>
      <c r="B52" s="17" t="n">
        <v>2760</v>
      </c>
      <c r="C52" s="18">
        <f>(2144.0/B52*100)</f>
        <v/>
      </c>
      <c r="D52" s="19" t="n">
        <v>616</v>
      </c>
      <c r="E52" s="18" t="n">
        <v>83.86004610000001</v>
      </c>
      <c r="F52" s="20" t="n">
        <v>1.62665513</v>
      </c>
      <c r="G52" s="18" t="n">
        <v>13.23568638</v>
      </c>
      <c r="H52" s="20" t="n">
        <v>1.49749778</v>
      </c>
      <c r="I52" s="18" t="n">
        <v>0</v>
      </c>
      <c r="J52" s="20" t="n">
        <v>0</v>
      </c>
      <c r="K52" s="18" t="n">
        <v>0</v>
      </c>
      <c r="L52" s="20" t="n">
        <v>0</v>
      </c>
      <c r="M52" s="18" t="n">
        <v>0</v>
      </c>
      <c r="N52" s="20" t="n">
        <v>0</v>
      </c>
      <c r="O52" s="18" t="n">
        <v>0</v>
      </c>
      <c r="P52" s="20" t="n">
        <v>0</v>
      </c>
      <c r="Q52" s="18" t="n">
        <v>2.90426752</v>
      </c>
      <c r="R52" s="20" t="n">
        <v>0.70105573</v>
      </c>
    </row>
    <row r="53" spans="1:18">
      <c r="A53" s="15" t="s">
        <v>612</v>
      </c>
      <c r="B53" s="17" t="n">
        <v>2474</v>
      </c>
      <c r="C53" s="18">
        <f>(1942.0/B53*100)</f>
        <v/>
      </c>
      <c r="D53" s="19" t="n">
        <v>532</v>
      </c>
      <c r="E53" s="18" t="n">
        <v>73.23980867</v>
      </c>
      <c r="F53" s="20" t="n">
        <v>2.26177514</v>
      </c>
      <c r="G53" s="18" t="n">
        <v>10.4938994</v>
      </c>
      <c r="H53" s="20" t="n">
        <v>1.51121827</v>
      </c>
      <c r="I53" s="18" t="n">
        <v>0</v>
      </c>
      <c r="J53" s="20" t="n">
        <v>0</v>
      </c>
      <c r="K53" s="18" t="n">
        <v>10.77108224</v>
      </c>
      <c r="L53" s="20" t="n">
        <v>1.63474097</v>
      </c>
      <c r="M53" s="18" t="n">
        <v>0</v>
      </c>
      <c r="N53" s="20" t="n">
        <v>0</v>
      </c>
      <c r="O53" s="18" t="n">
        <v>0</v>
      </c>
      <c r="P53" s="20" t="n">
        <v>0</v>
      </c>
      <c r="Q53" s="18" t="n">
        <v>5.49520968</v>
      </c>
      <c r="R53" s="20" t="n">
        <v>1.00715933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(2042.0/B55*100)</f>
        <v/>
      </c>
      <c r="D55" s="19" t="n">
        <v>633</v>
      </c>
      <c r="E55" s="18" t="n">
        <v>74.1635429</v>
      </c>
      <c r="F55" s="20" t="n">
        <v>1.78325696</v>
      </c>
      <c r="G55" s="18" t="n">
        <v>24.8963378</v>
      </c>
      <c r="H55" s="20" t="n">
        <v>1.74394544</v>
      </c>
      <c r="I55" s="18" t="n">
        <v>0</v>
      </c>
      <c r="J55" s="20" t="n">
        <v>0</v>
      </c>
      <c r="K55" s="18" t="n">
        <v>0</v>
      </c>
      <c r="L55" s="20" t="n">
        <v>0</v>
      </c>
      <c r="M55" s="18" t="n">
        <v>0</v>
      </c>
      <c r="N55" s="20" t="n">
        <v>0</v>
      </c>
      <c r="O55" s="18" t="n">
        <v>0</v>
      </c>
      <c r="P55" s="20" t="n">
        <v>0</v>
      </c>
      <c r="Q55" s="18" t="n">
        <v>0.94011931</v>
      </c>
      <c r="R55" s="20" t="n">
        <v>0.3403241</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(2479.0/B61*100)</f>
        <v/>
      </c>
      <c r="D61" s="19" t="n">
        <v>722</v>
      </c>
      <c r="E61" s="18" t="n">
        <v>82.84461143999999</v>
      </c>
      <c r="F61" s="20" t="n">
        <v>1.45327478</v>
      </c>
      <c r="G61" s="18" t="n">
        <v>15.78161541</v>
      </c>
      <c r="H61" s="20" t="n">
        <v>1.45108588</v>
      </c>
      <c r="I61" s="18" t="n">
        <v>0</v>
      </c>
      <c r="J61" s="20" t="n">
        <v>0</v>
      </c>
      <c r="K61" s="18" t="n">
        <v>0</v>
      </c>
      <c r="L61" s="20" t="n">
        <v>0</v>
      </c>
      <c r="M61" s="18" t="n">
        <v>0</v>
      </c>
      <c r="N61" s="20" t="n">
        <v>0</v>
      </c>
      <c r="O61" s="18" t="n">
        <v>0</v>
      </c>
      <c r="P61" s="20" t="n">
        <v>0</v>
      </c>
      <c r="Q61" s="18" t="n">
        <v>1.37377315</v>
      </c>
      <c r="R61" s="20" t="n">
        <v>0.45533891</v>
      </c>
    </row>
    <row r="62" spans="1:18">
      <c r="A62" s="15" t="s">
        <v>622</v>
      </c>
      <c r="B62" s="17" t="n">
        <v>2230</v>
      </c>
      <c r="C62" s="18">
        <f>(1728.0/B62*100)</f>
        <v/>
      </c>
      <c r="D62" s="19" t="n">
        <v>502</v>
      </c>
      <c r="E62" s="18" t="n">
        <v>77.15690403000001</v>
      </c>
      <c r="F62" s="20" t="n">
        <v>1.97368395</v>
      </c>
      <c r="G62" s="18" t="n">
        <v>21.83603877</v>
      </c>
      <c r="H62" s="20" t="n">
        <v>1.90337256</v>
      </c>
      <c r="I62" s="18" t="n">
        <v>0</v>
      </c>
      <c r="J62" s="20" t="n">
        <v>0</v>
      </c>
      <c r="K62" s="18" t="n">
        <v>0</v>
      </c>
      <c r="L62" s="20" t="n">
        <v>0</v>
      </c>
      <c r="M62" s="18" t="n">
        <v>0</v>
      </c>
      <c r="N62" s="20" t="n">
        <v>0</v>
      </c>
      <c r="O62" s="18" t="n">
        <v>0</v>
      </c>
      <c r="P62" s="20" t="n">
        <v>0</v>
      </c>
      <c r="Q62" s="18" t="n">
        <v>1.0070572</v>
      </c>
      <c r="R62" s="20" t="n">
        <v>0.44923968</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(2172.0/B67*100)</f>
        <v/>
      </c>
      <c r="D67" s="19" t="n">
        <v>599</v>
      </c>
      <c r="E67" s="18" t="n">
        <v>75.22021735</v>
      </c>
      <c r="F67" s="20" t="n">
        <v>1.82185431</v>
      </c>
      <c r="G67" s="18" t="n">
        <v>17.24006372</v>
      </c>
      <c r="H67" s="20" t="n">
        <v>1.60165232</v>
      </c>
      <c r="I67" s="18" t="n">
        <v>0</v>
      </c>
      <c r="J67" s="20" t="n">
        <v>0</v>
      </c>
      <c r="K67" s="18" t="n">
        <v>0</v>
      </c>
      <c r="L67" s="20" t="n">
        <v>0</v>
      </c>
      <c r="M67" s="18" t="n">
        <v>0</v>
      </c>
      <c r="N67" s="20" t="n">
        <v>0</v>
      </c>
      <c r="O67" s="18" t="n">
        <v>0</v>
      </c>
      <c r="P67" s="20" t="n">
        <v>0</v>
      </c>
      <c r="Q67" s="18" t="n">
        <v>7.53971893</v>
      </c>
      <c r="R67" s="20" t="n">
        <v>1.21083416</v>
      </c>
    </row>
    <row r="68" spans="1:18">
      <c r="A68" s="15" t="s">
        <v>628</v>
      </c>
      <c r="B68" s="17" t="n">
        <v>3460</v>
      </c>
      <c r="C68" s="18">
        <f>(2794.0/B68*100)</f>
        <v/>
      </c>
      <c r="D68" s="19" t="n">
        <v>666</v>
      </c>
      <c r="E68" s="18" t="n">
        <v>81.46316152</v>
      </c>
      <c r="F68" s="20" t="n">
        <v>1.62180748</v>
      </c>
      <c r="G68" s="18" t="n">
        <v>14.87834042</v>
      </c>
      <c r="H68" s="20" t="n">
        <v>1.47760843</v>
      </c>
      <c r="I68" s="18" t="n">
        <v>0</v>
      </c>
      <c r="J68" s="20" t="n">
        <v>0</v>
      </c>
      <c r="K68" s="18" t="n">
        <v>0.14143718</v>
      </c>
      <c r="L68" s="20" t="n">
        <v>0.1375142</v>
      </c>
      <c r="M68" s="18" t="n">
        <v>0</v>
      </c>
      <c r="N68" s="20" t="n">
        <v>0</v>
      </c>
      <c r="O68" s="18" t="n">
        <v>0</v>
      </c>
      <c r="P68" s="20" t="n">
        <v>0</v>
      </c>
      <c r="Q68" s="18" t="n">
        <v>3.51706088</v>
      </c>
      <c r="R68" s="20" t="n">
        <v>0.71273378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(4652.0/B70*100)</f>
        <v/>
      </c>
      <c r="D70" s="19" t="n">
        <v>1382</v>
      </c>
      <c r="E70" s="18" t="n">
        <v>85.45152842</v>
      </c>
      <c r="F70" s="20" t="n">
        <v>0.99890261</v>
      </c>
      <c r="G70" s="18" t="n">
        <v>10.35279006</v>
      </c>
      <c r="H70" s="20" t="n">
        <v>0.89146551</v>
      </c>
      <c r="I70" s="18" t="n">
        <v>0</v>
      </c>
      <c r="J70" s="20" t="n">
        <v>0</v>
      </c>
      <c r="K70" s="18" t="n">
        <v>1.51056744</v>
      </c>
      <c r="L70" s="20" t="n">
        <v>0.30518882</v>
      </c>
      <c r="M70" s="18" t="n">
        <v>0</v>
      </c>
      <c r="N70" s="20" t="n">
        <v>0</v>
      </c>
      <c r="O70" s="18" t="n">
        <v>0</v>
      </c>
      <c r="P70" s="20" t="n">
        <v>0</v>
      </c>
      <c r="Q70" s="18" t="n">
        <v>2.68511409</v>
      </c>
      <c r="R70" s="20" t="n">
        <v>0.43537925</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(2506.0/B72*100)</f>
        <v/>
      </c>
      <c r="D72" s="19" t="n">
        <v>601</v>
      </c>
      <c r="E72" s="18" t="n">
        <v>83.58260946999999</v>
      </c>
      <c r="F72" s="20" t="n">
        <v>1.78394998</v>
      </c>
      <c r="G72" s="18" t="n">
        <v>13.08544311</v>
      </c>
      <c r="H72" s="20" t="n">
        <v>1.47757623</v>
      </c>
      <c r="I72" s="18" t="n">
        <v>0</v>
      </c>
      <c r="J72" s="20" t="n">
        <v>0</v>
      </c>
      <c r="K72" s="18" t="n">
        <v>0.38346702</v>
      </c>
      <c r="L72" s="20" t="n">
        <v>0.20070253</v>
      </c>
      <c r="M72" s="18" t="n">
        <v>0</v>
      </c>
      <c r="N72" s="20" t="n">
        <v>0</v>
      </c>
      <c r="O72" s="18" t="n">
        <v>0</v>
      </c>
      <c r="P72" s="20" t="n">
        <v>0</v>
      </c>
      <c r="Q72" s="18" t="n">
        <v>2.9484804</v>
      </c>
      <c r="R72" s="20" t="n">
        <v>0.7274858</v>
      </c>
    </row>
    <row r="73" spans="1:18">
      <c r="A73" s="15" t="s">
        <v>633</v>
      </c>
      <c r="B73" s="17" t="n">
        <v>2973</v>
      </c>
      <c r="C73" s="18">
        <f>(2331.0/B73*100)</f>
        <v/>
      </c>
      <c r="D73" s="19" t="n">
        <v>642</v>
      </c>
      <c r="E73" s="18" t="n">
        <v>76.42636797999999</v>
      </c>
      <c r="F73" s="20" t="n">
        <v>1.5043659</v>
      </c>
      <c r="G73" s="18" t="n">
        <v>21.61131595</v>
      </c>
      <c r="H73" s="20" t="n">
        <v>1.49076661</v>
      </c>
      <c r="I73" s="18" t="n">
        <v>0</v>
      </c>
      <c r="J73" s="20" t="n">
        <v>0</v>
      </c>
      <c r="K73" s="18" t="n">
        <v>0.3379636</v>
      </c>
      <c r="L73" s="20" t="n">
        <v>0.23921259</v>
      </c>
      <c r="M73" s="18" t="n">
        <v>0</v>
      </c>
      <c r="N73" s="20" t="n">
        <v>0</v>
      </c>
      <c r="O73" s="18" t="n">
        <v>0</v>
      </c>
      <c r="P73" s="20" t="n">
        <v>0</v>
      </c>
      <c r="Q73" s="18" t="n">
        <v>1.62435247</v>
      </c>
      <c r="R73" s="20" t="n">
        <v>0.534694</v>
      </c>
    </row>
    <row r="74" spans="1:18">
      <c r="A74" s="15" t="s">
        <v>634</v>
      </c>
      <c r="B74" s="17" t="n">
        <v>3819</v>
      </c>
      <c r="C74" s="18">
        <f>(2977.0/B74*100)</f>
        <v/>
      </c>
      <c r="D74" s="19" t="n">
        <v>842</v>
      </c>
      <c r="E74" s="18" t="n">
        <v>69.13819375</v>
      </c>
      <c r="F74" s="20" t="n">
        <v>2.07231766</v>
      </c>
      <c r="G74" s="18" t="n">
        <v>30.07311382</v>
      </c>
      <c r="H74" s="20" t="n">
        <v>2.0645984</v>
      </c>
      <c r="I74" s="18" t="n">
        <v>0</v>
      </c>
      <c r="J74" s="20" t="n">
        <v>0</v>
      </c>
      <c r="K74" s="18" t="n">
        <v>0</v>
      </c>
      <c r="L74" s="20" t="n">
        <v>0</v>
      </c>
      <c r="M74" s="18" t="n">
        <v>0</v>
      </c>
      <c r="N74" s="20" t="n">
        <v>0</v>
      </c>
      <c r="O74" s="18" t="n">
        <v>0</v>
      </c>
      <c r="P74" s="20" t="n">
        <v>0</v>
      </c>
      <c r="Q74" s="18" t="n">
        <v>0.7886924400000001</v>
      </c>
      <c r="R74" s="20" t="n">
        <v>0.30334949</v>
      </c>
    </row>
    <row r="75" spans="1:18">
      <c r="A75" s="15" t="s">
        <v>635</v>
      </c>
      <c r="B75" s="17" t="n">
        <v>4652</v>
      </c>
      <c r="C75" s="18">
        <f>(3661.0/B75*100)</f>
        <v/>
      </c>
      <c r="D75" s="19" t="n">
        <v>991</v>
      </c>
      <c r="E75" s="18" t="n">
        <v>78.16467802</v>
      </c>
      <c r="F75" s="20" t="n">
        <v>1.84678524</v>
      </c>
      <c r="G75" s="18" t="n">
        <v>17.70780721</v>
      </c>
      <c r="H75" s="20" t="n">
        <v>1.7470486</v>
      </c>
      <c r="I75" s="18" t="n">
        <v>0</v>
      </c>
      <c r="J75" s="20" t="n">
        <v>0</v>
      </c>
      <c r="K75" s="18" t="n">
        <v>0</v>
      </c>
      <c r="L75" s="20" t="n">
        <v>0</v>
      </c>
      <c r="M75" s="18" t="n">
        <v>0</v>
      </c>
      <c r="N75" s="20" t="n">
        <v>0</v>
      </c>
      <c r="O75" s="18" t="n">
        <v>0</v>
      </c>
      <c r="P75" s="20" t="n">
        <v>0</v>
      </c>
      <c r="Q75" s="18" t="n">
        <v>4.12751477</v>
      </c>
      <c r="R75" s="20" t="n">
        <v>0.74653121</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(2393.0/B77*100)</f>
        <v/>
      </c>
      <c r="D77" s="19" t="n">
        <v>576</v>
      </c>
      <c r="E77" s="18" t="n">
        <v>78.48137615</v>
      </c>
      <c r="F77" s="20" t="n">
        <v>1.98253408</v>
      </c>
      <c r="G77" s="18" t="n">
        <v>15.33097655</v>
      </c>
      <c r="H77" s="20" t="n">
        <v>1.62229641</v>
      </c>
      <c r="I77" s="18" t="n">
        <v>0</v>
      </c>
      <c r="J77" s="20" t="n">
        <v>0</v>
      </c>
      <c r="K77" s="18" t="n">
        <v>2.34553711</v>
      </c>
      <c r="L77" s="20" t="n">
        <v>0.66113029</v>
      </c>
      <c r="M77" s="18" t="n">
        <v>0</v>
      </c>
      <c r="N77" s="20" t="n">
        <v>0</v>
      </c>
      <c r="O77" s="18" t="n">
        <v>0</v>
      </c>
      <c r="P77" s="20" t="n">
        <v>0</v>
      </c>
      <c r="Q77" s="18" t="n">
        <v>3.84211018</v>
      </c>
      <c r="R77" s="20" t="n">
        <v>0.84275092</v>
      </c>
    </row>
    <row r="78" spans="1:18">
      <c r="A78" s="15" t="s">
        <v>638</v>
      </c>
      <c r="B78" s="17" t="n">
        <v>7115</v>
      </c>
      <c r="C78" s="18">
        <f>(5567.0/B78*100)</f>
        <v/>
      </c>
      <c r="D78" s="19" t="n">
        <v>1548</v>
      </c>
      <c r="E78" s="18" t="n">
        <v>83.79621856999999</v>
      </c>
      <c r="F78" s="20" t="n">
        <v>1.17143194</v>
      </c>
      <c r="G78" s="18" t="n">
        <v>11.47299435</v>
      </c>
      <c r="H78" s="20" t="n">
        <v>0.91611701</v>
      </c>
      <c r="I78" s="18" t="n">
        <v>0</v>
      </c>
      <c r="J78" s="20" t="n">
        <v>0</v>
      </c>
      <c r="K78" s="18" t="n">
        <v>0.2741105</v>
      </c>
      <c r="L78" s="20" t="n">
        <v>0.12562178</v>
      </c>
      <c r="M78" s="18" t="n">
        <v>0</v>
      </c>
      <c r="N78" s="20" t="n">
        <v>0</v>
      </c>
      <c r="O78" s="18" t="n">
        <v>0</v>
      </c>
      <c r="P78" s="20" t="n">
        <v>0</v>
      </c>
      <c r="Q78" s="18" t="n">
        <v>4.45667659</v>
      </c>
      <c r="R78" s="20" t="n">
        <v>0.89986423</v>
      </c>
    </row>
    <row r="79" spans="1:18">
      <c r="A79" s="15" t="s">
        <v>639</v>
      </c>
      <c r="B79" s="17" t="n">
        <v>3154</v>
      </c>
      <c r="C79" s="18">
        <f>(2464.0/B79*100)</f>
        <v/>
      </c>
      <c r="D79" s="19" t="n">
        <v>690</v>
      </c>
      <c r="E79" s="18" t="n">
        <v>81.21048844000001</v>
      </c>
      <c r="F79" s="20" t="n">
        <v>1.68346323</v>
      </c>
      <c r="G79" s="18" t="n">
        <v>14.55164413</v>
      </c>
      <c r="H79" s="20" t="n">
        <v>1.68571853</v>
      </c>
      <c r="I79" s="18" t="n">
        <v>0</v>
      </c>
      <c r="J79" s="20" t="n">
        <v>0</v>
      </c>
      <c r="K79" s="18" t="n">
        <v>0.28675491</v>
      </c>
      <c r="L79" s="20" t="n">
        <v>0.18922953</v>
      </c>
      <c r="M79" s="18" t="n">
        <v>0</v>
      </c>
      <c r="N79" s="20" t="n">
        <v>0</v>
      </c>
      <c r="O79" s="18" t="n">
        <v>0</v>
      </c>
      <c r="P79" s="20" t="n">
        <v>0</v>
      </c>
      <c r="Q79" s="18" t="n">
        <v>3.95111252</v>
      </c>
      <c r="R79" s="20" t="n">
        <v>0.59661486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(12455.0/B82*100)</f>
        <v/>
      </c>
      <c r="D82" s="19" t="n">
        <v>3506</v>
      </c>
      <c r="E82" s="18" t="n">
        <v>82.32775211000001</v>
      </c>
      <c r="F82" s="20" t="n">
        <v>0.85862888</v>
      </c>
      <c r="G82" s="18" t="n">
        <v>15.85042657</v>
      </c>
      <c r="H82" s="20" t="n">
        <v>0.84609754</v>
      </c>
      <c r="I82" s="18" t="n">
        <v>0</v>
      </c>
      <c r="J82" s="20" t="n">
        <v>0</v>
      </c>
      <c r="K82" s="18" t="n">
        <v>0.12889866</v>
      </c>
      <c r="L82" s="20" t="n">
        <v>0.09468565</v>
      </c>
      <c r="M82" s="18" t="n">
        <v>0</v>
      </c>
      <c r="N82" s="20" t="n">
        <v>0</v>
      </c>
      <c r="O82" s="18" t="n">
        <v>0</v>
      </c>
      <c r="P82" s="20" t="n">
        <v>0</v>
      </c>
      <c r="Q82" s="18" t="n">
        <v>1.69292266</v>
      </c>
      <c r="R82" s="20" t="n">
        <v>0.27322898</v>
      </c>
    </row>
    <row r="83" spans="1:18">
      <c r="A83" s="15" t="s">
        <v>643</v>
      </c>
      <c r="B83" s="17" t="n">
        <v>808</v>
      </c>
      <c r="C83" s="18">
        <f>(633.0/B83*100)</f>
        <v/>
      </c>
      <c r="D83" s="19" t="n">
        <v>175</v>
      </c>
      <c r="E83" s="18" t="n">
        <v>78.29600910000001</v>
      </c>
      <c r="F83" s="20" t="n">
        <v>3.52808269</v>
      </c>
      <c r="G83" s="18" t="n">
        <v>20.38149074</v>
      </c>
      <c r="H83" s="20" t="n">
        <v>3.61797671</v>
      </c>
      <c r="I83" s="18" t="n">
        <v>0</v>
      </c>
      <c r="J83" s="20" t="n">
        <v>0</v>
      </c>
      <c r="K83" s="18" t="n">
        <v>0</v>
      </c>
      <c r="L83" s="20" t="n">
        <v>0</v>
      </c>
      <c r="M83" s="18" t="n">
        <v>0</v>
      </c>
      <c r="N83" s="20" t="n">
        <v>0</v>
      </c>
      <c r="O83" s="18" t="n">
        <v>0</v>
      </c>
      <c r="P83" s="20" t="n">
        <v>0</v>
      </c>
      <c r="Q83" s="18" t="n">
        <v>1.32250015</v>
      </c>
      <c r="R83" s="20" t="n">
        <v>0.92291254</v>
      </c>
    </row>
    <row r="84" spans="1:18">
      <c r="A84" s="23" t="s">
        <v>644</v>
      </c>
      <c r="B84" s="24" t="n">
        <v>938</v>
      </c>
      <c r="C84" s="25">
        <f>(739.0/B84*100)</f>
        <v/>
      </c>
      <c r="D84" s="19" t="n">
        <v>199</v>
      </c>
      <c r="E84" s="18" t="n">
        <v>78.29979408</v>
      </c>
      <c r="F84" s="20" t="n">
        <v>2.84514019</v>
      </c>
      <c r="G84" s="18" t="n">
        <v>20.32828977</v>
      </c>
      <c r="H84" s="20" t="n">
        <v>2.68389759</v>
      </c>
      <c r="I84" s="18" t="n">
        <v>0</v>
      </c>
      <c r="J84" s="20" t="n">
        <v>0</v>
      </c>
      <c r="K84" s="18" t="n">
        <v>0</v>
      </c>
      <c r="L84" s="20" t="n">
        <v>0</v>
      </c>
      <c r="M84" s="18" t="n">
        <v>0</v>
      </c>
      <c r="N84" s="20" t="n">
        <v>0</v>
      </c>
      <c r="O84" s="18" t="n">
        <v>0</v>
      </c>
      <c r="P84" s="20" t="n">
        <v>0</v>
      </c>
      <c r="Q84" s="18" t="n">
        <v>1.37191615</v>
      </c>
      <c r="R84" s="20" t="n">
        <v>0.78461987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(5607.0/B7*100)</f>
        <v/>
      </c>
      <c r="D7" s="19" t="n">
        <v>1556</v>
      </c>
      <c r="E7" s="18" t="n">
        <v>49.09223169</v>
      </c>
      <c r="F7" s="20" t="n">
        <v>1.74541452</v>
      </c>
      <c r="G7" s="18" t="n">
        <v>49.72985143</v>
      </c>
      <c r="H7" s="20" t="n">
        <v>1.78075148</v>
      </c>
      <c r="I7" s="18" t="n">
        <v>0</v>
      </c>
      <c r="J7" s="20" t="n">
        <v>0</v>
      </c>
      <c r="K7" s="18" t="n">
        <v>0.31135853</v>
      </c>
      <c r="L7" s="20" t="n">
        <v>0.20002919</v>
      </c>
      <c r="M7" s="18" t="n">
        <v>0</v>
      </c>
      <c r="N7" s="20" t="n">
        <v>0</v>
      </c>
      <c r="O7" s="18" t="n">
        <v>0</v>
      </c>
      <c r="P7" s="20" t="n">
        <v>0</v>
      </c>
      <c r="Q7" s="18" t="n">
        <v>0.86655835</v>
      </c>
      <c r="R7" s="20" t="n">
        <v>0.26689796</v>
      </c>
    </row>
    <row r="8" spans="1:18">
      <c r="A8" s="15" t="s">
        <v>566</v>
      </c>
      <c r="B8" s="17" t="n">
        <v>3443</v>
      </c>
      <c r="C8" s="18">
        <f>(2725.0/B8*100)</f>
        <v/>
      </c>
      <c r="D8" s="19" t="n">
        <v>718</v>
      </c>
      <c r="E8" s="18" t="n">
        <v>54.18623735</v>
      </c>
      <c r="F8" s="20" t="n">
        <v>2.45324305</v>
      </c>
      <c r="G8" s="18" t="n">
        <v>44.54467397</v>
      </c>
      <c r="H8" s="20" t="n">
        <v>2.39302536</v>
      </c>
      <c r="I8" s="18" t="n">
        <v>0</v>
      </c>
      <c r="J8" s="20" t="n">
        <v>0</v>
      </c>
      <c r="K8" s="18" t="n">
        <v>0</v>
      </c>
      <c r="L8" s="20" t="n">
        <v>0</v>
      </c>
      <c r="M8" s="18" t="n">
        <v>0</v>
      </c>
      <c r="N8" s="20" t="n">
        <v>0</v>
      </c>
      <c r="O8" s="18" t="n">
        <v>0</v>
      </c>
      <c r="P8" s="20" t="n">
        <v>0</v>
      </c>
      <c r="Q8" s="18" t="n">
        <v>1.26908867</v>
      </c>
      <c r="R8" s="20" t="n">
        <v>0.44970255</v>
      </c>
    </row>
    <row r="9" spans="1:18">
      <c r="A9" s="15" t="s">
        <v>567</v>
      </c>
      <c r="B9" s="17" t="n">
        <v>4752</v>
      </c>
      <c r="C9" s="18">
        <f>(3721.0/B9*100)</f>
        <v/>
      </c>
      <c r="D9" s="19" t="n">
        <v>1031</v>
      </c>
      <c r="E9" s="18" t="n">
        <v>54.57531512</v>
      </c>
      <c r="F9" s="20" t="n">
        <v>1.83589526</v>
      </c>
      <c r="G9" s="18" t="n">
        <v>43.98409512</v>
      </c>
      <c r="H9" s="20" t="n">
        <v>1.88670203</v>
      </c>
      <c r="I9" s="18" t="n">
        <v>0</v>
      </c>
      <c r="J9" s="20" t="n">
        <v>0</v>
      </c>
      <c r="K9" s="18" t="n">
        <v>0.43222041</v>
      </c>
      <c r="L9" s="20" t="n">
        <v>0.22823404</v>
      </c>
      <c r="M9" s="18" t="n">
        <v>0</v>
      </c>
      <c r="N9" s="20" t="n">
        <v>0</v>
      </c>
      <c r="O9" s="18" t="n">
        <v>0</v>
      </c>
      <c r="P9" s="20" t="n">
        <v>0</v>
      </c>
      <c r="Q9" s="18" t="n">
        <v>1.00836935</v>
      </c>
      <c r="R9" s="20" t="n">
        <v>0.31399192</v>
      </c>
    </row>
    <row r="10" spans="1:18">
      <c r="A10" s="15" t="s">
        <v>568</v>
      </c>
      <c r="B10" s="17" t="n">
        <v>10022</v>
      </c>
      <c r="C10" s="18">
        <f>(7851.0/B10*100)</f>
        <v/>
      </c>
      <c r="D10" s="19" t="n">
        <v>2171</v>
      </c>
      <c r="E10" s="18" t="n">
        <v>46.36598391</v>
      </c>
      <c r="F10" s="20" t="n">
        <v>1.49375558</v>
      </c>
      <c r="G10" s="18" t="n">
        <v>52.67729624</v>
      </c>
      <c r="H10" s="20" t="n">
        <v>1.48818476</v>
      </c>
      <c r="I10" s="18" t="n">
        <v>0</v>
      </c>
      <c r="J10" s="20" t="n">
        <v>0</v>
      </c>
      <c r="K10" s="18" t="n">
        <v>0.32410176</v>
      </c>
      <c r="L10" s="20" t="n">
        <v>0.1955163</v>
      </c>
      <c r="M10" s="18" t="n">
        <v>0</v>
      </c>
      <c r="N10" s="20" t="n">
        <v>0</v>
      </c>
      <c r="O10" s="18" t="n">
        <v>0</v>
      </c>
      <c r="P10" s="20" t="n">
        <v>0</v>
      </c>
      <c r="Q10" s="18" t="n">
        <v>0.63261809</v>
      </c>
      <c r="R10" s="20" t="n">
        <v>0.19559452</v>
      </c>
    </row>
    <row r="11" spans="1:18">
      <c r="A11" s="15" t="s">
        <v>569</v>
      </c>
      <c r="B11" s="17" t="n">
        <v>3500</v>
      </c>
      <c r="C11" s="18">
        <f>(2772.0/B11*100)</f>
        <v/>
      </c>
      <c r="D11" s="19" t="n">
        <v>728</v>
      </c>
      <c r="E11" s="18" t="n">
        <v>63.10718324</v>
      </c>
      <c r="F11" s="20" t="n">
        <v>2.03251286</v>
      </c>
      <c r="G11" s="18" t="n">
        <v>35.68548576</v>
      </c>
      <c r="H11" s="20" t="n">
        <v>2.13273217</v>
      </c>
      <c r="I11" s="18" t="n">
        <v>0</v>
      </c>
      <c r="J11" s="20" t="n">
        <v>0</v>
      </c>
      <c r="K11" s="18" t="n">
        <v>0.34583677</v>
      </c>
      <c r="L11" s="20" t="n">
        <v>0.21080665</v>
      </c>
      <c r="M11" s="18" t="n">
        <v>0</v>
      </c>
      <c r="N11" s="20" t="n">
        <v>0</v>
      </c>
      <c r="O11" s="18" t="n">
        <v>0</v>
      </c>
      <c r="P11" s="20" t="n">
        <v>0</v>
      </c>
      <c r="Q11" s="18" t="n">
        <v>0.86149423</v>
      </c>
      <c r="R11" s="20" t="n">
        <v>0.35225752</v>
      </c>
    </row>
    <row r="12" spans="1:18">
      <c r="A12" s="15" t="s">
        <v>570</v>
      </c>
      <c r="B12" s="17" t="n">
        <v>3422</v>
      </c>
      <c r="C12" s="18">
        <f>(2659.0/B12*100)</f>
        <v/>
      </c>
      <c r="D12" s="19" t="n">
        <v>763</v>
      </c>
      <c r="E12" s="18" t="n">
        <v>57.51623706</v>
      </c>
      <c r="F12" s="20" t="n">
        <v>1.81450108</v>
      </c>
      <c r="G12" s="18" t="n">
        <v>41.88632287</v>
      </c>
      <c r="H12" s="20" t="n">
        <v>1.87164005</v>
      </c>
      <c r="I12" s="18" t="n">
        <v>0</v>
      </c>
      <c r="J12" s="20" t="n">
        <v>0</v>
      </c>
      <c r="K12" s="18" t="n">
        <v>0.41384822</v>
      </c>
      <c r="L12" s="20" t="n">
        <v>0.31592762</v>
      </c>
      <c r="M12" s="18" t="n">
        <v>0</v>
      </c>
      <c r="N12" s="20" t="n">
        <v>0</v>
      </c>
      <c r="O12" s="18" t="n">
        <v>0</v>
      </c>
      <c r="P12" s="20" t="n">
        <v>0</v>
      </c>
      <c r="Q12" s="18" t="n">
        <v>0.18359185</v>
      </c>
      <c r="R12" s="20" t="n">
        <v>0.13989291</v>
      </c>
    </row>
    <row r="13" spans="1:18">
      <c r="A13" s="15" t="s">
        <v>571</v>
      </c>
      <c r="B13" s="17" t="n">
        <v>3602</v>
      </c>
      <c r="C13" s="18">
        <f>(2837.0/B13*100)</f>
        <v/>
      </c>
      <c r="D13" s="19" t="n">
        <v>765</v>
      </c>
      <c r="E13" s="18" t="n">
        <v>60.14818367</v>
      </c>
      <c r="F13" s="20" t="n">
        <v>2.35694683</v>
      </c>
      <c r="G13" s="18" t="n">
        <v>39.36067152</v>
      </c>
      <c r="H13" s="20" t="n">
        <v>2.37025081</v>
      </c>
      <c r="I13" s="18" t="n">
        <v>0</v>
      </c>
      <c r="J13" s="20" t="n">
        <v>0</v>
      </c>
      <c r="K13" s="18" t="n">
        <v>0.13077552</v>
      </c>
      <c r="L13" s="20" t="n">
        <v>0.07494802</v>
      </c>
      <c r="M13" s="18" t="n">
        <v>0</v>
      </c>
      <c r="N13" s="20" t="n">
        <v>0</v>
      </c>
      <c r="O13" s="18" t="n">
        <v>0</v>
      </c>
      <c r="P13" s="20" t="n">
        <v>0</v>
      </c>
      <c r="Q13" s="18" t="n">
        <v>0.36036928</v>
      </c>
      <c r="R13" s="20" t="n">
        <v>0.1811095</v>
      </c>
    </row>
    <row r="14" spans="1:18">
      <c r="A14" s="15" t="s">
        <v>572</v>
      </c>
      <c r="B14" s="17" t="n">
        <v>2788</v>
      </c>
      <c r="C14" s="18">
        <f>(2182.0/B14*100)</f>
        <v/>
      </c>
      <c r="D14" s="19" t="n">
        <v>606</v>
      </c>
      <c r="E14" s="18" t="n">
        <v>48.36087298</v>
      </c>
      <c r="F14" s="20" t="n">
        <v>2.17829009</v>
      </c>
      <c r="G14" s="18" t="n">
        <v>50.98771209</v>
      </c>
      <c r="H14" s="20" t="n">
        <v>2.19653507</v>
      </c>
      <c r="I14" s="18" t="n">
        <v>0</v>
      </c>
      <c r="J14" s="20" t="n">
        <v>0</v>
      </c>
      <c r="K14" s="18" t="n">
        <v>0.51135122</v>
      </c>
      <c r="L14" s="20" t="n">
        <v>0.26071229</v>
      </c>
      <c r="M14" s="18" t="n">
        <v>0</v>
      </c>
      <c r="N14" s="20" t="n">
        <v>0</v>
      </c>
      <c r="O14" s="18" t="n">
        <v>0</v>
      </c>
      <c r="P14" s="20" t="n">
        <v>0</v>
      </c>
      <c r="Q14" s="18" t="n">
        <v>0.14006371</v>
      </c>
      <c r="R14" s="20" t="n">
        <v>0.14127411</v>
      </c>
    </row>
    <row r="15" spans="1:18">
      <c r="A15" s="15" t="s">
        <v>573</v>
      </c>
      <c r="B15" s="17" t="n">
        <v>2863</v>
      </c>
      <c r="C15" s="18">
        <f>(2248.0/B15*100)</f>
        <v/>
      </c>
      <c r="D15" s="19" t="n">
        <v>615</v>
      </c>
      <c r="E15" s="18" t="n">
        <v>47.88853879</v>
      </c>
      <c r="F15" s="20" t="n">
        <v>2.00120424</v>
      </c>
      <c r="G15" s="18" t="n">
        <v>51.75966081</v>
      </c>
      <c r="H15" s="20" t="n">
        <v>1.973336</v>
      </c>
      <c r="I15" s="18" t="n">
        <v>0</v>
      </c>
      <c r="J15" s="20" t="n">
        <v>0</v>
      </c>
      <c r="K15" s="18" t="n">
        <v>0</v>
      </c>
      <c r="L15" s="20" t="n">
        <v>0</v>
      </c>
      <c r="M15" s="18" t="n">
        <v>0</v>
      </c>
      <c r="N15" s="20" t="n">
        <v>0</v>
      </c>
      <c r="O15" s="18" t="n">
        <v>0</v>
      </c>
      <c r="P15" s="20" t="n">
        <v>0</v>
      </c>
      <c r="Q15" s="18" t="n">
        <v>0.3518004</v>
      </c>
      <c r="R15" s="20" t="n">
        <v>0.25962937</v>
      </c>
    </row>
    <row r="16" spans="1:18">
      <c r="A16" s="15" t="s">
        <v>574</v>
      </c>
      <c r="B16" s="17" t="n">
        <v>3111</v>
      </c>
      <c r="C16" s="18">
        <f>(2445.0/B16*100)</f>
        <v/>
      </c>
      <c r="D16" s="19" t="n">
        <v>666</v>
      </c>
      <c r="E16" s="18" t="n">
        <v>41.49726486</v>
      </c>
      <c r="F16" s="20" t="n">
        <v>1.86616813</v>
      </c>
      <c r="G16" s="18" t="n">
        <v>57.35624264</v>
      </c>
      <c r="H16" s="20" t="n">
        <v>1.79573106</v>
      </c>
      <c r="I16" s="18" t="n">
        <v>0</v>
      </c>
      <c r="J16" s="20" t="n">
        <v>0</v>
      </c>
      <c r="K16" s="18" t="n">
        <v>0.27614841</v>
      </c>
      <c r="L16" s="20" t="n">
        <v>0.21340938</v>
      </c>
      <c r="M16" s="18" t="n">
        <v>0</v>
      </c>
      <c r="N16" s="20" t="n">
        <v>0</v>
      </c>
      <c r="O16" s="18" t="n">
        <v>0</v>
      </c>
      <c r="P16" s="20" t="n">
        <v>0</v>
      </c>
      <c r="Q16" s="18" t="n">
        <v>0.8703441</v>
      </c>
      <c r="R16" s="20" t="n">
        <v>0.41865508</v>
      </c>
    </row>
    <row r="17" spans="1:18">
      <c r="A17" s="15" t="s">
        <v>575</v>
      </c>
      <c r="B17" s="17" t="n">
        <v>3197</v>
      </c>
      <c r="C17" s="18">
        <f>(2472.0/B17*100)</f>
        <v/>
      </c>
      <c r="D17" s="19" t="n">
        <v>725</v>
      </c>
      <c r="E17" s="18" t="n">
        <v>48.96317448</v>
      </c>
      <c r="F17" s="20" t="n">
        <v>1.94720455</v>
      </c>
      <c r="G17" s="18" t="n">
        <v>50.05986212</v>
      </c>
      <c r="H17" s="20" t="n">
        <v>1.99509156</v>
      </c>
      <c r="I17" s="18" t="n">
        <v>0</v>
      </c>
      <c r="J17" s="20" t="n">
        <v>0</v>
      </c>
      <c r="K17" s="18" t="n">
        <v>0</v>
      </c>
      <c r="L17" s="20" t="n">
        <v>0</v>
      </c>
      <c r="M17" s="18" t="n">
        <v>0</v>
      </c>
      <c r="N17" s="20" t="n">
        <v>0</v>
      </c>
      <c r="O17" s="18" t="n">
        <v>0</v>
      </c>
      <c r="P17" s="20" t="n">
        <v>0</v>
      </c>
      <c r="Q17" s="18" t="n">
        <v>0.97696339</v>
      </c>
      <c r="R17" s="20" t="n">
        <v>0.39755545</v>
      </c>
    </row>
    <row r="18" spans="1:18">
      <c r="A18" s="15" t="s">
        <v>576</v>
      </c>
      <c r="B18" s="17" t="n">
        <v>2706</v>
      </c>
      <c r="C18" s="18">
        <f>(2093.0/B18*100)</f>
        <v/>
      </c>
      <c r="D18" s="19" t="n">
        <v>613</v>
      </c>
      <c r="E18" s="18" t="n">
        <v>62.64712864</v>
      </c>
      <c r="F18" s="20" t="n">
        <v>1.98346952</v>
      </c>
      <c r="G18" s="18" t="n">
        <v>36.34857395</v>
      </c>
      <c r="H18" s="20" t="n">
        <v>2.07407315</v>
      </c>
      <c r="I18" s="18" t="n">
        <v>0</v>
      </c>
      <c r="J18" s="20" t="n">
        <v>0</v>
      </c>
      <c r="K18" s="18" t="n">
        <v>0.12279291</v>
      </c>
      <c r="L18" s="20" t="n">
        <v>0.1222428</v>
      </c>
      <c r="M18" s="18" t="n">
        <v>0</v>
      </c>
      <c r="N18" s="20" t="n">
        <v>0</v>
      </c>
      <c r="O18" s="18" t="n">
        <v>0</v>
      </c>
      <c r="P18" s="20" t="n">
        <v>0</v>
      </c>
      <c r="Q18" s="18" t="n">
        <v>0.8815045</v>
      </c>
      <c r="R18" s="20" t="n">
        <v>0.41180945</v>
      </c>
    </row>
    <row r="19" spans="1:18">
      <c r="A19" s="15" t="s">
        <v>577</v>
      </c>
      <c r="B19" s="17" t="n">
        <v>2850</v>
      </c>
      <c r="C19" s="18">
        <f>(2271.0/B19*100)</f>
        <v/>
      </c>
      <c r="D19" s="19" t="n">
        <v>579</v>
      </c>
      <c r="E19" s="18" t="n">
        <v>55.75034304</v>
      </c>
      <c r="F19" s="20" t="n">
        <v>2.2107965</v>
      </c>
      <c r="G19" s="18" t="n">
        <v>43.45935423</v>
      </c>
      <c r="H19" s="20" t="n">
        <v>2.26263787</v>
      </c>
      <c r="I19" s="18" t="n">
        <v>0</v>
      </c>
      <c r="J19" s="20" t="n">
        <v>0</v>
      </c>
      <c r="K19" s="18" t="n">
        <v>0.14732501</v>
      </c>
      <c r="L19" s="20" t="n">
        <v>0.10555835</v>
      </c>
      <c r="M19" s="18" t="n">
        <v>0</v>
      </c>
      <c r="N19" s="20" t="n">
        <v>0</v>
      </c>
      <c r="O19" s="18" t="n">
        <v>0</v>
      </c>
      <c r="P19" s="20" t="n">
        <v>0</v>
      </c>
      <c r="Q19" s="18" t="n">
        <v>0.64297771</v>
      </c>
      <c r="R19" s="20" t="n">
        <v>0.31787856</v>
      </c>
    </row>
    <row r="20" spans="1:18">
      <c r="A20" s="15" t="s">
        <v>578</v>
      </c>
      <c r="B20" s="17" t="n">
        <v>1741</v>
      </c>
      <c r="C20" s="18">
        <f>(1375.0/B20*100)</f>
        <v/>
      </c>
      <c r="D20" s="19" t="n">
        <v>366</v>
      </c>
      <c r="E20" s="18" t="n">
        <v>61.61053202</v>
      </c>
      <c r="F20" s="20" t="n">
        <v>2.7572606</v>
      </c>
      <c r="G20" s="18" t="n">
        <v>37.08080924</v>
      </c>
      <c r="H20" s="20" t="n">
        <v>2.71867116</v>
      </c>
      <c r="I20" s="18" t="n">
        <v>0</v>
      </c>
      <c r="J20" s="20" t="n">
        <v>0</v>
      </c>
      <c r="K20" s="18" t="n">
        <v>0</v>
      </c>
      <c r="L20" s="20" t="n">
        <v>0</v>
      </c>
      <c r="M20" s="18" t="n">
        <v>0</v>
      </c>
      <c r="N20" s="20" t="n">
        <v>0</v>
      </c>
      <c r="O20" s="18" t="n">
        <v>0</v>
      </c>
      <c r="P20" s="20" t="n">
        <v>0</v>
      </c>
      <c r="Q20" s="18" t="n">
        <v>1.30865874</v>
      </c>
      <c r="R20" s="20" t="n">
        <v>0.69368619</v>
      </c>
    </row>
    <row r="21" spans="1:18">
      <c r="A21" s="15" t="s">
        <v>579</v>
      </c>
      <c r="B21" s="17" t="n">
        <v>2833</v>
      </c>
      <c r="C21" s="18">
        <f>(2181.0/B21*100)</f>
        <v/>
      </c>
      <c r="D21" s="19" t="n">
        <v>652</v>
      </c>
      <c r="E21" s="18" t="n">
        <v>58.04235222</v>
      </c>
      <c r="F21" s="20" t="n">
        <v>2.04753446</v>
      </c>
      <c r="G21" s="18" t="n">
        <v>41.55554292</v>
      </c>
      <c r="H21" s="20" t="n">
        <v>2.06689059</v>
      </c>
      <c r="I21" s="18" t="n">
        <v>0</v>
      </c>
      <c r="J21" s="20" t="n">
        <v>0</v>
      </c>
      <c r="K21" s="18" t="n">
        <v>0.1459881</v>
      </c>
      <c r="L21" s="20" t="n">
        <v>0.14523944</v>
      </c>
      <c r="M21" s="18" t="n">
        <v>0</v>
      </c>
      <c r="N21" s="20" t="n">
        <v>0</v>
      </c>
      <c r="O21" s="18" t="n">
        <v>0</v>
      </c>
      <c r="P21" s="20" t="n">
        <v>0</v>
      </c>
      <c r="Q21" s="18" t="n">
        <v>0.25611675</v>
      </c>
      <c r="R21" s="20" t="n">
        <v>0.18863252</v>
      </c>
    </row>
    <row r="22" spans="1:18">
      <c r="A22" s="15" t="s">
        <v>580</v>
      </c>
      <c r="B22" s="17" t="n">
        <v>3667</v>
      </c>
      <c r="C22" s="18">
        <f>(2831.0/B22*100)</f>
        <v/>
      </c>
      <c r="D22" s="19" t="n">
        <v>836</v>
      </c>
      <c r="E22" s="18" t="n">
        <v>65.88136964</v>
      </c>
      <c r="F22" s="20" t="n">
        <v>1.78711314</v>
      </c>
      <c r="G22" s="18" t="n">
        <v>32.75239154</v>
      </c>
      <c r="H22" s="20" t="n">
        <v>1.73716059</v>
      </c>
      <c r="I22" s="18" t="n">
        <v>0</v>
      </c>
      <c r="J22" s="20" t="n">
        <v>0</v>
      </c>
      <c r="K22" s="18" t="n">
        <v>0.3569191</v>
      </c>
      <c r="L22" s="20" t="n">
        <v>0.20473372</v>
      </c>
      <c r="M22" s="18" t="n">
        <v>0</v>
      </c>
      <c r="N22" s="20" t="n">
        <v>0</v>
      </c>
      <c r="O22" s="18" t="n">
        <v>0</v>
      </c>
      <c r="P22" s="20" t="n">
        <v>0</v>
      </c>
      <c r="Q22" s="18" t="n">
        <v>1.00931972</v>
      </c>
      <c r="R22" s="20" t="n">
        <v>0.35962806</v>
      </c>
    </row>
    <row r="23" spans="1:18">
      <c r="A23" s="15" t="s">
        <v>581</v>
      </c>
      <c r="B23" s="17" t="n">
        <v>5792</v>
      </c>
      <c r="C23" s="18">
        <f>(4520.0/B23*100)</f>
        <v/>
      </c>
      <c r="D23" s="19" t="n">
        <v>1272</v>
      </c>
      <c r="E23" s="18" t="n">
        <v>52.70584559</v>
      </c>
      <c r="F23" s="20" t="n">
        <v>2.07649053</v>
      </c>
      <c r="G23" s="18" t="n">
        <v>46.43532931</v>
      </c>
      <c r="H23" s="20" t="n">
        <v>2.05603485</v>
      </c>
      <c r="I23" s="18" t="n">
        <v>0</v>
      </c>
      <c r="J23" s="20" t="n">
        <v>0</v>
      </c>
      <c r="K23" s="18" t="n">
        <v>0.29664806</v>
      </c>
      <c r="L23" s="20" t="n">
        <v>0.20900667</v>
      </c>
      <c r="M23" s="18" t="n">
        <v>0</v>
      </c>
      <c r="N23" s="20" t="n">
        <v>0</v>
      </c>
      <c r="O23" s="18" t="n">
        <v>0</v>
      </c>
      <c r="P23" s="20" t="n">
        <v>0</v>
      </c>
      <c r="Q23" s="18" t="n">
        <v>0.56217704</v>
      </c>
      <c r="R23" s="20" t="n">
        <v>0.26579088</v>
      </c>
    </row>
    <row r="24" spans="1:18">
      <c r="A24" s="15" t="s">
        <v>582</v>
      </c>
      <c r="B24" s="17" t="n">
        <v>3309</v>
      </c>
      <c r="C24" s="18">
        <f>(2532.0/B24*100)</f>
        <v/>
      </c>
      <c r="D24" s="19" t="n">
        <v>777</v>
      </c>
      <c r="E24" s="18" t="n">
        <v>43.84456329</v>
      </c>
      <c r="F24" s="20" t="n">
        <v>1.93825992</v>
      </c>
      <c r="G24" s="18" t="n">
        <v>55.48867102</v>
      </c>
      <c r="H24" s="20" t="n">
        <v>2.00096875</v>
      </c>
      <c r="I24" s="18" t="n">
        <v>0</v>
      </c>
      <c r="J24" s="20" t="n">
        <v>0</v>
      </c>
      <c r="K24" s="18" t="n">
        <v>0</v>
      </c>
      <c r="L24" s="20" t="n">
        <v>0</v>
      </c>
      <c r="M24" s="18" t="n">
        <v>0</v>
      </c>
      <c r="N24" s="20" t="n">
        <v>0</v>
      </c>
      <c r="O24" s="18" t="n">
        <v>0</v>
      </c>
      <c r="P24" s="20" t="n">
        <v>0</v>
      </c>
      <c r="Q24" s="18" t="n">
        <v>0.66676568</v>
      </c>
      <c r="R24" s="20" t="n">
        <v>0.31039957</v>
      </c>
    </row>
    <row r="25" spans="1:18">
      <c r="A25" s="15" t="s">
        <v>583</v>
      </c>
      <c r="B25" s="17" t="n">
        <v>2669</v>
      </c>
      <c r="C25" s="18">
        <f>(2087.0/B25*100)</f>
        <v/>
      </c>
      <c r="D25" s="19" t="n">
        <v>582</v>
      </c>
      <c r="E25" s="18" t="n">
        <v>58.60428303</v>
      </c>
      <c r="F25" s="20" t="n">
        <v>1.89455651</v>
      </c>
      <c r="G25" s="18" t="n">
        <v>40.91469315</v>
      </c>
      <c r="H25" s="20" t="n">
        <v>1.893158</v>
      </c>
      <c r="I25" s="18" t="n">
        <v>0</v>
      </c>
      <c r="J25" s="20" t="n">
        <v>0</v>
      </c>
      <c r="K25" s="18" t="n">
        <v>0.16309914</v>
      </c>
      <c r="L25" s="20" t="n">
        <v>0.16277181</v>
      </c>
      <c r="M25" s="18" t="n">
        <v>0</v>
      </c>
      <c r="N25" s="20" t="n">
        <v>0</v>
      </c>
      <c r="O25" s="18" t="n">
        <v>0</v>
      </c>
      <c r="P25" s="20" t="n">
        <v>0</v>
      </c>
      <c r="Q25" s="18" t="n">
        <v>0.31792468</v>
      </c>
      <c r="R25" s="20" t="n">
        <v>0.22871892</v>
      </c>
    </row>
    <row r="26" spans="1:18">
      <c r="A26" s="15" t="s">
        <v>584</v>
      </c>
      <c r="B26" s="17" t="n">
        <v>2419</v>
      </c>
      <c r="C26" s="18">
        <f>(1894.0/B26*100)</f>
        <v/>
      </c>
      <c r="D26" s="19" t="n">
        <v>525</v>
      </c>
      <c r="E26" s="18" t="n">
        <v>65.60808815</v>
      </c>
      <c r="F26" s="20" t="n">
        <v>1.82826795</v>
      </c>
      <c r="G26" s="18" t="n">
        <v>34.23998355</v>
      </c>
      <c r="H26" s="20" t="n">
        <v>1.82453242</v>
      </c>
      <c r="I26" s="18" t="n">
        <v>0</v>
      </c>
      <c r="J26" s="20" t="n">
        <v>0</v>
      </c>
      <c r="K26" s="18" t="n">
        <v>0</v>
      </c>
      <c r="L26" s="20" t="n">
        <v>0</v>
      </c>
      <c r="M26" s="18" t="n">
        <v>0</v>
      </c>
      <c r="N26" s="20" t="n">
        <v>0</v>
      </c>
      <c r="O26" s="18" t="n">
        <v>0</v>
      </c>
      <c r="P26" s="20" t="n">
        <v>0</v>
      </c>
      <c r="Q26" s="18" t="n">
        <v>0.1519283</v>
      </c>
      <c r="R26" s="20" t="n">
        <v>0.15230035</v>
      </c>
    </row>
    <row r="27" spans="1:18">
      <c r="A27" s="15" t="s">
        <v>585</v>
      </c>
      <c r="B27" s="17" t="n">
        <v>2683</v>
      </c>
      <c r="C27" s="18">
        <f>(2056.0/B27*100)</f>
        <v/>
      </c>
      <c r="D27" s="19" t="n">
        <v>627</v>
      </c>
      <c r="E27" s="18" t="n">
        <v>53.18371035</v>
      </c>
      <c r="F27" s="20" t="n">
        <v>1.89282776</v>
      </c>
      <c r="G27" s="18" t="n">
        <v>45.6810411</v>
      </c>
      <c r="H27" s="20" t="n">
        <v>1.9011585</v>
      </c>
      <c r="I27" s="18" t="n">
        <v>0</v>
      </c>
      <c r="J27" s="20" t="n">
        <v>0</v>
      </c>
      <c r="K27" s="18" t="n">
        <v>0.1533324</v>
      </c>
      <c r="L27" s="20" t="n">
        <v>0.15327263</v>
      </c>
      <c r="M27" s="18" t="n">
        <v>0</v>
      </c>
      <c r="N27" s="20" t="n">
        <v>0</v>
      </c>
      <c r="O27" s="18" t="n">
        <v>0</v>
      </c>
      <c r="P27" s="20" t="n">
        <v>0</v>
      </c>
      <c r="Q27" s="18" t="n">
        <v>0.98191615</v>
      </c>
      <c r="R27" s="20" t="n">
        <v>0.39817884</v>
      </c>
    </row>
    <row r="28" spans="1:18">
      <c r="A28" s="15" t="s">
        <v>586</v>
      </c>
      <c r="B28" s="17" t="n">
        <v>3803</v>
      </c>
      <c r="C28" s="18">
        <f>(3038.0/B28*100)</f>
        <v/>
      </c>
      <c r="D28" s="19" t="n">
        <v>765</v>
      </c>
      <c r="E28" s="18" t="n">
        <v>66.95537631000001</v>
      </c>
      <c r="F28" s="20" t="n">
        <v>1.86771617</v>
      </c>
      <c r="G28" s="18" t="n">
        <v>31.95646987</v>
      </c>
      <c r="H28" s="20" t="n">
        <v>1.83097344</v>
      </c>
      <c r="I28" s="18" t="n">
        <v>0</v>
      </c>
      <c r="J28" s="20" t="n">
        <v>0</v>
      </c>
      <c r="K28" s="18" t="n">
        <v>0.33230356</v>
      </c>
      <c r="L28" s="20" t="n">
        <v>0.25027346</v>
      </c>
      <c r="M28" s="18" t="n">
        <v>0</v>
      </c>
      <c r="N28" s="20" t="n">
        <v>0</v>
      </c>
      <c r="O28" s="18" t="n">
        <v>0</v>
      </c>
      <c r="P28" s="20" t="n">
        <v>0</v>
      </c>
      <c r="Q28" s="18" t="n">
        <v>0.7558502499999999</v>
      </c>
      <c r="R28" s="20" t="n">
        <v>0.38053697</v>
      </c>
    </row>
    <row r="29" spans="1:18">
      <c r="A29" s="15" t="s">
        <v>587</v>
      </c>
      <c r="B29" s="17" t="n">
        <v>2700</v>
      </c>
      <c r="C29" s="18">
        <f>(2118.0/B29*100)</f>
        <v/>
      </c>
      <c r="D29" s="19" t="n">
        <v>582</v>
      </c>
      <c r="E29" s="18" t="n">
        <v>61.28235978</v>
      </c>
      <c r="F29" s="20" t="n">
        <v>2.14254791</v>
      </c>
      <c r="G29" s="18" t="n">
        <v>37.96125996</v>
      </c>
      <c r="H29" s="20" t="n">
        <v>2.14479725</v>
      </c>
      <c r="I29" s="18" t="n">
        <v>0</v>
      </c>
      <c r="J29" s="20" t="n">
        <v>0</v>
      </c>
      <c r="K29" s="18" t="n">
        <v>0</v>
      </c>
      <c r="L29" s="20" t="n">
        <v>0</v>
      </c>
      <c r="M29" s="18" t="n">
        <v>0</v>
      </c>
      <c r="N29" s="20" t="n">
        <v>0</v>
      </c>
      <c r="O29" s="18" t="n">
        <v>0</v>
      </c>
      <c r="P29" s="20" t="n">
        <v>0</v>
      </c>
      <c r="Q29" s="18" t="n">
        <v>0.75638026</v>
      </c>
      <c r="R29" s="20" t="n">
        <v>0.35357447</v>
      </c>
    </row>
    <row r="30" spans="1:18">
      <c r="A30" s="15" t="s">
        <v>588</v>
      </c>
      <c r="B30" s="17" t="n">
        <v>2257</v>
      </c>
      <c r="C30" s="18">
        <f>(1788.0/B30*100)</f>
        <v/>
      </c>
      <c r="D30" s="19" t="n">
        <v>469</v>
      </c>
      <c r="E30" s="18" t="n">
        <v>47.91986359</v>
      </c>
      <c r="F30" s="20" t="n">
        <v>2.45316088</v>
      </c>
      <c r="G30" s="18" t="n">
        <v>51.27899547</v>
      </c>
      <c r="H30" s="20" t="n">
        <v>2.42500294</v>
      </c>
      <c r="I30" s="18" t="n">
        <v>0</v>
      </c>
      <c r="J30" s="20" t="n">
        <v>0</v>
      </c>
      <c r="K30" s="18" t="n">
        <v>0</v>
      </c>
      <c r="L30" s="20" t="n">
        <v>0</v>
      </c>
      <c r="M30" s="18" t="n">
        <v>0</v>
      </c>
      <c r="N30" s="20" t="n">
        <v>0</v>
      </c>
      <c r="O30" s="18" t="n">
        <v>0</v>
      </c>
      <c r="P30" s="20" t="n">
        <v>0</v>
      </c>
      <c r="Q30" s="18" t="n">
        <v>0.80114094</v>
      </c>
      <c r="R30" s="20" t="n">
        <v>0.3943366</v>
      </c>
    </row>
    <row r="31" spans="1:18">
      <c r="A31" s="15" t="s">
        <v>589</v>
      </c>
      <c r="B31" s="17" t="n">
        <v>2706</v>
      </c>
      <c r="C31" s="18">
        <f>(2117.0/B31*100)</f>
        <v/>
      </c>
      <c r="D31" s="19" t="n">
        <v>589</v>
      </c>
      <c r="E31" s="18" t="n">
        <v>51.44755863</v>
      </c>
      <c r="F31" s="20" t="n">
        <v>2.24186353</v>
      </c>
      <c r="G31" s="18" t="n">
        <v>47.05460677</v>
      </c>
      <c r="H31" s="20" t="n">
        <v>2.25506677</v>
      </c>
      <c r="I31" s="18" t="n">
        <v>0</v>
      </c>
      <c r="J31" s="20" t="n">
        <v>0</v>
      </c>
      <c r="K31" s="18" t="n">
        <v>0.31535492</v>
      </c>
      <c r="L31" s="20" t="n">
        <v>0.21654543</v>
      </c>
      <c r="M31" s="18" t="n">
        <v>0</v>
      </c>
      <c r="N31" s="20" t="n">
        <v>0</v>
      </c>
      <c r="O31" s="18" t="n">
        <v>0</v>
      </c>
      <c r="P31" s="20" t="n">
        <v>0</v>
      </c>
      <c r="Q31" s="18" t="n">
        <v>1.18247969</v>
      </c>
      <c r="R31" s="20" t="n">
        <v>0.4584406</v>
      </c>
    </row>
    <row r="32" spans="1:18">
      <c r="A32" s="15" t="s">
        <v>590</v>
      </c>
      <c r="B32" s="17" t="n">
        <v>2209</v>
      </c>
      <c r="C32" s="18">
        <f>(1756.0/B32*100)</f>
        <v/>
      </c>
      <c r="D32" s="19" t="n">
        <v>453</v>
      </c>
      <c r="E32" s="18" t="n">
        <v>55.40188623</v>
      </c>
      <c r="F32" s="20" t="n">
        <v>2.53640821</v>
      </c>
      <c r="G32" s="18" t="n">
        <v>44.59811377</v>
      </c>
      <c r="H32" s="20" t="n">
        <v>2.53640821</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(2908.0/B33*100)</f>
        <v/>
      </c>
      <c r="D33" s="19" t="n">
        <v>743</v>
      </c>
      <c r="E33" s="18" t="n">
        <v>61.53797268</v>
      </c>
      <c r="F33" s="20" t="n">
        <v>2.04499737</v>
      </c>
      <c r="G33" s="18" t="n">
        <v>37.82385574</v>
      </c>
      <c r="H33" s="20" t="n">
        <v>2.02784611</v>
      </c>
      <c r="I33" s="18" t="n">
        <v>0</v>
      </c>
      <c r="J33" s="20" t="n">
        <v>0</v>
      </c>
      <c r="K33" s="18" t="n">
        <v>0.21762254</v>
      </c>
      <c r="L33" s="20" t="n">
        <v>0.19430574</v>
      </c>
      <c r="M33" s="18" t="n">
        <v>0</v>
      </c>
      <c r="N33" s="20" t="n">
        <v>0</v>
      </c>
      <c r="O33" s="18" t="n">
        <v>0</v>
      </c>
      <c r="P33" s="20" t="n">
        <v>0</v>
      </c>
      <c r="Q33" s="18" t="n">
        <v>0.42054903</v>
      </c>
      <c r="R33" s="20" t="n">
        <v>0.25037672</v>
      </c>
    </row>
    <row r="34" spans="1:18">
      <c r="A34" s="15" t="s">
        <v>592</v>
      </c>
      <c r="B34" s="17" t="n">
        <v>3035</v>
      </c>
      <c r="C34" s="18">
        <f>(2382.0/B34*100)</f>
        <v/>
      </c>
      <c r="D34" s="19" t="n">
        <v>653</v>
      </c>
      <c r="E34" s="18" t="n">
        <v>58.83487523</v>
      </c>
      <c r="F34" s="20" t="n">
        <v>2.14200142</v>
      </c>
      <c r="G34" s="18" t="n">
        <v>40.67023425</v>
      </c>
      <c r="H34" s="20" t="n">
        <v>2.17868671</v>
      </c>
      <c r="I34" s="18" t="n">
        <v>0</v>
      </c>
      <c r="J34" s="20" t="n">
        <v>0</v>
      </c>
      <c r="K34" s="18" t="n">
        <v>0</v>
      </c>
      <c r="L34" s="20" t="n">
        <v>0</v>
      </c>
      <c r="M34" s="18" t="n">
        <v>0</v>
      </c>
      <c r="N34" s="20" t="n">
        <v>0</v>
      </c>
      <c r="O34" s="18" t="n">
        <v>0</v>
      </c>
      <c r="P34" s="20" t="n">
        <v>0</v>
      </c>
      <c r="Q34" s="18" t="n">
        <v>0.49489052</v>
      </c>
      <c r="R34" s="20" t="n">
        <v>0.17640443</v>
      </c>
    </row>
    <row r="35" spans="1:18">
      <c r="A35" s="15" t="s">
        <v>593</v>
      </c>
      <c r="B35" s="17" t="n">
        <v>2901</v>
      </c>
      <c r="C35" s="18">
        <f>(2247.0/B35*100)</f>
        <v/>
      </c>
      <c r="D35" s="19" t="n">
        <v>654</v>
      </c>
      <c r="E35" s="18" t="n">
        <v>50.68299662</v>
      </c>
      <c r="F35" s="20" t="n">
        <v>2.37352152</v>
      </c>
      <c r="G35" s="18" t="n">
        <v>48.54940528</v>
      </c>
      <c r="H35" s="20" t="n">
        <v>2.35660077</v>
      </c>
      <c r="I35" s="18" t="n">
        <v>0</v>
      </c>
      <c r="J35" s="20" t="n">
        <v>0</v>
      </c>
      <c r="K35" s="18" t="n">
        <v>0</v>
      </c>
      <c r="L35" s="20" t="n">
        <v>0</v>
      </c>
      <c r="M35" s="18" t="n">
        <v>0</v>
      </c>
      <c r="N35" s="20" t="n">
        <v>0</v>
      </c>
      <c r="O35" s="18" t="n">
        <v>0</v>
      </c>
      <c r="P35" s="20" t="n">
        <v>0</v>
      </c>
      <c r="Q35" s="18" t="n">
        <v>0.7675980999999999</v>
      </c>
      <c r="R35" s="20" t="n">
        <v>0.50033346</v>
      </c>
    </row>
    <row r="36" spans="1:18">
      <c r="A36" s="15" t="s">
        <v>594</v>
      </c>
      <c r="B36" s="17" t="n">
        <v>3404</v>
      </c>
      <c r="C36" s="18">
        <f>(2671.0/B36*100)</f>
        <v/>
      </c>
      <c r="D36" s="19" t="n">
        <v>733</v>
      </c>
      <c r="E36" s="18" t="n">
        <v>60.73783387</v>
      </c>
      <c r="F36" s="20" t="n">
        <v>1.88772164</v>
      </c>
      <c r="G36" s="18" t="n">
        <v>38.25114307</v>
      </c>
      <c r="H36" s="20" t="n">
        <v>1.9024982</v>
      </c>
      <c r="I36" s="18" t="n">
        <v>0</v>
      </c>
      <c r="J36" s="20" t="n">
        <v>0</v>
      </c>
      <c r="K36" s="18" t="n">
        <v>0.16976357</v>
      </c>
      <c r="L36" s="20" t="n">
        <v>0.17766063</v>
      </c>
      <c r="M36" s="18" t="n">
        <v>0</v>
      </c>
      <c r="N36" s="20" t="n">
        <v>0</v>
      </c>
      <c r="O36" s="18" t="n">
        <v>0</v>
      </c>
      <c r="P36" s="20" t="n">
        <v>0</v>
      </c>
      <c r="Q36" s="18" t="n">
        <v>0.84125949</v>
      </c>
      <c r="R36" s="20" t="n">
        <v>0.38557321</v>
      </c>
    </row>
    <row r="37" spans="1:18">
      <c r="A37" s="15" t="s">
        <v>595</v>
      </c>
      <c r="B37" s="17" t="n">
        <v>2731</v>
      </c>
      <c r="C37" s="18">
        <f>(2137.0/B37*100)</f>
        <v/>
      </c>
      <c r="D37" s="19" t="n">
        <v>594</v>
      </c>
      <c r="E37" s="18" t="n">
        <v>62.36449658</v>
      </c>
      <c r="F37" s="20" t="n">
        <v>2.42890969</v>
      </c>
      <c r="G37" s="18" t="n">
        <v>34.25487116</v>
      </c>
      <c r="H37" s="20" t="n">
        <v>2.29076829</v>
      </c>
      <c r="I37" s="18" t="n">
        <v>0</v>
      </c>
      <c r="J37" s="20" t="n">
        <v>0</v>
      </c>
      <c r="K37" s="18" t="n">
        <v>0.43009398</v>
      </c>
      <c r="L37" s="20" t="n">
        <v>0.24776548</v>
      </c>
      <c r="M37" s="18" t="n">
        <v>0</v>
      </c>
      <c r="N37" s="20" t="n">
        <v>0</v>
      </c>
      <c r="O37" s="18" t="n">
        <v>0</v>
      </c>
      <c r="P37" s="20" t="n">
        <v>0</v>
      </c>
      <c r="Q37" s="18" t="n">
        <v>2.95053828</v>
      </c>
      <c r="R37" s="20" t="n">
        <v>0.81509757</v>
      </c>
    </row>
    <row r="38" spans="1:18">
      <c r="A38" s="15" t="s">
        <v>596</v>
      </c>
      <c r="B38" s="17" t="n">
        <v>2807</v>
      </c>
      <c r="C38" s="18">
        <f>(2166.0/B38*100)</f>
        <v/>
      </c>
      <c r="D38" s="19" t="n">
        <v>641</v>
      </c>
      <c r="E38" s="18" t="n">
        <v>48.37718573</v>
      </c>
      <c r="F38" s="20" t="n">
        <v>2.06146771</v>
      </c>
      <c r="G38" s="18" t="n">
        <v>51.06894451</v>
      </c>
      <c r="H38" s="20" t="n">
        <v>2.05886064</v>
      </c>
      <c r="I38" s="18" t="n">
        <v>0</v>
      </c>
      <c r="J38" s="20" t="n">
        <v>0</v>
      </c>
      <c r="K38" s="18" t="n">
        <v>0.03040424</v>
      </c>
      <c r="L38" s="20" t="n">
        <v>0.02948247</v>
      </c>
      <c r="M38" s="18" t="n">
        <v>0</v>
      </c>
      <c r="N38" s="20" t="n">
        <v>0</v>
      </c>
      <c r="O38" s="18" t="n">
        <v>0</v>
      </c>
      <c r="P38" s="20" t="n">
        <v>0</v>
      </c>
      <c r="Q38" s="18" t="n">
        <v>0.52346552</v>
      </c>
      <c r="R38" s="20" t="n">
        <v>0.28134771</v>
      </c>
    </row>
    <row r="39" spans="1:18">
      <c r="A39" s="15" t="s">
        <v>597</v>
      </c>
      <c r="B39" s="17" t="n">
        <v>2938</v>
      </c>
      <c r="C39" s="18">
        <f>(2274.0/B39*100)</f>
        <v/>
      </c>
      <c r="D39" s="19" t="n">
        <v>664</v>
      </c>
      <c r="E39" s="18" t="n">
        <v>55.18402903</v>
      </c>
      <c r="F39" s="20" t="n">
        <v>2.29745103</v>
      </c>
      <c r="G39" s="18" t="n">
        <v>43.42325576</v>
      </c>
      <c r="H39" s="20" t="n">
        <v>2.33197811</v>
      </c>
      <c r="I39" s="18" t="n">
        <v>0</v>
      </c>
      <c r="J39" s="20" t="n">
        <v>0</v>
      </c>
      <c r="K39" s="18" t="n">
        <v>0</v>
      </c>
      <c r="L39" s="20" t="n">
        <v>0</v>
      </c>
      <c r="M39" s="18" t="n">
        <v>0</v>
      </c>
      <c r="N39" s="20" t="n">
        <v>0</v>
      </c>
      <c r="O39" s="18" t="n">
        <v>0</v>
      </c>
      <c r="P39" s="20" t="n">
        <v>0</v>
      </c>
      <c r="Q39" s="18" t="n">
        <v>1.39271522</v>
      </c>
      <c r="R39" s="20" t="n">
        <v>0.6348465</v>
      </c>
    </row>
    <row r="40" spans="1:18">
      <c r="A40" s="15" t="s">
        <v>598</v>
      </c>
      <c r="B40" s="17" t="n">
        <v>6922</v>
      </c>
      <c r="C40" s="18">
        <f>(5475.0/B40*100)</f>
        <v/>
      </c>
      <c r="D40" s="19" t="n">
        <v>1447</v>
      </c>
      <c r="E40" s="18" t="n">
        <v>57.3030268</v>
      </c>
      <c r="F40" s="20" t="n">
        <v>1.8607708</v>
      </c>
      <c r="G40" s="18" t="n">
        <v>40.85887944</v>
      </c>
      <c r="H40" s="20" t="n">
        <v>1.89124313</v>
      </c>
      <c r="I40" s="18" t="n">
        <v>0</v>
      </c>
      <c r="J40" s="20" t="n">
        <v>0</v>
      </c>
      <c r="K40" s="18" t="n">
        <v>0.07745622000000001</v>
      </c>
      <c r="L40" s="20" t="n">
        <v>0.03952753</v>
      </c>
      <c r="M40" s="18" t="n">
        <v>0</v>
      </c>
      <c r="N40" s="20" t="n">
        <v>0</v>
      </c>
      <c r="O40" s="18" t="n">
        <v>0</v>
      </c>
      <c r="P40" s="20" t="n">
        <v>0</v>
      </c>
      <c r="Q40" s="18" t="n">
        <v>1.76063754</v>
      </c>
      <c r="R40" s="20" t="n">
        <v>0.61554203</v>
      </c>
    </row>
    <row r="41" spans="1:18">
      <c r="A41" s="15" t="s">
        <v>599</v>
      </c>
      <c r="B41" s="17" t="n">
        <v>2854</v>
      </c>
      <c r="C41" s="18">
        <f>(2206.0/B41*100)</f>
        <v/>
      </c>
      <c r="D41" s="19" t="n">
        <v>648</v>
      </c>
      <c r="E41" s="18" t="n">
        <v>49.48035447</v>
      </c>
      <c r="F41" s="20" t="n">
        <v>2.164703</v>
      </c>
      <c r="G41" s="18" t="n">
        <v>49.79262058</v>
      </c>
      <c r="H41" s="20" t="n">
        <v>2.21957783</v>
      </c>
      <c r="I41" s="18" t="n">
        <v>0</v>
      </c>
      <c r="J41" s="20" t="n">
        <v>0</v>
      </c>
      <c r="K41" s="18" t="n">
        <v>0.2842104</v>
      </c>
      <c r="L41" s="20" t="n">
        <v>0.20330492</v>
      </c>
      <c r="M41" s="18" t="n">
        <v>0</v>
      </c>
      <c r="N41" s="20" t="n">
        <v>0</v>
      </c>
      <c r="O41" s="18" t="n">
        <v>0</v>
      </c>
      <c r="P41" s="20" t="n">
        <v>0</v>
      </c>
      <c r="Q41" s="18" t="n">
        <v>0.44281454</v>
      </c>
      <c r="R41" s="20" t="n">
        <v>0.24082441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(9843.0/B46*100)</f>
        <v/>
      </c>
      <c r="D46" s="19" t="n">
        <v>2230</v>
      </c>
      <c r="E46" s="18" t="n">
        <v>73.19656003999999</v>
      </c>
      <c r="F46" s="20" t="n">
        <v>1.42478994</v>
      </c>
      <c r="G46" s="18" t="n">
        <v>22.67272667</v>
      </c>
      <c r="H46" s="20" t="n">
        <v>1.35215005</v>
      </c>
      <c r="I46" s="18" t="n">
        <v>0</v>
      </c>
      <c r="J46" s="20" t="n">
        <v>0</v>
      </c>
      <c r="K46" s="18" t="n">
        <v>1.00819222</v>
      </c>
      <c r="L46" s="20" t="n">
        <v>0.35450865</v>
      </c>
      <c r="M46" s="18" t="n">
        <v>0</v>
      </c>
      <c r="N46" s="20" t="n">
        <v>0</v>
      </c>
      <c r="O46" s="18" t="n">
        <v>0</v>
      </c>
      <c r="P46" s="20" t="n">
        <v>0</v>
      </c>
      <c r="Q46" s="18" t="n">
        <v>3.12252108</v>
      </c>
      <c r="R46" s="20" t="n">
        <v>0.46639853</v>
      </c>
    </row>
    <row r="47" spans="1:18">
      <c r="A47" s="15" t="s">
        <v>606</v>
      </c>
      <c r="B47" s="17" t="n">
        <v>2823</v>
      </c>
      <c r="C47" s="18">
        <f>(2217.0/B47*100)</f>
        <v/>
      </c>
      <c r="D47" s="19" t="n">
        <v>606</v>
      </c>
      <c r="E47" s="18" t="n">
        <v>61.68622439</v>
      </c>
      <c r="F47" s="20" t="n">
        <v>2.04679163</v>
      </c>
      <c r="G47" s="18" t="n">
        <v>36.97021502</v>
      </c>
      <c r="H47" s="20" t="n">
        <v>2.10343839</v>
      </c>
      <c r="I47" s="18" t="n">
        <v>0</v>
      </c>
      <c r="J47" s="20" t="n">
        <v>0</v>
      </c>
      <c r="K47" s="18" t="n">
        <v>0.16670212</v>
      </c>
      <c r="L47" s="20" t="n">
        <v>0.16618068</v>
      </c>
      <c r="M47" s="18" t="n">
        <v>0</v>
      </c>
      <c r="N47" s="20" t="n">
        <v>0</v>
      </c>
      <c r="O47" s="18" t="n">
        <v>0</v>
      </c>
      <c r="P47" s="20" t="n">
        <v>0</v>
      </c>
      <c r="Q47" s="18" t="n">
        <v>1.17685848</v>
      </c>
      <c r="R47" s="20" t="n">
        <v>0.43209262</v>
      </c>
    </row>
    <row r="48" spans="1:18">
      <c r="A48" s="15" t="s">
        <v>607</v>
      </c>
      <c r="B48" s="17" t="n">
        <v>4682</v>
      </c>
      <c r="C48" s="18">
        <f>(3630.0/B48*100)</f>
        <v/>
      </c>
      <c r="D48" s="19" t="n">
        <v>1052</v>
      </c>
      <c r="E48" s="18" t="n">
        <v>41.71252987</v>
      </c>
      <c r="F48" s="20" t="n">
        <v>1.96174674</v>
      </c>
      <c r="G48" s="18" t="n">
        <v>57.21112269</v>
      </c>
      <c r="H48" s="20" t="n">
        <v>1.99009555</v>
      </c>
      <c r="I48" s="18" t="n">
        <v>0</v>
      </c>
      <c r="J48" s="20" t="n">
        <v>0</v>
      </c>
      <c r="K48" s="18" t="n">
        <v>0.73103767</v>
      </c>
      <c r="L48" s="20" t="n">
        <v>0.32792067</v>
      </c>
      <c r="M48" s="18" t="n">
        <v>0</v>
      </c>
      <c r="N48" s="20" t="n">
        <v>0</v>
      </c>
      <c r="O48" s="18" t="n">
        <v>0</v>
      </c>
      <c r="P48" s="20" t="n">
        <v>0</v>
      </c>
      <c r="Q48" s="18" t="n">
        <v>0.34530977</v>
      </c>
      <c r="R48" s="20" t="n">
        <v>0.24244737</v>
      </c>
    </row>
    <row r="49" spans="1:18">
      <c r="A49" s="15" t="s">
        <v>608</v>
      </c>
      <c r="B49" s="17" t="n">
        <v>6158</v>
      </c>
      <c r="C49" s="18">
        <f>(4847.0/B49*100)</f>
        <v/>
      </c>
      <c r="D49" s="19" t="n">
        <v>1311</v>
      </c>
      <c r="E49" s="18" t="n">
        <v>64.39437189</v>
      </c>
      <c r="F49" s="20" t="n">
        <v>1.90565568</v>
      </c>
      <c r="G49" s="18" t="n">
        <v>33.00135857</v>
      </c>
      <c r="H49" s="20" t="n">
        <v>1.76623293</v>
      </c>
      <c r="I49" s="18" t="n">
        <v>0</v>
      </c>
      <c r="J49" s="20" t="n">
        <v>0</v>
      </c>
      <c r="K49" s="18" t="n">
        <v>1.69600831</v>
      </c>
      <c r="L49" s="20" t="n">
        <v>0.55582745</v>
      </c>
      <c r="M49" s="18" t="n">
        <v>0</v>
      </c>
      <c r="N49" s="20" t="n">
        <v>0</v>
      </c>
      <c r="O49" s="18" t="n">
        <v>0</v>
      </c>
      <c r="P49" s="20" t="n">
        <v>0</v>
      </c>
      <c r="Q49" s="18" t="n">
        <v>0.90826122</v>
      </c>
      <c r="R49" s="20" t="n">
        <v>0.32589551</v>
      </c>
    </row>
    <row r="50" spans="1:18">
      <c r="A50" s="15" t="s">
        <v>609</v>
      </c>
      <c r="B50" s="17" t="n">
        <v>3494</v>
      </c>
      <c r="C50" s="18">
        <f>(2801.0/B50*100)</f>
        <v/>
      </c>
      <c r="D50" s="19" t="n">
        <v>693</v>
      </c>
      <c r="E50" s="18" t="n">
        <v>68.97486713000001</v>
      </c>
      <c r="F50" s="20" t="n">
        <v>1.89527904</v>
      </c>
      <c r="G50" s="18" t="n">
        <v>29.73557259</v>
      </c>
      <c r="H50" s="20" t="n">
        <v>1.88165901</v>
      </c>
      <c r="I50" s="18" t="n">
        <v>0</v>
      </c>
      <c r="J50" s="20" t="n">
        <v>0</v>
      </c>
      <c r="K50" s="18" t="n">
        <v>0</v>
      </c>
      <c r="L50" s="20" t="n">
        <v>0</v>
      </c>
      <c r="M50" s="18" t="n">
        <v>0</v>
      </c>
      <c r="N50" s="20" t="n">
        <v>0</v>
      </c>
      <c r="O50" s="18" t="n">
        <v>0</v>
      </c>
      <c r="P50" s="20" t="n">
        <v>0</v>
      </c>
      <c r="Q50" s="18" t="n">
        <v>1.28956027</v>
      </c>
      <c r="R50" s="20" t="n">
        <v>0.45473684</v>
      </c>
    </row>
    <row r="51" spans="1:18">
      <c r="A51" s="15" t="s">
        <v>610</v>
      </c>
      <c r="B51" s="17" t="n">
        <v>3013</v>
      </c>
      <c r="C51" s="18">
        <f>(2348.0/B51*100)</f>
        <v/>
      </c>
      <c r="D51" s="19" t="n">
        <v>665</v>
      </c>
      <c r="E51" s="18" t="n">
        <v>63.03774906</v>
      </c>
      <c r="F51" s="20" t="n">
        <v>1.88664573</v>
      </c>
      <c r="G51" s="18" t="n">
        <v>36.25439496</v>
      </c>
      <c r="H51" s="20" t="n">
        <v>1.9269001</v>
      </c>
      <c r="I51" s="18" t="n">
        <v>0</v>
      </c>
      <c r="J51" s="20" t="n">
        <v>0</v>
      </c>
      <c r="K51" s="18" t="n">
        <v>0.13868017</v>
      </c>
      <c r="L51" s="20" t="n">
        <v>0.13832228</v>
      </c>
      <c r="M51" s="18" t="n">
        <v>0</v>
      </c>
      <c r="N51" s="20" t="n">
        <v>0</v>
      </c>
      <c r="O51" s="18" t="n">
        <v>0</v>
      </c>
      <c r="P51" s="20" t="n">
        <v>0</v>
      </c>
      <c r="Q51" s="18" t="n">
        <v>0.5691758</v>
      </c>
      <c r="R51" s="20" t="n">
        <v>0.26573261</v>
      </c>
    </row>
    <row r="52" spans="1:18">
      <c r="A52" s="15" t="s">
        <v>611</v>
      </c>
      <c r="B52" s="17" t="n">
        <v>2760</v>
      </c>
      <c r="C52" s="18">
        <f>(2148.0/B52*100)</f>
        <v/>
      </c>
      <c r="D52" s="19" t="n">
        <v>612</v>
      </c>
      <c r="E52" s="18" t="n">
        <v>70.45965844</v>
      </c>
      <c r="F52" s="20" t="n">
        <v>1.6841911</v>
      </c>
      <c r="G52" s="18" t="n">
        <v>28.40757634</v>
      </c>
      <c r="H52" s="20" t="n">
        <v>1.78170286</v>
      </c>
      <c r="I52" s="18" t="n">
        <v>0</v>
      </c>
      <c r="J52" s="20" t="n">
        <v>0</v>
      </c>
      <c r="K52" s="18" t="n">
        <v>0</v>
      </c>
      <c r="L52" s="20" t="n">
        <v>0</v>
      </c>
      <c r="M52" s="18" t="n">
        <v>0</v>
      </c>
      <c r="N52" s="20" t="n">
        <v>0</v>
      </c>
      <c r="O52" s="18" t="n">
        <v>0</v>
      </c>
      <c r="P52" s="20" t="n">
        <v>0</v>
      </c>
      <c r="Q52" s="18" t="n">
        <v>1.13276522</v>
      </c>
      <c r="R52" s="20" t="n">
        <v>0.59418911</v>
      </c>
    </row>
    <row r="53" spans="1:18">
      <c r="A53" s="15" t="s">
        <v>612</v>
      </c>
      <c r="B53" s="17" t="n">
        <v>2474</v>
      </c>
      <c r="C53" s="18">
        <f>(1943.0/B53*100)</f>
        <v/>
      </c>
      <c r="D53" s="19" t="n">
        <v>531</v>
      </c>
      <c r="E53" s="18" t="n">
        <v>68.70597739999999</v>
      </c>
      <c r="F53" s="20" t="n">
        <v>2.24125269</v>
      </c>
      <c r="G53" s="18" t="n">
        <v>15.57199035</v>
      </c>
      <c r="H53" s="20" t="n">
        <v>1.75520103</v>
      </c>
      <c r="I53" s="18" t="n">
        <v>0</v>
      </c>
      <c r="J53" s="20" t="n">
        <v>0</v>
      </c>
      <c r="K53" s="18" t="n">
        <v>12.26307844</v>
      </c>
      <c r="L53" s="20" t="n">
        <v>1.70453037</v>
      </c>
      <c r="M53" s="18" t="n">
        <v>0</v>
      </c>
      <c r="N53" s="20" t="n">
        <v>0</v>
      </c>
      <c r="O53" s="18" t="n">
        <v>0</v>
      </c>
      <c r="P53" s="20" t="n">
        <v>0</v>
      </c>
      <c r="Q53" s="18" t="n">
        <v>3.45895381</v>
      </c>
      <c r="R53" s="20" t="n">
        <v>0.84662752</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(2044.0/B55*100)</f>
        <v/>
      </c>
      <c r="D55" s="19" t="n">
        <v>631</v>
      </c>
      <c r="E55" s="18" t="n">
        <v>48.48536533</v>
      </c>
      <c r="F55" s="20" t="n">
        <v>1.85306992</v>
      </c>
      <c r="G55" s="18" t="n">
        <v>50.57556342</v>
      </c>
      <c r="H55" s="20" t="n">
        <v>1.80980335</v>
      </c>
      <c r="I55" s="18" t="n">
        <v>0</v>
      </c>
      <c r="J55" s="20" t="n">
        <v>0</v>
      </c>
      <c r="K55" s="18" t="n">
        <v>0</v>
      </c>
      <c r="L55" s="20" t="n">
        <v>0</v>
      </c>
      <c r="M55" s="18" t="n">
        <v>0</v>
      </c>
      <c r="N55" s="20" t="n">
        <v>0</v>
      </c>
      <c r="O55" s="18" t="n">
        <v>0</v>
      </c>
      <c r="P55" s="20" t="n">
        <v>0</v>
      </c>
      <c r="Q55" s="18" t="n">
        <v>0.93907126</v>
      </c>
      <c r="R55" s="20" t="n">
        <v>0.48247668</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(2479.0/B61*100)</f>
        <v/>
      </c>
      <c r="D61" s="19" t="n">
        <v>722</v>
      </c>
      <c r="E61" s="18" t="n">
        <v>65.92845475999999</v>
      </c>
      <c r="F61" s="20" t="n">
        <v>1.80027464</v>
      </c>
      <c r="G61" s="18" t="n">
        <v>32.88510883</v>
      </c>
      <c r="H61" s="20" t="n">
        <v>1.81868987</v>
      </c>
      <c r="I61" s="18" t="n">
        <v>0</v>
      </c>
      <c r="J61" s="20" t="n">
        <v>0</v>
      </c>
      <c r="K61" s="18" t="n">
        <v>0</v>
      </c>
      <c r="L61" s="20" t="n">
        <v>0</v>
      </c>
      <c r="M61" s="18" t="n">
        <v>0</v>
      </c>
      <c r="N61" s="20" t="n">
        <v>0</v>
      </c>
      <c r="O61" s="18" t="n">
        <v>0</v>
      </c>
      <c r="P61" s="20" t="n">
        <v>0</v>
      </c>
      <c r="Q61" s="18" t="n">
        <v>1.18643641</v>
      </c>
      <c r="R61" s="20" t="n">
        <v>0.4538728</v>
      </c>
    </row>
    <row r="62" spans="1:18">
      <c r="A62" s="15" t="s">
        <v>622</v>
      </c>
      <c r="B62" s="17" t="n">
        <v>2230</v>
      </c>
      <c r="C62" s="18">
        <f>(1729.0/B62*100)</f>
        <v/>
      </c>
      <c r="D62" s="19" t="n">
        <v>501</v>
      </c>
      <c r="E62" s="18" t="n">
        <v>38.50538792</v>
      </c>
      <c r="F62" s="20" t="n">
        <v>1.91466694</v>
      </c>
      <c r="G62" s="18" t="n">
        <v>61.49461208</v>
      </c>
      <c r="H62" s="20" t="n">
        <v>1.91466694</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(2178.0/B67*100)</f>
        <v/>
      </c>
      <c r="D67" s="19" t="n">
        <v>593</v>
      </c>
      <c r="E67" s="18" t="n">
        <v>76.83865969</v>
      </c>
      <c r="F67" s="20" t="n">
        <v>1.6389747</v>
      </c>
      <c r="G67" s="18" t="n">
        <v>18.62286828</v>
      </c>
      <c r="H67" s="20" t="n">
        <v>1.44570991</v>
      </c>
      <c r="I67" s="18" t="n">
        <v>0</v>
      </c>
      <c r="J67" s="20" t="n">
        <v>0</v>
      </c>
      <c r="K67" s="18" t="n">
        <v>0.1426751</v>
      </c>
      <c r="L67" s="20" t="n">
        <v>0.14204933</v>
      </c>
      <c r="M67" s="18" t="n">
        <v>0</v>
      </c>
      <c r="N67" s="20" t="n">
        <v>0</v>
      </c>
      <c r="O67" s="18" t="n">
        <v>0</v>
      </c>
      <c r="P67" s="20" t="n">
        <v>0</v>
      </c>
      <c r="Q67" s="18" t="n">
        <v>4.39579693</v>
      </c>
      <c r="R67" s="20" t="n">
        <v>0.89848028</v>
      </c>
    </row>
    <row r="68" spans="1:18">
      <c r="A68" s="15" t="s">
        <v>628</v>
      </c>
      <c r="B68" s="17" t="n">
        <v>3460</v>
      </c>
      <c r="C68" s="18">
        <f>(2800.0/B68*100)</f>
        <v/>
      </c>
      <c r="D68" s="19" t="n">
        <v>660</v>
      </c>
      <c r="E68" s="18" t="n">
        <v>74.01852909999999</v>
      </c>
      <c r="F68" s="20" t="n">
        <v>1.81419265</v>
      </c>
      <c r="G68" s="18" t="n">
        <v>24.86259823</v>
      </c>
      <c r="H68" s="20" t="n">
        <v>1.82430368</v>
      </c>
      <c r="I68" s="18" t="n">
        <v>0</v>
      </c>
      <c r="J68" s="20" t="n">
        <v>0</v>
      </c>
      <c r="K68" s="18" t="n">
        <v>0.52191755</v>
      </c>
      <c r="L68" s="20" t="n">
        <v>0.30407031</v>
      </c>
      <c r="M68" s="18" t="n">
        <v>0</v>
      </c>
      <c r="N68" s="20" t="n">
        <v>0</v>
      </c>
      <c r="O68" s="18" t="n">
        <v>0</v>
      </c>
      <c r="P68" s="20" t="n">
        <v>0</v>
      </c>
      <c r="Q68" s="18" t="n">
        <v>0.59695512</v>
      </c>
      <c r="R68" s="20" t="n">
        <v>0.37610937</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(4652.0/B70*100)</f>
        <v/>
      </c>
      <c r="D70" s="19" t="n">
        <v>1382</v>
      </c>
      <c r="E70" s="18" t="n">
        <v>63.92250478</v>
      </c>
      <c r="F70" s="20" t="n">
        <v>1.05395126</v>
      </c>
      <c r="G70" s="18" t="n">
        <v>33.13280119</v>
      </c>
      <c r="H70" s="20" t="n">
        <v>1.03668046</v>
      </c>
      <c r="I70" s="18" t="n">
        <v>0</v>
      </c>
      <c r="J70" s="20" t="n">
        <v>0</v>
      </c>
      <c r="K70" s="18" t="n">
        <v>1.86911898</v>
      </c>
      <c r="L70" s="20" t="n">
        <v>0.35786198</v>
      </c>
      <c r="M70" s="18" t="n">
        <v>0</v>
      </c>
      <c r="N70" s="20" t="n">
        <v>0</v>
      </c>
      <c r="O70" s="18" t="n">
        <v>0</v>
      </c>
      <c r="P70" s="20" t="n">
        <v>0</v>
      </c>
      <c r="Q70" s="18" t="n">
        <v>1.07557505</v>
      </c>
      <c r="R70" s="20" t="n">
        <v>0.23744739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(2512.0/B72*100)</f>
        <v/>
      </c>
      <c r="D72" s="19" t="n">
        <v>595</v>
      </c>
      <c r="E72" s="18" t="n">
        <v>56.77912868</v>
      </c>
      <c r="F72" s="20" t="n">
        <v>2.54218688</v>
      </c>
      <c r="G72" s="18" t="n">
        <v>42.24197954</v>
      </c>
      <c r="H72" s="20" t="n">
        <v>2.52349121</v>
      </c>
      <c r="I72" s="18" t="n">
        <v>0</v>
      </c>
      <c r="J72" s="20" t="n">
        <v>0</v>
      </c>
      <c r="K72" s="18" t="n">
        <v>0.38805847</v>
      </c>
      <c r="L72" s="20" t="n">
        <v>0.20313675</v>
      </c>
      <c r="M72" s="18" t="n">
        <v>0</v>
      </c>
      <c r="N72" s="20" t="n">
        <v>0</v>
      </c>
      <c r="O72" s="18" t="n">
        <v>0</v>
      </c>
      <c r="P72" s="20" t="n">
        <v>0</v>
      </c>
      <c r="Q72" s="18" t="n">
        <v>0.5908333099999999</v>
      </c>
      <c r="R72" s="20" t="n">
        <v>0.28833252</v>
      </c>
    </row>
    <row r="73" spans="1:18">
      <c r="A73" s="15" t="s">
        <v>633</v>
      </c>
      <c r="B73" s="17" t="n">
        <v>2973</v>
      </c>
      <c r="C73" s="18">
        <f>(2332.0/B73*100)</f>
        <v/>
      </c>
      <c r="D73" s="19" t="n">
        <v>641</v>
      </c>
      <c r="E73" s="18" t="n">
        <v>47.56397391</v>
      </c>
      <c r="F73" s="20" t="n">
        <v>1.71018309</v>
      </c>
      <c r="G73" s="18" t="n">
        <v>51.52224693</v>
      </c>
      <c r="H73" s="20" t="n">
        <v>1.81672517</v>
      </c>
      <c r="I73" s="18" t="n">
        <v>0</v>
      </c>
      <c r="J73" s="20" t="n">
        <v>0</v>
      </c>
      <c r="K73" s="18" t="n">
        <v>0.33857479</v>
      </c>
      <c r="L73" s="20" t="n">
        <v>0.23964671</v>
      </c>
      <c r="M73" s="18" t="n">
        <v>0</v>
      </c>
      <c r="N73" s="20" t="n">
        <v>0</v>
      </c>
      <c r="O73" s="18" t="n">
        <v>0</v>
      </c>
      <c r="P73" s="20" t="n">
        <v>0</v>
      </c>
      <c r="Q73" s="18" t="n">
        <v>0.57520436</v>
      </c>
      <c r="R73" s="20" t="n">
        <v>0.33782284</v>
      </c>
    </row>
    <row r="74" spans="1:18">
      <c r="A74" s="15" t="s">
        <v>634</v>
      </c>
      <c r="B74" s="17" t="n">
        <v>3819</v>
      </c>
      <c r="C74" s="18">
        <f>(2977.0/B74*100)</f>
        <v/>
      </c>
      <c r="D74" s="19" t="n">
        <v>842</v>
      </c>
      <c r="E74" s="18" t="n">
        <v>43.04992783</v>
      </c>
      <c r="F74" s="20" t="n">
        <v>1.99742006</v>
      </c>
      <c r="G74" s="18" t="n">
        <v>56.86395934</v>
      </c>
      <c r="H74" s="20" t="n">
        <v>1.99875707</v>
      </c>
      <c r="I74" s="18" t="n">
        <v>0</v>
      </c>
      <c r="J74" s="20" t="n">
        <v>0</v>
      </c>
      <c r="K74" s="18" t="n">
        <v>0</v>
      </c>
      <c r="L74" s="20" t="n">
        <v>0</v>
      </c>
      <c r="M74" s="18" t="n">
        <v>0</v>
      </c>
      <c r="N74" s="20" t="n">
        <v>0</v>
      </c>
      <c r="O74" s="18" t="n">
        <v>0</v>
      </c>
      <c r="P74" s="20" t="n">
        <v>0</v>
      </c>
      <c r="Q74" s="18" t="n">
        <v>0.08611283</v>
      </c>
      <c r="R74" s="20" t="n">
        <v>0.08660131</v>
      </c>
    </row>
    <row r="75" spans="1:18">
      <c r="A75" s="15" t="s">
        <v>635</v>
      </c>
      <c r="B75" s="17" t="n">
        <v>4652</v>
      </c>
      <c r="C75" s="18">
        <f>(3666.0/B75*100)</f>
        <v/>
      </c>
      <c r="D75" s="19" t="n">
        <v>986</v>
      </c>
      <c r="E75" s="18" t="n">
        <v>65.87775152</v>
      </c>
      <c r="F75" s="20" t="n">
        <v>1.63125996</v>
      </c>
      <c r="G75" s="18" t="n">
        <v>33.49380979</v>
      </c>
      <c r="H75" s="20" t="n">
        <v>1.65400586</v>
      </c>
      <c r="I75" s="18" t="n">
        <v>0</v>
      </c>
      <c r="J75" s="20" t="n">
        <v>0</v>
      </c>
      <c r="K75" s="18" t="n">
        <v>0.05139783</v>
      </c>
      <c r="L75" s="20" t="n">
        <v>0.05181974</v>
      </c>
      <c r="M75" s="18" t="n">
        <v>0</v>
      </c>
      <c r="N75" s="20" t="n">
        <v>0</v>
      </c>
      <c r="O75" s="18" t="n">
        <v>0</v>
      </c>
      <c r="P75" s="20" t="n">
        <v>0</v>
      </c>
      <c r="Q75" s="18" t="n">
        <v>0.57704087</v>
      </c>
      <c r="R75" s="20" t="n">
        <v>0.22746249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(2396.0/B77*100)</f>
        <v/>
      </c>
      <c r="D77" s="19" t="n">
        <v>573</v>
      </c>
      <c r="E77" s="18" t="n">
        <v>77.08846197</v>
      </c>
      <c r="F77" s="20" t="n">
        <v>1.9452401</v>
      </c>
      <c r="G77" s="18" t="n">
        <v>17.90289984</v>
      </c>
      <c r="H77" s="20" t="n">
        <v>1.68032601</v>
      </c>
      <c r="I77" s="18" t="n">
        <v>0</v>
      </c>
      <c r="J77" s="20" t="n">
        <v>0</v>
      </c>
      <c r="K77" s="18" t="n">
        <v>2.60380397</v>
      </c>
      <c r="L77" s="20" t="n">
        <v>0.68686335</v>
      </c>
      <c r="M77" s="18" t="n">
        <v>0</v>
      </c>
      <c r="N77" s="20" t="n">
        <v>0</v>
      </c>
      <c r="O77" s="18" t="n">
        <v>0</v>
      </c>
      <c r="P77" s="20" t="n">
        <v>0</v>
      </c>
      <c r="Q77" s="18" t="n">
        <v>2.40483422</v>
      </c>
      <c r="R77" s="20" t="n">
        <v>0.63697344</v>
      </c>
    </row>
    <row r="78" spans="1:18">
      <c r="A78" s="15" t="s">
        <v>638</v>
      </c>
      <c r="B78" s="17" t="n">
        <v>7115</v>
      </c>
      <c r="C78" s="18">
        <f>(5571.0/B78*100)</f>
        <v/>
      </c>
      <c r="D78" s="19" t="n">
        <v>1544</v>
      </c>
      <c r="E78" s="18" t="n">
        <v>59.69702467</v>
      </c>
      <c r="F78" s="20" t="n">
        <v>1.56219369</v>
      </c>
      <c r="G78" s="18" t="n">
        <v>38.80407223</v>
      </c>
      <c r="H78" s="20" t="n">
        <v>1.67558315</v>
      </c>
      <c r="I78" s="18" t="n">
        <v>0</v>
      </c>
      <c r="J78" s="20" t="n">
        <v>0</v>
      </c>
      <c r="K78" s="18" t="n">
        <v>0.44594283</v>
      </c>
      <c r="L78" s="20" t="n">
        <v>0.19137792</v>
      </c>
      <c r="M78" s="18" t="n">
        <v>0</v>
      </c>
      <c r="N78" s="20" t="n">
        <v>0</v>
      </c>
      <c r="O78" s="18" t="n">
        <v>0</v>
      </c>
      <c r="P78" s="20" t="n">
        <v>0</v>
      </c>
      <c r="Q78" s="18" t="n">
        <v>1.05296026</v>
      </c>
      <c r="R78" s="20" t="n">
        <v>0.3905551</v>
      </c>
    </row>
    <row r="79" spans="1:18">
      <c r="A79" s="15" t="s">
        <v>639</v>
      </c>
      <c r="B79" s="17" t="n">
        <v>3154</v>
      </c>
      <c r="C79" s="18">
        <f>(2469.0/B79*100)</f>
        <v/>
      </c>
      <c r="D79" s="19" t="n">
        <v>685</v>
      </c>
      <c r="E79" s="18" t="n">
        <v>68.00758302</v>
      </c>
      <c r="F79" s="20" t="n">
        <v>2.02194246</v>
      </c>
      <c r="G79" s="18" t="n">
        <v>28.9304777</v>
      </c>
      <c r="H79" s="20" t="n">
        <v>1.91799927</v>
      </c>
      <c r="I79" s="18" t="n">
        <v>0</v>
      </c>
      <c r="J79" s="20" t="n">
        <v>0</v>
      </c>
      <c r="K79" s="18" t="n">
        <v>0.4031429</v>
      </c>
      <c r="L79" s="20" t="n">
        <v>0.23019799</v>
      </c>
      <c r="M79" s="18" t="n">
        <v>0</v>
      </c>
      <c r="N79" s="20" t="n">
        <v>0</v>
      </c>
      <c r="O79" s="18" t="n">
        <v>0</v>
      </c>
      <c r="P79" s="20" t="n">
        <v>0</v>
      </c>
      <c r="Q79" s="18" t="n">
        <v>2.65879638</v>
      </c>
      <c r="R79" s="20" t="n">
        <v>0.51093003</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(12465.0/B82*100)</f>
        <v/>
      </c>
      <c r="D82" s="19" t="n">
        <v>3496</v>
      </c>
      <c r="E82" s="18" t="n">
        <v>59.28904643</v>
      </c>
      <c r="F82" s="20" t="n">
        <v>1.23766121</v>
      </c>
      <c r="G82" s="18" t="n">
        <v>39.58508442</v>
      </c>
      <c r="H82" s="20" t="n">
        <v>1.23696096</v>
      </c>
      <c r="I82" s="18" t="n">
        <v>0</v>
      </c>
      <c r="J82" s="20" t="n">
        <v>0</v>
      </c>
      <c r="K82" s="18" t="n">
        <v>0.16716789</v>
      </c>
      <c r="L82" s="20" t="n">
        <v>0.09917020999999999</v>
      </c>
      <c r="M82" s="18" t="n">
        <v>0</v>
      </c>
      <c r="N82" s="20" t="n">
        <v>0</v>
      </c>
      <c r="O82" s="18" t="n">
        <v>0</v>
      </c>
      <c r="P82" s="20" t="n">
        <v>0</v>
      </c>
      <c r="Q82" s="18" t="n">
        <v>0.95870126</v>
      </c>
      <c r="R82" s="20" t="n">
        <v>0.27757699</v>
      </c>
    </row>
    <row r="83" spans="1:18">
      <c r="A83" s="15" t="s">
        <v>643</v>
      </c>
      <c r="B83" s="17" t="n">
        <v>808</v>
      </c>
      <c r="C83" s="18">
        <f>(633.0/B83*100)</f>
        <v/>
      </c>
      <c r="D83" s="19" t="n">
        <v>175</v>
      </c>
      <c r="E83" s="18" t="n">
        <v>43.00700523</v>
      </c>
      <c r="F83" s="20" t="n">
        <v>2.98651117</v>
      </c>
      <c r="G83" s="18" t="n">
        <v>56.21389904</v>
      </c>
      <c r="H83" s="20" t="n">
        <v>3.15112208</v>
      </c>
      <c r="I83" s="18" t="n">
        <v>0</v>
      </c>
      <c r="J83" s="20" t="n">
        <v>0</v>
      </c>
      <c r="K83" s="18" t="n">
        <v>0</v>
      </c>
      <c r="L83" s="20" t="n">
        <v>0</v>
      </c>
      <c r="M83" s="18" t="n">
        <v>0</v>
      </c>
      <c r="N83" s="20" t="n">
        <v>0</v>
      </c>
      <c r="O83" s="18" t="n">
        <v>0</v>
      </c>
      <c r="P83" s="20" t="n">
        <v>0</v>
      </c>
      <c r="Q83" s="18" t="n">
        <v>0.77909573</v>
      </c>
      <c r="R83" s="20" t="n">
        <v>0.77538904</v>
      </c>
    </row>
    <row r="84" spans="1:18">
      <c r="A84" s="23" t="s">
        <v>644</v>
      </c>
      <c r="B84" s="24" t="n">
        <v>938</v>
      </c>
      <c r="C84" s="25">
        <f>(739.0/B84*100)</f>
        <v/>
      </c>
      <c r="D84" s="19" t="n">
        <v>199</v>
      </c>
      <c r="E84" s="18" t="n">
        <v>51.99942541</v>
      </c>
      <c r="F84" s="20" t="n">
        <v>2.70113539</v>
      </c>
      <c r="G84" s="18" t="n">
        <v>48.00057459</v>
      </c>
      <c r="H84" s="20" t="n">
        <v>2.70113539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(5611.0/B7*100)</f>
        <v/>
      </c>
      <c r="D7" s="19" t="n">
        <v>1552</v>
      </c>
      <c r="E7" s="18" t="n">
        <v>60.12104323</v>
      </c>
      <c r="F7" s="20" t="n">
        <v>1.22381445</v>
      </c>
      <c r="G7" s="18" t="n">
        <v>37.35065699</v>
      </c>
      <c r="H7" s="20" t="n">
        <v>1.17300568</v>
      </c>
      <c r="I7" s="18" t="n">
        <v>0</v>
      </c>
      <c r="J7" s="20" t="n">
        <v>0</v>
      </c>
      <c r="K7" s="18" t="n">
        <v>0.3121511</v>
      </c>
      <c r="L7" s="20" t="n">
        <v>0.20050656</v>
      </c>
      <c r="M7" s="18" t="n">
        <v>0.092917</v>
      </c>
      <c r="N7" s="20" t="n">
        <v>0.05676465</v>
      </c>
      <c r="O7" s="18" t="n">
        <v>0</v>
      </c>
      <c r="P7" s="20" t="n">
        <v>0</v>
      </c>
      <c r="Q7" s="18" t="n">
        <v>2.12323168</v>
      </c>
      <c r="R7" s="20" t="n">
        <v>0.40256556</v>
      </c>
    </row>
    <row r="8" spans="1:18">
      <c r="A8" s="15" t="s">
        <v>566</v>
      </c>
      <c r="B8" s="17" t="n">
        <v>3443</v>
      </c>
      <c r="C8" s="18">
        <f>(2725.0/B8*100)</f>
        <v/>
      </c>
      <c r="D8" s="19" t="n">
        <v>718</v>
      </c>
      <c r="E8" s="18" t="n">
        <v>76.64576012000001</v>
      </c>
      <c r="F8" s="20" t="n">
        <v>2.03256846</v>
      </c>
      <c r="G8" s="18" t="n">
        <v>21.35386952</v>
      </c>
      <c r="H8" s="20" t="n">
        <v>1.85741902</v>
      </c>
      <c r="I8" s="18" t="n">
        <v>0</v>
      </c>
      <c r="J8" s="20" t="n">
        <v>0</v>
      </c>
      <c r="K8" s="18" t="n">
        <v>0</v>
      </c>
      <c r="L8" s="20" t="n">
        <v>0</v>
      </c>
      <c r="M8" s="18" t="n">
        <v>0</v>
      </c>
      <c r="N8" s="20" t="n">
        <v>0</v>
      </c>
      <c r="O8" s="18" t="n">
        <v>0</v>
      </c>
      <c r="P8" s="20" t="n">
        <v>0</v>
      </c>
      <c r="Q8" s="18" t="n">
        <v>2.00037036</v>
      </c>
      <c r="R8" s="20" t="n">
        <v>0.66106004</v>
      </c>
    </row>
    <row r="9" spans="1:18">
      <c r="A9" s="15" t="s">
        <v>567</v>
      </c>
      <c r="B9" s="17" t="n">
        <v>4752</v>
      </c>
      <c r="C9" s="18">
        <f>(3725.0/B9*100)</f>
        <v/>
      </c>
      <c r="D9" s="19" t="n">
        <v>1027</v>
      </c>
      <c r="E9" s="18" t="n">
        <v>68.54867114</v>
      </c>
      <c r="F9" s="20" t="n">
        <v>1.73568667</v>
      </c>
      <c r="G9" s="18" t="n">
        <v>28.61692765</v>
      </c>
      <c r="H9" s="20" t="n">
        <v>1.73856939</v>
      </c>
      <c r="I9" s="18" t="n">
        <v>0</v>
      </c>
      <c r="J9" s="20" t="n">
        <v>0</v>
      </c>
      <c r="K9" s="18" t="n">
        <v>0.43429658</v>
      </c>
      <c r="L9" s="20" t="n">
        <v>0.22934891</v>
      </c>
      <c r="M9" s="18" t="n">
        <v>0.39839143</v>
      </c>
      <c r="N9" s="20" t="n">
        <v>0.16806978</v>
      </c>
      <c r="O9" s="18" t="n">
        <v>0</v>
      </c>
      <c r="P9" s="20" t="n">
        <v>0</v>
      </c>
      <c r="Q9" s="18" t="n">
        <v>2.00171319</v>
      </c>
      <c r="R9" s="20" t="n">
        <v>0.40892548</v>
      </c>
    </row>
    <row r="10" spans="1:18">
      <c r="A10" s="15" t="s">
        <v>568</v>
      </c>
      <c r="B10" s="17" t="n">
        <v>10022</v>
      </c>
      <c r="C10" s="18">
        <f>(7854.0/B10*100)</f>
        <v/>
      </c>
      <c r="D10" s="19" t="n">
        <v>2168</v>
      </c>
      <c r="E10" s="18" t="n">
        <v>56.50284365</v>
      </c>
      <c r="F10" s="20" t="n">
        <v>1.45872651</v>
      </c>
      <c r="G10" s="18" t="n">
        <v>42.04380706</v>
      </c>
      <c r="H10" s="20" t="n">
        <v>1.50357861</v>
      </c>
      <c r="I10" s="18" t="n">
        <v>0</v>
      </c>
      <c r="J10" s="20" t="n">
        <v>0</v>
      </c>
      <c r="K10" s="18" t="n">
        <v>0.32434007</v>
      </c>
      <c r="L10" s="20" t="n">
        <v>0.19564693</v>
      </c>
      <c r="M10" s="18" t="n">
        <v>0.00371315</v>
      </c>
      <c r="N10" s="20" t="n">
        <v>0.00380196</v>
      </c>
      <c r="O10" s="18" t="n">
        <v>0</v>
      </c>
      <c r="P10" s="20" t="n">
        <v>0</v>
      </c>
      <c r="Q10" s="18" t="n">
        <v>1.12529607</v>
      </c>
      <c r="R10" s="20" t="n">
        <v>0.3225155</v>
      </c>
    </row>
    <row r="11" spans="1:18">
      <c r="A11" s="15" t="s">
        <v>569</v>
      </c>
      <c r="B11" s="17" t="n">
        <v>3500</v>
      </c>
      <c r="C11" s="18">
        <f>(2775.0/B11*100)</f>
        <v/>
      </c>
      <c r="D11" s="19" t="n">
        <v>725</v>
      </c>
      <c r="E11" s="18" t="n">
        <v>81.56652090999999</v>
      </c>
      <c r="F11" s="20" t="n">
        <v>1.63049051</v>
      </c>
      <c r="G11" s="18" t="n">
        <v>15.66401537</v>
      </c>
      <c r="H11" s="20" t="n">
        <v>1.60120656</v>
      </c>
      <c r="I11" s="18" t="n">
        <v>0</v>
      </c>
      <c r="J11" s="20" t="n">
        <v>0</v>
      </c>
      <c r="K11" s="18" t="n">
        <v>0.34740033</v>
      </c>
      <c r="L11" s="20" t="n">
        <v>0.21176155</v>
      </c>
      <c r="M11" s="18" t="n">
        <v>0.0608046</v>
      </c>
      <c r="N11" s="20" t="n">
        <v>0.06678927</v>
      </c>
      <c r="O11" s="18" t="n">
        <v>0</v>
      </c>
      <c r="P11" s="20" t="n">
        <v>0</v>
      </c>
      <c r="Q11" s="18" t="n">
        <v>2.36125878</v>
      </c>
      <c r="R11" s="20" t="n">
        <v>0.5927375499999999</v>
      </c>
    </row>
    <row r="12" spans="1:18">
      <c r="A12" s="15" t="s">
        <v>570</v>
      </c>
      <c r="B12" s="17" t="n">
        <v>3422</v>
      </c>
      <c r="C12" s="18">
        <f>(2661.0/B12*100)</f>
        <v/>
      </c>
      <c r="D12" s="19" t="n">
        <v>761</v>
      </c>
      <c r="E12" s="18" t="n">
        <v>71.99811136</v>
      </c>
      <c r="F12" s="20" t="n">
        <v>1.84984576</v>
      </c>
      <c r="G12" s="18" t="n">
        <v>26.78341628</v>
      </c>
      <c r="H12" s="20" t="n">
        <v>1.79426717</v>
      </c>
      <c r="I12" s="18" t="n">
        <v>0</v>
      </c>
      <c r="J12" s="20" t="n">
        <v>0</v>
      </c>
      <c r="K12" s="18" t="n">
        <v>0.41475189</v>
      </c>
      <c r="L12" s="20" t="n">
        <v>0.31658087</v>
      </c>
      <c r="M12" s="18" t="n">
        <v>0.04974677</v>
      </c>
      <c r="N12" s="20" t="n">
        <v>0.04973349</v>
      </c>
      <c r="O12" s="18" t="n">
        <v>0</v>
      </c>
      <c r="P12" s="20" t="n">
        <v>0</v>
      </c>
      <c r="Q12" s="18" t="n">
        <v>0.7539737</v>
      </c>
      <c r="R12" s="20" t="n">
        <v>0.3659754</v>
      </c>
    </row>
    <row r="13" spans="1:18">
      <c r="A13" s="15" t="s">
        <v>571</v>
      </c>
      <c r="B13" s="17" t="n">
        <v>3602</v>
      </c>
      <c r="C13" s="18">
        <f>(2875.0/B13*100)</f>
        <v/>
      </c>
      <c r="D13" s="19" t="n">
        <v>727</v>
      </c>
      <c r="E13" s="18" t="n">
        <v>62.37186869</v>
      </c>
      <c r="F13" s="20" t="n">
        <v>2.13738582</v>
      </c>
      <c r="G13" s="18" t="n">
        <v>36.20033084</v>
      </c>
      <c r="H13" s="20" t="n">
        <v>2.25704035</v>
      </c>
      <c r="I13" s="18" t="n">
        <v>0</v>
      </c>
      <c r="J13" s="20" t="n">
        <v>0</v>
      </c>
      <c r="K13" s="18" t="n">
        <v>0.13809994</v>
      </c>
      <c r="L13" s="20" t="n">
        <v>0.07914518</v>
      </c>
      <c r="M13" s="18" t="n">
        <v>0</v>
      </c>
      <c r="N13" s="20" t="n">
        <v>0</v>
      </c>
      <c r="O13" s="18" t="n">
        <v>0</v>
      </c>
      <c r="P13" s="20" t="n">
        <v>0</v>
      </c>
      <c r="Q13" s="18" t="n">
        <v>1.28970053</v>
      </c>
      <c r="R13" s="20" t="n">
        <v>0.60981514</v>
      </c>
    </row>
    <row r="14" spans="1:18">
      <c r="A14" s="15" t="s">
        <v>572</v>
      </c>
      <c r="B14" s="17" t="n">
        <v>2788</v>
      </c>
      <c r="C14" s="18">
        <f>(2184.0/B14*100)</f>
        <v/>
      </c>
      <c r="D14" s="19" t="n">
        <v>604</v>
      </c>
      <c r="E14" s="18" t="n">
        <v>55.80062676</v>
      </c>
      <c r="F14" s="20" t="n">
        <v>2.15488207</v>
      </c>
      <c r="G14" s="18" t="n">
        <v>42.89344179</v>
      </c>
      <c r="H14" s="20" t="n">
        <v>2.22249643</v>
      </c>
      <c r="I14" s="18" t="n">
        <v>0</v>
      </c>
      <c r="J14" s="20" t="n">
        <v>0</v>
      </c>
      <c r="K14" s="18" t="n">
        <v>0.63661807</v>
      </c>
      <c r="L14" s="20" t="n">
        <v>0.34301131</v>
      </c>
      <c r="M14" s="18" t="n">
        <v>0</v>
      </c>
      <c r="N14" s="20" t="n">
        <v>0</v>
      </c>
      <c r="O14" s="18" t="n">
        <v>0</v>
      </c>
      <c r="P14" s="20" t="n">
        <v>0</v>
      </c>
      <c r="Q14" s="18" t="n">
        <v>0.66931339</v>
      </c>
      <c r="R14" s="20" t="n">
        <v>0.3875191</v>
      </c>
    </row>
    <row r="15" spans="1:18">
      <c r="A15" s="15" t="s">
        <v>573</v>
      </c>
      <c r="B15" s="17" t="n">
        <v>2863</v>
      </c>
      <c r="C15" s="18">
        <f>(2248.0/B15*100)</f>
        <v/>
      </c>
      <c r="D15" s="19" t="n">
        <v>615</v>
      </c>
      <c r="E15" s="18" t="n">
        <v>63.44365413</v>
      </c>
      <c r="F15" s="20" t="n">
        <v>2.06348575</v>
      </c>
      <c r="G15" s="18" t="n">
        <v>36.41812196</v>
      </c>
      <c r="H15" s="20" t="n">
        <v>2.07998766</v>
      </c>
      <c r="I15" s="18" t="n">
        <v>0</v>
      </c>
      <c r="J15" s="20" t="n">
        <v>0</v>
      </c>
      <c r="K15" s="18" t="n">
        <v>0</v>
      </c>
      <c r="L15" s="20" t="n">
        <v>0</v>
      </c>
      <c r="M15" s="18" t="n">
        <v>0</v>
      </c>
      <c r="N15" s="20" t="n">
        <v>0</v>
      </c>
      <c r="O15" s="18" t="n">
        <v>0</v>
      </c>
      <c r="P15" s="20" t="n">
        <v>0</v>
      </c>
      <c r="Q15" s="18" t="n">
        <v>0.13822391</v>
      </c>
      <c r="R15" s="20" t="n">
        <v>0.14314449</v>
      </c>
    </row>
    <row r="16" spans="1:18">
      <c r="A16" s="15" t="s">
        <v>574</v>
      </c>
      <c r="B16" s="17" t="n">
        <v>3111</v>
      </c>
      <c r="C16" s="18">
        <f>(2449.0/B16*100)</f>
        <v/>
      </c>
      <c r="D16" s="19" t="n">
        <v>662</v>
      </c>
      <c r="E16" s="18" t="n">
        <v>62.19183939</v>
      </c>
      <c r="F16" s="20" t="n">
        <v>2.12725569</v>
      </c>
      <c r="G16" s="18" t="n">
        <v>34.06572378</v>
      </c>
      <c r="H16" s="20" t="n">
        <v>2.04925988</v>
      </c>
      <c r="I16" s="18" t="n">
        <v>0</v>
      </c>
      <c r="J16" s="20" t="n">
        <v>0</v>
      </c>
      <c r="K16" s="18" t="n">
        <v>0.27780811</v>
      </c>
      <c r="L16" s="20" t="n">
        <v>0.21452299</v>
      </c>
      <c r="M16" s="18" t="n">
        <v>0</v>
      </c>
      <c r="N16" s="20" t="n">
        <v>0</v>
      </c>
      <c r="O16" s="18" t="n">
        <v>0</v>
      </c>
      <c r="P16" s="20" t="n">
        <v>0</v>
      </c>
      <c r="Q16" s="18" t="n">
        <v>3.46462872</v>
      </c>
      <c r="R16" s="20" t="n">
        <v>0.70482857</v>
      </c>
    </row>
    <row r="17" spans="1:18">
      <c r="A17" s="15" t="s">
        <v>575</v>
      </c>
      <c r="B17" s="17" t="n">
        <v>3197</v>
      </c>
      <c r="C17" s="18">
        <f>(2475.0/B17*100)</f>
        <v/>
      </c>
      <c r="D17" s="19" t="n">
        <v>722</v>
      </c>
      <c r="E17" s="18" t="n">
        <v>73.57091509</v>
      </c>
      <c r="F17" s="20" t="n">
        <v>1.78740147</v>
      </c>
      <c r="G17" s="18" t="n">
        <v>22.82407512</v>
      </c>
      <c r="H17" s="20" t="n">
        <v>1.6240613</v>
      </c>
      <c r="I17" s="18" t="n">
        <v>0</v>
      </c>
      <c r="J17" s="20" t="n">
        <v>0</v>
      </c>
      <c r="K17" s="18" t="n">
        <v>0</v>
      </c>
      <c r="L17" s="20" t="n">
        <v>0</v>
      </c>
      <c r="M17" s="18" t="n">
        <v>0</v>
      </c>
      <c r="N17" s="20" t="n">
        <v>0</v>
      </c>
      <c r="O17" s="18" t="n">
        <v>0</v>
      </c>
      <c r="P17" s="20" t="n">
        <v>0</v>
      </c>
      <c r="Q17" s="18" t="n">
        <v>3.6050098</v>
      </c>
      <c r="R17" s="20" t="n">
        <v>0.6997641100000001</v>
      </c>
    </row>
    <row r="18" spans="1:18">
      <c r="A18" s="15" t="s">
        <v>576</v>
      </c>
      <c r="B18" s="17" t="n">
        <v>2706</v>
      </c>
      <c r="C18" s="18">
        <f>(2092.0/B18*100)</f>
        <v/>
      </c>
      <c r="D18" s="19" t="n">
        <v>614</v>
      </c>
      <c r="E18" s="18" t="n">
        <v>74.22523529999999</v>
      </c>
      <c r="F18" s="20" t="n">
        <v>1.85165138</v>
      </c>
      <c r="G18" s="18" t="n">
        <v>23.27703082</v>
      </c>
      <c r="H18" s="20" t="n">
        <v>1.87162274</v>
      </c>
      <c r="I18" s="18" t="n">
        <v>0</v>
      </c>
      <c r="J18" s="20" t="n">
        <v>0</v>
      </c>
      <c r="K18" s="18" t="n">
        <v>0.65170423</v>
      </c>
      <c r="L18" s="20" t="n">
        <v>0.38945344</v>
      </c>
      <c r="M18" s="18" t="n">
        <v>0</v>
      </c>
      <c r="N18" s="20" t="n">
        <v>0</v>
      </c>
      <c r="O18" s="18" t="n">
        <v>0</v>
      </c>
      <c r="P18" s="20" t="n">
        <v>0</v>
      </c>
      <c r="Q18" s="18" t="n">
        <v>1.84602965</v>
      </c>
      <c r="R18" s="20" t="n">
        <v>0.53148315</v>
      </c>
    </row>
    <row r="19" spans="1:18">
      <c r="A19" s="15" t="s">
        <v>577</v>
      </c>
      <c r="B19" s="17" t="n">
        <v>2850</v>
      </c>
      <c r="C19" s="18">
        <f>(2272.0/B19*100)</f>
        <v/>
      </c>
      <c r="D19" s="19" t="n">
        <v>578</v>
      </c>
      <c r="E19" s="18" t="n">
        <v>70.75744299</v>
      </c>
      <c r="F19" s="20" t="n">
        <v>2.03132109</v>
      </c>
      <c r="G19" s="18" t="n">
        <v>28.2001661</v>
      </c>
      <c r="H19" s="20" t="n">
        <v>2.05645915</v>
      </c>
      <c r="I19" s="18" t="n">
        <v>0</v>
      </c>
      <c r="J19" s="20" t="n">
        <v>0</v>
      </c>
      <c r="K19" s="18" t="n">
        <v>0.14763626</v>
      </c>
      <c r="L19" s="20" t="n">
        <v>0.10577047</v>
      </c>
      <c r="M19" s="18" t="n">
        <v>0</v>
      </c>
      <c r="N19" s="20" t="n">
        <v>0</v>
      </c>
      <c r="O19" s="18" t="n">
        <v>0</v>
      </c>
      <c r="P19" s="20" t="n">
        <v>0</v>
      </c>
      <c r="Q19" s="18" t="n">
        <v>0.89475465</v>
      </c>
      <c r="R19" s="20" t="n">
        <v>0.29926118</v>
      </c>
    </row>
    <row r="20" spans="1:18">
      <c r="A20" s="15" t="s">
        <v>578</v>
      </c>
      <c r="B20" s="17" t="n">
        <v>1741</v>
      </c>
      <c r="C20" s="18">
        <f>(1377.0/B20*100)</f>
        <v/>
      </c>
      <c r="D20" s="19" t="n">
        <v>364</v>
      </c>
      <c r="E20" s="18" t="n">
        <v>81.12089095</v>
      </c>
      <c r="F20" s="20" t="n">
        <v>2.08243398</v>
      </c>
      <c r="G20" s="18" t="n">
        <v>16.64998765</v>
      </c>
      <c r="H20" s="20" t="n">
        <v>1.85043179</v>
      </c>
      <c r="I20" s="18" t="n">
        <v>0</v>
      </c>
      <c r="J20" s="20" t="n">
        <v>0</v>
      </c>
      <c r="K20" s="18" t="n">
        <v>0</v>
      </c>
      <c r="L20" s="20" t="n">
        <v>0</v>
      </c>
      <c r="M20" s="18" t="n">
        <v>0.42567441</v>
      </c>
      <c r="N20" s="20" t="n">
        <v>0.43247274</v>
      </c>
      <c r="O20" s="18" t="n">
        <v>0</v>
      </c>
      <c r="P20" s="20" t="n">
        <v>0</v>
      </c>
      <c r="Q20" s="18" t="n">
        <v>1.80344699</v>
      </c>
      <c r="R20" s="20" t="n">
        <v>0.82206967</v>
      </c>
    </row>
    <row r="21" spans="1:18">
      <c r="A21" s="15" t="s">
        <v>579</v>
      </c>
      <c r="B21" s="17" t="n">
        <v>2833</v>
      </c>
      <c r="C21" s="18">
        <f>(2182.0/B21*100)</f>
        <v/>
      </c>
      <c r="D21" s="19" t="n">
        <v>651</v>
      </c>
      <c r="E21" s="18" t="n">
        <v>58.35760686</v>
      </c>
      <c r="F21" s="20" t="n">
        <v>1.97049641</v>
      </c>
      <c r="G21" s="18" t="n">
        <v>40.63966568</v>
      </c>
      <c r="H21" s="20" t="n">
        <v>2.02536981</v>
      </c>
      <c r="I21" s="18" t="n">
        <v>0</v>
      </c>
      <c r="J21" s="20" t="n">
        <v>0</v>
      </c>
      <c r="K21" s="18" t="n">
        <v>0.14621239</v>
      </c>
      <c r="L21" s="20" t="n">
        <v>0.14546419</v>
      </c>
      <c r="M21" s="18" t="n">
        <v>0</v>
      </c>
      <c r="N21" s="20" t="n">
        <v>0</v>
      </c>
      <c r="O21" s="18" t="n">
        <v>0</v>
      </c>
      <c r="P21" s="20" t="n">
        <v>0</v>
      </c>
      <c r="Q21" s="18" t="n">
        <v>0.85651506</v>
      </c>
      <c r="R21" s="20" t="n">
        <v>0.40989229</v>
      </c>
    </row>
    <row r="22" spans="1:18">
      <c r="A22" s="15" t="s">
        <v>580</v>
      </c>
      <c r="B22" s="17" t="n">
        <v>3667</v>
      </c>
      <c r="C22" s="18">
        <f>(2833.0/B22*100)</f>
        <v/>
      </c>
      <c r="D22" s="19" t="n">
        <v>834</v>
      </c>
      <c r="E22" s="18" t="n">
        <v>68.76932768</v>
      </c>
      <c r="F22" s="20" t="n">
        <v>1.74835592</v>
      </c>
      <c r="G22" s="18" t="n">
        <v>28.19486821</v>
      </c>
      <c r="H22" s="20" t="n">
        <v>1.75148502</v>
      </c>
      <c r="I22" s="18" t="n">
        <v>0</v>
      </c>
      <c r="J22" s="20" t="n">
        <v>0</v>
      </c>
      <c r="K22" s="18" t="n">
        <v>0.47420048</v>
      </c>
      <c r="L22" s="20" t="n">
        <v>0.28682339</v>
      </c>
      <c r="M22" s="18" t="n">
        <v>0</v>
      </c>
      <c r="N22" s="20" t="n">
        <v>0</v>
      </c>
      <c r="O22" s="18" t="n">
        <v>0</v>
      </c>
      <c r="P22" s="20" t="n">
        <v>0</v>
      </c>
      <c r="Q22" s="18" t="n">
        <v>2.56160363</v>
      </c>
      <c r="R22" s="20" t="n">
        <v>0.59901266</v>
      </c>
    </row>
    <row r="23" spans="1:18">
      <c r="A23" s="15" t="s">
        <v>581</v>
      </c>
      <c r="B23" s="17" t="n">
        <v>5792</v>
      </c>
      <c r="C23" s="18">
        <f>(4523.0/B23*100)</f>
        <v/>
      </c>
      <c r="D23" s="19" t="n">
        <v>1269</v>
      </c>
      <c r="E23" s="18" t="n">
        <v>74.4974271</v>
      </c>
      <c r="F23" s="20" t="n">
        <v>1.71018517</v>
      </c>
      <c r="G23" s="18" t="n">
        <v>21.63396415</v>
      </c>
      <c r="H23" s="20" t="n">
        <v>1.62326634</v>
      </c>
      <c r="I23" s="18" t="n">
        <v>0</v>
      </c>
      <c r="J23" s="20" t="n">
        <v>0</v>
      </c>
      <c r="K23" s="18" t="n">
        <v>0.29707225</v>
      </c>
      <c r="L23" s="20" t="n">
        <v>0.20930707</v>
      </c>
      <c r="M23" s="18" t="n">
        <v>0.094208</v>
      </c>
      <c r="N23" s="20" t="n">
        <v>0.09442155000000001</v>
      </c>
      <c r="O23" s="18" t="n">
        <v>0</v>
      </c>
      <c r="P23" s="20" t="n">
        <v>0</v>
      </c>
      <c r="Q23" s="18" t="n">
        <v>3.4773285</v>
      </c>
      <c r="R23" s="20" t="n">
        <v>0.82914656</v>
      </c>
    </row>
    <row r="24" spans="1:18">
      <c r="A24" s="15" t="s">
        <v>582</v>
      </c>
      <c r="B24" s="17" t="n">
        <v>3309</v>
      </c>
      <c r="C24" s="18">
        <f>(2534.0/B24*100)</f>
        <v/>
      </c>
      <c r="D24" s="19" t="n">
        <v>775</v>
      </c>
      <c r="E24" s="18" t="n">
        <v>65.65471775</v>
      </c>
      <c r="F24" s="20" t="n">
        <v>1.83894303</v>
      </c>
      <c r="G24" s="18" t="n">
        <v>31.71724984</v>
      </c>
      <c r="H24" s="20" t="n">
        <v>1.83497686</v>
      </c>
      <c r="I24" s="18" t="n">
        <v>0</v>
      </c>
      <c r="J24" s="20" t="n">
        <v>0</v>
      </c>
      <c r="K24" s="18" t="n">
        <v>0.1259322</v>
      </c>
      <c r="L24" s="20" t="n">
        <v>0.12586942</v>
      </c>
      <c r="M24" s="18" t="n">
        <v>0</v>
      </c>
      <c r="N24" s="20" t="n">
        <v>0</v>
      </c>
      <c r="O24" s="18" t="n">
        <v>0</v>
      </c>
      <c r="P24" s="20" t="n">
        <v>0</v>
      </c>
      <c r="Q24" s="18" t="n">
        <v>2.50210021</v>
      </c>
      <c r="R24" s="20" t="n">
        <v>0.6011312</v>
      </c>
    </row>
    <row r="25" spans="1:18">
      <c r="A25" s="15" t="s">
        <v>583</v>
      </c>
      <c r="B25" s="17" t="n">
        <v>2669</v>
      </c>
      <c r="C25" s="18">
        <f>(2087.0/B25*100)</f>
        <v/>
      </c>
      <c r="D25" s="19" t="n">
        <v>582</v>
      </c>
      <c r="E25" s="18" t="n">
        <v>66.49115248</v>
      </c>
      <c r="F25" s="20" t="n">
        <v>2.35688353</v>
      </c>
      <c r="G25" s="18" t="n">
        <v>33.18171724</v>
      </c>
      <c r="H25" s="20" t="n">
        <v>2.29088019</v>
      </c>
      <c r="I25" s="18" t="n">
        <v>0</v>
      </c>
      <c r="J25" s="20" t="n">
        <v>0</v>
      </c>
      <c r="K25" s="18" t="n">
        <v>0.16309914</v>
      </c>
      <c r="L25" s="20" t="n">
        <v>0.16277181</v>
      </c>
      <c r="M25" s="18" t="n">
        <v>0</v>
      </c>
      <c r="N25" s="20" t="n">
        <v>0</v>
      </c>
      <c r="O25" s="18" t="n">
        <v>0</v>
      </c>
      <c r="P25" s="20" t="n">
        <v>0</v>
      </c>
      <c r="Q25" s="18" t="n">
        <v>0.16403115</v>
      </c>
      <c r="R25" s="20" t="n">
        <v>0.16490803</v>
      </c>
    </row>
    <row r="26" spans="1:18">
      <c r="A26" s="15" t="s">
        <v>584</v>
      </c>
      <c r="B26" s="17" t="n">
        <v>2419</v>
      </c>
      <c r="C26" s="18">
        <f>(1894.0/B26*100)</f>
        <v/>
      </c>
      <c r="D26" s="19" t="n">
        <v>525</v>
      </c>
      <c r="E26" s="18" t="n">
        <v>67.47396354999999</v>
      </c>
      <c r="F26" s="20" t="n">
        <v>2.10778942</v>
      </c>
      <c r="G26" s="18" t="n">
        <v>31.46955397</v>
      </c>
      <c r="H26" s="20" t="n">
        <v>2.20731853</v>
      </c>
      <c r="I26" s="18" t="n">
        <v>0</v>
      </c>
      <c r="J26" s="20" t="n">
        <v>0</v>
      </c>
      <c r="K26" s="18" t="n">
        <v>0</v>
      </c>
      <c r="L26" s="20" t="n">
        <v>0</v>
      </c>
      <c r="M26" s="18" t="n">
        <v>0.13340543</v>
      </c>
      <c r="N26" s="20" t="n">
        <v>0.13435657</v>
      </c>
      <c r="O26" s="18" t="n">
        <v>0</v>
      </c>
      <c r="P26" s="20" t="n">
        <v>0</v>
      </c>
      <c r="Q26" s="18" t="n">
        <v>0.92307705</v>
      </c>
      <c r="R26" s="20" t="n">
        <v>0.50023808</v>
      </c>
    </row>
    <row r="27" spans="1:18">
      <c r="A27" s="15" t="s">
        <v>585</v>
      </c>
      <c r="B27" s="17" t="n">
        <v>2683</v>
      </c>
      <c r="C27" s="18">
        <f>(2060.0/B27*100)</f>
        <v/>
      </c>
      <c r="D27" s="19" t="n">
        <v>623</v>
      </c>
      <c r="E27" s="18" t="n">
        <v>75.84668619</v>
      </c>
      <c r="F27" s="20" t="n">
        <v>1.48598269</v>
      </c>
      <c r="G27" s="18" t="n">
        <v>19.97133756</v>
      </c>
      <c r="H27" s="20" t="n">
        <v>1.51810092</v>
      </c>
      <c r="I27" s="18" t="n">
        <v>0</v>
      </c>
      <c r="J27" s="20" t="n">
        <v>0</v>
      </c>
      <c r="K27" s="18" t="n">
        <v>0.15436802</v>
      </c>
      <c r="L27" s="20" t="n">
        <v>0.15429444</v>
      </c>
      <c r="M27" s="18" t="n">
        <v>0</v>
      </c>
      <c r="N27" s="20" t="n">
        <v>0</v>
      </c>
      <c r="O27" s="18" t="n">
        <v>0</v>
      </c>
      <c r="P27" s="20" t="n">
        <v>0</v>
      </c>
      <c r="Q27" s="18" t="n">
        <v>4.02760823</v>
      </c>
      <c r="R27" s="20" t="n">
        <v>0.87757704</v>
      </c>
    </row>
    <row r="28" spans="1:18">
      <c r="A28" s="15" t="s">
        <v>586</v>
      </c>
      <c r="B28" s="17" t="n">
        <v>3803</v>
      </c>
      <c r="C28" s="18">
        <f>(3045.0/B28*100)</f>
        <v/>
      </c>
      <c r="D28" s="19" t="n">
        <v>758</v>
      </c>
      <c r="E28" s="18" t="n">
        <v>85.93461314</v>
      </c>
      <c r="F28" s="20" t="n">
        <v>1.23107005</v>
      </c>
      <c r="G28" s="18" t="n">
        <v>12.43143262</v>
      </c>
      <c r="H28" s="20" t="n">
        <v>1.1162996</v>
      </c>
      <c r="I28" s="18" t="n">
        <v>0</v>
      </c>
      <c r="J28" s="20" t="n">
        <v>0</v>
      </c>
      <c r="K28" s="18" t="n">
        <v>0.48569596</v>
      </c>
      <c r="L28" s="20" t="n">
        <v>0.29346423</v>
      </c>
      <c r="M28" s="18" t="n">
        <v>0</v>
      </c>
      <c r="N28" s="20" t="n">
        <v>0</v>
      </c>
      <c r="O28" s="18" t="n">
        <v>0</v>
      </c>
      <c r="P28" s="20" t="n">
        <v>0</v>
      </c>
      <c r="Q28" s="18" t="n">
        <v>1.14825828</v>
      </c>
      <c r="R28" s="20" t="n">
        <v>0.42842879</v>
      </c>
    </row>
    <row r="29" spans="1:18">
      <c r="A29" s="15" t="s">
        <v>587</v>
      </c>
      <c r="B29" s="17" t="n">
        <v>2700</v>
      </c>
      <c r="C29" s="18">
        <f>(2118.0/B29*100)</f>
        <v/>
      </c>
      <c r="D29" s="19" t="n">
        <v>582</v>
      </c>
      <c r="E29" s="18" t="n">
        <v>65.05792897000001</v>
      </c>
      <c r="F29" s="20" t="n">
        <v>2.09813195</v>
      </c>
      <c r="G29" s="18" t="n">
        <v>34.07680578</v>
      </c>
      <c r="H29" s="20" t="n">
        <v>2.08767526</v>
      </c>
      <c r="I29" s="18" t="n">
        <v>0</v>
      </c>
      <c r="J29" s="20" t="n">
        <v>0</v>
      </c>
      <c r="K29" s="18" t="n">
        <v>0</v>
      </c>
      <c r="L29" s="20" t="n">
        <v>0</v>
      </c>
      <c r="M29" s="18" t="n">
        <v>0</v>
      </c>
      <c r="N29" s="20" t="n">
        <v>0</v>
      </c>
      <c r="O29" s="18" t="n">
        <v>0</v>
      </c>
      <c r="P29" s="20" t="n">
        <v>0</v>
      </c>
      <c r="Q29" s="18" t="n">
        <v>0.86526525</v>
      </c>
      <c r="R29" s="20" t="n">
        <v>0.39855408</v>
      </c>
    </row>
    <row r="30" spans="1:18">
      <c r="A30" s="15" t="s">
        <v>588</v>
      </c>
      <c r="B30" s="17" t="n">
        <v>2257</v>
      </c>
      <c r="C30" s="18">
        <f>(1791.0/B30*100)</f>
        <v/>
      </c>
      <c r="D30" s="19" t="n">
        <v>466</v>
      </c>
      <c r="E30" s="18" t="n">
        <v>51.74777829</v>
      </c>
      <c r="F30" s="20" t="n">
        <v>2.38564735</v>
      </c>
      <c r="G30" s="18" t="n">
        <v>45.5245435</v>
      </c>
      <c r="H30" s="20" t="n">
        <v>2.37024353</v>
      </c>
      <c r="I30" s="18" t="n">
        <v>0</v>
      </c>
      <c r="J30" s="20" t="n">
        <v>0</v>
      </c>
      <c r="K30" s="18" t="n">
        <v>0</v>
      </c>
      <c r="L30" s="20" t="n">
        <v>0</v>
      </c>
      <c r="M30" s="18" t="n">
        <v>0</v>
      </c>
      <c r="N30" s="20" t="n">
        <v>0</v>
      </c>
      <c r="O30" s="18" t="n">
        <v>0</v>
      </c>
      <c r="P30" s="20" t="n">
        <v>0</v>
      </c>
      <c r="Q30" s="18" t="n">
        <v>2.72767822</v>
      </c>
      <c r="R30" s="20" t="n">
        <v>0.71226497</v>
      </c>
    </row>
    <row r="31" spans="1:18">
      <c r="A31" s="15" t="s">
        <v>589</v>
      </c>
      <c r="B31" s="17" t="n">
        <v>2706</v>
      </c>
      <c r="C31" s="18">
        <f>(2118.0/B31*100)</f>
        <v/>
      </c>
      <c r="D31" s="19" t="n">
        <v>588</v>
      </c>
      <c r="E31" s="18" t="n">
        <v>68.51554962</v>
      </c>
      <c r="F31" s="20" t="n">
        <v>1.94237543</v>
      </c>
      <c r="G31" s="18" t="n">
        <v>28.6627625</v>
      </c>
      <c r="H31" s="20" t="n">
        <v>1.76847878</v>
      </c>
      <c r="I31" s="18" t="n">
        <v>0</v>
      </c>
      <c r="J31" s="20" t="n">
        <v>0</v>
      </c>
      <c r="K31" s="18" t="n">
        <v>0.31587823</v>
      </c>
      <c r="L31" s="20" t="n">
        <v>0.21686058</v>
      </c>
      <c r="M31" s="18" t="n">
        <v>0</v>
      </c>
      <c r="N31" s="20" t="n">
        <v>0</v>
      </c>
      <c r="O31" s="18" t="n">
        <v>0</v>
      </c>
      <c r="P31" s="20" t="n">
        <v>0</v>
      </c>
      <c r="Q31" s="18" t="n">
        <v>2.50580965</v>
      </c>
      <c r="R31" s="20" t="n">
        <v>0.6559047</v>
      </c>
    </row>
    <row r="32" spans="1:18">
      <c r="A32" s="15" t="s">
        <v>590</v>
      </c>
      <c r="B32" s="17" t="n">
        <v>2209</v>
      </c>
      <c r="C32" s="18">
        <f>(1757.0/B32*100)</f>
        <v/>
      </c>
      <c r="D32" s="19" t="n">
        <v>452</v>
      </c>
      <c r="E32" s="18" t="n">
        <v>74.84675618</v>
      </c>
      <c r="F32" s="20" t="n">
        <v>2.19068763</v>
      </c>
      <c r="G32" s="18" t="n">
        <v>24.95268078</v>
      </c>
      <c r="H32" s="20" t="n">
        <v>2.20678868</v>
      </c>
      <c r="I32" s="18" t="n">
        <v>0</v>
      </c>
      <c r="J32" s="20" t="n">
        <v>0</v>
      </c>
      <c r="K32" s="18" t="n">
        <v>0</v>
      </c>
      <c r="L32" s="20" t="n">
        <v>0</v>
      </c>
      <c r="M32" s="18" t="n">
        <v>0</v>
      </c>
      <c r="N32" s="20" t="n">
        <v>0</v>
      </c>
      <c r="O32" s="18" t="n">
        <v>0</v>
      </c>
      <c r="P32" s="20" t="n">
        <v>0</v>
      </c>
      <c r="Q32" s="18" t="n">
        <v>0.20056303</v>
      </c>
      <c r="R32" s="20" t="n">
        <v>0.20500314</v>
      </c>
    </row>
    <row r="33" spans="1:18">
      <c r="A33" s="15" t="s">
        <v>591</v>
      </c>
      <c r="B33" s="17" t="n">
        <v>3651</v>
      </c>
      <c r="C33" s="18">
        <f>(2911.0/B33*100)</f>
        <v/>
      </c>
      <c r="D33" s="19" t="n">
        <v>740</v>
      </c>
      <c r="E33" s="18" t="n">
        <v>70.23276049</v>
      </c>
      <c r="F33" s="20" t="n">
        <v>2.55251333</v>
      </c>
      <c r="G33" s="18" t="n">
        <v>28.75995119</v>
      </c>
      <c r="H33" s="20" t="n">
        <v>2.5585692</v>
      </c>
      <c r="I33" s="18" t="n">
        <v>0</v>
      </c>
      <c r="J33" s="20" t="n">
        <v>0</v>
      </c>
      <c r="K33" s="18" t="n">
        <v>0.21844576</v>
      </c>
      <c r="L33" s="20" t="n">
        <v>0.19501312</v>
      </c>
      <c r="M33" s="18" t="n">
        <v>0</v>
      </c>
      <c r="N33" s="20" t="n">
        <v>0</v>
      </c>
      <c r="O33" s="18" t="n">
        <v>0</v>
      </c>
      <c r="P33" s="20" t="n">
        <v>0</v>
      </c>
      <c r="Q33" s="18" t="n">
        <v>0.78884256</v>
      </c>
      <c r="R33" s="20" t="n">
        <v>0.33847421</v>
      </c>
    </row>
    <row r="34" spans="1:18">
      <c r="A34" s="15" t="s">
        <v>592</v>
      </c>
      <c r="B34" s="17" t="n">
        <v>3035</v>
      </c>
      <c r="C34" s="18">
        <f>(2382.0/B34*100)</f>
        <v/>
      </c>
      <c r="D34" s="19" t="n">
        <v>653</v>
      </c>
      <c r="E34" s="18" t="n">
        <v>79.67562203999999</v>
      </c>
      <c r="F34" s="20" t="n">
        <v>1.59626792</v>
      </c>
      <c r="G34" s="18" t="n">
        <v>18.51580458</v>
      </c>
      <c r="H34" s="20" t="n">
        <v>1.43330488</v>
      </c>
      <c r="I34" s="18" t="n">
        <v>0</v>
      </c>
      <c r="J34" s="20" t="n">
        <v>0</v>
      </c>
      <c r="K34" s="18" t="n">
        <v>0</v>
      </c>
      <c r="L34" s="20" t="n">
        <v>0</v>
      </c>
      <c r="M34" s="18" t="n">
        <v>0.29285232</v>
      </c>
      <c r="N34" s="20" t="n">
        <v>0.17863734</v>
      </c>
      <c r="O34" s="18" t="n">
        <v>0</v>
      </c>
      <c r="P34" s="20" t="n">
        <v>0</v>
      </c>
      <c r="Q34" s="18" t="n">
        <v>1.51572105</v>
      </c>
      <c r="R34" s="20" t="n">
        <v>0.59488251</v>
      </c>
    </row>
    <row r="35" spans="1:18">
      <c r="A35" s="15" t="s">
        <v>593</v>
      </c>
      <c r="B35" s="17" t="n">
        <v>2901</v>
      </c>
      <c r="C35" s="18">
        <f>(2248.0/B35*100)</f>
        <v/>
      </c>
      <c r="D35" s="19" t="n">
        <v>653</v>
      </c>
      <c r="E35" s="18" t="n">
        <v>74.70522085</v>
      </c>
      <c r="F35" s="20" t="n">
        <v>2.13896072</v>
      </c>
      <c r="G35" s="18" t="n">
        <v>24.78959765</v>
      </c>
      <c r="H35" s="20" t="n">
        <v>2.05893828</v>
      </c>
      <c r="I35" s="18" t="n">
        <v>0</v>
      </c>
      <c r="J35" s="20" t="n">
        <v>0</v>
      </c>
      <c r="K35" s="18" t="n">
        <v>0</v>
      </c>
      <c r="L35" s="20" t="n">
        <v>0</v>
      </c>
      <c r="M35" s="18" t="n">
        <v>0</v>
      </c>
      <c r="N35" s="20" t="n">
        <v>0</v>
      </c>
      <c r="O35" s="18" t="n">
        <v>0</v>
      </c>
      <c r="P35" s="20" t="n">
        <v>0</v>
      </c>
      <c r="Q35" s="18" t="n">
        <v>0.50518151</v>
      </c>
      <c r="R35" s="20" t="n">
        <v>0.26504576</v>
      </c>
    </row>
    <row r="36" spans="1:18">
      <c r="A36" s="15" t="s">
        <v>594</v>
      </c>
      <c r="B36" s="17" t="n">
        <v>3404</v>
      </c>
      <c r="C36" s="18">
        <f>(2671.0/B36*100)</f>
        <v/>
      </c>
      <c r="D36" s="19" t="n">
        <v>733</v>
      </c>
      <c r="E36" s="18" t="n">
        <v>72.71636252</v>
      </c>
      <c r="F36" s="20" t="n">
        <v>1.7567784</v>
      </c>
      <c r="G36" s="18" t="n">
        <v>25.36097579</v>
      </c>
      <c r="H36" s="20" t="n">
        <v>1.78081183</v>
      </c>
      <c r="I36" s="18" t="n">
        <v>0</v>
      </c>
      <c r="J36" s="20" t="n">
        <v>0</v>
      </c>
      <c r="K36" s="18" t="n">
        <v>0.16976357</v>
      </c>
      <c r="L36" s="20" t="n">
        <v>0.17766063</v>
      </c>
      <c r="M36" s="18" t="n">
        <v>0</v>
      </c>
      <c r="N36" s="20" t="n">
        <v>0</v>
      </c>
      <c r="O36" s="18" t="n">
        <v>0</v>
      </c>
      <c r="P36" s="20" t="n">
        <v>0</v>
      </c>
      <c r="Q36" s="18" t="n">
        <v>1.75289812</v>
      </c>
      <c r="R36" s="20" t="n">
        <v>0.4961784</v>
      </c>
    </row>
    <row r="37" spans="1:18">
      <c r="A37" s="15" t="s">
        <v>595</v>
      </c>
      <c r="B37" s="17" t="n">
        <v>2731</v>
      </c>
      <c r="C37" s="18">
        <f>(2142.0/B37*100)</f>
        <v/>
      </c>
      <c r="D37" s="19" t="n">
        <v>589</v>
      </c>
      <c r="E37" s="18" t="n">
        <v>69.5874206</v>
      </c>
      <c r="F37" s="20" t="n">
        <v>2.14813829</v>
      </c>
      <c r="G37" s="18" t="n">
        <v>26.56239551</v>
      </c>
      <c r="H37" s="20" t="n">
        <v>2.0901238</v>
      </c>
      <c r="I37" s="18" t="n">
        <v>0</v>
      </c>
      <c r="J37" s="20" t="n">
        <v>0</v>
      </c>
      <c r="K37" s="18" t="n">
        <v>0.43374456</v>
      </c>
      <c r="L37" s="20" t="n">
        <v>0.24988679</v>
      </c>
      <c r="M37" s="18" t="n">
        <v>0</v>
      </c>
      <c r="N37" s="20" t="n">
        <v>0</v>
      </c>
      <c r="O37" s="18" t="n">
        <v>0</v>
      </c>
      <c r="P37" s="20" t="n">
        <v>0</v>
      </c>
      <c r="Q37" s="18" t="n">
        <v>3.41643934</v>
      </c>
      <c r="R37" s="20" t="n">
        <v>0.88592129</v>
      </c>
    </row>
    <row r="38" spans="1:18">
      <c r="A38" s="15" t="s">
        <v>596</v>
      </c>
      <c r="B38" s="17" t="n">
        <v>2807</v>
      </c>
      <c r="C38" s="18">
        <f>(2168.0/B38*100)</f>
        <v/>
      </c>
      <c r="D38" s="19" t="n">
        <v>639</v>
      </c>
      <c r="E38" s="18" t="n">
        <v>72.18435174</v>
      </c>
      <c r="F38" s="20" t="n">
        <v>2.05314006</v>
      </c>
      <c r="G38" s="18" t="n">
        <v>24.64060352</v>
      </c>
      <c r="H38" s="20" t="n">
        <v>2.01614613</v>
      </c>
      <c r="I38" s="18" t="n">
        <v>0</v>
      </c>
      <c r="J38" s="20" t="n">
        <v>0</v>
      </c>
      <c r="K38" s="18" t="n">
        <v>0.03051146</v>
      </c>
      <c r="L38" s="20" t="n">
        <v>0.02958472</v>
      </c>
      <c r="M38" s="18" t="n">
        <v>2.13770456</v>
      </c>
      <c r="N38" s="20" t="n">
        <v>0.56943746</v>
      </c>
      <c r="O38" s="18" t="n">
        <v>0</v>
      </c>
      <c r="P38" s="20" t="n">
        <v>0</v>
      </c>
      <c r="Q38" s="18" t="n">
        <v>1.00682873</v>
      </c>
      <c r="R38" s="20" t="n">
        <v>0.35377472</v>
      </c>
    </row>
    <row r="39" spans="1:18">
      <c r="A39" s="15" t="s">
        <v>597</v>
      </c>
      <c r="B39" s="17" t="n">
        <v>2938</v>
      </c>
      <c r="C39" s="18">
        <f>(2274.0/B39*100)</f>
        <v/>
      </c>
      <c r="D39" s="19" t="n">
        <v>664</v>
      </c>
      <c r="E39" s="18" t="n">
        <v>50.40004539</v>
      </c>
      <c r="F39" s="20" t="n">
        <v>2.27762239</v>
      </c>
      <c r="G39" s="18" t="n">
        <v>26.09757978</v>
      </c>
      <c r="H39" s="20" t="n">
        <v>1.65169547</v>
      </c>
      <c r="I39" s="18" t="n">
        <v>0</v>
      </c>
      <c r="J39" s="20" t="n">
        <v>0</v>
      </c>
      <c r="K39" s="18" t="n">
        <v>0</v>
      </c>
      <c r="L39" s="20" t="n">
        <v>0</v>
      </c>
      <c r="M39" s="18" t="n">
        <v>0</v>
      </c>
      <c r="N39" s="20" t="n">
        <v>0</v>
      </c>
      <c r="O39" s="18" t="n">
        <v>0</v>
      </c>
      <c r="P39" s="20" t="n">
        <v>0</v>
      </c>
      <c r="Q39" s="18" t="n">
        <v>23.50237483</v>
      </c>
      <c r="R39" s="20" t="n">
        <v>1.93900021</v>
      </c>
    </row>
    <row r="40" spans="1:18">
      <c r="A40" s="15" t="s">
        <v>598</v>
      </c>
      <c r="B40" s="17" t="n">
        <v>6922</v>
      </c>
      <c r="C40" s="18">
        <f>(5474.0/B40*100)</f>
        <v/>
      </c>
      <c r="D40" s="19" t="n">
        <v>1448</v>
      </c>
      <c r="E40" s="18" t="n">
        <v>59.34269025</v>
      </c>
      <c r="F40" s="20" t="n">
        <v>1.82542897</v>
      </c>
      <c r="G40" s="18" t="n">
        <v>37.70337491</v>
      </c>
      <c r="H40" s="20" t="n">
        <v>1.96859244</v>
      </c>
      <c r="I40" s="18" t="n">
        <v>0</v>
      </c>
      <c r="J40" s="20" t="n">
        <v>0</v>
      </c>
      <c r="K40" s="18" t="n">
        <v>0.07744341</v>
      </c>
      <c r="L40" s="20" t="n">
        <v>0.03952022</v>
      </c>
      <c r="M40" s="18" t="n">
        <v>0</v>
      </c>
      <c r="N40" s="20" t="n">
        <v>0</v>
      </c>
      <c r="O40" s="18" t="n">
        <v>0</v>
      </c>
      <c r="P40" s="20" t="n">
        <v>0</v>
      </c>
      <c r="Q40" s="18" t="n">
        <v>2.87649144</v>
      </c>
      <c r="R40" s="20" t="n">
        <v>0.73230531</v>
      </c>
    </row>
    <row r="41" spans="1:18">
      <c r="A41" s="15" t="s">
        <v>599</v>
      </c>
      <c r="B41" s="17" t="n">
        <v>2854</v>
      </c>
      <c r="C41" s="18">
        <f>(2207.0/B41*100)</f>
        <v/>
      </c>
      <c r="D41" s="19" t="n">
        <v>647</v>
      </c>
      <c r="E41" s="18" t="n">
        <v>68.19113546</v>
      </c>
      <c r="F41" s="20" t="n">
        <v>1.71111088</v>
      </c>
      <c r="G41" s="18" t="n">
        <v>30.89819104</v>
      </c>
      <c r="H41" s="20" t="n">
        <v>1.70701369</v>
      </c>
      <c r="I41" s="18" t="n">
        <v>0</v>
      </c>
      <c r="J41" s="20" t="n">
        <v>0</v>
      </c>
      <c r="K41" s="18" t="n">
        <v>0.44511848</v>
      </c>
      <c r="L41" s="20" t="n">
        <v>0.34434555</v>
      </c>
      <c r="M41" s="18" t="n">
        <v>0</v>
      </c>
      <c r="N41" s="20" t="n">
        <v>0</v>
      </c>
      <c r="O41" s="18" t="n">
        <v>0</v>
      </c>
      <c r="P41" s="20" t="n">
        <v>0</v>
      </c>
      <c r="Q41" s="18" t="n">
        <v>0.46555502</v>
      </c>
      <c r="R41" s="20" t="n">
        <v>0.25444732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(9892.0/B46*100)</f>
        <v/>
      </c>
      <c r="D46" s="19" t="n">
        <v>2181</v>
      </c>
      <c r="E46" s="18" t="n">
        <v>84.75142812999999</v>
      </c>
      <c r="F46" s="20" t="n">
        <v>1.24127969</v>
      </c>
      <c r="G46" s="18" t="n">
        <v>7.9651958</v>
      </c>
      <c r="H46" s="20" t="n">
        <v>0.93595019</v>
      </c>
      <c r="I46" s="18" t="n">
        <v>0</v>
      </c>
      <c r="J46" s="20" t="n">
        <v>0</v>
      </c>
      <c r="K46" s="18" t="n">
        <v>1.18845589</v>
      </c>
      <c r="L46" s="20" t="n">
        <v>0.37960615</v>
      </c>
      <c r="M46" s="18" t="n">
        <v>0.32114869</v>
      </c>
      <c r="N46" s="20" t="n">
        <v>0.12500633</v>
      </c>
      <c r="O46" s="18" t="n">
        <v>0</v>
      </c>
      <c r="P46" s="20" t="n">
        <v>0</v>
      </c>
      <c r="Q46" s="18" t="n">
        <v>5.77377148</v>
      </c>
      <c r="R46" s="20" t="n">
        <v>0.74141314</v>
      </c>
    </row>
    <row r="47" spans="1:18">
      <c r="A47" s="15" t="s">
        <v>606</v>
      </c>
      <c r="B47" s="17" t="n">
        <v>2823</v>
      </c>
      <c r="C47" s="18">
        <f>(2220.0/B47*100)</f>
        <v/>
      </c>
      <c r="D47" s="19" t="n">
        <v>603</v>
      </c>
      <c r="E47" s="18" t="n">
        <v>77.00009455999999</v>
      </c>
      <c r="F47" s="20" t="n">
        <v>2.10277403</v>
      </c>
      <c r="G47" s="18" t="n">
        <v>20.99287873</v>
      </c>
      <c r="H47" s="20" t="n">
        <v>2.08046325</v>
      </c>
      <c r="I47" s="18" t="n">
        <v>0</v>
      </c>
      <c r="J47" s="20" t="n">
        <v>0</v>
      </c>
      <c r="K47" s="18" t="n">
        <v>0.16754996</v>
      </c>
      <c r="L47" s="20" t="n">
        <v>0.16703207</v>
      </c>
      <c r="M47" s="18" t="n">
        <v>0.16325224</v>
      </c>
      <c r="N47" s="20" t="n">
        <v>0.16226934</v>
      </c>
      <c r="O47" s="18" t="n">
        <v>0</v>
      </c>
      <c r="P47" s="20" t="n">
        <v>0</v>
      </c>
      <c r="Q47" s="18" t="n">
        <v>1.67622452</v>
      </c>
      <c r="R47" s="20" t="n">
        <v>0.5384035700000001</v>
      </c>
    </row>
    <row r="48" spans="1:18">
      <c r="A48" s="15" t="s">
        <v>607</v>
      </c>
      <c r="B48" s="17" t="n">
        <v>4682</v>
      </c>
      <c r="C48" s="18">
        <f>(3630.0/B48*100)</f>
        <v/>
      </c>
      <c r="D48" s="19" t="n">
        <v>1052</v>
      </c>
      <c r="E48" s="18" t="n">
        <v>62.87393239</v>
      </c>
      <c r="F48" s="20" t="n">
        <v>2.13123977</v>
      </c>
      <c r="G48" s="18" t="n">
        <v>36.01919367</v>
      </c>
      <c r="H48" s="20" t="n">
        <v>2.12071049</v>
      </c>
      <c r="I48" s="18" t="n">
        <v>0</v>
      </c>
      <c r="J48" s="20" t="n">
        <v>0</v>
      </c>
      <c r="K48" s="18" t="n">
        <v>0.73087707</v>
      </c>
      <c r="L48" s="20" t="n">
        <v>0.32783961</v>
      </c>
      <c r="M48" s="18" t="n">
        <v>0</v>
      </c>
      <c r="N48" s="20" t="n">
        <v>0</v>
      </c>
      <c r="O48" s="18" t="n">
        <v>0</v>
      </c>
      <c r="P48" s="20" t="n">
        <v>0</v>
      </c>
      <c r="Q48" s="18" t="n">
        <v>0.37599687</v>
      </c>
      <c r="R48" s="20" t="n">
        <v>0.24387097</v>
      </c>
    </row>
    <row r="49" spans="1:18">
      <c r="A49" s="15" t="s">
        <v>608</v>
      </c>
      <c r="B49" s="17" t="n">
        <v>6158</v>
      </c>
      <c r="C49" s="18">
        <f>(4859.0/B49*100)</f>
        <v/>
      </c>
      <c r="D49" s="19" t="n">
        <v>1299</v>
      </c>
      <c r="E49" s="18" t="n">
        <v>85.02887604999999</v>
      </c>
      <c r="F49" s="20" t="n">
        <v>1.24823379</v>
      </c>
      <c r="G49" s="18" t="n">
        <v>11.56527745</v>
      </c>
      <c r="H49" s="20" t="n">
        <v>1.17755205</v>
      </c>
      <c r="I49" s="18" t="n">
        <v>0</v>
      </c>
      <c r="J49" s="20" t="n">
        <v>0</v>
      </c>
      <c r="K49" s="18" t="n">
        <v>2.01087257</v>
      </c>
      <c r="L49" s="20" t="n">
        <v>0.59756818</v>
      </c>
      <c r="M49" s="18" t="n">
        <v>0.21953267</v>
      </c>
      <c r="N49" s="20" t="n">
        <v>0.12476805</v>
      </c>
      <c r="O49" s="18" t="n">
        <v>0</v>
      </c>
      <c r="P49" s="20" t="n">
        <v>0</v>
      </c>
      <c r="Q49" s="18" t="n">
        <v>1.17544126</v>
      </c>
      <c r="R49" s="20" t="n">
        <v>0.31709253</v>
      </c>
    </row>
    <row r="50" spans="1:18">
      <c r="A50" s="15" t="s">
        <v>609</v>
      </c>
      <c r="B50" s="17" t="n">
        <v>3494</v>
      </c>
      <c r="C50" s="18">
        <f>(2806.0/B50*100)</f>
        <v/>
      </c>
      <c r="D50" s="19" t="n">
        <v>688</v>
      </c>
      <c r="E50" s="18" t="n">
        <v>83.30646004</v>
      </c>
      <c r="F50" s="20" t="n">
        <v>1.58628455</v>
      </c>
      <c r="G50" s="18" t="n">
        <v>14.6524859</v>
      </c>
      <c r="H50" s="20" t="n">
        <v>1.46992269</v>
      </c>
      <c r="I50" s="18" t="n">
        <v>0</v>
      </c>
      <c r="J50" s="20" t="n">
        <v>0</v>
      </c>
      <c r="K50" s="18" t="n">
        <v>0.19307644</v>
      </c>
      <c r="L50" s="20" t="n">
        <v>0.20261183</v>
      </c>
      <c r="M50" s="18" t="n">
        <v>0</v>
      </c>
      <c r="N50" s="20" t="n">
        <v>0</v>
      </c>
      <c r="O50" s="18" t="n">
        <v>0</v>
      </c>
      <c r="P50" s="20" t="n">
        <v>0</v>
      </c>
      <c r="Q50" s="18" t="n">
        <v>1.84797762</v>
      </c>
      <c r="R50" s="20" t="n">
        <v>0.53945996</v>
      </c>
    </row>
    <row r="51" spans="1:18">
      <c r="A51" s="15" t="s">
        <v>610</v>
      </c>
      <c r="B51" s="17" t="n">
        <v>3013</v>
      </c>
      <c r="C51" s="18">
        <f>(2348.0/B51*100)</f>
        <v/>
      </c>
      <c r="D51" s="19" t="n">
        <v>665</v>
      </c>
      <c r="E51" s="18" t="n">
        <v>72.24971304</v>
      </c>
      <c r="F51" s="20" t="n">
        <v>1.90501011</v>
      </c>
      <c r="G51" s="18" t="n">
        <v>25.42624401</v>
      </c>
      <c r="H51" s="20" t="n">
        <v>1.91997517</v>
      </c>
      <c r="I51" s="18" t="n">
        <v>0</v>
      </c>
      <c r="J51" s="20" t="n">
        <v>0</v>
      </c>
      <c r="K51" s="18" t="n">
        <v>0.13873202</v>
      </c>
      <c r="L51" s="20" t="n">
        <v>0.13836463</v>
      </c>
      <c r="M51" s="18" t="n">
        <v>0</v>
      </c>
      <c r="N51" s="20" t="n">
        <v>0</v>
      </c>
      <c r="O51" s="18" t="n">
        <v>0</v>
      </c>
      <c r="P51" s="20" t="n">
        <v>0</v>
      </c>
      <c r="Q51" s="18" t="n">
        <v>2.18531094</v>
      </c>
      <c r="R51" s="20" t="n">
        <v>0.52595214</v>
      </c>
    </row>
    <row r="52" spans="1:18">
      <c r="A52" s="15" t="s">
        <v>611</v>
      </c>
      <c r="B52" s="17" t="n">
        <v>2760</v>
      </c>
      <c r="C52" s="18">
        <f>(2147.0/B52*100)</f>
        <v/>
      </c>
      <c r="D52" s="19" t="n">
        <v>613</v>
      </c>
      <c r="E52" s="18" t="n">
        <v>79.37311699999999</v>
      </c>
      <c r="F52" s="20" t="n">
        <v>1.79538757</v>
      </c>
      <c r="G52" s="18" t="n">
        <v>18.23727583</v>
      </c>
      <c r="H52" s="20" t="n">
        <v>1.74494482</v>
      </c>
      <c r="I52" s="18" t="n">
        <v>0</v>
      </c>
      <c r="J52" s="20" t="n">
        <v>0</v>
      </c>
      <c r="K52" s="18" t="n">
        <v>0.30482187</v>
      </c>
      <c r="L52" s="20" t="n">
        <v>0.21304682</v>
      </c>
      <c r="M52" s="18" t="n">
        <v>0</v>
      </c>
      <c r="N52" s="20" t="n">
        <v>0</v>
      </c>
      <c r="O52" s="18" t="n">
        <v>0</v>
      </c>
      <c r="P52" s="20" t="n">
        <v>0</v>
      </c>
      <c r="Q52" s="18" t="n">
        <v>2.0847853</v>
      </c>
      <c r="R52" s="20" t="n">
        <v>0.67589946</v>
      </c>
    </row>
    <row r="53" spans="1:18">
      <c r="A53" s="15" t="s">
        <v>612</v>
      </c>
      <c r="B53" s="17" t="n">
        <v>2474</v>
      </c>
      <c r="C53" s="18">
        <f>(1942.0/B53*100)</f>
        <v/>
      </c>
      <c r="D53" s="19" t="n">
        <v>532</v>
      </c>
      <c r="E53" s="18" t="n">
        <v>80.80596902000001</v>
      </c>
      <c r="F53" s="20" t="n">
        <v>1.87190923</v>
      </c>
      <c r="G53" s="18" t="n">
        <v>0.52328229</v>
      </c>
      <c r="H53" s="20" t="n">
        <v>0.31303073</v>
      </c>
      <c r="I53" s="18" t="n">
        <v>0</v>
      </c>
      <c r="J53" s="20" t="n">
        <v>0</v>
      </c>
      <c r="K53" s="18" t="n">
        <v>13.54779181</v>
      </c>
      <c r="L53" s="20" t="n">
        <v>1.75010333</v>
      </c>
      <c r="M53" s="18" t="n">
        <v>0.59867226</v>
      </c>
      <c r="N53" s="20" t="n">
        <v>0.50086795</v>
      </c>
      <c r="O53" s="18" t="n">
        <v>0</v>
      </c>
      <c r="P53" s="20" t="n">
        <v>0</v>
      </c>
      <c r="Q53" s="18" t="n">
        <v>4.52428461</v>
      </c>
      <c r="R53" s="20" t="n">
        <v>1.00874475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(2044.0/B55*100)</f>
        <v/>
      </c>
      <c r="D55" s="19" t="n">
        <v>631</v>
      </c>
      <c r="E55" s="18" t="n">
        <v>62.36689209</v>
      </c>
      <c r="F55" s="20" t="n">
        <v>1.79670594</v>
      </c>
      <c r="G55" s="18" t="n">
        <v>36.77147985</v>
      </c>
      <c r="H55" s="20" t="n">
        <v>1.83078976</v>
      </c>
      <c r="I55" s="18" t="n">
        <v>0</v>
      </c>
      <c r="J55" s="20" t="n">
        <v>0</v>
      </c>
      <c r="K55" s="18" t="n">
        <v>0</v>
      </c>
      <c r="L55" s="20" t="n">
        <v>0</v>
      </c>
      <c r="M55" s="18" t="n">
        <v>0.19880155</v>
      </c>
      <c r="N55" s="20" t="n">
        <v>0.2195737</v>
      </c>
      <c r="O55" s="18" t="n">
        <v>0</v>
      </c>
      <c r="P55" s="20" t="n">
        <v>0</v>
      </c>
      <c r="Q55" s="18" t="n">
        <v>0.66282652</v>
      </c>
      <c r="R55" s="20" t="n">
        <v>0.3337147</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(2479.0/B61*100)</f>
        <v/>
      </c>
      <c r="D61" s="19" t="n">
        <v>722</v>
      </c>
      <c r="E61" s="18" t="n">
        <v>76.56482075</v>
      </c>
      <c r="F61" s="20" t="n">
        <v>1.59229884</v>
      </c>
      <c r="G61" s="18" t="n">
        <v>21.92023049</v>
      </c>
      <c r="H61" s="20" t="n">
        <v>1.50545831</v>
      </c>
      <c r="I61" s="18" t="n">
        <v>0</v>
      </c>
      <c r="J61" s="20" t="n">
        <v>0</v>
      </c>
      <c r="K61" s="18" t="n">
        <v>0</v>
      </c>
      <c r="L61" s="20" t="n">
        <v>0</v>
      </c>
      <c r="M61" s="18" t="n">
        <v>0</v>
      </c>
      <c r="N61" s="20" t="n">
        <v>0</v>
      </c>
      <c r="O61" s="18" t="n">
        <v>0</v>
      </c>
      <c r="P61" s="20" t="n">
        <v>0</v>
      </c>
      <c r="Q61" s="18" t="n">
        <v>1.51494875</v>
      </c>
      <c r="R61" s="20" t="n">
        <v>0.45569361</v>
      </c>
    </row>
    <row r="62" spans="1:18">
      <c r="A62" s="15" t="s">
        <v>622</v>
      </c>
      <c r="B62" s="17" t="n">
        <v>2230</v>
      </c>
      <c r="C62" s="18">
        <f>(1732.0/B62*100)</f>
        <v/>
      </c>
      <c r="D62" s="19" t="n">
        <v>498</v>
      </c>
      <c r="E62" s="18" t="n">
        <v>59.85433937</v>
      </c>
      <c r="F62" s="20" t="n">
        <v>2.0460248</v>
      </c>
      <c r="G62" s="18" t="n">
        <v>40.14566063</v>
      </c>
      <c r="H62" s="20" t="n">
        <v>2.0460248</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(2179.0/B67*100)</f>
        <v/>
      </c>
      <c r="D67" s="19" t="n">
        <v>592</v>
      </c>
      <c r="E67" s="18" t="n">
        <v>65.24725078</v>
      </c>
      <c r="F67" s="20" t="n">
        <v>1.91253636</v>
      </c>
      <c r="G67" s="18" t="n">
        <v>25.36301362</v>
      </c>
      <c r="H67" s="20" t="n">
        <v>1.57479403</v>
      </c>
      <c r="I67" s="18" t="n">
        <v>0</v>
      </c>
      <c r="J67" s="20" t="n">
        <v>0</v>
      </c>
      <c r="K67" s="18" t="n">
        <v>0.58264757</v>
      </c>
      <c r="L67" s="20" t="n">
        <v>0.29223271</v>
      </c>
      <c r="M67" s="18" t="n">
        <v>0.4499255</v>
      </c>
      <c r="N67" s="20" t="n">
        <v>0.26412463</v>
      </c>
      <c r="O67" s="18" t="n">
        <v>0</v>
      </c>
      <c r="P67" s="20" t="n">
        <v>0</v>
      </c>
      <c r="Q67" s="18" t="n">
        <v>8.35716253</v>
      </c>
      <c r="R67" s="20" t="n">
        <v>1.05915809</v>
      </c>
    </row>
    <row r="68" spans="1:18">
      <c r="A68" s="15" t="s">
        <v>628</v>
      </c>
      <c r="B68" s="17" t="n">
        <v>3460</v>
      </c>
      <c r="C68" s="18">
        <f>(2812.0/B68*100)</f>
        <v/>
      </c>
      <c r="D68" s="19" t="n">
        <v>648</v>
      </c>
      <c r="E68" s="18" t="n">
        <v>93.75424809</v>
      </c>
      <c r="F68" s="20" t="n">
        <v>0.92912484</v>
      </c>
      <c r="G68" s="18" t="n">
        <v>4.31575571</v>
      </c>
      <c r="H68" s="20" t="n">
        <v>0.85029425</v>
      </c>
      <c r="I68" s="18" t="n">
        <v>0</v>
      </c>
      <c r="J68" s="20" t="n">
        <v>0</v>
      </c>
      <c r="K68" s="18" t="n">
        <v>0.53305776</v>
      </c>
      <c r="L68" s="20" t="n">
        <v>0.31024897</v>
      </c>
      <c r="M68" s="18" t="n">
        <v>0.15748498</v>
      </c>
      <c r="N68" s="20" t="n">
        <v>0.15816519</v>
      </c>
      <c r="O68" s="18" t="n">
        <v>0</v>
      </c>
      <c r="P68" s="20" t="n">
        <v>0</v>
      </c>
      <c r="Q68" s="18" t="n">
        <v>1.23945347</v>
      </c>
      <c r="R68" s="20" t="n">
        <v>0.45215733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(4649.0/B70*100)</f>
        <v/>
      </c>
      <c r="D70" s="19" t="n">
        <v>1385</v>
      </c>
      <c r="E70" s="18" t="n">
        <v>79.30233022</v>
      </c>
      <c r="F70" s="20" t="n">
        <v>1.09394709</v>
      </c>
      <c r="G70" s="18" t="n">
        <v>16.64513423</v>
      </c>
      <c r="H70" s="20" t="n">
        <v>1.05372018</v>
      </c>
      <c r="I70" s="18" t="n">
        <v>0</v>
      </c>
      <c r="J70" s="20" t="n">
        <v>0</v>
      </c>
      <c r="K70" s="18" t="n">
        <v>2.01093443</v>
      </c>
      <c r="L70" s="20" t="n">
        <v>0.36822157</v>
      </c>
      <c r="M70" s="18" t="n">
        <v>0.07001528999999999</v>
      </c>
      <c r="N70" s="20" t="n">
        <v>0.06972562</v>
      </c>
      <c r="O70" s="18" t="n">
        <v>0</v>
      </c>
      <c r="P70" s="20" t="n">
        <v>0</v>
      </c>
      <c r="Q70" s="18" t="n">
        <v>1.97158583</v>
      </c>
      <c r="R70" s="20" t="n">
        <v>0.36383023</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(2515.0/B72*100)</f>
        <v/>
      </c>
      <c r="D72" s="19" t="n">
        <v>592</v>
      </c>
      <c r="E72" s="18" t="n">
        <v>68.17598513999999</v>
      </c>
      <c r="F72" s="20" t="n">
        <v>2.47891423</v>
      </c>
      <c r="G72" s="18" t="n">
        <v>30.61655606</v>
      </c>
      <c r="H72" s="20" t="n">
        <v>2.45254706</v>
      </c>
      <c r="I72" s="18" t="n">
        <v>0</v>
      </c>
      <c r="J72" s="20" t="n">
        <v>0</v>
      </c>
      <c r="K72" s="18" t="n">
        <v>0.38980183</v>
      </c>
      <c r="L72" s="20" t="n">
        <v>0.20407731</v>
      </c>
      <c r="M72" s="18" t="n">
        <v>0.20475527</v>
      </c>
      <c r="N72" s="20" t="n">
        <v>0.20478187</v>
      </c>
      <c r="O72" s="18" t="n">
        <v>0</v>
      </c>
      <c r="P72" s="20" t="n">
        <v>0</v>
      </c>
      <c r="Q72" s="18" t="n">
        <v>0.6129017</v>
      </c>
      <c r="R72" s="20" t="n">
        <v>0.29853147</v>
      </c>
    </row>
    <row r="73" spans="1:18">
      <c r="A73" s="15" t="s">
        <v>633</v>
      </c>
      <c r="B73" s="17" t="n">
        <v>2973</v>
      </c>
      <c r="C73" s="18">
        <f>(2331.0/B73*100)</f>
        <v/>
      </c>
      <c r="D73" s="19" t="n">
        <v>642</v>
      </c>
      <c r="E73" s="18" t="n">
        <v>60.99967167</v>
      </c>
      <c r="F73" s="20" t="n">
        <v>1.74316746</v>
      </c>
      <c r="G73" s="18" t="n">
        <v>37.34646567</v>
      </c>
      <c r="H73" s="20" t="n">
        <v>1.79896926</v>
      </c>
      <c r="I73" s="18" t="n">
        <v>0</v>
      </c>
      <c r="J73" s="20" t="n">
        <v>0</v>
      </c>
      <c r="K73" s="18" t="n">
        <v>0.3379636</v>
      </c>
      <c r="L73" s="20" t="n">
        <v>0.23921259</v>
      </c>
      <c r="M73" s="18" t="n">
        <v>0</v>
      </c>
      <c r="N73" s="20" t="n">
        <v>0</v>
      </c>
      <c r="O73" s="18" t="n">
        <v>0</v>
      </c>
      <c r="P73" s="20" t="n">
        <v>0</v>
      </c>
      <c r="Q73" s="18" t="n">
        <v>1.31589905</v>
      </c>
      <c r="R73" s="20" t="n">
        <v>0.55036429</v>
      </c>
    </row>
    <row r="74" spans="1:18">
      <c r="A74" s="15" t="s">
        <v>634</v>
      </c>
      <c r="B74" s="17" t="n">
        <v>3819</v>
      </c>
      <c r="C74" s="18">
        <f>(2977.0/B74*100)</f>
        <v/>
      </c>
      <c r="D74" s="19" t="n">
        <v>842</v>
      </c>
      <c r="E74" s="18" t="n">
        <v>55.61613354</v>
      </c>
      <c r="F74" s="20" t="n">
        <v>1.76871425</v>
      </c>
      <c r="G74" s="18" t="n">
        <v>44.20779185</v>
      </c>
      <c r="H74" s="20" t="n">
        <v>1.75913752</v>
      </c>
      <c r="I74" s="18" t="n">
        <v>0</v>
      </c>
      <c r="J74" s="20" t="n">
        <v>0</v>
      </c>
      <c r="K74" s="18" t="n">
        <v>0</v>
      </c>
      <c r="L74" s="20" t="n">
        <v>0</v>
      </c>
      <c r="M74" s="18" t="n">
        <v>0</v>
      </c>
      <c r="N74" s="20" t="n">
        <v>0</v>
      </c>
      <c r="O74" s="18" t="n">
        <v>0</v>
      </c>
      <c r="P74" s="20" t="n">
        <v>0</v>
      </c>
      <c r="Q74" s="18" t="n">
        <v>0.17607461</v>
      </c>
      <c r="R74" s="20" t="n">
        <v>0.12791428</v>
      </c>
    </row>
    <row r="75" spans="1:18">
      <c r="A75" s="15" t="s">
        <v>635</v>
      </c>
      <c r="B75" s="17" t="n">
        <v>4652</v>
      </c>
      <c r="C75" s="18">
        <f>(3671.0/B75*100)</f>
        <v/>
      </c>
      <c r="D75" s="19" t="n">
        <v>981</v>
      </c>
      <c r="E75" s="18" t="n">
        <v>77.91765409999999</v>
      </c>
      <c r="F75" s="20" t="n">
        <v>1.86795908</v>
      </c>
      <c r="G75" s="18" t="n">
        <v>21.22470435</v>
      </c>
      <c r="H75" s="20" t="n">
        <v>1.8180151</v>
      </c>
      <c r="I75" s="18" t="n">
        <v>0</v>
      </c>
      <c r="J75" s="20" t="n">
        <v>0</v>
      </c>
      <c r="K75" s="18" t="n">
        <v>0.05161408</v>
      </c>
      <c r="L75" s="20" t="n">
        <v>0.05203059</v>
      </c>
      <c r="M75" s="18" t="n">
        <v>0.62194613</v>
      </c>
      <c r="N75" s="20" t="n">
        <v>0.2975343</v>
      </c>
      <c r="O75" s="18" t="n">
        <v>0</v>
      </c>
      <c r="P75" s="20" t="n">
        <v>0</v>
      </c>
      <c r="Q75" s="18" t="n">
        <v>0.18408134</v>
      </c>
      <c r="R75" s="20" t="n">
        <v>0.11582132</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(2398.0/B77*100)</f>
        <v/>
      </c>
      <c r="D77" s="19" t="n">
        <v>571</v>
      </c>
      <c r="E77" s="18" t="n">
        <v>87.64013491</v>
      </c>
      <c r="F77" s="20" t="n">
        <v>1.64804954</v>
      </c>
      <c r="G77" s="18" t="n">
        <v>2.8286369</v>
      </c>
      <c r="H77" s="20" t="n">
        <v>0.76905083</v>
      </c>
      <c r="I77" s="18" t="n">
        <v>0</v>
      </c>
      <c r="J77" s="20" t="n">
        <v>0</v>
      </c>
      <c r="K77" s="18" t="n">
        <v>2.84580452</v>
      </c>
      <c r="L77" s="20" t="n">
        <v>0.72024716</v>
      </c>
      <c r="M77" s="18" t="n">
        <v>0.9208338</v>
      </c>
      <c r="N77" s="20" t="n">
        <v>0.48521182</v>
      </c>
      <c r="O77" s="18" t="n">
        <v>0</v>
      </c>
      <c r="P77" s="20" t="n">
        <v>0</v>
      </c>
      <c r="Q77" s="18" t="n">
        <v>5.76458988</v>
      </c>
      <c r="R77" s="20" t="n">
        <v>1.08473692</v>
      </c>
    </row>
    <row r="78" spans="1:18">
      <c r="A78" s="15" t="s">
        <v>638</v>
      </c>
      <c r="B78" s="17" t="n">
        <v>7115</v>
      </c>
      <c r="C78" s="18">
        <f>(5573.0/B78*100)</f>
        <v/>
      </c>
      <c r="D78" s="19" t="n">
        <v>1542</v>
      </c>
      <c r="E78" s="18" t="n">
        <v>80.66273889</v>
      </c>
      <c r="F78" s="20" t="n">
        <v>1.34020817</v>
      </c>
      <c r="G78" s="18" t="n">
        <v>17.53085425</v>
      </c>
      <c r="H78" s="20" t="n">
        <v>1.23447862</v>
      </c>
      <c r="I78" s="18" t="n">
        <v>0</v>
      </c>
      <c r="J78" s="20" t="n">
        <v>0</v>
      </c>
      <c r="K78" s="18" t="n">
        <v>0.48672183</v>
      </c>
      <c r="L78" s="20" t="n">
        <v>0.19620372</v>
      </c>
      <c r="M78" s="18" t="n">
        <v>0.14215918</v>
      </c>
      <c r="N78" s="20" t="n">
        <v>0.10082168</v>
      </c>
      <c r="O78" s="18" t="n">
        <v>0</v>
      </c>
      <c r="P78" s="20" t="n">
        <v>0</v>
      </c>
      <c r="Q78" s="18" t="n">
        <v>1.17752585</v>
      </c>
      <c r="R78" s="20" t="n">
        <v>0.38332578</v>
      </c>
    </row>
    <row r="79" spans="1:18">
      <c r="A79" s="15" t="s">
        <v>639</v>
      </c>
      <c r="B79" s="17" t="n">
        <v>3154</v>
      </c>
      <c r="C79" s="18">
        <f>(2469.0/B79*100)</f>
        <v/>
      </c>
      <c r="D79" s="19" t="n">
        <v>685</v>
      </c>
      <c r="E79" s="18" t="n">
        <v>75.90988288</v>
      </c>
      <c r="F79" s="20" t="n">
        <v>1.49780501</v>
      </c>
      <c r="G79" s="18" t="n">
        <v>18.13473395</v>
      </c>
      <c r="H79" s="20" t="n">
        <v>1.35037043</v>
      </c>
      <c r="I79" s="18" t="n">
        <v>0</v>
      </c>
      <c r="J79" s="20" t="n">
        <v>0</v>
      </c>
      <c r="K79" s="18" t="n">
        <v>0.50456662</v>
      </c>
      <c r="L79" s="20" t="n">
        <v>0.25148185</v>
      </c>
      <c r="M79" s="18" t="n">
        <v>0</v>
      </c>
      <c r="N79" s="20" t="n">
        <v>0</v>
      </c>
      <c r="O79" s="18" t="n">
        <v>0</v>
      </c>
      <c r="P79" s="20" t="n">
        <v>0</v>
      </c>
      <c r="Q79" s="18" t="n">
        <v>5.45081655</v>
      </c>
      <c r="R79" s="20" t="n">
        <v>0.88437554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(12474.0/B82*100)</f>
        <v/>
      </c>
      <c r="D82" s="19" t="n">
        <v>3487</v>
      </c>
      <c r="E82" s="18" t="n">
        <v>72.08388234</v>
      </c>
      <c r="F82" s="20" t="n">
        <v>1.14828843</v>
      </c>
      <c r="G82" s="18" t="n">
        <v>25.86769134</v>
      </c>
      <c r="H82" s="20" t="n">
        <v>1.13905193</v>
      </c>
      <c r="I82" s="18" t="n">
        <v>0</v>
      </c>
      <c r="J82" s="20" t="n">
        <v>0</v>
      </c>
      <c r="K82" s="18" t="n">
        <v>0.19529584</v>
      </c>
      <c r="L82" s="20" t="n">
        <v>0.10323566</v>
      </c>
      <c r="M82" s="18" t="n">
        <v>0.01290961</v>
      </c>
      <c r="N82" s="20" t="n">
        <v>0.01291793</v>
      </c>
      <c r="O82" s="18" t="n">
        <v>0</v>
      </c>
      <c r="P82" s="20" t="n">
        <v>0</v>
      </c>
      <c r="Q82" s="18" t="n">
        <v>1.84022086</v>
      </c>
      <c r="R82" s="20" t="n">
        <v>0.37261101</v>
      </c>
    </row>
    <row r="83" spans="1:18">
      <c r="A83" s="15" t="s">
        <v>643</v>
      </c>
      <c r="B83" s="17" t="n">
        <v>808</v>
      </c>
      <c r="C83" s="18">
        <f>(633.0/B83*100)</f>
        <v/>
      </c>
      <c r="D83" s="19" t="n">
        <v>175</v>
      </c>
      <c r="E83" s="18" t="n">
        <v>59.21935217</v>
      </c>
      <c r="F83" s="20" t="n">
        <v>4.72433107</v>
      </c>
      <c r="G83" s="18" t="n">
        <v>40.0588623</v>
      </c>
      <c r="H83" s="20" t="n">
        <v>4.5151538</v>
      </c>
      <c r="I83" s="18" t="n">
        <v>0</v>
      </c>
      <c r="J83" s="20" t="n">
        <v>0</v>
      </c>
      <c r="K83" s="18" t="n">
        <v>0</v>
      </c>
      <c r="L83" s="20" t="n">
        <v>0</v>
      </c>
      <c r="M83" s="18" t="n">
        <v>0</v>
      </c>
      <c r="N83" s="20" t="n">
        <v>0</v>
      </c>
      <c r="O83" s="18" t="n">
        <v>0</v>
      </c>
      <c r="P83" s="20" t="n">
        <v>0</v>
      </c>
      <c r="Q83" s="18" t="n">
        <v>0.72178553</v>
      </c>
      <c r="R83" s="20" t="n">
        <v>0.76727817</v>
      </c>
    </row>
    <row r="84" spans="1:18">
      <c r="A84" s="23" t="s">
        <v>644</v>
      </c>
      <c r="B84" s="24" t="n">
        <v>938</v>
      </c>
      <c r="C84" s="25">
        <f>(739.0/B84*100)</f>
        <v/>
      </c>
      <c r="D84" s="19" t="n">
        <v>199</v>
      </c>
      <c r="E84" s="18" t="n">
        <v>70.68377398</v>
      </c>
      <c r="F84" s="20" t="n">
        <v>2.51294426</v>
      </c>
      <c r="G84" s="18" t="n">
        <v>28.22409089</v>
      </c>
      <c r="H84" s="20" t="n">
        <v>2.65297531</v>
      </c>
      <c r="I84" s="18" t="n">
        <v>0</v>
      </c>
      <c r="J84" s="20" t="n">
        <v>0</v>
      </c>
      <c r="K84" s="18" t="n">
        <v>0</v>
      </c>
      <c r="L84" s="20" t="n">
        <v>0</v>
      </c>
      <c r="M84" s="18" t="n">
        <v>0</v>
      </c>
      <c r="N84" s="20" t="n">
        <v>0</v>
      </c>
      <c r="O84" s="18" t="n">
        <v>0</v>
      </c>
      <c r="P84" s="20" t="n">
        <v>0</v>
      </c>
      <c r="Q84" s="18" t="n">
        <v>1.09213514</v>
      </c>
      <c r="R84" s="20" t="n">
        <v>0.7657494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807</v>
      </c>
    </row>
    <row customHeight="1" ht="30" r="4" spans="1:20">
      <c r="A4" s="6" t="n"/>
      <c r="B4" s="7" t="s">
        <v>551</v>
      </c>
      <c r="C4" s="7" t="s">
        <v>552</v>
      </c>
      <c r="D4" s="8" t="s">
        <v>551</v>
      </c>
      <c r="E4" s="9" t="s">
        <v>660</v>
      </c>
      <c r="F4" s="10" t="n"/>
      <c r="G4" s="9" t="s">
        <v>752</v>
      </c>
      <c r="H4" s="10" t="n"/>
      <c r="I4" s="9" t="s">
        <v>661</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(5626.0/B7*100)</f>
        <v/>
      </c>
      <c r="D7" s="19" t="n">
        <v>1537</v>
      </c>
      <c r="E7" s="18" t="n">
        <v>30.29623138</v>
      </c>
      <c r="F7" s="20" t="n">
        <v>1.24897569</v>
      </c>
      <c r="G7" s="18" t="n">
        <v>17.50890423</v>
      </c>
      <c r="H7" s="20" t="n">
        <v>1.13486686</v>
      </c>
      <c r="I7" s="18" t="n">
        <v>50.67364431</v>
      </c>
      <c r="J7" s="20" t="n">
        <v>1.68582862</v>
      </c>
      <c r="K7" s="18" t="n">
        <v>0</v>
      </c>
      <c r="L7" s="20" t="n">
        <v>0</v>
      </c>
      <c r="M7" s="18" t="n">
        <v>0.32699</v>
      </c>
      <c r="N7" s="20" t="n">
        <v>0.20356457</v>
      </c>
      <c r="O7" s="18" t="n">
        <v>0</v>
      </c>
      <c r="P7" s="20" t="n">
        <v>0</v>
      </c>
      <c r="Q7" s="18" t="n">
        <v>0</v>
      </c>
      <c r="R7" s="20" t="n">
        <v>0</v>
      </c>
      <c r="S7" s="18" t="n">
        <v>1.19423008</v>
      </c>
      <c r="T7" s="20" t="n">
        <v>0.33097378</v>
      </c>
    </row>
    <row r="8" spans="1:20">
      <c r="A8" s="15" t="s">
        <v>566</v>
      </c>
      <c r="B8" s="17" t="n">
        <v>3443</v>
      </c>
      <c r="C8" s="18">
        <f>(2725.0/B8*100)</f>
        <v/>
      </c>
      <c r="D8" s="19" t="n">
        <v>718</v>
      </c>
      <c r="E8" s="18" t="n">
        <v>39.47944066</v>
      </c>
      <c r="F8" s="20" t="n">
        <v>1.88982845</v>
      </c>
      <c r="G8" s="18" t="n">
        <v>17.58943689</v>
      </c>
      <c r="H8" s="20" t="n">
        <v>1.65369185</v>
      </c>
      <c r="I8" s="18" t="n">
        <v>41.89716358</v>
      </c>
      <c r="J8" s="20" t="n">
        <v>2.12402295</v>
      </c>
      <c r="K8" s="18" t="n">
        <v>0</v>
      </c>
      <c r="L8" s="20" t="n">
        <v>0</v>
      </c>
      <c r="M8" s="18" t="n">
        <v>0</v>
      </c>
      <c r="N8" s="20" t="n">
        <v>0</v>
      </c>
      <c r="O8" s="18" t="n">
        <v>0</v>
      </c>
      <c r="P8" s="20" t="n">
        <v>0</v>
      </c>
      <c r="Q8" s="18" t="n">
        <v>0</v>
      </c>
      <c r="R8" s="20" t="n">
        <v>0</v>
      </c>
      <c r="S8" s="18" t="n">
        <v>1.03395887</v>
      </c>
      <c r="T8" s="20" t="n">
        <v>0.59762293</v>
      </c>
    </row>
    <row r="9" spans="1:20">
      <c r="A9" s="15" t="s">
        <v>567</v>
      </c>
      <c r="B9" s="17" t="n">
        <v>4752</v>
      </c>
      <c r="C9" s="18">
        <f>(3728.0/B9*100)</f>
        <v/>
      </c>
      <c r="D9" s="19" t="n">
        <v>1024</v>
      </c>
      <c r="E9" s="18" t="n">
        <v>33.37566798</v>
      </c>
      <c r="F9" s="20" t="n">
        <v>1.85445155</v>
      </c>
      <c r="G9" s="18" t="n">
        <v>17.2591211</v>
      </c>
      <c r="H9" s="20" t="n">
        <v>1.2355614</v>
      </c>
      <c r="I9" s="18" t="n">
        <v>47.93740187</v>
      </c>
      <c r="J9" s="20" t="n">
        <v>1.45567823</v>
      </c>
      <c r="K9" s="18" t="n">
        <v>0</v>
      </c>
      <c r="L9" s="20" t="n">
        <v>0</v>
      </c>
      <c r="M9" s="18" t="n">
        <v>0.43541755</v>
      </c>
      <c r="N9" s="20" t="n">
        <v>0.23016117</v>
      </c>
      <c r="O9" s="18" t="n">
        <v>0</v>
      </c>
      <c r="P9" s="20" t="n">
        <v>0</v>
      </c>
      <c r="Q9" s="18" t="n">
        <v>0</v>
      </c>
      <c r="R9" s="20" t="n">
        <v>0</v>
      </c>
      <c r="S9" s="18" t="n">
        <v>0.9923915</v>
      </c>
      <c r="T9" s="20" t="n">
        <v>0.35271846</v>
      </c>
    </row>
    <row r="10" spans="1:20">
      <c r="A10" s="15" t="s">
        <v>568</v>
      </c>
      <c r="B10" s="17" t="n">
        <v>10022</v>
      </c>
      <c r="C10" s="18">
        <f>(7859.0/B10*100)</f>
        <v/>
      </c>
      <c r="D10" s="19" t="n">
        <v>2163</v>
      </c>
      <c r="E10" s="18" t="n">
        <v>28.90402565</v>
      </c>
      <c r="F10" s="20" t="n">
        <v>1.19548444</v>
      </c>
      <c r="G10" s="18" t="n">
        <v>17.36686341</v>
      </c>
      <c r="H10" s="20" t="n">
        <v>1.11043885</v>
      </c>
      <c r="I10" s="18" t="n">
        <v>53.20221542</v>
      </c>
      <c r="J10" s="20" t="n">
        <v>1.29544128</v>
      </c>
      <c r="K10" s="18" t="n">
        <v>0</v>
      </c>
      <c r="L10" s="20" t="n">
        <v>0</v>
      </c>
      <c r="M10" s="18" t="n">
        <v>0.32529107</v>
      </c>
      <c r="N10" s="20" t="n">
        <v>0.19622929</v>
      </c>
      <c r="O10" s="18" t="n">
        <v>0</v>
      </c>
      <c r="P10" s="20" t="n">
        <v>0</v>
      </c>
      <c r="Q10" s="18" t="n">
        <v>0</v>
      </c>
      <c r="R10" s="20" t="n">
        <v>0</v>
      </c>
      <c r="S10" s="18" t="n">
        <v>0.20160445</v>
      </c>
      <c r="T10" s="20" t="n">
        <v>0.13905832</v>
      </c>
    </row>
    <row r="11" spans="1:20">
      <c r="A11" s="15" t="s">
        <v>569</v>
      </c>
      <c r="B11" s="17" t="n">
        <v>3500</v>
      </c>
      <c r="C11" s="18">
        <f>(2783.0/B11*100)</f>
        <v/>
      </c>
      <c r="D11" s="19" t="n">
        <v>717</v>
      </c>
      <c r="E11" s="18" t="n">
        <v>48.9968561</v>
      </c>
      <c r="F11" s="20" t="n">
        <v>2.22439619</v>
      </c>
      <c r="G11" s="18" t="n">
        <v>17.74028404</v>
      </c>
      <c r="H11" s="20" t="n">
        <v>1.63819604</v>
      </c>
      <c r="I11" s="18" t="n">
        <v>30.79656235</v>
      </c>
      <c r="J11" s="20" t="n">
        <v>2.02557025</v>
      </c>
      <c r="K11" s="18" t="n">
        <v>0</v>
      </c>
      <c r="L11" s="20" t="n">
        <v>0</v>
      </c>
      <c r="M11" s="18" t="n">
        <v>0.77420752</v>
      </c>
      <c r="N11" s="20" t="n">
        <v>0.32546805</v>
      </c>
      <c r="O11" s="18" t="n">
        <v>0</v>
      </c>
      <c r="P11" s="20" t="n">
        <v>0</v>
      </c>
      <c r="Q11" s="18" t="n">
        <v>0</v>
      </c>
      <c r="R11" s="20" t="n">
        <v>0</v>
      </c>
      <c r="S11" s="18" t="n">
        <v>1.69208999</v>
      </c>
      <c r="T11" s="20" t="n">
        <v>0.55064904</v>
      </c>
    </row>
    <row r="12" spans="1:20">
      <c r="A12" s="15" t="s">
        <v>570</v>
      </c>
      <c r="B12" s="17" t="n">
        <v>3422</v>
      </c>
      <c r="C12" s="18">
        <f>(2664.0/B12*100)</f>
        <v/>
      </c>
      <c r="D12" s="19" t="n">
        <v>758</v>
      </c>
      <c r="E12" s="18" t="n">
        <v>30.40225556</v>
      </c>
      <c r="F12" s="20" t="n">
        <v>1.83342415</v>
      </c>
      <c r="G12" s="18" t="n">
        <v>20.93448657</v>
      </c>
      <c r="H12" s="20" t="n">
        <v>1.80616252</v>
      </c>
      <c r="I12" s="18" t="n">
        <v>47.86423718</v>
      </c>
      <c r="J12" s="20" t="n">
        <v>1.8894925</v>
      </c>
      <c r="K12" s="18" t="n">
        <v>0</v>
      </c>
      <c r="L12" s="20" t="n">
        <v>0</v>
      </c>
      <c r="M12" s="18" t="n">
        <v>0.41614942</v>
      </c>
      <c r="N12" s="20" t="n">
        <v>0.31763946</v>
      </c>
      <c r="O12" s="18" t="n">
        <v>0</v>
      </c>
      <c r="P12" s="20" t="n">
        <v>0</v>
      </c>
      <c r="Q12" s="18" t="n">
        <v>0</v>
      </c>
      <c r="R12" s="20" t="n">
        <v>0</v>
      </c>
      <c r="S12" s="18" t="n">
        <v>0.38287128</v>
      </c>
      <c r="T12" s="20" t="n">
        <v>0.2515858</v>
      </c>
    </row>
    <row r="13" spans="1:20">
      <c r="A13" s="15" t="s">
        <v>571</v>
      </c>
      <c r="B13" s="17" t="n">
        <v>3602</v>
      </c>
      <c r="C13" s="18">
        <f>(2841.0/B13*100)</f>
        <v/>
      </c>
      <c r="D13" s="19" t="n">
        <v>761</v>
      </c>
      <c r="E13" s="18" t="n">
        <v>32.26539989</v>
      </c>
      <c r="F13" s="20" t="n">
        <v>2.20943846</v>
      </c>
      <c r="G13" s="18" t="n">
        <v>16.44474495</v>
      </c>
      <c r="H13" s="20" t="n">
        <v>1.78820423</v>
      </c>
      <c r="I13" s="18" t="n">
        <v>50.53784348</v>
      </c>
      <c r="J13" s="20" t="n">
        <v>2.29342949</v>
      </c>
      <c r="K13" s="18" t="n">
        <v>0</v>
      </c>
      <c r="L13" s="20" t="n">
        <v>0</v>
      </c>
      <c r="M13" s="18" t="n">
        <v>0.30875016</v>
      </c>
      <c r="N13" s="20" t="n">
        <v>0.1923684</v>
      </c>
      <c r="O13" s="18" t="n">
        <v>0</v>
      </c>
      <c r="P13" s="20" t="n">
        <v>0</v>
      </c>
      <c r="Q13" s="18" t="n">
        <v>0</v>
      </c>
      <c r="R13" s="20" t="n">
        <v>0</v>
      </c>
      <c r="S13" s="18" t="n">
        <v>0.44326153</v>
      </c>
      <c r="T13" s="20" t="n">
        <v>0.29982776</v>
      </c>
    </row>
    <row r="14" spans="1:20">
      <c r="A14" s="15" t="s">
        <v>572</v>
      </c>
      <c r="B14" s="17" t="n">
        <v>2788</v>
      </c>
      <c r="C14" s="18">
        <f>(2187.0/B14*100)</f>
        <v/>
      </c>
      <c r="D14" s="19" t="n">
        <v>601</v>
      </c>
      <c r="E14" s="18" t="n">
        <v>25.76315619</v>
      </c>
      <c r="F14" s="20" t="n">
        <v>1.92834546</v>
      </c>
      <c r="G14" s="18" t="n">
        <v>16.46116532</v>
      </c>
      <c r="H14" s="20" t="n">
        <v>1.87976304</v>
      </c>
      <c r="I14" s="18" t="n">
        <v>57.13643261</v>
      </c>
      <c r="J14" s="20" t="n">
        <v>2.46665755</v>
      </c>
      <c r="K14" s="18" t="n">
        <v>0</v>
      </c>
      <c r="L14" s="20" t="n">
        <v>0</v>
      </c>
      <c r="M14" s="18" t="n">
        <v>0.63924588</v>
      </c>
      <c r="N14" s="20" t="n">
        <v>0.3444579</v>
      </c>
      <c r="O14" s="18" t="n">
        <v>0</v>
      </c>
      <c r="P14" s="20" t="n">
        <v>0</v>
      </c>
      <c r="Q14" s="18" t="n">
        <v>0</v>
      </c>
      <c r="R14" s="20" t="n">
        <v>0</v>
      </c>
      <c r="S14" s="18" t="n">
        <v>0</v>
      </c>
      <c r="T14" s="20" t="n">
        <v>0</v>
      </c>
    </row>
    <row r="15" spans="1:20">
      <c r="A15" s="15" t="s">
        <v>573</v>
      </c>
      <c r="B15" s="17" t="n">
        <v>2863</v>
      </c>
      <c r="C15" s="18">
        <f>(2249.0/B15*100)</f>
        <v/>
      </c>
      <c r="D15" s="19" t="n">
        <v>614</v>
      </c>
      <c r="E15" s="18" t="n">
        <v>28.43036057</v>
      </c>
      <c r="F15" s="20" t="n">
        <v>1.52636094</v>
      </c>
      <c r="G15" s="18" t="n">
        <v>24.9418193</v>
      </c>
      <c r="H15" s="20" t="n">
        <v>1.87977396</v>
      </c>
      <c r="I15" s="18" t="n">
        <v>46.46086425</v>
      </c>
      <c r="J15" s="20" t="n">
        <v>2.28189527</v>
      </c>
      <c r="K15" s="18" t="n">
        <v>0</v>
      </c>
      <c r="L15" s="20" t="n">
        <v>0</v>
      </c>
      <c r="M15" s="18" t="n">
        <v>0</v>
      </c>
      <c r="N15" s="20" t="n">
        <v>0</v>
      </c>
      <c r="O15" s="18" t="n">
        <v>0</v>
      </c>
      <c r="P15" s="20" t="n">
        <v>0</v>
      </c>
      <c r="Q15" s="18" t="n">
        <v>0</v>
      </c>
      <c r="R15" s="20" t="n">
        <v>0</v>
      </c>
      <c r="S15" s="18" t="n">
        <v>0.16695588</v>
      </c>
      <c r="T15" s="20" t="n">
        <v>0.16592823</v>
      </c>
    </row>
    <row r="16" spans="1:20">
      <c r="A16" s="15" t="s">
        <v>574</v>
      </c>
      <c r="B16" s="17" t="n">
        <v>3111</v>
      </c>
      <c r="C16" s="18">
        <f>(2451.0/B16*100)</f>
        <v/>
      </c>
      <c r="D16" s="19" t="n">
        <v>660</v>
      </c>
      <c r="E16" s="18" t="n">
        <v>36.87133532</v>
      </c>
      <c r="F16" s="20" t="n">
        <v>1.88336987</v>
      </c>
      <c r="G16" s="18" t="n">
        <v>17.02115737</v>
      </c>
      <c r="H16" s="20" t="n">
        <v>1.29782803</v>
      </c>
      <c r="I16" s="18" t="n">
        <v>44.45292262</v>
      </c>
      <c r="J16" s="20" t="n">
        <v>1.84215138</v>
      </c>
      <c r="K16" s="18" t="n">
        <v>0</v>
      </c>
      <c r="L16" s="20" t="n">
        <v>0</v>
      </c>
      <c r="M16" s="18" t="n">
        <v>0.40710348</v>
      </c>
      <c r="N16" s="20" t="n">
        <v>0.25154901</v>
      </c>
      <c r="O16" s="18" t="n">
        <v>0</v>
      </c>
      <c r="P16" s="20" t="n">
        <v>0</v>
      </c>
      <c r="Q16" s="18" t="n">
        <v>0</v>
      </c>
      <c r="R16" s="20" t="n">
        <v>0</v>
      </c>
      <c r="S16" s="18" t="n">
        <v>1.2474812</v>
      </c>
      <c r="T16" s="20" t="n">
        <v>0.58178785</v>
      </c>
    </row>
    <row r="17" spans="1:20">
      <c r="A17" s="15" t="s">
        <v>575</v>
      </c>
      <c r="B17" s="17" t="n">
        <v>3197</v>
      </c>
      <c r="C17" s="18">
        <f>(2475.0/B17*100)</f>
        <v/>
      </c>
      <c r="D17" s="19" t="n">
        <v>722</v>
      </c>
      <c r="E17" s="18" t="n">
        <v>37.06220857</v>
      </c>
      <c r="F17" s="20" t="n">
        <v>1.97242384</v>
      </c>
      <c r="G17" s="18" t="n">
        <v>17.92990788</v>
      </c>
      <c r="H17" s="20" t="n">
        <v>1.36062018</v>
      </c>
      <c r="I17" s="18" t="n">
        <v>44.38928251</v>
      </c>
      <c r="J17" s="20" t="n">
        <v>1.96403706</v>
      </c>
      <c r="K17" s="18" t="n">
        <v>0</v>
      </c>
      <c r="L17" s="20" t="n">
        <v>0</v>
      </c>
      <c r="M17" s="18" t="n">
        <v>0.1331358</v>
      </c>
      <c r="N17" s="20" t="n">
        <v>0.09417498000000001</v>
      </c>
      <c r="O17" s="18" t="n">
        <v>0</v>
      </c>
      <c r="P17" s="20" t="n">
        <v>0</v>
      </c>
      <c r="Q17" s="18" t="n">
        <v>0</v>
      </c>
      <c r="R17" s="20" t="n">
        <v>0</v>
      </c>
      <c r="S17" s="18" t="n">
        <v>0.48546524</v>
      </c>
      <c r="T17" s="20" t="n">
        <v>0.24591671</v>
      </c>
    </row>
    <row r="18" spans="1:20">
      <c r="A18" s="15" t="s">
        <v>576</v>
      </c>
      <c r="B18" s="17" t="n">
        <v>2706</v>
      </c>
      <c r="C18" s="18">
        <f>(2094.0/B18*100)</f>
        <v/>
      </c>
      <c r="D18" s="19" t="n">
        <v>612</v>
      </c>
      <c r="E18" s="18" t="n">
        <v>47.06348923</v>
      </c>
      <c r="F18" s="20" t="n">
        <v>2.53786358</v>
      </c>
      <c r="G18" s="18" t="n">
        <v>16.34732033</v>
      </c>
      <c r="H18" s="20" t="n">
        <v>1.39754703</v>
      </c>
      <c r="I18" s="18" t="n">
        <v>34.84440096</v>
      </c>
      <c r="J18" s="20" t="n">
        <v>2.53952023</v>
      </c>
      <c r="K18" s="18" t="n">
        <v>0</v>
      </c>
      <c r="L18" s="20" t="n">
        <v>0</v>
      </c>
      <c r="M18" s="18" t="n">
        <v>0.95930584</v>
      </c>
      <c r="N18" s="20" t="n">
        <v>0.48818635</v>
      </c>
      <c r="O18" s="18" t="n">
        <v>0</v>
      </c>
      <c r="P18" s="20" t="n">
        <v>0</v>
      </c>
      <c r="Q18" s="18" t="n">
        <v>0</v>
      </c>
      <c r="R18" s="20" t="n">
        <v>0</v>
      </c>
      <c r="S18" s="18" t="n">
        <v>0.78548364</v>
      </c>
      <c r="T18" s="20" t="n">
        <v>0.4868939</v>
      </c>
    </row>
    <row r="19" spans="1:20">
      <c r="A19" s="15" t="s">
        <v>577</v>
      </c>
      <c r="B19" s="17" t="n">
        <v>2850</v>
      </c>
      <c r="C19" s="18">
        <f>(2274.0/B19*100)</f>
        <v/>
      </c>
      <c r="D19" s="19" t="n">
        <v>576</v>
      </c>
      <c r="E19" s="18" t="n">
        <v>46.44871858</v>
      </c>
      <c r="F19" s="20" t="n">
        <v>2.55754809</v>
      </c>
      <c r="G19" s="18" t="n">
        <v>18.32781226</v>
      </c>
      <c r="H19" s="20" t="n">
        <v>1.68318181</v>
      </c>
      <c r="I19" s="18" t="n">
        <v>34.76772215</v>
      </c>
      <c r="J19" s="20" t="n">
        <v>2.20707619</v>
      </c>
      <c r="K19" s="18" t="n">
        <v>0</v>
      </c>
      <c r="L19" s="20" t="n">
        <v>0</v>
      </c>
      <c r="M19" s="18" t="n">
        <v>0.14816075</v>
      </c>
      <c r="N19" s="20" t="n">
        <v>0.1061433</v>
      </c>
      <c r="O19" s="18" t="n">
        <v>0</v>
      </c>
      <c r="P19" s="20" t="n">
        <v>0</v>
      </c>
      <c r="Q19" s="18" t="n">
        <v>0</v>
      </c>
      <c r="R19" s="20" t="n">
        <v>0</v>
      </c>
      <c r="S19" s="18" t="n">
        <v>0.30758626</v>
      </c>
      <c r="T19" s="20" t="n">
        <v>0.29301492</v>
      </c>
    </row>
    <row r="20" spans="1:20">
      <c r="A20" s="15" t="s">
        <v>578</v>
      </c>
      <c r="B20" s="17" t="n">
        <v>1741</v>
      </c>
      <c r="C20" s="18">
        <f>(1377.0/B20*100)</f>
        <v/>
      </c>
      <c r="D20" s="19" t="n">
        <v>364</v>
      </c>
      <c r="E20" s="18" t="n">
        <v>49.86501862</v>
      </c>
      <c r="F20" s="20" t="n">
        <v>2.60405564</v>
      </c>
      <c r="G20" s="18" t="n">
        <v>24.88534246</v>
      </c>
      <c r="H20" s="20" t="n">
        <v>2.21393357</v>
      </c>
      <c r="I20" s="18" t="n">
        <v>23.67716679</v>
      </c>
      <c r="J20" s="20" t="n">
        <v>2.24736918</v>
      </c>
      <c r="K20" s="18" t="n">
        <v>0</v>
      </c>
      <c r="L20" s="20" t="n">
        <v>0</v>
      </c>
      <c r="M20" s="18" t="n">
        <v>0</v>
      </c>
      <c r="N20" s="20" t="n">
        <v>0</v>
      </c>
      <c r="O20" s="18" t="n">
        <v>0</v>
      </c>
      <c r="P20" s="20" t="n">
        <v>0</v>
      </c>
      <c r="Q20" s="18" t="n">
        <v>0</v>
      </c>
      <c r="R20" s="20" t="n">
        <v>0</v>
      </c>
      <c r="S20" s="18" t="n">
        <v>1.57247213</v>
      </c>
      <c r="T20" s="20" t="n">
        <v>0.71030186</v>
      </c>
    </row>
    <row r="21" spans="1:20">
      <c r="A21" s="15" t="s">
        <v>579</v>
      </c>
      <c r="B21" s="17" t="n">
        <v>2833</v>
      </c>
      <c r="C21" s="18">
        <f>(2184.0/B21*100)</f>
        <v/>
      </c>
      <c r="D21" s="19" t="n">
        <v>649</v>
      </c>
      <c r="E21" s="18" t="n">
        <v>36.9868689</v>
      </c>
      <c r="F21" s="20" t="n">
        <v>2.16223515</v>
      </c>
      <c r="G21" s="18" t="n">
        <v>25.86677171</v>
      </c>
      <c r="H21" s="20" t="n">
        <v>2.51951004</v>
      </c>
      <c r="I21" s="18" t="n">
        <v>36.99971551</v>
      </c>
      <c r="J21" s="20" t="n">
        <v>1.84730841</v>
      </c>
      <c r="K21" s="18" t="n">
        <v>0</v>
      </c>
      <c r="L21" s="20" t="n">
        <v>0</v>
      </c>
      <c r="M21" s="18" t="n">
        <v>0.14664387</v>
      </c>
      <c r="N21" s="20" t="n">
        <v>0.14589231</v>
      </c>
      <c r="O21" s="18" t="n">
        <v>0</v>
      </c>
      <c r="P21" s="20" t="n">
        <v>0</v>
      </c>
      <c r="Q21" s="18" t="n">
        <v>0</v>
      </c>
      <c r="R21" s="20" t="n">
        <v>0</v>
      </c>
      <c r="S21" s="18" t="n">
        <v>0</v>
      </c>
      <c r="T21" s="20" t="n">
        <v>0</v>
      </c>
    </row>
    <row r="22" spans="1:20">
      <c r="A22" s="15" t="s">
        <v>580</v>
      </c>
      <c r="B22" s="17" t="n">
        <v>3667</v>
      </c>
      <c r="C22" s="18">
        <f>(2838.0/B22*100)</f>
        <v/>
      </c>
      <c r="D22" s="19" t="n">
        <v>829</v>
      </c>
      <c r="E22" s="18" t="n">
        <v>40.06080065</v>
      </c>
      <c r="F22" s="20" t="n">
        <v>1.89021173</v>
      </c>
      <c r="G22" s="18" t="n">
        <v>21.71267937</v>
      </c>
      <c r="H22" s="20" t="n">
        <v>1.32382883</v>
      </c>
      <c r="I22" s="18" t="n">
        <v>36.55802768</v>
      </c>
      <c r="J22" s="20" t="n">
        <v>1.77375727</v>
      </c>
      <c r="K22" s="18" t="n">
        <v>0</v>
      </c>
      <c r="L22" s="20" t="n">
        <v>0</v>
      </c>
      <c r="M22" s="18" t="n">
        <v>0.47682469</v>
      </c>
      <c r="N22" s="20" t="n">
        <v>0.28798211</v>
      </c>
      <c r="O22" s="18" t="n">
        <v>0</v>
      </c>
      <c r="P22" s="20" t="n">
        <v>0</v>
      </c>
      <c r="Q22" s="18" t="n">
        <v>0</v>
      </c>
      <c r="R22" s="20" t="n">
        <v>0</v>
      </c>
      <c r="S22" s="18" t="n">
        <v>1.19166761</v>
      </c>
      <c r="T22" s="20" t="n">
        <v>0.5027126200000001</v>
      </c>
    </row>
    <row r="23" spans="1:20">
      <c r="A23" s="15" t="s">
        <v>581</v>
      </c>
      <c r="B23" s="17" t="n">
        <v>5792</v>
      </c>
      <c r="C23" s="18">
        <f>(4525.0/B23*100)</f>
        <v/>
      </c>
      <c r="D23" s="19" t="n">
        <v>1267</v>
      </c>
      <c r="E23" s="18" t="n">
        <v>33.9195211</v>
      </c>
      <c r="F23" s="20" t="n">
        <v>2.02589971</v>
      </c>
      <c r="G23" s="18" t="n">
        <v>14.92724311</v>
      </c>
      <c r="H23" s="20" t="n">
        <v>1.50769968</v>
      </c>
      <c r="I23" s="18" t="n">
        <v>50.16393801</v>
      </c>
      <c r="J23" s="20" t="n">
        <v>1.98570531</v>
      </c>
      <c r="K23" s="18" t="n">
        <v>0</v>
      </c>
      <c r="L23" s="20" t="n">
        <v>0</v>
      </c>
      <c r="M23" s="18" t="n">
        <v>0.4566193</v>
      </c>
      <c r="N23" s="20" t="n">
        <v>0.25815496</v>
      </c>
      <c r="O23" s="18" t="n">
        <v>0</v>
      </c>
      <c r="P23" s="20" t="n">
        <v>0</v>
      </c>
      <c r="Q23" s="18" t="n">
        <v>0</v>
      </c>
      <c r="R23" s="20" t="n">
        <v>0</v>
      </c>
      <c r="S23" s="18" t="n">
        <v>0.53267848</v>
      </c>
      <c r="T23" s="20" t="n">
        <v>0.29938995</v>
      </c>
    </row>
    <row r="24" spans="1:20">
      <c r="A24" s="15" t="s">
        <v>582</v>
      </c>
      <c r="B24" s="17" t="n">
        <v>3309</v>
      </c>
      <c r="C24" s="18">
        <f>(2534.0/B24*100)</f>
        <v/>
      </c>
      <c r="D24" s="19" t="n">
        <v>775</v>
      </c>
      <c r="E24" s="18" t="n">
        <v>27.69624045</v>
      </c>
      <c r="F24" s="20" t="n">
        <v>1.72893909</v>
      </c>
      <c r="G24" s="18" t="n">
        <v>25.65624543</v>
      </c>
      <c r="H24" s="20" t="n">
        <v>1.4053367</v>
      </c>
      <c r="I24" s="18" t="n">
        <v>45.86191705</v>
      </c>
      <c r="J24" s="20" t="n">
        <v>2.15450763</v>
      </c>
      <c r="K24" s="18" t="n">
        <v>0</v>
      </c>
      <c r="L24" s="20" t="n">
        <v>0</v>
      </c>
      <c r="M24" s="18" t="n">
        <v>0.24964852</v>
      </c>
      <c r="N24" s="20" t="n">
        <v>0.17740494</v>
      </c>
      <c r="O24" s="18" t="n">
        <v>0</v>
      </c>
      <c r="P24" s="20" t="n">
        <v>0</v>
      </c>
      <c r="Q24" s="18" t="n">
        <v>0</v>
      </c>
      <c r="R24" s="20" t="n">
        <v>0</v>
      </c>
      <c r="S24" s="18" t="n">
        <v>0.53594855</v>
      </c>
      <c r="T24" s="20" t="n">
        <v>0.27211935</v>
      </c>
    </row>
    <row r="25" spans="1:20">
      <c r="A25" s="15" t="s">
        <v>583</v>
      </c>
      <c r="B25" s="17" t="n">
        <v>2669</v>
      </c>
      <c r="C25" s="18">
        <f>(2087.0/B25*100)</f>
        <v/>
      </c>
      <c r="D25" s="19" t="n">
        <v>582</v>
      </c>
      <c r="E25" s="18" t="n">
        <v>42.84983073</v>
      </c>
      <c r="F25" s="20" t="n">
        <v>2.31621057</v>
      </c>
      <c r="G25" s="18" t="n">
        <v>21.21086656</v>
      </c>
      <c r="H25" s="20" t="n">
        <v>1.74811459</v>
      </c>
      <c r="I25" s="18" t="n">
        <v>35.4156538</v>
      </c>
      <c r="J25" s="20" t="n">
        <v>2.00261467</v>
      </c>
      <c r="K25" s="18" t="n">
        <v>0</v>
      </c>
      <c r="L25" s="20" t="n">
        <v>0</v>
      </c>
      <c r="M25" s="18" t="n">
        <v>0.16309914</v>
      </c>
      <c r="N25" s="20" t="n">
        <v>0.16277181</v>
      </c>
      <c r="O25" s="18" t="n">
        <v>0</v>
      </c>
      <c r="P25" s="20" t="n">
        <v>0</v>
      </c>
      <c r="Q25" s="18" t="n">
        <v>0</v>
      </c>
      <c r="R25" s="20" t="n">
        <v>0</v>
      </c>
      <c r="S25" s="18" t="n">
        <v>0.36054977</v>
      </c>
      <c r="T25" s="20" t="n">
        <v>0.25724375</v>
      </c>
    </row>
    <row r="26" spans="1:20">
      <c r="A26" s="15" t="s">
        <v>584</v>
      </c>
      <c r="B26" s="17" t="n">
        <v>2419</v>
      </c>
      <c r="C26" s="18">
        <f>(1894.0/B26*100)</f>
        <v/>
      </c>
      <c r="D26" s="19" t="n">
        <v>525</v>
      </c>
      <c r="E26" s="18" t="n">
        <v>37.51753039</v>
      </c>
      <c r="F26" s="20" t="n">
        <v>2.16666774</v>
      </c>
      <c r="G26" s="18" t="n">
        <v>14.83999235</v>
      </c>
      <c r="H26" s="20" t="n">
        <v>1.60809277</v>
      </c>
      <c r="I26" s="18" t="n">
        <v>47.46544326</v>
      </c>
      <c r="J26" s="20" t="n">
        <v>2.45156806</v>
      </c>
      <c r="K26" s="18" t="n">
        <v>0</v>
      </c>
      <c r="L26" s="20" t="n">
        <v>0</v>
      </c>
      <c r="M26" s="18" t="n">
        <v>0.17703401</v>
      </c>
      <c r="N26" s="20" t="n">
        <v>0.17244386</v>
      </c>
      <c r="O26" s="18" t="n">
        <v>0</v>
      </c>
      <c r="P26" s="20" t="n">
        <v>0</v>
      </c>
      <c r="Q26" s="18" t="n">
        <v>0</v>
      </c>
      <c r="R26" s="20" t="n">
        <v>0</v>
      </c>
      <c r="S26" s="18" t="n">
        <v>0</v>
      </c>
      <c r="T26" s="20" t="n">
        <v>0</v>
      </c>
    </row>
    <row r="27" spans="1:20">
      <c r="A27" s="15" t="s">
        <v>585</v>
      </c>
      <c r="B27" s="17" t="n">
        <v>2683</v>
      </c>
      <c r="C27" s="18">
        <f>(2064.0/B27*100)</f>
        <v/>
      </c>
      <c r="D27" s="19" t="n">
        <v>619</v>
      </c>
      <c r="E27" s="18" t="n">
        <v>39.18770017</v>
      </c>
      <c r="F27" s="20" t="n">
        <v>1.96935494</v>
      </c>
      <c r="G27" s="18" t="n">
        <v>19.65551558</v>
      </c>
      <c r="H27" s="20" t="n">
        <v>1.56020588</v>
      </c>
      <c r="I27" s="18" t="n">
        <v>40.68100022</v>
      </c>
      <c r="J27" s="20" t="n">
        <v>2.00231371</v>
      </c>
      <c r="K27" s="18" t="n">
        <v>0</v>
      </c>
      <c r="L27" s="20" t="n">
        <v>0</v>
      </c>
      <c r="M27" s="18" t="n">
        <v>0.15535805</v>
      </c>
      <c r="N27" s="20" t="n">
        <v>0.15529128</v>
      </c>
      <c r="O27" s="18" t="n">
        <v>0</v>
      </c>
      <c r="P27" s="20" t="n">
        <v>0</v>
      </c>
      <c r="Q27" s="18" t="n">
        <v>0</v>
      </c>
      <c r="R27" s="20" t="n">
        <v>0</v>
      </c>
      <c r="S27" s="18" t="n">
        <v>0.32042598</v>
      </c>
      <c r="T27" s="20" t="n">
        <v>0.22750445</v>
      </c>
    </row>
    <row r="28" spans="1:20">
      <c r="A28" s="15" t="s">
        <v>586</v>
      </c>
      <c r="B28" s="17" t="n">
        <v>3803</v>
      </c>
      <c r="C28" s="18">
        <f>(3057.0/B28*100)</f>
        <v/>
      </c>
      <c r="D28" s="19" t="n">
        <v>746</v>
      </c>
      <c r="E28" s="18" t="n">
        <v>57.88051556</v>
      </c>
      <c r="F28" s="20" t="n">
        <v>1.94397248</v>
      </c>
      <c r="G28" s="18" t="n">
        <v>13.38340912</v>
      </c>
      <c r="H28" s="20" t="n">
        <v>1.34282034</v>
      </c>
      <c r="I28" s="18" t="n">
        <v>27.73979905</v>
      </c>
      <c r="J28" s="20" t="n">
        <v>1.93976678</v>
      </c>
      <c r="K28" s="18" t="n">
        <v>0</v>
      </c>
      <c r="L28" s="20" t="n">
        <v>0</v>
      </c>
      <c r="M28" s="18" t="n">
        <v>0.88510258</v>
      </c>
      <c r="N28" s="20" t="n">
        <v>0.41347577</v>
      </c>
      <c r="O28" s="18" t="n">
        <v>0</v>
      </c>
      <c r="P28" s="20" t="n">
        <v>0</v>
      </c>
      <c r="Q28" s="18" t="n">
        <v>0</v>
      </c>
      <c r="R28" s="20" t="n">
        <v>0</v>
      </c>
      <c r="S28" s="18" t="n">
        <v>0.11117369</v>
      </c>
      <c r="T28" s="20" t="n">
        <v>0.11110015</v>
      </c>
    </row>
    <row r="29" spans="1:20">
      <c r="A29" s="15" t="s">
        <v>587</v>
      </c>
      <c r="B29" s="17" t="n">
        <v>2700</v>
      </c>
      <c r="C29" s="18">
        <f>(2118.0/B29*100)</f>
        <v/>
      </c>
      <c r="D29" s="19" t="n">
        <v>582</v>
      </c>
      <c r="E29" s="18" t="n">
        <v>31.63889783</v>
      </c>
      <c r="F29" s="20" t="n">
        <v>1.89562333</v>
      </c>
      <c r="G29" s="18" t="n">
        <v>20.87785526</v>
      </c>
      <c r="H29" s="20" t="n">
        <v>1.46933777</v>
      </c>
      <c r="I29" s="18" t="n">
        <v>47.31623235</v>
      </c>
      <c r="J29" s="20" t="n">
        <v>1.89874954</v>
      </c>
      <c r="K29" s="18" t="n">
        <v>0</v>
      </c>
      <c r="L29" s="20" t="n">
        <v>0</v>
      </c>
      <c r="M29" s="18" t="n">
        <v>0</v>
      </c>
      <c r="N29" s="20" t="n">
        <v>0</v>
      </c>
      <c r="O29" s="18" t="n">
        <v>0</v>
      </c>
      <c r="P29" s="20" t="n">
        <v>0</v>
      </c>
      <c r="Q29" s="18" t="n">
        <v>0</v>
      </c>
      <c r="R29" s="20" t="n">
        <v>0</v>
      </c>
      <c r="S29" s="18" t="n">
        <v>0.16701456</v>
      </c>
      <c r="T29" s="20" t="n">
        <v>0.16725605</v>
      </c>
    </row>
    <row r="30" spans="1:20">
      <c r="A30" s="15" t="s">
        <v>588</v>
      </c>
      <c r="B30" s="17" t="n">
        <v>2257</v>
      </c>
      <c r="C30" s="18">
        <f>(1798.0/B30*100)</f>
        <v/>
      </c>
      <c r="D30" s="19" t="n">
        <v>459</v>
      </c>
      <c r="E30" s="18" t="n">
        <v>27.6034094</v>
      </c>
      <c r="F30" s="20" t="n">
        <v>2.2510256</v>
      </c>
      <c r="G30" s="18" t="n">
        <v>20.31924312</v>
      </c>
      <c r="H30" s="20" t="n">
        <v>1.95267868</v>
      </c>
      <c r="I30" s="18" t="n">
        <v>51.6052345</v>
      </c>
      <c r="J30" s="20" t="n">
        <v>2.68011476</v>
      </c>
      <c r="K30" s="18" t="n">
        <v>0</v>
      </c>
      <c r="L30" s="20" t="n">
        <v>0</v>
      </c>
      <c r="M30" s="18" t="n">
        <v>0</v>
      </c>
      <c r="N30" s="20" t="n">
        <v>0</v>
      </c>
      <c r="O30" s="18" t="n">
        <v>0</v>
      </c>
      <c r="P30" s="20" t="n">
        <v>0</v>
      </c>
      <c r="Q30" s="18" t="n">
        <v>0</v>
      </c>
      <c r="R30" s="20" t="n">
        <v>0</v>
      </c>
      <c r="S30" s="18" t="n">
        <v>0.47211299</v>
      </c>
      <c r="T30" s="20" t="n">
        <v>0.53957216</v>
      </c>
    </row>
    <row r="31" spans="1:20">
      <c r="A31" s="15" t="s">
        <v>589</v>
      </c>
      <c r="B31" s="17" t="n">
        <v>2706</v>
      </c>
      <c r="C31" s="18">
        <f>(2120.0/B31*100)</f>
        <v/>
      </c>
      <c r="D31" s="19" t="n">
        <v>586</v>
      </c>
      <c r="E31" s="18" t="n">
        <v>31.02004227</v>
      </c>
      <c r="F31" s="20" t="n">
        <v>1.97322775</v>
      </c>
      <c r="G31" s="18" t="n">
        <v>16.91068887</v>
      </c>
      <c r="H31" s="20" t="n">
        <v>1.95000033</v>
      </c>
      <c r="I31" s="18" t="n">
        <v>50.58143268</v>
      </c>
      <c r="J31" s="20" t="n">
        <v>2.22415225</v>
      </c>
      <c r="K31" s="18" t="n">
        <v>0</v>
      </c>
      <c r="L31" s="20" t="n">
        <v>0</v>
      </c>
      <c r="M31" s="18" t="n">
        <v>0.6440988600000001</v>
      </c>
      <c r="N31" s="20" t="n">
        <v>0.31375428</v>
      </c>
      <c r="O31" s="18" t="n">
        <v>0</v>
      </c>
      <c r="P31" s="20" t="n">
        <v>0</v>
      </c>
      <c r="Q31" s="18" t="n">
        <v>0</v>
      </c>
      <c r="R31" s="20" t="n">
        <v>0</v>
      </c>
      <c r="S31" s="18" t="n">
        <v>0.84373732</v>
      </c>
      <c r="T31" s="20" t="n">
        <v>0.38899197</v>
      </c>
    </row>
    <row r="32" spans="1:20">
      <c r="A32" s="15" t="s">
        <v>590</v>
      </c>
      <c r="B32" s="17" t="n">
        <v>2209</v>
      </c>
      <c r="C32" s="18">
        <f>(1758.0/B32*100)</f>
        <v/>
      </c>
      <c r="D32" s="19" t="n">
        <v>451</v>
      </c>
      <c r="E32" s="18" t="n">
        <v>31.00735978</v>
      </c>
      <c r="F32" s="20" t="n">
        <v>2.15157441</v>
      </c>
      <c r="G32" s="18" t="n">
        <v>19.95569094</v>
      </c>
      <c r="H32" s="20" t="n">
        <v>2.08792787</v>
      </c>
      <c r="I32" s="18" t="n">
        <v>48.83593934</v>
      </c>
      <c r="J32" s="20" t="n">
        <v>2.58822813</v>
      </c>
      <c r="K32" s="18" t="n">
        <v>0</v>
      </c>
      <c r="L32" s="20" t="n">
        <v>0</v>
      </c>
      <c r="M32" s="18" t="n">
        <v>0</v>
      </c>
      <c r="N32" s="20" t="n">
        <v>0</v>
      </c>
      <c r="O32" s="18" t="n">
        <v>0</v>
      </c>
      <c r="P32" s="20" t="n">
        <v>0</v>
      </c>
      <c r="Q32" s="18" t="n">
        <v>0</v>
      </c>
      <c r="R32" s="20" t="n">
        <v>0</v>
      </c>
      <c r="S32" s="18" t="n">
        <v>0.20100994</v>
      </c>
      <c r="T32" s="20" t="n">
        <v>0.20545443</v>
      </c>
    </row>
    <row r="33" spans="1:20">
      <c r="A33" s="15" t="s">
        <v>591</v>
      </c>
      <c r="B33" s="17" t="n">
        <v>3651</v>
      </c>
      <c r="C33" s="18">
        <f>(2915.0/B33*100)</f>
        <v/>
      </c>
      <c r="D33" s="19" t="n">
        <v>736</v>
      </c>
      <c r="E33" s="18" t="n">
        <v>33.96536958</v>
      </c>
      <c r="F33" s="20" t="n">
        <v>2.43477905</v>
      </c>
      <c r="G33" s="18" t="n">
        <v>23.6744108</v>
      </c>
      <c r="H33" s="20" t="n">
        <v>1.92075798</v>
      </c>
      <c r="I33" s="18" t="n">
        <v>41.52978818</v>
      </c>
      <c r="J33" s="20" t="n">
        <v>2.26859731</v>
      </c>
      <c r="K33" s="18" t="n">
        <v>0</v>
      </c>
      <c r="L33" s="20" t="n">
        <v>0</v>
      </c>
      <c r="M33" s="18" t="n">
        <v>0.39705838</v>
      </c>
      <c r="N33" s="20" t="n">
        <v>0.26467307</v>
      </c>
      <c r="O33" s="18" t="n">
        <v>0</v>
      </c>
      <c r="P33" s="20" t="n">
        <v>0</v>
      </c>
      <c r="Q33" s="18" t="n">
        <v>0</v>
      </c>
      <c r="R33" s="20" t="n">
        <v>0</v>
      </c>
      <c r="S33" s="18" t="n">
        <v>0.43337307</v>
      </c>
      <c r="T33" s="20" t="n">
        <v>0.2064255</v>
      </c>
    </row>
    <row r="34" spans="1:20">
      <c r="A34" s="15" t="s">
        <v>592</v>
      </c>
      <c r="B34" s="17" t="n">
        <v>3035</v>
      </c>
      <c r="C34" s="18">
        <f>(2389.0/B34*100)</f>
        <v/>
      </c>
      <c r="D34" s="19" t="n">
        <v>646</v>
      </c>
      <c r="E34" s="18" t="n">
        <v>41.06863446</v>
      </c>
      <c r="F34" s="20" t="n">
        <v>2.00934554</v>
      </c>
      <c r="G34" s="18" t="n">
        <v>18.59774265</v>
      </c>
      <c r="H34" s="20" t="n">
        <v>1.68758331</v>
      </c>
      <c r="I34" s="18" t="n">
        <v>39.82830896</v>
      </c>
      <c r="J34" s="20" t="n">
        <v>1.84095113</v>
      </c>
      <c r="K34" s="18" t="n">
        <v>0</v>
      </c>
      <c r="L34" s="20" t="n">
        <v>0</v>
      </c>
      <c r="M34" s="18" t="n">
        <v>0.15998635</v>
      </c>
      <c r="N34" s="20" t="n">
        <v>0.22745753</v>
      </c>
      <c r="O34" s="18" t="n">
        <v>0</v>
      </c>
      <c r="P34" s="20" t="n">
        <v>0</v>
      </c>
      <c r="Q34" s="18" t="n">
        <v>0</v>
      </c>
      <c r="R34" s="20" t="n">
        <v>0</v>
      </c>
      <c r="S34" s="18" t="n">
        <v>0.34532759</v>
      </c>
      <c r="T34" s="20" t="n">
        <v>0.27574943</v>
      </c>
    </row>
    <row r="35" spans="1:20">
      <c r="A35" s="15" t="s">
        <v>593</v>
      </c>
      <c r="B35" s="17" t="n">
        <v>2901</v>
      </c>
      <c r="C35" s="18">
        <f>(2248.0/B35*100)</f>
        <v/>
      </c>
      <c r="D35" s="19" t="n">
        <v>653</v>
      </c>
      <c r="E35" s="18" t="n">
        <v>27.51701213</v>
      </c>
      <c r="F35" s="20" t="n">
        <v>2.07947281</v>
      </c>
      <c r="G35" s="18" t="n">
        <v>16.43286976</v>
      </c>
      <c r="H35" s="20" t="n">
        <v>1.78901797</v>
      </c>
      <c r="I35" s="18" t="n">
        <v>55.90033181</v>
      </c>
      <c r="J35" s="20" t="n">
        <v>2.10648875</v>
      </c>
      <c r="K35" s="18" t="n">
        <v>0</v>
      </c>
      <c r="L35" s="20" t="n">
        <v>0</v>
      </c>
      <c r="M35" s="18" t="n">
        <v>0</v>
      </c>
      <c r="N35" s="20" t="n">
        <v>0</v>
      </c>
      <c r="O35" s="18" t="n">
        <v>0</v>
      </c>
      <c r="P35" s="20" t="n">
        <v>0</v>
      </c>
      <c r="Q35" s="18" t="n">
        <v>0</v>
      </c>
      <c r="R35" s="20" t="n">
        <v>0</v>
      </c>
      <c r="S35" s="18" t="n">
        <v>0.1497863</v>
      </c>
      <c r="T35" s="20" t="n">
        <v>0.10545297</v>
      </c>
    </row>
    <row r="36" spans="1:20">
      <c r="A36" s="15" t="s">
        <v>594</v>
      </c>
      <c r="B36" s="17" t="n">
        <v>3404</v>
      </c>
      <c r="C36" s="18">
        <f>(2681.0/B36*100)</f>
        <v/>
      </c>
      <c r="D36" s="19" t="n">
        <v>723</v>
      </c>
      <c r="E36" s="18" t="n">
        <v>34.97111193</v>
      </c>
      <c r="F36" s="20" t="n">
        <v>2.0907714</v>
      </c>
      <c r="G36" s="18" t="n">
        <v>19.65864251</v>
      </c>
      <c r="H36" s="20" t="n">
        <v>1.44520413</v>
      </c>
      <c r="I36" s="18" t="n">
        <v>44.69644833</v>
      </c>
      <c r="J36" s="20" t="n">
        <v>2.17183029</v>
      </c>
      <c r="K36" s="18" t="n">
        <v>0</v>
      </c>
      <c r="L36" s="20" t="n">
        <v>0</v>
      </c>
      <c r="M36" s="18" t="n">
        <v>0.17187089</v>
      </c>
      <c r="N36" s="20" t="n">
        <v>0.17987529</v>
      </c>
      <c r="O36" s="18" t="n">
        <v>0</v>
      </c>
      <c r="P36" s="20" t="n">
        <v>0</v>
      </c>
      <c r="Q36" s="18" t="n">
        <v>0</v>
      </c>
      <c r="R36" s="20" t="n">
        <v>0</v>
      </c>
      <c r="S36" s="18" t="n">
        <v>0.50192635</v>
      </c>
      <c r="T36" s="20" t="n">
        <v>0.23399779</v>
      </c>
    </row>
    <row r="37" spans="1:20">
      <c r="A37" s="15" t="s">
        <v>595</v>
      </c>
      <c r="B37" s="17" t="n">
        <v>2731</v>
      </c>
      <c r="C37" s="18">
        <f>(2156.0/B37*100)</f>
        <v/>
      </c>
      <c r="D37" s="19" t="n">
        <v>575</v>
      </c>
      <c r="E37" s="18" t="n">
        <v>40.68611236</v>
      </c>
      <c r="F37" s="20" t="n">
        <v>2.16807865</v>
      </c>
      <c r="G37" s="18" t="n">
        <v>21.41849447</v>
      </c>
      <c r="H37" s="20" t="n">
        <v>1.79145015</v>
      </c>
      <c r="I37" s="18" t="n">
        <v>36.06235972</v>
      </c>
      <c r="J37" s="20" t="n">
        <v>1.95339035</v>
      </c>
      <c r="K37" s="18" t="n">
        <v>0</v>
      </c>
      <c r="L37" s="20" t="n">
        <v>0</v>
      </c>
      <c r="M37" s="18" t="n">
        <v>0.44395977</v>
      </c>
      <c r="N37" s="20" t="n">
        <v>0.25580208</v>
      </c>
      <c r="O37" s="18" t="n">
        <v>0</v>
      </c>
      <c r="P37" s="20" t="n">
        <v>0</v>
      </c>
      <c r="Q37" s="18" t="n">
        <v>0</v>
      </c>
      <c r="R37" s="20" t="n">
        <v>0</v>
      </c>
      <c r="S37" s="18" t="n">
        <v>1.38907368</v>
      </c>
      <c r="T37" s="20" t="n">
        <v>0.56500677</v>
      </c>
    </row>
    <row r="38" spans="1:20">
      <c r="A38" s="15" t="s">
        <v>596</v>
      </c>
      <c r="B38" s="17" t="n">
        <v>2807</v>
      </c>
      <c r="C38" s="18">
        <f>(2174.0/B38*100)</f>
        <v/>
      </c>
      <c r="D38" s="19" t="n">
        <v>633</v>
      </c>
      <c r="E38" s="18" t="n">
        <v>31.78676907</v>
      </c>
      <c r="F38" s="20" t="n">
        <v>1.86846127</v>
      </c>
      <c r="G38" s="18" t="n">
        <v>26.0722227</v>
      </c>
      <c r="H38" s="20" t="n">
        <v>1.63862529</v>
      </c>
      <c r="I38" s="18" t="n">
        <v>41.67600375</v>
      </c>
      <c r="J38" s="20" t="n">
        <v>1.75999026</v>
      </c>
      <c r="K38" s="18" t="n">
        <v>0</v>
      </c>
      <c r="L38" s="20" t="n">
        <v>0</v>
      </c>
      <c r="M38" s="18" t="n">
        <v>0.03075175</v>
      </c>
      <c r="N38" s="20" t="n">
        <v>0.02982123</v>
      </c>
      <c r="O38" s="18" t="n">
        <v>0</v>
      </c>
      <c r="P38" s="20" t="n">
        <v>0</v>
      </c>
      <c r="Q38" s="18" t="n">
        <v>0</v>
      </c>
      <c r="R38" s="20" t="n">
        <v>0</v>
      </c>
      <c r="S38" s="18" t="n">
        <v>0.43425273</v>
      </c>
      <c r="T38" s="20" t="n">
        <v>0.14392724</v>
      </c>
    </row>
    <row r="39" spans="1:20">
      <c r="A39" s="15" t="s">
        <v>597</v>
      </c>
      <c r="B39" s="17" t="n">
        <v>2938</v>
      </c>
      <c r="C39" s="18">
        <f>(2274.0/B39*100)</f>
        <v/>
      </c>
      <c r="D39" s="19" t="n">
        <v>664</v>
      </c>
      <c r="E39" s="18" t="n">
        <v>43.81960225</v>
      </c>
      <c r="F39" s="20" t="n">
        <v>1.80391228</v>
      </c>
      <c r="G39" s="18" t="n">
        <v>18.0298019</v>
      </c>
      <c r="H39" s="20" t="n">
        <v>1.63342832</v>
      </c>
      <c r="I39" s="18" t="n">
        <v>37.17894383</v>
      </c>
      <c r="J39" s="20" t="n">
        <v>2.08606458</v>
      </c>
      <c r="K39" s="18" t="n">
        <v>0</v>
      </c>
      <c r="L39" s="20" t="n">
        <v>0</v>
      </c>
      <c r="M39" s="18" t="n">
        <v>0</v>
      </c>
      <c r="N39" s="20" t="n">
        <v>0</v>
      </c>
      <c r="O39" s="18" t="n">
        <v>0</v>
      </c>
      <c r="P39" s="20" t="n">
        <v>0</v>
      </c>
      <c r="Q39" s="18" t="n">
        <v>0</v>
      </c>
      <c r="R39" s="20" t="n">
        <v>0</v>
      </c>
      <c r="S39" s="18" t="n">
        <v>0.9716520199999999</v>
      </c>
      <c r="T39" s="20" t="n">
        <v>0.56589682</v>
      </c>
    </row>
    <row r="40" spans="1:20">
      <c r="A40" s="15" t="s">
        <v>598</v>
      </c>
      <c r="B40" s="17" t="n">
        <v>6922</v>
      </c>
      <c r="C40" s="18">
        <f>(5475.0/B40*100)</f>
        <v/>
      </c>
      <c r="D40" s="19" t="n">
        <v>1447</v>
      </c>
      <c r="E40" s="18" t="n">
        <v>27.59771592</v>
      </c>
      <c r="F40" s="20" t="n">
        <v>1.59367069</v>
      </c>
      <c r="G40" s="18" t="n">
        <v>20.90092001</v>
      </c>
      <c r="H40" s="20" t="n">
        <v>1.66942378</v>
      </c>
      <c r="I40" s="18" t="n">
        <v>50.66518686</v>
      </c>
      <c r="J40" s="20" t="n">
        <v>1.95409053</v>
      </c>
      <c r="K40" s="18" t="n">
        <v>0</v>
      </c>
      <c r="L40" s="20" t="n">
        <v>0</v>
      </c>
      <c r="M40" s="18" t="n">
        <v>0.34099141</v>
      </c>
      <c r="N40" s="20" t="n">
        <v>0.23332417</v>
      </c>
      <c r="O40" s="18" t="n">
        <v>0</v>
      </c>
      <c r="P40" s="20" t="n">
        <v>0</v>
      </c>
      <c r="Q40" s="18" t="n">
        <v>0</v>
      </c>
      <c r="R40" s="20" t="n">
        <v>0</v>
      </c>
      <c r="S40" s="18" t="n">
        <v>0.49518581</v>
      </c>
      <c r="T40" s="20" t="n">
        <v>0.22465507</v>
      </c>
    </row>
    <row r="41" spans="1:20">
      <c r="A41" s="15" t="s">
        <v>599</v>
      </c>
      <c r="B41" s="17" t="n">
        <v>2854</v>
      </c>
      <c r="C41" s="18">
        <f>(2208.0/B41*100)</f>
        <v/>
      </c>
      <c r="D41" s="19" t="n">
        <v>646</v>
      </c>
      <c r="E41" s="18" t="n">
        <v>35.32677105</v>
      </c>
      <c r="F41" s="20" t="n">
        <v>2.09446189</v>
      </c>
      <c r="G41" s="18" t="n">
        <v>11.89077694</v>
      </c>
      <c r="H41" s="20" t="n">
        <v>1.424859</v>
      </c>
      <c r="I41" s="18" t="n">
        <v>51.75333659</v>
      </c>
      <c r="J41" s="20" t="n">
        <v>2.26094356</v>
      </c>
      <c r="K41" s="18" t="n">
        <v>0</v>
      </c>
      <c r="L41" s="20" t="n">
        <v>0</v>
      </c>
      <c r="M41" s="18" t="n">
        <v>0.61292569</v>
      </c>
      <c r="N41" s="20" t="n">
        <v>0.3781567</v>
      </c>
      <c r="O41" s="18" t="n">
        <v>0</v>
      </c>
      <c r="P41" s="20" t="n">
        <v>0</v>
      </c>
      <c r="Q41" s="18" t="n">
        <v>0</v>
      </c>
      <c r="R41" s="20" t="n">
        <v>0</v>
      </c>
      <c r="S41" s="18" t="n">
        <v>0.41618974</v>
      </c>
      <c r="T41" s="20" t="n">
        <v>0.23828669</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12073</v>
      </c>
      <c r="C46" s="18">
        <f>(9952.0/B46*100)</f>
        <v/>
      </c>
      <c r="D46" s="19" t="n">
        <v>2121</v>
      </c>
      <c r="E46" s="18" t="n">
        <v>63.5257776</v>
      </c>
      <c r="F46" s="20" t="n">
        <v>1.45077874</v>
      </c>
      <c r="G46" s="18" t="n">
        <v>14.00594554</v>
      </c>
      <c r="H46" s="20" t="n">
        <v>1.05359322</v>
      </c>
      <c r="I46" s="18" t="n">
        <v>18.88480621</v>
      </c>
      <c r="J46" s="20" t="n">
        <v>0.98795783</v>
      </c>
      <c r="K46" s="18" t="n">
        <v>0</v>
      </c>
      <c r="L46" s="20" t="n">
        <v>0</v>
      </c>
      <c r="M46" s="18" t="n">
        <v>1.36435179</v>
      </c>
      <c r="N46" s="20" t="n">
        <v>0.38314622</v>
      </c>
      <c r="O46" s="18" t="n">
        <v>0</v>
      </c>
      <c r="P46" s="20" t="n">
        <v>0</v>
      </c>
      <c r="Q46" s="18" t="n">
        <v>0</v>
      </c>
      <c r="R46" s="20" t="n">
        <v>0</v>
      </c>
      <c r="S46" s="18" t="n">
        <v>2.21911886</v>
      </c>
      <c r="T46" s="20" t="n">
        <v>0.41783529</v>
      </c>
    </row>
    <row r="47" spans="1:20">
      <c r="A47" s="15" t="s">
        <v>606</v>
      </c>
      <c r="B47" s="17" t="n">
        <v>2823</v>
      </c>
      <c r="C47" s="18">
        <f>(2222.0/B47*100)</f>
        <v/>
      </c>
      <c r="D47" s="19" t="n">
        <v>601</v>
      </c>
      <c r="E47" s="18" t="n">
        <v>43.06514563</v>
      </c>
      <c r="F47" s="20" t="n">
        <v>2.21305705</v>
      </c>
      <c r="G47" s="18" t="n">
        <v>18.27225093</v>
      </c>
      <c r="H47" s="20" t="n">
        <v>1.49182673</v>
      </c>
      <c r="I47" s="18" t="n">
        <v>36.76082049</v>
      </c>
      <c r="J47" s="20" t="n">
        <v>2.54747121</v>
      </c>
      <c r="K47" s="18" t="n">
        <v>0</v>
      </c>
      <c r="L47" s="20" t="n">
        <v>0</v>
      </c>
      <c r="M47" s="18" t="n">
        <v>0.16810113</v>
      </c>
      <c r="N47" s="20" t="n">
        <v>0.16757744</v>
      </c>
      <c r="O47" s="18" t="n">
        <v>0</v>
      </c>
      <c r="P47" s="20" t="n">
        <v>0</v>
      </c>
      <c r="Q47" s="18" t="n">
        <v>0</v>
      </c>
      <c r="R47" s="20" t="n">
        <v>0</v>
      </c>
      <c r="S47" s="18" t="n">
        <v>1.73368182</v>
      </c>
      <c r="T47" s="20" t="n">
        <v>0.63690737</v>
      </c>
    </row>
    <row r="48" spans="1:20">
      <c r="A48" s="15" t="s">
        <v>607</v>
      </c>
      <c r="B48" s="17" t="n">
        <v>4682</v>
      </c>
      <c r="C48" s="18">
        <f>(3635.0/B48*100)</f>
        <v/>
      </c>
      <c r="D48" s="19" t="n">
        <v>1047</v>
      </c>
      <c r="E48" s="18" t="n">
        <v>24.94524913</v>
      </c>
      <c r="F48" s="20" t="n">
        <v>1.84719558</v>
      </c>
      <c r="G48" s="18" t="n">
        <v>17.38630418</v>
      </c>
      <c r="H48" s="20" t="n">
        <v>1.78088407</v>
      </c>
      <c r="I48" s="18" t="n">
        <v>56.0655842</v>
      </c>
      <c r="J48" s="20" t="n">
        <v>2.68322721</v>
      </c>
      <c r="K48" s="18" t="n">
        <v>0</v>
      </c>
      <c r="L48" s="20" t="n">
        <v>0</v>
      </c>
      <c r="M48" s="18" t="n">
        <v>0.893948</v>
      </c>
      <c r="N48" s="20" t="n">
        <v>0.3666328</v>
      </c>
      <c r="O48" s="18" t="n">
        <v>0</v>
      </c>
      <c r="P48" s="20" t="n">
        <v>0</v>
      </c>
      <c r="Q48" s="18" t="n">
        <v>0</v>
      </c>
      <c r="R48" s="20" t="n">
        <v>0</v>
      </c>
      <c r="S48" s="18" t="n">
        <v>0.70891448</v>
      </c>
      <c r="T48" s="20" t="n">
        <v>0.35513955</v>
      </c>
    </row>
    <row r="49" spans="1:20">
      <c r="A49" s="15" t="s">
        <v>608</v>
      </c>
      <c r="B49" s="17" t="n">
        <v>6158</v>
      </c>
      <c r="C49" s="18">
        <f>(4872.0/B49*100)</f>
        <v/>
      </c>
      <c r="D49" s="19" t="n">
        <v>1286</v>
      </c>
      <c r="E49" s="18" t="n">
        <v>52.88543402</v>
      </c>
      <c r="F49" s="20" t="n">
        <v>1.83315773</v>
      </c>
      <c r="G49" s="18" t="n">
        <v>16.15650856</v>
      </c>
      <c r="H49" s="20" t="n">
        <v>1.06776503</v>
      </c>
      <c r="I49" s="18" t="n">
        <v>28.49652067</v>
      </c>
      <c r="J49" s="20" t="n">
        <v>1.69753652</v>
      </c>
      <c r="K49" s="18" t="n">
        <v>0</v>
      </c>
      <c r="L49" s="20" t="n">
        <v>0</v>
      </c>
      <c r="M49" s="18" t="n">
        <v>2.13355622</v>
      </c>
      <c r="N49" s="20" t="n">
        <v>0.60600511</v>
      </c>
      <c r="O49" s="18" t="n">
        <v>0</v>
      </c>
      <c r="P49" s="20" t="n">
        <v>0</v>
      </c>
      <c r="Q49" s="18" t="n">
        <v>0</v>
      </c>
      <c r="R49" s="20" t="n">
        <v>0</v>
      </c>
      <c r="S49" s="18" t="n">
        <v>0.32798053</v>
      </c>
      <c r="T49" s="20" t="n">
        <v>0.18900675</v>
      </c>
    </row>
    <row r="50" spans="1:20">
      <c r="A50" s="15" t="s">
        <v>609</v>
      </c>
      <c r="B50" s="17" t="n">
        <v>3494</v>
      </c>
      <c r="C50" s="18">
        <f>(2812.0/B50*100)</f>
        <v/>
      </c>
      <c r="D50" s="19" t="n">
        <v>682</v>
      </c>
      <c r="E50" s="18" t="n">
        <v>55.88996628</v>
      </c>
      <c r="F50" s="20" t="n">
        <v>1.77226191</v>
      </c>
      <c r="G50" s="18" t="n">
        <v>18.0093798</v>
      </c>
      <c r="H50" s="20" t="n">
        <v>1.36307576</v>
      </c>
      <c r="I50" s="18" t="n">
        <v>24.91224069</v>
      </c>
      <c r="J50" s="20" t="n">
        <v>1.68907976</v>
      </c>
      <c r="K50" s="18" t="n">
        <v>0</v>
      </c>
      <c r="L50" s="20" t="n">
        <v>0</v>
      </c>
      <c r="M50" s="18" t="n">
        <v>0.33955283</v>
      </c>
      <c r="N50" s="20" t="n">
        <v>0.2558435</v>
      </c>
      <c r="O50" s="18" t="n">
        <v>0</v>
      </c>
      <c r="P50" s="20" t="n">
        <v>0</v>
      </c>
      <c r="Q50" s="18" t="n">
        <v>0</v>
      </c>
      <c r="R50" s="20" t="n">
        <v>0</v>
      </c>
      <c r="S50" s="18" t="n">
        <v>0.8488604</v>
      </c>
      <c r="T50" s="20" t="n">
        <v>0.42752866</v>
      </c>
    </row>
    <row r="51" spans="1:20">
      <c r="A51" s="15" t="s">
        <v>610</v>
      </c>
      <c r="B51" s="17" t="n">
        <v>3013</v>
      </c>
      <c r="C51" s="18">
        <f>(2351.0/B51*100)</f>
        <v/>
      </c>
      <c r="D51" s="19" t="n">
        <v>662</v>
      </c>
      <c r="E51" s="18" t="n">
        <v>50.43077054</v>
      </c>
      <c r="F51" s="20" t="n">
        <v>1.80501852</v>
      </c>
      <c r="G51" s="18" t="n">
        <v>10.11768664</v>
      </c>
      <c r="H51" s="20" t="n">
        <v>1.16519481</v>
      </c>
      <c r="I51" s="18" t="n">
        <v>38.80534521</v>
      </c>
      <c r="J51" s="20" t="n">
        <v>1.74233581</v>
      </c>
      <c r="K51" s="18" t="n">
        <v>0</v>
      </c>
      <c r="L51" s="20" t="n">
        <v>0</v>
      </c>
      <c r="M51" s="18" t="n">
        <v>0.13937004</v>
      </c>
      <c r="N51" s="20" t="n">
        <v>0.13899087</v>
      </c>
      <c r="O51" s="18" t="n">
        <v>0</v>
      </c>
      <c r="P51" s="20" t="n">
        <v>0</v>
      </c>
      <c r="Q51" s="18" t="n">
        <v>0</v>
      </c>
      <c r="R51" s="20" t="n">
        <v>0</v>
      </c>
      <c r="S51" s="18" t="n">
        <v>0.50682757</v>
      </c>
      <c r="T51" s="20" t="n">
        <v>0.26491522</v>
      </c>
    </row>
    <row r="52" spans="1:20">
      <c r="A52" s="15" t="s">
        <v>611</v>
      </c>
      <c r="B52" s="17" t="n">
        <v>2760</v>
      </c>
      <c r="C52" s="18">
        <f>(2149.0/B52*100)</f>
        <v/>
      </c>
      <c r="D52" s="19" t="n">
        <v>611</v>
      </c>
      <c r="E52" s="18" t="n">
        <v>55.83185499</v>
      </c>
      <c r="F52" s="20" t="n">
        <v>2.320777</v>
      </c>
      <c r="G52" s="18" t="n">
        <v>15.73657287</v>
      </c>
      <c r="H52" s="20" t="n">
        <v>1.56850048</v>
      </c>
      <c r="I52" s="18" t="n">
        <v>27.31731647</v>
      </c>
      <c r="J52" s="20" t="n">
        <v>2.21261309</v>
      </c>
      <c r="K52" s="18" t="n">
        <v>0</v>
      </c>
      <c r="L52" s="20" t="n">
        <v>0</v>
      </c>
      <c r="M52" s="18" t="n">
        <v>0.30593948</v>
      </c>
      <c r="N52" s="20" t="n">
        <v>0.21381049</v>
      </c>
      <c r="O52" s="18" t="n">
        <v>0</v>
      </c>
      <c r="P52" s="20" t="n">
        <v>0</v>
      </c>
      <c r="Q52" s="18" t="n">
        <v>0</v>
      </c>
      <c r="R52" s="20" t="n">
        <v>0</v>
      </c>
      <c r="S52" s="18" t="n">
        <v>0.80831619</v>
      </c>
      <c r="T52" s="20" t="n">
        <v>0.33499607</v>
      </c>
    </row>
    <row r="53" spans="1:20">
      <c r="A53" s="15" t="s">
        <v>612</v>
      </c>
      <c r="B53" s="17" t="n">
        <v>2474</v>
      </c>
      <c r="C53" s="18">
        <f>(1944.0/B53*100)</f>
        <v/>
      </c>
      <c r="D53" s="19" t="n">
        <v>530</v>
      </c>
      <c r="E53" s="18" t="n">
        <v>51.64789873</v>
      </c>
      <c r="F53" s="20" t="n">
        <v>2.38386373</v>
      </c>
      <c r="G53" s="18" t="n">
        <v>11.97824591</v>
      </c>
      <c r="H53" s="20" t="n">
        <v>1.60539168</v>
      </c>
      <c r="I53" s="18" t="n">
        <v>16.53115838</v>
      </c>
      <c r="J53" s="20" t="n">
        <v>1.73707118</v>
      </c>
      <c r="K53" s="18" t="n">
        <v>0</v>
      </c>
      <c r="L53" s="20" t="n">
        <v>0</v>
      </c>
      <c r="M53" s="18" t="n">
        <v>15.85648197</v>
      </c>
      <c r="N53" s="20" t="n">
        <v>1.83671669</v>
      </c>
      <c r="O53" s="18" t="n">
        <v>0</v>
      </c>
      <c r="P53" s="20" t="n">
        <v>0</v>
      </c>
      <c r="Q53" s="18" t="n">
        <v>0</v>
      </c>
      <c r="R53" s="20" t="n">
        <v>0</v>
      </c>
      <c r="S53" s="18" t="n">
        <v>3.98621501</v>
      </c>
      <c r="T53" s="20" t="n">
        <v>1.04519258</v>
      </c>
    </row>
    <row r="54" spans="1:20">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2675</v>
      </c>
      <c r="C55" s="18">
        <f>(2044.0/B55*100)</f>
        <v/>
      </c>
      <c r="D55" s="19" t="n">
        <v>631</v>
      </c>
      <c r="E55" s="18" t="n">
        <v>20.04526446</v>
      </c>
      <c r="F55" s="20" t="n">
        <v>1.58450121</v>
      </c>
      <c r="G55" s="18" t="n">
        <v>34.75769815</v>
      </c>
      <c r="H55" s="20" t="n">
        <v>1.75532251</v>
      </c>
      <c r="I55" s="18" t="n">
        <v>45.19703738</v>
      </c>
      <c r="J55" s="20" t="n">
        <v>1.84468931</v>
      </c>
      <c r="K55" s="18" t="n">
        <v>0</v>
      </c>
      <c r="L55" s="20" t="n">
        <v>0</v>
      </c>
      <c r="M55" s="18" t="n">
        <v>0</v>
      </c>
      <c r="N55" s="20" t="n">
        <v>0</v>
      </c>
      <c r="O55" s="18" t="n">
        <v>0</v>
      </c>
      <c r="P55" s="20" t="n">
        <v>0</v>
      </c>
      <c r="Q55" s="18" t="n">
        <v>0</v>
      </c>
      <c r="R55" s="20" t="n">
        <v>0</v>
      </c>
      <c r="S55" s="18" t="n">
        <v>0</v>
      </c>
      <c r="T55" s="20" t="n">
        <v>0</v>
      </c>
    </row>
    <row r="56" spans="1:20">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3201</v>
      </c>
      <c r="C61" s="18">
        <f>(2480.0/B61*100)</f>
        <v/>
      </c>
      <c r="D61" s="19" t="n">
        <v>721</v>
      </c>
      <c r="E61" s="18" t="n">
        <v>37.87584636</v>
      </c>
      <c r="F61" s="20" t="n">
        <v>1.93183316</v>
      </c>
      <c r="G61" s="18" t="n">
        <v>28.91008481</v>
      </c>
      <c r="H61" s="20" t="n">
        <v>1.72565303</v>
      </c>
      <c r="I61" s="18" t="n">
        <v>32.68026832</v>
      </c>
      <c r="J61" s="20" t="n">
        <v>1.76044369</v>
      </c>
      <c r="K61" s="18" t="n">
        <v>0</v>
      </c>
      <c r="L61" s="20" t="n">
        <v>0</v>
      </c>
      <c r="M61" s="18" t="n">
        <v>0</v>
      </c>
      <c r="N61" s="20" t="n">
        <v>0</v>
      </c>
      <c r="O61" s="18" t="n">
        <v>0</v>
      </c>
      <c r="P61" s="20" t="n">
        <v>0</v>
      </c>
      <c r="Q61" s="18" t="n">
        <v>0</v>
      </c>
      <c r="R61" s="20" t="n">
        <v>0</v>
      </c>
      <c r="S61" s="18" t="n">
        <v>0.53380052</v>
      </c>
      <c r="T61" s="20" t="n">
        <v>0.299377</v>
      </c>
    </row>
    <row r="62" spans="1:20">
      <c r="A62" s="15" t="s">
        <v>622</v>
      </c>
      <c r="B62" s="17" t="n">
        <v>2230</v>
      </c>
      <c r="C62" s="18">
        <f>(1733.0/B62*100)</f>
        <v/>
      </c>
      <c r="D62" s="19" t="n">
        <v>497</v>
      </c>
      <c r="E62" s="18" t="n">
        <v>21.18775252</v>
      </c>
      <c r="F62" s="20" t="n">
        <v>2.00056469</v>
      </c>
      <c r="G62" s="18" t="n">
        <v>32.17919745</v>
      </c>
      <c r="H62" s="20" t="n">
        <v>2.14483889</v>
      </c>
      <c r="I62" s="18" t="n">
        <v>46.63305003</v>
      </c>
      <c r="J62" s="20" t="n">
        <v>2.24148186</v>
      </c>
      <c r="K62" s="18" t="n">
        <v>0</v>
      </c>
      <c r="L62" s="20" t="n">
        <v>0</v>
      </c>
      <c r="M62" s="18" t="n">
        <v>0</v>
      </c>
      <c r="N62" s="20" t="n">
        <v>0</v>
      </c>
      <c r="O62" s="18" t="n">
        <v>0</v>
      </c>
      <c r="P62" s="20" t="n">
        <v>0</v>
      </c>
      <c r="Q62" s="18" t="n">
        <v>0</v>
      </c>
      <c r="R62" s="20" t="n">
        <v>0</v>
      </c>
      <c r="S62" s="18" t="n">
        <v>0</v>
      </c>
      <c r="T62" s="20" t="n">
        <v>0</v>
      </c>
    </row>
    <row r="63" spans="1:20">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2771</v>
      </c>
      <c r="C67" s="18">
        <f>(2184.0/B67*100)</f>
        <v/>
      </c>
      <c r="D67" s="19" t="n">
        <v>587</v>
      </c>
      <c r="E67" s="18" t="n">
        <v>53.28362777</v>
      </c>
      <c r="F67" s="20" t="n">
        <v>1.92856223</v>
      </c>
      <c r="G67" s="18" t="n">
        <v>10.54016262</v>
      </c>
      <c r="H67" s="20" t="n">
        <v>1.48512368</v>
      </c>
      <c r="I67" s="18" t="n">
        <v>33.21249615</v>
      </c>
      <c r="J67" s="20" t="n">
        <v>2.10058266</v>
      </c>
      <c r="K67" s="18" t="n">
        <v>0</v>
      </c>
      <c r="L67" s="20" t="n">
        <v>0</v>
      </c>
      <c r="M67" s="18" t="n">
        <v>0.58754359</v>
      </c>
      <c r="N67" s="20" t="n">
        <v>0.29462641</v>
      </c>
      <c r="O67" s="18" t="n">
        <v>0</v>
      </c>
      <c r="P67" s="20" t="n">
        <v>0</v>
      </c>
      <c r="Q67" s="18" t="n">
        <v>0</v>
      </c>
      <c r="R67" s="20" t="n">
        <v>0</v>
      </c>
      <c r="S67" s="18" t="n">
        <v>2.37616987</v>
      </c>
      <c r="T67" s="20" t="n">
        <v>0.52623541</v>
      </c>
    </row>
    <row r="68" spans="1:20">
      <c r="A68" s="15" t="s">
        <v>628</v>
      </c>
      <c r="B68" s="17" t="n">
        <v>3460</v>
      </c>
      <c r="C68" s="18">
        <f>(2829.0/B68*100)</f>
        <v/>
      </c>
      <c r="D68" s="19" t="n">
        <v>631</v>
      </c>
      <c r="E68" s="18" t="n">
        <v>60.26564234</v>
      </c>
      <c r="F68" s="20" t="n">
        <v>1.97350109</v>
      </c>
      <c r="G68" s="18" t="n">
        <v>16.18509889</v>
      </c>
      <c r="H68" s="20" t="n">
        <v>1.45009735</v>
      </c>
      <c r="I68" s="18" t="n">
        <v>21.75093259</v>
      </c>
      <c r="J68" s="20" t="n">
        <v>1.81420904</v>
      </c>
      <c r="K68" s="18" t="n">
        <v>0</v>
      </c>
      <c r="L68" s="20" t="n">
        <v>0</v>
      </c>
      <c r="M68" s="18" t="n">
        <v>0.54726888</v>
      </c>
      <c r="N68" s="20" t="n">
        <v>0.31850299</v>
      </c>
      <c r="O68" s="18" t="n">
        <v>0</v>
      </c>
      <c r="P68" s="20" t="n">
        <v>0</v>
      </c>
      <c r="Q68" s="18" t="n">
        <v>0</v>
      </c>
      <c r="R68" s="20" t="n">
        <v>0</v>
      </c>
      <c r="S68" s="18" t="n">
        <v>1.2510573</v>
      </c>
      <c r="T68" s="20" t="n">
        <v>0.43418618</v>
      </c>
    </row>
    <row r="69" spans="1:20">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6034</v>
      </c>
      <c r="C70" s="18">
        <f>(4653.0/B70*100)</f>
        <v/>
      </c>
      <c r="D70" s="19" t="n">
        <v>1381</v>
      </c>
      <c r="E70" s="18" t="n">
        <v>43.61800395</v>
      </c>
      <c r="F70" s="20" t="n">
        <v>1.26921912</v>
      </c>
      <c r="G70" s="18" t="n">
        <v>19.52351479</v>
      </c>
      <c r="H70" s="20" t="n">
        <v>1.00185205</v>
      </c>
      <c r="I70" s="18" t="n">
        <v>33.66624004</v>
      </c>
      <c r="J70" s="20" t="n">
        <v>1.28779627</v>
      </c>
      <c r="K70" s="18" t="n">
        <v>0</v>
      </c>
      <c r="L70" s="20" t="n">
        <v>0</v>
      </c>
      <c r="M70" s="18" t="n">
        <v>2.50925818</v>
      </c>
      <c r="N70" s="20" t="n">
        <v>0.43560026</v>
      </c>
      <c r="O70" s="18" t="n">
        <v>0</v>
      </c>
      <c r="P70" s="20" t="n">
        <v>0</v>
      </c>
      <c r="Q70" s="18" t="n">
        <v>0</v>
      </c>
      <c r="R70" s="20" t="n">
        <v>0</v>
      </c>
      <c r="S70" s="18" t="n">
        <v>0.68298303</v>
      </c>
      <c r="T70" s="20" t="n">
        <v>0.23149224</v>
      </c>
    </row>
    <row r="71" spans="1:20">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3107</v>
      </c>
      <c r="C72" s="18">
        <f>(2520.0/B72*100)</f>
        <v/>
      </c>
      <c r="D72" s="19" t="n">
        <v>587</v>
      </c>
      <c r="E72" s="18" t="n">
        <v>39.01026188</v>
      </c>
      <c r="F72" s="20" t="n">
        <v>2.02780704</v>
      </c>
      <c r="G72" s="18" t="n">
        <v>19.95449371</v>
      </c>
      <c r="H72" s="20" t="n">
        <v>1.80391547</v>
      </c>
      <c r="I72" s="18" t="n">
        <v>40.24078236</v>
      </c>
      <c r="J72" s="20" t="n">
        <v>1.82251064</v>
      </c>
      <c r="K72" s="18" t="n">
        <v>0</v>
      </c>
      <c r="L72" s="20" t="n">
        <v>0</v>
      </c>
      <c r="M72" s="18" t="n">
        <v>0.39280423</v>
      </c>
      <c r="N72" s="20" t="n">
        <v>0.2060084</v>
      </c>
      <c r="O72" s="18" t="n">
        <v>0</v>
      </c>
      <c r="P72" s="20" t="n">
        <v>0</v>
      </c>
      <c r="Q72" s="18" t="n">
        <v>0</v>
      </c>
      <c r="R72" s="20" t="n">
        <v>0</v>
      </c>
      <c r="S72" s="18" t="n">
        <v>0.40165782</v>
      </c>
      <c r="T72" s="20" t="n">
        <v>0.18205534</v>
      </c>
    </row>
    <row r="73" spans="1:20">
      <c r="A73" s="15" t="s">
        <v>633</v>
      </c>
      <c r="B73" s="17" t="n">
        <v>2973</v>
      </c>
      <c r="C73" s="18">
        <f>(2332.0/B73*100)</f>
        <v/>
      </c>
      <c r="D73" s="19" t="n">
        <v>641</v>
      </c>
      <c r="E73" s="18" t="n">
        <v>16.90741226</v>
      </c>
      <c r="F73" s="20" t="n">
        <v>1.29749399</v>
      </c>
      <c r="G73" s="18" t="n">
        <v>15.78818944</v>
      </c>
      <c r="H73" s="20" t="n">
        <v>1.42937307</v>
      </c>
      <c r="I73" s="18" t="n">
        <v>66.96557716</v>
      </c>
      <c r="J73" s="20" t="n">
        <v>1.84075232</v>
      </c>
      <c r="K73" s="18" t="n">
        <v>0</v>
      </c>
      <c r="L73" s="20" t="n">
        <v>0</v>
      </c>
      <c r="M73" s="18" t="n">
        <v>0.33882115</v>
      </c>
      <c r="N73" s="20" t="n">
        <v>0.23983237</v>
      </c>
      <c r="O73" s="18" t="n">
        <v>0</v>
      </c>
      <c r="P73" s="20" t="n">
        <v>0</v>
      </c>
      <c r="Q73" s="18" t="n">
        <v>0</v>
      </c>
      <c r="R73" s="20" t="n">
        <v>0</v>
      </c>
      <c r="S73" s="18" t="n">
        <v>0</v>
      </c>
      <c r="T73" s="20" t="n">
        <v>0</v>
      </c>
    </row>
    <row r="74" spans="1:20">
      <c r="A74" s="15" t="s">
        <v>634</v>
      </c>
      <c r="B74" s="17" t="n">
        <v>3819</v>
      </c>
      <c r="C74" s="18">
        <f>(2978.0/B74*100)</f>
        <v/>
      </c>
      <c r="D74" s="19" t="n">
        <v>841</v>
      </c>
      <c r="E74" s="18" t="n">
        <v>24.60467186</v>
      </c>
      <c r="F74" s="20" t="n">
        <v>1.92876083</v>
      </c>
      <c r="G74" s="18" t="n">
        <v>22.03723271</v>
      </c>
      <c r="H74" s="20" t="n">
        <v>1.75681651</v>
      </c>
      <c r="I74" s="18" t="n">
        <v>52.96087156</v>
      </c>
      <c r="J74" s="20" t="n">
        <v>1.82511794</v>
      </c>
      <c r="K74" s="18" t="n">
        <v>0</v>
      </c>
      <c r="L74" s="20" t="n">
        <v>0</v>
      </c>
      <c r="M74" s="18" t="n">
        <v>0</v>
      </c>
      <c r="N74" s="20" t="n">
        <v>0</v>
      </c>
      <c r="O74" s="18" t="n">
        <v>0</v>
      </c>
      <c r="P74" s="20" t="n">
        <v>0</v>
      </c>
      <c r="Q74" s="18" t="n">
        <v>0</v>
      </c>
      <c r="R74" s="20" t="n">
        <v>0</v>
      </c>
      <c r="S74" s="18" t="n">
        <v>0.39722388</v>
      </c>
      <c r="T74" s="20" t="n">
        <v>0.20721361</v>
      </c>
    </row>
    <row r="75" spans="1:20">
      <c r="A75" s="15" t="s">
        <v>635</v>
      </c>
      <c r="B75" s="17" t="n">
        <v>4652</v>
      </c>
      <c r="C75" s="18">
        <f>(3683.0/B75*100)</f>
        <v/>
      </c>
      <c r="D75" s="19" t="n">
        <v>969</v>
      </c>
      <c r="E75" s="18" t="n">
        <v>49.13671072</v>
      </c>
      <c r="F75" s="20" t="n">
        <v>1.83548826</v>
      </c>
      <c r="G75" s="18" t="n">
        <v>19.50341879</v>
      </c>
      <c r="H75" s="20" t="n">
        <v>1.41599826</v>
      </c>
      <c r="I75" s="18" t="n">
        <v>30.96269358</v>
      </c>
      <c r="J75" s="20" t="n">
        <v>1.8215858</v>
      </c>
      <c r="K75" s="18" t="n">
        <v>0</v>
      </c>
      <c r="L75" s="20" t="n">
        <v>0</v>
      </c>
      <c r="M75" s="18" t="n">
        <v>0.05238868</v>
      </c>
      <c r="N75" s="20" t="n">
        <v>0.05283345</v>
      </c>
      <c r="O75" s="18" t="n">
        <v>0</v>
      </c>
      <c r="P75" s="20" t="n">
        <v>0</v>
      </c>
      <c r="Q75" s="18" t="n">
        <v>0</v>
      </c>
      <c r="R75" s="20" t="n">
        <v>0</v>
      </c>
      <c r="S75" s="18" t="n">
        <v>0.34478822</v>
      </c>
      <c r="T75" s="20" t="n">
        <v>0.20103448</v>
      </c>
    </row>
    <row r="76" spans="1:20">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2969</v>
      </c>
      <c r="C77" s="18">
        <f>(2404.0/B77*100)</f>
        <v/>
      </c>
      <c r="D77" s="19" t="n">
        <v>565</v>
      </c>
      <c r="E77" s="18" t="n">
        <v>53.62084468</v>
      </c>
      <c r="F77" s="20" t="n">
        <v>2.02374062</v>
      </c>
      <c r="G77" s="18" t="n">
        <v>18.31856712</v>
      </c>
      <c r="H77" s="20" t="n">
        <v>1.60028427</v>
      </c>
      <c r="I77" s="18" t="n">
        <v>21.35748876</v>
      </c>
      <c r="J77" s="20" t="n">
        <v>1.95961975</v>
      </c>
      <c r="K77" s="18" t="n">
        <v>0</v>
      </c>
      <c r="L77" s="20" t="n">
        <v>0</v>
      </c>
      <c r="M77" s="18" t="n">
        <v>3.51780728</v>
      </c>
      <c r="N77" s="20" t="n">
        <v>0.76275909</v>
      </c>
      <c r="O77" s="18" t="n">
        <v>0</v>
      </c>
      <c r="P77" s="20" t="n">
        <v>0</v>
      </c>
      <c r="Q77" s="18" t="n">
        <v>0</v>
      </c>
      <c r="R77" s="20" t="n">
        <v>0</v>
      </c>
      <c r="S77" s="18" t="n">
        <v>3.18529216</v>
      </c>
      <c r="T77" s="20" t="n">
        <v>0.9967709300000001</v>
      </c>
    </row>
    <row r="78" spans="1:20">
      <c r="A78" s="15" t="s">
        <v>638</v>
      </c>
      <c r="B78" s="17" t="n">
        <v>7115</v>
      </c>
      <c r="C78" s="18">
        <f>(5578.0/B78*100)</f>
        <v/>
      </c>
      <c r="D78" s="19" t="n">
        <v>1537</v>
      </c>
      <c r="E78" s="18" t="n">
        <v>40.35580475</v>
      </c>
      <c r="F78" s="20" t="n">
        <v>1.48192354</v>
      </c>
      <c r="G78" s="18" t="n">
        <v>19.12968645</v>
      </c>
      <c r="H78" s="20" t="n">
        <v>1.17973518</v>
      </c>
      <c r="I78" s="18" t="n">
        <v>39.16220807</v>
      </c>
      <c r="J78" s="20" t="n">
        <v>1.69517486</v>
      </c>
      <c r="K78" s="18" t="n">
        <v>0</v>
      </c>
      <c r="L78" s="20" t="n">
        <v>0</v>
      </c>
      <c r="M78" s="18" t="n">
        <v>0.5385024899999999</v>
      </c>
      <c r="N78" s="20" t="n">
        <v>0.21598075</v>
      </c>
      <c r="O78" s="18" t="n">
        <v>0</v>
      </c>
      <c r="P78" s="20" t="n">
        <v>0</v>
      </c>
      <c r="Q78" s="18" t="n">
        <v>0</v>
      </c>
      <c r="R78" s="20" t="n">
        <v>0</v>
      </c>
      <c r="S78" s="18" t="n">
        <v>0.8137982499999999</v>
      </c>
      <c r="T78" s="20" t="n">
        <v>0.41707819</v>
      </c>
    </row>
    <row r="79" spans="1:20">
      <c r="A79" s="15" t="s">
        <v>639</v>
      </c>
      <c r="B79" s="17" t="n">
        <v>3154</v>
      </c>
      <c r="C79" s="18">
        <f>(2477.0/B79*100)</f>
        <v/>
      </c>
      <c r="D79" s="19" t="n">
        <v>677</v>
      </c>
      <c r="E79" s="18" t="n">
        <v>55.16748492</v>
      </c>
      <c r="F79" s="20" t="n">
        <v>1.8931362</v>
      </c>
      <c r="G79" s="18" t="n">
        <v>17.66817449</v>
      </c>
      <c r="H79" s="20" t="n">
        <v>1.42579534</v>
      </c>
      <c r="I79" s="18" t="n">
        <v>25.67685567</v>
      </c>
      <c r="J79" s="20" t="n">
        <v>1.70833234</v>
      </c>
      <c r="K79" s="18" t="n">
        <v>0</v>
      </c>
      <c r="L79" s="20" t="n">
        <v>0</v>
      </c>
      <c r="M79" s="18" t="n">
        <v>0.5106865900000001</v>
      </c>
      <c r="N79" s="20" t="n">
        <v>0.25450892</v>
      </c>
      <c r="O79" s="18" t="n">
        <v>0</v>
      </c>
      <c r="P79" s="20" t="n">
        <v>0</v>
      </c>
      <c r="Q79" s="18" t="n">
        <v>0</v>
      </c>
      <c r="R79" s="20" t="n">
        <v>0</v>
      </c>
      <c r="S79" s="18" t="n">
        <v>0.97679833</v>
      </c>
      <c r="T79" s="20" t="n">
        <v>0.37253244</v>
      </c>
    </row>
    <row r="80" spans="1:20">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15961</v>
      </c>
      <c r="C82" s="18">
        <f>(12497.0/B82*100)</f>
        <v/>
      </c>
      <c r="D82" s="19" t="n">
        <v>3464</v>
      </c>
      <c r="E82" s="18" t="n">
        <v>35.00607559</v>
      </c>
      <c r="F82" s="20" t="n">
        <v>1.29566178</v>
      </c>
      <c r="G82" s="18" t="n">
        <v>20.08588578</v>
      </c>
      <c r="H82" s="20" t="n">
        <v>1.04243605</v>
      </c>
      <c r="I82" s="18" t="n">
        <v>44.4116045</v>
      </c>
      <c r="J82" s="20" t="n">
        <v>1.31377144</v>
      </c>
      <c r="K82" s="18" t="n">
        <v>0</v>
      </c>
      <c r="L82" s="20" t="n">
        <v>0</v>
      </c>
      <c r="M82" s="18" t="n">
        <v>0.21901867</v>
      </c>
      <c r="N82" s="20" t="n">
        <v>0.10558384</v>
      </c>
      <c r="O82" s="18" t="n">
        <v>0</v>
      </c>
      <c r="P82" s="20" t="n">
        <v>0</v>
      </c>
      <c r="Q82" s="18" t="n">
        <v>0</v>
      </c>
      <c r="R82" s="20" t="n">
        <v>0</v>
      </c>
      <c r="S82" s="18" t="n">
        <v>0.27741546</v>
      </c>
      <c r="T82" s="20" t="n">
        <v>0.07268158</v>
      </c>
    </row>
    <row r="83" spans="1:20">
      <c r="A83" s="15" t="s">
        <v>643</v>
      </c>
      <c r="B83" s="17" t="n">
        <v>808</v>
      </c>
      <c r="C83" s="18">
        <f>(633.0/B83*100)</f>
        <v/>
      </c>
      <c r="D83" s="19" t="n">
        <v>175</v>
      </c>
      <c r="E83" s="18" t="n">
        <v>32.30205954</v>
      </c>
      <c r="F83" s="20" t="n">
        <v>3.64372272</v>
      </c>
      <c r="G83" s="18" t="n">
        <v>15.78530239</v>
      </c>
      <c r="H83" s="20" t="n">
        <v>2.44120257</v>
      </c>
      <c r="I83" s="18" t="n">
        <v>51.91263807</v>
      </c>
      <c r="J83" s="20" t="n">
        <v>4.06491792</v>
      </c>
      <c r="K83" s="18" t="n">
        <v>0</v>
      </c>
      <c r="L83" s="20" t="n">
        <v>0</v>
      </c>
      <c r="M83" s="18" t="n">
        <v>0</v>
      </c>
      <c r="N83" s="20" t="n">
        <v>0</v>
      </c>
      <c r="O83" s="18" t="n">
        <v>0</v>
      </c>
      <c r="P83" s="20" t="n">
        <v>0</v>
      </c>
      <c r="Q83" s="18" t="n">
        <v>0</v>
      </c>
      <c r="R83" s="20" t="n">
        <v>0</v>
      </c>
      <c r="S83" s="18" t="n">
        <v>0</v>
      </c>
      <c r="T83" s="20" t="n">
        <v>0</v>
      </c>
    </row>
    <row r="84" spans="1:20">
      <c r="A84" s="23" t="s">
        <v>644</v>
      </c>
      <c r="B84" s="24" t="n">
        <v>938</v>
      </c>
      <c r="C84" s="25">
        <f>(739.0/B84*100)</f>
        <v/>
      </c>
      <c r="D84" s="19" t="n">
        <v>199</v>
      </c>
      <c r="E84" s="18" t="n">
        <v>26.43032854</v>
      </c>
      <c r="F84" s="20" t="n">
        <v>3.35365102</v>
      </c>
      <c r="G84" s="18" t="n">
        <v>14.33492667</v>
      </c>
      <c r="H84" s="20" t="n">
        <v>2.31148638</v>
      </c>
      <c r="I84" s="18" t="n">
        <v>59.23474478</v>
      </c>
      <c r="J84" s="20" t="n">
        <v>3.96307572</v>
      </c>
      <c r="K84" s="18" t="n">
        <v>0</v>
      </c>
      <c r="L84" s="20" t="n">
        <v>0</v>
      </c>
      <c r="M84" s="18" t="n">
        <v>0</v>
      </c>
      <c r="N84" s="20" t="n">
        <v>0</v>
      </c>
      <c r="O84" s="18" t="n">
        <v>0</v>
      </c>
      <c r="P84" s="20" t="n">
        <v>0</v>
      </c>
      <c r="Q84" s="18" t="n">
        <v>0</v>
      </c>
      <c r="R84" s="20" t="n">
        <v>0</v>
      </c>
      <c r="S84" s="18" t="n">
        <v>0</v>
      </c>
      <c r="T84" s="20" t="n">
        <v>0</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(5627.0/B7*100)</f>
        <v/>
      </c>
      <c r="D7" s="19" t="n">
        <v>1536</v>
      </c>
      <c r="E7" s="18" t="n">
        <v>43.37277946</v>
      </c>
      <c r="F7" s="20" t="n">
        <v>1.79959657</v>
      </c>
      <c r="G7" s="18" t="n">
        <v>55.31330954</v>
      </c>
      <c r="H7" s="20" t="n">
        <v>1.69428748</v>
      </c>
      <c r="I7" s="18" t="n">
        <v>0</v>
      </c>
      <c r="J7" s="20" t="n">
        <v>0</v>
      </c>
      <c r="K7" s="18" t="n">
        <v>0.35029665</v>
      </c>
      <c r="L7" s="20" t="n">
        <v>0.20494301</v>
      </c>
      <c r="M7" s="18" t="n">
        <v>0</v>
      </c>
      <c r="N7" s="20" t="n">
        <v>0</v>
      </c>
      <c r="O7" s="18" t="n">
        <v>0</v>
      </c>
      <c r="P7" s="20" t="n">
        <v>0</v>
      </c>
      <c r="Q7" s="18" t="n">
        <v>0.96361435</v>
      </c>
      <c r="R7" s="20" t="n">
        <v>0.27761781</v>
      </c>
    </row>
    <row r="8" spans="1:18">
      <c r="A8" s="15" t="s">
        <v>566</v>
      </c>
      <c r="B8" s="17" t="n">
        <v>3443</v>
      </c>
      <c r="C8" s="18">
        <f>(2726.0/B8*100)</f>
        <v/>
      </c>
      <c r="D8" s="19" t="n">
        <v>717</v>
      </c>
      <c r="E8" s="18" t="n">
        <v>40.28892947</v>
      </c>
      <c r="F8" s="20" t="n">
        <v>1.73564831</v>
      </c>
      <c r="G8" s="18" t="n">
        <v>58.26008785</v>
      </c>
      <c r="H8" s="20" t="n">
        <v>1.84940863</v>
      </c>
      <c r="I8" s="18" t="n">
        <v>0</v>
      </c>
      <c r="J8" s="20" t="n">
        <v>0</v>
      </c>
      <c r="K8" s="18" t="n">
        <v>0.1982245</v>
      </c>
      <c r="L8" s="20" t="n">
        <v>0.19982839</v>
      </c>
      <c r="M8" s="18" t="n">
        <v>0</v>
      </c>
      <c r="N8" s="20" t="n">
        <v>0</v>
      </c>
      <c r="O8" s="18" t="n">
        <v>0</v>
      </c>
      <c r="P8" s="20" t="n">
        <v>0</v>
      </c>
      <c r="Q8" s="18" t="n">
        <v>1.25275818</v>
      </c>
      <c r="R8" s="20" t="n">
        <v>0.6660955</v>
      </c>
    </row>
    <row r="9" spans="1:18">
      <c r="A9" s="15" t="s">
        <v>567</v>
      </c>
      <c r="B9" s="17" t="n">
        <v>4752</v>
      </c>
      <c r="C9" s="18">
        <f>(3735.0/B9*100)</f>
        <v/>
      </c>
      <c r="D9" s="19" t="n">
        <v>1017</v>
      </c>
      <c r="E9" s="18" t="n">
        <v>46.38321658</v>
      </c>
      <c r="F9" s="20" t="n">
        <v>1.584553</v>
      </c>
      <c r="G9" s="18" t="n">
        <v>52.19262491</v>
      </c>
      <c r="H9" s="20" t="n">
        <v>1.6127213</v>
      </c>
      <c r="I9" s="18" t="n">
        <v>0</v>
      </c>
      <c r="J9" s="20" t="n">
        <v>0</v>
      </c>
      <c r="K9" s="18" t="n">
        <v>0.51492452</v>
      </c>
      <c r="L9" s="20" t="n">
        <v>0.24498398</v>
      </c>
      <c r="M9" s="18" t="n">
        <v>0</v>
      </c>
      <c r="N9" s="20" t="n">
        <v>0</v>
      </c>
      <c r="O9" s="18" t="n">
        <v>0</v>
      </c>
      <c r="P9" s="20" t="n">
        <v>0</v>
      </c>
      <c r="Q9" s="18" t="n">
        <v>0.909234</v>
      </c>
      <c r="R9" s="20" t="n">
        <v>0.2967237</v>
      </c>
    </row>
    <row r="10" spans="1:18">
      <c r="A10" s="15" t="s">
        <v>568</v>
      </c>
      <c r="B10" s="17" t="n">
        <v>10022</v>
      </c>
      <c r="C10" s="18">
        <f>(7860.0/B10*100)</f>
        <v/>
      </c>
      <c r="D10" s="19" t="n">
        <v>2162</v>
      </c>
      <c r="E10" s="18" t="n">
        <v>33.96814138</v>
      </c>
      <c r="F10" s="20" t="n">
        <v>1.42558797</v>
      </c>
      <c r="G10" s="18" t="n">
        <v>65.19989630000001</v>
      </c>
      <c r="H10" s="20" t="n">
        <v>1.4405706</v>
      </c>
      <c r="I10" s="18" t="n">
        <v>0</v>
      </c>
      <c r="J10" s="20" t="n">
        <v>0</v>
      </c>
      <c r="K10" s="18" t="n">
        <v>0.58973805</v>
      </c>
      <c r="L10" s="20" t="n">
        <v>0.24493625</v>
      </c>
      <c r="M10" s="18" t="n">
        <v>0</v>
      </c>
      <c r="N10" s="20" t="n">
        <v>0</v>
      </c>
      <c r="O10" s="18" t="n">
        <v>0</v>
      </c>
      <c r="P10" s="20" t="n">
        <v>0</v>
      </c>
      <c r="Q10" s="18" t="n">
        <v>0.24222427</v>
      </c>
      <c r="R10" s="20" t="n">
        <v>0.13563075</v>
      </c>
    </row>
    <row r="11" spans="1:18">
      <c r="A11" s="15" t="s">
        <v>569</v>
      </c>
      <c r="B11" s="17" t="n">
        <v>3500</v>
      </c>
      <c r="C11" s="18">
        <f>(2784.0/B11*100)</f>
        <v/>
      </c>
      <c r="D11" s="19" t="n">
        <v>716</v>
      </c>
      <c r="E11" s="18" t="n">
        <v>41.78834289</v>
      </c>
      <c r="F11" s="20" t="n">
        <v>2.20308043</v>
      </c>
      <c r="G11" s="18" t="n">
        <v>55.92333579</v>
      </c>
      <c r="H11" s="20" t="n">
        <v>2.17012338</v>
      </c>
      <c r="I11" s="18" t="n">
        <v>0</v>
      </c>
      <c r="J11" s="20" t="n">
        <v>0</v>
      </c>
      <c r="K11" s="18" t="n">
        <v>0.95285315</v>
      </c>
      <c r="L11" s="20" t="n">
        <v>0.4447967</v>
      </c>
      <c r="M11" s="18" t="n">
        <v>0</v>
      </c>
      <c r="N11" s="20" t="n">
        <v>0</v>
      </c>
      <c r="O11" s="18" t="n">
        <v>0</v>
      </c>
      <c r="P11" s="20" t="n">
        <v>0</v>
      </c>
      <c r="Q11" s="18" t="n">
        <v>1.33546818</v>
      </c>
      <c r="R11" s="20" t="n">
        <v>0.51388371</v>
      </c>
    </row>
    <row r="12" spans="1:18">
      <c r="A12" s="15" t="s">
        <v>570</v>
      </c>
      <c r="B12" s="17" t="n">
        <v>3422</v>
      </c>
      <c r="C12" s="18">
        <f>(2666.0/B12*100)</f>
        <v/>
      </c>
      <c r="D12" s="19" t="n">
        <v>756</v>
      </c>
      <c r="E12" s="18" t="n">
        <v>61.90981812</v>
      </c>
      <c r="F12" s="20" t="n">
        <v>1.58852393</v>
      </c>
      <c r="G12" s="18" t="n">
        <v>36.7349804</v>
      </c>
      <c r="H12" s="20" t="n">
        <v>1.56883052</v>
      </c>
      <c r="I12" s="18" t="n">
        <v>0</v>
      </c>
      <c r="J12" s="20" t="n">
        <v>0</v>
      </c>
      <c r="K12" s="18" t="n">
        <v>0.41710771</v>
      </c>
      <c r="L12" s="20" t="n">
        <v>0.31839681</v>
      </c>
      <c r="M12" s="18" t="n">
        <v>0</v>
      </c>
      <c r="N12" s="20" t="n">
        <v>0</v>
      </c>
      <c r="O12" s="18" t="n">
        <v>0</v>
      </c>
      <c r="P12" s="20" t="n">
        <v>0</v>
      </c>
      <c r="Q12" s="18" t="n">
        <v>0.93809377</v>
      </c>
      <c r="R12" s="20" t="n">
        <v>0.38059535</v>
      </c>
    </row>
    <row r="13" spans="1:18">
      <c r="A13" s="15" t="s">
        <v>571</v>
      </c>
      <c r="B13" s="17" t="n">
        <v>3602</v>
      </c>
      <c r="C13" s="18">
        <f>(2846.0/B13*100)</f>
        <v/>
      </c>
      <c r="D13" s="19" t="n">
        <v>756</v>
      </c>
      <c r="E13" s="18" t="n">
        <v>43.89671046</v>
      </c>
      <c r="F13" s="20" t="n">
        <v>2.7358933</v>
      </c>
      <c r="G13" s="18" t="n">
        <v>55.54296576</v>
      </c>
      <c r="H13" s="20" t="n">
        <v>2.74966515</v>
      </c>
      <c r="I13" s="18" t="n">
        <v>0</v>
      </c>
      <c r="J13" s="20" t="n">
        <v>0</v>
      </c>
      <c r="K13" s="18" t="n">
        <v>0.31053699</v>
      </c>
      <c r="L13" s="20" t="n">
        <v>0.19350208</v>
      </c>
      <c r="M13" s="18" t="n">
        <v>0</v>
      </c>
      <c r="N13" s="20" t="n">
        <v>0</v>
      </c>
      <c r="O13" s="18" t="n">
        <v>0</v>
      </c>
      <c r="P13" s="20" t="n">
        <v>0</v>
      </c>
      <c r="Q13" s="18" t="n">
        <v>0.24978679</v>
      </c>
      <c r="R13" s="20" t="n">
        <v>0.13662513</v>
      </c>
    </row>
    <row r="14" spans="1:18">
      <c r="A14" s="15" t="s">
        <v>572</v>
      </c>
      <c r="B14" s="17" t="n">
        <v>2788</v>
      </c>
      <c r="C14" s="18">
        <f>(2188.0/B14*100)</f>
        <v/>
      </c>
      <c r="D14" s="19" t="n">
        <v>600</v>
      </c>
      <c r="E14" s="18" t="n">
        <v>51.88805406</v>
      </c>
      <c r="F14" s="20" t="n">
        <v>2.29956347</v>
      </c>
      <c r="G14" s="18" t="n">
        <v>47.32115389</v>
      </c>
      <c r="H14" s="20" t="n">
        <v>2.32917924</v>
      </c>
      <c r="I14" s="18" t="n">
        <v>0</v>
      </c>
      <c r="J14" s="20" t="n">
        <v>0</v>
      </c>
      <c r="K14" s="18" t="n">
        <v>0.64004067</v>
      </c>
      <c r="L14" s="20" t="n">
        <v>0.34488106</v>
      </c>
      <c r="M14" s="18" t="n">
        <v>0</v>
      </c>
      <c r="N14" s="20" t="n">
        <v>0</v>
      </c>
      <c r="O14" s="18" t="n">
        <v>0</v>
      </c>
      <c r="P14" s="20" t="n">
        <v>0</v>
      </c>
      <c r="Q14" s="18" t="n">
        <v>0.15075137</v>
      </c>
      <c r="R14" s="20" t="n">
        <v>0.1511818</v>
      </c>
    </row>
    <row r="15" spans="1:18">
      <c r="A15" s="15" t="s">
        <v>573</v>
      </c>
      <c r="B15" s="17" t="n">
        <v>2863</v>
      </c>
      <c r="C15" s="18">
        <f>(2249.0/B15*100)</f>
        <v/>
      </c>
      <c r="D15" s="19" t="n">
        <v>614</v>
      </c>
      <c r="E15" s="18" t="n">
        <v>32.9978459</v>
      </c>
      <c r="F15" s="20" t="n">
        <v>1.83534491</v>
      </c>
      <c r="G15" s="18" t="n">
        <v>66.67100832</v>
      </c>
      <c r="H15" s="20" t="n">
        <v>1.84583547</v>
      </c>
      <c r="I15" s="18" t="n">
        <v>0</v>
      </c>
      <c r="J15" s="20" t="n">
        <v>0</v>
      </c>
      <c r="K15" s="18" t="n">
        <v>0</v>
      </c>
      <c r="L15" s="20" t="n">
        <v>0</v>
      </c>
      <c r="M15" s="18" t="n">
        <v>0</v>
      </c>
      <c r="N15" s="20" t="n">
        <v>0</v>
      </c>
      <c r="O15" s="18" t="n">
        <v>0</v>
      </c>
      <c r="P15" s="20" t="n">
        <v>0</v>
      </c>
      <c r="Q15" s="18" t="n">
        <v>0.33114578</v>
      </c>
      <c r="R15" s="20" t="n">
        <v>0.22957606</v>
      </c>
    </row>
    <row r="16" spans="1:18">
      <c r="A16" s="15" t="s">
        <v>574</v>
      </c>
      <c r="B16" s="17" t="n">
        <v>3111</v>
      </c>
      <c r="C16" s="18">
        <f>(2451.0/B16*100)</f>
        <v/>
      </c>
      <c r="D16" s="19" t="n">
        <v>660</v>
      </c>
      <c r="E16" s="18" t="n">
        <v>38.25572006</v>
      </c>
      <c r="F16" s="20" t="n">
        <v>1.83049505</v>
      </c>
      <c r="G16" s="18" t="n">
        <v>59.65170785</v>
      </c>
      <c r="H16" s="20" t="n">
        <v>1.78472756</v>
      </c>
      <c r="I16" s="18" t="n">
        <v>0</v>
      </c>
      <c r="J16" s="20" t="n">
        <v>0</v>
      </c>
      <c r="K16" s="18" t="n">
        <v>0.56023045</v>
      </c>
      <c r="L16" s="20" t="n">
        <v>0.30357557</v>
      </c>
      <c r="M16" s="18" t="n">
        <v>0</v>
      </c>
      <c r="N16" s="20" t="n">
        <v>0</v>
      </c>
      <c r="O16" s="18" t="n">
        <v>0</v>
      </c>
      <c r="P16" s="20" t="n">
        <v>0</v>
      </c>
      <c r="Q16" s="18" t="n">
        <v>1.53234164</v>
      </c>
      <c r="R16" s="20" t="n">
        <v>0.60502551</v>
      </c>
    </row>
    <row r="17" spans="1:18">
      <c r="A17" s="15" t="s">
        <v>575</v>
      </c>
      <c r="B17" s="17" t="n">
        <v>3197</v>
      </c>
      <c r="C17" s="18">
        <f>(2477.0/B17*100)</f>
        <v/>
      </c>
      <c r="D17" s="19" t="n">
        <v>720</v>
      </c>
      <c r="E17" s="18" t="n">
        <v>39.59250181</v>
      </c>
      <c r="F17" s="20" t="n">
        <v>1.98192697</v>
      </c>
      <c r="G17" s="18" t="n">
        <v>59.55672044</v>
      </c>
      <c r="H17" s="20" t="n">
        <v>1.97069884</v>
      </c>
      <c r="I17" s="18" t="n">
        <v>0</v>
      </c>
      <c r="J17" s="20" t="n">
        <v>0</v>
      </c>
      <c r="K17" s="18" t="n">
        <v>0.13367035</v>
      </c>
      <c r="L17" s="20" t="n">
        <v>0.09455230000000001</v>
      </c>
      <c r="M17" s="18" t="n">
        <v>0</v>
      </c>
      <c r="N17" s="20" t="n">
        <v>0</v>
      </c>
      <c r="O17" s="18" t="n">
        <v>0</v>
      </c>
      <c r="P17" s="20" t="n">
        <v>0</v>
      </c>
      <c r="Q17" s="18" t="n">
        <v>0.7171074</v>
      </c>
      <c r="R17" s="20" t="n">
        <v>0.3062459</v>
      </c>
    </row>
    <row r="18" spans="1:18">
      <c r="A18" s="15" t="s">
        <v>576</v>
      </c>
      <c r="B18" s="17" t="n">
        <v>2706</v>
      </c>
      <c r="C18" s="18">
        <f>(2094.0/B18*100)</f>
        <v/>
      </c>
      <c r="D18" s="19" t="n">
        <v>612</v>
      </c>
      <c r="E18" s="18" t="n">
        <v>60.26800373</v>
      </c>
      <c r="F18" s="20" t="n">
        <v>1.91070448</v>
      </c>
      <c r="G18" s="18" t="n">
        <v>37.5874726</v>
      </c>
      <c r="H18" s="20" t="n">
        <v>1.84293066</v>
      </c>
      <c r="I18" s="18" t="n">
        <v>0</v>
      </c>
      <c r="J18" s="20" t="n">
        <v>0</v>
      </c>
      <c r="K18" s="18" t="n">
        <v>1.40494841</v>
      </c>
      <c r="L18" s="20" t="n">
        <v>0.58176267</v>
      </c>
      <c r="M18" s="18" t="n">
        <v>0</v>
      </c>
      <c r="N18" s="20" t="n">
        <v>0</v>
      </c>
      <c r="O18" s="18" t="n">
        <v>0</v>
      </c>
      <c r="P18" s="20" t="n">
        <v>0</v>
      </c>
      <c r="Q18" s="18" t="n">
        <v>0.73957526</v>
      </c>
      <c r="R18" s="20" t="n">
        <v>0.38169004</v>
      </c>
    </row>
    <row r="19" spans="1:18">
      <c r="A19" s="15" t="s">
        <v>577</v>
      </c>
      <c r="B19" s="17" t="n">
        <v>2850</v>
      </c>
      <c r="C19" s="18">
        <f>(2276.0/B19*100)</f>
        <v/>
      </c>
      <c r="D19" s="19" t="n">
        <v>574</v>
      </c>
      <c r="E19" s="18" t="n">
        <v>55.15908646</v>
      </c>
      <c r="F19" s="20" t="n">
        <v>1.97274514</v>
      </c>
      <c r="G19" s="18" t="n">
        <v>44.17656782</v>
      </c>
      <c r="H19" s="20" t="n">
        <v>1.98380972</v>
      </c>
      <c r="I19" s="18" t="n">
        <v>0</v>
      </c>
      <c r="J19" s="20" t="n">
        <v>0</v>
      </c>
      <c r="K19" s="18" t="n">
        <v>0.14863217</v>
      </c>
      <c r="L19" s="20" t="n">
        <v>0.1064876</v>
      </c>
      <c r="M19" s="18" t="n">
        <v>0</v>
      </c>
      <c r="N19" s="20" t="n">
        <v>0</v>
      </c>
      <c r="O19" s="18" t="n">
        <v>0</v>
      </c>
      <c r="P19" s="20" t="n">
        <v>0</v>
      </c>
      <c r="Q19" s="18" t="n">
        <v>0.51571355</v>
      </c>
      <c r="R19" s="20" t="n">
        <v>0.36560175</v>
      </c>
    </row>
    <row r="20" spans="1:18">
      <c r="A20" s="15" t="s">
        <v>578</v>
      </c>
      <c r="B20" s="17" t="n">
        <v>1741</v>
      </c>
      <c r="C20" s="18">
        <f>(1378.0/B20*100)</f>
        <v/>
      </c>
      <c r="D20" s="19" t="n">
        <v>363</v>
      </c>
      <c r="E20" s="18" t="n">
        <v>39.22847283</v>
      </c>
      <c r="F20" s="20" t="n">
        <v>2.53674562</v>
      </c>
      <c r="G20" s="18" t="n">
        <v>59.43101835</v>
      </c>
      <c r="H20" s="20" t="n">
        <v>2.5688762</v>
      </c>
      <c r="I20" s="18" t="n">
        <v>0</v>
      </c>
      <c r="J20" s="20" t="n">
        <v>0</v>
      </c>
      <c r="K20" s="18" t="n">
        <v>0</v>
      </c>
      <c r="L20" s="20" t="n">
        <v>0</v>
      </c>
      <c r="M20" s="18" t="n">
        <v>0</v>
      </c>
      <c r="N20" s="20" t="n">
        <v>0</v>
      </c>
      <c r="O20" s="18" t="n">
        <v>0</v>
      </c>
      <c r="P20" s="20" t="n">
        <v>0</v>
      </c>
      <c r="Q20" s="18" t="n">
        <v>1.34050882</v>
      </c>
      <c r="R20" s="20" t="n">
        <v>0.68483311</v>
      </c>
    </row>
    <row r="21" spans="1:18">
      <c r="A21" s="15" t="s">
        <v>579</v>
      </c>
      <c r="B21" s="17" t="n">
        <v>2833</v>
      </c>
      <c r="C21" s="18">
        <f>(2186.0/B21*100)</f>
        <v/>
      </c>
      <c r="D21" s="19" t="n">
        <v>647</v>
      </c>
      <c r="E21" s="18" t="n">
        <v>36.33496719</v>
      </c>
      <c r="F21" s="20" t="n">
        <v>2.06281119</v>
      </c>
      <c r="G21" s="18" t="n">
        <v>63.37611096</v>
      </c>
      <c r="H21" s="20" t="n">
        <v>2.05010478</v>
      </c>
      <c r="I21" s="18" t="n">
        <v>0</v>
      </c>
      <c r="J21" s="20" t="n">
        <v>0</v>
      </c>
      <c r="K21" s="18" t="n">
        <v>0.14703142</v>
      </c>
      <c r="L21" s="20" t="n">
        <v>0.14627596</v>
      </c>
      <c r="M21" s="18" t="n">
        <v>0</v>
      </c>
      <c r="N21" s="20" t="n">
        <v>0</v>
      </c>
      <c r="O21" s="18" t="n">
        <v>0</v>
      </c>
      <c r="P21" s="20" t="n">
        <v>0</v>
      </c>
      <c r="Q21" s="18" t="n">
        <v>0.14189043</v>
      </c>
      <c r="R21" s="20" t="n">
        <v>0.14152027</v>
      </c>
    </row>
    <row r="22" spans="1:18">
      <c r="A22" s="15" t="s">
        <v>580</v>
      </c>
      <c r="B22" s="17" t="n">
        <v>3667</v>
      </c>
      <c r="C22" s="18">
        <f>(2841.0/B22*100)</f>
        <v/>
      </c>
      <c r="D22" s="19" t="n">
        <v>826</v>
      </c>
      <c r="E22" s="18" t="n">
        <v>58.56523101</v>
      </c>
      <c r="F22" s="20" t="n">
        <v>1.76094261</v>
      </c>
      <c r="G22" s="18" t="n">
        <v>39.36725288</v>
      </c>
      <c r="H22" s="20" t="n">
        <v>1.90056925</v>
      </c>
      <c r="I22" s="18" t="n">
        <v>0</v>
      </c>
      <c r="J22" s="20" t="n">
        <v>0</v>
      </c>
      <c r="K22" s="18" t="n">
        <v>0.4783554</v>
      </c>
      <c r="L22" s="20" t="n">
        <v>0.28889804</v>
      </c>
      <c r="M22" s="18" t="n">
        <v>0</v>
      </c>
      <c r="N22" s="20" t="n">
        <v>0</v>
      </c>
      <c r="O22" s="18" t="n">
        <v>0</v>
      </c>
      <c r="P22" s="20" t="n">
        <v>0</v>
      </c>
      <c r="Q22" s="18" t="n">
        <v>1.58916072</v>
      </c>
      <c r="R22" s="20" t="n">
        <v>0.51001261</v>
      </c>
    </row>
    <row r="23" spans="1:18">
      <c r="A23" s="15" t="s">
        <v>581</v>
      </c>
      <c r="B23" s="17" t="n">
        <v>5792</v>
      </c>
      <c r="C23" s="18">
        <f>(4527.0/B23*100)</f>
        <v/>
      </c>
      <c r="D23" s="19" t="n">
        <v>1265</v>
      </c>
      <c r="E23" s="18" t="n">
        <v>56.38422665</v>
      </c>
      <c r="F23" s="20" t="n">
        <v>1.94507278</v>
      </c>
      <c r="G23" s="18" t="n">
        <v>41.76923052</v>
      </c>
      <c r="H23" s="20" t="n">
        <v>2.04234921</v>
      </c>
      <c r="I23" s="18" t="n">
        <v>0</v>
      </c>
      <c r="J23" s="20" t="n">
        <v>0</v>
      </c>
      <c r="K23" s="18" t="n">
        <v>0.86218682</v>
      </c>
      <c r="L23" s="20" t="n">
        <v>0.33495747</v>
      </c>
      <c r="M23" s="18" t="n">
        <v>0</v>
      </c>
      <c r="N23" s="20" t="n">
        <v>0</v>
      </c>
      <c r="O23" s="18" t="n">
        <v>0</v>
      </c>
      <c r="P23" s="20" t="n">
        <v>0</v>
      </c>
      <c r="Q23" s="18" t="n">
        <v>0.9843560099999999</v>
      </c>
      <c r="R23" s="20" t="n">
        <v>0.36225583</v>
      </c>
    </row>
    <row r="24" spans="1:18">
      <c r="A24" s="15" t="s">
        <v>582</v>
      </c>
      <c r="B24" s="17" t="n">
        <v>3309</v>
      </c>
      <c r="C24" s="18">
        <f>(2534.0/B24*100)</f>
        <v/>
      </c>
      <c r="D24" s="19" t="n">
        <v>775</v>
      </c>
      <c r="E24" s="18" t="n">
        <v>23.67314893</v>
      </c>
      <c r="F24" s="20" t="n">
        <v>1.37141126</v>
      </c>
      <c r="G24" s="18" t="n">
        <v>75.50253119</v>
      </c>
      <c r="H24" s="20" t="n">
        <v>1.42874647</v>
      </c>
      <c r="I24" s="18" t="n">
        <v>0</v>
      </c>
      <c r="J24" s="20" t="n">
        <v>0</v>
      </c>
      <c r="K24" s="18" t="n">
        <v>0.24964852</v>
      </c>
      <c r="L24" s="20" t="n">
        <v>0.17740494</v>
      </c>
      <c r="M24" s="18" t="n">
        <v>0</v>
      </c>
      <c r="N24" s="20" t="n">
        <v>0</v>
      </c>
      <c r="O24" s="18" t="n">
        <v>0</v>
      </c>
      <c r="P24" s="20" t="n">
        <v>0</v>
      </c>
      <c r="Q24" s="18" t="n">
        <v>0.57467136</v>
      </c>
      <c r="R24" s="20" t="n">
        <v>0.29728171</v>
      </c>
    </row>
    <row r="25" spans="1:18">
      <c r="A25" s="15" t="s">
        <v>583</v>
      </c>
      <c r="B25" s="17" t="n">
        <v>2669</v>
      </c>
      <c r="C25" s="18">
        <f>(2087.0/B25*100)</f>
        <v/>
      </c>
      <c r="D25" s="19" t="n">
        <v>582</v>
      </c>
      <c r="E25" s="18" t="n">
        <v>37.39388275</v>
      </c>
      <c r="F25" s="20" t="n">
        <v>2.37206569</v>
      </c>
      <c r="G25" s="18" t="n">
        <v>62.27898696</v>
      </c>
      <c r="H25" s="20" t="n">
        <v>2.32303913</v>
      </c>
      <c r="I25" s="18" t="n">
        <v>0</v>
      </c>
      <c r="J25" s="20" t="n">
        <v>0</v>
      </c>
      <c r="K25" s="18" t="n">
        <v>0.16309914</v>
      </c>
      <c r="L25" s="20" t="n">
        <v>0.16277181</v>
      </c>
      <c r="M25" s="18" t="n">
        <v>0</v>
      </c>
      <c r="N25" s="20" t="n">
        <v>0</v>
      </c>
      <c r="O25" s="18" t="n">
        <v>0</v>
      </c>
      <c r="P25" s="20" t="n">
        <v>0</v>
      </c>
      <c r="Q25" s="18" t="n">
        <v>0.16403115</v>
      </c>
      <c r="R25" s="20" t="n">
        <v>0.16490803</v>
      </c>
    </row>
    <row r="26" spans="1:18">
      <c r="A26" s="15" t="s">
        <v>584</v>
      </c>
      <c r="B26" s="17" t="n">
        <v>2419</v>
      </c>
      <c r="C26" s="18">
        <f>(1895.0/B26*100)</f>
        <v/>
      </c>
      <c r="D26" s="19" t="n">
        <v>524</v>
      </c>
      <c r="E26" s="18" t="n">
        <v>58.47783181</v>
      </c>
      <c r="F26" s="20" t="n">
        <v>2.18575616</v>
      </c>
      <c r="G26" s="18" t="n">
        <v>41.02317461</v>
      </c>
      <c r="H26" s="20" t="n">
        <v>2.19271811</v>
      </c>
      <c r="I26" s="18" t="n">
        <v>0</v>
      </c>
      <c r="J26" s="20" t="n">
        <v>0</v>
      </c>
      <c r="K26" s="18" t="n">
        <v>0.17745811</v>
      </c>
      <c r="L26" s="20" t="n">
        <v>0.17286011</v>
      </c>
      <c r="M26" s="18" t="n">
        <v>0</v>
      </c>
      <c r="N26" s="20" t="n">
        <v>0</v>
      </c>
      <c r="O26" s="18" t="n">
        <v>0</v>
      </c>
      <c r="P26" s="20" t="n">
        <v>0</v>
      </c>
      <c r="Q26" s="18" t="n">
        <v>0.32153547</v>
      </c>
      <c r="R26" s="20" t="n">
        <v>0.22993152</v>
      </c>
    </row>
    <row r="27" spans="1:18">
      <c r="A27" s="15" t="s">
        <v>585</v>
      </c>
      <c r="B27" s="17" t="n">
        <v>2683</v>
      </c>
      <c r="C27" s="18">
        <f>(2064.0/B27*100)</f>
        <v/>
      </c>
      <c r="D27" s="19" t="n">
        <v>619</v>
      </c>
      <c r="E27" s="18" t="n">
        <v>48.38415429</v>
      </c>
      <c r="F27" s="20" t="n">
        <v>2.0362472</v>
      </c>
      <c r="G27" s="18" t="n">
        <v>50.63034122</v>
      </c>
      <c r="H27" s="20" t="n">
        <v>2.05926291</v>
      </c>
      <c r="I27" s="18" t="n">
        <v>0</v>
      </c>
      <c r="J27" s="20" t="n">
        <v>0</v>
      </c>
      <c r="K27" s="18" t="n">
        <v>0.15535805</v>
      </c>
      <c r="L27" s="20" t="n">
        <v>0.15529128</v>
      </c>
      <c r="M27" s="18" t="n">
        <v>0</v>
      </c>
      <c r="N27" s="20" t="n">
        <v>0</v>
      </c>
      <c r="O27" s="18" t="n">
        <v>0</v>
      </c>
      <c r="P27" s="20" t="n">
        <v>0</v>
      </c>
      <c r="Q27" s="18" t="n">
        <v>0.83014643</v>
      </c>
      <c r="R27" s="20" t="n">
        <v>0.36763989</v>
      </c>
    </row>
    <row r="28" spans="1:18">
      <c r="A28" s="15" t="s">
        <v>586</v>
      </c>
      <c r="B28" s="17" t="n">
        <v>3803</v>
      </c>
      <c r="C28" s="18">
        <f>(3062.0/B28*100)</f>
        <v/>
      </c>
      <c r="D28" s="19" t="n">
        <v>741</v>
      </c>
      <c r="E28" s="18" t="n">
        <v>42.29592044</v>
      </c>
      <c r="F28" s="20" t="n">
        <v>2.09092212</v>
      </c>
      <c r="G28" s="18" t="n">
        <v>55.87711286</v>
      </c>
      <c r="H28" s="20" t="n">
        <v>2.0244571</v>
      </c>
      <c r="I28" s="18" t="n">
        <v>0</v>
      </c>
      <c r="J28" s="20" t="n">
        <v>0</v>
      </c>
      <c r="K28" s="18" t="n">
        <v>1.13200137</v>
      </c>
      <c r="L28" s="20" t="n">
        <v>0.33489342</v>
      </c>
      <c r="M28" s="18" t="n">
        <v>0</v>
      </c>
      <c r="N28" s="20" t="n">
        <v>0</v>
      </c>
      <c r="O28" s="18" t="n">
        <v>0</v>
      </c>
      <c r="P28" s="20" t="n">
        <v>0</v>
      </c>
      <c r="Q28" s="18" t="n">
        <v>0.69496533</v>
      </c>
      <c r="R28" s="20" t="n">
        <v>0.31510875</v>
      </c>
    </row>
    <row r="29" spans="1:18">
      <c r="A29" s="15" t="s">
        <v>587</v>
      </c>
      <c r="B29" s="17" t="n">
        <v>2700</v>
      </c>
      <c r="C29" s="18">
        <f>(2118.0/B29*100)</f>
        <v/>
      </c>
      <c r="D29" s="19" t="n">
        <v>582</v>
      </c>
      <c r="E29" s="18" t="n">
        <v>54.26246473</v>
      </c>
      <c r="F29" s="20" t="n">
        <v>2.18767994</v>
      </c>
      <c r="G29" s="18" t="n">
        <v>45.2893553</v>
      </c>
      <c r="H29" s="20" t="n">
        <v>2.13905209</v>
      </c>
      <c r="I29" s="18" t="n">
        <v>0</v>
      </c>
      <c r="J29" s="20" t="n">
        <v>0</v>
      </c>
      <c r="K29" s="18" t="n">
        <v>0</v>
      </c>
      <c r="L29" s="20" t="n">
        <v>0</v>
      </c>
      <c r="M29" s="18" t="n">
        <v>0</v>
      </c>
      <c r="N29" s="20" t="n">
        <v>0</v>
      </c>
      <c r="O29" s="18" t="n">
        <v>0</v>
      </c>
      <c r="P29" s="20" t="n">
        <v>0</v>
      </c>
      <c r="Q29" s="18" t="n">
        <v>0.44817996</v>
      </c>
      <c r="R29" s="20" t="n">
        <v>0.25135286</v>
      </c>
    </row>
    <row r="30" spans="1:18">
      <c r="A30" s="15" t="s">
        <v>588</v>
      </c>
      <c r="B30" s="17" t="n">
        <v>2257</v>
      </c>
      <c r="C30" s="18">
        <f>(1798.0/B30*100)</f>
        <v/>
      </c>
      <c r="D30" s="19" t="n">
        <v>459</v>
      </c>
      <c r="E30" s="18" t="n">
        <v>42.84175517</v>
      </c>
      <c r="F30" s="20" t="n">
        <v>2.31411097</v>
      </c>
      <c r="G30" s="18" t="n">
        <v>56.71615735</v>
      </c>
      <c r="H30" s="20" t="n">
        <v>2.27911398</v>
      </c>
      <c r="I30" s="18" t="n">
        <v>0</v>
      </c>
      <c r="J30" s="20" t="n">
        <v>0</v>
      </c>
      <c r="K30" s="18" t="n">
        <v>0</v>
      </c>
      <c r="L30" s="20" t="n">
        <v>0</v>
      </c>
      <c r="M30" s="18" t="n">
        <v>0</v>
      </c>
      <c r="N30" s="20" t="n">
        <v>0</v>
      </c>
      <c r="O30" s="18" t="n">
        <v>0</v>
      </c>
      <c r="P30" s="20" t="n">
        <v>0</v>
      </c>
      <c r="Q30" s="18" t="n">
        <v>0.44208749</v>
      </c>
      <c r="R30" s="20" t="n">
        <v>0.30926249</v>
      </c>
    </row>
    <row r="31" spans="1:18">
      <c r="A31" s="15" t="s">
        <v>589</v>
      </c>
      <c r="B31" s="17" t="n">
        <v>2706</v>
      </c>
      <c r="C31" s="18">
        <f>(2120.0/B31*100)</f>
        <v/>
      </c>
      <c r="D31" s="19" t="n">
        <v>586</v>
      </c>
      <c r="E31" s="18" t="n">
        <v>35.53459167</v>
      </c>
      <c r="F31" s="20" t="n">
        <v>2.17943388</v>
      </c>
      <c r="G31" s="18" t="n">
        <v>61.97351359</v>
      </c>
      <c r="H31" s="20" t="n">
        <v>2.10217942</v>
      </c>
      <c r="I31" s="18" t="n">
        <v>0</v>
      </c>
      <c r="J31" s="20" t="n">
        <v>0</v>
      </c>
      <c r="K31" s="18" t="n">
        <v>0.80754821</v>
      </c>
      <c r="L31" s="20" t="n">
        <v>0.36163495</v>
      </c>
      <c r="M31" s="18" t="n">
        <v>0</v>
      </c>
      <c r="N31" s="20" t="n">
        <v>0</v>
      </c>
      <c r="O31" s="18" t="n">
        <v>0</v>
      </c>
      <c r="P31" s="20" t="n">
        <v>0</v>
      </c>
      <c r="Q31" s="18" t="n">
        <v>1.68434653</v>
      </c>
      <c r="R31" s="20" t="n">
        <v>0.52709838</v>
      </c>
    </row>
    <row r="32" spans="1:18">
      <c r="A32" s="15" t="s">
        <v>590</v>
      </c>
      <c r="B32" s="17" t="n">
        <v>2209</v>
      </c>
      <c r="C32" s="18">
        <f>(1758.0/B32*100)</f>
        <v/>
      </c>
      <c r="D32" s="19" t="n">
        <v>451</v>
      </c>
      <c r="E32" s="18" t="n">
        <v>56.64225167</v>
      </c>
      <c r="F32" s="20" t="n">
        <v>2.30445136</v>
      </c>
      <c r="G32" s="18" t="n">
        <v>42.96994701</v>
      </c>
      <c r="H32" s="20" t="n">
        <v>2.27323077</v>
      </c>
      <c r="I32" s="18" t="n">
        <v>0</v>
      </c>
      <c r="J32" s="20" t="n">
        <v>0</v>
      </c>
      <c r="K32" s="18" t="n">
        <v>0</v>
      </c>
      <c r="L32" s="20" t="n">
        <v>0</v>
      </c>
      <c r="M32" s="18" t="n">
        <v>0</v>
      </c>
      <c r="N32" s="20" t="n">
        <v>0</v>
      </c>
      <c r="O32" s="18" t="n">
        <v>0</v>
      </c>
      <c r="P32" s="20" t="n">
        <v>0</v>
      </c>
      <c r="Q32" s="18" t="n">
        <v>0.38780131</v>
      </c>
      <c r="R32" s="20" t="n">
        <v>0.2786359</v>
      </c>
    </row>
    <row r="33" spans="1:18">
      <c r="A33" s="15" t="s">
        <v>591</v>
      </c>
      <c r="B33" s="17" t="n">
        <v>3651</v>
      </c>
      <c r="C33" s="18">
        <f>(2916.0/B33*100)</f>
        <v/>
      </c>
      <c r="D33" s="19" t="n">
        <v>735</v>
      </c>
      <c r="E33" s="18" t="n">
        <v>41.1517785</v>
      </c>
      <c r="F33" s="20" t="n">
        <v>2.36456594</v>
      </c>
      <c r="G33" s="18" t="n">
        <v>58.20858889</v>
      </c>
      <c r="H33" s="20" t="n">
        <v>2.40412775</v>
      </c>
      <c r="I33" s="18" t="n">
        <v>0</v>
      </c>
      <c r="J33" s="20" t="n">
        <v>0</v>
      </c>
      <c r="K33" s="18" t="n">
        <v>0.42288862</v>
      </c>
      <c r="L33" s="20" t="n">
        <v>0.26673231</v>
      </c>
      <c r="M33" s="18" t="n">
        <v>0</v>
      </c>
      <c r="N33" s="20" t="n">
        <v>0</v>
      </c>
      <c r="O33" s="18" t="n">
        <v>0</v>
      </c>
      <c r="P33" s="20" t="n">
        <v>0</v>
      </c>
      <c r="Q33" s="18" t="n">
        <v>0.21674398</v>
      </c>
      <c r="R33" s="20" t="n">
        <v>0.15729083</v>
      </c>
    </row>
    <row r="34" spans="1:18">
      <c r="A34" s="15" t="s">
        <v>592</v>
      </c>
      <c r="B34" s="17" t="n">
        <v>3035</v>
      </c>
      <c r="C34" s="18">
        <f>(2393.0/B34*100)</f>
        <v/>
      </c>
      <c r="D34" s="19" t="n">
        <v>642</v>
      </c>
      <c r="E34" s="18" t="n">
        <v>49.62476854</v>
      </c>
      <c r="F34" s="20" t="n">
        <v>2.02871351</v>
      </c>
      <c r="G34" s="18" t="n">
        <v>50.21423057</v>
      </c>
      <c r="H34" s="20" t="n">
        <v>2.00728526</v>
      </c>
      <c r="I34" s="18" t="n">
        <v>0</v>
      </c>
      <c r="J34" s="20" t="n">
        <v>0</v>
      </c>
      <c r="K34" s="18" t="n">
        <v>0.16100089</v>
      </c>
      <c r="L34" s="20" t="n">
        <v>0.22890869</v>
      </c>
      <c r="M34" s="18" t="n">
        <v>0</v>
      </c>
      <c r="N34" s="20" t="n">
        <v>0</v>
      </c>
      <c r="O34" s="18" t="n">
        <v>0</v>
      </c>
      <c r="P34" s="20" t="n">
        <v>0</v>
      </c>
      <c r="Q34" s="18" t="n">
        <v>0</v>
      </c>
      <c r="R34" s="20" t="n">
        <v>0</v>
      </c>
    </row>
    <row r="35" spans="1:18">
      <c r="A35" s="15" t="s">
        <v>593</v>
      </c>
      <c r="B35" s="17" t="n">
        <v>2901</v>
      </c>
      <c r="C35" s="18">
        <f>(2248.0/B35*100)</f>
        <v/>
      </c>
      <c r="D35" s="19" t="n">
        <v>653</v>
      </c>
      <c r="E35" s="18" t="n">
        <v>43.35501924</v>
      </c>
      <c r="F35" s="20" t="n">
        <v>2.21240883</v>
      </c>
      <c r="G35" s="18" t="n">
        <v>56.33174711</v>
      </c>
      <c r="H35" s="20" t="n">
        <v>2.23778482</v>
      </c>
      <c r="I35" s="18" t="n">
        <v>0</v>
      </c>
      <c r="J35" s="20" t="n">
        <v>0</v>
      </c>
      <c r="K35" s="18" t="n">
        <v>0</v>
      </c>
      <c r="L35" s="20" t="n">
        <v>0</v>
      </c>
      <c r="M35" s="18" t="n">
        <v>0</v>
      </c>
      <c r="N35" s="20" t="n">
        <v>0</v>
      </c>
      <c r="O35" s="18" t="n">
        <v>0</v>
      </c>
      <c r="P35" s="20" t="n">
        <v>0</v>
      </c>
      <c r="Q35" s="18" t="n">
        <v>0.31323365</v>
      </c>
      <c r="R35" s="20" t="n">
        <v>0.15904473</v>
      </c>
    </row>
    <row r="36" spans="1:18">
      <c r="A36" s="15" t="s">
        <v>594</v>
      </c>
      <c r="B36" s="17" t="n">
        <v>3404</v>
      </c>
      <c r="C36" s="18">
        <f>(2686.0/B36*100)</f>
        <v/>
      </c>
      <c r="D36" s="19" t="n">
        <v>718</v>
      </c>
      <c r="E36" s="18" t="n">
        <v>38.97930288</v>
      </c>
      <c r="F36" s="20" t="n">
        <v>2.13118454</v>
      </c>
      <c r="G36" s="18" t="n">
        <v>59.79085014</v>
      </c>
      <c r="H36" s="20" t="n">
        <v>2.2152789</v>
      </c>
      <c r="I36" s="18" t="n">
        <v>0</v>
      </c>
      <c r="J36" s="20" t="n">
        <v>0</v>
      </c>
      <c r="K36" s="18" t="n">
        <v>0.17314154</v>
      </c>
      <c r="L36" s="20" t="n">
        <v>0.18118068</v>
      </c>
      <c r="M36" s="18" t="n">
        <v>0</v>
      </c>
      <c r="N36" s="20" t="n">
        <v>0</v>
      </c>
      <c r="O36" s="18" t="n">
        <v>0</v>
      </c>
      <c r="P36" s="20" t="n">
        <v>0</v>
      </c>
      <c r="Q36" s="18" t="n">
        <v>1.05670543</v>
      </c>
      <c r="R36" s="20" t="n">
        <v>0.39762981</v>
      </c>
    </row>
    <row r="37" spans="1:18">
      <c r="A37" s="15" t="s">
        <v>595</v>
      </c>
      <c r="B37" s="17" t="n">
        <v>2731</v>
      </c>
      <c r="C37" s="18">
        <f>(2155.0/B37*100)</f>
        <v/>
      </c>
      <c r="D37" s="19" t="n">
        <v>576</v>
      </c>
      <c r="E37" s="18" t="n">
        <v>33.56679382</v>
      </c>
      <c r="F37" s="20" t="n">
        <v>2.26452093</v>
      </c>
      <c r="G37" s="18" t="n">
        <v>64.17946901000001</v>
      </c>
      <c r="H37" s="20" t="n">
        <v>2.46504725</v>
      </c>
      <c r="I37" s="18" t="n">
        <v>0</v>
      </c>
      <c r="J37" s="20" t="n">
        <v>0</v>
      </c>
      <c r="K37" s="18" t="n">
        <v>0.74692129</v>
      </c>
      <c r="L37" s="20" t="n">
        <v>0.39167399</v>
      </c>
      <c r="M37" s="18" t="n">
        <v>0</v>
      </c>
      <c r="N37" s="20" t="n">
        <v>0</v>
      </c>
      <c r="O37" s="18" t="n">
        <v>0</v>
      </c>
      <c r="P37" s="20" t="n">
        <v>0</v>
      </c>
      <c r="Q37" s="18" t="n">
        <v>1.50681588</v>
      </c>
      <c r="R37" s="20" t="n">
        <v>0.56515773</v>
      </c>
    </row>
    <row r="38" spans="1:18">
      <c r="A38" s="15" t="s">
        <v>596</v>
      </c>
      <c r="B38" s="17" t="n">
        <v>2807</v>
      </c>
      <c r="C38" s="18">
        <f>(2174.0/B38*100)</f>
        <v/>
      </c>
      <c r="D38" s="19" t="n">
        <v>633</v>
      </c>
      <c r="E38" s="18" t="n">
        <v>37.28521725</v>
      </c>
      <c r="F38" s="20" t="n">
        <v>2.23052154</v>
      </c>
      <c r="G38" s="18" t="n">
        <v>61.78071423</v>
      </c>
      <c r="H38" s="20" t="n">
        <v>2.27754277</v>
      </c>
      <c r="I38" s="18" t="n">
        <v>0</v>
      </c>
      <c r="J38" s="20" t="n">
        <v>0</v>
      </c>
      <c r="K38" s="18" t="n">
        <v>0.03075175</v>
      </c>
      <c r="L38" s="20" t="n">
        <v>0.02982123</v>
      </c>
      <c r="M38" s="18" t="n">
        <v>0</v>
      </c>
      <c r="N38" s="20" t="n">
        <v>0</v>
      </c>
      <c r="O38" s="18" t="n">
        <v>0</v>
      </c>
      <c r="P38" s="20" t="n">
        <v>0</v>
      </c>
      <c r="Q38" s="18" t="n">
        <v>0.90331677</v>
      </c>
      <c r="R38" s="20" t="n">
        <v>0.38792035</v>
      </c>
    </row>
    <row r="39" spans="1:18">
      <c r="A39" s="15" t="s">
        <v>597</v>
      </c>
      <c r="B39" s="17" t="n">
        <v>2938</v>
      </c>
      <c r="C39" s="18">
        <f>(2275.0/B39*100)</f>
        <v/>
      </c>
      <c r="D39" s="19" t="n">
        <v>663</v>
      </c>
      <c r="E39" s="18" t="n">
        <v>55.94489069</v>
      </c>
      <c r="F39" s="20" t="n">
        <v>2.4385156</v>
      </c>
      <c r="G39" s="18" t="n">
        <v>42.97316685</v>
      </c>
      <c r="H39" s="20" t="n">
        <v>2.38572078</v>
      </c>
      <c r="I39" s="18" t="n">
        <v>0</v>
      </c>
      <c r="J39" s="20" t="n">
        <v>0</v>
      </c>
      <c r="K39" s="18" t="n">
        <v>0</v>
      </c>
      <c r="L39" s="20" t="n">
        <v>0</v>
      </c>
      <c r="M39" s="18" t="n">
        <v>0</v>
      </c>
      <c r="N39" s="20" t="n">
        <v>0</v>
      </c>
      <c r="O39" s="18" t="n">
        <v>0</v>
      </c>
      <c r="P39" s="20" t="n">
        <v>0</v>
      </c>
      <c r="Q39" s="18" t="n">
        <v>1.08194245</v>
      </c>
      <c r="R39" s="20" t="n">
        <v>0.55155325</v>
      </c>
    </row>
    <row r="40" spans="1:18">
      <c r="A40" s="15" t="s">
        <v>598</v>
      </c>
      <c r="B40" s="17" t="n">
        <v>6922</v>
      </c>
      <c r="C40" s="18">
        <f>(5476.0/B40*100)</f>
        <v/>
      </c>
      <c r="D40" s="19" t="n">
        <v>1446</v>
      </c>
      <c r="E40" s="18" t="n">
        <v>43.77789867</v>
      </c>
      <c r="F40" s="20" t="n">
        <v>2.33515339</v>
      </c>
      <c r="G40" s="18" t="n">
        <v>55.03446696</v>
      </c>
      <c r="H40" s="20" t="n">
        <v>2.31411462</v>
      </c>
      <c r="I40" s="18" t="n">
        <v>0</v>
      </c>
      <c r="J40" s="20" t="n">
        <v>0</v>
      </c>
      <c r="K40" s="18" t="n">
        <v>0.34160189</v>
      </c>
      <c r="L40" s="20" t="n">
        <v>0.2336378</v>
      </c>
      <c r="M40" s="18" t="n">
        <v>0</v>
      </c>
      <c r="N40" s="20" t="n">
        <v>0</v>
      </c>
      <c r="O40" s="18" t="n">
        <v>0</v>
      </c>
      <c r="P40" s="20" t="n">
        <v>0</v>
      </c>
      <c r="Q40" s="18" t="n">
        <v>0.84603247</v>
      </c>
      <c r="R40" s="20" t="n">
        <v>0.33795772</v>
      </c>
    </row>
    <row r="41" spans="1:18">
      <c r="A41" s="15" t="s">
        <v>599</v>
      </c>
      <c r="B41" s="17" t="n">
        <v>2854</v>
      </c>
      <c r="C41" s="18">
        <f>(2208.0/B41*100)</f>
        <v/>
      </c>
      <c r="D41" s="19" t="n">
        <v>646</v>
      </c>
      <c r="E41" s="18" t="n">
        <v>51.80647556</v>
      </c>
      <c r="F41" s="20" t="n">
        <v>2.06965444</v>
      </c>
      <c r="G41" s="18" t="n">
        <v>47.44351577</v>
      </c>
      <c r="H41" s="20" t="n">
        <v>2.07720903</v>
      </c>
      <c r="I41" s="18" t="n">
        <v>0</v>
      </c>
      <c r="J41" s="20" t="n">
        <v>0</v>
      </c>
      <c r="K41" s="18" t="n">
        <v>0.61292569</v>
      </c>
      <c r="L41" s="20" t="n">
        <v>0.3781567</v>
      </c>
      <c r="M41" s="18" t="n">
        <v>0</v>
      </c>
      <c r="N41" s="20" t="n">
        <v>0</v>
      </c>
      <c r="O41" s="18" t="n">
        <v>0</v>
      </c>
      <c r="P41" s="20" t="n">
        <v>0</v>
      </c>
      <c r="Q41" s="18" t="n">
        <v>0.13708298</v>
      </c>
      <c r="R41" s="20" t="n">
        <v>0.14019738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(9986.0/B46*100)</f>
        <v/>
      </c>
      <c r="D46" s="19" t="n">
        <v>2087</v>
      </c>
      <c r="E46" s="18" t="n">
        <v>59.51740426</v>
      </c>
      <c r="F46" s="20" t="n">
        <v>1.6273908</v>
      </c>
      <c r="G46" s="18" t="n">
        <v>36.80751057</v>
      </c>
      <c r="H46" s="20" t="n">
        <v>1.6443585</v>
      </c>
      <c r="I46" s="18" t="n">
        <v>0</v>
      </c>
      <c r="J46" s="20" t="n">
        <v>0</v>
      </c>
      <c r="K46" s="18" t="n">
        <v>1.63057626</v>
      </c>
      <c r="L46" s="20" t="n">
        <v>0.41768279</v>
      </c>
      <c r="M46" s="18" t="n">
        <v>0</v>
      </c>
      <c r="N46" s="20" t="n">
        <v>0</v>
      </c>
      <c r="O46" s="18" t="n">
        <v>0</v>
      </c>
      <c r="P46" s="20" t="n">
        <v>0</v>
      </c>
      <c r="Q46" s="18" t="n">
        <v>2.04450891</v>
      </c>
      <c r="R46" s="20" t="n">
        <v>0.45751309</v>
      </c>
    </row>
    <row r="47" spans="1:18">
      <c r="A47" s="15" t="s">
        <v>606</v>
      </c>
      <c r="B47" s="17" t="n">
        <v>2823</v>
      </c>
      <c r="C47" s="18">
        <f>(2226.0/B47*100)</f>
        <v/>
      </c>
      <c r="D47" s="19" t="n">
        <v>597</v>
      </c>
      <c r="E47" s="18" t="n">
        <v>57.47431</v>
      </c>
      <c r="F47" s="20" t="n">
        <v>2.12758817</v>
      </c>
      <c r="G47" s="18" t="n">
        <v>40.79742488</v>
      </c>
      <c r="H47" s="20" t="n">
        <v>2.24394447</v>
      </c>
      <c r="I47" s="18" t="n">
        <v>0</v>
      </c>
      <c r="J47" s="20" t="n">
        <v>0</v>
      </c>
      <c r="K47" s="18" t="n">
        <v>0.33326094</v>
      </c>
      <c r="L47" s="20" t="n">
        <v>0.23630139</v>
      </c>
      <c r="M47" s="18" t="n">
        <v>0</v>
      </c>
      <c r="N47" s="20" t="n">
        <v>0</v>
      </c>
      <c r="O47" s="18" t="n">
        <v>0</v>
      </c>
      <c r="P47" s="20" t="n">
        <v>0</v>
      </c>
      <c r="Q47" s="18" t="n">
        <v>1.39500418</v>
      </c>
      <c r="R47" s="20" t="n">
        <v>0.47761539</v>
      </c>
    </row>
    <row r="48" spans="1:18">
      <c r="A48" s="15" t="s">
        <v>607</v>
      </c>
      <c r="B48" s="17" t="n">
        <v>4682</v>
      </c>
      <c r="C48" s="18">
        <f>(3636.0/B48*100)</f>
        <v/>
      </c>
      <c r="D48" s="19" t="n">
        <v>1046</v>
      </c>
      <c r="E48" s="18" t="n">
        <v>36.78940363</v>
      </c>
      <c r="F48" s="20" t="n">
        <v>2.24784156</v>
      </c>
      <c r="G48" s="18" t="n">
        <v>62.26145127</v>
      </c>
      <c r="H48" s="20" t="n">
        <v>2.29636308</v>
      </c>
      <c r="I48" s="18" t="n">
        <v>0</v>
      </c>
      <c r="J48" s="20" t="n">
        <v>0</v>
      </c>
      <c r="K48" s="18" t="n">
        <v>0.8960328</v>
      </c>
      <c r="L48" s="20" t="n">
        <v>0.36749375</v>
      </c>
      <c r="M48" s="18" t="n">
        <v>0</v>
      </c>
      <c r="N48" s="20" t="n">
        <v>0</v>
      </c>
      <c r="O48" s="18" t="n">
        <v>0</v>
      </c>
      <c r="P48" s="20" t="n">
        <v>0</v>
      </c>
      <c r="Q48" s="18" t="n">
        <v>0.0531123</v>
      </c>
      <c r="R48" s="20" t="n">
        <v>0.04767522</v>
      </c>
    </row>
    <row r="49" spans="1:18">
      <c r="A49" s="15" t="s">
        <v>608</v>
      </c>
      <c r="B49" s="17" t="n">
        <v>6158</v>
      </c>
      <c r="C49" s="18">
        <f>(4875.0/B49*100)</f>
        <v/>
      </c>
      <c r="D49" s="19" t="n">
        <v>1283</v>
      </c>
      <c r="E49" s="18" t="n">
        <v>49.70850087</v>
      </c>
      <c r="F49" s="20" t="n">
        <v>1.81444899</v>
      </c>
      <c r="G49" s="18" t="n">
        <v>47.27464975</v>
      </c>
      <c r="H49" s="20" t="n">
        <v>1.90561035</v>
      </c>
      <c r="I49" s="18" t="n">
        <v>0</v>
      </c>
      <c r="J49" s="20" t="n">
        <v>0</v>
      </c>
      <c r="K49" s="18" t="n">
        <v>2.22836075</v>
      </c>
      <c r="L49" s="20" t="n">
        <v>0.60834023</v>
      </c>
      <c r="M49" s="18" t="n">
        <v>0</v>
      </c>
      <c r="N49" s="20" t="n">
        <v>0</v>
      </c>
      <c r="O49" s="18" t="n">
        <v>0</v>
      </c>
      <c r="P49" s="20" t="n">
        <v>0</v>
      </c>
      <c r="Q49" s="18" t="n">
        <v>0.78848864</v>
      </c>
      <c r="R49" s="20" t="n">
        <v>0.29939669</v>
      </c>
    </row>
    <row r="50" spans="1:18">
      <c r="A50" s="15" t="s">
        <v>609</v>
      </c>
      <c r="B50" s="17" t="n">
        <v>3494</v>
      </c>
      <c r="C50" s="18">
        <f>(2813.0/B50*100)</f>
        <v/>
      </c>
      <c r="D50" s="19" t="n">
        <v>681</v>
      </c>
      <c r="E50" s="18" t="n">
        <v>50.285764</v>
      </c>
      <c r="F50" s="20" t="n">
        <v>2.34450733</v>
      </c>
      <c r="G50" s="18" t="n">
        <v>48.61383386</v>
      </c>
      <c r="H50" s="20" t="n">
        <v>2.3842621</v>
      </c>
      <c r="I50" s="18" t="n">
        <v>0</v>
      </c>
      <c r="J50" s="20" t="n">
        <v>0</v>
      </c>
      <c r="K50" s="18" t="n">
        <v>0.34009618</v>
      </c>
      <c r="L50" s="20" t="n">
        <v>0.25625552</v>
      </c>
      <c r="M50" s="18" t="n">
        <v>0</v>
      </c>
      <c r="N50" s="20" t="n">
        <v>0</v>
      </c>
      <c r="O50" s="18" t="n">
        <v>0</v>
      </c>
      <c r="P50" s="20" t="n">
        <v>0</v>
      </c>
      <c r="Q50" s="18" t="n">
        <v>0.7603059599999999</v>
      </c>
      <c r="R50" s="20" t="n">
        <v>0.44497194</v>
      </c>
    </row>
    <row r="51" spans="1:18">
      <c r="A51" s="15" t="s">
        <v>610</v>
      </c>
      <c r="B51" s="17" t="n">
        <v>3013</v>
      </c>
      <c r="C51" s="18">
        <f>(2351.0/B51*100)</f>
        <v/>
      </c>
      <c r="D51" s="19" t="n">
        <v>662</v>
      </c>
      <c r="E51" s="18" t="n">
        <v>62.13350103</v>
      </c>
      <c r="F51" s="20" t="n">
        <v>1.71261028</v>
      </c>
      <c r="G51" s="18" t="n">
        <v>36.96011248</v>
      </c>
      <c r="H51" s="20" t="n">
        <v>1.6542187</v>
      </c>
      <c r="I51" s="18" t="n">
        <v>0</v>
      </c>
      <c r="J51" s="20" t="n">
        <v>0</v>
      </c>
      <c r="K51" s="18" t="n">
        <v>0.13937004</v>
      </c>
      <c r="L51" s="20" t="n">
        <v>0.13899087</v>
      </c>
      <c r="M51" s="18" t="n">
        <v>0</v>
      </c>
      <c r="N51" s="20" t="n">
        <v>0</v>
      </c>
      <c r="O51" s="18" t="n">
        <v>0</v>
      </c>
      <c r="P51" s="20" t="n">
        <v>0</v>
      </c>
      <c r="Q51" s="18" t="n">
        <v>0.76701645</v>
      </c>
      <c r="R51" s="20" t="n">
        <v>0.34921281</v>
      </c>
    </row>
    <row r="52" spans="1:18">
      <c r="A52" s="15" t="s">
        <v>611</v>
      </c>
      <c r="B52" s="17" t="n">
        <v>2760</v>
      </c>
      <c r="C52" s="18">
        <f>(2149.0/B52*100)</f>
        <v/>
      </c>
      <c r="D52" s="19" t="n">
        <v>611</v>
      </c>
      <c r="E52" s="18" t="n">
        <v>54.76328096</v>
      </c>
      <c r="F52" s="20" t="n">
        <v>2.20908683</v>
      </c>
      <c r="G52" s="18" t="n">
        <v>43.74977131</v>
      </c>
      <c r="H52" s="20" t="n">
        <v>2.20458778</v>
      </c>
      <c r="I52" s="18" t="n">
        <v>0</v>
      </c>
      <c r="J52" s="20" t="n">
        <v>0</v>
      </c>
      <c r="K52" s="18" t="n">
        <v>0.50085879</v>
      </c>
      <c r="L52" s="20" t="n">
        <v>0.29111018</v>
      </c>
      <c r="M52" s="18" t="n">
        <v>0</v>
      </c>
      <c r="N52" s="20" t="n">
        <v>0</v>
      </c>
      <c r="O52" s="18" t="n">
        <v>0</v>
      </c>
      <c r="P52" s="20" t="n">
        <v>0</v>
      </c>
      <c r="Q52" s="18" t="n">
        <v>0.98608894</v>
      </c>
      <c r="R52" s="20" t="n">
        <v>0.37510671</v>
      </c>
    </row>
    <row r="53" spans="1:18">
      <c r="A53" s="15" t="s">
        <v>612</v>
      </c>
      <c r="B53" s="17" t="n">
        <v>2474</v>
      </c>
      <c r="C53" s="18">
        <f>(1944.0/B53*100)</f>
        <v/>
      </c>
      <c r="D53" s="19" t="n">
        <v>530</v>
      </c>
      <c r="E53" s="18" t="n">
        <v>58.51151277</v>
      </c>
      <c r="F53" s="20" t="n">
        <v>2.48995663</v>
      </c>
      <c r="G53" s="18" t="n">
        <v>19.91865114</v>
      </c>
      <c r="H53" s="20" t="n">
        <v>2.07952814</v>
      </c>
      <c r="I53" s="18" t="n">
        <v>0</v>
      </c>
      <c r="J53" s="20" t="n">
        <v>0</v>
      </c>
      <c r="K53" s="18" t="n">
        <v>17.9354687</v>
      </c>
      <c r="L53" s="20" t="n">
        <v>1.98902487</v>
      </c>
      <c r="M53" s="18" t="n">
        <v>0</v>
      </c>
      <c r="N53" s="20" t="n">
        <v>0</v>
      </c>
      <c r="O53" s="18" t="n">
        <v>0</v>
      </c>
      <c r="P53" s="20" t="n">
        <v>0</v>
      </c>
      <c r="Q53" s="18" t="n">
        <v>3.63436739</v>
      </c>
      <c r="R53" s="20" t="n">
        <v>0.80666347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(2045.0/B55*100)</f>
        <v/>
      </c>
      <c r="D55" s="19" t="n">
        <v>630</v>
      </c>
      <c r="E55" s="18" t="n">
        <v>26.76754322</v>
      </c>
      <c r="F55" s="20" t="n">
        <v>2.01568039</v>
      </c>
      <c r="G55" s="18" t="n">
        <v>73.23245678000001</v>
      </c>
      <c r="H55" s="20" t="n">
        <v>2.01568039</v>
      </c>
      <c r="I55" s="18" t="n">
        <v>0</v>
      </c>
      <c r="J55" s="20" t="n">
        <v>0</v>
      </c>
      <c r="K55" s="18" t="n">
        <v>0</v>
      </c>
      <c r="L55" s="20" t="n">
        <v>0</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(2481.0/B61*100)</f>
        <v/>
      </c>
      <c r="D61" s="19" t="n">
        <v>720</v>
      </c>
      <c r="E61" s="18" t="n">
        <v>60.27334701</v>
      </c>
      <c r="F61" s="20" t="n">
        <v>2.03395983</v>
      </c>
      <c r="G61" s="18" t="n">
        <v>38.93484738</v>
      </c>
      <c r="H61" s="20" t="n">
        <v>2.02404024</v>
      </c>
      <c r="I61" s="18" t="n">
        <v>0</v>
      </c>
      <c r="J61" s="20" t="n">
        <v>0</v>
      </c>
      <c r="K61" s="18" t="n">
        <v>0.05501373</v>
      </c>
      <c r="L61" s="20" t="n">
        <v>0.05483139</v>
      </c>
      <c r="M61" s="18" t="n">
        <v>0</v>
      </c>
      <c r="N61" s="20" t="n">
        <v>0</v>
      </c>
      <c r="O61" s="18" t="n">
        <v>0</v>
      </c>
      <c r="P61" s="20" t="n">
        <v>0</v>
      </c>
      <c r="Q61" s="18" t="n">
        <v>0.73679188</v>
      </c>
      <c r="R61" s="20" t="n">
        <v>0.32722132</v>
      </c>
    </row>
    <row r="62" spans="1:18">
      <c r="A62" s="15" t="s">
        <v>622</v>
      </c>
      <c r="B62" s="17" t="n">
        <v>2230</v>
      </c>
      <c r="C62" s="18">
        <f>(1733.0/B62*100)</f>
        <v/>
      </c>
      <c r="D62" s="19" t="n">
        <v>497</v>
      </c>
      <c r="E62" s="18" t="n">
        <v>29.25312271</v>
      </c>
      <c r="F62" s="20" t="n">
        <v>1.96337986</v>
      </c>
      <c r="G62" s="18" t="n">
        <v>70.74687729</v>
      </c>
      <c r="H62" s="20" t="n">
        <v>1.96337986</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(2187.0/B67*100)</f>
        <v/>
      </c>
      <c r="D67" s="19" t="n">
        <v>584</v>
      </c>
      <c r="E67" s="18" t="n">
        <v>68.16993749</v>
      </c>
      <c r="F67" s="20" t="n">
        <v>2.06202987</v>
      </c>
      <c r="G67" s="18" t="n">
        <v>27.87223215</v>
      </c>
      <c r="H67" s="20" t="n">
        <v>1.8137704</v>
      </c>
      <c r="I67" s="18" t="n">
        <v>0</v>
      </c>
      <c r="J67" s="20" t="n">
        <v>0</v>
      </c>
      <c r="K67" s="18" t="n">
        <v>0.75469938</v>
      </c>
      <c r="L67" s="20" t="n">
        <v>0.33849916</v>
      </c>
      <c r="M67" s="18" t="n">
        <v>0</v>
      </c>
      <c r="N67" s="20" t="n">
        <v>0</v>
      </c>
      <c r="O67" s="18" t="n">
        <v>0</v>
      </c>
      <c r="P67" s="20" t="n">
        <v>0</v>
      </c>
      <c r="Q67" s="18" t="n">
        <v>3.20313097</v>
      </c>
      <c r="R67" s="20" t="n">
        <v>0.68491362</v>
      </c>
    </row>
    <row r="68" spans="1:18">
      <c r="A68" s="15" t="s">
        <v>628</v>
      </c>
      <c r="B68" s="17" t="n">
        <v>3460</v>
      </c>
      <c r="C68" s="18">
        <f>(2834.0/B68*100)</f>
        <v/>
      </c>
      <c r="D68" s="19" t="n">
        <v>626</v>
      </c>
      <c r="E68" s="18" t="n">
        <v>54.34371338</v>
      </c>
      <c r="F68" s="20" t="n">
        <v>2.27899437</v>
      </c>
      <c r="G68" s="18" t="n">
        <v>44.78858604</v>
      </c>
      <c r="H68" s="20" t="n">
        <v>2.2980621</v>
      </c>
      <c r="I68" s="18" t="n">
        <v>0</v>
      </c>
      <c r="J68" s="20" t="n">
        <v>0</v>
      </c>
      <c r="K68" s="18" t="n">
        <v>0.55176991</v>
      </c>
      <c r="L68" s="20" t="n">
        <v>0.3209849</v>
      </c>
      <c r="M68" s="18" t="n">
        <v>0</v>
      </c>
      <c r="N68" s="20" t="n">
        <v>0</v>
      </c>
      <c r="O68" s="18" t="n">
        <v>0</v>
      </c>
      <c r="P68" s="20" t="n">
        <v>0</v>
      </c>
      <c r="Q68" s="18" t="n">
        <v>0.31593067</v>
      </c>
      <c r="R68" s="20" t="n">
        <v>0.22164755</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(4652.0/B70*100)</f>
        <v/>
      </c>
      <c r="D70" s="19" t="n">
        <v>1382</v>
      </c>
      <c r="E70" s="18" t="n">
        <v>56.75887591</v>
      </c>
      <c r="F70" s="20" t="n">
        <v>1.2902717</v>
      </c>
      <c r="G70" s="18" t="n">
        <v>39.72084707</v>
      </c>
      <c r="H70" s="20" t="n">
        <v>1.26879959</v>
      </c>
      <c r="I70" s="18" t="n">
        <v>0</v>
      </c>
      <c r="J70" s="20" t="n">
        <v>0</v>
      </c>
      <c r="K70" s="18" t="n">
        <v>2.86649732</v>
      </c>
      <c r="L70" s="20" t="n">
        <v>0.45643075</v>
      </c>
      <c r="M70" s="18" t="n">
        <v>0</v>
      </c>
      <c r="N70" s="20" t="n">
        <v>0</v>
      </c>
      <c r="O70" s="18" t="n">
        <v>0</v>
      </c>
      <c r="P70" s="20" t="n">
        <v>0</v>
      </c>
      <c r="Q70" s="18" t="n">
        <v>0.6537797</v>
      </c>
      <c r="R70" s="20" t="n">
        <v>0.2205436</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(2523.0/B72*100)</f>
        <v/>
      </c>
      <c r="D72" s="19" t="n">
        <v>584</v>
      </c>
      <c r="E72" s="18" t="n">
        <v>60.82989796</v>
      </c>
      <c r="F72" s="20" t="n">
        <v>2.05772274</v>
      </c>
      <c r="G72" s="18" t="n">
        <v>37.87209556</v>
      </c>
      <c r="H72" s="20" t="n">
        <v>2.04817014</v>
      </c>
      <c r="I72" s="18" t="n">
        <v>0</v>
      </c>
      <c r="J72" s="20" t="n">
        <v>0</v>
      </c>
      <c r="K72" s="18" t="n">
        <v>0.56748382</v>
      </c>
      <c r="L72" s="20" t="n">
        <v>0.27204344</v>
      </c>
      <c r="M72" s="18" t="n">
        <v>0</v>
      </c>
      <c r="N72" s="20" t="n">
        <v>0</v>
      </c>
      <c r="O72" s="18" t="n">
        <v>0</v>
      </c>
      <c r="P72" s="20" t="n">
        <v>0</v>
      </c>
      <c r="Q72" s="18" t="n">
        <v>0.73052266</v>
      </c>
      <c r="R72" s="20" t="n">
        <v>0.42566875</v>
      </c>
    </row>
    <row r="73" spans="1:18">
      <c r="A73" s="15" t="s">
        <v>633</v>
      </c>
      <c r="B73" s="17" t="n">
        <v>2973</v>
      </c>
      <c r="C73" s="18">
        <f>(2331.0/B73*100)</f>
        <v/>
      </c>
      <c r="D73" s="19" t="n">
        <v>642</v>
      </c>
      <c r="E73" s="18" t="n">
        <v>27.1218384</v>
      </c>
      <c r="F73" s="20" t="n">
        <v>1.68230819</v>
      </c>
      <c r="G73" s="18" t="n">
        <v>71.9096627</v>
      </c>
      <c r="H73" s="20" t="n">
        <v>1.82009341</v>
      </c>
      <c r="I73" s="18" t="n">
        <v>0</v>
      </c>
      <c r="J73" s="20" t="n">
        <v>0</v>
      </c>
      <c r="K73" s="18" t="n">
        <v>0.5216023</v>
      </c>
      <c r="L73" s="20" t="n">
        <v>0.30214485</v>
      </c>
      <c r="M73" s="18" t="n">
        <v>0</v>
      </c>
      <c r="N73" s="20" t="n">
        <v>0</v>
      </c>
      <c r="O73" s="18" t="n">
        <v>0</v>
      </c>
      <c r="P73" s="20" t="n">
        <v>0</v>
      </c>
      <c r="Q73" s="18" t="n">
        <v>0.44689661</v>
      </c>
      <c r="R73" s="20" t="n">
        <v>0.27639361</v>
      </c>
    </row>
    <row r="74" spans="1:18">
      <c r="A74" s="15" t="s">
        <v>634</v>
      </c>
      <c r="B74" s="17" t="n">
        <v>3819</v>
      </c>
      <c r="C74" s="18">
        <f>(2977.0/B74*100)</f>
        <v/>
      </c>
      <c r="D74" s="19" t="n">
        <v>842</v>
      </c>
      <c r="E74" s="18" t="n">
        <v>28.66441344</v>
      </c>
      <c r="F74" s="20" t="n">
        <v>1.51619582</v>
      </c>
      <c r="G74" s="18" t="n">
        <v>71.25898915</v>
      </c>
      <c r="H74" s="20" t="n">
        <v>1.5386183</v>
      </c>
      <c r="I74" s="18" t="n">
        <v>0</v>
      </c>
      <c r="J74" s="20" t="n">
        <v>0</v>
      </c>
      <c r="K74" s="18" t="n">
        <v>0</v>
      </c>
      <c r="L74" s="20" t="n">
        <v>0</v>
      </c>
      <c r="M74" s="18" t="n">
        <v>0</v>
      </c>
      <c r="N74" s="20" t="n">
        <v>0</v>
      </c>
      <c r="O74" s="18" t="n">
        <v>0</v>
      </c>
      <c r="P74" s="20" t="n">
        <v>0</v>
      </c>
      <c r="Q74" s="18" t="n">
        <v>0.07659741</v>
      </c>
      <c r="R74" s="20" t="n">
        <v>0.07790851999999999</v>
      </c>
    </row>
    <row r="75" spans="1:18">
      <c r="A75" s="15" t="s">
        <v>635</v>
      </c>
      <c r="B75" s="17" t="n">
        <v>4652</v>
      </c>
      <c r="C75" s="18">
        <f>(3687.0/B75*100)</f>
        <v/>
      </c>
      <c r="D75" s="19" t="n">
        <v>965</v>
      </c>
      <c r="E75" s="18" t="n">
        <v>61.70140568</v>
      </c>
      <c r="F75" s="20" t="n">
        <v>1.7227806</v>
      </c>
      <c r="G75" s="18" t="n">
        <v>38.19660934</v>
      </c>
      <c r="H75" s="20" t="n">
        <v>1.72675375</v>
      </c>
      <c r="I75" s="18" t="n">
        <v>0</v>
      </c>
      <c r="J75" s="20" t="n">
        <v>0</v>
      </c>
      <c r="K75" s="18" t="n">
        <v>0.05260818</v>
      </c>
      <c r="L75" s="20" t="n">
        <v>0.05305765</v>
      </c>
      <c r="M75" s="18" t="n">
        <v>0</v>
      </c>
      <c r="N75" s="20" t="n">
        <v>0</v>
      </c>
      <c r="O75" s="18" t="n">
        <v>0</v>
      </c>
      <c r="P75" s="20" t="n">
        <v>0</v>
      </c>
      <c r="Q75" s="18" t="n">
        <v>0.04937679</v>
      </c>
      <c r="R75" s="20" t="n">
        <v>0.04012427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(2408.0/B77*100)</f>
        <v/>
      </c>
      <c r="D77" s="19" t="n">
        <v>561</v>
      </c>
      <c r="E77" s="18" t="n">
        <v>67.72664105</v>
      </c>
      <c r="F77" s="20" t="n">
        <v>1.89420869</v>
      </c>
      <c r="G77" s="18" t="n">
        <v>25.65476246</v>
      </c>
      <c r="H77" s="20" t="n">
        <v>1.79502756</v>
      </c>
      <c r="I77" s="18" t="n">
        <v>0</v>
      </c>
      <c r="J77" s="20" t="n">
        <v>0</v>
      </c>
      <c r="K77" s="18" t="n">
        <v>3.54912989</v>
      </c>
      <c r="L77" s="20" t="n">
        <v>0.76846742</v>
      </c>
      <c r="M77" s="18" t="n">
        <v>0</v>
      </c>
      <c r="N77" s="20" t="n">
        <v>0</v>
      </c>
      <c r="O77" s="18" t="n">
        <v>0</v>
      </c>
      <c r="P77" s="20" t="n">
        <v>0</v>
      </c>
      <c r="Q77" s="18" t="n">
        <v>3.0694666</v>
      </c>
      <c r="R77" s="20" t="n">
        <v>0.80048904</v>
      </c>
    </row>
    <row r="78" spans="1:18">
      <c r="A78" s="15" t="s">
        <v>638</v>
      </c>
      <c r="B78" s="17" t="n">
        <v>7115</v>
      </c>
      <c r="C78" s="18">
        <f>(5579.0/B78*100)</f>
        <v/>
      </c>
      <c r="D78" s="19" t="n">
        <v>1536</v>
      </c>
      <c r="E78" s="18" t="n">
        <v>47.58483915</v>
      </c>
      <c r="F78" s="20" t="n">
        <v>2.12364007</v>
      </c>
      <c r="G78" s="18" t="n">
        <v>50.67111375</v>
      </c>
      <c r="H78" s="20" t="n">
        <v>2.2758934</v>
      </c>
      <c r="I78" s="18" t="n">
        <v>0</v>
      </c>
      <c r="J78" s="20" t="n">
        <v>0</v>
      </c>
      <c r="K78" s="18" t="n">
        <v>0.71080367</v>
      </c>
      <c r="L78" s="20" t="n">
        <v>0.29339492</v>
      </c>
      <c r="M78" s="18" t="n">
        <v>0</v>
      </c>
      <c r="N78" s="20" t="n">
        <v>0</v>
      </c>
      <c r="O78" s="18" t="n">
        <v>0</v>
      </c>
      <c r="P78" s="20" t="n">
        <v>0</v>
      </c>
      <c r="Q78" s="18" t="n">
        <v>1.03324344</v>
      </c>
      <c r="R78" s="20" t="n">
        <v>0.36700649</v>
      </c>
    </row>
    <row r="79" spans="1:18">
      <c r="A79" s="15" t="s">
        <v>639</v>
      </c>
      <c r="B79" s="17" t="n">
        <v>3154</v>
      </c>
      <c r="C79" s="18">
        <f>(2480.0/B79*100)</f>
        <v/>
      </c>
      <c r="D79" s="19" t="n">
        <v>674</v>
      </c>
      <c r="E79" s="18" t="n">
        <v>53.58986476</v>
      </c>
      <c r="F79" s="20" t="n">
        <v>1.94757427</v>
      </c>
      <c r="G79" s="18" t="n">
        <v>43.7188206</v>
      </c>
      <c r="H79" s="20" t="n">
        <v>2.02839598</v>
      </c>
      <c r="I79" s="18" t="n">
        <v>0</v>
      </c>
      <c r="J79" s="20" t="n">
        <v>0</v>
      </c>
      <c r="K79" s="18" t="n">
        <v>0.78088608</v>
      </c>
      <c r="L79" s="20" t="n">
        <v>0.33210728</v>
      </c>
      <c r="M79" s="18" t="n">
        <v>0</v>
      </c>
      <c r="N79" s="20" t="n">
        <v>0</v>
      </c>
      <c r="O79" s="18" t="n">
        <v>0</v>
      </c>
      <c r="P79" s="20" t="n">
        <v>0</v>
      </c>
      <c r="Q79" s="18" t="n">
        <v>1.91042856</v>
      </c>
      <c r="R79" s="20" t="n">
        <v>0.57595781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(12509.0/B82*100)</f>
        <v/>
      </c>
      <c r="D82" s="19" t="n">
        <v>3452</v>
      </c>
      <c r="E82" s="18" t="n">
        <v>38.82645337</v>
      </c>
      <c r="F82" s="20" t="n">
        <v>1.46946587</v>
      </c>
      <c r="G82" s="18" t="n">
        <v>60.1115168</v>
      </c>
      <c r="H82" s="20" t="n">
        <v>1.45062904</v>
      </c>
      <c r="I82" s="18" t="n">
        <v>0</v>
      </c>
      <c r="J82" s="20" t="n">
        <v>0</v>
      </c>
      <c r="K82" s="18" t="n">
        <v>0.26157614</v>
      </c>
      <c r="L82" s="20" t="n">
        <v>0.10774896</v>
      </c>
      <c r="M82" s="18" t="n">
        <v>0</v>
      </c>
      <c r="N82" s="20" t="n">
        <v>0</v>
      </c>
      <c r="O82" s="18" t="n">
        <v>0</v>
      </c>
      <c r="P82" s="20" t="n">
        <v>0</v>
      </c>
      <c r="Q82" s="18" t="n">
        <v>0.80045369</v>
      </c>
      <c r="R82" s="20" t="n">
        <v>0.23555877</v>
      </c>
    </row>
    <row r="83" spans="1:18">
      <c r="A83" s="15" t="s">
        <v>643</v>
      </c>
      <c r="B83" s="17" t="n">
        <v>808</v>
      </c>
      <c r="C83" s="18">
        <f>(634.0/B83*100)</f>
        <v/>
      </c>
      <c r="D83" s="19" t="n">
        <v>174</v>
      </c>
      <c r="E83" s="18" t="n">
        <v>53.48700891</v>
      </c>
      <c r="F83" s="20" t="n">
        <v>3.95444711</v>
      </c>
      <c r="G83" s="18" t="n">
        <v>46.51299109</v>
      </c>
      <c r="H83" s="20" t="n">
        <v>3.95444711</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(739.0/B84*100)</f>
        <v/>
      </c>
      <c r="D84" s="19" t="n">
        <v>199</v>
      </c>
      <c r="E84" s="18" t="n">
        <v>43.61405147</v>
      </c>
      <c r="F84" s="20" t="n">
        <v>3.63095332</v>
      </c>
      <c r="G84" s="18" t="n">
        <v>55.69855265</v>
      </c>
      <c r="H84" s="20" t="n">
        <v>3.77123164</v>
      </c>
      <c r="I84" s="18" t="n">
        <v>0</v>
      </c>
      <c r="J84" s="20" t="n">
        <v>0</v>
      </c>
      <c r="K84" s="18" t="n">
        <v>0</v>
      </c>
      <c r="L84" s="20" t="n">
        <v>0</v>
      </c>
      <c r="M84" s="18" t="n">
        <v>0</v>
      </c>
      <c r="N84" s="20" t="n">
        <v>0</v>
      </c>
      <c r="O84" s="18" t="n">
        <v>0</v>
      </c>
      <c r="P84" s="20" t="n">
        <v>0</v>
      </c>
      <c r="Q84" s="18" t="n">
        <v>0.68739588</v>
      </c>
      <c r="R84" s="20" t="n">
        <v>0.70425777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(5653.0/B7*100)</f>
        <v/>
      </c>
      <c r="D7" s="19" t="n">
        <v>1510</v>
      </c>
      <c r="E7" s="18" t="n">
        <v>32.13741538</v>
      </c>
      <c r="F7" s="20" t="n">
        <v>1.31970257</v>
      </c>
      <c r="G7" s="18" t="n">
        <v>56.34218236</v>
      </c>
      <c r="H7" s="20" t="n">
        <v>1.44068525</v>
      </c>
      <c r="I7" s="18" t="n">
        <v>0</v>
      </c>
      <c r="J7" s="20" t="n">
        <v>0</v>
      </c>
      <c r="K7" s="18" t="n">
        <v>0.36227206</v>
      </c>
      <c r="L7" s="20" t="n">
        <v>0.20897411</v>
      </c>
      <c r="M7" s="18" t="n">
        <v>0.06863498</v>
      </c>
      <c r="N7" s="20" t="n">
        <v>0.04862227</v>
      </c>
      <c r="O7" s="18" t="n">
        <v>0</v>
      </c>
      <c r="P7" s="20" t="n">
        <v>0</v>
      </c>
      <c r="Q7" s="18" t="n">
        <v>11.08949523</v>
      </c>
      <c r="R7" s="20" t="n">
        <v>0.95850994</v>
      </c>
    </row>
    <row r="8" spans="1:18">
      <c r="A8" s="15" t="s">
        <v>566</v>
      </c>
      <c r="B8" s="17" t="n">
        <v>3443</v>
      </c>
      <c r="C8" s="18">
        <f>(2731.0/B8*100)</f>
        <v/>
      </c>
      <c r="D8" s="19" t="n">
        <v>712</v>
      </c>
      <c r="E8" s="18" t="n">
        <v>30.58004955</v>
      </c>
      <c r="F8" s="20" t="n">
        <v>1.84169178</v>
      </c>
      <c r="G8" s="18" t="n">
        <v>45.66230038</v>
      </c>
      <c r="H8" s="20" t="n">
        <v>1.98569592</v>
      </c>
      <c r="I8" s="18" t="n">
        <v>0</v>
      </c>
      <c r="J8" s="20" t="n">
        <v>0</v>
      </c>
      <c r="K8" s="18" t="n">
        <v>0.19958137</v>
      </c>
      <c r="L8" s="20" t="n">
        <v>0.20121073</v>
      </c>
      <c r="M8" s="18" t="n">
        <v>0</v>
      </c>
      <c r="N8" s="20" t="n">
        <v>0</v>
      </c>
      <c r="O8" s="18" t="n">
        <v>0</v>
      </c>
      <c r="P8" s="20" t="n">
        <v>0</v>
      </c>
      <c r="Q8" s="18" t="n">
        <v>23.55806871</v>
      </c>
      <c r="R8" s="20" t="n">
        <v>1.66119841</v>
      </c>
    </row>
    <row r="9" spans="1:18">
      <c r="A9" s="15" t="s">
        <v>567</v>
      </c>
      <c r="B9" s="17" t="n">
        <v>4752</v>
      </c>
      <c r="C9" s="18">
        <f>(3744.0/B9*100)</f>
        <v/>
      </c>
      <c r="D9" s="19" t="n">
        <v>1008</v>
      </c>
      <c r="E9" s="18" t="n">
        <v>26.64816303</v>
      </c>
      <c r="F9" s="20" t="n">
        <v>1.40122954</v>
      </c>
      <c r="G9" s="18" t="n">
        <v>56.69233455</v>
      </c>
      <c r="H9" s="20" t="n">
        <v>1.83899099</v>
      </c>
      <c r="I9" s="18" t="n">
        <v>0</v>
      </c>
      <c r="J9" s="20" t="n">
        <v>0</v>
      </c>
      <c r="K9" s="18" t="n">
        <v>0.6996383900000001</v>
      </c>
      <c r="L9" s="20" t="n">
        <v>0.27951934</v>
      </c>
      <c r="M9" s="18" t="n">
        <v>0.40552038</v>
      </c>
      <c r="N9" s="20" t="n">
        <v>0.17131894</v>
      </c>
      <c r="O9" s="18" t="n">
        <v>0</v>
      </c>
      <c r="P9" s="20" t="n">
        <v>0</v>
      </c>
      <c r="Q9" s="18" t="n">
        <v>15.55434365</v>
      </c>
      <c r="R9" s="20" t="n">
        <v>1.26182769</v>
      </c>
    </row>
    <row r="10" spans="1:18">
      <c r="A10" s="15" t="s">
        <v>568</v>
      </c>
      <c r="B10" s="17" t="n">
        <v>10022</v>
      </c>
      <c r="C10" s="18">
        <f>(7872.0/B10*100)</f>
        <v/>
      </c>
      <c r="D10" s="19" t="n">
        <v>2150</v>
      </c>
      <c r="E10" s="18" t="n">
        <v>28.23180873</v>
      </c>
      <c r="F10" s="20" t="n">
        <v>1.44490177</v>
      </c>
      <c r="G10" s="18" t="n">
        <v>66.11768356</v>
      </c>
      <c r="H10" s="20" t="n">
        <v>1.41903207</v>
      </c>
      <c r="I10" s="18" t="n">
        <v>0</v>
      </c>
      <c r="J10" s="20" t="n">
        <v>0</v>
      </c>
      <c r="K10" s="18" t="n">
        <v>0.63479276</v>
      </c>
      <c r="L10" s="20" t="n">
        <v>0.25031993</v>
      </c>
      <c r="M10" s="18" t="n">
        <v>0.00376613</v>
      </c>
      <c r="N10" s="20" t="n">
        <v>0.00385632</v>
      </c>
      <c r="O10" s="18" t="n">
        <v>0</v>
      </c>
      <c r="P10" s="20" t="n">
        <v>0</v>
      </c>
      <c r="Q10" s="18" t="n">
        <v>5.01194882</v>
      </c>
      <c r="R10" s="20" t="n">
        <v>0.69884163</v>
      </c>
    </row>
    <row r="11" spans="1:18">
      <c r="A11" s="15" t="s">
        <v>569</v>
      </c>
      <c r="B11" s="17" t="n">
        <v>3500</v>
      </c>
      <c r="C11" s="18">
        <f>(2793.0/B11*100)</f>
        <v/>
      </c>
      <c r="D11" s="19" t="n">
        <v>707</v>
      </c>
      <c r="E11" s="18" t="n">
        <v>44.45417826</v>
      </c>
      <c r="F11" s="20" t="n">
        <v>2.15866621</v>
      </c>
      <c r="G11" s="18" t="n">
        <v>36.11137622</v>
      </c>
      <c r="H11" s="20" t="n">
        <v>2.29009783</v>
      </c>
      <c r="I11" s="18" t="n">
        <v>0</v>
      </c>
      <c r="J11" s="20" t="n">
        <v>0</v>
      </c>
      <c r="K11" s="18" t="n">
        <v>1.13801506</v>
      </c>
      <c r="L11" s="20" t="n">
        <v>0.47785002</v>
      </c>
      <c r="M11" s="18" t="n">
        <v>0.06235989</v>
      </c>
      <c r="N11" s="20" t="n">
        <v>0.06841607</v>
      </c>
      <c r="O11" s="18" t="n">
        <v>0</v>
      </c>
      <c r="P11" s="20" t="n">
        <v>0</v>
      </c>
      <c r="Q11" s="18" t="n">
        <v>18.23407057</v>
      </c>
      <c r="R11" s="20" t="n">
        <v>1.7243147</v>
      </c>
    </row>
    <row r="12" spans="1:18">
      <c r="A12" s="15" t="s">
        <v>570</v>
      </c>
      <c r="B12" s="17" t="n">
        <v>3422</v>
      </c>
      <c r="C12" s="18">
        <f>(2672.0/B12*100)</f>
        <v/>
      </c>
      <c r="D12" s="19" t="n">
        <v>750</v>
      </c>
      <c r="E12" s="18" t="n">
        <v>29.60975493</v>
      </c>
      <c r="F12" s="20" t="n">
        <v>2.07486891</v>
      </c>
      <c r="G12" s="18" t="n">
        <v>48.34008755</v>
      </c>
      <c r="H12" s="20" t="n">
        <v>2.38912426</v>
      </c>
      <c r="I12" s="18" t="n">
        <v>0</v>
      </c>
      <c r="J12" s="20" t="n">
        <v>0</v>
      </c>
      <c r="K12" s="18" t="n">
        <v>0.42143071</v>
      </c>
      <c r="L12" s="20" t="n">
        <v>0.32189243</v>
      </c>
      <c r="M12" s="18" t="n">
        <v>0.05054785</v>
      </c>
      <c r="N12" s="20" t="n">
        <v>0.05054675</v>
      </c>
      <c r="O12" s="18" t="n">
        <v>0</v>
      </c>
      <c r="P12" s="20" t="n">
        <v>0</v>
      </c>
      <c r="Q12" s="18" t="n">
        <v>21.57817896</v>
      </c>
      <c r="R12" s="20" t="n">
        <v>2.04914502</v>
      </c>
    </row>
    <row r="13" spans="1:18">
      <c r="A13" s="15" t="s">
        <v>571</v>
      </c>
      <c r="B13" s="17" t="n">
        <v>3602</v>
      </c>
      <c r="C13" s="18">
        <f>(2850.0/B13*100)</f>
        <v/>
      </c>
      <c r="D13" s="19" t="n">
        <v>752</v>
      </c>
      <c r="E13" s="18" t="n">
        <v>33.09219561</v>
      </c>
      <c r="F13" s="20" t="n">
        <v>2.15873438</v>
      </c>
      <c r="G13" s="18" t="n">
        <v>49.46684658</v>
      </c>
      <c r="H13" s="20" t="n">
        <v>2.62165682</v>
      </c>
      <c r="I13" s="18" t="n">
        <v>0</v>
      </c>
      <c r="J13" s="20" t="n">
        <v>0</v>
      </c>
      <c r="K13" s="18" t="n">
        <v>0.3583556</v>
      </c>
      <c r="L13" s="20" t="n">
        <v>0.19963516</v>
      </c>
      <c r="M13" s="18" t="n">
        <v>0</v>
      </c>
      <c r="N13" s="20" t="n">
        <v>0</v>
      </c>
      <c r="O13" s="18" t="n">
        <v>0</v>
      </c>
      <c r="P13" s="20" t="n">
        <v>0</v>
      </c>
      <c r="Q13" s="18" t="n">
        <v>17.08260221</v>
      </c>
      <c r="R13" s="20" t="n">
        <v>1.73807516</v>
      </c>
    </row>
    <row r="14" spans="1:18">
      <c r="A14" s="15" t="s">
        <v>572</v>
      </c>
      <c r="B14" s="17" t="n">
        <v>2788</v>
      </c>
      <c r="C14" s="18">
        <f>(2189.0/B14*100)</f>
        <v/>
      </c>
      <c r="D14" s="19" t="n">
        <v>599</v>
      </c>
      <c r="E14" s="18" t="n">
        <v>27.7300654</v>
      </c>
      <c r="F14" s="20" t="n">
        <v>1.99375411</v>
      </c>
      <c r="G14" s="18" t="n">
        <v>62.91638987</v>
      </c>
      <c r="H14" s="20" t="n">
        <v>2.11189559</v>
      </c>
      <c r="I14" s="18" t="n">
        <v>0</v>
      </c>
      <c r="J14" s="20" t="n">
        <v>0</v>
      </c>
      <c r="K14" s="18" t="n">
        <v>0.64087788</v>
      </c>
      <c r="L14" s="20" t="n">
        <v>0.34534713</v>
      </c>
      <c r="M14" s="18" t="n">
        <v>0</v>
      </c>
      <c r="N14" s="20" t="n">
        <v>0</v>
      </c>
      <c r="O14" s="18" t="n">
        <v>0</v>
      </c>
      <c r="P14" s="20" t="n">
        <v>0</v>
      </c>
      <c r="Q14" s="18" t="n">
        <v>8.712666840000001</v>
      </c>
      <c r="R14" s="20" t="n">
        <v>1.14646853</v>
      </c>
    </row>
    <row r="15" spans="1:18">
      <c r="A15" s="15" t="s">
        <v>573</v>
      </c>
      <c r="B15" s="17" t="n">
        <v>2863</v>
      </c>
      <c r="C15" s="18">
        <f>(2254.0/B15*100)</f>
        <v/>
      </c>
      <c r="D15" s="19" t="n">
        <v>609</v>
      </c>
      <c r="E15" s="18" t="n">
        <v>25.09951892</v>
      </c>
      <c r="F15" s="20" t="n">
        <v>1.90994278</v>
      </c>
      <c r="G15" s="18" t="n">
        <v>64.25530859</v>
      </c>
      <c r="H15" s="20" t="n">
        <v>2.27921194</v>
      </c>
      <c r="I15" s="18" t="n">
        <v>0</v>
      </c>
      <c r="J15" s="20" t="n">
        <v>0</v>
      </c>
      <c r="K15" s="18" t="n">
        <v>0.19189862</v>
      </c>
      <c r="L15" s="20" t="n">
        <v>0.20955541</v>
      </c>
      <c r="M15" s="18" t="n">
        <v>0</v>
      </c>
      <c r="N15" s="20" t="n">
        <v>0</v>
      </c>
      <c r="O15" s="18" t="n">
        <v>0</v>
      </c>
      <c r="P15" s="20" t="n">
        <v>0</v>
      </c>
      <c r="Q15" s="18" t="n">
        <v>10.45327388</v>
      </c>
      <c r="R15" s="20" t="n">
        <v>1.29602917</v>
      </c>
    </row>
    <row r="16" spans="1:18">
      <c r="A16" s="15" t="s">
        <v>574</v>
      </c>
      <c r="B16" s="17" t="n">
        <v>3111</v>
      </c>
      <c r="C16" s="18">
        <f>(2458.0/B16*100)</f>
        <v/>
      </c>
      <c r="D16" s="19" t="n">
        <v>653</v>
      </c>
      <c r="E16" s="18" t="n">
        <v>31.22881348</v>
      </c>
      <c r="F16" s="20" t="n">
        <v>1.78563248</v>
      </c>
      <c r="G16" s="18" t="n">
        <v>43.5893867</v>
      </c>
      <c r="H16" s="20" t="n">
        <v>2.0100134</v>
      </c>
      <c r="I16" s="18" t="n">
        <v>0</v>
      </c>
      <c r="J16" s="20" t="n">
        <v>0</v>
      </c>
      <c r="K16" s="18" t="n">
        <v>0.70111431</v>
      </c>
      <c r="L16" s="20" t="n">
        <v>0.33852807</v>
      </c>
      <c r="M16" s="18" t="n">
        <v>0</v>
      </c>
      <c r="N16" s="20" t="n">
        <v>0</v>
      </c>
      <c r="O16" s="18" t="n">
        <v>0</v>
      </c>
      <c r="P16" s="20" t="n">
        <v>0</v>
      </c>
      <c r="Q16" s="18" t="n">
        <v>24.4806855</v>
      </c>
      <c r="R16" s="20" t="n">
        <v>1.75924783</v>
      </c>
    </row>
    <row r="17" spans="1:18">
      <c r="A17" s="15" t="s">
        <v>575</v>
      </c>
      <c r="B17" s="17" t="n">
        <v>3197</v>
      </c>
      <c r="C17" s="18">
        <f>(2485.0/B17*100)</f>
        <v/>
      </c>
      <c r="D17" s="19" t="n">
        <v>712</v>
      </c>
      <c r="E17" s="18" t="n">
        <v>28.21332728</v>
      </c>
      <c r="F17" s="20" t="n">
        <v>1.63294226</v>
      </c>
      <c r="G17" s="18" t="n">
        <v>50.44721866</v>
      </c>
      <c r="H17" s="20" t="n">
        <v>1.95706407</v>
      </c>
      <c r="I17" s="18" t="n">
        <v>0</v>
      </c>
      <c r="J17" s="20" t="n">
        <v>0</v>
      </c>
      <c r="K17" s="18" t="n">
        <v>0.27299588</v>
      </c>
      <c r="L17" s="20" t="n">
        <v>0.17038803</v>
      </c>
      <c r="M17" s="18" t="n">
        <v>0</v>
      </c>
      <c r="N17" s="20" t="n">
        <v>0</v>
      </c>
      <c r="O17" s="18" t="n">
        <v>0</v>
      </c>
      <c r="P17" s="20" t="n">
        <v>0</v>
      </c>
      <c r="Q17" s="18" t="n">
        <v>21.06645817</v>
      </c>
      <c r="R17" s="20" t="n">
        <v>1.72542649</v>
      </c>
    </row>
    <row r="18" spans="1:18">
      <c r="A18" s="15" t="s">
        <v>576</v>
      </c>
      <c r="B18" s="17" t="n">
        <v>2706</v>
      </c>
      <c r="C18" s="18">
        <f>(2098.0/B18*100)</f>
        <v/>
      </c>
      <c r="D18" s="19" t="n">
        <v>608</v>
      </c>
      <c r="E18" s="18" t="n">
        <v>39.37195321</v>
      </c>
      <c r="F18" s="20" t="n">
        <v>2.19996187</v>
      </c>
      <c r="G18" s="18" t="n">
        <v>41.12608491</v>
      </c>
      <c r="H18" s="20" t="n">
        <v>2.48977971</v>
      </c>
      <c r="I18" s="18" t="n">
        <v>0</v>
      </c>
      <c r="J18" s="20" t="n">
        <v>0</v>
      </c>
      <c r="K18" s="18" t="n">
        <v>1.59804792</v>
      </c>
      <c r="L18" s="20" t="n">
        <v>0.6095859</v>
      </c>
      <c r="M18" s="18" t="n">
        <v>0</v>
      </c>
      <c r="N18" s="20" t="n">
        <v>0</v>
      </c>
      <c r="O18" s="18" t="n">
        <v>0</v>
      </c>
      <c r="P18" s="20" t="n">
        <v>0</v>
      </c>
      <c r="Q18" s="18" t="n">
        <v>17.90391396</v>
      </c>
      <c r="R18" s="20" t="n">
        <v>2.17351165</v>
      </c>
    </row>
    <row r="19" spans="1:18">
      <c r="A19" s="15" t="s">
        <v>577</v>
      </c>
      <c r="B19" s="17" t="n">
        <v>2850</v>
      </c>
      <c r="C19" s="18">
        <f>(2281.0/B19*100)</f>
        <v/>
      </c>
      <c r="D19" s="19" t="n">
        <v>569</v>
      </c>
      <c r="E19" s="18" t="n">
        <v>44.14185506</v>
      </c>
      <c r="F19" s="20" t="n">
        <v>2.06827022</v>
      </c>
      <c r="G19" s="18" t="n">
        <v>35.49123598</v>
      </c>
      <c r="H19" s="20" t="n">
        <v>1.91691074</v>
      </c>
      <c r="I19" s="18" t="n">
        <v>0</v>
      </c>
      <c r="J19" s="20" t="n">
        <v>0</v>
      </c>
      <c r="K19" s="18" t="n">
        <v>0.15012727</v>
      </c>
      <c r="L19" s="20" t="n">
        <v>0.10756292</v>
      </c>
      <c r="M19" s="18" t="n">
        <v>0</v>
      </c>
      <c r="N19" s="20" t="n">
        <v>0</v>
      </c>
      <c r="O19" s="18" t="n">
        <v>0</v>
      </c>
      <c r="P19" s="20" t="n">
        <v>0</v>
      </c>
      <c r="Q19" s="18" t="n">
        <v>20.21678169</v>
      </c>
      <c r="R19" s="20" t="n">
        <v>2.1404091</v>
      </c>
    </row>
    <row r="20" spans="1:18">
      <c r="A20" s="15" t="s">
        <v>578</v>
      </c>
      <c r="B20" s="17" t="n">
        <v>1741</v>
      </c>
      <c r="C20" s="18">
        <f>(1380.0/B20*100)</f>
        <v/>
      </c>
      <c r="D20" s="19" t="n">
        <v>361</v>
      </c>
      <c r="E20" s="18" t="n">
        <v>41.59411504</v>
      </c>
      <c r="F20" s="20" t="n">
        <v>2.52301179</v>
      </c>
      <c r="G20" s="18" t="n">
        <v>37.08609383</v>
      </c>
      <c r="H20" s="20" t="n">
        <v>2.4761043</v>
      </c>
      <c r="I20" s="18" t="n">
        <v>0</v>
      </c>
      <c r="J20" s="20" t="n">
        <v>0</v>
      </c>
      <c r="K20" s="18" t="n">
        <v>0</v>
      </c>
      <c r="L20" s="20" t="n">
        <v>0</v>
      </c>
      <c r="M20" s="18" t="n">
        <v>0.42910915</v>
      </c>
      <c r="N20" s="20" t="n">
        <v>0.43585753</v>
      </c>
      <c r="O20" s="18" t="n">
        <v>0</v>
      </c>
      <c r="P20" s="20" t="n">
        <v>0</v>
      </c>
      <c r="Q20" s="18" t="n">
        <v>20.89068198</v>
      </c>
      <c r="R20" s="20" t="n">
        <v>1.91305823</v>
      </c>
    </row>
    <row r="21" spans="1:18">
      <c r="A21" s="15" t="s">
        <v>579</v>
      </c>
      <c r="B21" s="17" t="n">
        <v>2833</v>
      </c>
      <c r="C21" s="18">
        <f>(2189.0/B21*100)</f>
        <v/>
      </c>
      <c r="D21" s="19" t="n">
        <v>644</v>
      </c>
      <c r="E21" s="18" t="n">
        <v>23.31144484</v>
      </c>
      <c r="F21" s="20" t="n">
        <v>1.53902222</v>
      </c>
      <c r="G21" s="18" t="n">
        <v>71.09824813</v>
      </c>
      <c r="H21" s="20" t="n">
        <v>1.76824007</v>
      </c>
      <c r="I21" s="18" t="n">
        <v>0</v>
      </c>
      <c r="J21" s="20" t="n">
        <v>0</v>
      </c>
      <c r="K21" s="18" t="n">
        <v>0.14767574</v>
      </c>
      <c r="L21" s="20" t="n">
        <v>0.1469157</v>
      </c>
      <c r="M21" s="18" t="n">
        <v>0</v>
      </c>
      <c r="N21" s="20" t="n">
        <v>0</v>
      </c>
      <c r="O21" s="18" t="n">
        <v>0</v>
      </c>
      <c r="P21" s="20" t="n">
        <v>0</v>
      </c>
      <c r="Q21" s="18" t="n">
        <v>5.4426313</v>
      </c>
      <c r="R21" s="20" t="n">
        <v>0.90436288</v>
      </c>
    </row>
    <row r="22" spans="1:18">
      <c r="A22" s="15" t="s">
        <v>580</v>
      </c>
      <c r="B22" s="17" t="n">
        <v>3667</v>
      </c>
      <c r="C22" s="18">
        <f>(2849.0/B22*100)</f>
        <v/>
      </c>
      <c r="D22" s="19" t="n">
        <v>818</v>
      </c>
      <c r="E22" s="18" t="n">
        <v>41.8505675</v>
      </c>
      <c r="F22" s="20" t="n">
        <v>1.83482116</v>
      </c>
      <c r="G22" s="18" t="n">
        <v>38.82395478</v>
      </c>
      <c r="H22" s="20" t="n">
        <v>2.25557295</v>
      </c>
      <c r="I22" s="18" t="n">
        <v>0</v>
      </c>
      <c r="J22" s="20" t="n">
        <v>0</v>
      </c>
      <c r="K22" s="18" t="n">
        <v>0.5898811900000001</v>
      </c>
      <c r="L22" s="20" t="n">
        <v>0.30216564</v>
      </c>
      <c r="M22" s="18" t="n">
        <v>0</v>
      </c>
      <c r="N22" s="20" t="n">
        <v>0</v>
      </c>
      <c r="O22" s="18" t="n">
        <v>0</v>
      </c>
      <c r="P22" s="20" t="n">
        <v>0</v>
      </c>
      <c r="Q22" s="18" t="n">
        <v>18.73559652</v>
      </c>
      <c r="R22" s="20" t="n">
        <v>1.73221395</v>
      </c>
    </row>
    <row r="23" spans="1:18">
      <c r="A23" s="15" t="s">
        <v>581</v>
      </c>
      <c r="B23" s="17" t="n">
        <v>5792</v>
      </c>
      <c r="C23" s="18">
        <f>(4535.0/B23*100)</f>
        <v/>
      </c>
      <c r="D23" s="19" t="n">
        <v>1257</v>
      </c>
      <c r="E23" s="18" t="n">
        <v>28.20044344</v>
      </c>
      <c r="F23" s="20" t="n">
        <v>2.00889529</v>
      </c>
      <c r="G23" s="18" t="n">
        <v>46.91461831</v>
      </c>
      <c r="H23" s="20" t="n">
        <v>2.10634239</v>
      </c>
      <c r="I23" s="18" t="n">
        <v>0</v>
      </c>
      <c r="J23" s="20" t="n">
        <v>0</v>
      </c>
      <c r="K23" s="18" t="n">
        <v>0.8744394</v>
      </c>
      <c r="L23" s="20" t="n">
        <v>0.33805583</v>
      </c>
      <c r="M23" s="18" t="n">
        <v>0.09518193</v>
      </c>
      <c r="N23" s="20" t="n">
        <v>0.09537250999999999</v>
      </c>
      <c r="O23" s="18" t="n">
        <v>0</v>
      </c>
      <c r="P23" s="20" t="n">
        <v>0</v>
      </c>
      <c r="Q23" s="18" t="n">
        <v>23.91531692</v>
      </c>
      <c r="R23" s="20" t="n">
        <v>2.0323525</v>
      </c>
    </row>
    <row r="24" spans="1:18">
      <c r="A24" s="15" t="s">
        <v>582</v>
      </c>
      <c r="B24" s="17" t="n">
        <v>3309</v>
      </c>
      <c r="C24" s="18">
        <f>(2545.0/B24*100)</f>
        <v/>
      </c>
      <c r="D24" s="19" t="n">
        <v>764</v>
      </c>
      <c r="E24" s="18" t="n">
        <v>22.00089759</v>
      </c>
      <c r="F24" s="20" t="n">
        <v>1.63315134</v>
      </c>
      <c r="G24" s="18" t="n">
        <v>70.99589185000001</v>
      </c>
      <c r="H24" s="20" t="n">
        <v>1.84284289</v>
      </c>
      <c r="I24" s="18" t="n">
        <v>0</v>
      </c>
      <c r="J24" s="20" t="n">
        <v>0</v>
      </c>
      <c r="K24" s="18" t="n">
        <v>0.25343166</v>
      </c>
      <c r="L24" s="20" t="n">
        <v>0.18007785</v>
      </c>
      <c r="M24" s="18" t="n">
        <v>0</v>
      </c>
      <c r="N24" s="20" t="n">
        <v>0</v>
      </c>
      <c r="O24" s="18" t="n">
        <v>0</v>
      </c>
      <c r="P24" s="20" t="n">
        <v>0</v>
      </c>
      <c r="Q24" s="18" t="n">
        <v>6.74977891</v>
      </c>
      <c r="R24" s="20" t="n">
        <v>0.99266029</v>
      </c>
    </row>
    <row r="25" spans="1:18">
      <c r="A25" s="15" t="s">
        <v>583</v>
      </c>
      <c r="B25" s="17" t="n">
        <v>2669</v>
      </c>
      <c r="C25" s="18">
        <f>(2087.0/B25*100)</f>
        <v/>
      </c>
      <c r="D25" s="19" t="n">
        <v>582</v>
      </c>
      <c r="E25" s="18" t="n">
        <v>32.94348057</v>
      </c>
      <c r="F25" s="20" t="n">
        <v>2.41424722</v>
      </c>
      <c r="G25" s="18" t="n">
        <v>56.49623771</v>
      </c>
      <c r="H25" s="20" t="n">
        <v>2.19715117</v>
      </c>
      <c r="I25" s="18" t="n">
        <v>0</v>
      </c>
      <c r="J25" s="20" t="n">
        <v>0</v>
      </c>
      <c r="K25" s="18" t="n">
        <v>0.30577832</v>
      </c>
      <c r="L25" s="20" t="n">
        <v>0.22461812</v>
      </c>
      <c r="M25" s="18" t="n">
        <v>0</v>
      </c>
      <c r="N25" s="20" t="n">
        <v>0</v>
      </c>
      <c r="O25" s="18" t="n">
        <v>0</v>
      </c>
      <c r="P25" s="20" t="n">
        <v>0</v>
      </c>
      <c r="Q25" s="18" t="n">
        <v>10.25450341</v>
      </c>
      <c r="R25" s="20" t="n">
        <v>1.22252787</v>
      </c>
    </row>
    <row r="26" spans="1:18">
      <c r="A26" s="15" t="s">
        <v>584</v>
      </c>
      <c r="B26" s="17" t="n">
        <v>2419</v>
      </c>
      <c r="C26" s="18">
        <f>(1896.0/B26*100)</f>
        <v/>
      </c>
      <c r="D26" s="19" t="n">
        <v>523</v>
      </c>
      <c r="E26" s="18" t="n">
        <v>56.10768186</v>
      </c>
      <c r="F26" s="20" t="n">
        <v>2.45226703</v>
      </c>
      <c r="G26" s="18" t="n">
        <v>32.62807182</v>
      </c>
      <c r="H26" s="20" t="n">
        <v>2.62552032</v>
      </c>
      <c r="I26" s="18" t="n">
        <v>0</v>
      </c>
      <c r="J26" s="20" t="n">
        <v>0</v>
      </c>
      <c r="K26" s="18" t="n">
        <v>0.17809317</v>
      </c>
      <c r="L26" s="20" t="n">
        <v>0.17346653</v>
      </c>
      <c r="M26" s="18" t="n">
        <v>0.13420357</v>
      </c>
      <c r="N26" s="20" t="n">
        <v>0.13516845</v>
      </c>
      <c r="O26" s="18" t="n">
        <v>0</v>
      </c>
      <c r="P26" s="20" t="n">
        <v>0</v>
      </c>
      <c r="Q26" s="18" t="n">
        <v>10.95194958</v>
      </c>
      <c r="R26" s="20" t="n">
        <v>1.27835007</v>
      </c>
    </row>
    <row r="27" spans="1:18">
      <c r="A27" s="15" t="s">
        <v>585</v>
      </c>
      <c r="B27" s="17" t="n">
        <v>2683</v>
      </c>
      <c r="C27" s="18">
        <f>(2071.0/B27*100)</f>
        <v/>
      </c>
      <c r="D27" s="19" t="n">
        <v>612</v>
      </c>
      <c r="E27" s="18" t="n">
        <v>40.74733616</v>
      </c>
      <c r="F27" s="20" t="n">
        <v>2.12082549</v>
      </c>
      <c r="G27" s="18" t="n">
        <v>36.85897816</v>
      </c>
      <c r="H27" s="20" t="n">
        <v>1.75310323</v>
      </c>
      <c r="I27" s="18" t="n">
        <v>0</v>
      </c>
      <c r="J27" s="20" t="n">
        <v>0</v>
      </c>
      <c r="K27" s="18" t="n">
        <v>0.15712797</v>
      </c>
      <c r="L27" s="20" t="n">
        <v>0.15718662</v>
      </c>
      <c r="M27" s="18" t="n">
        <v>0</v>
      </c>
      <c r="N27" s="20" t="n">
        <v>0</v>
      </c>
      <c r="O27" s="18" t="n">
        <v>0</v>
      </c>
      <c r="P27" s="20" t="n">
        <v>0</v>
      </c>
      <c r="Q27" s="18" t="n">
        <v>22.23655771</v>
      </c>
      <c r="R27" s="20" t="n">
        <v>1.48946326</v>
      </c>
    </row>
    <row r="28" spans="1:18">
      <c r="A28" s="15" t="s">
        <v>586</v>
      </c>
      <c r="B28" s="17" t="n">
        <v>3803</v>
      </c>
      <c r="C28" s="18">
        <f>(3079.0/B28*100)</f>
        <v/>
      </c>
      <c r="D28" s="19" t="n">
        <v>724</v>
      </c>
      <c r="E28" s="18" t="n">
        <v>72.10768023999999</v>
      </c>
      <c r="F28" s="20" t="n">
        <v>2.05594616</v>
      </c>
      <c r="G28" s="18" t="n">
        <v>22.03784744</v>
      </c>
      <c r="H28" s="20" t="n">
        <v>1.78421524</v>
      </c>
      <c r="I28" s="18" t="n">
        <v>0</v>
      </c>
      <c r="J28" s="20" t="n">
        <v>0</v>
      </c>
      <c r="K28" s="18" t="n">
        <v>1.31377307</v>
      </c>
      <c r="L28" s="20" t="n">
        <v>0.42929567</v>
      </c>
      <c r="M28" s="18" t="n">
        <v>0</v>
      </c>
      <c r="N28" s="20" t="n">
        <v>0</v>
      </c>
      <c r="O28" s="18" t="n">
        <v>0</v>
      </c>
      <c r="P28" s="20" t="n">
        <v>0</v>
      </c>
      <c r="Q28" s="18" t="n">
        <v>4.54069925</v>
      </c>
      <c r="R28" s="20" t="n">
        <v>0.96019903</v>
      </c>
    </row>
    <row r="29" spans="1:18">
      <c r="A29" s="15" t="s">
        <v>587</v>
      </c>
      <c r="B29" s="17" t="n">
        <v>2700</v>
      </c>
      <c r="C29" s="18">
        <f>(2118.0/B29*100)</f>
        <v/>
      </c>
      <c r="D29" s="19" t="n">
        <v>582</v>
      </c>
      <c r="E29" s="18" t="n">
        <v>38.33662662</v>
      </c>
      <c r="F29" s="20" t="n">
        <v>2.0481128</v>
      </c>
      <c r="G29" s="18" t="n">
        <v>54.4713553</v>
      </c>
      <c r="H29" s="20" t="n">
        <v>2.29903482</v>
      </c>
      <c r="I29" s="18" t="n">
        <v>0</v>
      </c>
      <c r="J29" s="20" t="n">
        <v>0</v>
      </c>
      <c r="K29" s="18" t="n">
        <v>0</v>
      </c>
      <c r="L29" s="20" t="n">
        <v>0</v>
      </c>
      <c r="M29" s="18" t="n">
        <v>0</v>
      </c>
      <c r="N29" s="20" t="n">
        <v>0</v>
      </c>
      <c r="O29" s="18" t="n">
        <v>0</v>
      </c>
      <c r="P29" s="20" t="n">
        <v>0</v>
      </c>
      <c r="Q29" s="18" t="n">
        <v>7.19201807</v>
      </c>
      <c r="R29" s="20" t="n">
        <v>1.20528829</v>
      </c>
    </row>
    <row r="30" spans="1:18">
      <c r="A30" s="15" t="s">
        <v>588</v>
      </c>
      <c r="B30" s="17" t="n">
        <v>2257</v>
      </c>
      <c r="C30" s="18">
        <f>(1801.0/B30*100)</f>
        <v/>
      </c>
      <c r="D30" s="19" t="n">
        <v>456</v>
      </c>
      <c r="E30" s="18" t="n">
        <v>29.19328858</v>
      </c>
      <c r="F30" s="20" t="n">
        <v>2.05706191</v>
      </c>
      <c r="G30" s="18" t="n">
        <v>57.15721886</v>
      </c>
      <c r="H30" s="20" t="n">
        <v>2.47025937</v>
      </c>
      <c r="I30" s="18" t="n">
        <v>0</v>
      </c>
      <c r="J30" s="20" t="n">
        <v>0</v>
      </c>
      <c r="K30" s="18" t="n">
        <v>0</v>
      </c>
      <c r="L30" s="20" t="n">
        <v>0</v>
      </c>
      <c r="M30" s="18" t="n">
        <v>0</v>
      </c>
      <c r="N30" s="20" t="n">
        <v>0</v>
      </c>
      <c r="O30" s="18" t="n">
        <v>0</v>
      </c>
      <c r="P30" s="20" t="n">
        <v>0</v>
      </c>
      <c r="Q30" s="18" t="n">
        <v>13.64949256</v>
      </c>
      <c r="R30" s="20" t="n">
        <v>1.69384876</v>
      </c>
    </row>
    <row r="31" spans="1:18">
      <c r="A31" s="15" t="s">
        <v>589</v>
      </c>
      <c r="B31" s="17" t="n">
        <v>2706</v>
      </c>
      <c r="C31" s="18">
        <f>(2123.0/B31*100)</f>
        <v/>
      </c>
      <c r="D31" s="19" t="n">
        <v>583</v>
      </c>
      <c r="E31" s="18" t="n">
        <v>29.76340163</v>
      </c>
      <c r="F31" s="20" t="n">
        <v>2.3968545</v>
      </c>
      <c r="G31" s="18" t="n">
        <v>48.4680686</v>
      </c>
      <c r="H31" s="20" t="n">
        <v>2.54998751</v>
      </c>
      <c r="I31" s="18" t="n">
        <v>0</v>
      </c>
      <c r="J31" s="20" t="n">
        <v>0</v>
      </c>
      <c r="K31" s="18" t="n">
        <v>0.97571717</v>
      </c>
      <c r="L31" s="20" t="n">
        <v>0.39492833</v>
      </c>
      <c r="M31" s="18" t="n">
        <v>0</v>
      </c>
      <c r="N31" s="20" t="n">
        <v>0</v>
      </c>
      <c r="O31" s="18" t="n">
        <v>0</v>
      </c>
      <c r="P31" s="20" t="n">
        <v>0</v>
      </c>
      <c r="Q31" s="18" t="n">
        <v>20.7928126</v>
      </c>
      <c r="R31" s="20" t="n">
        <v>1.69423134</v>
      </c>
    </row>
    <row r="32" spans="1:18">
      <c r="A32" s="15" t="s">
        <v>590</v>
      </c>
      <c r="B32" s="17" t="n">
        <v>2209</v>
      </c>
      <c r="C32" s="18">
        <f>(1758.0/B32*100)</f>
        <v/>
      </c>
      <c r="D32" s="19" t="n">
        <v>451</v>
      </c>
      <c r="E32" s="18" t="n">
        <v>30.10410371</v>
      </c>
      <c r="F32" s="20" t="n">
        <v>2.42585367</v>
      </c>
      <c r="G32" s="18" t="n">
        <v>55.88681297</v>
      </c>
      <c r="H32" s="20" t="n">
        <v>2.68243099</v>
      </c>
      <c r="I32" s="18" t="n">
        <v>0</v>
      </c>
      <c r="J32" s="20" t="n">
        <v>0</v>
      </c>
      <c r="K32" s="18" t="n">
        <v>0</v>
      </c>
      <c r="L32" s="20" t="n">
        <v>0</v>
      </c>
      <c r="M32" s="18" t="n">
        <v>0</v>
      </c>
      <c r="N32" s="20" t="n">
        <v>0</v>
      </c>
      <c r="O32" s="18" t="n">
        <v>0</v>
      </c>
      <c r="P32" s="20" t="n">
        <v>0</v>
      </c>
      <c r="Q32" s="18" t="n">
        <v>14.00908332</v>
      </c>
      <c r="R32" s="20" t="n">
        <v>1.48917369</v>
      </c>
    </row>
    <row r="33" spans="1:18">
      <c r="A33" s="15" t="s">
        <v>591</v>
      </c>
      <c r="B33" s="17" t="n">
        <v>3651</v>
      </c>
      <c r="C33" s="18">
        <f>(2936.0/B33*100)</f>
        <v/>
      </c>
      <c r="D33" s="19" t="n">
        <v>715</v>
      </c>
      <c r="E33" s="18" t="n">
        <v>31.62040738</v>
      </c>
      <c r="F33" s="20" t="n">
        <v>2.06784378</v>
      </c>
      <c r="G33" s="18" t="n">
        <v>53.35448573</v>
      </c>
      <c r="H33" s="20" t="n">
        <v>2.4389042</v>
      </c>
      <c r="I33" s="18" t="n">
        <v>0</v>
      </c>
      <c r="J33" s="20" t="n">
        <v>0</v>
      </c>
      <c r="K33" s="18" t="n">
        <v>0.46279831</v>
      </c>
      <c r="L33" s="20" t="n">
        <v>0.27768172</v>
      </c>
      <c r="M33" s="18" t="n">
        <v>0</v>
      </c>
      <c r="N33" s="20" t="n">
        <v>0</v>
      </c>
      <c r="O33" s="18" t="n">
        <v>0</v>
      </c>
      <c r="P33" s="20" t="n">
        <v>0</v>
      </c>
      <c r="Q33" s="18" t="n">
        <v>14.56230858</v>
      </c>
      <c r="R33" s="20" t="n">
        <v>1.46009093</v>
      </c>
    </row>
    <row r="34" spans="1:18">
      <c r="A34" s="15" t="s">
        <v>592</v>
      </c>
      <c r="B34" s="17" t="n">
        <v>3035</v>
      </c>
      <c r="C34" s="18">
        <f>(2400.0/B34*100)</f>
        <v/>
      </c>
      <c r="D34" s="19" t="n">
        <v>635</v>
      </c>
      <c r="E34" s="18" t="n">
        <v>43.03628799</v>
      </c>
      <c r="F34" s="20" t="n">
        <v>2.14422622</v>
      </c>
      <c r="G34" s="18" t="n">
        <v>32.23961255</v>
      </c>
      <c r="H34" s="20" t="n">
        <v>1.80714372</v>
      </c>
      <c r="I34" s="18" t="n">
        <v>0</v>
      </c>
      <c r="J34" s="20" t="n">
        <v>0</v>
      </c>
      <c r="K34" s="18" t="n">
        <v>0.16303039</v>
      </c>
      <c r="L34" s="20" t="n">
        <v>0.23180532</v>
      </c>
      <c r="M34" s="18" t="n">
        <v>0.58264587</v>
      </c>
      <c r="N34" s="20" t="n">
        <v>0.27276162</v>
      </c>
      <c r="O34" s="18" t="n">
        <v>0</v>
      </c>
      <c r="P34" s="20" t="n">
        <v>0</v>
      </c>
      <c r="Q34" s="18" t="n">
        <v>23.9784232</v>
      </c>
      <c r="R34" s="20" t="n">
        <v>1.90001409</v>
      </c>
    </row>
    <row r="35" spans="1:18">
      <c r="A35" s="15" t="s">
        <v>593</v>
      </c>
      <c r="B35" s="17" t="n">
        <v>2901</v>
      </c>
      <c r="C35" s="18">
        <f>(2249.0/B35*100)</f>
        <v/>
      </c>
      <c r="D35" s="19" t="n">
        <v>652</v>
      </c>
      <c r="E35" s="18" t="n">
        <v>28.11144079</v>
      </c>
      <c r="F35" s="20" t="n">
        <v>2.02379994</v>
      </c>
      <c r="G35" s="18" t="n">
        <v>59.70907437</v>
      </c>
      <c r="H35" s="20" t="n">
        <v>2.01250675</v>
      </c>
      <c r="I35" s="18" t="n">
        <v>0</v>
      </c>
      <c r="J35" s="20" t="n">
        <v>0</v>
      </c>
      <c r="K35" s="18" t="n">
        <v>0.13781011</v>
      </c>
      <c r="L35" s="20" t="n">
        <v>0.13771399</v>
      </c>
      <c r="M35" s="18" t="n">
        <v>0</v>
      </c>
      <c r="N35" s="20" t="n">
        <v>0</v>
      </c>
      <c r="O35" s="18" t="n">
        <v>0</v>
      </c>
      <c r="P35" s="20" t="n">
        <v>0</v>
      </c>
      <c r="Q35" s="18" t="n">
        <v>12.04167472</v>
      </c>
      <c r="R35" s="20" t="n">
        <v>1.47324225</v>
      </c>
    </row>
    <row r="36" spans="1:18">
      <c r="A36" s="15" t="s">
        <v>594</v>
      </c>
      <c r="B36" s="17" t="n">
        <v>3404</v>
      </c>
      <c r="C36" s="18">
        <f>(2693.0/B36*100)</f>
        <v/>
      </c>
      <c r="D36" s="19" t="n">
        <v>711</v>
      </c>
      <c r="E36" s="18" t="n">
        <v>37.67051644</v>
      </c>
      <c r="F36" s="20" t="n">
        <v>2.01137455</v>
      </c>
      <c r="G36" s="18" t="n">
        <v>47.19681647</v>
      </c>
      <c r="H36" s="20" t="n">
        <v>2.02205373</v>
      </c>
      <c r="I36" s="18" t="n">
        <v>0</v>
      </c>
      <c r="J36" s="20" t="n">
        <v>0</v>
      </c>
      <c r="K36" s="18" t="n">
        <v>0.29610394</v>
      </c>
      <c r="L36" s="20" t="n">
        <v>0.22025918</v>
      </c>
      <c r="M36" s="18" t="n">
        <v>0</v>
      </c>
      <c r="N36" s="20" t="n">
        <v>0</v>
      </c>
      <c r="O36" s="18" t="n">
        <v>0</v>
      </c>
      <c r="P36" s="20" t="n">
        <v>0</v>
      </c>
      <c r="Q36" s="18" t="n">
        <v>14.83656315</v>
      </c>
      <c r="R36" s="20" t="n">
        <v>1.53315762</v>
      </c>
    </row>
    <row r="37" spans="1:18">
      <c r="A37" s="15" t="s">
        <v>595</v>
      </c>
      <c r="B37" s="17" t="n">
        <v>2731</v>
      </c>
      <c r="C37" s="18">
        <f>(2161.0/B37*100)</f>
        <v/>
      </c>
      <c r="D37" s="19" t="n">
        <v>570</v>
      </c>
      <c r="E37" s="18" t="n">
        <v>22.68642225</v>
      </c>
      <c r="F37" s="20" t="n">
        <v>1.91324501</v>
      </c>
      <c r="G37" s="18" t="n">
        <v>57.22861623</v>
      </c>
      <c r="H37" s="20" t="n">
        <v>2.36536506</v>
      </c>
      <c r="I37" s="18" t="n">
        <v>0</v>
      </c>
      <c r="J37" s="20" t="n">
        <v>0</v>
      </c>
      <c r="K37" s="18" t="n">
        <v>0.90089478</v>
      </c>
      <c r="L37" s="20" t="n">
        <v>0.42235124</v>
      </c>
      <c r="M37" s="18" t="n">
        <v>0</v>
      </c>
      <c r="N37" s="20" t="n">
        <v>0</v>
      </c>
      <c r="O37" s="18" t="n">
        <v>0</v>
      </c>
      <c r="P37" s="20" t="n">
        <v>0</v>
      </c>
      <c r="Q37" s="18" t="n">
        <v>19.18406674</v>
      </c>
      <c r="R37" s="20" t="n">
        <v>1.82201283</v>
      </c>
    </row>
    <row r="38" spans="1:18">
      <c r="A38" s="15" t="s">
        <v>596</v>
      </c>
      <c r="B38" s="17" t="n">
        <v>2807</v>
      </c>
      <c r="C38" s="18">
        <f>(2179.0/B38*100)</f>
        <v/>
      </c>
      <c r="D38" s="19" t="n">
        <v>628</v>
      </c>
      <c r="E38" s="18" t="n">
        <v>30.11733177</v>
      </c>
      <c r="F38" s="20" t="n">
        <v>1.96452321</v>
      </c>
      <c r="G38" s="18" t="n">
        <v>51.69079399</v>
      </c>
      <c r="H38" s="20" t="n">
        <v>2.31814872</v>
      </c>
      <c r="I38" s="18" t="n">
        <v>0</v>
      </c>
      <c r="J38" s="20" t="n">
        <v>0</v>
      </c>
      <c r="K38" s="18" t="n">
        <v>0.61980108</v>
      </c>
      <c r="L38" s="20" t="n">
        <v>0.37098885</v>
      </c>
      <c r="M38" s="18" t="n">
        <v>2.44707857</v>
      </c>
      <c r="N38" s="20" t="n">
        <v>0.64556666</v>
      </c>
      <c r="O38" s="18" t="n">
        <v>0</v>
      </c>
      <c r="P38" s="20" t="n">
        <v>0</v>
      </c>
      <c r="Q38" s="18" t="n">
        <v>15.1249946</v>
      </c>
      <c r="R38" s="20" t="n">
        <v>1.68741051</v>
      </c>
    </row>
    <row r="39" spans="1:18">
      <c r="A39" s="15" t="s">
        <v>597</v>
      </c>
      <c r="B39" s="17" t="n">
        <v>2938</v>
      </c>
      <c r="C39" s="18">
        <f>(2274.0/B39*100)</f>
        <v/>
      </c>
      <c r="D39" s="19" t="n">
        <v>664</v>
      </c>
      <c r="E39" s="18" t="n">
        <v>31.82124006</v>
      </c>
      <c r="F39" s="20" t="n">
        <v>2.05287808</v>
      </c>
      <c r="G39" s="18" t="n">
        <v>54.70763801</v>
      </c>
      <c r="H39" s="20" t="n">
        <v>2.78300638</v>
      </c>
      <c r="I39" s="18" t="n">
        <v>0</v>
      </c>
      <c r="J39" s="20" t="n">
        <v>0</v>
      </c>
      <c r="K39" s="18" t="n">
        <v>0.37326017</v>
      </c>
      <c r="L39" s="20" t="n">
        <v>0.26347094</v>
      </c>
      <c r="M39" s="18" t="n">
        <v>0</v>
      </c>
      <c r="N39" s="20" t="n">
        <v>0</v>
      </c>
      <c r="O39" s="18" t="n">
        <v>0</v>
      </c>
      <c r="P39" s="20" t="n">
        <v>0</v>
      </c>
      <c r="Q39" s="18" t="n">
        <v>13.09786176</v>
      </c>
      <c r="R39" s="20" t="n">
        <v>1.70663842</v>
      </c>
    </row>
    <row r="40" spans="1:18">
      <c r="A40" s="15" t="s">
        <v>598</v>
      </c>
      <c r="B40" s="17" t="n">
        <v>6922</v>
      </c>
      <c r="C40" s="18">
        <f>(5480.0/B40*100)</f>
        <v/>
      </c>
      <c r="D40" s="19" t="n">
        <v>1442</v>
      </c>
      <c r="E40" s="18" t="n">
        <v>17.97978395</v>
      </c>
      <c r="F40" s="20" t="n">
        <v>1.45920214</v>
      </c>
      <c r="G40" s="18" t="n">
        <v>71.29380408999999</v>
      </c>
      <c r="H40" s="20" t="n">
        <v>1.78282341</v>
      </c>
      <c r="I40" s="18" t="n">
        <v>0</v>
      </c>
      <c r="J40" s="20" t="n">
        <v>0</v>
      </c>
      <c r="K40" s="18" t="n">
        <v>0.3426054</v>
      </c>
      <c r="L40" s="20" t="n">
        <v>0.23443964</v>
      </c>
      <c r="M40" s="18" t="n">
        <v>0</v>
      </c>
      <c r="N40" s="20" t="n">
        <v>0</v>
      </c>
      <c r="O40" s="18" t="n">
        <v>0</v>
      </c>
      <c r="P40" s="20" t="n">
        <v>0</v>
      </c>
      <c r="Q40" s="18" t="n">
        <v>10.38380656</v>
      </c>
      <c r="R40" s="20" t="n">
        <v>1.20223671</v>
      </c>
    </row>
    <row r="41" spans="1:18">
      <c r="A41" s="15" t="s">
        <v>599</v>
      </c>
      <c r="B41" s="17" t="n">
        <v>2854</v>
      </c>
      <c r="C41" s="18">
        <f>(2219.0/B41*100)</f>
        <v/>
      </c>
      <c r="D41" s="19" t="n">
        <v>635</v>
      </c>
      <c r="E41" s="18" t="n">
        <v>38.12949913</v>
      </c>
      <c r="F41" s="20" t="n">
        <v>2.05828413</v>
      </c>
      <c r="G41" s="18" t="n">
        <v>56.39383876</v>
      </c>
      <c r="H41" s="20" t="n">
        <v>2.36140977</v>
      </c>
      <c r="I41" s="18" t="n">
        <v>0</v>
      </c>
      <c r="J41" s="20" t="n">
        <v>0</v>
      </c>
      <c r="K41" s="18" t="n">
        <v>0.79705683</v>
      </c>
      <c r="L41" s="20" t="n">
        <v>0.42666551</v>
      </c>
      <c r="M41" s="18" t="n">
        <v>0</v>
      </c>
      <c r="N41" s="20" t="n">
        <v>0</v>
      </c>
      <c r="O41" s="18" t="n">
        <v>0</v>
      </c>
      <c r="P41" s="20" t="n">
        <v>0</v>
      </c>
      <c r="Q41" s="18" t="n">
        <v>4.67960528</v>
      </c>
      <c r="R41" s="20" t="n">
        <v>0.92921414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(10124.0/B46*100)</f>
        <v/>
      </c>
      <c r="D46" s="19" t="n">
        <v>1949</v>
      </c>
      <c r="E46" s="18" t="n">
        <v>42.03870493</v>
      </c>
      <c r="F46" s="20" t="n">
        <v>1.48852875</v>
      </c>
      <c r="G46" s="18" t="n">
        <v>28.3010179</v>
      </c>
      <c r="H46" s="20" t="n">
        <v>1.38053849</v>
      </c>
      <c r="I46" s="18" t="n">
        <v>0</v>
      </c>
      <c r="J46" s="20" t="n">
        <v>0</v>
      </c>
      <c r="K46" s="18" t="n">
        <v>2.17921582</v>
      </c>
      <c r="L46" s="20" t="n">
        <v>0.42998859</v>
      </c>
      <c r="M46" s="18" t="n">
        <v>0.35637306</v>
      </c>
      <c r="N46" s="20" t="n">
        <v>0.1381611</v>
      </c>
      <c r="O46" s="18" t="n">
        <v>0</v>
      </c>
      <c r="P46" s="20" t="n">
        <v>0</v>
      </c>
      <c r="Q46" s="18" t="n">
        <v>27.12468829</v>
      </c>
      <c r="R46" s="20" t="n">
        <v>1.31925252</v>
      </c>
    </row>
    <row r="47" spans="1:18">
      <c r="A47" s="15" t="s">
        <v>606</v>
      </c>
      <c r="B47" s="17" t="n">
        <v>2823</v>
      </c>
      <c r="C47" s="18">
        <f>(2234.0/B47*100)</f>
        <v/>
      </c>
      <c r="D47" s="19" t="n">
        <v>589</v>
      </c>
      <c r="E47" s="18" t="n">
        <v>43.77737151</v>
      </c>
      <c r="F47" s="20" t="n">
        <v>2.28333202</v>
      </c>
      <c r="G47" s="18" t="n">
        <v>27.91781969</v>
      </c>
      <c r="H47" s="20" t="n">
        <v>2.15796447</v>
      </c>
      <c r="I47" s="18" t="n">
        <v>0</v>
      </c>
      <c r="J47" s="20" t="n">
        <v>0</v>
      </c>
      <c r="K47" s="18" t="n">
        <v>0.5070291300000001</v>
      </c>
      <c r="L47" s="20" t="n">
        <v>0.29621066</v>
      </c>
      <c r="M47" s="18" t="n">
        <v>0.16707177</v>
      </c>
      <c r="N47" s="20" t="n">
        <v>0.16607456</v>
      </c>
      <c r="O47" s="18" t="n">
        <v>0</v>
      </c>
      <c r="P47" s="20" t="n">
        <v>0</v>
      </c>
      <c r="Q47" s="18" t="n">
        <v>27.6307079</v>
      </c>
      <c r="R47" s="20" t="n">
        <v>2.4292046</v>
      </c>
    </row>
    <row r="48" spans="1:18">
      <c r="A48" s="15" t="s">
        <v>607</v>
      </c>
      <c r="B48" s="17" t="n">
        <v>4682</v>
      </c>
      <c r="C48" s="18">
        <f>(3640.0/B48*100)</f>
        <v/>
      </c>
      <c r="D48" s="19" t="n">
        <v>1042</v>
      </c>
      <c r="E48" s="18" t="n">
        <v>21.04039471</v>
      </c>
      <c r="F48" s="20" t="n">
        <v>1.58604494</v>
      </c>
      <c r="G48" s="18" t="n">
        <v>71.25561277</v>
      </c>
      <c r="H48" s="20" t="n">
        <v>1.93562058</v>
      </c>
      <c r="I48" s="18" t="n">
        <v>0</v>
      </c>
      <c r="J48" s="20" t="n">
        <v>0</v>
      </c>
      <c r="K48" s="18" t="n">
        <v>1.57217094</v>
      </c>
      <c r="L48" s="20" t="n">
        <v>0.56008768</v>
      </c>
      <c r="M48" s="18" t="n">
        <v>0</v>
      </c>
      <c r="N48" s="20" t="n">
        <v>0</v>
      </c>
      <c r="O48" s="18" t="n">
        <v>0</v>
      </c>
      <c r="P48" s="20" t="n">
        <v>0</v>
      </c>
      <c r="Q48" s="18" t="n">
        <v>6.13182158</v>
      </c>
      <c r="R48" s="20" t="n">
        <v>1.23864238</v>
      </c>
    </row>
    <row r="49" spans="1:18">
      <c r="A49" s="15" t="s">
        <v>608</v>
      </c>
      <c r="B49" s="17" t="n">
        <v>6158</v>
      </c>
      <c r="C49" s="18">
        <f>(4890.0/B49*100)</f>
        <v/>
      </c>
      <c r="D49" s="19" t="n">
        <v>1268</v>
      </c>
      <c r="E49" s="18" t="n">
        <v>66.67524833</v>
      </c>
      <c r="F49" s="20" t="n">
        <v>1.54669668</v>
      </c>
      <c r="G49" s="18" t="n">
        <v>22.28298549</v>
      </c>
      <c r="H49" s="20" t="n">
        <v>1.38271527</v>
      </c>
      <c r="I49" s="18" t="n">
        <v>0</v>
      </c>
      <c r="J49" s="20" t="n">
        <v>0</v>
      </c>
      <c r="K49" s="18" t="n">
        <v>3.37171976</v>
      </c>
      <c r="L49" s="20" t="n">
        <v>0.69563745</v>
      </c>
      <c r="M49" s="18" t="n">
        <v>0.20344144</v>
      </c>
      <c r="N49" s="20" t="n">
        <v>0.12312897</v>
      </c>
      <c r="O49" s="18" t="n">
        <v>0</v>
      </c>
      <c r="P49" s="20" t="n">
        <v>0</v>
      </c>
      <c r="Q49" s="18" t="n">
        <v>7.46660499</v>
      </c>
      <c r="R49" s="20" t="n">
        <v>0.9794546</v>
      </c>
    </row>
    <row r="50" spans="1:18">
      <c r="A50" s="15" t="s">
        <v>609</v>
      </c>
      <c r="B50" s="17" t="n">
        <v>3494</v>
      </c>
      <c r="C50" s="18">
        <f>(2828.0/B50*100)</f>
        <v/>
      </c>
      <c r="D50" s="19" t="n">
        <v>666</v>
      </c>
      <c r="E50" s="18" t="n">
        <v>68.60050957999999</v>
      </c>
      <c r="F50" s="20" t="n">
        <v>1.82455743</v>
      </c>
      <c r="G50" s="18" t="n">
        <v>22.14945287</v>
      </c>
      <c r="H50" s="20" t="n">
        <v>2.07688686</v>
      </c>
      <c r="I50" s="18" t="n">
        <v>0</v>
      </c>
      <c r="J50" s="20" t="n">
        <v>0</v>
      </c>
      <c r="K50" s="18" t="n">
        <v>0.51588553</v>
      </c>
      <c r="L50" s="20" t="n">
        <v>0.30709601</v>
      </c>
      <c r="M50" s="18" t="n">
        <v>0</v>
      </c>
      <c r="N50" s="20" t="n">
        <v>0</v>
      </c>
      <c r="O50" s="18" t="n">
        <v>0</v>
      </c>
      <c r="P50" s="20" t="n">
        <v>0</v>
      </c>
      <c r="Q50" s="18" t="n">
        <v>8.73415202</v>
      </c>
      <c r="R50" s="20" t="n">
        <v>1.17320402</v>
      </c>
    </row>
    <row r="51" spans="1:18">
      <c r="A51" s="15" t="s">
        <v>610</v>
      </c>
      <c r="B51" s="17" t="n">
        <v>3013</v>
      </c>
      <c r="C51" s="18">
        <f>(2359.0/B51*100)</f>
        <v/>
      </c>
      <c r="D51" s="19" t="n">
        <v>654</v>
      </c>
      <c r="E51" s="18" t="n">
        <v>37.69795859</v>
      </c>
      <c r="F51" s="20" t="n">
        <v>1.98403859</v>
      </c>
      <c r="G51" s="18" t="n">
        <v>41.35247101</v>
      </c>
      <c r="H51" s="20" t="n">
        <v>2.1312501</v>
      </c>
      <c r="I51" s="18" t="n">
        <v>0</v>
      </c>
      <c r="J51" s="20" t="n">
        <v>0</v>
      </c>
      <c r="K51" s="18" t="n">
        <v>0.14116863</v>
      </c>
      <c r="L51" s="20" t="n">
        <v>0.14076994</v>
      </c>
      <c r="M51" s="18" t="n">
        <v>0</v>
      </c>
      <c r="N51" s="20" t="n">
        <v>0</v>
      </c>
      <c r="O51" s="18" t="n">
        <v>0</v>
      </c>
      <c r="P51" s="20" t="n">
        <v>0</v>
      </c>
      <c r="Q51" s="18" t="n">
        <v>20.80840177</v>
      </c>
      <c r="R51" s="20" t="n">
        <v>1.53038013</v>
      </c>
    </row>
    <row r="52" spans="1:18">
      <c r="A52" s="15" t="s">
        <v>611</v>
      </c>
      <c r="B52" s="17" t="n">
        <v>2760</v>
      </c>
      <c r="C52" s="18">
        <f>(2151.0/B52*100)</f>
        <v/>
      </c>
      <c r="D52" s="19" t="n">
        <v>609</v>
      </c>
      <c r="E52" s="18" t="n">
        <v>32.18057185</v>
      </c>
      <c r="F52" s="20" t="n">
        <v>1.88391757</v>
      </c>
      <c r="G52" s="18" t="n">
        <v>44.17274793</v>
      </c>
      <c r="H52" s="20" t="n">
        <v>2.0383317</v>
      </c>
      <c r="I52" s="18" t="n">
        <v>0</v>
      </c>
      <c r="J52" s="20" t="n">
        <v>0</v>
      </c>
      <c r="K52" s="18" t="n">
        <v>0.50269301</v>
      </c>
      <c r="L52" s="20" t="n">
        <v>0.29221552</v>
      </c>
      <c r="M52" s="18" t="n">
        <v>0</v>
      </c>
      <c r="N52" s="20" t="n">
        <v>0</v>
      </c>
      <c r="O52" s="18" t="n">
        <v>0</v>
      </c>
      <c r="P52" s="20" t="n">
        <v>0</v>
      </c>
      <c r="Q52" s="18" t="n">
        <v>23.14398721</v>
      </c>
      <c r="R52" s="20" t="n">
        <v>1.70253834</v>
      </c>
    </row>
    <row r="53" spans="1:18">
      <c r="A53" s="15" t="s">
        <v>612</v>
      </c>
      <c r="B53" s="17" t="n">
        <v>2474</v>
      </c>
      <c r="C53" s="18">
        <f>(1945.0/B53*100)</f>
        <v/>
      </c>
      <c r="D53" s="19" t="n">
        <v>529</v>
      </c>
      <c r="E53" s="18" t="n">
        <v>49.10607555</v>
      </c>
      <c r="F53" s="20" t="n">
        <v>2.3491727</v>
      </c>
      <c r="G53" s="18" t="n">
        <v>9.842147199999999</v>
      </c>
      <c r="H53" s="20" t="n">
        <v>1.46084385</v>
      </c>
      <c r="I53" s="18" t="n">
        <v>0</v>
      </c>
      <c r="J53" s="20" t="n">
        <v>0</v>
      </c>
      <c r="K53" s="18" t="n">
        <v>19.80159303</v>
      </c>
      <c r="L53" s="20" t="n">
        <v>2.00624796</v>
      </c>
      <c r="M53" s="18" t="n">
        <v>0.6012059</v>
      </c>
      <c r="N53" s="20" t="n">
        <v>0.50188886</v>
      </c>
      <c r="O53" s="18" t="n">
        <v>0</v>
      </c>
      <c r="P53" s="20" t="n">
        <v>0</v>
      </c>
      <c r="Q53" s="18" t="n">
        <v>20.64897831</v>
      </c>
      <c r="R53" s="20" t="n">
        <v>1.90713443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(2048.0/B55*100)</f>
        <v/>
      </c>
      <c r="D55" s="19" t="n">
        <v>627</v>
      </c>
      <c r="E55" s="18" t="n">
        <v>11.27106037</v>
      </c>
      <c r="F55" s="20" t="n">
        <v>1.24324403</v>
      </c>
      <c r="G55" s="18" t="n">
        <v>84.75798622000001</v>
      </c>
      <c r="H55" s="20" t="n">
        <v>1.53541177</v>
      </c>
      <c r="I55" s="18" t="n">
        <v>0</v>
      </c>
      <c r="J55" s="20" t="n">
        <v>0</v>
      </c>
      <c r="K55" s="18" t="n">
        <v>0.13301779</v>
      </c>
      <c r="L55" s="20" t="n">
        <v>0.13258635</v>
      </c>
      <c r="M55" s="18" t="n">
        <v>0.19991179</v>
      </c>
      <c r="N55" s="20" t="n">
        <v>0.22081948</v>
      </c>
      <c r="O55" s="18" t="n">
        <v>0</v>
      </c>
      <c r="P55" s="20" t="n">
        <v>0</v>
      </c>
      <c r="Q55" s="18" t="n">
        <v>3.63802384</v>
      </c>
      <c r="R55" s="20" t="n">
        <v>0.8378701200000001</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(2485.0/B61*100)</f>
        <v/>
      </c>
      <c r="D61" s="19" t="n">
        <v>716</v>
      </c>
      <c r="E61" s="18" t="n">
        <v>42.95460588</v>
      </c>
      <c r="F61" s="20" t="n">
        <v>2.04189749</v>
      </c>
      <c r="G61" s="18" t="n">
        <v>44.69436929</v>
      </c>
      <c r="H61" s="20" t="n">
        <v>2.0796663</v>
      </c>
      <c r="I61" s="18" t="n">
        <v>0</v>
      </c>
      <c r="J61" s="20" t="n">
        <v>0</v>
      </c>
      <c r="K61" s="18" t="n">
        <v>0.05535568</v>
      </c>
      <c r="L61" s="20" t="n">
        <v>0.0551731</v>
      </c>
      <c r="M61" s="18" t="n">
        <v>0</v>
      </c>
      <c r="N61" s="20" t="n">
        <v>0</v>
      </c>
      <c r="O61" s="18" t="n">
        <v>0</v>
      </c>
      <c r="P61" s="20" t="n">
        <v>0</v>
      </c>
      <c r="Q61" s="18" t="n">
        <v>12.29566915</v>
      </c>
      <c r="R61" s="20" t="n">
        <v>1.40622861</v>
      </c>
    </row>
    <row r="62" spans="1:18">
      <c r="A62" s="15" t="s">
        <v>622</v>
      </c>
      <c r="B62" s="17" t="n">
        <v>2230</v>
      </c>
      <c r="C62" s="18">
        <f>(1745.0/B62*100)</f>
        <v/>
      </c>
      <c r="D62" s="19" t="n">
        <v>485</v>
      </c>
      <c r="E62" s="18" t="n">
        <v>20.25937555</v>
      </c>
      <c r="F62" s="20" t="n">
        <v>1.85460705</v>
      </c>
      <c r="G62" s="18" t="n">
        <v>77.26523055</v>
      </c>
      <c r="H62" s="20" t="n">
        <v>1.93621075</v>
      </c>
      <c r="I62" s="18" t="n">
        <v>0</v>
      </c>
      <c r="J62" s="20" t="n">
        <v>0</v>
      </c>
      <c r="K62" s="18" t="n">
        <v>0</v>
      </c>
      <c r="L62" s="20" t="n">
        <v>0</v>
      </c>
      <c r="M62" s="18" t="n">
        <v>0</v>
      </c>
      <c r="N62" s="20" t="n">
        <v>0</v>
      </c>
      <c r="O62" s="18" t="n">
        <v>0</v>
      </c>
      <c r="P62" s="20" t="n">
        <v>0</v>
      </c>
      <c r="Q62" s="18" t="n">
        <v>2.4753939</v>
      </c>
      <c r="R62" s="20" t="n">
        <v>0.7086907</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(2188.0/B67*100)</f>
        <v/>
      </c>
      <c r="D67" s="19" t="n">
        <v>583</v>
      </c>
      <c r="E67" s="18" t="n">
        <v>27.10061657</v>
      </c>
      <c r="F67" s="20" t="n">
        <v>1.82696168</v>
      </c>
      <c r="G67" s="18" t="n">
        <v>29.10504256</v>
      </c>
      <c r="H67" s="20" t="n">
        <v>1.76414566</v>
      </c>
      <c r="I67" s="18" t="n">
        <v>0</v>
      </c>
      <c r="J67" s="20" t="n">
        <v>0</v>
      </c>
      <c r="K67" s="18" t="n">
        <v>1.28370928</v>
      </c>
      <c r="L67" s="20" t="n">
        <v>0.45957354</v>
      </c>
      <c r="M67" s="18" t="n">
        <v>0.4566396</v>
      </c>
      <c r="N67" s="20" t="n">
        <v>0.26760676</v>
      </c>
      <c r="O67" s="18" t="n">
        <v>0</v>
      </c>
      <c r="P67" s="20" t="n">
        <v>0</v>
      </c>
      <c r="Q67" s="18" t="n">
        <v>42.053992</v>
      </c>
      <c r="R67" s="20" t="n">
        <v>2.11153916</v>
      </c>
    </row>
    <row r="68" spans="1:18">
      <c r="A68" s="15" t="s">
        <v>628</v>
      </c>
      <c r="B68" s="17" t="n">
        <v>3460</v>
      </c>
      <c r="C68" s="18">
        <f>(2858.0/B68*100)</f>
        <v/>
      </c>
      <c r="D68" s="19" t="n">
        <v>602</v>
      </c>
      <c r="E68" s="18" t="n">
        <v>67.57539435</v>
      </c>
      <c r="F68" s="20" t="n">
        <v>2.0843952</v>
      </c>
      <c r="G68" s="18" t="n">
        <v>21.42643454</v>
      </c>
      <c r="H68" s="20" t="n">
        <v>1.70029462</v>
      </c>
      <c r="I68" s="18" t="n">
        <v>0</v>
      </c>
      <c r="J68" s="20" t="n">
        <v>0</v>
      </c>
      <c r="K68" s="18" t="n">
        <v>0.57609029</v>
      </c>
      <c r="L68" s="20" t="n">
        <v>0.33498824</v>
      </c>
      <c r="M68" s="18" t="n">
        <v>0</v>
      </c>
      <c r="N68" s="20" t="n">
        <v>0</v>
      </c>
      <c r="O68" s="18" t="n">
        <v>0</v>
      </c>
      <c r="P68" s="20" t="n">
        <v>0</v>
      </c>
      <c r="Q68" s="18" t="n">
        <v>10.42208082</v>
      </c>
      <c r="R68" s="20" t="n">
        <v>1.27027228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(4649.0/B70*100)</f>
        <v/>
      </c>
      <c r="D70" s="19" t="n">
        <v>1385</v>
      </c>
      <c r="E70" s="18" t="n">
        <v>34.55702794</v>
      </c>
      <c r="F70" s="20" t="n">
        <v>1.24815003</v>
      </c>
      <c r="G70" s="18" t="n">
        <v>48.47880309</v>
      </c>
      <c r="H70" s="20" t="n">
        <v>1.35343973</v>
      </c>
      <c r="I70" s="18" t="n">
        <v>0</v>
      </c>
      <c r="J70" s="20" t="n">
        <v>0</v>
      </c>
      <c r="K70" s="18" t="n">
        <v>3.53036677</v>
      </c>
      <c r="L70" s="20" t="n">
        <v>0.52729864</v>
      </c>
      <c r="M70" s="18" t="n">
        <v>0.07001528999999999</v>
      </c>
      <c r="N70" s="20" t="n">
        <v>0.06972562</v>
      </c>
      <c r="O70" s="18" t="n">
        <v>0</v>
      </c>
      <c r="P70" s="20" t="n">
        <v>0</v>
      </c>
      <c r="Q70" s="18" t="n">
        <v>13.3637869</v>
      </c>
      <c r="R70" s="20" t="n">
        <v>0.8419709399999999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(2531.0/B72*100)</f>
        <v/>
      </c>
      <c r="D72" s="19" t="n">
        <v>576</v>
      </c>
      <c r="E72" s="18" t="n">
        <v>29.64829443</v>
      </c>
      <c r="F72" s="20" t="n">
        <v>2.35002488</v>
      </c>
      <c r="G72" s="18" t="n">
        <v>57.60780846</v>
      </c>
      <c r="H72" s="20" t="n">
        <v>2.76176591</v>
      </c>
      <c r="I72" s="18" t="n">
        <v>0</v>
      </c>
      <c r="J72" s="20" t="n">
        <v>0</v>
      </c>
      <c r="K72" s="18" t="n">
        <v>0.5750348199999999</v>
      </c>
      <c r="L72" s="20" t="n">
        <v>0.27586518</v>
      </c>
      <c r="M72" s="18" t="n">
        <v>0</v>
      </c>
      <c r="N72" s="20" t="n">
        <v>0</v>
      </c>
      <c r="O72" s="18" t="n">
        <v>0</v>
      </c>
      <c r="P72" s="20" t="n">
        <v>0</v>
      </c>
      <c r="Q72" s="18" t="n">
        <v>12.16886229</v>
      </c>
      <c r="R72" s="20" t="n">
        <v>1.44706089</v>
      </c>
    </row>
    <row r="73" spans="1:18">
      <c r="A73" s="15" t="s">
        <v>633</v>
      </c>
      <c r="B73" s="17" t="n">
        <v>2973</v>
      </c>
      <c r="C73" s="18">
        <f>(2335.0/B73*100)</f>
        <v/>
      </c>
      <c r="D73" s="19" t="n">
        <v>638</v>
      </c>
      <c r="E73" s="18" t="n">
        <v>14.30447413</v>
      </c>
      <c r="F73" s="20" t="n">
        <v>1.31323345</v>
      </c>
      <c r="G73" s="18" t="n">
        <v>81.99707076</v>
      </c>
      <c r="H73" s="20" t="n">
        <v>1.35790609</v>
      </c>
      <c r="I73" s="18" t="n">
        <v>0</v>
      </c>
      <c r="J73" s="20" t="n">
        <v>0</v>
      </c>
      <c r="K73" s="18" t="n">
        <v>0.52473057</v>
      </c>
      <c r="L73" s="20" t="n">
        <v>0.30394254</v>
      </c>
      <c r="M73" s="18" t="n">
        <v>0</v>
      </c>
      <c r="N73" s="20" t="n">
        <v>0</v>
      </c>
      <c r="O73" s="18" t="n">
        <v>0</v>
      </c>
      <c r="P73" s="20" t="n">
        <v>0</v>
      </c>
      <c r="Q73" s="18" t="n">
        <v>3.17372455</v>
      </c>
      <c r="R73" s="20" t="n">
        <v>0.6863644</v>
      </c>
    </row>
    <row r="74" spans="1:18">
      <c r="A74" s="15" t="s">
        <v>634</v>
      </c>
      <c r="B74" s="17" t="n">
        <v>3819</v>
      </c>
      <c r="C74" s="18">
        <f>(2978.0/B74*100)</f>
        <v/>
      </c>
      <c r="D74" s="19" t="n">
        <v>841</v>
      </c>
      <c r="E74" s="18" t="n">
        <v>20.26821174</v>
      </c>
      <c r="F74" s="20" t="n">
        <v>1.71048882</v>
      </c>
      <c r="G74" s="18" t="n">
        <v>72.75924872</v>
      </c>
      <c r="H74" s="20" t="n">
        <v>1.92077348</v>
      </c>
      <c r="I74" s="18" t="n">
        <v>0</v>
      </c>
      <c r="J74" s="20" t="n">
        <v>0</v>
      </c>
      <c r="K74" s="18" t="n">
        <v>0.08618136</v>
      </c>
      <c r="L74" s="20" t="n">
        <v>0.08667208</v>
      </c>
      <c r="M74" s="18" t="n">
        <v>0</v>
      </c>
      <c r="N74" s="20" t="n">
        <v>0</v>
      </c>
      <c r="O74" s="18" t="n">
        <v>0</v>
      </c>
      <c r="P74" s="20" t="n">
        <v>0</v>
      </c>
      <c r="Q74" s="18" t="n">
        <v>6.88635817</v>
      </c>
      <c r="R74" s="20" t="n">
        <v>0.929729</v>
      </c>
    </row>
    <row r="75" spans="1:18">
      <c r="A75" s="15" t="s">
        <v>635</v>
      </c>
      <c r="B75" s="17" t="n">
        <v>4652</v>
      </c>
      <c r="C75" s="18">
        <f>(3707.0/B75*100)</f>
        <v/>
      </c>
      <c r="D75" s="19" t="n">
        <v>945</v>
      </c>
      <c r="E75" s="18" t="n">
        <v>63.01181725</v>
      </c>
      <c r="F75" s="20" t="n">
        <v>1.87795037</v>
      </c>
      <c r="G75" s="18" t="n">
        <v>34.50430627</v>
      </c>
      <c r="H75" s="20" t="n">
        <v>1.9512671</v>
      </c>
      <c r="I75" s="18" t="n">
        <v>0</v>
      </c>
      <c r="J75" s="20" t="n">
        <v>0</v>
      </c>
      <c r="K75" s="18" t="n">
        <v>0.05380324</v>
      </c>
      <c r="L75" s="20" t="n">
        <v>0.05426383</v>
      </c>
      <c r="M75" s="18" t="n">
        <v>0.30468603</v>
      </c>
      <c r="N75" s="20" t="n">
        <v>0.20442497</v>
      </c>
      <c r="O75" s="18" t="n">
        <v>0</v>
      </c>
      <c r="P75" s="20" t="n">
        <v>0</v>
      </c>
      <c r="Q75" s="18" t="n">
        <v>2.12538721</v>
      </c>
      <c r="R75" s="20" t="n">
        <v>0.50929238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(2417.0/B77*100)</f>
        <v/>
      </c>
      <c r="D77" s="19" t="n">
        <v>552</v>
      </c>
      <c r="E77" s="18" t="n">
        <v>37.28583138</v>
      </c>
      <c r="F77" s="20" t="n">
        <v>2.12832084</v>
      </c>
      <c r="G77" s="18" t="n">
        <v>25.2948217</v>
      </c>
      <c r="H77" s="20" t="n">
        <v>1.96576085</v>
      </c>
      <c r="I77" s="18" t="n">
        <v>0</v>
      </c>
      <c r="J77" s="20" t="n">
        <v>0</v>
      </c>
      <c r="K77" s="18" t="n">
        <v>4.85057025</v>
      </c>
      <c r="L77" s="20" t="n">
        <v>0.92479149</v>
      </c>
      <c r="M77" s="18" t="n">
        <v>0.95007429</v>
      </c>
      <c r="N77" s="20" t="n">
        <v>0.50057589</v>
      </c>
      <c r="O77" s="18" t="n">
        <v>0</v>
      </c>
      <c r="P77" s="20" t="n">
        <v>0</v>
      </c>
      <c r="Q77" s="18" t="n">
        <v>31.61870238</v>
      </c>
      <c r="R77" s="20" t="n">
        <v>2.06028803</v>
      </c>
    </row>
    <row r="78" spans="1:18">
      <c r="A78" s="15" t="s">
        <v>638</v>
      </c>
      <c r="B78" s="17" t="n">
        <v>7115</v>
      </c>
      <c r="C78" s="18">
        <f>(5582.0/B78*100)</f>
        <v/>
      </c>
      <c r="D78" s="19" t="n">
        <v>1533</v>
      </c>
      <c r="E78" s="18" t="n">
        <v>40.09281927</v>
      </c>
      <c r="F78" s="20" t="n">
        <v>1.78690889</v>
      </c>
      <c r="G78" s="18" t="n">
        <v>49.65924265</v>
      </c>
      <c r="H78" s="20" t="n">
        <v>2.03941881</v>
      </c>
      <c r="I78" s="18" t="n">
        <v>0</v>
      </c>
      <c r="J78" s="20" t="n">
        <v>0</v>
      </c>
      <c r="K78" s="18" t="n">
        <v>0.92078291</v>
      </c>
      <c r="L78" s="20" t="n">
        <v>0.32151327</v>
      </c>
      <c r="M78" s="18" t="n">
        <v>0.16439929</v>
      </c>
      <c r="N78" s="20" t="n">
        <v>0.10307969</v>
      </c>
      <c r="O78" s="18" t="n">
        <v>0</v>
      </c>
      <c r="P78" s="20" t="n">
        <v>0</v>
      </c>
      <c r="Q78" s="18" t="n">
        <v>9.162755880000001</v>
      </c>
      <c r="R78" s="20" t="n">
        <v>0.85910769</v>
      </c>
    </row>
    <row r="79" spans="1:18">
      <c r="A79" s="15" t="s">
        <v>639</v>
      </c>
      <c r="B79" s="17" t="n">
        <v>3154</v>
      </c>
      <c r="C79" s="18">
        <f>(2488.0/B79*100)</f>
        <v/>
      </c>
      <c r="D79" s="19" t="n">
        <v>666</v>
      </c>
      <c r="E79" s="18" t="n">
        <v>36.06158512</v>
      </c>
      <c r="F79" s="20" t="n">
        <v>1.60262765</v>
      </c>
      <c r="G79" s="18" t="n">
        <v>28.02308496</v>
      </c>
      <c r="H79" s="20" t="n">
        <v>1.55957541</v>
      </c>
      <c r="I79" s="18" t="n">
        <v>0</v>
      </c>
      <c r="J79" s="20" t="n">
        <v>0</v>
      </c>
      <c r="K79" s="18" t="n">
        <v>1.08063628</v>
      </c>
      <c r="L79" s="20" t="n">
        <v>0.39284705</v>
      </c>
      <c r="M79" s="18" t="n">
        <v>0</v>
      </c>
      <c r="N79" s="20" t="n">
        <v>0</v>
      </c>
      <c r="O79" s="18" t="n">
        <v>0</v>
      </c>
      <c r="P79" s="20" t="n">
        <v>0</v>
      </c>
      <c r="Q79" s="18" t="n">
        <v>34.83469364</v>
      </c>
      <c r="R79" s="20" t="n">
        <v>1.96857928</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(12543.0/B82*100)</f>
        <v/>
      </c>
      <c r="D82" s="19" t="n">
        <v>3418</v>
      </c>
      <c r="E82" s="18" t="n">
        <v>36.26945866</v>
      </c>
      <c r="F82" s="20" t="n">
        <v>1.21774109</v>
      </c>
      <c r="G82" s="18" t="n">
        <v>49.55520555</v>
      </c>
      <c r="H82" s="20" t="n">
        <v>1.18660568</v>
      </c>
      <c r="I82" s="18" t="n">
        <v>0</v>
      </c>
      <c r="J82" s="20" t="n">
        <v>0</v>
      </c>
      <c r="K82" s="18" t="n">
        <v>0.35531075</v>
      </c>
      <c r="L82" s="20" t="n">
        <v>0.13197849</v>
      </c>
      <c r="M82" s="18" t="n">
        <v>0</v>
      </c>
      <c r="N82" s="20" t="n">
        <v>0</v>
      </c>
      <c r="O82" s="18" t="n">
        <v>0</v>
      </c>
      <c r="P82" s="20" t="n">
        <v>0</v>
      </c>
      <c r="Q82" s="18" t="n">
        <v>13.82002504</v>
      </c>
      <c r="R82" s="20" t="n">
        <v>0.96481417</v>
      </c>
    </row>
    <row r="83" spans="1:18">
      <c r="A83" s="15" t="s">
        <v>643</v>
      </c>
      <c r="B83" s="17" t="n">
        <v>808</v>
      </c>
      <c r="C83" s="18">
        <f>(636.0/B83*100)</f>
        <v/>
      </c>
      <c r="D83" s="19" t="n">
        <v>172</v>
      </c>
      <c r="E83" s="18" t="n">
        <v>25.53216873</v>
      </c>
      <c r="F83" s="20" t="n">
        <v>4.0048541</v>
      </c>
      <c r="G83" s="18" t="n">
        <v>71.12361305</v>
      </c>
      <c r="H83" s="20" t="n">
        <v>3.93836176</v>
      </c>
      <c r="I83" s="18" t="n">
        <v>0</v>
      </c>
      <c r="J83" s="20" t="n">
        <v>0</v>
      </c>
      <c r="K83" s="18" t="n">
        <v>0.7074815</v>
      </c>
      <c r="L83" s="20" t="n">
        <v>0.73931244</v>
      </c>
      <c r="M83" s="18" t="n">
        <v>0</v>
      </c>
      <c r="N83" s="20" t="n">
        <v>0</v>
      </c>
      <c r="O83" s="18" t="n">
        <v>0</v>
      </c>
      <c r="P83" s="20" t="n">
        <v>0</v>
      </c>
      <c r="Q83" s="18" t="n">
        <v>2.63673672</v>
      </c>
      <c r="R83" s="20" t="n">
        <v>1.1768847</v>
      </c>
    </row>
    <row r="84" spans="1:18">
      <c r="A84" s="23" t="s">
        <v>644</v>
      </c>
      <c r="B84" s="24" t="n">
        <v>938</v>
      </c>
      <c r="C84" s="25">
        <f>(739.0/B84*100)</f>
        <v/>
      </c>
      <c r="D84" s="19" t="n">
        <v>199</v>
      </c>
      <c r="E84" s="18" t="n">
        <v>35.4172149</v>
      </c>
      <c r="F84" s="20" t="n">
        <v>3.13339711</v>
      </c>
      <c r="G84" s="18" t="n">
        <v>59.85219622</v>
      </c>
      <c r="H84" s="20" t="n">
        <v>3.18874328</v>
      </c>
      <c r="I84" s="18" t="n">
        <v>0</v>
      </c>
      <c r="J84" s="20" t="n">
        <v>0</v>
      </c>
      <c r="K84" s="18" t="n">
        <v>0</v>
      </c>
      <c r="L84" s="20" t="n">
        <v>0</v>
      </c>
      <c r="M84" s="18" t="n">
        <v>0</v>
      </c>
      <c r="N84" s="20" t="n">
        <v>0</v>
      </c>
      <c r="O84" s="18" t="n">
        <v>0</v>
      </c>
      <c r="P84" s="20" t="n">
        <v>0</v>
      </c>
      <c r="Q84" s="18" t="n">
        <v>4.73058888</v>
      </c>
      <c r="R84" s="20" t="n">
        <v>1.62831047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(5653.0/B7*100)</f>
        <v/>
      </c>
      <c r="D7" s="19" t="n">
        <v>1510</v>
      </c>
      <c r="E7" s="18" t="n">
        <v>65.96911661999999</v>
      </c>
      <c r="F7" s="20" t="n">
        <v>1.537448</v>
      </c>
      <c r="G7" s="18" t="n">
        <v>22.65990796</v>
      </c>
      <c r="H7" s="20" t="n">
        <v>1.28913582</v>
      </c>
      <c r="I7" s="18" t="n">
        <v>0</v>
      </c>
      <c r="J7" s="20" t="n">
        <v>0</v>
      </c>
      <c r="K7" s="18" t="n">
        <v>0.50619114</v>
      </c>
      <c r="L7" s="20" t="n">
        <v>0.17518255</v>
      </c>
      <c r="M7" s="18" t="n">
        <v>0.06863498</v>
      </c>
      <c r="N7" s="20" t="n">
        <v>0.04862227</v>
      </c>
      <c r="O7" s="18" t="n">
        <v>0</v>
      </c>
      <c r="P7" s="20" t="n">
        <v>0</v>
      </c>
      <c r="Q7" s="18" t="n">
        <v>10.7961493</v>
      </c>
      <c r="R7" s="20" t="n">
        <v>0.8849278699999999</v>
      </c>
    </row>
    <row r="8" spans="1:18">
      <c r="A8" s="15" t="s">
        <v>566</v>
      </c>
      <c r="B8" s="17" t="n">
        <v>3443</v>
      </c>
      <c r="C8" s="18">
        <f>(2731.0/B8*100)</f>
        <v/>
      </c>
      <c r="D8" s="19" t="n">
        <v>712</v>
      </c>
      <c r="E8" s="18" t="n">
        <v>66.0767673</v>
      </c>
      <c r="F8" s="20" t="n">
        <v>2.13517609</v>
      </c>
      <c r="G8" s="18" t="n">
        <v>15.78309413</v>
      </c>
      <c r="H8" s="20" t="n">
        <v>1.43024027</v>
      </c>
      <c r="I8" s="18" t="n">
        <v>0</v>
      </c>
      <c r="J8" s="20" t="n">
        <v>0</v>
      </c>
      <c r="K8" s="18" t="n">
        <v>0.19958137</v>
      </c>
      <c r="L8" s="20" t="n">
        <v>0.20121073</v>
      </c>
      <c r="M8" s="18" t="n">
        <v>0</v>
      </c>
      <c r="N8" s="20" t="n">
        <v>0</v>
      </c>
      <c r="O8" s="18" t="n">
        <v>0</v>
      </c>
      <c r="P8" s="20" t="n">
        <v>0</v>
      </c>
      <c r="Q8" s="18" t="n">
        <v>17.9405572</v>
      </c>
      <c r="R8" s="20" t="n">
        <v>2.07397439</v>
      </c>
    </row>
    <row r="9" spans="1:18">
      <c r="A9" s="15" t="s">
        <v>567</v>
      </c>
      <c r="B9" s="17" t="n">
        <v>4752</v>
      </c>
      <c r="C9" s="18">
        <f>(3744.0/B9*100)</f>
        <v/>
      </c>
      <c r="D9" s="19" t="n">
        <v>1008</v>
      </c>
      <c r="E9" s="18" t="n">
        <v>65.43972949</v>
      </c>
      <c r="F9" s="20" t="n">
        <v>1.90747344</v>
      </c>
      <c r="G9" s="18" t="n">
        <v>22.84976284</v>
      </c>
      <c r="H9" s="20" t="n">
        <v>1.65899451</v>
      </c>
      <c r="I9" s="18" t="n">
        <v>0</v>
      </c>
      <c r="J9" s="20" t="n">
        <v>0</v>
      </c>
      <c r="K9" s="18" t="n">
        <v>0.89071357</v>
      </c>
      <c r="L9" s="20" t="n">
        <v>0.3127815</v>
      </c>
      <c r="M9" s="18" t="n">
        <v>0.40552038</v>
      </c>
      <c r="N9" s="20" t="n">
        <v>0.17131894</v>
      </c>
      <c r="O9" s="18" t="n">
        <v>0</v>
      </c>
      <c r="P9" s="20" t="n">
        <v>0</v>
      </c>
      <c r="Q9" s="18" t="n">
        <v>10.41427373</v>
      </c>
      <c r="R9" s="20" t="n">
        <v>0.9079769600000001</v>
      </c>
    </row>
    <row r="10" spans="1:18">
      <c r="A10" s="15" t="s">
        <v>568</v>
      </c>
      <c r="B10" s="17" t="n">
        <v>10022</v>
      </c>
      <c r="C10" s="18">
        <f>(7872.0/B10*100)</f>
        <v/>
      </c>
      <c r="D10" s="19" t="n">
        <v>2150</v>
      </c>
      <c r="E10" s="18" t="n">
        <v>68.21186208</v>
      </c>
      <c r="F10" s="20" t="n">
        <v>1.53037485</v>
      </c>
      <c r="G10" s="18" t="n">
        <v>25.9931221</v>
      </c>
      <c r="H10" s="20" t="n">
        <v>1.41531992</v>
      </c>
      <c r="I10" s="18" t="n">
        <v>0</v>
      </c>
      <c r="J10" s="20" t="n">
        <v>0</v>
      </c>
      <c r="K10" s="18" t="n">
        <v>0.76245354</v>
      </c>
      <c r="L10" s="20" t="n">
        <v>0.32278515</v>
      </c>
      <c r="M10" s="18" t="n">
        <v>0.00376613</v>
      </c>
      <c r="N10" s="20" t="n">
        <v>0.00385632</v>
      </c>
      <c r="O10" s="18" t="n">
        <v>0</v>
      </c>
      <c r="P10" s="20" t="n">
        <v>0</v>
      </c>
      <c r="Q10" s="18" t="n">
        <v>5.02879616</v>
      </c>
      <c r="R10" s="20" t="n">
        <v>0.61797642</v>
      </c>
    </row>
    <row r="11" spans="1:18">
      <c r="A11" s="15" t="s">
        <v>569</v>
      </c>
      <c r="B11" s="17" t="n">
        <v>3500</v>
      </c>
      <c r="C11" s="18">
        <f>(2793.0/B11*100)</f>
        <v/>
      </c>
      <c r="D11" s="19" t="n">
        <v>707</v>
      </c>
      <c r="E11" s="18" t="n">
        <v>81.30437908</v>
      </c>
      <c r="F11" s="20" t="n">
        <v>1.75018931</v>
      </c>
      <c r="G11" s="18" t="n">
        <v>3.34507037</v>
      </c>
      <c r="H11" s="20" t="n">
        <v>0.80908509</v>
      </c>
      <c r="I11" s="18" t="n">
        <v>0</v>
      </c>
      <c r="J11" s="20" t="n">
        <v>0</v>
      </c>
      <c r="K11" s="18" t="n">
        <v>1.13801506</v>
      </c>
      <c r="L11" s="20" t="n">
        <v>0.47785002</v>
      </c>
      <c r="M11" s="18" t="n">
        <v>0.06235989</v>
      </c>
      <c r="N11" s="20" t="n">
        <v>0.06841607</v>
      </c>
      <c r="O11" s="18" t="n">
        <v>0</v>
      </c>
      <c r="P11" s="20" t="n">
        <v>0</v>
      </c>
      <c r="Q11" s="18" t="n">
        <v>14.1501756</v>
      </c>
      <c r="R11" s="20" t="n">
        <v>1.72048694</v>
      </c>
    </row>
    <row r="12" spans="1:18">
      <c r="A12" s="15" t="s">
        <v>570</v>
      </c>
      <c r="B12" s="17" t="n">
        <v>3422</v>
      </c>
      <c r="C12" s="18">
        <f>(2672.0/B12*100)</f>
        <v/>
      </c>
      <c r="D12" s="19" t="n">
        <v>750</v>
      </c>
      <c r="E12" s="18" t="n">
        <v>66.20476403000001</v>
      </c>
      <c r="F12" s="20" t="n">
        <v>2.22715057</v>
      </c>
      <c r="G12" s="18" t="n">
        <v>9.899380389999999</v>
      </c>
      <c r="H12" s="20" t="n">
        <v>1.25349386</v>
      </c>
      <c r="I12" s="18" t="n">
        <v>0</v>
      </c>
      <c r="J12" s="20" t="n">
        <v>0</v>
      </c>
      <c r="K12" s="18" t="n">
        <v>0.42143071</v>
      </c>
      <c r="L12" s="20" t="n">
        <v>0.32189243</v>
      </c>
      <c r="M12" s="18" t="n">
        <v>0.05054785</v>
      </c>
      <c r="N12" s="20" t="n">
        <v>0.05054675</v>
      </c>
      <c r="O12" s="18" t="n">
        <v>0</v>
      </c>
      <c r="P12" s="20" t="n">
        <v>0</v>
      </c>
      <c r="Q12" s="18" t="n">
        <v>23.42387701</v>
      </c>
      <c r="R12" s="20" t="n">
        <v>1.89432533</v>
      </c>
    </row>
    <row r="13" spans="1:18">
      <c r="A13" s="15" t="s">
        <v>571</v>
      </c>
      <c r="B13" s="17" t="n">
        <v>3602</v>
      </c>
      <c r="C13" s="18">
        <f>(2850.0/B13*100)</f>
        <v/>
      </c>
      <c r="D13" s="19" t="n">
        <v>752</v>
      </c>
      <c r="E13" s="18" t="n">
        <v>47.05993836</v>
      </c>
      <c r="F13" s="20" t="n">
        <v>2.1632088</v>
      </c>
      <c r="G13" s="18" t="n">
        <v>39.15918862</v>
      </c>
      <c r="H13" s="20" t="n">
        <v>2.47209196</v>
      </c>
      <c r="I13" s="18" t="n">
        <v>0</v>
      </c>
      <c r="J13" s="20" t="n">
        <v>0</v>
      </c>
      <c r="K13" s="18" t="n">
        <v>0.78442121</v>
      </c>
      <c r="L13" s="20" t="n">
        <v>0.33574289</v>
      </c>
      <c r="M13" s="18" t="n">
        <v>0</v>
      </c>
      <c r="N13" s="20" t="n">
        <v>0</v>
      </c>
      <c r="O13" s="18" t="n">
        <v>0</v>
      </c>
      <c r="P13" s="20" t="n">
        <v>0</v>
      </c>
      <c r="Q13" s="18" t="n">
        <v>12.99645181</v>
      </c>
      <c r="R13" s="20" t="n">
        <v>1.52277722</v>
      </c>
    </row>
    <row r="14" spans="1:18">
      <c r="A14" s="15" t="s">
        <v>572</v>
      </c>
      <c r="B14" s="17" t="n">
        <v>2788</v>
      </c>
      <c r="C14" s="18">
        <f>(2189.0/B14*100)</f>
        <v/>
      </c>
      <c r="D14" s="19" t="n">
        <v>599</v>
      </c>
      <c r="E14" s="18" t="n">
        <v>74.91129742</v>
      </c>
      <c r="F14" s="20" t="n">
        <v>1.75777368</v>
      </c>
      <c r="G14" s="18" t="n">
        <v>15.23333486</v>
      </c>
      <c r="H14" s="20" t="n">
        <v>1.54215441</v>
      </c>
      <c r="I14" s="18" t="n">
        <v>0</v>
      </c>
      <c r="J14" s="20" t="n">
        <v>0</v>
      </c>
      <c r="K14" s="18" t="n">
        <v>0.80789139</v>
      </c>
      <c r="L14" s="20" t="n">
        <v>0.38801953</v>
      </c>
      <c r="M14" s="18" t="n">
        <v>0</v>
      </c>
      <c r="N14" s="20" t="n">
        <v>0</v>
      </c>
      <c r="O14" s="18" t="n">
        <v>0</v>
      </c>
      <c r="P14" s="20" t="n">
        <v>0</v>
      </c>
      <c r="Q14" s="18" t="n">
        <v>9.04747633</v>
      </c>
      <c r="R14" s="20" t="n">
        <v>1.3455806</v>
      </c>
    </row>
    <row r="15" spans="1:18">
      <c r="A15" s="15" t="s">
        <v>573</v>
      </c>
      <c r="B15" s="17" t="n">
        <v>2863</v>
      </c>
      <c r="C15" s="18">
        <f>(2254.0/B15*100)</f>
        <v/>
      </c>
      <c r="D15" s="19" t="n">
        <v>609</v>
      </c>
      <c r="E15" s="18" t="n">
        <v>51.90941701</v>
      </c>
      <c r="F15" s="20" t="n">
        <v>1.98732463</v>
      </c>
      <c r="G15" s="18" t="n">
        <v>40.65998112</v>
      </c>
      <c r="H15" s="20" t="n">
        <v>2.07145176</v>
      </c>
      <c r="I15" s="18" t="n">
        <v>0</v>
      </c>
      <c r="J15" s="20" t="n">
        <v>0</v>
      </c>
      <c r="K15" s="18" t="n">
        <v>0.19189862</v>
      </c>
      <c r="L15" s="20" t="n">
        <v>0.20955541</v>
      </c>
      <c r="M15" s="18" t="n">
        <v>0</v>
      </c>
      <c r="N15" s="20" t="n">
        <v>0</v>
      </c>
      <c r="O15" s="18" t="n">
        <v>0</v>
      </c>
      <c r="P15" s="20" t="n">
        <v>0</v>
      </c>
      <c r="Q15" s="18" t="n">
        <v>7.23870325</v>
      </c>
      <c r="R15" s="20" t="n">
        <v>1.04604837</v>
      </c>
    </row>
    <row r="16" spans="1:18">
      <c r="A16" s="15" t="s">
        <v>574</v>
      </c>
      <c r="B16" s="17" t="n">
        <v>3111</v>
      </c>
      <c r="C16" s="18">
        <f>(2458.0/B16*100)</f>
        <v/>
      </c>
      <c r="D16" s="19" t="n">
        <v>653</v>
      </c>
      <c r="E16" s="18" t="n">
        <v>63.84477552</v>
      </c>
      <c r="F16" s="20" t="n">
        <v>1.75314278</v>
      </c>
      <c r="G16" s="18" t="n">
        <v>17.27273164</v>
      </c>
      <c r="H16" s="20" t="n">
        <v>1.44218993</v>
      </c>
      <c r="I16" s="18" t="n">
        <v>0</v>
      </c>
      <c r="J16" s="20" t="n">
        <v>0</v>
      </c>
      <c r="K16" s="18" t="n">
        <v>0.98342129</v>
      </c>
      <c r="L16" s="20" t="n">
        <v>0.39694228</v>
      </c>
      <c r="M16" s="18" t="n">
        <v>0.15535465</v>
      </c>
      <c r="N16" s="20" t="n">
        <v>0.16356648</v>
      </c>
      <c r="O16" s="18" t="n">
        <v>0</v>
      </c>
      <c r="P16" s="20" t="n">
        <v>0</v>
      </c>
      <c r="Q16" s="18" t="n">
        <v>17.7437169</v>
      </c>
      <c r="R16" s="20" t="n">
        <v>1.45858204</v>
      </c>
    </row>
    <row r="17" spans="1:18">
      <c r="A17" s="15" t="s">
        <v>575</v>
      </c>
      <c r="B17" s="17" t="n">
        <v>3197</v>
      </c>
      <c r="C17" s="18">
        <f>(2485.0/B17*100)</f>
        <v/>
      </c>
      <c r="D17" s="19" t="n">
        <v>712</v>
      </c>
      <c r="E17" s="18" t="n">
        <v>65.16680226</v>
      </c>
      <c r="F17" s="20" t="n">
        <v>1.97694429</v>
      </c>
      <c r="G17" s="18" t="n">
        <v>18.07712011</v>
      </c>
      <c r="H17" s="20" t="n">
        <v>1.57493988</v>
      </c>
      <c r="I17" s="18" t="n">
        <v>0</v>
      </c>
      <c r="J17" s="20" t="n">
        <v>0</v>
      </c>
      <c r="K17" s="18" t="n">
        <v>0.55071388</v>
      </c>
      <c r="L17" s="20" t="n">
        <v>0.23331164</v>
      </c>
      <c r="M17" s="18" t="n">
        <v>0</v>
      </c>
      <c r="N17" s="20" t="n">
        <v>0</v>
      </c>
      <c r="O17" s="18" t="n">
        <v>0</v>
      </c>
      <c r="P17" s="20" t="n">
        <v>0</v>
      </c>
      <c r="Q17" s="18" t="n">
        <v>16.20536376</v>
      </c>
      <c r="R17" s="20" t="n">
        <v>1.42917088</v>
      </c>
    </row>
    <row r="18" spans="1:18">
      <c r="A18" s="15" t="s">
        <v>576</v>
      </c>
      <c r="B18" s="17" t="n">
        <v>2706</v>
      </c>
      <c r="C18" s="18">
        <f>(2098.0/B18*100)</f>
        <v/>
      </c>
      <c r="D18" s="19" t="n">
        <v>608</v>
      </c>
      <c r="E18" s="18" t="n">
        <v>73.19235393</v>
      </c>
      <c r="F18" s="20" t="n">
        <v>2.4156685</v>
      </c>
      <c r="G18" s="18" t="n">
        <v>7.53971006</v>
      </c>
      <c r="H18" s="20" t="n">
        <v>1.05337149</v>
      </c>
      <c r="I18" s="18" t="n">
        <v>0</v>
      </c>
      <c r="J18" s="20" t="n">
        <v>0</v>
      </c>
      <c r="K18" s="18" t="n">
        <v>1.90957051</v>
      </c>
      <c r="L18" s="20" t="n">
        <v>0.79783311</v>
      </c>
      <c r="M18" s="18" t="n">
        <v>0</v>
      </c>
      <c r="N18" s="20" t="n">
        <v>0</v>
      </c>
      <c r="O18" s="18" t="n">
        <v>0</v>
      </c>
      <c r="P18" s="20" t="n">
        <v>0</v>
      </c>
      <c r="Q18" s="18" t="n">
        <v>17.3583655</v>
      </c>
      <c r="R18" s="20" t="n">
        <v>2.39982293</v>
      </c>
    </row>
    <row r="19" spans="1:18">
      <c r="A19" s="15" t="s">
        <v>577</v>
      </c>
      <c r="B19" s="17" t="n">
        <v>2850</v>
      </c>
      <c r="C19" s="18">
        <f>(2281.0/B19*100)</f>
        <v/>
      </c>
      <c r="D19" s="19" t="n">
        <v>569</v>
      </c>
      <c r="E19" s="18" t="n">
        <v>72.3958998</v>
      </c>
      <c r="F19" s="20" t="n">
        <v>1.92433249</v>
      </c>
      <c r="G19" s="18" t="n">
        <v>9.80474922</v>
      </c>
      <c r="H19" s="20" t="n">
        <v>1.41453003</v>
      </c>
      <c r="I19" s="18" t="n">
        <v>0</v>
      </c>
      <c r="J19" s="20" t="n">
        <v>0</v>
      </c>
      <c r="K19" s="18" t="n">
        <v>0.15012727</v>
      </c>
      <c r="L19" s="20" t="n">
        <v>0.10756292</v>
      </c>
      <c r="M19" s="18" t="n">
        <v>0</v>
      </c>
      <c r="N19" s="20" t="n">
        <v>0</v>
      </c>
      <c r="O19" s="18" t="n">
        <v>0</v>
      </c>
      <c r="P19" s="20" t="n">
        <v>0</v>
      </c>
      <c r="Q19" s="18" t="n">
        <v>17.64922371</v>
      </c>
      <c r="R19" s="20" t="n">
        <v>1.8511929</v>
      </c>
    </row>
    <row r="20" spans="1:18">
      <c r="A20" s="15" t="s">
        <v>578</v>
      </c>
      <c r="B20" s="17" t="n">
        <v>1741</v>
      </c>
      <c r="C20" s="18">
        <f>(1380.0/B20*100)</f>
        <v/>
      </c>
      <c r="D20" s="19" t="n">
        <v>361</v>
      </c>
      <c r="E20" s="18" t="n">
        <v>73.10058755999999</v>
      </c>
      <c r="F20" s="20" t="n">
        <v>1.91625793</v>
      </c>
      <c r="G20" s="18" t="n">
        <v>11.88558221</v>
      </c>
      <c r="H20" s="20" t="n">
        <v>1.59336161</v>
      </c>
      <c r="I20" s="18" t="n">
        <v>0</v>
      </c>
      <c r="J20" s="20" t="n">
        <v>0</v>
      </c>
      <c r="K20" s="18" t="n">
        <v>0</v>
      </c>
      <c r="L20" s="20" t="n">
        <v>0</v>
      </c>
      <c r="M20" s="18" t="n">
        <v>0.42910915</v>
      </c>
      <c r="N20" s="20" t="n">
        <v>0.43585753</v>
      </c>
      <c r="O20" s="18" t="n">
        <v>0</v>
      </c>
      <c r="P20" s="20" t="n">
        <v>0</v>
      </c>
      <c r="Q20" s="18" t="n">
        <v>14.58472108</v>
      </c>
      <c r="R20" s="20" t="n">
        <v>1.5320239</v>
      </c>
    </row>
    <row r="21" spans="1:18">
      <c r="A21" s="15" t="s">
        <v>579</v>
      </c>
      <c r="B21" s="17" t="n">
        <v>2833</v>
      </c>
      <c r="C21" s="18">
        <f>(2189.0/B21*100)</f>
        <v/>
      </c>
      <c r="D21" s="19" t="n">
        <v>644</v>
      </c>
      <c r="E21" s="18" t="n">
        <v>53.14822024</v>
      </c>
      <c r="F21" s="20" t="n">
        <v>2.43386767</v>
      </c>
      <c r="G21" s="18" t="n">
        <v>41.21152944</v>
      </c>
      <c r="H21" s="20" t="n">
        <v>2.40330522</v>
      </c>
      <c r="I21" s="18" t="n">
        <v>0</v>
      </c>
      <c r="J21" s="20" t="n">
        <v>0</v>
      </c>
      <c r="K21" s="18" t="n">
        <v>0.14767574</v>
      </c>
      <c r="L21" s="20" t="n">
        <v>0.1469157</v>
      </c>
      <c r="M21" s="18" t="n">
        <v>0</v>
      </c>
      <c r="N21" s="20" t="n">
        <v>0</v>
      </c>
      <c r="O21" s="18" t="n">
        <v>0</v>
      </c>
      <c r="P21" s="20" t="n">
        <v>0</v>
      </c>
      <c r="Q21" s="18" t="n">
        <v>5.49257458</v>
      </c>
      <c r="R21" s="20" t="n">
        <v>0.82556918</v>
      </c>
    </row>
    <row r="22" spans="1:18">
      <c r="A22" s="15" t="s">
        <v>580</v>
      </c>
      <c r="B22" s="17" t="n">
        <v>3667</v>
      </c>
      <c r="C22" s="18">
        <f>(2849.0/B22*100)</f>
        <v/>
      </c>
      <c r="D22" s="19" t="n">
        <v>818</v>
      </c>
      <c r="E22" s="18" t="n">
        <v>72.35492017</v>
      </c>
      <c r="F22" s="20" t="n">
        <v>1.84704545</v>
      </c>
      <c r="G22" s="18" t="n">
        <v>6.05928101</v>
      </c>
      <c r="H22" s="20" t="n">
        <v>0.89683803</v>
      </c>
      <c r="I22" s="18" t="n">
        <v>0</v>
      </c>
      <c r="J22" s="20" t="n">
        <v>0</v>
      </c>
      <c r="K22" s="18" t="n">
        <v>0.5898811900000001</v>
      </c>
      <c r="L22" s="20" t="n">
        <v>0.30216564</v>
      </c>
      <c r="M22" s="18" t="n">
        <v>0</v>
      </c>
      <c r="N22" s="20" t="n">
        <v>0</v>
      </c>
      <c r="O22" s="18" t="n">
        <v>0</v>
      </c>
      <c r="P22" s="20" t="n">
        <v>0</v>
      </c>
      <c r="Q22" s="18" t="n">
        <v>20.99591763</v>
      </c>
      <c r="R22" s="20" t="n">
        <v>1.56930191</v>
      </c>
    </row>
    <row r="23" spans="1:18">
      <c r="A23" s="15" t="s">
        <v>581</v>
      </c>
      <c r="B23" s="17" t="n">
        <v>5792</v>
      </c>
      <c r="C23" s="18">
        <f>(4534.0/B23*100)</f>
        <v/>
      </c>
      <c r="D23" s="19" t="n">
        <v>1258</v>
      </c>
      <c r="E23" s="18" t="n">
        <v>66.0834335</v>
      </c>
      <c r="F23" s="20" t="n">
        <v>2.49672216</v>
      </c>
      <c r="G23" s="18" t="n">
        <v>9.17410911</v>
      </c>
      <c r="H23" s="20" t="n">
        <v>0.9953692</v>
      </c>
      <c r="I23" s="18" t="n">
        <v>0</v>
      </c>
      <c r="J23" s="20" t="n">
        <v>0</v>
      </c>
      <c r="K23" s="18" t="n">
        <v>1.64856424</v>
      </c>
      <c r="L23" s="20" t="n">
        <v>0.6954687000000001</v>
      </c>
      <c r="M23" s="18" t="n">
        <v>0.09503464</v>
      </c>
      <c r="N23" s="20" t="n">
        <v>0.09521978</v>
      </c>
      <c r="O23" s="18" t="n">
        <v>0</v>
      </c>
      <c r="P23" s="20" t="n">
        <v>0</v>
      </c>
      <c r="Q23" s="18" t="n">
        <v>22.99885852</v>
      </c>
      <c r="R23" s="20" t="n">
        <v>2.48277187</v>
      </c>
    </row>
    <row r="24" spans="1:18">
      <c r="A24" s="15" t="s">
        <v>582</v>
      </c>
      <c r="B24" s="17" t="n">
        <v>3309</v>
      </c>
      <c r="C24" s="18">
        <f>(2545.0/B24*100)</f>
        <v/>
      </c>
      <c r="D24" s="19" t="n">
        <v>764</v>
      </c>
      <c r="E24" s="18" t="n">
        <v>46.23177864</v>
      </c>
      <c r="F24" s="20" t="n">
        <v>2.06380998</v>
      </c>
      <c r="G24" s="18" t="n">
        <v>43.72905014</v>
      </c>
      <c r="H24" s="20" t="n">
        <v>2.03627322</v>
      </c>
      <c r="I24" s="18" t="n">
        <v>0</v>
      </c>
      <c r="J24" s="20" t="n">
        <v>0</v>
      </c>
      <c r="K24" s="18" t="n">
        <v>0.25343166</v>
      </c>
      <c r="L24" s="20" t="n">
        <v>0.18007785</v>
      </c>
      <c r="M24" s="18" t="n">
        <v>0</v>
      </c>
      <c r="N24" s="20" t="n">
        <v>0</v>
      </c>
      <c r="O24" s="18" t="n">
        <v>0</v>
      </c>
      <c r="P24" s="20" t="n">
        <v>0</v>
      </c>
      <c r="Q24" s="18" t="n">
        <v>9.78573956</v>
      </c>
      <c r="R24" s="20" t="n">
        <v>1.18327561</v>
      </c>
    </row>
    <row r="25" spans="1:18">
      <c r="A25" s="15" t="s">
        <v>583</v>
      </c>
      <c r="B25" s="17" t="n">
        <v>2669</v>
      </c>
      <c r="C25" s="18">
        <f>(2088.0/B25*100)</f>
        <v/>
      </c>
      <c r="D25" s="19" t="n">
        <v>581</v>
      </c>
      <c r="E25" s="18" t="n">
        <v>62.02414894</v>
      </c>
      <c r="F25" s="20" t="n">
        <v>2.1208764</v>
      </c>
      <c r="G25" s="18" t="n">
        <v>30.01795534</v>
      </c>
      <c r="H25" s="20" t="n">
        <v>1.77663777</v>
      </c>
      <c r="I25" s="18" t="n">
        <v>0</v>
      </c>
      <c r="J25" s="20" t="n">
        <v>0</v>
      </c>
      <c r="K25" s="18" t="n">
        <v>0.30630266</v>
      </c>
      <c r="L25" s="20" t="n">
        <v>0.22521357</v>
      </c>
      <c r="M25" s="18" t="n">
        <v>0</v>
      </c>
      <c r="N25" s="20" t="n">
        <v>0</v>
      </c>
      <c r="O25" s="18" t="n">
        <v>0</v>
      </c>
      <c r="P25" s="20" t="n">
        <v>0</v>
      </c>
      <c r="Q25" s="18" t="n">
        <v>7.65159307</v>
      </c>
      <c r="R25" s="20" t="n">
        <v>1.22934269</v>
      </c>
    </row>
    <row r="26" spans="1:18">
      <c r="A26" s="15" t="s">
        <v>584</v>
      </c>
      <c r="B26" s="17" t="n">
        <v>2419</v>
      </c>
      <c r="C26" s="18">
        <f>(1896.0/B26*100)</f>
        <v/>
      </c>
      <c r="D26" s="19" t="n">
        <v>523</v>
      </c>
      <c r="E26" s="18" t="n">
        <v>76.58428139999999</v>
      </c>
      <c r="F26" s="20" t="n">
        <v>1.72778969</v>
      </c>
      <c r="G26" s="18" t="n">
        <v>11.18267896</v>
      </c>
      <c r="H26" s="20" t="n">
        <v>1.55634392</v>
      </c>
      <c r="I26" s="18" t="n">
        <v>0</v>
      </c>
      <c r="J26" s="20" t="n">
        <v>0</v>
      </c>
      <c r="K26" s="18" t="n">
        <v>0.17809317</v>
      </c>
      <c r="L26" s="20" t="n">
        <v>0.17346653</v>
      </c>
      <c r="M26" s="18" t="n">
        <v>0.13420357</v>
      </c>
      <c r="N26" s="20" t="n">
        <v>0.13516845</v>
      </c>
      <c r="O26" s="18" t="n">
        <v>0</v>
      </c>
      <c r="P26" s="20" t="n">
        <v>0</v>
      </c>
      <c r="Q26" s="18" t="n">
        <v>11.9207429</v>
      </c>
      <c r="R26" s="20" t="n">
        <v>1.30335354</v>
      </c>
    </row>
    <row r="27" spans="1:18">
      <c r="A27" s="15" t="s">
        <v>585</v>
      </c>
      <c r="B27" s="17" t="n">
        <v>2683</v>
      </c>
      <c r="C27" s="18">
        <f>(2071.0/B27*100)</f>
        <v/>
      </c>
      <c r="D27" s="19" t="n">
        <v>612</v>
      </c>
      <c r="E27" s="18" t="n">
        <v>64.33911322</v>
      </c>
      <c r="F27" s="20" t="n">
        <v>1.93803625</v>
      </c>
      <c r="G27" s="18" t="n">
        <v>20.07940588</v>
      </c>
      <c r="H27" s="20" t="n">
        <v>1.59983498</v>
      </c>
      <c r="I27" s="18" t="n">
        <v>0</v>
      </c>
      <c r="J27" s="20" t="n">
        <v>0</v>
      </c>
      <c r="K27" s="18" t="n">
        <v>0.15712797</v>
      </c>
      <c r="L27" s="20" t="n">
        <v>0.15718662</v>
      </c>
      <c r="M27" s="18" t="n">
        <v>0</v>
      </c>
      <c r="N27" s="20" t="n">
        <v>0</v>
      </c>
      <c r="O27" s="18" t="n">
        <v>0</v>
      </c>
      <c r="P27" s="20" t="n">
        <v>0</v>
      </c>
      <c r="Q27" s="18" t="n">
        <v>15.42435293</v>
      </c>
      <c r="R27" s="20" t="n">
        <v>1.3325139</v>
      </c>
    </row>
    <row r="28" spans="1:18">
      <c r="A28" s="15" t="s">
        <v>586</v>
      </c>
      <c r="B28" s="17" t="n">
        <v>3803</v>
      </c>
      <c r="C28" s="18">
        <f>(3079.0/B28*100)</f>
        <v/>
      </c>
      <c r="D28" s="19" t="n">
        <v>724</v>
      </c>
      <c r="E28" s="18" t="n">
        <v>90.24290094</v>
      </c>
      <c r="F28" s="20" t="n">
        <v>1.33172544</v>
      </c>
      <c r="G28" s="18" t="n">
        <v>4.99149601</v>
      </c>
      <c r="H28" s="20" t="n">
        <v>0.87086788</v>
      </c>
      <c r="I28" s="18" t="n">
        <v>0</v>
      </c>
      <c r="J28" s="20" t="n">
        <v>0</v>
      </c>
      <c r="K28" s="18" t="n">
        <v>1.55017307</v>
      </c>
      <c r="L28" s="20" t="n">
        <v>0.59630619</v>
      </c>
      <c r="M28" s="18" t="n">
        <v>0</v>
      </c>
      <c r="N28" s="20" t="n">
        <v>0</v>
      </c>
      <c r="O28" s="18" t="n">
        <v>0</v>
      </c>
      <c r="P28" s="20" t="n">
        <v>0</v>
      </c>
      <c r="Q28" s="18" t="n">
        <v>3.21542998</v>
      </c>
      <c r="R28" s="20" t="n">
        <v>0.92101425</v>
      </c>
    </row>
    <row r="29" spans="1:18">
      <c r="A29" s="15" t="s">
        <v>587</v>
      </c>
      <c r="B29" s="17" t="n">
        <v>2700</v>
      </c>
      <c r="C29" s="18">
        <f>(2118.0/B29*100)</f>
        <v/>
      </c>
      <c r="D29" s="19" t="n">
        <v>582</v>
      </c>
      <c r="E29" s="18" t="n">
        <v>58.49468359</v>
      </c>
      <c r="F29" s="20" t="n">
        <v>2.19911524</v>
      </c>
      <c r="G29" s="18" t="n">
        <v>35.96148544</v>
      </c>
      <c r="H29" s="20" t="n">
        <v>2.29124095</v>
      </c>
      <c r="I29" s="18" t="n">
        <v>0</v>
      </c>
      <c r="J29" s="20" t="n">
        <v>0</v>
      </c>
      <c r="K29" s="18" t="n">
        <v>0</v>
      </c>
      <c r="L29" s="20" t="n">
        <v>0</v>
      </c>
      <c r="M29" s="18" t="n">
        <v>0</v>
      </c>
      <c r="N29" s="20" t="n">
        <v>0</v>
      </c>
      <c r="O29" s="18" t="n">
        <v>0</v>
      </c>
      <c r="P29" s="20" t="n">
        <v>0</v>
      </c>
      <c r="Q29" s="18" t="n">
        <v>5.54383096</v>
      </c>
      <c r="R29" s="20" t="n">
        <v>1.19011959</v>
      </c>
    </row>
    <row r="30" spans="1:18">
      <c r="A30" s="15" t="s">
        <v>588</v>
      </c>
      <c r="B30" s="17" t="n">
        <v>2257</v>
      </c>
      <c r="C30" s="18">
        <f>(1801.0/B30*100)</f>
        <v/>
      </c>
      <c r="D30" s="19" t="n">
        <v>456</v>
      </c>
      <c r="E30" s="18" t="n">
        <v>64.75630794</v>
      </c>
      <c r="F30" s="20" t="n">
        <v>2.4579363</v>
      </c>
      <c r="G30" s="18" t="n">
        <v>23.29870429</v>
      </c>
      <c r="H30" s="20" t="n">
        <v>1.9773481</v>
      </c>
      <c r="I30" s="18" t="n">
        <v>0</v>
      </c>
      <c r="J30" s="20" t="n">
        <v>0</v>
      </c>
      <c r="K30" s="18" t="n">
        <v>0</v>
      </c>
      <c r="L30" s="20" t="n">
        <v>0</v>
      </c>
      <c r="M30" s="18" t="n">
        <v>0</v>
      </c>
      <c r="N30" s="20" t="n">
        <v>0</v>
      </c>
      <c r="O30" s="18" t="n">
        <v>0</v>
      </c>
      <c r="P30" s="20" t="n">
        <v>0</v>
      </c>
      <c r="Q30" s="18" t="n">
        <v>11.94498778</v>
      </c>
      <c r="R30" s="20" t="n">
        <v>1.92425234</v>
      </c>
    </row>
    <row r="31" spans="1:18">
      <c r="A31" s="15" t="s">
        <v>589</v>
      </c>
      <c r="B31" s="17" t="n">
        <v>2706</v>
      </c>
      <c r="C31" s="18">
        <f>(2123.0/B31*100)</f>
        <v/>
      </c>
      <c r="D31" s="19" t="n">
        <v>583</v>
      </c>
      <c r="E31" s="18" t="n">
        <v>44.12243832</v>
      </c>
      <c r="F31" s="20" t="n">
        <v>2.36636983</v>
      </c>
      <c r="G31" s="18" t="n">
        <v>38.47322359</v>
      </c>
      <c r="H31" s="20" t="n">
        <v>2.43101717</v>
      </c>
      <c r="I31" s="18" t="n">
        <v>0</v>
      </c>
      <c r="J31" s="20" t="n">
        <v>0</v>
      </c>
      <c r="K31" s="18" t="n">
        <v>1.14017347</v>
      </c>
      <c r="L31" s="20" t="n">
        <v>0.42726171</v>
      </c>
      <c r="M31" s="18" t="n">
        <v>0</v>
      </c>
      <c r="N31" s="20" t="n">
        <v>0</v>
      </c>
      <c r="O31" s="18" t="n">
        <v>0</v>
      </c>
      <c r="P31" s="20" t="n">
        <v>0</v>
      </c>
      <c r="Q31" s="18" t="n">
        <v>16.26416461</v>
      </c>
      <c r="R31" s="20" t="n">
        <v>1.56602011</v>
      </c>
    </row>
    <row r="32" spans="1:18">
      <c r="A32" s="15" t="s">
        <v>590</v>
      </c>
      <c r="B32" s="17" t="n">
        <v>2209</v>
      </c>
      <c r="C32" s="18">
        <f>(1758.0/B32*100)</f>
        <v/>
      </c>
      <c r="D32" s="19" t="n">
        <v>451</v>
      </c>
      <c r="E32" s="18" t="n">
        <v>76.45634613999999</v>
      </c>
      <c r="F32" s="20" t="n">
        <v>2.10056995</v>
      </c>
      <c r="G32" s="18" t="n">
        <v>9.54592461</v>
      </c>
      <c r="H32" s="20" t="n">
        <v>1.605168</v>
      </c>
      <c r="I32" s="18" t="n">
        <v>0</v>
      </c>
      <c r="J32" s="20" t="n">
        <v>0</v>
      </c>
      <c r="K32" s="18" t="n">
        <v>0.21775113</v>
      </c>
      <c r="L32" s="20" t="n">
        <v>0.22046903</v>
      </c>
      <c r="M32" s="18" t="n">
        <v>0</v>
      </c>
      <c r="N32" s="20" t="n">
        <v>0</v>
      </c>
      <c r="O32" s="18" t="n">
        <v>0</v>
      </c>
      <c r="P32" s="20" t="n">
        <v>0</v>
      </c>
      <c r="Q32" s="18" t="n">
        <v>13.77997812</v>
      </c>
      <c r="R32" s="20" t="n">
        <v>1.63165106</v>
      </c>
    </row>
    <row r="33" spans="1:18">
      <c r="A33" s="15" t="s">
        <v>591</v>
      </c>
      <c r="B33" s="17" t="n">
        <v>3651</v>
      </c>
      <c r="C33" s="18">
        <f>(2936.0/B33*100)</f>
        <v/>
      </c>
      <c r="D33" s="19" t="n">
        <v>715</v>
      </c>
      <c r="E33" s="18" t="n">
        <v>64.9326193</v>
      </c>
      <c r="F33" s="20" t="n">
        <v>2.16405324</v>
      </c>
      <c r="G33" s="18" t="n">
        <v>21.40480121</v>
      </c>
      <c r="H33" s="20" t="n">
        <v>1.94292474</v>
      </c>
      <c r="I33" s="18" t="n">
        <v>0</v>
      </c>
      <c r="J33" s="20" t="n">
        <v>0</v>
      </c>
      <c r="K33" s="18" t="n">
        <v>0.50313454</v>
      </c>
      <c r="L33" s="20" t="n">
        <v>0.28068978</v>
      </c>
      <c r="M33" s="18" t="n">
        <v>0</v>
      </c>
      <c r="N33" s="20" t="n">
        <v>0</v>
      </c>
      <c r="O33" s="18" t="n">
        <v>0</v>
      </c>
      <c r="P33" s="20" t="n">
        <v>0</v>
      </c>
      <c r="Q33" s="18" t="n">
        <v>13.15944495</v>
      </c>
      <c r="R33" s="20" t="n">
        <v>1.49854139</v>
      </c>
    </row>
    <row r="34" spans="1:18">
      <c r="A34" s="15" t="s">
        <v>592</v>
      </c>
      <c r="B34" s="17" t="n">
        <v>3035</v>
      </c>
      <c r="C34" s="18">
        <f>(2399.0/B34*100)</f>
        <v/>
      </c>
      <c r="D34" s="19" t="n">
        <v>636</v>
      </c>
      <c r="E34" s="18" t="n">
        <v>72.51318999999999</v>
      </c>
      <c r="F34" s="20" t="n">
        <v>1.90026396</v>
      </c>
      <c r="G34" s="18" t="n">
        <v>8.819741759999999</v>
      </c>
      <c r="H34" s="20" t="n">
        <v>1.26927349</v>
      </c>
      <c r="I34" s="18" t="n">
        <v>0</v>
      </c>
      <c r="J34" s="20" t="n">
        <v>0</v>
      </c>
      <c r="K34" s="18" t="n">
        <v>0.16279305</v>
      </c>
      <c r="L34" s="20" t="n">
        <v>0.2314691</v>
      </c>
      <c r="M34" s="18" t="n">
        <v>0.30084704</v>
      </c>
      <c r="N34" s="20" t="n">
        <v>0.18342779</v>
      </c>
      <c r="O34" s="18" t="n">
        <v>0</v>
      </c>
      <c r="P34" s="20" t="n">
        <v>0</v>
      </c>
      <c r="Q34" s="18" t="n">
        <v>18.20342815</v>
      </c>
      <c r="R34" s="20" t="n">
        <v>1.6672366</v>
      </c>
    </row>
    <row r="35" spans="1:18">
      <c r="A35" s="15" t="s">
        <v>593</v>
      </c>
      <c r="B35" s="17" t="n">
        <v>2901</v>
      </c>
      <c r="C35" s="18">
        <f>(2249.0/B35*100)</f>
        <v/>
      </c>
      <c r="D35" s="19" t="n">
        <v>652</v>
      </c>
      <c r="E35" s="18" t="n">
        <v>70.61978233000001</v>
      </c>
      <c r="F35" s="20" t="n">
        <v>2.09712357</v>
      </c>
      <c r="G35" s="18" t="n">
        <v>18.67589303</v>
      </c>
      <c r="H35" s="20" t="n">
        <v>1.66934009</v>
      </c>
      <c r="I35" s="18" t="n">
        <v>0</v>
      </c>
      <c r="J35" s="20" t="n">
        <v>0</v>
      </c>
      <c r="K35" s="18" t="n">
        <v>0.13781011</v>
      </c>
      <c r="L35" s="20" t="n">
        <v>0.13771399</v>
      </c>
      <c r="M35" s="18" t="n">
        <v>0</v>
      </c>
      <c r="N35" s="20" t="n">
        <v>0</v>
      </c>
      <c r="O35" s="18" t="n">
        <v>0</v>
      </c>
      <c r="P35" s="20" t="n">
        <v>0</v>
      </c>
      <c r="Q35" s="18" t="n">
        <v>10.56651453</v>
      </c>
      <c r="R35" s="20" t="n">
        <v>1.43346098</v>
      </c>
    </row>
    <row r="36" spans="1:18">
      <c r="A36" s="15" t="s">
        <v>594</v>
      </c>
      <c r="B36" s="17" t="n">
        <v>3404</v>
      </c>
      <c r="C36" s="18">
        <f>(2693.0/B36*100)</f>
        <v/>
      </c>
      <c r="D36" s="19" t="n">
        <v>711</v>
      </c>
      <c r="E36" s="18" t="n">
        <v>76.88798839</v>
      </c>
      <c r="F36" s="20" t="n">
        <v>1.72587644</v>
      </c>
      <c r="G36" s="18" t="n">
        <v>13.9421795</v>
      </c>
      <c r="H36" s="20" t="n">
        <v>1.35805024</v>
      </c>
      <c r="I36" s="18" t="n">
        <v>0</v>
      </c>
      <c r="J36" s="20" t="n">
        <v>0</v>
      </c>
      <c r="K36" s="18" t="n">
        <v>0.45356531</v>
      </c>
      <c r="L36" s="20" t="n">
        <v>0.26873266</v>
      </c>
      <c r="M36" s="18" t="n">
        <v>0</v>
      </c>
      <c r="N36" s="20" t="n">
        <v>0</v>
      </c>
      <c r="O36" s="18" t="n">
        <v>0</v>
      </c>
      <c r="P36" s="20" t="n">
        <v>0</v>
      </c>
      <c r="Q36" s="18" t="n">
        <v>8.7162668</v>
      </c>
      <c r="R36" s="20" t="n">
        <v>1.21118445</v>
      </c>
    </row>
    <row r="37" spans="1:18">
      <c r="A37" s="15" t="s">
        <v>595</v>
      </c>
      <c r="B37" s="17" t="n">
        <v>2731</v>
      </c>
      <c r="C37" s="18">
        <f>(2161.0/B37*100)</f>
        <v/>
      </c>
      <c r="D37" s="19" t="n">
        <v>570</v>
      </c>
      <c r="E37" s="18" t="n">
        <v>38.2562334</v>
      </c>
      <c r="F37" s="20" t="n">
        <v>2.28861023</v>
      </c>
      <c r="G37" s="18" t="n">
        <v>49.08091436</v>
      </c>
      <c r="H37" s="20" t="n">
        <v>2.45435508</v>
      </c>
      <c r="I37" s="18" t="n">
        <v>0</v>
      </c>
      <c r="J37" s="20" t="n">
        <v>0</v>
      </c>
      <c r="K37" s="18" t="n">
        <v>1.0676475</v>
      </c>
      <c r="L37" s="20" t="n">
        <v>0.45734614</v>
      </c>
      <c r="M37" s="18" t="n">
        <v>0</v>
      </c>
      <c r="N37" s="20" t="n">
        <v>0</v>
      </c>
      <c r="O37" s="18" t="n">
        <v>0</v>
      </c>
      <c r="P37" s="20" t="n">
        <v>0</v>
      </c>
      <c r="Q37" s="18" t="n">
        <v>11.59520474</v>
      </c>
      <c r="R37" s="20" t="n">
        <v>1.75600466</v>
      </c>
    </row>
    <row r="38" spans="1:18">
      <c r="A38" s="15" t="s">
        <v>596</v>
      </c>
      <c r="B38" s="17" t="n">
        <v>2807</v>
      </c>
      <c r="C38" s="18">
        <f>(2179.0/B38*100)</f>
        <v/>
      </c>
      <c r="D38" s="19" t="n">
        <v>628</v>
      </c>
      <c r="E38" s="18" t="n">
        <v>69.76872792</v>
      </c>
      <c r="F38" s="20" t="n">
        <v>1.98352328</v>
      </c>
      <c r="G38" s="18" t="n">
        <v>19.09366803</v>
      </c>
      <c r="H38" s="20" t="n">
        <v>1.70883273</v>
      </c>
      <c r="I38" s="18" t="n">
        <v>0</v>
      </c>
      <c r="J38" s="20" t="n">
        <v>0</v>
      </c>
      <c r="K38" s="18" t="n">
        <v>0.70461106</v>
      </c>
      <c r="L38" s="20" t="n">
        <v>0.37659812</v>
      </c>
      <c r="M38" s="18" t="n">
        <v>1.22009886</v>
      </c>
      <c r="N38" s="20" t="n">
        <v>0.45859901</v>
      </c>
      <c r="O38" s="18" t="n">
        <v>0</v>
      </c>
      <c r="P38" s="20" t="n">
        <v>0</v>
      </c>
      <c r="Q38" s="18" t="n">
        <v>9.21289413</v>
      </c>
      <c r="R38" s="20" t="n">
        <v>1.38271344</v>
      </c>
    </row>
    <row r="39" spans="1:18">
      <c r="A39" s="15" t="s">
        <v>597</v>
      </c>
      <c r="B39" s="17" t="n">
        <v>2938</v>
      </c>
      <c r="C39" s="18">
        <f>(2274.0/B39*100)</f>
        <v/>
      </c>
      <c r="D39" s="19" t="n">
        <v>664</v>
      </c>
      <c r="E39" s="18" t="n">
        <v>83.6892687</v>
      </c>
      <c r="F39" s="20" t="n">
        <v>1.64429939</v>
      </c>
      <c r="G39" s="18" t="n">
        <v>4.75288643</v>
      </c>
      <c r="H39" s="20" t="n">
        <v>1.10261825</v>
      </c>
      <c r="I39" s="18" t="n">
        <v>0</v>
      </c>
      <c r="J39" s="20" t="n">
        <v>0</v>
      </c>
      <c r="K39" s="18" t="n">
        <v>0.46507356</v>
      </c>
      <c r="L39" s="20" t="n">
        <v>0.28043643</v>
      </c>
      <c r="M39" s="18" t="n">
        <v>0</v>
      </c>
      <c r="N39" s="20" t="n">
        <v>0</v>
      </c>
      <c r="O39" s="18" t="n">
        <v>0</v>
      </c>
      <c r="P39" s="20" t="n">
        <v>0</v>
      </c>
      <c r="Q39" s="18" t="n">
        <v>11.09277131</v>
      </c>
      <c r="R39" s="20" t="n">
        <v>1.43313213</v>
      </c>
    </row>
    <row r="40" spans="1:18">
      <c r="A40" s="15" t="s">
        <v>598</v>
      </c>
      <c r="B40" s="17" t="n">
        <v>6922</v>
      </c>
      <c r="C40" s="18">
        <f>(5480.0/B40*100)</f>
        <v/>
      </c>
      <c r="D40" s="19" t="n">
        <v>1442</v>
      </c>
      <c r="E40" s="18" t="n">
        <v>46.65967193</v>
      </c>
      <c r="F40" s="20" t="n">
        <v>2.04453464</v>
      </c>
      <c r="G40" s="18" t="n">
        <v>44.09685614</v>
      </c>
      <c r="H40" s="20" t="n">
        <v>2.30433694</v>
      </c>
      <c r="I40" s="18" t="n">
        <v>0</v>
      </c>
      <c r="J40" s="20" t="n">
        <v>0</v>
      </c>
      <c r="K40" s="18" t="n">
        <v>0.37056611</v>
      </c>
      <c r="L40" s="20" t="n">
        <v>0.23458867</v>
      </c>
      <c r="M40" s="18" t="n">
        <v>0</v>
      </c>
      <c r="N40" s="20" t="n">
        <v>0</v>
      </c>
      <c r="O40" s="18" t="n">
        <v>0</v>
      </c>
      <c r="P40" s="20" t="n">
        <v>0</v>
      </c>
      <c r="Q40" s="18" t="n">
        <v>8.87290582</v>
      </c>
      <c r="R40" s="20" t="n">
        <v>1.01611436</v>
      </c>
    </row>
    <row r="41" spans="1:18">
      <c r="A41" s="15" t="s">
        <v>599</v>
      </c>
      <c r="B41" s="17" t="n">
        <v>2854</v>
      </c>
      <c r="C41" s="18">
        <f>(2219.0/B41*100)</f>
        <v/>
      </c>
      <c r="D41" s="19" t="n">
        <v>635</v>
      </c>
      <c r="E41" s="18" t="n">
        <v>82.2877988</v>
      </c>
      <c r="F41" s="20" t="n">
        <v>1.60148618</v>
      </c>
      <c r="G41" s="18" t="n">
        <v>12.26872732</v>
      </c>
      <c r="H41" s="20" t="n">
        <v>1.25781036</v>
      </c>
      <c r="I41" s="18" t="n">
        <v>0</v>
      </c>
      <c r="J41" s="20" t="n">
        <v>0</v>
      </c>
      <c r="K41" s="18" t="n">
        <v>0.79705683</v>
      </c>
      <c r="L41" s="20" t="n">
        <v>0.42666551</v>
      </c>
      <c r="M41" s="18" t="n">
        <v>0</v>
      </c>
      <c r="N41" s="20" t="n">
        <v>0</v>
      </c>
      <c r="O41" s="18" t="n">
        <v>0</v>
      </c>
      <c r="P41" s="20" t="n">
        <v>0</v>
      </c>
      <c r="Q41" s="18" t="n">
        <v>4.64641705</v>
      </c>
      <c r="R41" s="20" t="n">
        <v>0.88588713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(10126.0/B46*100)</f>
        <v/>
      </c>
      <c r="D46" s="19" t="n">
        <v>1947</v>
      </c>
      <c r="E46" s="18" t="n">
        <v>64.00809999000001</v>
      </c>
      <c r="F46" s="20" t="n">
        <v>1.71113361</v>
      </c>
      <c r="G46" s="18" t="n">
        <v>9.73245689</v>
      </c>
      <c r="H46" s="20" t="n">
        <v>1.03981982</v>
      </c>
      <c r="I46" s="18" t="n">
        <v>0</v>
      </c>
      <c r="J46" s="20" t="n">
        <v>0</v>
      </c>
      <c r="K46" s="18" t="n">
        <v>2.23422381</v>
      </c>
      <c r="L46" s="20" t="n">
        <v>0.43441052</v>
      </c>
      <c r="M46" s="18" t="n">
        <v>0.35688019</v>
      </c>
      <c r="N46" s="20" t="n">
        <v>0.1384858</v>
      </c>
      <c r="O46" s="18" t="n">
        <v>0</v>
      </c>
      <c r="P46" s="20" t="n">
        <v>0</v>
      </c>
      <c r="Q46" s="18" t="n">
        <v>23.66833912</v>
      </c>
      <c r="R46" s="20" t="n">
        <v>1.41239521</v>
      </c>
    </row>
    <row r="47" spans="1:18">
      <c r="A47" s="15" t="s">
        <v>606</v>
      </c>
      <c r="B47" s="17" t="n">
        <v>2823</v>
      </c>
      <c r="C47" s="18">
        <f>(2234.0/B47*100)</f>
        <v/>
      </c>
      <c r="D47" s="19" t="n">
        <v>589</v>
      </c>
      <c r="E47" s="18" t="n">
        <v>63.09380835</v>
      </c>
      <c r="F47" s="20" t="n">
        <v>1.96741489</v>
      </c>
      <c r="G47" s="18" t="n">
        <v>7.50347775</v>
      </c>
      <c r="H47" s="20" t="n">
        <v>1.13058222</v>
      </c>
      <c r="I47" s="18" t="n">
        <v>0</v>
      </c>
      <c r="J47" s="20" t="n">
        <v>0</v>
      </c>
      <c r="K47" s="18" t="n">
        <v>0.5070291300000001</v>
      </c>
      <c r="L47" s="20" t="n">
        <v>0.29621066</v>
      </c>
      <c r="M47" s="18" t="n">
        <v>0.16707177</v>
      </c>
      <c r="N47" s="20" t="n">
        <v>0.16607456</v>
      </c>
      <c r="O47" s="18" t="n">
        <v>0</v>
      </c>
      <c r="P47" s="20" t="n">
        <v>0</v>
      </c>
      <c r="Q47" s="18" t="n">
        <v>28.728613</v>
      </c>
      <c r="R47" s="20" t="n">
        <v>1.96035656</v>
      </c>
    </row>
    <row r="48" spans="1:18">
      <c r="A48" s="15" t="s">
        <v>607</v>
      </c>
      <c r="B48" s="17" t="n">
        <v>4682</v>
      </c>
      <c r="C48" s="18">
        <f>(3641.0/B48*100)</f>
        <v/>
      </c>
      <c r="D48" s="19" t="n">
        <v>1041</v>
      </c>
      <c r="E48" s="18" t="n">
        <v>47.34102245</v>
      </c>
      <c r="F48" s="20" t="n">
        <v>1.88651623</v>
      </c>
      <c r="G48" s="18" t="n">
        <v>44.53803729</v>
      </c>
      <c r="H48" s="20" t="n">
        <v>2.00077835</v>
      </c>
      <c r="I48" s="18" t="n">
        <v>0</v>
      </c>
      <c r="J48" s="20" t="n">
        <v>0</v>
      </c>
      <c r="K48" s="18" t="n">
        <v>1.57218521</v>
      </c>
      <c r="L48" s="20" t="n">
        <v>0.56009272</v>
      </c>
      <c r="M48" s="18" t="n">
        <v>0</v>
      </c>
      <c r="N48" s="20" t="n">
        <v>0</v>
      </c>
      <c r="O48" s="18" t="n">
        <v>0</v>
      </c>
      <c r="P48" s="20" t="n">
        <v>0</v>
      </c>
      <c r="Q48" s="18" t="n">
        <v>6.54875504</v>
      </c>
      <c r="R48" s="20" t="n">
        <v>1.08730386</v>
      </c>
    </row>
    <row r="49" spans="1:18">
      <c r="A49" s="15" t="s">
        <v>608</v>
      </c>
      <c r="B49" s="17" t="n">
        <v>6158</v>
      </c>
      <c r="C49" s="18">
        <f>(4890.0/B49*100)</f>
        <v/>
      </c>
      <c r="D49" s="19" t="n">
        <v>1268</v>
      </c>
      <c r="E49" s="18" t="n">
        <v>83.57870828</v>
      </c>
      <c r="F49" s="20" t="n">
        <v>1.32729098</v>
      </c>
      <c r="G49" s="18" t="n">
        <v>6.70945746</v>
      </c>
      <c r="H49" s="20" t="n">
        <v>1.12644461</v>
      </c>
      <c r="I49" s="18" t="n">
        <v>0</v>
      </c>
      <c r="J49" s="20" t="n">
        <v>0</v>
      </c>
      <c r="K49" s="18" t="n">
        <v>3.48373151</v>
      </c>
      <c r="L49" s="20" t="n">
        <v>0.69992519</v>
      </c>
      <c r="M49" s="18" t="n">
        <v>0.20344144</v>
      </c>
      <c r="N49" s="20" t="n">
        <v>0.12312897</v>
      </c>
      <c r="O49" s="18" t="n">
        <v>0</v>
      </c>
      <c r="P49" s="20" t="n">
        <v>0</v>
      </c>
      <c r="Q49" s="18" t="n">
        <v>6.0246613</v>
      </c>
      <c r="R49" s="20" t="n">
        <v>0.81701454</v>
      </c>
    </row>
    <row r="50" spans="1:18">
      <c r="A50" s="15" t="s">
        <v>609</v>
      </c>
      <c r="B50" s="17" t="n">
        <v>3494</v>
      </c>
      <c r="C50" s="18">
        <f>(2828.0/B50*100)</f>
        <v/>
      </c>
      <c r="D50" s="19" t="n">
        <v>666</v>
      </c>
      <c r="E50" s="18" t="n">
        <v>86.99355973</v>
      </c>
      <c r="F50" s="20" t="n">
        <v>1.30175119</v>
      </c>
      <c r="G50" s="18" t="n">
        <v>3.97921874</v>
      </c>
      <c r="H50" s="20" t="n">
        <v>0.75889211</v>
      </c>
      <c r="I50" s="18" t="n">
        <v>0</v>
      </c>
      <c r="J50" s="20" t="n">
        <v>0</v>
      </c>
      <c r="K50" s="18" t="n">
        <v>0.51588553</v>
      </c>
      <c r="L50" s="20" t="n">
        <v>0.30709601</v>
      </c>
      <c r="M50" s="18" t="n">
        <v>0</v>
      </c>
      <c r="N50" s="20" t="n">
        <v>0</v>
      </c>
      <c r="O50" s="18" t="n">
        <v>0</v>
      </c>
      <c r="P50" s="20" t="n">
        <v>0</v>
      </c>
      <c r="Q50" s="18" t="n">
        <v>8.511335989999999</v>
      </c>
      <c r="R50" s="20" t="n">
        <v>1.14319637</v>
      </c>
    </row>
    <row r="51" spans="1:18">
      <c r="A51" s="15" t="s">
        <v>610</v>
      </c>
      <c r="B51" s="17" t="n">
        <v>3013</v>
      </c>
      <c r="C51" s="18">
        <f>(2359.0/B51*100)</f>
        <v/>
      </c>
      <c r="D51" s="19" t="n">
        <v>654</v>
      </c>
      <c r="E51" s="18" t="n">
        <v>76.30541512000001</v>
      </c>
      <c r="F51" s="20" t="n">
        <v>1.81445102</v>
      </c>
      <c r="G51" s="18" t="n">
        <v>9.123494279999999</v>
      </c>
      <c r="H51" s="20" t="n">
        <v>0.97237103</v>
      </c>
      <c r="I51" s="18" t="n">
        <v>0</v>
      </c>
      <c r="J51" s="20" t="n">
        <v>0</v>
      </c>
      <c r="K51" s="18" t="n">
        <v>0.14116863</v>
      </c>
      <c r="L51" s="20" t="n">
        <v>0.14076994</v>
      </c>
      <c r="M51" s="18" t="n">
        <v>0</v>
      </c>
      <c r="N51" s="20" t="n">
        <v>0</v>
      </c>
      <c r="O51" s="18" t="n">
        <v>0</v>
      </c>
      <c r="P51" s="20" t="n">
        <v>0</v>
      </c>
      <c r="Q51" s="18" t="n">
        <v>14.42992198</v>
      </c>
      <c r="R51" s="20" t="n">
        <v>1.46186198</v>
      </c>
    </row>
    <row r="52" spans="1:18">
      <c r="A52" s="15" t="s">
        <v>611</v>
      </c>
      <c r="B52" s="17" t="n">
        <v>2760</v>
      </c>
      <c r="C52" s="18">
        <f>(2151.0/B52*100)</f>
        <v/>
      </c>
      <c r="D52" s="19" t="n">
        <v>609</v>
      </c>
      <c r="E52" s="18" t="n">
        <v>69.33590181</v>
      </c>
      <c r="F52" s="20" t="n">
        <v>2.05083885</v>
      </c>
      <c r="G52" s="18" t="n">
        <v>8.471420650000001</v>
      </c>
      <c r="H52" s="20" t="n">
        <v>1.18399687</v>
      </c>
      <c r="I52" s="18" t="n">
        <v>0</v>
      </c>
      <c r="J52" s="20" t="n">
        <v>0</v>
      </c>
      <c r="K52" s="18" t="n">
        <v>0.50269301</v>
      </c>
      <c r="L52" s="20" t="n">
        <v>0.29221552</v>
      </c>
      <c r="M52" s="18" t="n">
        <v>0</v>
      </c>
      <c r="N52" s="20" t="n">
        <v>0</v>
      </c>
      <c r="O52" s="18" t="n">
        <v>0</v>
      </c>
      <c r="P52" s="20" t="n">
        <v>0</v>
      </c>
      <c r="Q52" s="18" t="n">
        <v>21.68998453</v>
      </c>
      <c r="R52" s="20" t="n">
        <v>1.80095865</v>
      </c>
    </row>
    <row r="53" spans="1:18">
      <c r="A53" s="15" t="s">
        <v>612</v>
      </c>
      <c r="B53" s="17" t="n">
        <v>2474</v>
      </c>
      <c r="C53" s="18">
        <f>(1946.0/B53*100)</f>
        <v/>
      </c>
      <c r="D53" s="19" t="n">
        <v>528</v>
      </c>
      <c r="E53" s="18" t="n">
        <v>60.2819073</v>
      </c>
      <c r="F53" s="20" t="n">
        <v>2.36990555</v>
      </c>
      <c r="G53" s="18" t="n">
        <v>1.46877983</v>
      </c>
      <c r="H53" s="20" t="n">
        <v>0.55967082</v>
      </c>
      <c r="I53" s="18" t="n">
        <v>0</v>
      </c>
      <c r="J53" s="20" t="n">
        <v>0</v>
      </c>
      <c r="K53" s="18" t="n">
        <v>20.86146717</v>
      </c>
      <c r="L53" s="20" t="n">
        <v>2.09302376</v>
      </c>
      <c r="M53" s="18" t="n">
        <v>0.60229622</v>
      </c>
      <c r="N53" s="20" t="n">
        <v>0.50278648</v>
      </c>
      <c r="O53" s="18" t="n">
        <v>0</v>
      </c>
      <c r="P53" s="20" t="n">
        <v>0</v>
      </c>
      <c r="Q53" s="18" t="n">
        <v>16.78554948</v>
      </c>
      <c r="R53" s="20" t="n">
        <v>1.67275771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(2048.0/B55*100)</f>
        <v/>
      </c>
      <c r="D55" s="19" t="n">
        <v>627</v>
      </c>
      <c r="E55" s="18" t="n">
        <v>53.1909887</v>
      </c>
      <c r="F55" s="20" t="n">
        <v>2.37495066</v>
      </c>
      <c r="G55" s="18" t="n">
        <v>42.94648266</v>
      </c>
      <c r="H55" s="20" t="n">
        <v>2.39578617</v>
      </c>
      <c r="I55" s="18" t="n">
        <v>0</v>
      </c>
      <c r="J55" s="20" t="n">
        <v>0</v>
      </c>
      <c r="K55" s="18" t="n">
        <v>0.13301779</v>
      </c>
      <c r="L55" s="20" t="n">
        <v>0.13258635</v>
      </c>
      <c r="M55" s="18" t="n">
        <v>0.19991179</v>
      </c>
      <c r="N55" s="20" t="n">
        <v>0.22081948</v>
      </c>
      <c r="O55" s="18" t="n">
        <v>0</v>
      </c>
      <c r="P55" s="20" t="n">
        <v>0</v>
      </c>
      <c r="Q55" s="18" t="n">
        <v>3.52959907</v>
      </c>
      <c r="R55" s="20" t="n">
        <v>0.76553675</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(2485.0/B61*100)</f>
        <v/>
      </c>
      <c r="D61" s="19" t="n">
        <v>716</v>
      </c>
      <c r="E61" s="18" t="n">
        <v>70.75608054</v>
      </c>
      <c r="F61" s="20" t="n">
        <v>1.9820406</v>
      </c>
      <c r="G61" s="18" t="n">
        <v>13.99597133</v>
      </c>
      <c r="H61" s="20" t="n">
        <v>1.48170488</v>
      </c>
      <c r="I61" s="18" t="n">
        <v>0</v>
      </c>
      <c r="J61" s="20" t="n">
        <v>0</v>
      </c>
      <c r="K61" s="18" t="n">
        <v>0.05535568</v>
      </c>
      <c r="L61" s="20" t="n">
        <v>0.0551731</v>
      </c>
      <c r="M61" s="18" t="n">
        <v>0</v>
      </c>
      <c r="N61" s="20" t="n">
        <v>0</v>
      </c>
      <c r="O61" s="18" t="n">
        <v>0</v>
      </c>
      <c r="P61" s="20" t="n">
        <v>0</v>
      </c>
      <c r="Q61" s="18" t="n">
        <v>15.19259244</v>
      </c>
      <c r="R61" s="20" t="n">
        <v>1.66740513</v>
      </c>
    </row>
    <row r="62" spans="1:18">
      <c r="A62" s="15" t="s">
        <v>622</v>
      </c>
      <c r="B62" s="17" t="n">
        <v>2230</v>
      </c>
      <c r="C62" s="18">
        <f>(1745.0/B62*100)</f>
        <v/>
      </c>
      <c r="D62" s="19" t="n">
        <v>485</v>
      </c>
      <c r="E62" s="18" t="n">
        <v>56.32544521</v>
      </c>
      <c r="F62" s="20" t="n">
        <v>2.40773366</v>
      </c>
      <c r="G62" s="18" t="n">
        <v>40.78079553</v>
      </c>
      <c r="H62" s="20" t="n">
        <v>2.39337337</v>
      </c>
      <c r="I62" s="18" t="n">
        <v>0</v>
      </c>
      <c r="J62" s="20" t="n">
        <v>0</v>
      </c>
      <c r="K62" s="18" t="n">
        <v>0</v>
      </c>
      <c r="L62" s="20" t="n">
        <v>0</v>
      </c>
      <c r="M62" s="18" t="n">
        <v>0</v>
      </c>
      <c r="N62" s="20" t="n">
        <v>0</v>
      </c>
      <c r="O62" s="18" t="n">
        <v>0</v>
      </c>
      <c r="P62" s="20" t="n">
        <v>0</v>
      </c>
      <c r="Q62" s="18" t="n">
        <v>2.89375926</v>
      </c>
      <c r="R62" s="20" t="n">
        <v>0.6340488</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(2188.0/B67*100)</f>
        <v/>
      </c>
      <c r="D67" s="19" t="n">
        <v>583</v>
      </c>
      <c r="E67" s="18" t="n">
        <v>55.34965517</v>
      </c>
      <c r="F67" s="20" t="n">
        <v>2.18338378</v>
      </c>
      <c r="G67" s="18" t="n">
        <v>5.45084389</v>
      </c>
      <c r="H67" s="20" t="n">
        <v>0.97562381</v>
      </c>
      <c r="I67" s="18" t="n">
        <v>0</v>
      </c>
      <c r="J67" s="20" t="n">
        <v>0</v>
      </c>
      <c r="K67" s="18" t="n">
        <v>1.42950199</v>
      </c>
      <c r="L67" s="20" t="n">
        <v>0.48146255</v>
      </c>
      <c r="M67" s="18" t="n">
        <v>0.4566396</v>
      </c>
      <c r="N67" s="20" t="n">
        <v>0.26760676</v>
      </c>
      <c r="O67" s="18" t="n">
        <v>0</v>
      </c>
      <c r="P67" s="20" t="n">
        <v>0</v>
      </c>
      <c r="Q67" s="18" t="n">
        <v>37.31335935</v>
      </c>
      <c r="R67" s="20" t="n">
        <v>1.96058909</v>
      </c>
    </row>
    <row r="68" spans="1:18">
      <c r="A68" s="15" t="s">
        <v>628</v>
      </c>
      <c r="B68" s="17" t="n">
        <v>3460</v>
      </c>
      <c r="C68" s="18">
        <f>(2860.0/B68*100)</f>
        <v/>
      </c>
      <c r="D68" s="19" t="n">
        <v>600</v>
      </c>
      <c r="E68" s="18" t="n">
        <v>86.71227318</v>
      </c>
      <c r="F68" s="20" t="n">
        <v>1.37638244</v>
      </c>
      <c r="G68" s="18" t="n">
        <v>4.16676012</v>
      </c>
      <c r="H68" s="20" t="n">
        <v>0.7005304</v>
      </c>
      <c r="I68" s="18" t="n">
        <v>0</v>
      </c>
      <c r="J68" s="20" t="n">
        <v>0</v>
      </c>
      <c r="K68" s="18" t="n">
        <v>0.57893155</v>
      </c>
      <c r="L68" s="20" t="n">
        <v>0.33656359</v>
      </c>
      <c r="M68" s="18" t="n">
        <v>0</v>
      </c>
      <c r="N68" s="20" t="n">
        <v>0</v>
      </c>
      <c r="O68" s="18" t="n">
        <v>0</v>
      </c>
      <c r="P68" s="20" t="n">
        <v>0</v>
      </c>
      <c r="Q68" s="18" t="n">
        <v>8.54203515</v>
      </c>
      <c r="R68" s="20" t="n">
        <v>1.1439723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(4649.0/B70*100)</f>
        <v/>
      </c>
      <c r="D70" s="19" t="n">
        <v>1385</v>
      </c>
      <c r="E70" s="18" t="n">
        <v>63.90297968</v>
      </c>
      <c r="F70" s="20" t="n">
        <v>1.26407574</v>
      </c>
      <c r="G70" s="18" t="n">
        <v>21.05640947</v>
      </c>
      <c r="H70" s="20" t="n">
        <v>1.0417174</v>
      </c>
      <c r="I70" s="18" t="n">
        <v>0</v>
      </c>
      <c r="J70" s="20" t="n">
        <v>0</v>
      </c>
      <c r="K70" s="18" t="n">
        <v>3.89884571</v>
      </c>
      <c r="L70" s="20" t="n">
        <v>0.53996114</v>
      </c>
      <c r="M70" s="18" t="n">
        <v>0.14055545</v>
      </c>
      <c r="N70" s="20" t="n">
        <v>0.09810513999999999</v>
      </c>
      <c r="O70" s="18" t="n">
        <v>0</v>
      </c>
      <c r="P70" s="20" t="n">
        <v>0</v>
      </c>
      <c r="Q70" s="18" t="n">
        <v>11.00120969</v>
      </c>
      <c r="R70" s="20" t="n">
        <v>0.70907054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(2532.0/B72*100)</f>
        <v/>
      </c>
      <c r="D72" s="19" t="n">
        <v>575</v>
      </c>
      <c r="E72" s="18" t="n">
        <v>75.2357832</v>
      </c>
      <c r="F72" s="20" t="n">
        <v>1.84073923</v>
      </c>
      <c r="G72" s="18" t="n">
        <v>8.32074135</v>
      </c>
      <c r="H72" s="20" t="n">
        <v>1.94995535</v>
      </c>
      <c r="I72" s="18" t="n">
        <v>0</v>
      </c>
      <c r="J72" s="20" t="n">
        <v>0</v>
      </c>
      <c r="K72" s="18" t="n">
        <v>0.57604678</v>
      </c>
      <c r="L72" s="20" t="n">
        <v>0.2764257</v>
      </c>
      <c r="M72" s="18" t="n">
        <v>0</v>
      </c>
      <c r="N72" s="20" t="n">
        <v>0</v>
      </c>
      <c r="O72" s="18" t="n">
        <v>0</v>
      </c>
      <c r="P72" s="20" t="n">
        <v>0</v>
      </c>
      <c r="Q72" s="18" t="n">
        <v>15.86742866</v>
      </c>
      <c r="R72" s="20" t="n">
        <v>2.02935805</v>
      </c>
    </row>
    <row r="73" spans="1:18">
      <c r="A73" s="15" t="s">
        <v>633</v>
      </c>
      <c r="B73" s="17" t="n">
        <v>2973</v>
      </c>
      <c r="C73" s="18">
        <f>(2335.0/B73*100)</f>
        <v/>
      </c>
      <c r="D73" s="19" t="n">
        <v>638</v>
      </c>
      <c r="E73" s="18" t="n">
        <v>42.48454528</v>
      </c>
      <c r="F73" s="20" t="n">
        <v>1.87360956</v>
      </c>
      <c r="G73" s="18" t="n">
        <v>53.49889162</v>
      </c>
      <c r="H73" s="20" t="n">
        <v>1.80051971</v>
      </c>
      <c r="I73" s="18" t="n">
        <v>0</v>
      </c>
      <c r="J73" s="20" t="n">
        <v>0</v>
      </c>
      <c r="K73" s="18" t="n">
        <v>0.52473057</v>
      </c>
      <c r="L73" s="20" t="n">
        <v>0.30394254</v>
      </c>
      <c r="M73" s="18" t="n">
        <v>0</v>
      </c>
      <c r="N73" s="20" t="n">
        <v>0</v>
      </c>
      <c r="O73" s="18" t="n">
        <v>0</v>
      </c>
      <c r="P73" s="20" t="n">
        <v>0</v>
      </c>
      <c r="Q73" s="18" t="n">
        <v>3.49183254</v>
      </c>
      <c r="R73" s="20" t="n">
        <v>0.72214479</v>
      </c>
    </row>
    <row r="74" spans="1:18">
      <c r="A74" s="15" t="s">
        <v>634</v>
      </c>
      <c r="B74" s="17" t="n">
        <v>3819</v>
      </c>
      <c r="C74" s="18">
        <f>(2978.0/B74*100)</f>
        <v/>
      </c>
      <c r="D74" s="19" t="n">
        <v>841</v>
      </c>
      <c r="E74" s="18" t="n">
        <v>52.63528266</v>
      </c>
      <c r="F74" s="20" t="n">
        <v>1.56239629</v>
      </c>
      <c r="G74" s="18" t="n">
        <v>41.29814458</v>
      </c>
      <c r="H74" s="20" t="n">
        <v>1.61002854</v>
      </c>
      <c r="I74" s="18" t="n">
        <v>0</v>
      </c>
      <c r="J74" s="20" t="n">
        <v>0</v>
      </c>
      <c r="K74" s="18" t="n">
        <v>0.08618136</v>
      </c>
      <c r="L74" s="20" t="n">
        <v>0.08667208</v>
      </c>
      <c r="M74" s="18" t="n">
        <v>0</v>
      </c>
      <c r="N74" s="20" t="n">
        <v>0</v>
      </c>
      <c r="O74" s="18" t="n">
        <v>0</v>
      </c>
      <c r="P74" s="20" t="n">
        <v>0</v>
      </c>
      <c r="Q74" s="18" t="n">
        <v>5.9803914</v>
      </c>
      <c r="R74" s="20" t="n">
        <v>0.77050313</v>
      </c>
    </row>
    <row r="75" spans="1:18">
      <c r="A75" s="15" t="s">
        <v>635</v>
      </c>
      <c r="B75" s="17" t="n">
        <v>4652</v>
      </c>
      <c r="C75" s="18">
        <f>(3706.0/B75*100)</f>
        <v/>
      </c>
      <c r="D75" s="19" t="n">
        <v>946</v>
      </c>
      <c r="E75" s="18" t="n">
        <v>72.30934550000001</v>
      </c>
      <c r="F75" s="20" t="n">
        <v>1.73403322</v>
      </c>
      <c r="G75" s="18" t="n">
        <v>25.46755638</v>
      </c>
      <c r="H75" s="20" t="n">
        <v>1.75422688</v>
      </c>
      <c r="I75" s="18" t="n">
        <v>0</v>
      </c>
      <c r="J75" s="20" t="n">
        <v>0</v>
      </c>
      <c r="K75" s="18" t="n">
        <v>0.05371757</v>
      </c>
      <c r="L75" s="20" t="n">
        <v>0.05417854</v>
      </c>
      <c r="M75" s="18" t="n">
        <v>0.29032484</v>
      </c>
      <c r="N75" s="20" t="n">
        <v>0.20393642</v>
      </c>
      <c r="O75" s="18" t="n">
        <v>0</v>
      </c>
      <c r="P75" s="20" t="n">
        <v>0</v>
      </c>
      <c r="Q75" s="18" t="n">
        <v>1.87905572</v>
      </c>
      <c r="R75" s="20" t="n">
        <v>0.61779895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(2417.0/B77*100)</f>
        <v/>
      </c>
      <c r="D77" s="19" t="n">
        <v>552</v>
      </c>
      <c r="E77" s="18" t="n">
        <v>63.66907025</v>
      </c>
      <c r="F77" s="20" t="n">
        <v>2.37597339</v>
      </c>
      <c r="G77" s="18" t="n">
        <v>0</v>
      </c>
      <c r="H77" s="20" t="n">
        <v>0</v>
      </c>
      <c r="I77" s="18" t="n">
        <v>0</v>
      </c>
      <c r="J77" s="20" t="n">
        <v>0</v>
      </c>
      <c r="K77" s="18" t="n">
        <v>4.85057025</v>
      </c>
      <c r="L77" s="20" t="n">
        <v>0.92479149</v>
      </c>
      <c r="M77" s="18" t="n">
        <v>0.95007429</v>
      </c>
      <c r="N77" s="20" t="n">
        <v>0.50057589</v>
      </c>
      <c r="O77" s="18" t="n">
        <v>0</v>
      </c>
      <c r="P77" s="20" t="n">
        <v>0</v>
      </c>
      <c r="Q77" s="18" t="n">
        <v>30.53028521</v>
      </c>
      <c r="R77" s="20" t="n">
        <v>2.09113811</v>
      </c>
    </row>
    <row r="78" spans="1:18">
      <c r="A78" s="15" t="s">
        <v>638</v>
      </c>
      <c r="B78" s="17" t="n">
        <v>7115</v>
      </c>
      <c r="C78" s="18">
        <f>(5582.0/B78*100)</f>
        <v/>
      </c>
      <c r="D78" s="19" t="n">
        <v>1533</v>
      </c>
      <c r="E78" s="18" t="n">
        <v>69.56218328</v>
      </c>
      <c r="F78" s="20" t="n">
        <v>1.76732535</v>
      </c>
      <c r="G78" s="18" t="n">
        <v>22.35454479</v>
      </c>
      <c r="H78" s="20" t="n">
        <v>1.87658261</v>
      </c>
      <c r="I78" s="18" t="n">
        <v>0</v>
      </c>
      <c r="J78" s="20" t="n">
        <v>0</v>
      </c>
      <c r="K78" s="18" t="n">
        <v>1.19775359</v>
      </c>
      <c r="L78" s="20" t="n">
        <v>0.3802206</v>
      </c>
      <c r="M78" s="18" t="n">
        <v>0.14276766</v>
      </c>
      <c r="N78" s="20" t="n">
        <v>0.10124071</v>
      </c>
      <c r="O78" s="18" t="n">
        <v>0</v>
      </c>
      <c r="P78" s="20" t="n">
        <v>0</v>
      </c>
      <c r="Q78" s="18" t="n">
        <v>6.74275068</v>
      </c>
      <c r="R78" s="20" t="n">
        <v>0.74265188</v>
      </c>
    </row>
    <row r="79" spans="1:18">
      <c r="A79" s="15" t="s">
        <v>639</v>
      </c>
      <c r="B79" s="17" t="n">
        <v>3154</v>
      </c>
      <c r="C79" s="18">
        <f>(2488.0/B79*100)</f>
        <v/>
      </c>
      <c r="D79" s="19" t="n">
        <v>666</v>
      </c>
      <c r="E79" s="18" t="n">
        <v>63.27092621</v>
      </c>
      <c r="F79" s="20" t="n">
        <v>1.83875292</v>
      </c>
      <c r="G79" s="18" t="n">
        <v>4.24815268</v>
      </c>
      <c r="H79" s="20" t="n">
        <v>1.04202397</v>
      </c>
      <c r="I79" s="18" t="n">
        <v>0</v>
      </c>
      <c r="J79" s="20" t="n">
        <v>0</v>
      </c>
      <c r="K79" s="18" t="n">
        <v>1.25105497</v>
      </c>
      <c r="L79" s="20" t="n">
        <v>0.37861361</v>
      </c>
      <c r="M79" s="18" t="n">
        <v>0</v>
      </c>
      <c r="N79" s="20" t="n">
        <v>0</v>
      </c>
      <c r="O79" s="18" t="n">
        <v>0</v>
      </c>
      <c r="P79" s="20" t="n">
        <v>0</v>
      </c>
      <c r="Q79" s="18" t="n">
        <v>31.22986614</v>
      </c>
      <c r="R79" s="20" t="n">
        <v>1.6596018</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(12544.0/B82*100)</f>
        <v/>
      </c>
      <c r="D82" s="19" t="n">
        <v>3417</v>
      </c>
      <c r="E82" s="18" t="n">
        <v>76.16792150000001</v>
      </c>
      <c r="F82" s="20" t="n">
        <v>1.04816071</v>
      </c>
      <c r="G82" s="18" t="n">
        <v>15.33186322</v>
      </c>
      <c r="H82" s="20" t="n">
        <v>0.94914113</v>
      </c>
      <c r="I82" s="18" t="n">
        <v>0</v>
      </c>
      <c r="J82" s="20" t="n">
        <v>0</v>
      </c>
      <c r="K82" s="18" t="n">
        <v>0.53100858</v>
      </c>
      <c r="L82" s="20" t="n">
        <v>0.16231202</v>
      </c>
      <c r="M82" s="18" t="n">
        <v>0</v>
      </c>
      <c r="N82" s="20" t="n">
        <v>0</v>
      </c>
      <c r="O82" s="18" t="n">
        <v>0</v>
      </c>
      <c r="P82" s="20" t="n">
        <v>0</v>
      </c>
      <c r="Q82" s="18" t="n">
        <v>7.9692067</v>
      </c>
      <c r="R82" s="20" t="n">
        <v>0.6618878500000001</v>
      </c>
    </row>
    <row r="83" spans="1:18">
      <c r="A83" s="15" t="s">
        <v>643</v>
      </c>
      <c r="B83" s="17" t="n">
        <v>808</v>
      </c>
      <c r="C83" s="18">
        <f>(636.0/B83*100)</f>
        <v/>
      </c>
      <c r="D83" s="19" t="n">
        <v>172</v>
      </c>
      <c r="E83" s="18" t="n">
        <v>85.80388787</v>
      </c>
      <c r="F83" s="20" t="n">
        <v>3.44284612</v>
      </c>
      <c r="G83" s="18" t="n">
        <v>11.05478956</v>
      </c>
      <c r="H83" s="20" t="n">
        <v>3.30975776</v>
      </c>
      <c r="I83" s="18" t="n">
        <v>0</v>
      </c>
      <c r="J83" s="20" t="n">
        <v>0</v>
      </c>
      <c r="K83" s="18" t="n">
        <v>0.7074815</v>
      </c>
      <c r="L83" s="20" t="n">
        <v>0.73931244</v>
      </c>
      <c r="M83" s="18" t="n">
        <v>0</v>
      </c>
      <c r="N83" s="20" t="n">
        <v>0</v>
      </c>
      <c r="O83" s="18" t="n">
        <v>0</v>
      </c>
      <c r="P83" s="20" t="n">
        <v>0</v>
      </c>
      <c r="Q83" s="18" t="n">
        <v>2.43384107</v>
      </c>
      <c r="R83" s="20" t="n">
        <v>1.13385621</v>
      </c>
    </row>
    <row r="84" spans="1:18">
      <c r="A84" s="23" t="s">
        <v>644</v>
      </c>
      <c r="B84" s="24" t="n">
        <v>938</v>
      </c>
      <c r="C84" s="25">
        <f>(739.0/B84*100)</f>
        <v/>
      </c>
      <c r="D84" s="19" t="n">
        <v>199</v>
      </c>
      <c r="E84" s="18" t="n">
        <v>77.95585013</v>
      </c>
      <c r="F84" s="20" t="n">
        <v>2.46830997</v>
      </c>
      <c r="G84" s="18" t="n">
        <v>17.673248</v>
      </c>
      <c r="H84" s="20" t="n">
        <v>2.74712069</v>
      </c>
      <c r="I84" s="18" t="n">
        <v>0</v>
      </c>
      <c r="J84" s="20" t="n">
        <v>0</v>
      </c>
      <c r="K84" s="18" t="n">
        <v>0</v>
      </c>
      <c r="L84" s="20" t="n">
        <v>0</v>
      </c>
      <c r="M84" s="18" t="n">
        <v>0</v>
      </c>
      <c r="N84" s="20" t="n">
        <v>0</v>
      </c>
      <c r="O84" s="18" t="n">
        <v>0</v>
      </c>
      <c r="P84" s="20" t="n">
        <v>0</v>
      </c>
      <c r="Q84" s="18" t="n">
        <v>4.37090187</v>
      </c>
      <c r="R84" s="20" t="n">
        <v>1.4758869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(5671.0/B7*100)</f>
        <v/>
      </c>
      <c r="D7" s="19" t="n">
        <v>1492</v>
      </c>
      <c r="E7" s="18" t="n">
        <v>28.35200412</v>
      </c>
      <c r="F7" s="20" t="n">
        <v>1.49927846</v>
      </c>
      <c r="G7" s="18" t="n">
        <v>70.54836416000001</v>
      </c>
      <c r="H7" s="20" t="n">
        <v>1.53920152</v>
      </c>
      <c r="I7" s="18" t="n">
        <v>0</v>
      </c>
      <c r="J7" s="20" t="n">
        <v>0</v>
      </c>
      <c r="K7" s="18" t="n">
        <v>0.53667628</v>
      </c>
      <c r="L7" s="20" t="n">
        <v>0.17806982</v>
      </c>
      <c r="M7" s="18" t="n">
        <v>0</v>
      </c>
      <c r="N7" s="20" t="n">
        <v>0</v>
      </c>
      <c r="O7" s="18" t="n">
        <v>0</v>
      </c>
      <c r="P7" s="20" t="n">
        <v>0</v>
      </c>
      <c r="Q7" s="18" t="n">
        <v>0.56295543</v>
      </c>
      <c r="R7" s="20" t="n">
        <v>0.21393734</v>
      </c>
    </row>
    <row r="8" spans="1:18">
      <c r="A8" s="15" t="s">
        <v>566</v>
      </c>
      <c r="B8" s="17" t="n">
        <v>3443</v>
      </c>
      <c r="C8" s="18">
        <f>(2736.0/B8*100)</f>
        <v/>
      </c>
      <c r="D8" s="19" t="n">
        <v>707</v>
      </c>
      <c r="E8" s="18" t="n">
        <v>26.70067181</v>
      </c>
      <c r="F8" s="20" t="n">
        <v>2.1535163</v>
      </c>
      <c r="G8" s="18" t="n">
        <v>71.23607927</v>
      </c>
      <c r="H8" s="20" t="n">
        <v>2.30735748</v>
      </c>
      <c r="I8" s="18" t="n">
        <v>0</v>
      </c>
      <c r="J8" s="20" t="n">
        <v>0</v>
      </c>
      <c r="K8" s="18" t="n">
        <v>0.20082749</v>
      </c>
      <c r="L8" s="20" t="n">
        <v>0.2024898</v>
      </c>
      <c r="M8" s="18" t="n">
        <v>0</v>
      </c>
      <c r="N8" s="20" t="n">
        <v>0</v>
      </c>
      <c r="O8" s="18" t="n">
        <v>0</v>
      </c>
      <c r="P8" s="20" t="n">
        <v>0</v>
      </c>
      <c r="Q8" s="18" t="n">
        <v>1.86242144</v>
      </c>
      <c r="R8" s="20" t="n">
        <v>0.64576734</v>
      </c>
    </row>
    <row r="9" spans="1:18">
      <c r="A9" s="15" t="s">
        <v>567</v>
      </c>
      <c r="B9" s="17" t="n">
        <v>4752</v>
      </c>
      <c r="C9" s="18">
        <f>(3761.0/B9*100)</f>
        <v/>
      </c>
      <c r="D9" s="19" t="n">
        <v>991</v>
      </c>
      <c r="E9" s="18" t="n">
        <v>26.04998395</v>
      </c>
      <c r="F9" s="20" t="n">
        <v>1.47735544</v>
      </c>
      <c r="G9" s="18" t="n">
        <v>71.43226875000001</v>
      </c>
      <c r="H9" s="20" t="n">
        <v>1.4300288</v>
      </c>
      <c r="I9" s="18" t="n">
        <v>0</v>
      </c>
      <c r="J9" s="20" t="n">
        <v>0</v>
      </c>
      <c r="K9" s="18" t="n">
        <v>1.1401531</v>
      </c>
      <c r="L9" s="20" t="n">
        <v>0.29899324</v>
      </c>
      <c r="M9" s="18" t="n">
        <v>0</v>
      </c>
      <c r="N9" s="20" t="n">
        <v>0</v>
      </c>
      <c r="O9" s="18" t="n">
        <v>0</v>
      </c>
      <c r="P9" s="20" t="n">
        <v>0</v>
      </c>
      <c r="Q9" s="18" t="n">
        <v>1.37759421</v>
      </c>
      <c r="R9" s="20" t="n">
        <v>0.36208339</v>
      </c>
    </row>
    <row r="10" spans="1:18">
      <c r="A10" s="15" t="s">
        <v>568</v>
      </c>
      <c r="B10" s="17" t="n">
        <v>10022</v>
      </c>
      <c r="C10" s="18">
        <f>(7880.0/B10*100)</f>
        <v/>
      </c>
      <c r="D10" s="19" t="n">
        <v>2142</v>
      </c>
      <c r="E10" s="18" t="n">
        <v>24.41959299</v>
      </c>
      <c r="F10" s="20" t="n">
        <v>1.11563015</v>
      </c>
      <c r="G10" s="18" t="n">
        <v>72.71107911</v>
      </c>
      <c r="H10" s="20" t="n">
        <v>1.15532508</v>
      </c>
      <c r="I10" s="18" t="n">
        <v>0</v>
      </c>
      <c r="J10" s="20" t="n">
        <v>0</v>
      </c>
      <c r="K10" s="18" t="n">
        <v>0.84620324</v>
      </c>
      <c r="L10" s="20" t="n">
        <v>0.33059321</v>
      </c>
      <c r="M10" s="18" t="n">
        <v>0</v>
      </c>
      <c r="N10" s="20" t="n">
        <v>0</v>
      </c>
      <c r="O10" s="18" t="n">
        <v>0</v>
      </c>
      <c r="P10" s="20" t="n">
        <v>0</v>
      </c>
      <c r="Q10" s="18" t="n">
        <v>2.02312465</v>
      </c>
      <c r="R10" s="20" t="n">
        <v>0.41560117</v>
      </c>
    </row>
    <row r="11" spans="1:18">
      <c r="A11" s="15" t="s">
        <v>569</v>
      </c>
      <c r="B11" s="17" t="n">
        <v>3500</v>
      </c>
      <c r="C11" s="18">
        <f>(2799.0/B11*100)</f>
        <v/>
      </c>
      <c r="D11" s="19" t="n">
        <v>701</v>
      </c>
      <c r="E11" s="18" t="n">
        <v>30.05173608</v>
      </c>
      <c r="F11" s="20" t="n">
        <v>1.9286627</v>
      </c>
      <c r="G11" s="18" t="n">
        <v>67.65029642</v>
      </c>
      <c r="H11" s="20" t="n">
        <v>2.00700592</v>
      </c>
      <c r="I11" s="18" t="n">
        <v>0</v>
      </c>
      <c r="J11" s="20" t="n">
        <v>0</v>
      </c>
      <c r="K11" s="18" t="n">
        <v>1.23311007</v>
      </c>
      <c r="L11" s="20" t="n">
        <v>0.48851686</v>
      </c>
      <c r="M11" s="18" t="n">
        <v>0</v>
      </c>
      <c r="N11" s="20" t="n">
        <v>0</v>
      </c>
      <c r="O11" s="18" t="n">
        <v>0</v>
      </c>
      <c r="P11" s="20" t="n">
        <v>0</v>
      </c>
      <c r="Q11" s="18" t="n">
        <v>1.06485743</v>
      </c>
      <c r="R11" s="20" t="n">
        <v>0.46523179</v>
      </c>
    </row>
    <row r="12" spans="1:18">
      <c r="A12" s="15" t="s">
        <v>570</v>
      </c>
      <c r="B12" s="17" t="n">
        <v>3422</v>
      </c>
      <c r="C12" s="18">
        <f>(2676.0/B12*100)</f>
        <v/>
      </c>
      <c r="D12" s="19" t="n">
        <v>746</v>
      </c>
      <c r="E12" s="18" t="n">
        <v>18.76664034</v>
      </c>
      <c r="F12" s="20" t="n">
        <v>1.41760663</v>
      </c>
      <c r="G12" s="18" t="n">
        <v>79.82133396</v>
      </c>
      <c r="H12" s="20" t="n">
        <v>1.47241817</v>
      </c>
      <c r="I12" s="18" t="n">
        <v>0</v>
      </c>
      <c r="J12" s="20" t="n">
        <v>0</v>
      </c>
      <c r="K12" s="18" t="n">
        <v>0.42392638</v>
      </c>
      <c r="L12" s="20" t="n">
        <v>0.32377073</v>
      </c>
      <c r="M12" s="18" t="n">
        <v>0</v>
      </c>
      <c r="N12" s="20" t="n">
        <v>0</v>
      </c>
      <c r="O12" s="18" t="n">
        <v>0</v>
      </c>
      <c r="P12" s="20" t="n">
        <v>0</v>
      </c>
      <c r="Q12" s="18" t="n">
        <v>0.98809932</v>
      </c>
      <c r="R12" s="20" t="n">
        <v>0.29752408</v>
      </c>
    </row>
    <row r="13" spans="1:18">
      <c r="A13" s="15" t="s">
        <v>571</v>
      </c>
      <c r="B13" s="17" t="n">
        <v>3602</v>
      </c>
      <c r="C13" s="18">
        <f>(2854.0/B13*100)</f>
        <v/>
      </c>
      <c r="D13" s="19" t="n">
        <v>748</v>
      </c>
      <c r="E13" s="18" t="n">
        <v>27.13265315</v>
      </c>
      <c r="F13" s="20" t="n">
        <v>2.01703438</v>
      </c>
      <c r="G13" s="18" t="n">
        <v>70.95979025</v>
      </c>
      <c r="H13" s="20" t="n">
        <v>1.95406275</v>
      </c>
      <c r="I13" s="18" t="n">
        <v>0</v>
      </c>
      <c r="J13" s="20" t="n">
        <v>0</v>
      </c>
      <c r="K13" s="18" t="n">
        <v>0.78956763</v>
      </c>
      <c r="L13" s="20" t="n">
        <v>0.33790192</v>
      </c>
      <c r="M13" s="18" t="n">
        <v>0</v>
      </c>
      <c r="N13" s="20" t="n">
        <v>0</v>
      </c>
      <c r="O13" s="18" t="n">
        <v>0</v>
      </c>
      <c r="P13" s="20" t="n">
        <v>0</v>
      </c>
      <c r="Q13" s="18" t="n">
        <v>1.11798897</v>
      </c>
      <c r="R13" s="20" t="n">
        <v>0.42285852</v>
      </c>
    </row>
    <row r="14" spans="1:18">
      <c r="A14" s="15" t="s">
        <v>572</v>
      </c>
      <c r="B14" s="17" t="n">
        <v>2788</v>
      </c>
      <c r="C14" s="18">
        <f>(2191.0/B14*100)</f>
        <v/>
      </c>
      <c r="D14" s="19" t="n">
        <v>597</v>
      </c>
      <c r="E14" s="18" t="n">
        <v>29.16415014</v>
      </c>
      <c r="F14" s="20" t="n">
        <v>2.14966976</v>
      </c>
      <c r="G14" s="18" t="n">
        <v>68.87334848</v>
      </c>
      <c r="H14" s="20" t="n">
        <v>2.29494453</v>
      </c>
      <c r="I14" s="18" t="n">
        <v>0</v>
      </c>
      <c r="J14" s="20" t="n">
        <v>0</v>
      </c>
      <c r="K14" s="18" t="n">
        <v>0.93959915</v>
      </c>
      <c r="L14" s="20" t="n">
        <v>0.40829263</v>
      </c>
      <c r="M14" s="18" t="n">
        <v>0</v>
      </c>
      <c r="N14" s="20" t="n">
        <v>0</v>
      </c>
      <c r="O14" s="18" t="n">
        <v>0</v>
      </c>
      <c r="P14" s="20" t="n">
        <v>0</v>
      </c>
      <c r="Q14" s="18" t="n">
        <v>1.02290223</v>
      </c>
      <c r="R14" s="20" t="n">
        <v>0.47521766</v>
      </c>
    </row>
    <row r="15" spans="1:18">
      <c r="A15" s="15" t="s">
        <v>573</v>
      </c>
      <c r="B15" s="17" t="n">
        <v>2863</v>
      </c>
      <c r="C15" s="18">
        <f>(2255.0/B15*100)</f>
        <v/>
      </c>
      <c r="D15" s="19" t="n">
        <v>608</v>
      </c>
      <c r="E15" s="18" t="n">
        <v>17.60709014</v>
      </c>
      <c r="F15" s="20" t="n">
        <v>1.79226699</v>
      </c>
      <c r="G15" s="18" t="n">
        <v>80.27779848</v>
      </c>
      <c r="H15" s="20" t="n">
        <v>1.7969509</v>
      </c>
      <c r="I15" s="18" t="n">
        <v>0</v>
      </c>
      <c r="J15" s="20" t="n">
        <v>0</v>
      </c>
      <c r="K15" s="18" t="n">
        <v>0.35379846</v>
      </c>
      <c r="L15" s="20" t="n">
        <v>0.2633981</v>
      </c>
      <c r="M15" s="18" t="n">
        <v>0</v>
      </c>
      <c r="N15" s="20" t="n">
        <v>0</v>
      </c>
      <c r="O15" s="18" t="n">
        <v>0</v>
      </c>
      <c r="P15" s="20" t="n">
        <v>0</v>
      </c>
      <c r="Q15" s="18" t="n">
        <v>1.76131292</v>
      </c>
      <c r="R15" s="20" t="n">
        <v>0.52848966</v>
      </c>
    </row>
    <row r="16" spans="1:18">
      <c r="A16" s="15" t="s">
        <v>574</v>
      </c>
      <c r="B16" s="17" t="n">
        <v>3111</v>
      </c>
      <c r="C16" s="18">
        <f>(2463.0/B16*100)</f>
        <v/>
      </c>
      <c r="D16" s="19" t="n">
        <v>648</v>
      </c>
      <c r="E16" s="18" t="n">
        <v>32.38405347</v>
      </c>
      <c r="F16" s="20" t="n">
        <v>1.81011623</v>
      </c>
      <c r="G16" s="18" t="n">
        <v>63.62461812</v>
      </c>
      <c r="H16" s="20" t="n">
        <v>1.84691498</v>
      </c>
      <c r="I16" s="18" t="n">
        <v>0</v>
      </c>
      <c r="J16" s="20" t="n">
        <v>0</v>
      </c>
      <c r="K16" s="18" t="n">
        <v>1.12930266</v>
      </c>
      <c r="L16" s="20" t="n">
        <v>0.42254045</v>
      </c>
      <c r="M16" s="18" t="n">
        <v>0</v>
      </c>
      <c r="N16" s="20" t="n">
        <v>0</v>
      </c>
      <c r="O16" s="18" t="n">
        <v>0</v>
      </c>
      <c r="P16" s="20" t="n">
        <v>0</v>
      </c>
      <c r="Q16" s="18" t="n">
        <v>2.86202575</v>
      </c>
      <c r="R16" s="20" t="n">
        <v>0.77614734</v>
      </c>
    </row>
    <row r="17" spans="1:18">
      <c r="A17" s="15" t="s">
        <v>575</v>
      </c>
      <c r="B17" s="17" t="n">
        <v>3197</v>
      </c>
      <c r="C17" s="18">
        <f>(2493.0/B17*100)</f>
        <v/>
      </c>
      <c r="D17" s="19" t="n">
        <v>704</v>
      </c>
      <c r="E17" s="18" t="n">
        <v>22.44620926</v>
      </c>
      <c r="F17" s="20" t="n">
        <v>1.59265848</v>
      </c>
      <c r="G17" s="18" t="n">
        <v>74.62629772</v>
      </c>
      <c r="H17" s="20" t="n">
        <v>1.73269335</v>
      </c>
      <c r="I17" s="18" t="n">
        <v>0</v>
      </c>
      <c r="J17" s="20" t="n">
        <v>0</v>
      </c>
      <c r="K17" s="18" t="n">
        <v>0.55749749</v>
      </c>
      <c r="L17" s="20" t="n">
        <v>0.23638251</v>
      </c>
      <c r="M17" s="18" t="n">
        <v>0</v>
      </c>
      <c r="N17" s="20" t="n">
        <v>0</v>
      </c>
      <c r="O17" s="18" t="n">
        <v>0</v>
      </c>
      <c r="P17" s="20" t="n">
        <v>0</v>
      </c>
      <c r="Q17" s="18" t="n">
        <v>2.36999553</v>
      </c>
      <c r="R17" s="20" t="n">
        <v>0.60618196</v>
      </c>
    </row>
    <row r="18" spans="1:18">
      <c r="A18" s="15" t="s">
        <v>576</v>
      </c>
      <c r="B18" s="17" t="n">
        <v>2706</v>
      </c>
      <c r="C18" s="18">
        <f>(2102.0/B18*100)</f>
        <v/>
      </c>
      <c r="D18" s="19" t="n">
        <v>604</v>
      </c>
      <c r="E18" s="18" t="n">
        <v>20.74550519</v>
      </c>
      <c r="F18" s="20" t="n">
        <v>2.19907747</v>
      </c>
      <c r="G18" s="18" t="n">
        <v>72.8097918</v>
      </c>
      <c r="H18" s="20" t="n">
        <v>2.59102465</v>
      </c>
      <c r="I18" s="18" t="n">
        <v>0</v>
      </c>
      <c r="J18" s="20" t="n">
        <v>0</v>
      </c>
      <c r="K18" s="18" t="n">
        <v>2.18345354</v>
      </c>
      <c r="L18" s="20" t="n">
        <v>0.81879798</v>
      </c>
      <c r="M18" s="18" t="n">
        <v>0</v>
      </c>
      <c r="N18" s="20" t="n">
        <v>0</v>
      </c>
      <c r="O18" s="18" t="n">
        <v>0</v>
      </c>
      <c r="P18" s="20" t="n">
        <v>0</v>
      </c>
      <c r="Q18" s="18" t="n">
        <v>4.26124946</v>
      </c>
      <c r="R18" s="20" t="n">
        <v>0.92387769</v>
      </c>
    </row>
    <row r="19" spans="1:18">
      <c r="A19" s="15" t="s">
        <v>577</v>
      </c>
      <c r="B19" s="17" t="n">
        <v>2850</v>
      </c>
      <c r="C19" s="18">
        <f>(2284.0/B19*100)</f>
        <v/>
      </c>
      <c r="D19" s="19" t="n">
        <v>566</v>
      </c>
      <c r="E19" s="18" t="n">
        <v>34.38810674</v>
      </c>
      <c r="F19" s="20" t="n">
        <v>2.26504161</v>
      </c>
      <c r="G19" s="18" t="n">
        <v>61.22463868</v>
      </c>
      <c r="H19" s="20" t="n">
        <v>2.40323633</v>
      </c>
      <c r="I19" s="18" t="n">
        <v>0</v>
      </c>
      <c r="J19" s="20" t="n">
        <v>0</v>
      </c>
      <c r="K19" s="18" t="n">
        <v>0.29099812</v>
      </c>
      <c r="L19" s="20" t="n">
        <v>0.17781776</v>
      </c>
      <c r="M19" s="18" t="n">
        <v>0</v>
      </c>
      <c r="N19" s="20" t="n">
        <v>0</v>
      </c>
      <c r="O19" s="18" t="n">
        <v>0</v>
      </c>
      <c r="P19" s="20" t="n">
        <v>0</v>
      </c>
      <c r="Q19" s="18" t="n">
        <v>4.09625645</v>
      </c>
      <c r="R19" s="20" t="n">
        <v>1.0149643</v>
      </c>
    </row>
    <row r="20" spans="1:18">
      <c r="A20" s="15" t="s">
        <v>578</v>
      </c>
      <c r="B20" s="17" t="n">
        <v>1741</v>
      </c>
      <c r="C20" s="18">
        <f>(1387.0/B20*100)</f>
        <v/>
      </c>
      <c r="D20" s="19" t="n">
        <v>354</v>
      </c>
      <c r="E20" s="18" t="n">
        <v>17.24063515</v>
      </c>
      <c r="F20" s="20" t="n">
        <v>2.2193952</v>
      </c>
      <c r="G20" s="18" t="n">
        <v>82.25107186</v>
      </c>
      <c r="H20" s="20" t="n">
        <v>2.28743247</v>
      </c>
      <c r="I20" s="18" t="n">
        <v>0</v>
      </c>
      <c r="J20" s="20" t="n">
        <v>0</v>
      </c>
      <c r="K20" s="18" t="n">
        <v>0</v>
      </c>
      <c r="L20" s="20" t="n">
        <v>0</v>
      </c>
      <c r="M20" s="18" t="n">
        <v>0</v>
      </c>
      <c r="N20" s="20" t="n">
        <v>0</v>
      </c>
      <c r="O20" s="18" t="n">
        <v>0</v>
      </c>
      <c r="P20" s="20" t="n">
        <v>0</v>
      </c>
      <c r="Q20" s="18" t="n">
        <v>0.5082929899999999</v>
      </c>
      <c r="R20" s="20" t="n">
        <v>0.35903561</v>
      </c>
    </row>
    <row r="21" spans="1:18">
      <c r="A21" s="15" t="s">
        <v>579</v>
      </c>
      <c r="B21" s="17" t="n">
        <v>2833</v>
      </c>
      <c r="C21" s="18">
        <f>(2189.0/B21*100)</f>
        <v/>
      </c>
      <c r="D21" s="19" t="n">
        <v>644</v>
      </c>
      <c r="E21" s="18" t="n">
        <v>38.36256652</v>
      </c>
      <c r="F21" s="20" t="n">
        <v>1.91869447</v>
      </c>
      <c r="G21" s="18" t="n">
        <v>60.83526373</v>
      </c>
      <c r="H21" s="20" t="n">
        <v>1.85372168</v>
      </c>
      <c r="I21" s="18" t="n">
        <v>0</v>
      </c>
      <c r="J21" s="20" t="n">
        <v>0</v>
      </c>
      <c r="K21" s="18" t="n">
        <v>0.31213799</v>
      </c>
      <c r="L21" s="20" t="n">
        <v>0.30068852</v>
      </c>
      <c r="M21" s="18" t="n">
        <v>0</v>
      </c>
      <c r="N21" s="20" t="n">
        <v>0</v>
      </c>
      <c r="O21" s="18" t="n">
        <v>0</v>
      </c>
      <c r="P21" s="20" t="n">
        <v>0</v>
      </c>
      <c r="Q21" s="18" t="n">
        <v>0.49003176</v>
      </c>
      <c r="R21" s="20" t="n">
        <v>0.26554368</v>
      </c>
    </row>
    <row r="22" spans="1:18">
      <c r="A22" s="15" t="s">
        <v>580</v>
      </c>
      <c r="B22" s="17" t="n">
        <v>3667</v>
      </c>
      <c r="C22" s="18">
        <f>(2856.0/B22*100)</f>
        <v/>
      </c>
      <c r="D22" s="19" t="n">
        <v>811</v>
      </c>
      <c r="E22" s="18" t="n">
        <v>47.69760911</v>
      </c>
      <c r="F22" s="20" t="n">
        <v>1.90266075</v>
      </c>
      <c r="G22" s="18" t="n">
        <v>49.89051731</v>
      </c>
      <c r="H22" s="20" t="n">
        <v>1.68456458</v>
      </c>
      <c r="I22" s="18" t="n">
        <v>0</v>
      </c>
      <c r="J22" s="20" t="n">
        <v>0</v>
      </c>
      <c r="K22" s="18" t="n">
        <v>0.7086787</v>
      </c>
      <c r="L22" s="20" t="n">
        <v>0.32453372</v>
      </c>
      <c r="M22" s="18" t="n">
        <v>0</v>
      </c>
      <c r="N22" s="20" t="n">
        <v>0</v>
      </c>
      <c r="O22" s="18" t="n">
        <v>0</v>
      </c>
      <c r="P22" s="20" t="n">
        <v>0</v>
      </c>
      <c r="Q22" s="18" t="n">
        <v>1.70319488</v>
      </c>
      <c r="R22" s="20" t="n">
        <v>0.46988741</v>
      </c>
    </row>
    <row r="23" spans="1:18">
      <c r="A23" s="15" t="s">
        <v>581</v>
      </c>
      <c r="B23" s="17" t="n">
        <v>5792</v>
      </c>
      <c r="C23" s="18">
        <f>(4544.0/B23*100)</f>
        <v/>
      </c>
      <c r="D23" s="19" t="n">
        <v>1248</v>
      </c>
      <c r="E23" s="18" t="n">
        <v>36.4695315</v>
      </c>
      <c r="F23" s="20" t="n">
        <v>2.22568092</v>
      </c>
      <c r="G23" s="18" t="n">
        <v>59.02843996</v>
      </c>
      <c r="H23" s="20" t="n">
        <v>1.99794074</v>
      </c>
      <c r="I23" s="18" t="n">
        <v>0</v>
      </c>
      <c r="J23" s="20" t="n">
        <v>0</v>
      </c>
      <c r="K23" s="18" t="n">
        <v>1.96204493</v>
      </c>
      <c r="L23" s="20" t="n">
        <v>0.75131665</v>
      </c>
      <c r="M23" s="18" t="n">
        <v>0</v>
      </c>
      <c r="N23" s="20" t="n">
        <v>0</v>
      </c>
      <c r="O23" s="18" t="n">
        <v>0</v>
      </c>
      <c r="P23" s="20" t="n">
        <v>0</v>
      </c>
      <c r="Q23" s="18" t="n">
        <v>2.53998362</v>
      </c>
      <c r="R23" s="20" t="n">
        <v>0.62747316</v>
      </c>
    </row>
    <row r="24" spans="1:18">
      <c r="A24" s="15" t="s">
        <v>582</v>
      </c>
      <c r="B24" s="17" t="n">
        <v>3309</v>
      </c>
      <c r="C24" s="18">
        <f>(2548.0/B24*100)</f>
        <v/>
      </c>
      <c r="D24" s="19" t="n">
        <v>761</v>
      </c>
      <c r="E24" s="18" t="n">
        <v>8.40250627</v>
      </c>
      <c r="F24" s="20" t="n">
        <v>1.04691031</v>
      </c>
      <c r="G24" s="18" t="n">
        <v>86.40776062</v>
      </c>
      <c r="H24" s="20" t="n">
        <v>1.3531252</v>
      </c>
      <c r="I24" s="18" t="n">
        <v>0</v>
      </c>
      <c r="J24" s="20" t="n">
        <v>0</v>
      </c>
      <c r="K24" s="18" t="n">
        <v>0.38020013</v>
      </c>
      <c r="L24" s="20" t="n">
        <v>0.22078319</v>
      </c>
      <c r="M24" s="18" t="n">
        <v>0</v>
      </c>
      <c r="N24" s="20" t="n">
        <v>0</v>
      </c>
      <c r="O24" s="18" t="n">
        <v>0</v>
      </c>
      <c r="P24" s="20" t="n">
        <v>0</v>
      </c>
      <c r="Q24" s="18" t="n">
        <v>4.80953298</v>
      </c>
      <c r="R24" s="20" t="n">
        <v>0.87768922</v>
      </c>
    </row>
    <row r="25" spans="1:18">
      <c r="A25" s="15" t="s">
        <v>583</v>
      </c>
      <c r="B25" s="17" t="n">
        <v>2669</v>
      </c>
      <c r="C25" s="18">
        <f>(2087.0/B25*100)</f>
        <v/>
      </c>
      <c r="D25" s="19" t="n">
        <v>582</v>
      </c>
      <c r="E25" s="18" t="n">
        <v>13.61527712</v>
      </c>
      <c r="F25" s="20" t="n">
        <v>1.29510526</v>
      </c>
      <c r="G25" s="18" t="n">
        <v>82.21408493</v>
      </c>
      <c r="H25" s="20" t="n">
        <v>1.54846904</v>
      </c>
      <c r="I25" s="18" t="n">
        <v>0</v>
      </c>
      <c r="J25" s="20" t="n">
        <v>0</v>
      </c>
      <c r="K25" s="18" t="n">
        <v>0.30577832</v>
      </c>
      <c r="L25" s="20" t="n">
        <v>0.22461812</v>
      </c>
      <c r="M25" s="18" t="n">
        <v>0</v>
      </c>
      <c r="N25" s="20" t="n">
        <v>0</v>
      </c>
      <c r="O25" s="18" t="n">
        <v>0</v>
      </c>
      <c r="P25" s="20" t="n">
        <v>0</v>
      </c>
      <c r="Q25" s="18" t="n">
        <v>3.86485963</v>
      </c>
      <c r="R25" s="20" t="n">
        <v>0.75933723</v>
      </c>
    </row>
    <row r="26" spans="1:18">
      <c r="A26" s="15" t="s">
        <v>584</v>
      </c>
      <c r="B26" s="17" t="n">
        <v>2419</v>
      </c>
      <c r="C26" s="18">
        <f>(1898.0/B26*100)</f>
        <v/>
      </c>
      <c r="D26" s="19" t="n">
        <v>521</v>
      </c>
      <c r="E26" s="18" t="n">
        <v>33.78199776</v>
      </c>
      <c r="F26" s="20" t="n">
        <v>2.06230315</v>
      </c>
      <c r="G26" s="18" t="n">
        <v>65.36866454</v>
      </c>
      <c r="H26" s="20" t="n">
        <v>2.09074174</v>
      </c>
      <c r="I26" s="18" t="n">
        <v>0</v>
      </c>
      <c r="J26" s="20" t="n">
        <v>0</v>
      </c>
      <c r="K26" s="18" t="n">
        <v>0.17873683</v>
      </c>
      <c r="L26" s="20" t="n">
        <v>0.17408997</v>
      </c>
      <c r="M26" s="18" t="n">
        <v>0</v>
      </c>
      <c r="N26" s="20" t="n">
        <v>0</v>
      </c>
      <c r="O26" s="18" t="n">
        <v>0</v>
      </c>
      <c r="P26" s="20" t="n">
        <v>0</v>
      </c>
      <c r="Q26" s="18" t="n">
        <v>0.67060088</v>
      </c>
      <c r="R26" s="20" t="n">
        <v>0.33344031</v>
      </c>
    </row>
    <row r="27" spans="1:18">
      <c r="A27" s="15" t="s">
        <v>585</v>
      </c>
      <c r="B27" s="17" t="n">
        <v>2683</v>
      </c>
      <c r="C27" s="18">
        <f>(2080.0/B27*100)</f>
        <v/>
      </c>
      <c r="D27" s="19" t="n">
        <v>603</v>
      </c>
      <c r="E27" s="18" t="n">
        <v>28.12898568</v>
      </c>
      <c r="F27" s="20" t="n">
        <v>1.71429952</v>
      </c>
      <c r="G27" s="18" t="n">
        <v>69.34702468</v>
      </c>
      <c r="H27" s="20" t="n">
        <v>1.65482545</v>
      </c>
      <c r="I27" s="18" t="n">
        <v>0</v>
      </c>
      <c r="J27" s="20" t="n">
        <v>0</v>
      </c>
      <c r="K27" s="18" t="n">
        <v>0.32370493</v>
      </c>
      <c r="L27" s="20" t="n">
        <v>0.22935305</v>
      </c>
      <c r="M27" s="18" t="n">
        <v>0</v>
      </c>
      <c r="N27" s="20" t="n">
        <v>0</v>
      </c>
      <c r="O27" s="18" t="n">
        <v>0</v>
      </c>
      <c r="P27" s="20" t="n">
        <v>0</v>
      </c>
      <c r="Q27" s="18" t="n">
        <v>2.20028472</v>
      </c>
      <c r="R27" s="20" t="n">
        <v>0.6404744</v>
      </c>
    </row>
    <row r="28" spans="1:18">
      <c r="A28" s="15" t="s">
        <v>586</v>
      </c>
      <c r="B28" s="17" t="n">
        <v>3803</v>
      </c>
      <c r="C28" s="18">
        <f>(3085.0/B28*100)</f>
        <v/>
      </c>
      <c r="D28" s="19" t="n">
        <v>718</v>
      </c>
      <c r="E28" s="18" t="n">
        <v>32.18010348</v>
      </c>
      <c r="F28" s="20" t="n">
        <v>2.20895574</v>
      </c>
      <c r="G28" s="18" t="n">
        <v>63.43616041</v>
      </c>
      <c r="H28" s="20" t="n">
        <v>2.1208253</v>
      </c>
      <c r="I28" s="18" t="n">
        <v>0</v>
      </c>
      <c r="J28" s="20" t="n">
        <v>0</v>
      </c>
      <c r="K28" s="18" t="n">
        <v>2.1262634</v>
      </c>
      <c r="L28" s="20" t="n">
        <v>0.73265821</v>
      </c>
      <c r="M28" s="18" t="n">
        <v>0</v>
      </c>
      <c r="N28" s="20" t="n">
        <v>0</v>
      </c>
      <c r="O28" s="18" t="n">
        <v>0</v>
      </c>
      <c r="P28" s="20" t="n">
        <v>0</v>
      </c>
      <c r="Q28" s="18" t="n">
        <v>2.25747271</v>
      </c>
      <c r="R28" s="20" t="n">
        <v>0.5967972</v>
      </c>
    </row>
    <row r="29" spans="1:18">
      <c r="A29" s="15" t="s">
        <v>587</v>
      </c>
      <c r="B29" s="17" t="n">
        <v>2700</v>
      </c>
      <c r="C29" s="18">
        <f>(2119.0/B29*100)</f>
        <v/>
      </c>
      <c r="D29" s="19" t="n">
        <v>581</v>
      </c>
      <c r="E29" s="18" t="n">
        <v>17.23204364</v>
      </c>
      <c r="F29" s="20" t="n">
        <v>1.692107</v>
      </c>
      <c r="G29" s="18" t="n">
        <v>81.02866993000001</v>
      </c>
      <c r="H29" s="20" t="n">
        <v>1.70593184</v>
      </c>
      <c r="I29" s="18" t="n">
        <v>0</v>
      </c>
      <c r="J29" s="20" t="n">
        <v>0</v>
      </c>
      <c r="K29" s="18" t="n">
        <v>0</v>
      </c>
      <c r="L29" s="20" t="n">
        <v>0</v>
      </c>
      <c r="M29" s="18" t="n">
        <v>0</v>
      </c>
      <c r="N29" s="20" t="n">
        <v>0</v>
      </c>
      <c r="O29" s="18" t="n">
        <v>0</v>
      </c>
      <c r="P29" s="20" t="n">
        <v>0</v>
      </c>
      <c r="Q29" s="18" t="n">
        <v>1.73928643</v>
      </c>
      <c r="R29" s="20" t="n">
        <v>0.60455497</v>
      </c>
    </row>
    <row r="30" spans="1:18">
      <c r="A30" s="15" t="s">
        <v>588</v>
      </c>
      <c r="B30" s="17" t="n">
        <v>2257</v>
      </c>
      <c r="C30" s="18">
        <f>(1807.0/B30*100)</f>
        <v/>
      </c>
      <c r="D30" s="19" t="n">
        <v>450</v>
      </c>
      <c r="E30" s="18" t="n">
        <v>24.20624739</v>
      </c>
      <c r="F30" s="20" t="n">
        <v>1.64522987</v>
      </c>
      <c r="G30" s="18" t="n">
        <v>75.01737171000001</v>
      </c>
      <c r="H30" s="20" t="n">
        <v>1.72603318</v>
      </c>
      <c r="I30" s="18" t="n">
        <v>0</v>
      </c>
      <c r="J30" s="20" t="n">
        <v>0</v>
      </c>
      <c r="K30" s="18" t="n">
        <v>0.24019889</v>
      </c>
      <c r="L30" s="20" t="n">
        <v>0.22898797</v>
      </c>
      <c r="M30" s="18" t="n">
        <v>0</v>
      </c>
      <c r="N30" s="20" t="n">
        <v>0</v>
      </c>
      <c r="O30" s="18" t="n">
        <v>0</v>
      </c>
      <c r="P30" s="20" t="n">
        <v>0</v>
      </c>
      <c r="Q30" s="18" t="n">
        <v>0.536182</v>
      </c>
      <c r="R30" s="20" t="n">
        <v>0.32242545</v>
      </c>
    </row>
    <row r="31" spans="1:18">
      <c r="A31" s="15" t="s">
        <v>589</v>
      </c>
      <c r="B31" s="17" t="n">
        <v>2706</v>
      </c>
      <c r="C31" s="18">
        <f>(2128.0/B31*100)</f>
        <v/>
      </c>
      <c r="D31" s="19" t="n">
        <v>578</v>
      </c>
      <c r="E31" s="18" t="n">
        <v>33.36773158</v>
      </c>
      <c r="F31" s="20" t="n">
        <v>2.09782746</v>
      </c>
      <c r="G31" s="18" t="n">
        <v>65.14779702</v>
      </c>
      <c r="H31" s="20" t="n">
        <v>2.1788039</v>
      </c>
      <c r="I31" s="18" t="n">
        <v>0</v>
      </c>
      <c r="J31" s="20" t="n">
        <v>0</v>
      </c>
      <c r="K31" s="18" t="n">
        <v>1.15010971</v>
      </c>
      <c r="L31" s="20" t="n">
        <v>0.43088634</v>
      </c>
      <c r="M31" s="18" t="n">
        <v>0</v>
      </c>
      <c r="N31" s="20" t="n">
        <v>0</v>
      </c>
      <c r="O31" s="18" t="n">
        <v>0</v>
      </c>
      <c r="P31" s="20" t="n">
        <v>0</v>
      </c>
      <c r="Q31" s="18" t="n">
        <v>0.33436169</v>
      </c>
      <c r="R31" s="20" t="n">
        <v>0.22979724</v>
      </c>
    </row>
    <row r="32" spans="1:18">
      <c r="A32" s="15" t="s">
        <v>590</v>
      </c>
      <c r="B32" s="17" t="n">
        <v>2209</v>
      </c>
      <c r="C32" s="18">
        <f>(1759.0/B32*100)</f>
        <v/>
      </c>
      <c r="D32" s="19" t="n">
        <v>450</v>
      </c>
      <c r="E32" s="18" t="n">
        <v>35.64133983</v>
      </c>
      <c r="F32" s="20" t="n">
        <v>2.12017367</v>
      </c>
      <c r="G32" s="18" t="n">
        <v>62.44380622</v>
      </c>
      <c r="H32" s="20" t="n">
        <v>2.28084197</v>
      </c>
      <c r="I32" s="18" t="n">
        <v>0</v>
      </c>
      <c r="J32" s="20" t="n">
        <v>0</v>
      </c>
      <c r="K32" s="18" t="n">
        <v>0.21816824</v>
      </c>
      <c r="L32" s="20" t="n">
        <v>0.22088459</v>
      </c>
      <c r="M32" s="18" t="n">
        <v>0</v>
      </c>
      <c r="N32" s="20" t="n">
        <v>0</v>
      </c>
      <c r="O32" s="18" t="n">
        <v>0</v>
      </c>
      <c r="P32" s="20" t="n">
        <v>0</v>
      </c>
      <c r="Q32" s="18" t="n">
        <v>1.6966857</v>
      </c>
      <c r="R32" s="20" t="n">
        <v>0.63570947</v>
      </c>
    </row>
    <row r="33" spans="1:18">
      <c r="A33" s="15" t="s">
        <v>591</v>
      </c>
      <c r="B33" s="17" t="n">
        <v>3651</v>
      </c>
      <c r="C33" s="18">
        <f>(2945.0/B33*100)</f>
        <v/>
      </c>
      <c r="D33" s="19" t="n">
        <v>706</v>
      </c>
      <c r="E33" s="18" t="n">
        <v>31.84392695</v>
      </c>
      <c r="F33" s="20" t="n">
        <v>2.21727281</v>
      </c>
      <c r="G33" s="18" t="n">
        <v>65.48167063</v>
      </c>
      <c r="H33" s="20" t="n">
        <v>2.29960662</v>
      </c>
      <c r="I33" s="18" t="n">
        <v>0</v>
      </c>
      <c r="J33" s="20" t="n">
        <v>0</v>
      </c>
      <c r="K33" s="18" t="n">
        <v>0.51047351</v>
      </c>
      <c r="L33" s="20" t="n">
        <v>0.28478516</v>
      </c>
      <c r="M33" s="18" t="n">
        <v>0</v>
      </c>
      <c r="N33" s="20" t="n">
        <v>0</v>
      </c>
      <c r="O33" s="18" t="n">
        <v>0</v>
      </c>
      <c r="P33" s="20" t="n">
        <v>0</v>
      </c>
      <c r="Q33" s="18" t="n">
        <v>2.16392891</v>
      </c>
      <c r="R33" s="20" t="n">
        <v>0.63594892</v>
      </c>
    </row>
    <row r="34" spans="1:18">
      <c r="A34" s="15" t="s">
        <v>592</v>
      </c>
      <c r="B34" s="17" t="n">
        <v>3035</v>
      </c>
      <c r="C34" s="18">
        <f>(2404.0/B34*100)</f>
        <v/>
      </c>
      <c r="D34" s="19" t="n">
        <v>631</v>
      </c>
      <c r="E34" s="18" t="n">
        <v>34.86257805</v>
      </c>
      <c r="F34" s="20" t="n">
        <v>1.51272434</v>
      </c>
      <c r="G34" s="18" t="n">
        <v>61.13899549</v>
      </c>
      <c r="H34" s="20" t="n">
        <v>1.59044427</v>
      </c>
      <c r="I34" s="18" t="n">
        <v>0</v>
      </c>
      <c r="J34" s="20" t="n">
        <v>0</v>
      </c>
      <c r="K34" s="18" t="n">
        <v>0.28696286</v>
      </c>
      <c r="L34" s="20" t="n">
        <v>0.26535026</v>
      </c>
      <c r="M34" s="18" t="n">
        <v>0</v>
      </c>
      <c r="N34" s="20" t="n">
        <v>0</v>
      </c>
      <c r="O34" s="18" t="n">
        <v>0</v>
      </c>
      <c r="P34" s="20" t="n">
        <v>0</v>
      </c>
      <c r="Q34" s="18" t="n">
        <v>3.7114636</v>
      </c>
      <c r="R34" s="20" t="n">
        <v>0.88981439</v>
      </c>
    </row>
    <row r="35" spans="1:18">
      <c r="A35" s="15" t="s">
        <v>593</v>
      </c>
      <c r="B35" s="17" t="n">
        <v>2901</v>
      </c>
      <c r="C35" s="18">
        <f>(2249.0/B35*100)</f>
        <v/>
      </c>
      <c r="D35" s="19" t="n">
        <v>652</v>
      </c>
      <c r="E35" s="18" t="n">
        <v>27.25142855</v>
      </c>
      <c r="F35" s="20" t="n">
        <v>2.08732823</v>
      </c>
      <c r="G35" s="18" t="n">
        <v>70.61629077000001</v>
      </c>
      <c r="H35" s="20" t="n">
        <v>2.13595456</v>
      </c>
      <c r="I35" s="18" t="n">
        <v>0</v>
      </c>
      <c r="J35" s="20" t="n">
        <v>0</v>
      </c>
      <c r="K35" s="18" t="n">
        <v>0.13781011</v>
      </c>
      <c r="L35" s="20" t="n">
        <v>0.13771399</v>
      </c>
      <c r="M35" s="18" t="n">
        <v>0</v>
      </c>
      <c r="N35" s="20" t="n">
        <v>0</v>
      </c>
      <c r="O35" s="18" t="n">
        <v>0</v>
      </c>
      <c r="P35" s="20" t="n">
        <v>0</v>
      </c>
      <c r="Q35" s="18" t="n">
        <v>1.99447057</v>
      </c>
      <c r="R35" s="20" t="n">
        <v>0.49964222</v>
      </c>
    </row>
    <row r="36" spans="1:18">
      <c r="A36" s="15" t="s">
        <v>594</v>
      </c>
      <c r="B36" s="17" t="n">
        <v>3404</v>
      </c>
      <c r="C36" s="18">
        <f>(2696.0/B36*100)</f>
        <v/>
      </c>
      <c r="D36" s="19" t="n">
        <v>708</v>
      </c>
      <c r="E36" s="18" t="n">
        <v>26.09438612</v>
      </c>
      <c r="F36" s="20" t="n">
        <v>1.69094888</v>
      </c>
      <c r="G36" s="18" t="n">
        <v>72.39361129</v>
      </c>
      <c r="H36" s="20" t="n">
        <v>1.64185029</v>
      </c>
      <c r="I36" s="18" t="n">
        <v>0</v>
      </c>
      <c r="J36" s="20" t="n">
        <v>0</v>
      </c>
      <c r="K36" s="18" t="n">
        <v>0.45554722</v>
      </c>
      <c r="L36" s="20" t="n">
        <v>0.26992258</v>
      </c>
      <c r="M36" s="18" t="n">
        <v>0</v>
      </c>
      <c r="N36" s="20" t="n">
        <v>0</v>
      </c>
      <c r="O36" s="18" t="n">
        <v>0</v>
      </c>
      <c r="P36" s="20" t="n">
        <v>0</v>
      </c>
      <c r="Q36" s="18" t="n">
        <v>1.05645536</v>
      </c>
      <c r="R36" s="20" t="n">
        <v>0.37013777</v>
      </c>
    </row>
    <row r="37" spans="1:18">
      <c r="A37" s="15" t="s">
        <v>595</v>
      </c>
      <c r="B37" s="17" t="n">
        <v>2731</v>
      </c>
      <c r="C37" s="18">
        <f>(2175.0/B37*100)</f>
        <v/>
      </c>
      <c r="D37" s="19" t="n">
        <v>556</v>
      </c>
      <c r="E37" s="18" t="n">
        <v>32.12512999</v>
      </c>
      <c r="F37" s="20" t="n">
        <v>2.24868571</v>
      </c>
      <c r="G37" s="18" t="n">
        <v>65.03021012000001</v>
      </c>
      <c r="H37" s="20" t="n">
        <v>2.23719858</v>
      </c>
      <c r="I37" s="18" t="n">
        <v>0</v>
      </c>
      <c r="J37" s="20" t="n">
        <v>0</v>
      </c>
      <c r="K37" s="18" t="n">
        <v>1.45175464</v>
      </c>
      <c r="L37" s="20" t="n">
        <v>0.53458161</v>
      </c>
      <c r="M37" s="18" t="n">
        <v>0</v>
      </c>
      <c r="N37" s="20" t="n">
        <v>0</v>
      </c>
      <c r="O37" s="18" t="n">
        <v>0</v>
      </c>
      <c r="P37" s="20" t="n">
        <v>0</v>
      </c>
      <c r="Q37" s="18" t="n">
        <v>1.39290524</v>
      </c>
      <c r="R37" s="20" t="n">
        <v>0.48689318</v>
      </c>
    </row>
    <row r="38" spans="1:18">
      <c r="A38" s="15" t="s">
        <v>596</v>
      </c>
      <c r="B38" s="17" t="n">
        <v>2807</v>
      </c>
      <c r="C38" s="18">
        <f>(2182.0/B38*100)</f>
        <v/>
      </c>
      <c r="D38" s="19" t="n">
        <v>625</v>
      </c>
      <c r="E38" s="18" t="n">
        <v>24.62844446</v>
      </c>
      <c r="F38" s="20" t="n">
        <v>2.1752645</v>
      </c>
      <c r="G38" s="18" t="n">
        <v>73.31281856</v>
      </c>
      <c r="H38" s="20" t="n">
        <v>2.23654598</v>
      </c>
      <c r="I38" s="18" t="n">
        <v>0</v>
      </c>
      <c r="J38" s="20" t="n">
        <v>0</v>
      </c>
      <c r="K38" s="18" t="n">
        <v>1.21806234</v>
      </c>
      <c r="L38" s="20" t="n">
        <v>0.60705092</v>
      </c>
      <c r="M38" s="18" t="n">
        <v>0</v>
      </c>
      <c r="N38" s="20" t="n">
        <v>0</v>
      </c>
      <c r="O38" s="18" t="n">
        <v>0</v>
      </c>
      <c r="P38" s="20" t="n">
        <v>0</v>
      </c>
      <c r="Q38" s="18" t="n">
        <v>0.84067464</v>
      </c>
      <c r="R38" s="20" t="n">
        <v>0.35638082</v>
      </c>
    </row>
    <row r="39" spans="1:18">
      <c r="A39" s="15" t="s">
        <v>597</v>
      </c>
      <c r="B39" s="17" t="n">
        <v>2938</v>
      </c>
      <c r="C39" s="18">
        <f>(2277.0/B39*100)</f>
        <v/>
      </c>
      <c r="D39" s="19" t="n">
        <v>661</v>
      </c>
      <c r="E39" s="18" t="n">
        <v>60.51694553</v>
      </c>
      <c r="F39" s="20" t="n">
        <v>2.06977555</v>
      </c>
      <c r="G39" s="18" t="n">
        <v>34.41934456</v>
      </c>
      <c r="H39" s="20" t="n">
        <v>1.88990699</v>
      </c>
      <c r="I39" s="18" t="n">
        <v>0</v>
      </c>
      <c r="J39" s="20" t="n">
        <v>0</v>
      </c>
      <c r="K39" s="18" t="n">
        <v>0.46698693</v>
      </c>
      <c r="L39" s="20" t="n">
        <v>0.28161825</v>
      </c>
      <c r="M39" s="18" t="n">
        <v>0</v>
      </c>
      <c r="N39" s="20" t="n">
        <v>0</v>
      </c>
      <c r="O39" s="18" t="n">
        <v>0</v>
      </c>
      <c r="P39" s="20" t="n">
        <v>0</v>
      </c>
      <c r="Q39" s="18" t="n">
        <v>4.59672298</v>
      </c>
      <c r="R39" s="20" t="n">
        <v>0.78958462</v>
      </c>
    </row>
    <row r="40" spans="1:18">
      <c r="A40" s="15" t="s">
        <v>598</v>
      </c>
      <c r="B40" s="17" t="n">
        <v>6922</v>
      </c>
      <c r="C40" s="18">
        <f>(5487.0/B40*100)</f>
        <v/>
      </c>
      <c r="D40" s="19" t="n">
        <v>1435</v>
      </c>
      <c r="E40" s="18" t="n">
        <v>29.89041532</v>
      </c>
      <c r="F40" s="20" t="n">
        <v>1.92659459</v>
      </c>
      <c r="G40" s="18" t="n">
        <v>68.95107532999999</v>
      </c>
      <c r="H40" s="20" t="n">
        <v>1.91912645</v>
      </c>
      <c r="I40" s="18" t="n">
        <v>0</v>
      </c>
      <c r="J40" s="20" t="n">
        <v>0</v>
      </c>
      <c r="K40" s="18" t="n">
        <v>0.39893078</v>
      </c>
      <c r="L40" s="20" t="n">
        <v>0.23757928</v>
      </c>
      <c r="M40" s="18" t="n">
        <v>0</v>
      </c>
      <c r="N40" s="20" t="n">
        <v>0</v>
      </c>
      <c r="O40" s="18" t="n">
        <v>0</v>
      </c>
      <c r="P40" s="20" t="n">
        <v>0</v>
      </c>
      <c r="Q40" s="18" t="n">
        <v>0.75957857</v>
      </c>
      <c r="R40" s="20" t="n">
        <v>0.3815822</v>
      </c>
    </row>
    <row r="41" spans="1:18">
      <c r="A41" s="15" t="s">
        <v>599</v>
      </c>
      <c r="B41" s="17" t="n">
        <v>2854</v>
      </c>
      <c r="C41" s="18">
        <f>(2224.0/B41*100)</f>
        <v/>
      </c>
      <c r="D41" s="19" t="n">
        <v>630</v>
      </c>
      <c r="E41" s="18" t="n">
        <v>27.38517453</v>
      </c>
      <c r="F41" s="20" t="n">
        <v>1.6212648</v>
      </c>
      <c r="G41" s="18" t="n">
        <v>70.72386389</v>
      </c>
      <c r="H41" s="20" t="n">
        <v>1.80219018</v>
      </c>
      <c r="I41" s="18" t="n">
        <v>0</v>
      </c>
      <c r="J41" s="20" t="n">
        <v>0</v>
      </c>
      <c r="K41" s="18" t="n">
        <v>0.8044989</v>
      </c>
      <c r="L41" s="20" t="n">
        <v>0.43045347</v>
      </c>
      <c r="M41" s="18" t="n">
        <v>0</v>
      </c>
      <c r="N41" s="20" t="n">
        <v>0</v>
      </c>
      <c r="O41" s="18" t="n">
        <v>0</v>
      </c>
      <c r="P41" s="20" t="n">
        <v>0</v>
      </c>
      <c r="Q41" s="18" t="n">
        <v>1.08646269</v>
      </c>
      <c r="R41" s="20" t="n">
        <v>0.51611586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(10229.0/B46*100)</f>
        <v/>
      </c>
      <c r="D46" s="19" t="n">
        <v>1844</v>
      </c>
      <c r="E46" s="18" t="n">
        <v>41.19311411</v>
      </c>
      <c r="F46" s="20" t="n">
        <v>1.85269469</v>
      </c>
      <c r="G46" s="18" t="n">
        <v>46.85566744</v>
      </c>
      <c r="H46" s="20" t="n">
        <v>1.76398716</v>
      </c>
      <c r="I46" s="18" t="n">
        <v>0</v>
      </c>
      <c r="J46" s="20" t="n">
        <v>0</v>
      </c>
      <c r="K46" s="18" t="n">
        <v>2.72075135</v>
      </c>
      <c r="L46" s="20" t="n">
        <v>0.52170386</v>
      </c>
      <c r="M46" s="18" t="n">
        <v>0</v>
      </c>
      <c r="N46" s="20" t="n">
        <v>0</v>
      </c>
      <c r="O46" s="18" t="n">
        <v>0</v>
      </c>
      <c r="P46" s="20" t="n">
        <v>0</v>
      </c>
      <c r="Q46" s="18" t="n">
        <v>9.2304671</v>
      </c>
      <c r="R46" s="20" t="n">
        <v>0.75640554</v>
      </c>
    </row>
    <row r="47" spans="1:18">
      <c r="A47" s="15" t="s">
        <v>606</v>
      </c>
      <c r="B47" s="17" t="n">
        <v>2823</v>
      </c>
      <c r="C47" s="18">
        <f>(2240.0/B47*100)</f>
        <v/>
      </c>
      <c r="D47" s="19" t="n">
        <v>583</v>
      </c>
      <c r="E47" s="18" t="n">
        <v>43.30775289</v>
      </c>
      <c r="F47" s="20" t="n">
        <v>2.59231161</v>
      </c>
      <c r="G47" s="18" t="n">
        <v>50.89078079</v>
      </c>
      <c r="H47" s="20" t="n">
        <v>2.51295164</v>
      </c>
      <c r="I47" s="18" t="n">
        <v>0</v>
      </c>
      <c r="J47" s="20" t="n">
        <v>0</v>
      </c>
      <c r="K47" s="18" t="n">
        <v>0.51299124</v>
      </c>
      <c r="L47" s="20" t="n">
        <v>0.29879773</v>
      </c>
      <c r="M47" s="18" t="n">
        <v>0</v>
      </c>
      <c r="N47" s="20" t="n">
        <v>0</v>
      </c>
      <c r="O47" s="18" t="n">
        <v>0</v>
      </c>
      <c r="P47" s="20" t="n">
        <v>0</v>
      </c>
      <c r="Q47" s="18" t="n">
        <v>5.28847508</v>
      </c>
      <c r="R47" s="20" t="n">
        <v>0.91788786</v>
      </c>
    </row>
    <row r="48" spans="1:18">
      <c r="A48" s="15" t="s">
        <v>607</v>
      </c>
      <c r="B48" s="17" t="n">
        <v>4682</v>
      </c>
      <c r="C48" s="18">
        <f>(3642.0/B48*100)</f>
        <v/>
      </c>
      <c r="D48" s="19" t="n">
        <v>1040</v>
      </c>
      <c r="E48" s="18" t="n">
        <v>30.21333028</v>
      </c>
      <c r="F48" s="20" t="n">
        <v>1.96379815</v>
      </c>
      <c r="G48" s="18" t="n">
        <v>62.97914788</v>
      </c>
      <c r="H48" s="20" t="n">
        <v>2.06140266</v>
      </c>
      <c r="I48" s="18" t="n">
        <v>0</v>
      </c>
      <c r="J48" s="20" t="n">
        <v>0</v>
      </c>
      <c r="K48" s="18" t="n">
        <v>1.58253539</v>
      </c>
      <c r="L48" s="20" t="n">
        <v>0.56172941</v>
      </c>
      <c r="M48" s="18" t="n">
        <v>0</v>
      </c>
      <c r="N48" s="20" t="n">
        <v>0</v>
      </c>
      <c r="O48" s="18" t="n">
        <v>0</v>
      </c>
      <c r="P48" s="20" t="n">
        <v>0</v>
      </c>
      <c r="Q48" s="18" t="n">
        <v>5.22498645</v>
      </c>
      <c r="R48" s="20" t="n">
        <v>0.9224123</v>
      </c>
    </row>
    <row r="49" spans="1:18">
      <c r="A49" s="15" t="s">
        <v>608</v>
      </c>
      <c r="B49" s="17" t="n">
        <v>6158</v>
      </c>
      <c r="C49" s="18">
        <f>(4912.0/B49*100)</f>
        <v/>
      </c>
      <c r="D49" s="19" t="n">
        <v>1246</v>
      </c>
      <c r="E49" s="18" t="n">
        <v>42.57223291</v>
      </c>
      <c r="F49" s="20" t="n">
        <v>1.70859504</v>
      </c>
      <c r="G49" s="18" t="n">
        <v>49.33581397</v>
      </c>
      <c r="H49" s="20" t="n">
        <v>1.88226185</v>
      </c>
      <c r="I49" s="18" t="n">
        <v>0</v>
      </c>
      <c r="J49" s="20" t="n">
        <v>0</v>
      </c>
      <c r="K49" s="18" t="n">
        <v>3.53482659</v>
      </c>
      <c r="L49" s="20" t="n">
        <v>0.70732536</v>
      </c>
      <c r="M49" s="18" t="n">
        <v>0</v>
      </c>
      <c r="N49" s="20" t="n">
        <v>0</v>
      </c>
      <c r="O49" s="18" t="n">
        <v>0</v>
      </c>
      <c r="P49" s="20" t="n">
        <v>0</v>
      </c>
      <c r="Q49" s="18" t="n">
        <v>4.55712652</v>
      </c>
      <c r="R49" s="20" t="n">
        <v>0.7792922799999999</v>
      </c>
    </row>
    <row r="50" spans="1:18">
      <c r="A50" s="15" t="s">
        <v>609</v>
      </c>
      <c r="B50" s="17" t="n">
        <v>3494</v>
      </c>
      <c r="C50" s="18">
        <f>(2837.0/B50*100)</f>
        <v/>
      </c>
      <c r="D50" s="19" t="n">
        <v>657</v>
      </c>
      <c r="E50" s="18" t="n">
        <v>28.27590094</v>
      </c>
      <c r="F50" s="20" t="n">
        <v>2.14624489</v>
      </c>
      <c r="G50" s="18" t="n">
        <v>64.31677236</v>
      </c>
      <c r="H50" s="20" t="n">
        <v>2.48995103</v>
      </c>
      <c r="I50" s="18" t="n">
        <v>0</v>
      </c>
      <c r="J50" s="20" t="n">
        <v>0</v>
      </c>
      <c r="K50" s="18" t="n">
        <v>0.81768767</v>
      </c>
      <c r="L50" s="20" t="n">
        <v>0.43854227</v>
      </c>
      <c r="M50" s="18" t="n">
        <v>0</v>
      </c>
      <c r="N50" s="20" t="n">
        <v>0</v>
      </c>
      <c r="O50" s="18" t="n">
        <v>0</v>
      </c>
      <c r="P50" s="20" t="n">
        <v>0</v>
      </c>
      <c r="Q50" s="18" t="n">
        <v>6.58963903</v>
      </c>
      <c r="R50" s="20" t="n">
        <v>1.162988</v>
      </c>
    </row>
    <row r="51" spans="1:18">
      <c r="A51" s="15" t="s">
        <v>610</v>
      </c>
      <c r="B51" s="17" t="n">
        <v>3013</v>
      </c>
      <c r="C51" s="18">
        <f>(2365.0/B51*100)</f>
        <v/>
      </c>
      <c r="D51" s="19" t="n">
        <v>648</v>
      </c>
      <c r="E51" s="18" t="n">
        <v>48.48827885</v>
      </c>
      <c r="F51" s="20" t="n">
        <v>2.24286611</v>
      </c>
      <c r="G51" s="18" t="n">
        <v>48.75382453</v>
      </c>
      <c r="H51" s="20" t="n">
        <v>2.14474153</v>
      </c>
      <c r="I51" s="18" t="n">
        <v>0</v>
      </c>
      <c r="J51" s="20" t="n">
        <v>0</v>
      </c>
      <c r="K51" s="18" t="n">
        <v>0.14245731</v>
      </c>
      <c r="L51" s="20" t="n">
        <v>0.14204222</v>
      </c>
      <c r="M51" s="18" t="n">
        <v>0</v>
      </c>
      <c r="N51" s="20" t="n">
        <v>0</v>
      </c>
      <c r="O51" s="18" t="n">
        <v>0</v>
      </c>
      <c r="P51" s="20" t="n">
        <v>0</v>
      </c>
      <c r="Q51" s="18" t="n">
        <v>2.61543931</v>
      </c>
      <c r="R51" s="20" t="n">
        <v>0.67901607</v>
      </c>
    </row>
    <row r="52" spans="1:18">
      <c r="A52" s="15" t="s">
        <v>611</v>
      </c>
      <c r="B52" s="17" t="n">
        <v>2760</v>
      </c>
      <c r="C52" s="18">
        <f>(2156.0/B52*100)</f>
        <v/>
      </c>
      <c r="D52" s="19" t="n">
        <v>604</v>
      </c>
      <c r="E52" s="18" t="n">
        <v>40.59759097</v>
      </c>
      <c r="F52" s="20" t="n">
        <v>2.06204161</v>
      </c>
      <c r="G52" s="18" t="n">
        <v>55.52447201</v>
      </c>
      <c r="H52" s="20" t="n">
        <v>2.16709538</v>
      </c>
      <c r="I52" s="18" t="n">
        <v>0</v>
      </c>
      <c r="J52" s="20" t="n">
        <v>0</v>
      </c>
      <c r="K52" s="18" t="n">
        <v>0.50656214</v>
      </c>
      <c r="L52" s="20" t="n">
        <v>0.2945289</v>
      </c>
      <c r="M52" s="18" t="n">
        <v>0</v>
      </c>
      <c r="N52" s="20" t="n">
        <v>0</v>
      </c>
      <c r="O52" s="18" t="n">
        <v>0</v>
      </c>
      <c r="P52" s="20" t="n">
        <v>0</v>
      </c>
      <c r="Q52" s="18" t="n">
        <v>3.37137488</v>
      </c>
      <c r="R52" s="20" t="n">
        <v>0.76749977</v>
      </c>
    </row>
    <row r="53" spans="1:18">
      <c r="A53" s="15" t="s">
        <v>612</v>
      </c>
      <c r="B53" s="17" t="n">
        <v>2474</v>
      </c>
      <c r="C53" s="18">
        <f>(1948.0/B53*100)</f>
        <v/>
      </c>
      <c r="D53" s="19" t="n">
        <v>526</v>
      </c>
      <c r="E53" s="18" t="n">
        <v>27.06531545</v>
      </c>
      <c r="F53" s="20" t="n">
        <v>1.86505519</v>
      </c>
      <c r="G53" s="18" t="n">
        <v>37.79683936</v>
      </c>
      <c r="H53" s="20" t="n">
        <v>2.46933084</v>
      </c>
      <c r="I53" s="18" t="n">
        <v>0</v>
      </c>
      <c r="J53" s="20" t="n">
        <v>0</v>
      </c>
      <c r="K53" s="18" t="n">
        <v>22.82145718</v>
      </c>
      <c r="L53" s="20" t="n">
        <v>2.23300349</v>
      </c>
      <c r="M53" s="18" t="n">
        <v>0</v>
      </c>
      <c r="N53" s="20" t="n">
        <v>0</v>
      </c>
      <c r="O53" s="18" t="n">
        <v>0</v>
      </c>
      <c r="P53" s="20" t="n">
        <v>0</v>
      </c>
      <c r="Q53" s="18" t="n">
        <v>12.31638801</v>
      </c>
      <c r="R53" s="20" t="n">
        <v>1.54982785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(2048.0/B55*100)</f>
        <v/>
      </c>
      <c r="D55" s="19" t="n">
        <v>627</v>
      </c>
      <c r="E55" s="18" t="n">
        <v>18.32110892</v>
      </c>
      <c r="F55" s="20" t="n">
        <v>1.49023875</v>
      </c>
      <c r="G55" s="18" t="n">
        <v>76.13482187</v>
      </c>
      <c r="H55" s="20" t="n">
        <v>1.68005236</v>
      </c>
      <c r="I55" s="18" t="n">
        <v>0</v>
      </c>
      <c r="J55" s="20" t="n">
        <v>0</v>
      </c>
      <c r="K55" s="18" t="n">
        <v>0.47384853</v>
      </c>
      <c r="L55" s="20" t="n">
        <v>0.28526579</v>
      </c>
      <c r="M55" s="18" t="n">
        <v>0</v>
      </c>
      <c r="N55" s="20" t="n">
        <v>0</v>
      </c>
      <c r="O55" s="18" t="n">
        <v>0</v>
      </c>
      <c r="P55" s="20" t="n">
        <v>0</v>
      </c>
      <c r="Q55" s="18" t="n">
        <v>5.07022068</v>
      </c>
      <c r="R55" s="20" t="n">
        <v>0.7822857600000001</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(2489.0/B61*100)</f>
        <v/>
      </c>
      <c r="D61" s="19" t="n">
        <v>712</v>
      </c>
      <c r="E61" s="18" t="n">
        <v>49.81056395</v>
      </c>
      <c r="F61" s="20" t="n">
        <v>1.94344083</v>
      </c>
      <c r="G61" s="18" t="n">
        <v>48.61866262</v>
      </c>
      <c r="H61" s="20" t="n">
        <v>1.98681175</v>
      </c>
      <c r="I61" s="18" t="n">
        <v>0</v>
      </c>
      <c r="J61" s="20" t="n">
        <v>0</v>
      </c>
      <c r="K61" s="18" t="n">
        <v>0.05560146</v>
      </c>
      <c r="L61" s="20" t="n">
        <v>0.05541785</v>
      </c>
      <c r="M61" s="18" t="n">
        <v>0</v>
      </c>
      <c r="N61" s="20" t="n">
        <v>0</v>
      </c>
      <c r="O61" s="18" t="n">
        <v>0</v>
      </c>
      <c r="P61" s="20" t="n">
        <v>0</v>
      </c>
      <c r="Q61" s="18" t="n">
        <v>1.51517197</v>
      </c>
      <c r="R61" s="20" t="n">
        <v>0.42227887</v>
      </c>
    </row>
    <row r="62" spans="1:18">
      <c r="A62" s="15" t="s">
        <v>622</v>
      </c>
      <c r="B62" s="17" t="n">
        <v>2230</v>
      </c>
      <c r="C62" s="18">
        <f>(1752.0/B62*100)</f>
        <v/>
      </c>
      <c r="D62" s="19" t="n">
        <v>478</v>
      </c>
      <c r="E62" s="18" t="n">
        <v>21.9882393</v>
      </c>
      <c r="F62" s="20" t="n">
        <v>2.1159967</v>
      </c>
      <c r="G62" s="18" t="n">
        <v>75.50290750000001</v>
      </c>
      <c r="H62" s="20" t="n">
        <v>2.11189882</v>
      </c>
      <c r="I62" s="18" t="n">
        <v>0</v>
      </c>
      <c r="J62" s="20" t="n">
        <v>0</v>
      </c>
      <c r="K62" s="18" t="n">
        <v>0</v>
      </c>
      <c r="L62" s="20" t="n">
        <v>0</v>
      </c>
      <c r="M62" s="18" t="n">
        <v>0</v>
      </c>
      <c r="N62" s="20" t="n">
        <v>0</v>
      </c>
      <c r="O62" s="18" t="n">
        <v>0</v>
      </c>
      <c r="P62" s="20" t="n">
        <v>0</v>
      </c>
      <c r="Q62" s="18" t="n">
        <v>2.5088532</v>
      </c>
      <c r="R62" s="20" t="n">
        <v>0.76814346</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(2196.0/B67*100)</f>
        <v/>
      </c>
      <c r="D67" s="19" t="n">
        <v>575</v>
      </c>
      <c r="E67" s="18" t="n">
        <v>53.43325202</v>
      </c>
      <c r="F67" s="20" t="n">
        <v>2.24938236</v>
      </c>
      <c r="G67" s="18" t="n">
        <v>37.02829645</v>
      </c>
      <c r="H67" s="20" t="n">
        <v>2.16420088</v>
      </c>
      <c r="I67" s="18" t="n">
        <v>0</v>
      </c>
      <c r="J67" s="20" t="n">
        <v>0</v>
      </c>
      <c r="K67" s="18" t="n">
        <v>2.1167075</v>
      </c>
      <c r="L67" s="20" t="n">
        <v>0.71081445</v>
      </c>
      <c r="M67" s="18" t="n">
        <v>0</v>
      </c>
      <c r="N67" s="20" t="n">
        <v>0</v>
      </c>
      <c r="O67" s="18" t="n">
        <v>0</v>
      </c>
      <c r="P67" s="20" t="n">
        <v>0</v>
      </c>
      <c r="Q67" s="18" t="n">
        <v>7.42174403</v>
      </c>
      <c r="R67" s="20" t="n">
        <v>1.08369803</v>
      </c>
    </row>
    <row r="68" spans="1:18">
      <c r="A68" s="15" t="s">
        <v>628</v>
      </c>
      <c r="B68" s="17" t="n">
        <v>3460</v>
      </c>
      <c r="C68" s="18">
        <f>(2875.0/B68*100)</f>
        <v/>
      </c>
      <c r="D68" s="19" t="n">
        <v>585</v>
      </c>
      <c r="E68" s="18" t="n">
        <v>45.05047069</v>
      </c>
      <c r="F68" s="20" t="n">
        <v>2.41633209</v>
      </c>
      <c r="G68" s="18" t="n">
        <v>49.92476442</v>
      </c>
      <c r="H68" s="20" t="n">
        <v>2.55460395</v>
      </c>
      <c r="I68" s="18" t="n">
        <v>0</v>
      </c>
      <c r="J68" s="20" t="n">
        <v>0</v>
      </c>
      <c r="K68" s="18" t="n">
        <v>0.59155196</v>
      </c>
      <c r="L68" s="20" t="n">
        <v>0.34482732</v>
      </c>
      <c r="M68" s="18" t="n">
        <v>0</v>
      </c>
      <c r="N68" s="20" t="n">
        <v>0</v>
      </c>
      <c r="O68" s="18" t="n">
        <v>0</v>
      </c>
      <c r="P68" s="20" t="n">
        <v>0</v>
      </c>
      <c r="Q68" s="18" t="n">
        <v>4.43321293</v>
      </c>
      <c r="R68" s="20" t="n">
        <v>0.85712783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(4655.0/B70*100)</f>
        <v/>
      </c>
      <c r="D70" s="19" t="n">
        <v>1379</v>
      </c>
      <c r="E70" s="18" t="n">
        <v>39.9984173</v>
      </c>
      <c r="F70" s="20" t="n">
        <v>1.23907083</v>
      </c>
      <c r="G70" s="18" t="n">
        <v>51.28922609</v>
      </c>
      <c r="H70" s="20" t="n">
        <v>1.31765561</v>
      </c>
      <c r="I70" s="18" t="n">
        <v>0</v>
      </c>
      <c r="J70" s="20" t="n">
        <v>0</v>
      </c>
      <c r="K70" s="18" t="n">
        <v>4.42807582</v>
      </c>
      <c r="L70" s="20" t="n">
        <v>0.56050236</v>
      </c>
      <c r="M70" s="18" t="n">
        <v>0</v>
      </c>
      <c r="N70" s="20" t="n">
        <v>0</v>
      </c>
      <c r="O70" s="18" t="n">
        <v>0</v>
      </c>
      <c r="P70" s="20" t="n">
        <v>0</v>
      </c>
      <c r="Q70" s="18" t="n">
        <v>4.2842808</v>
      </c>
      <c r="R70" s="20" t="n">
        <v>0.55820641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(2539.0/B72*100)</f>
        <v/>
      </c>
      <c r="D72" s="19" t="n">
        <v>568</v>
      </c>
      <c r="E72" s="18" t="n">
        <v>29.92862529</v>
      </c>
      <c r="F72" s="20" t="n">
        <v>2.33887081</v>
      </c>
      <c r="G72" s="18" t="n">
        <v>66.07898399</v>
      </c>
      <c r="H72" s="20" t="n">
        <v>2.28978038</v>
      </c>
      <c r="I72" s="18" t="n">
        <v>0</v>
      </c>
      <c r="J72" s="20" t="n">
        <v>0</v>
      </c>
      <c r="K72" s="18" t="n">
        <v>0.58509239</v>
      </c>
      <c r="L72" s="20" t="n">
        <v>0.28070601</v>
      </c>
      <c r="M72" s="18" t="n">
        <v>0</v>
      </c>
      <c r="N72" s="20" t="n">
        <v>0</v>
      </c>
      <c r="O72" s="18" t="n">
        <v>0</v>
      </c>
      <c r="P72" s="20" t="n">
        <v>0</v>
      </c>
      <c r="Q72" s="18" t="n">
        <v>3.40729833</v>
      </c>
      <c r="R72" s="20" t="n">
        <v>0.9097847999999999</v>
      </c>
    </row>
    <row r="73" spans="1:18">
      <c r="A73" s="15" t="s">
        <v>633</v>
      </c>
      <c r="B73" s="17" t="n">
        <v>2973</v>
      </c>
      <c r="C73" s="18">
        <f>(2336.0/B73*100)</f>
        <v/>
      </c>
      <c r="D73" s="19" t="n">
        <v>637</v>
      </c>
      <c r="E73" s="18" t="n">
        <v>16.83942115</v>
      </c>
      <c r="F73" s="20" t="n">
        <v>1.63783475</v>
      </c>
      <c r="G73" s="18" t="n">
        <v>81.9177797</v>
      </c>
      <c r="H73" s="20" t="n">
        <v>1.65423198</v>
      </c>
      <c r="I73" s="18" t="n">
        <v>0</v>
      </c>
      <c r="J73" s="20" t="n">
        <v>0</v>
      </c>
      <c r="K73" s="18" t="n">
        <v>0.70225446</v>
      </c>
      <c r="L73" s="20" t="n">
        <v>0.35096342</v>
      </c>
      <c r="M73" s="18" t="n">
        <v>0</v>
      </c>
      <c r="N73" s="20" t="n">
        <v>0</v>
      </c>
      <c r="O73" s="18" t="n">
        <v>0</v>
      </c>
      <c r="P73" s="20" t="n">
        <v>0</v>
      </c>
      <c r="Q73" s="18" t="n">
        <v>0.5405447</v>
      </c>
      <c r="R73" s="20" t="n">
        <v>0.31030106</v>
      </c>
    </row>
    <row r="74" spans="1:18">
      <c r="A74" s="15" t="s">
        <v>634</v>
      </c>
      <c r="B74" s="17" t="n">
        <v>3819</v>
      </c>
      <c r="C74" s="18">
        <f>(2978.0/B74*100)</f>
        <v/>
      </c>
      <c r="D74" s="19" t="n">
        <v>841</v>
      </c>
      <c r="E74" s="18" t="n">
        <v>6.53626763</v>
      </c>
      <c r="F74" s="20" t="n">
        <v>0.84491129</v>
      </c>
      <c r="G74" s="18" t="n">
        <v>86.63669836</v>
      </c>
      <c r="H74" s="20" t="n">
        <v>1.35056271</v>
      </c>
      <c r="I74" s="18" t="n">
        <v>0</v>
      </c>
      <c r="J74" s="20" t="n">
        <v>0</v>
      </c>
      <c r="K74" s="18" t="n">
        <v>0.08618136</v>
      </c>
      <c r="L74" s="20" t="n">
        <v>0.08667208</v>
      </c>
      <c r="M74" s="18" t="n">
        <v>0</v>
      </c>
      <c r="N74" s="20" t="n">
        <v>0</v>
      </c>
      <c r="O74" s="18" t="n">
        <v>0</v>
      </c>
      <c r="P74" s="20" t="n">
        <v>0</v>
      </c>
      <c r="Q74" s="18" t="n">
        <v>6.74085265</v>
      </c>
      <c r="R74" s="20" t="n">
        <v>0.9648298199999999</v>
      </c>
    </row>
    <row r="75" spans="1:18">
      <c r="A75" s="15" t="s">
        <v>635</v>
      </c>
      <c r="B75" s="17" t="n">
        <v>4652</v>
      </c>
      <c r="C75" s="18">
        <f>(3715.0/B75*100)</f>
        <v/>
      </c>
      <c r="D75" s="19" t="n">
        <v>937</v>
      </c>
      <c r="E75" s="18" t="n">
        <v>42.88971511</v>
      </c>
      <c r="F75" s="20" t="n">
        <v>1.6028685</v>
      </c>
      <c r="G75" s="18" t="n">
        <v>49.56167871</v>
      </c>
      <c r="H75" s="20" t="n">
        <v>1.71845955</v>
      </c>
      <c r="I75" s="18" t="n">
        <v>0</v>
      </c>
      <c r="J75" s="20" t="n">
        <v>0</v>
      </c>
      <c r="K75" s="18" t="n">
        <v>0.05432659</v>
      </c>
      <c r="L75" s="20" t="n">
        <v>0.05481289</v>
      </c>
      <c r="M75" s="18" t="n">
        <v>0</v>
      </c>
      <c r="N75" s="20" t="n">
        <v>0</v>
      </c>
      <c r="O75" s="18" t="n">
        <v>0</v>
      </c>
      <c r="P75" s="20" t="n">
        <v>0</v>
      </c>
      <c r="Q75" s="18" t="n">
        <v>7.49427959</v>
      </c>
      <c r="R75" s="20" t="n">
        <v>1.00459633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(2428.0/B77*100)</f>
        <v/>
      </c>
      <c r="D77" s="19" t="n">
        <v>541</v>
      </c>
      <c r="E77" s="18" t="n">
        <v>53.29907617</v>
      </c>
      <c r="F77" s="20" t="n">
        <v>2.20753509</v>
      </c>
      <c r="G77" s="18" t="n">
        <v>38.14033886</v>
      </c>
      <c r="H77" s="20" t="n">
        <v>2.27759262</v>
      </c>
      <c r="I77" s="18" t="n">
        <v>0</v>
      </c>
      <c r="J77" s="20" t="n">
        <v>0</v>
      </c>
      <c r="K77" s="18" t="n">
        <v>5.10651311</v>
      </c>
      <c r="L77" s="20" t="n">
        <v>0.96252036</v>
      </c>
      <c r="M77" s="18" t="n">
        <v>0</v>
      </c>
      <c r="N77" s="20" t="n">
        <v>0</v>
      </c>
      <c r="O77" s="18" t="n">
        <v>0</v>
      </c>
      <c r="P77" s="20" t="n">
        <v>0</v>
      </c>
      <c r="Q77" s="18" t="n">
        <v>3.45407185</v>
      </c>
      <c r="R77" s="20" t="n">
        <v>0.8603348</v>
      </c>
    </row>
    <row r="78" spans="1:18">
      <c r="A78" s="15" t="s">
        <v>638</v>
      </c>
      <c r="B78" s="17" t="n">
        <v>7115</v>
      </c>
      <c r="C78" s="18">
        <f>(5587.0/B78*100)</f>
        <v/>
      </c>
      <c r="D78" s="19" t="n">
        <v>1528</v>
      </c>
      <c r="E78" s="18" t="n">
        <v>37.07773427</v>
      </c>
      <c r="F78" s="20" t="n">
        <v>1.526145</v>
      </c>
      <c r="G78" s="18" t="n">
        <v>58.63286454</v>
      </c>
      <c r="H78" s="20" t="n">
        <v>1.57410641</v>
      </c>
      <c r="I78" s="18" t="n">
        <v>0</v>
      </c>
      <c r="J78" s="20" t="n">
        <v>0</v>
      </c>
      <c r="K78" s="18" t="n">
        <v>1.25833688</v>
      </c>
      <c r="L78" s="20" t="n">
        <v>0.38382157</v>
      </c>
      <c r="M78" s="18" t="n">
        <v>0</v>
      </c>
      <c r="N78" s="20" t="n">
        <v>0</v>
      </c>
      <c r="O78" s="18" t="n">
        <v>0</v>
      </c>
      <c r="P78" s="20" t="n">
        <v>0</v>
      </c>
      <c r="Q78" s="18" t="n">
        <v>3.03106432</v>
      </c>
      <c r="R78" s="20" t="n">
        <v>0.52843954</v>
      </c>
    </row>
    <row r="79" spans="1:18">
      <c r="A79" s="15" t="s">
        <v>639</v>
      </c>
      <c r="B79" s="17" t="n">
        <v>3154</v>
      </c>
      <c r="C79" s="18">
        <f>(2504.0/B79*100)</f>
        <v/>
      </c>
      <c r="D79" s="19" t="n">
        <v>650</v>
      </c>
      <c r="E79" s="18" t="n">
        <v>39.45086927</v>
      </c>
      <c r="F79" s="20" t="n">
        <v>2.31716392</v>
      </c>
      <c r="G79" s="18" t="n">
        <v>56.24017986</v>
      </c>
      <c r="H79" s="20" t="n">
        <v>2.33871205</v>
      </c>
      <c r="I79" s="18" t="n">
        <v>0</v>
      </c>
      <c r="J79" s="20" t="n">
        <v>0</v>
      </c>
      <c r="K79" s="18" t="n">
        <v>1.28161088</v>
      </c>
      <c r="L79" s="20" t="n">
        <v>0.38795481</v>
      </c>
      <c r="M79" s="18" t="n">
        <v>0</v>
      </c>
      <c r="N79" s="20" t="n">
        <v>0</v>
      </c>
      <c r="O79" s="18" t="n">
        <v>0</v>
      </c>
      <c r="P79" s="20" t="n">
        <v>0</v>
      </c>
      <c r="Q79" s="18" t="n">
        <v>3.02733999</v>
      </c>
      <c r="R79" s="20" t="n">
        <v>0.56126373</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(12564.0/B82*100)</f>
        <v/>
      </c>
      <c r="D82" s="19" t="n">
        <v>3397</v>
      </c>
      <c r="E82" s="18" t="n">
        <v>29.00979463</v>
      </c>
      <c r="F82" s="20" t="n">
        <v>1.10488653</v>
      </c>
      <c r="G82" s="18" t="n">
        <v>68.91134178</v>
      </c>
      <c r="H82" s="20" t="n">
        <v>1.09026788</v>
      </c>
      <c r="I82" s="18" t="n">
        <v>0</v>
      </c>
      <c r="J82" s="20" t="n">
        <v>0</v>
      </c>
      <c r="K82" s="18" t="n">
        <v>0.5362651899999999</v>
      </c>
      <c r="L82" s="20" t="n">
        <v>0.16287397</v>
      </c>
      <c r="M82" s="18" t="n">
        <v>0</v>
      </c>
      <c r="N82" s="20" t="n">
        <v>0</v>
      </c>
      <c r="O82" s="18" t="n">
        <v>0</v>
      </c>
      <c r="P82" s="20" t="n">
        <v>0</v>
      </c>
      <c r="Q82" s="18" t="n">
        <v>1.5425984</v>
      </c>
      <c r="R82" s="20" t="n">
        <v>0.31081342</v>
      </c>
    </row>
    <row r="83" spans="1:18">
      <c r="A83" s="15" t="s">
        <v>643</v>
      </c>
      <c r="B83" s="17" t="n">
        <v>808</v>
      </c>
      <c r="C83" s="18">
        <f>(637.0/B83*100)</f>
        <v/>
      </c>
      <c r="D83" s="19" t="n">
        <v>171</v>
      </c>
      <c r="E83" s="18" t="n">
        <v>28.77389486</v>
      </c>
      <c r="F83" s="20" t="n">
        <v>3.76210728</v>
      </c>
      <c r="G83" s="18" t="n">
        <v>69.88864378</v>
      </c>
      <c r="H83" s="20" t="n">
        <v>3.81275618</v>
      </c>
      <c r="I83" s="18" t="n">
        <v>0</v>
      </c>
      <c r="J83" s="20" t="n">
        <v>0</v>
      </c>
      <c r="K83" s="18" t="n">
        <v>0.71330684</v>
      </c>
      <c r="L83" s="20" t="n">
        <v>0.74491237</v>
      </c>
      <c r="M83" s="18" t="n">
        <v>0</v>
      </c>
      <c r="N83" s="20" t="n">
        <v>0</v>
      </c>
      <c r="O83" s="18" t="n">
        <v>0</v>
      </c>
      <c r="P83" s="20" t="n">
        <v>0</v>
      </c>
      <c r="Q83" s="18" t="n">
        <v>0.62415453</v>
      </c>
      <c r="R83" s="20" t="n">
        <v>0.6276341</v>
      </c>
    </row>
    <row r="84" spans="1:18">
      <c r="A84" s="23" t="s">
        <v>644</v>
      </c>
      <c r="B84" s="24" t="n">
        <v>938</v>
      </c>
      <c r="C84" s="25">
        <f>(739.0/B84*100)</f>
        <v/>
      </c>
      <c r="D84" s="19" t="n">
        <v>199</v>
      </c>
      <c r="E84" s="18" t="n">
        <v>31.90224502</v>
      </c>
      <c r="F84" s="20" t="n">
        <v>2.80732216</v>
      </c>
      <c r="G84" s="18" t="n">
        <v>67.0960262</v>
      </c>
      <c r="H84" s="20" t="n">
        <v>2.78764993</v>
      </c>
      <c r="I84" s="18" t="n">
        <v>0</v>
      </c>
      <c r="J84" s="20" t="n">
        <v>0</v>
      </c>
      <c r="K84" s="18" t="n">
        <v>0</v>
      </c>
      <c r="L84" s="20" t="n">
        <v>0</v>
      </c>
      <c r="M84" s="18" t="n">
        <v>0</v>
      </c>
      <c r="N84" s="20" t="n">
        <v>0</v>
      </c>
      <c r="O84" s="18" t="n">
        <v>0</v>
      </c>
      <c r="P84" s="20" t="n">
        <v>0</v>
      </c>
      <c r="Q84" s="18" t="n">
        <v>1.00172879</v>
      </c>
      <c r="R84" s="20" t="n">
        <v>0.71964732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(5675.0/B7*100)</f>
        <v/>
      </c>
      <c r="D7" s="19" t="n">
        <v>1488</v>
      </c>
      <c r="E7" s="18" t="n">
        <v>50.04701156</v>
      </c>
      <c r="F7" s="20" t="n">
        <v>1.47807717</v>
      </c>
      <c r="G7" s="18" t="n">
        <v>47.19130024</v>
      </c>
      <c r="H7" s="20" t="n">
        <v>1.4749164</v>
      </c>
      <c r="I7" s="18" t="n">
        <v>0</v>
      </c>
      <c r="J7" s="20" t="n">
        <v>0</v>
      </c>
      <c r="K7" s="18" t="n">
        <v>1.53124835</v>
      </c>
      <c r="L7" s="20" t="n">
        <v>0.32938134</v>
      </c>
      <c r="M7" s="18" t="n">
        <v>0</v>
      </c>
      <c r="N7" s="20" t="n">
        <v>0</v>
      </c>
      <c r="O7" s="18" t="n">
        <v>0</v>
      </c>
      <c r="P7" s="20" t="n">
        <v>0</v>
      </c>
      <c r="Q7" s="18" t="n">
        <v>1.23043985</v>
      </c>
      <c r="R7" s="20" t="n">
        <v>0.38504484</v>
      </c>
    </row>
    <row r="8" spans="1:18">
      <c r="A8" s="15" t="s">
        <v>566</v>
      </c>
      <c r="B8" s="17" t="n">
        <v>3443</v>
      </c>
      <c r="C8" s="18">
        <f>(2736.0/B8*100)</f>
        <v/>
      </c>
      <c r="D8" s="19" t="n">
        <v>707</v>
      </c>
      <c r="E8" s="18" t="n">
        <v>67.26185578</v>
      </c>
      <c r="F8" s="20" t="n">
        <v>1.99200123</v>
      </c>
      <c r="G8" s="18" t="n">
        <v>28.12732253</v>
      </c>
      <c r="H8" s="20" t="n">
        <v>1.90746973</v>
      </c>
      <c r="I8" s="18" t="n">
        <v>0</v>
      </c>
      <c r="J8" s="20" t="n">
        <v>0</v>
      </c>
      <c r="K8" s="18" t="n">
        <v>3.00794796</v>
      </c>
      <c r="L8" s="20" t="n">
        <v>0.70942275</v>
      </c>
      <c r="M8" s="18" t="n">
        <v>0</v>
      </c>
      <c r="N8" s="20" t="n">
        <v>0</v>
      </c>
      <c r="O8" s="18" t="n">
        <v>0</v>
      </c>
      <c r="P8" s="20" t="n">
        <v>0</v>
      </c>
      <c r="Q8" s="18" t="n">
        <v>1.60287373</v>
      </c>
      <c r="R8" s="20" t="n">
        <v>0.47385498</v>
      </c>
    </row>
    <row r="9" spans="1:18">
      <c r="A9" s="15" t="s">
        <v>567</v>
      </c>
      <c r="B9" s="17" t="n">
        <v>4752</v>
      </c>
      <c r="C9" s="18">
        <f>(3769.0/B9*100)</f>
        <v/>
      </c>
      <c r="D9" s="19" t="n">
        <v>983</v>
      </c>
      <c r="E9" s="18" t="n">
        <v>60.71751484</v>
      </c>
      <c r="F9" s="20" t="n">
        <v>1.56387441</v>
      </c>
      <c r="G9" s="18" t="n">
        <v>35.33265247</v>
      </c>
      <c r="H9" s="20" t="n">
        <v>1.49362858</v>
      </c>
      <c r="I9" s="18" t="n">
        <v>0</v>
      </c>
      <c r="J9" s="20" t="n">
        <v>0</v>
      </c>
      <c r="K9" s="18" t="n">
        <v>2.76812815</v>
      </c>
      <c r="L9" s="20" t="n">
        <v>0.44956246</v>
      </c>
      <c r="M9" s="18" t="n">
        <v>0</v>
      </c>
      <c r="N9" s="20" t="n">
        <v>0</v>
      </c>
      <c r="O9" s="18" t="n">
        <v>0</v>
      </c>
      <c r="P9" s="20" t="n">
        <v>0</v>
      </c>
      <c r="Q9" s="18" t="n">
        <v>1.18170454</v>
      </c>
      <c r="R9" s="20" t="n">
        <v>0.40974395</v>
      </c>
    </row>
    <row r="10" spans="1:18">
      <c r="A10" s="15" t="s">
        <v>568</v>
      </c>
      <c r="B10" s="17" t="n">
        <v>10022</v>
      </c>
      <c r="C10" s="18">
        <f>(7888.0/B10*100)</f>
        <v/>
      </c>
      <c r="D10" s="19" t="n">
        <v>2134</v>
      </c>
      <c r="E10" s="18" t="n">
        <v>51.82981906</v>
      </c>
      <c r="F10" s="20" t="n">
        <v>1.36575074</v>
      </c>
      <c r="G10" s="18" t="n">
        <v>45.98641702</v>
      </c>
      <c r="H10" s="20" t="n">
        <v>1.29928713</v>
      </c>
      <c r="I10" s="18" t="n">
        <v>0</v>
      </c>
      <c r="J10" s="20" t="n">
        <v>0</v>
      </c>
      <c r="K10" s="18" t="n">
        <v>1.50196845</v>
      </c>
      <c r="L10" s="20" t="n">
        <v>0.42378239</v>
      </c>
      <c r="M10" s="18" t="n">
        <v>0</v>
      </c>
      <c r="N10" s="20" t="n">
        <v>0</v>
      </c>
      <c r="O10" s="18" t="n">
        <v>0</v>
      </c>
      <c r="P10" s="20" t="n">
        <v>0</v>
      </c>
      <c r="Q10" s="18" t="n">
        <v>0.68179547</v>
      </c>
      <c r="R10" s="20" t="n">
        <v>0.26938028</v>
      </c>
    </row>
    <row r="11" spans="1:18">
      <c r="A11" s="15" t="s">
        <v>569</v>
      </c>
      <c r="B11" s="17" t="n">
        <v>3500</v>
      </c>
      <c r="C11" s="18">
        <f>(2802.0/B11*100)</f>
        <v/>
      </c>
      <c r="D11" s="19" t="n">
        <v>698</v>
      </c>
      <c r="E11" s="18" t="n">
        <v>65.38804154</v>
      </c>
      <c r="F11" s="20" t="n">
        <v>2.23047343</v>
      </c>
      <c r="G11" s="18" t="n">
        <v>30.88050546</v>
      </c>
      <c r="H11" s="20" t="n">
        <v>2.04416347</v>
      </c>
      <c r="I11" s="18" t="n">
        <v>0</v>
      </c>
      <c r="J11" s="20" t="n">
        <v>0</v>
      </c>
      <c r="K11" s="18" t="n">
        <v>2.34599807</v>
      </c>
      <c r="L11" s="20" t="n">
        <v>0.61313185</v>
      </c>
      <c r="M11" s="18" t="n">
        <v>0</v>
      </c>
      <c r="N11" s="20" t="n">
        <v>0</v>
      </c>
      <c r="O11" s="18" t="n">
        <v>0</v>
      </c>
      <c r="P11" s="20" t="n">
        <v>0</v>
      </c>
      <c r="Q11" s="18" t="n">
        <v>1.38545493</v>
      </c>
      <c r="R11" s="20" t="n">
        <v>0.51530924</v>
      </c>
    </row>
    <row r="12" spans="1:18">
      <c r="A12" s="15" t="s">
        <v>570</v>
      </c>
      <c r="B12" s="17" t="n">
        <v>3422</v>
      </c>
      <c r="C12" s="18">
        <f>(2676.0/B12*100)</f>
        <v/>
      </c>
      <c r="D12" s="19" t="n">
        <v>746</v>
      </c>
      <c r="E12" s="18" t="n">
        <v>62.51703295</v>
      </c>
      <c r="F12" s="20" t="n">
        <v>1.99756948</v>
      </c>
      <c r="G12" s="18" t="n">
        <v>33.80328683</v>
      </c>
      <c r="H12" s="20" t="n">
        <v>1.83055288</v>
      </c>
      <c r="I12" s="18" t="n">
        <v>0</v>
      </c>
      <c r="J12" s="20" t="n">
        <v>0</v>
      </c>
      <c r="K12" s="18" t="n">
        <v>2.02173546</v>
      </c>
      <c r="L12" s="20" t="n">
        <v>0.54335523</v>
      </c>
      <c r="M12" s="18" t="n">
        <v>0</v>
      </c>
      <c r="N12" s="20" t="n">
        <v>0</v>
      </c>
      <c r="O12" s="18" t="n">
        <v>0</v>
      </c>
      <c r="P12" s="20" t="n">
        <v>0</v>
      </c>
      <c r="Q12" s="18" t="n">
        <v>1.65794476</v>
      </c>
      <c r="R12" s="20" t="n">
        <v>0.43147946</v>
      </c>
    </row>
    <row r="13" spans="1:18">
      <c r="A13" s="15" t="s">
        <v>571</v>
      </c>
      <c r="B13" s="17" t="n">
        <v>3602</v>
      </c>
      <c r="C13" s="18">
        <f>(2857.0/B13*100)</f>
        <v/>
      </c>
      <c r="D13" s="19" t="n">
        <v>745</v>
      </c>
      <c r="E13" s="18" t="n">
        <v>57.5233553</v>
      </c>
      <c r="F13" s="20" t="n">
        <v>2.16677968</v>
      </c>
      <c r="G13" s="18" t="n">
        <v>40.19314541</v>
      </c>
      <c r="H13" s="20" t="n">
        <v>2.19101024</v>
      </c>
      <c r="I13" s="18" t="n">
        <v>0</v>
      </c>
      <c r="J13" s="20" t="n">
        <v>0</v>
      </c>
      <c r="K13" s="18" t="n">
        <v>1.53507685</v>
      </c>
      <c r="L13" s="20" t="n">
        <v>0.44826779</v>
      </c>
      <c r="M13" s="18" t="n">
        <v>0</v>
      </c>
      <c r="N13" s="20" t="n">
        <v>0</v>
      </c>
      <c r="O13" s="18" t="n">
        <v>0</v>
      </c>
      <c r="P13" s="20" t="n">
        <v>0</v>
      </c>
      <c r="Q13" s="18" t="n">
        <v>0.74842244</v>
      </c>
      <c r="R13" s="20" t="n">
        <v>0.37227551</v>
      </c>
    </row>
    <row r="14" spans="1:18">
      <c r="A14" s="15" t="s">
        <v>572</v>
      </c>
      <c r="B14" s="17" t="n">
        <v>2788</v>
      </c>
      <c r="C14" s="18">
        <f>(2192.0/B14*100)</f>
        <v/>
      </c>
      <c r="D14" s="19" t="n">
        <v>596</v>
      </c>
      <c r="E14" s="18" t="n">
        <v>67.03932983</v>
      </c>
      <c r="F14" s="20" t="n">
        <v>1.85907708</v>
      </c>
      <c r="G14" s="18" t="n">
        <v>31.60188813</v>
      </c>
      <c r="H14" s="20" t="n">
        <v>1.8292762</v>
      </c>
      <c r="I14" s="18" t="n">
        <v>0</v>
      </c>
      <c r="J14" s="20" t="n">
        <v>0</v>
      </c>
      <c r="K14" s="18" t="n">
        <v>1.21505221</v>
      </c>
      <c r="L14" s="20" t="n">
        <v>0.45438249</v>
      </c>
      <c r="M14" s="18" t="n">
        <v>0</v>
      </c>
      <c r="N14" s="20" t="n">
        <v>0</v>
      </c>
      <c r="O14" s="18" t="n">
        <v>0</v>
      </c>
      <c r="P14" s="20" t="n">
        <v>0</v>
      </c>
      <c r="Q14" s="18" t="n">
        <v>0.14372982</v>
      </c>
      <c r="R14" s="20" t="n">
        <v>0.14440791</v>
      </c>
    </row>
    <row r="15" spans="1:18">
      <c r="A15" s="15" t="s">
        <v>573</v>
      </c>
      <c r="B15" s="17" t="n">
        <v>2863</v>
      </c>
      <c r="C15" s="18">
        <f>(2257.0/B15*100)</f>
        <v/>
      </c>
      <c r="D15" s="19" t="n">
        <v>606</v>
      </c>
      <c r="E15" s="18" t="n">
        <v>54.54317573</v>
      </c>
      <c r="F15" s="20" t="n">
        <v>2.03812798</v>
      </c>
      <c r="G15" s="18" t="n">
        <v>44.27589172</v>
      </c>
      <c r="H15" s="20" t="n">
        <v>2.03757019</v>
      </c>
      <c r="I15" s="18" t="n">
        <v>0</v>
      </c>
      <c r="J15" s="20" t="n">
        <v>0</v>
      </c>
      <c r="K15" s="18" t="n">
        <v>0.86897445</v>
      </c>
      <c r="L15" s="20" t="n">
        <v>0.39479125</v>
      </c>
      <c r="M15" s="18" t="n">
        <v>0</v>
      </c>
      <c r="N15" s="20" t="n">
        <v>0</v>
      </c>
      <c r="O15" s="18" t="n">
        <v>0</v>
      </c>
      <c r="P15" s="20" t="n">
        <v>0</v>
      </c>
      <c r="Q15" s="18" t="n">
        <v>0.3119581</v>
      </c>
      <c r="R15" s="20" t="n">
        <v>0.21940286</v>
      </c>
    </row>
    <row r="16" spans="1:18">
      <c r="A16" s="15" t="s">
        <v>574</v>
      </c>
      <c r="B16" s="17" t="n">
        <v>3111</v>
      </c>
      <c r="C16" s="18">
        <f>(2468.0/B16*100)</f>
        <v/>
      </c>
      <c r="D16" s="19" t="n">
        <v>643</v>
      </c>
      <c r="E16" s="18" t="n">
        <v>62.16012133</v>
      </c>
      <c r="F16" s="20" t="n">
        <v>2.12569481</v>
      </c>
      <c r="G16" s="18" t="n">
        <v>33.57312425</v>
      </c>
      <c r="H16" s="20" t="n">
        <v>1.99690155</v>
      </c>
      <c r="I16" s="18" t="n">
        <v>0</v>
      </c>
      <c r="J16" s="20" t="n">
        <v>0</v>
      </c>
      <c r="K16" s="18" t="n">
        <v>2.97244946</v>
      </c>
      <c r="L16" s="20" t="n">
        <v>0.78711073</v>
      </c>
      <c r="M16" s="18" t="n">
        <v>0</v>
      </c>
      <c r="N16" s="20" t="n">
        <v>0</v>
      </c>
      <c r="O16" s="18" t="n">
        <v>0</v>
      </c>
      <c r="P16" s="20" t="n">
        <v>0</v>
      </c>
      <c r="Q16" s="18" t="n">
        <v>1.29430497</v>
      </c>
      <c r="R16" s="20" t="n">
        <v>0.44202919</v>
      </c>
    </row>
    <row r="17" spans="1:18">
      <c r="A17" s="15" t="s">
        <v>575</v>
      </c>
      <c r="B17" s="17" t="n">
        <v>3197</v>
      </c>
      <c r="C17" s="18">
        <f>(2496.0/B17*100)</f>
        <v/>
      </c>
      <c r="D17" s="19" t="n">
        <v>701</v>
      </c>
      <c r="E17" s="18" t="n">
        <v>63.41073643</v>
      </c>
      <c r="F17" s="20" t="n">
        <v>1.58847875</v>
      </c>
      <c r="G17" s="18" t="n">
        <v>33.46729217</v>
      </c>
      <c r="H17" s="20" t="n">
        <v>1.75884656</v>
      </c>
      <c r="I17" s="18" t="n">
        <v>0</v>
      </c>
      <c r="J17" s="20" t="n">
        <v>0</v>
      </c>
      <c r="K17" s="18" t="n">
        <v>1.77698669</v>
      </c>
      <c r="L17" s="20" t="n">
        <v>0.48317096</v>
      </c>
      <c r="M17" s="18" t="n">
        <v>0</v>
      </c>
      <c r="N17" s="20" t="n">
        <v>0</v>
      </c>
      <c r="O17" s="18" t="n">
        <v>0</v>
      </c>
      <c r="P17" s="20" t="n">
        <v>0</v>
      </c>
      <c r="Q17" s="18" t="n">
        <v>1.34498471</v>
      </c>
      <c r="R17" s="20" t="n">
        <v>0.48191017</v>
      </c>
    </row>
    <row r="18" spans="1:18">
      <c r="A18" s="15" t="s">
        <v>576</v>
      </c>
      <c r="B18" s="17" t="n">
        <v>2706</v>
      </c>
      <c r="C18" s="18">
        <f>(2102.0/B18*100)</f>
        <v/>
      </c>
      <c r="D18" s="19" t="n">
        <v>604</v>
      </c>
      <c r="E18" s="18" t="n">
        <v>64.75584874</v>
      </c>
      <c r="F18" s="20" t="n">
        <v>2.18403646</v>
      </c>
      <c r="G18" s="18" t="n">
        <v>31.63835009</v>
      </c>
      <c r="H18" s="20" t="n">
        <v>2.08803601</v>
      </c>
      <c r="I18" s="18" t="n">
        <v>0</v>
      </c>
      <c r="J18" s="20" t="n">
        <v>0</v>
      </c>
      <c r="K18" s="18" t="n">
        <v>2.70514262</v>
      </c>
      <c r="L18" s="20" t="n">
        <v>0.84743507</v>
      </c>
      <c r="M18" s="18" t="n">
        <v>0</v>
      </c>
      <c r="N18" s="20" t="n">
        <v>0</v>
      </c>
      <c r="O18" s="18" t="n">
        <v>0</v>
      </c>
      <c r="P18" s="20" t="n">
        <v>0</v>
      </c>
      <c r="Q18" s="18" t="n">
        <v>0.90065854</v>
      </c>
      <c r="R18" s="20" t="n">
        <v>0.32178515</v>
      </c>
    </row>
    <row r="19" spans="1:18">
      <c r="A19" s="15" t="s">
        <v>577</v>
      </c>
      <c r="B19" s="17" t="n">
        <v>2850</v>
      </c>
      <c r="C19" s="18">
        <f>(2291.0/B19*100)</f>
        <v/>
      </c>
      <c r="D19" s="19" t="n">
        <v>559</v>
      </c>
      <c r="E19" s="18" t="n">
        <v>68.66880519999999</v>
      </c>
      <c r="F19" s="20" t="n">
        <v>1.97629055</v>
      </c>
      <c r="G19" s="18" t="n">
        <v>29.69525923</v>
      </c>
      <c r="H19" s="20" t="n">
        <v>1.8206413</v>
      </c>
      <c r="I19" s="18" t="n">
        <v>0</v>
      </c>
      <c r="J19" s="20" t="n">
        <v>0</v>
      </c>
      <c r="K19" s="18" t="n">
        <v>1.12845428</v>
      </c>
      <c r="L19" s="20" t="n">
        <v>0.41122706</v>
      </c>
      <c r="M19" s="18" t="n">
        <v>0</v>
      </c>
      <c r="N19" s="20" t="n">
        <v>0</v>
      </c>
      <c r="O19" s="18" t="n">
        <v>0</v>
      </c>
      <c r="P19" s="20" t="n">
        <v>0</v>
      </c>
      <c r="Q19" s="18" t="n">
        <v>0.50748129</v>
      </c>
      <c r="R19" s="20" t="n">
        <v>0.25869888</v>
      </c>
    </row>
    <row r="20" spans="1:18">
      <c r="A20" s="15" t="s">
        <v>578</v>
      </c>
      <c r="B20" s="17" t="n">
        <v>1741</v>
      </c>
      <c r="C20" s="18">
        <f>(1388.0/B20*100)</f>
        <v/>
      </c>
      <c r="D20" s="19" t="n">
        <v>353</v>
      </c>
      <c r="E20" s="18" t="n">
        <v>59.90202304</v>
      </c>
      <c r="F20" s="20" t="n">
        <v>2.45842383</v>
      </c>
      <c r="G20" s="18" t="n">
        <v>37.901545</v>
      </c>
      <c r="H20" s="20" t="n">
        <v>2.43066147</v>
      </c>
      <c r="I20" s="18" t="n">
        <v>0</v>
      </c>
      <c r="J20" s="20" t="n">
        <v>0</v>
      </c>
      <c r="K20" s="18" t="n">
        <v>1.03536861</v>
      </c>
      <c r="L20" s="20" t="n">
        <v>0.60495046</v>
      </c>
      <c r="M20" s="18" t="n">
        <v>0</v>
      </c>
      <c r="N20" s="20" t="n">
        <v>0</v>
      </c>
      <c r="O20" s="18" t="n">
        <v>0</v>
      </c>
      <c r="P20" s="20" t="n">
        <v>0</v>
      </c>
      <c r="Q20" s="18" t="n">
        <v>1.16106335</v>
      </c>
      <c r="R20" s="20" t="n">
        <v>0.56776073</v>
      </c>
    </row>
    <row r="21" spans="1:18">
      <c r="A21" s="15" t="s">
        <v>579</v>
      </c>
      <c r="B21" s="17" t="n">
        <v>2833</v>
      </c>
      <c r="C21" s="18">
        <f>(2190.0/B21*100)</f>
        <v/>
      </c>
      <c r="D21" s="19" t="n">
        <v>643</v>
      </c>
      <c r="E21" s="18" t="n">
        <v>54.88501769</v>
      </c>
      <c r="F21" s="20" t="n">
        <v>2.01923594</v>
      </c>
      <c r="G21" s="18" t="n">
        <v>43.26809717</v>
      </c>
      <c r="H21" s="20" t="n">
        <v>2.06939854</v>
      </c>
      <c r="I21" s="18" t="n">
        <v>0</v>
      </c>
      <c r="J21" s="20" t="n">
        <v>0</v>
      </c>
      <c r="K21" s="18" t="n">
        <v>0.78135478</v>
      </c>
      <c r="L21" s="20" t="n">
        <v>0.33133366</v>
      </c>
      <c r="M21" s="18" t="n">
        <v>0</v>
      </c>
      <c r="N21" s="20" t="n">
        <v>0</v>
      </c>
      <c r="O21" s="18" t="n">
        <v>0</v>
      </c>
      <c r="P21" s="20" t="n">
        <v>0</v>
      </c>
      <c r="Q21" s="18" t="n">
        <v>1.06553036</v>
      </c>
      <c r="R21" s="20" t="n">
        <v>0.37585133</v>
      </c>
    </row>
    <row r="22" spans="1:18">
      <c r="A22" s="15" t="s">
        <v>580</v>
      </c>
      <c r="B22" s="17" t="n">
        <v>3667</v>
      </c>
      <c r="C22" s="18">
        <f>(2860.0/B22*100)</f>
        <v/>
      </c>
      <c r="D22" s="19" t="n">
        <v>807</v>
      </c>
      <c r="E22" s="18" t="n">
        <v>65.25718673</v>
      </c>
      <c r="F22" s="20" t="n">
        <v>1.66353864</v>
      </c>
      <c r="G22" s="18" t="n">
        <v>30.49641795</v>
      </c>
      <c r="H22" s="20" t="n">
        <v>1.73022701</v>
      </c>
      <c r="I22" s="18" t="n">
        <v>0</v>
      </c>
      <c r="J22" s="20" t="n">
        <v>0</v>
      </c>
      <c r="K22" s="18" t="n">
        <v>2.2074437</v>
      </c>
      <c r="L22" s="20" t="n">
        <v>0.56530446</v>
      </c>
      <c r="M22" s="18" t="n">
        <v>0</v>
      </c>
      <c r="N22" s="20" t="n">
        <v>0</v>
      </c>
      <c r="O22" s="18" t="n">
        <v>0</v>
      </c>
      <c r="P22" s="20" t="n">
        <v>0</v>
      </c>
      <c r="Q22" s="18" t="n">
        <v>2.03895163</v>
      </c>
      <c r="R22" s="20" t="n">
        <v>0.71332184</v>
      </c>
    </row>
    <row r="23" spans="1:18">
      <c r="A23" s="15" t="s">
        <v>581</v>
      </c>
      <c r="B23" s="17" t="n">
        <v>5792</v>
      </c>
      <c r="C23" s="18">
        <f>(4551.0/B23*100)</f>
        <v/>
      </c>
      <c r="D23" s="19" t="n">
        <v>1241</v>
      </c>
      <c r="E23" s="18" t="n">
        <v>61.3966032</v>
      </c>
      <c r="F23" s="20" t="n">
        <v>2.32860451</v>
      </c>
      <c r="G23" s="18" t="n">
        <v>34.26063577</v>
      </c>
      <c r="H23" s="20" t="n">
        <v>2.01798497</v>
      </c>
      <c r="I23" s="18" t="n">
        <v>0</v>
      </c>
      <c r="J23" s="20" t="n">
        <v>0</v>
      </c>
      <c r="K23" s="18" t="n">
        <v>2.71242006</v>
      </c>
      <c r="L23" s="20" t="n">
        <v>0.8413669499999999</v>
      </c>
      <c r="M23" s="18" t="n">
        <v>0</v>
      </c>
      <c r="N23" s="20" t="n">
        <v>0</v>
      </c>
      <c r="O23" s="18" t="n">
        <v>0</v>
      </c>
      <c r="P23" s="20" t="n">
        <v>0</v>
      </c>
      <c r="Q23" s="18" t="n">
        <v>1.63034096</v>
      </c>
      <c r="R23" s="20" t="n">
        <v>0.52312376</v>
      </c>
    </row>
    <row r="24" spans="1:18">
      <c r="A24" s="15" t="s">
        <v>582</v>
      </c>
      <c r="B24" s="17" t="n">
        <v>3309</v>
      </c>
      <c r="C24" s="18">
        <f>(2552.0/B24*100)</f>
        <v/>
      </c>
      <c r="D24" s="19" t="n">
        <v>757</v>
      </c>
      <c r="E24" s="18" t="n">
        <v>62.21034675</v>
      </c>
      <c r="F24" s="20" t="n">
        <v>1.64286332</v>
      </c>
      <c r="G24" s="18" t="n">
        <v>36.40351082</v>
      </c>
      <c r="H24" s="20" t="n">
        <v>1.66900795</v>
      </c>
      <c r="I24" s="18" t="n">
        <v>0</v>
      </c>
      <c r="J24" s="20" t="n">
        <v>0</v>
      </c>
      <c r="K24" s="18" t="n">
        <v>0.59869859</v>
      </c>
      <c r="L24" s="20" t="n">
        <v>0.27356294</v>
      </c>
      <c r="M24" s="18" t="n">
        <v>0</v>
      </c>
      <c r="N24" s="20" t="n">
        <v>0</v>
      </c>
      <c r="O24" s="18" t="n">
        <v>0</v>
      </c>
      <c r="P24" s="20" t="n">
        <v>0</v>
      </c>
      <c r="Q24" s="18" t="n">
        <v>0.78744383</v>
      </c>
      <c r="R24" s="20" t="n">
        <v>0.32490452</v>
      </c>
    </row>
    <row r="25" spans="1:18">
      <c r="A25" s="15" t="s">
        <v>583</v>
      </c>
      <c r="B25" s="17" t="n">
        <v>2669</v>
      </c>
      <c r="C25" s="18">
        <f>(2087.0/B25*100)</f>
        <v/>
      </c>
      <c r="D25" s="19" t="n">
        <v>582</v>
      </c>
      <c r="E25" s="18" t="n">
        <v>73.64636835</v>
      </c>
      <c r="F25" s="20" t="n">
        <v>2.11447707</v>
      </c>
      <c r="G25" s="18" t="n">
        <v>25.5515074</v>
      </c>
      <c r="H25" s="20" t="n">
        <v>2.0434131</v>
      </c>
      <c r="I25" s="18" t="n">
        <v>0</v>
      </c>
      <c r="J25" s="20" t="n">
        <v>0</v>
      </c>
      <c r="K25" s="18" t="n">
        <v>0.6304623</v>
      </c>
      <c r="L25" s="20" t="n">
        <v>0.3275911</v>
      </c>
      <c r="M25" s="18" t="n">
        <v>0</v>
      </c>
      <c r="N25" s="20" t="n">
        <v>0</v>
      </c>
      <c r="O25" s="18" t="n">
        <v>0</v>
      </c>
      <c r="P25" s="20" t="n">
        <v>0</v>
      </c>
      <c r="Q25" s="18" t="n">
        <v>0.17166195</v>
      </c>
      <c r="R25" s="20" t="n">
        <v>0.17009096</v>
      </c>
    </row>
    <row r="26" spans="1:18">
      <c r="A26" s="15" t="s">
        <v>584</v>
      </c>
      <c r="B26" s="17" t="n">
        <v>2419</v>
      </c>
      <c r="C26" s="18">
        <f>(1901.0/B26*100)</f>
        <v/>
      </c>
      <c r="D26" s="19" t="n">
        <v>518</v>
      </c>
      <c r="E26" s="18" t="n">
        <v>69.02675995</v>
      </c>
      <c r="F26" s="20" t="n">
        <v>2.5531841</v>
      </c>
      <c r="G26" s="18" t="n">
        <v>30.27431576</v>
      </c>
      <c r="H26" s="20" t="n">
        <v>2.51111695</v>
      </c>
      <c r="I26" s="18" t="n">
        <v>0</v>
      </c>
      <c r="J26" s="20" t="n">
        <v>0</v>
      </c>
      <c r="K26" s="18" t="n">
        <v>0.50860212</v>
      </c>
      <c r="L26" s="20" t="n">
        <v>0.28866462</v>
      </c>
      <c r="M26" s="18" t="n">
        <v>0</v>
      </c>
      <c r="N26" s="20" t="n">
        <v>0</v>
      </c>
      <c r="O26" s="18" t="n">
        <v>0</v>
      </c>
      <c r="P26" s="20" t="n">
        <v>0</v>
      </c>
      <c r="Q26" s="18" t="n">
        <v>0.19032216</v>
      </c>
      <c r="R26" s="20" t="n">
        <v>0.18920307</v>
      </c>
    </row>
    <row r="27" spans="1:18">
      <c r="A27" s="15" t="s">
        <v>585</v>
      </c>
      <c r="B27" s="17" t="n">
        <v>2683</v>
      </c>
      <c r="C27" s="18">
        <f>(2088.0/B27*100)</f>
        <v/>
      </c>
      <c r="D27" s="19" t="n">
        <v>595</v>
      </c>
      <c r="E27" s="18" t="n">
        <v>65.38958220000001</v>
      </c>
      <c r="F27" s="20" t="n">
        <v>2.06531629</v>
      </c>
      <c r="G27" s="18" t="n">
        <v>31.08680246</v>
      </c>
      <c r="H27" s="20" t="n">
        <v>1.95273252</v>
      </c>
      <c r="I27" s="18" t="n">
        <v>0</v>
      </c>
      <c r="J27" s="20" t="n">
        <v>0</v>
      </c>
      <c r="K27" s="18" t="n">
        <v>1.86574749</v>
      </c>
      <c r="L27" s="20" t="n">
        <v>0.54468885</v>
      </c>
      <c r="M27" s="18" t="n">
        <v>0</v>
      </c>
      <c r="N27" s="20" t="n">
        <v>0</v>
      </c>
      <c r="O27" s="18" t="n">
        <v>0</v>
      </c>
      <c r="P27" s="20" t="n">
        <v>0</v>
      </c>
      <c r="Q27" s="18" t="n">
        <v>1.65786786</v>
      </c>
      <c r="R27" s="20" t="n">
        <v>0.5520677899999999</v>
      </c>
    </row>
    <row r="28" spans="1:18">
      <c r="A28" s="15" t="s">
        <v>586</v>
      </c>
      <c r="B28" s="17" t="n">
        <v>3803</v>
      </c>
      <c r="C28" s="18">
        <f>(3091.0/B28*100)</f>
        <v/>
      </c>
      <c r="D28" s="19" t="n">
        <v>712</v>
      </c>
      <c r="E28" s="18" t="n">
        <v>60.20004817</v>
      </c>
      <c r="F28" s="20" t="n">
        <v>2.10672603</v>
      </c>
      <c r="G28" s="18" t="n">
        <v>35.89668905</v>
      </c>
      <c r="H28" s="20" t="n">
        <v>2.08332105</v>
      </c>
      <c r="I28" s="18" t="n">
        <v>0</v>
      </c>
      <c r="J28" s="20" t="n">
        <v>0</v>
      </c>
      <c r="K28" s="18" t="n">
        <v>2.97933397</v>
      </c>
      <c r="L28" s="20" t="n">
        <v>0.94975418</v>
      </c>
      <c r="M28" s="18" t="n">
        <v>0</v>
      </c>
      <c r="N28" s="20" t="n">
        <v>0</v>
      </c>
      <c r="O28" s="18" t="n">
        <v>0</v>
      </c>
      <c r="P28" s="20" t="n">
        <v>0</v>
      </c>
      <c r="Q28" s="18" t="n">
        <v>0.92392881</v>
      </c>
      <c r="R28" s="20" t="n">
        <v>0.4099159</v>
      </c>
    </row>
    <row r="29" spans="1:18">
      <c r="A29" s="15" t="s">
        <v>587</v>
      </c>
      <c r="B29" s="17" t="n">
        <v>2700</v>
      </c>
      <c r="C29" s="18">
        <f>(2118.0/B29*100)</f>
        <v/>
      </c>
      <c r="D29" s="19" t="n">
        <v>582</v>
      </c>
      <c r="E29" s="18" t="n">
        <v>67.65101371999999</v>
      </c>
      <c r="F29" s="20" t="n">
        <v>2.40853182</v>
      </c>
      <c r="G29" s="18" t="n">
        <v>31.09296764</v>
      </c>
      <c r="H29" s="20" t="n">
        <v>2.38527627</v>
      </c>
      <c r="I29" s="18" t="n">
        <v>0</v>
      </c>
      <c r="J29" s="20" t="n">
        <v>0</v>
      </c>
      <c r="K29" s="18" t="n">
        <v>0.6064969099999999</v>
      </c>
      <c r="L29" s="20" t="n">
        <v>0.37115957</v>
      </c>
      <c r="M29" s="18" t="n">
        <v>0</v>
      </c>
      <c r="N29" s="20" t="n">
        <v>0</v>
      </c>
      <c r="O29" s="18" t="n">
        <v>0</v>
      </c>
      <c r="P29" s="20" t="n">
        <v>0</v>
      </c>
      <c r="Q29" s="18" t="n">
        <v>0.64952173</v>
      </c>
      <c r="R29" s="20" t="n">
        <v>0.35065789</v>
      </c>
    </row>
    <row r="30" spans="1:18">
      <c r="A30" s="15" t="s">
        <v>588</v>
      </c>
      <c r="B30" s="17" t="n">
        <v>2257</v>
      </c>
      <c r="C30" s="18">
        <f>(1811.0/B30*100)</f>
        <v/>
      </c>
      <c r="D30" s="19" t="n">
        <v>446</v>
      </c>
      <c r="E30" s="18" t="n">
        <v>51.14844201</v>
      </c>
      <c r="F30" s="20" t="n">
        <v>2.75988266</v>
      </c>
      <c r="G30" s="18" t="n">
        <v>47.76252283</v>
      </c>
      <c r="H30" s="20" t="n">
        <v>2.5684055</v>
      </c>
      <c r="I30" s="18" t="n">
        <v>0</v>
      </c>
      <c r="J30" s="20" t="n">
        <v>0</v>
      </c>
      <c r="K30" s="18" t="n">
        <v>0.24227151</v>
      </c>
      <c r="L30" s="20" t="n">
        <v>0.23141819</v>
      </c>
      <c r="M30" s="18" t="n">
        <v>0</v>
      </c>
      <c r="N30" s="20" t="n">
        <v>0</v>
      </c>
      <c r="O30" s="18" t="n">
        <v>0</v>
      </c>
      <c r="P30" s="20" t="n">
        <v>0</v>
      </c>
      <c r="Q30" s="18" t="n">
        <v>0.84676365</v>
      </c>
      <c r="R30" s="20" t="n">
        <v>0.5016058</v>
      </c>
    </row>
    <row r="31" spans="1:18">
      <c r="A31" s="15" t="s">
        <v>589</v>
      </c>
      <c r="B31" s="17" t="n">
        <v>2706</v>
      </c>
      <c r="C31" s="18">
        <f>(2129.0/B31*100)</f>
        <v/>
      </c>
      <c r="D31" s="19" t="n">
        <v>577</v>
      </c>
      <c r="E31" s="18" t="n">
        <v>58.03867422</v>
      </c>
      <c r="F31" s="20" t="n">
        <v>2.3027516</v>
      </c>
      <c r="G31" s="18" t="n">
        <v>38.26042395</v>
      </c>
      <c r="H31" s="20" t="n">
        <v>2.36033418</v>
      </c>
      <c r="I31" s="18" t="n">
        <v>0</v>
      </c>
      <c r="J31" s="20" t="n">
        <v>0</v>
      </c>
      <c r="K31" s="18" t="n">
        <v>3.02318327</v>
      </c>
      <c r="L31" s="20" t="n">
        <v>0.82336849</v>
      </c>
      <c r="M31" s="18" t="n">
        <v>0</v>
      </c>
      <c r="N31" s="20" t="n">
        <v>0</v>
      </c>
      <c r="O31" s="18" t="n">
        <v>0</v>
      </c>
      <c r="P31" s="20" t="n">
        <v>0</v>
      </c>
      <c r="Q31" s="18" t="n">
        <v>0.67771856</v>
      </c>
      <c r="R31" s="20" t="n">
        <v>0.32422305</v>
      </c>
    </row>
    <row r="32" spans="1:18">
      <c r="A32" s="15" t="s">
        <v>590</v>
      </c>
      <c r="B32" s="17" t="n">
        <v>2209</v>
      </c>
      <c r="C32" s="18">
        <f>(1760.0/B32*100)</f>
        <v/>
      </c>
      <c r="D32" s="19" t="n">
        <v>449</v>
      </c>
      <c r="E32" s="18" t="n">
        <v>59.84778973</v>
      </c>
      <c r="F32" s="20" t="n">
        <v>2.51952635</v>
      </c>
      <c r="G32" s="18" t="n">
        <v>39.26971932</v>
      </c>
      <c r="H32" s="20" t="n">
        <v>2.46825896</v>
      </c>
      <c r="I32" s="18" t="n">
        <v>0</v>
      </c>
      <c r="J32" s="20" t="n">
        <v>0</v>
      </c>
      <c r="K32" s="18" t="n">
        <v>0.65919349</v>
      </c>
      <c r="L32" s="20" t="n">
        <v>0.37665902</v>
      </c>
      <c r="M32" s="18" t="n">
        <v>0</v>
      </c>
      <c r="N32" s="20" t="n">
        <v>0</v>
      </c>
      <c r="O32" s="18" t="n">
        <v>0</v>
      </c>
      <c r="P32" s="20" t="n">
        <v>0</v>
      </c>
      <c r="Q32" s="18" t="n">
        <v>0.22329745</v>
      </c>
      <c r="R32" s="20" t="n">
        <v>0.23935126</v>
      </c>
    </row>
    <row r="33" spans="1:18">
      <c r="A33" s="15" t="s">
        <v>591</v>
      </c>
      <c r="B33" s="17" t="n">
        <v>3651</v>
      </c>
      <c r="C33" s="18">
        <f>(2952.0/B33*100)</f>
        <v/>
      </c>
      <c r="D33" s="19" t="n">
        <v>699</v>
      </c>
      <c r="E33" s="18" t="n">
        <v>60.97028011</v>
      </c>
      <c r="F33" s="20" t="n">
        <v>2.6052512</v>
      </c>
      <c r="G33" s="18" t="n">
        <v>37.69668648</v>
      </c>
      <c r="H33" s="20" t="n">
        <v>2.52504766</v>
      </c>
      <c r="I33" s="18" t="n">
        <v>0</v>
      </c>
      <c r="J33" s="20" t="n">
        <v>0</v>
      </c>
      <c r="K33" s="18" t="n">
        <v>1.10598446</v>
      </c>
      <c r="L33" s="20" t="n">
        <v>0.35794932</v>
      </c>
      <c r="M33" s="18" t="n">
        <v>0</v>
      </c>
      <c r="N33" s="20" t="n">
        <v>0</v>
      </c>
      <c r="O33" s="18" t="n">
        <v>0</v>
      </c>
      <c r="P33" s="20" t="n">
        <v>0</v>
      </c>
      <c r="Q33" s="18" t="n">
        <v>0.22704895</v>
      </c>
      <c r="R33" s="20" t="n">
        <v>0.21787504</v>
      </c>
    </row>
    <row r="34" spans="1:18">
      <c r="A34" s="15" t="s">
        <v>592</v>
      </c>
      <c r="B34" s="17" t="n">
        <v>3035</v>
      </c>
      <c r="C34" s="18">
        <f>(2408.0/B34*100)</f>
        <v/>
      </c>
      <c r="D34" s="19" t="n">
        <v>627</v>
      </c>
      <c r="E34" s="18" t="n">
        <v>63.38216394</v>
      </c>
      <c r="F34" s="20" t="n">
        <v>2.14699859</v>
      </c>
      <c r="G34" s="18" t="n">
        <v>34.78820698</v>
      </c>
      <c r="H34" s="20" t="n">
        <v>2.04450298</v>
      </c>
      <c r="I34" s="18" t="n">
        <v>0</v>
      </c>
      <c r="J34" s="20" t="n">
        <v>0</v>
      </c>
      <c r="K34" s="18" t="n">
        <v>1.02580755</v>
      </c>
      <c r="L34" s="20" t="n">
        <v>0.35595899</v>
      </c>
      <c r="M34" s="18" t="n">
        <v>0</v>
      </c>
      <c r="N34" s="20" t="n">
        <v>0</v>
      </c>
      <c r="O34" s="18" t="n">
        <v>0</v>
      </c>
      <c r="P34" s="20" t="n">
        <v>0</v>
      </c>
      <c r="Q34" s="18" t="n">
        <v>0.80382153</v>
      </c>
      <c r="R34" s="20" t="n">
        <v>0.37601213</v>
      </c>
    </row>
    <row r="35" spans="1:18">
      <c r="A35" s="15" t="s">
        <v>593</v>
      </c>
      <c r="B35" s="17" t="n">
        <v>2901</v>
      </c>
      <c r="C35" s="18">
        <f>(2251.0/B35*100)</f>
        <v/>
      </c>
      <c r="D35" s="19" t="n">
        <v>650</v>
      </c>
      <c r="E35" s="18" t="n">
        <v>61.69765015</v>
      </c>
      <c r="F35" s="20" t="n">
        <v>2.00203857</v>
      </c>
      <c r="G35" s="18" t="n">
        <v>35.13895602</v>
      </c>
      <c r="H35" s="20" t="n">
        <v>2.17148793</v>
      </c>
      <c r="I35" s="18" t="n">
        <v>0</v>
      </c>
      <c r="J35" s="20" t="n">
        <v>0</v>
      </c>
      <c r="K35" s="18" t="n">
        <v>1.13055528</v>
      </c>
      <c r="L35" s="20" t="n">
        <v>0.53530384</v>
      </c>
      <c r="M35" s="18" t="n">
        <v>0</v>
      </c>
      <c r="N35" s="20" t="n">
        <v>0</v>
      </c>
      <c r="O35" s="18" t="n">
        <v>0</v>
      </c>
      <c r="P35" s="20" t="n">
        <v>0</v>
      </c>
      <c r="Q35" s="18" t="n">
        <v>2.03283854</v>
      </c>
      <c r="R35" s="20" t="n">
        <v>0.76763264</v>
      </c>
    </row>
    <row r="36" spans="1:18">
      <c r="A36" s="15" t="s">
        <v>594</v>
      </c>
      <c r="B36" s="17" t="n">
        <v>3404</v>
      </c>
      <c r="C36" s="18">
        <f>(2702.0/B36*100)</f>
        <v/>
      </c>
      <c r="D36" s="19" t="n">
        <v>702</v>
      </c>
      <c r="E36" s="18" t="n">
        <v>65.40540926</v>
      </c>
      <c r="F36" s="20" t="n">
        <v>1.77584725</v>
      </c>
      <c r="G36" s="18" t="n">
        <v>31.97212809</v>
      </c>
      <c r="H36" s="20" t="n">
        <v>1.7788706</v>
      </c>
      <c r="I36" s="18" t="n">
        <v>0</v>
      </c>
      <c r="J36" s="20" t="n">
        <v>0</v>
      </c>
      <c r="K36" s="18" t="n">
        <v>1.33117977</v>
      </c>
      <c r="L36" s="20" t="n">
        <v>0.47538259</v>
      </c>
      <c r="M36" s="18" t="n">
        <v>0</v>
      </c>
      <c r="N36" s="20" t="n">
        <v>0</v>
      </c>
      <c r="O36" s="18" t="n">
        <v>0</v>
      </c>
      <c r="P36" s="20" t="n">
        <v>0</v>
      </c>
      <c r="Q36" s="18" t="n">
        <v>1.29128288</v>
      </c>
      <c r="R36" s="20" t="n">
        <v>0.42504323</v>
      </c>
    </row>
    <row r="37" spans="1:18">
      <c r="A37" s="15" t="s">
        <v>595</v>
      </c>
      <c r="B37" s="17" t="n">
        <v>2731</v>
      </c>
      <c r="C37" s="18">
        <f>(2181.0/B37*100)</f>
        <v/>
      </c>
      <c r="D37" s="19" t="n">
        <v>550</v>
      </c>
      <c r="E37" s="18" t="n">
        <v>54.58349068</v>
      </c>
      <c r="F37" s="20" t="n">
        <v>1.97176533</v>
      </c>
      <c r="G37" s="18" t="n">
        <v>38.03543693</v>
      </c>
      <c r="H37" s="20" t="n">
        <v>2.01192586</v>
      </c>
      <c r="I37" s="18" t="n">
        <v>0</v>
      </c>
      <c r="J37" s="20" t="n">
        <v>0</v>
      </c>
      <c r="K37" s="18" t="n">
        <v>5.59276802</v>
      </c>
      <c r="L37" s="20" t="n">
        <v>1.10749233</v>
      </c>
      <c r="M37" s="18" t="n">
        <v>0</v>
      </c>
      <c r="N37" s="20" t="n">
        <v>0</v>
      </c>
      <c r="O37" s="18" t="n">
        <v>0</v>
      </c>
      <c r="P37" s="20" t="n">
        <v>0</v>
      </c>
      <c r="Q37" s="18" t="n">
        <v>1.78830437</v>
      </c>
      <c r="R37" s="20" t="n">
        <v>0.56071969</v>
      </c>
    </row>
    <row r="38" spans="1:18">
      <c r="A38" s="15" t="s">
        <v>596</v>
      </c>
      <c r="B38" s="17" t="n">
        <v>2807</v>
      </c>
      <c r="C38" s="18">
        <f>(2189.0/B38*100)</f>
        <v/>
      </c>
      <c r="D38" s="19" t="n">
        <v>618</v>
      </c>
      <c r="E38" s="18" t="n">
        <v>64.85122823</v>
      </c>
      <c r="F38" s="20" t="n">
        <v>2.28050185</v>
      </c>
      <c r="G38" s="18" t="n">
        <v>31.85379645</v>
      </c>
      <c r="H38" s="20" t="n">
        <v>2.18145153</v>
      </c>
      <c r="I38" s="18" t="n">
        <v>0</v>
      </c>
      <c r="J38" s="20" t="n">
        <v>0</v>
      </c>
      <c r="K38" s="18" t="n">
        <v>1.99288413</v>
      </c>
      <c r="L38" s="20" t="n">
        <v>0.71969725</v>
      </c>
      <c r="M38" s="18" t="n">
        <v>0</v>
      </c>
      <c r="N38" s="20" t="n">
        <v>0</v>
      </c>
      <c r="O38" s="18" t="n">
        <v>0</v>
      </c>
      <c r="P38" s="20" t="n">
        <v>0</v>
      </c>
      <c r="Q38" s="18" t="n">
        <v>1.30209118</v>
      </c>
      <c r="R38" s="20" t="n">
        <v>0.45846913</v>
      </c>
    </row>
    <row r="39" spans="1:18">
      <c r="A39" s="15" t="s">
        <v>597</v>
      </c>
      <c r="B39" s="17" t="n">
        <v>2938</v>
      </c>
      <c r="C39" s="18">
        <f>(2275.0/B39*100)</f>
        <v/>
      </c>
      <c r="D39" s="19" t="n">
        <v>663</v>
      </c>
      <c r="E39" s="18" t="n">
        <v>69.23940822</v>
      </c>
      <c r="F39" s="20" t="n">
        <v>1.85629434</v>
      </c>
      <c r="G39" s="18" t="n">
        <v>28.28614997</v>
      </c>
      <c r="H39" s="20" t="n">
        <v>1.99152999</v>
      </c>
      <c r="I39" s="18" t="n">
        <v>0</v>
      </c>
      <c r="J39" s="20" t="n">
        <v>0</v>
      </c>
      <c r="K39" s="18" t="n">
        <v>1.62434369</v>
      </c>
      <c r="L39" s="20" t="n">
        <v>0.59168727</v>
      </c>
      <c r="M39" s="18" t="n">
        <v>0</v>
      </c>
      <c r="N39" s="20" t="n">
        <v>0</v>
      </c>
      <c r="O39" s="18" t="n">
        <v>0</v>
      </c>
      <c r="P39" s="20" t="n">
        <v>0</v>
      </c>
      <c r="Q39" s="18" t="n">
        <v>0.85009812</v>
      </c>
      <c r="R39" s="20" t="n">
        <v>0.39978088</v>
      </c>
    </row>
    <row r="40" spans="1:18">
      <c r="A40" s="15" t="s">
        <v>598</v>
      </c>
      <c r="B40" s="17" t="n">
        <v>6922</v>
      </c>
      <c r="C40" s="18">
        <f>(5488.0/B40*100)</f>
        <v/>
      </c>
      <c r="D40" s="19" t="n">
        <v>1434</v>
      </c>
      <c r="E40" s="18" t="n">
        <v>56.47612712</v>
      </c>
      <c r="F40" s="20" t="n">
        <v>1.9579868</v>
      </c>
      <c r="G40" s="18" t="n">
        <v>41.32675515</v>
      </c>
      <c r="H40" s="20" t="n">
        <v>2.0668938</v>
      </c>
      <c r="I40" s="18" t="n">
        <v>0</v>
      </c>
      <c r="J40" s="20" t="n">
        <v>0</v>
      </c>
      <c r="K40" s="18" t="n">
        <v>0.9996615599999999</v>
      </c>
      <c r="L40" s="20" t="n">
        <v>0.35010185</v>
      </c>
      <c r="M40" s="18" t="n">
        <v>0</v>
      </c>
      <c r="N40" s="20" t="n">
        <v>0</v>
      </c>
      <c r="O40" s="18" t="n">
        <v>0</v>
      </c>
      <c r="P40" s="20" t="n">
        <v>0</v>
      </c>
      <c r="Q40" s="18" t="n">
        <v>1.19745617</v>
      </c>
      <c r="R40" s="20" t="n">
        <v>0.46364842</v>
      </c>
    </row>
    <row r="41" spans="1:18">
      <c r="A41" s="15" t="s">
        <v>599</v>
      </c>
      <c r="B41" s="17" t="n">
        <v>2854</v>
      </c>
      <c r="C41" s="18">
        <f>(2227.0/B41*100)</f>
        <v/>
      </c>
      <c r="D41" s="19" t="n">
        <v>627</v>
      </c>
      <c r="E41" s="18" t="n">
        <v>53.07813749</v>
      </c>
      <c r="F41" s="20" t="n">
        <v>2.21150422</v>
      </c>
      <c r="G41" s="18" t="n">
        <v>45.12903873</v>
      </c>
      <c r="H41" s="20" t="n">
        <v>2.2091548</v>
      </c>
      <c r="I41" s="18" t="n">
        <v>0</v>
      </c>
      <c r="J41" s="20" t="n">
        <v>0</v>
      </c>
      <c r="K41" s="18" t="n">
        <v>0.90848516</v>
      </c>
      <c r="L41" s="20" t="n">
        <v>0.40341862</v>
      </c>
      <c r="M41" s="18" t="n">
        <v>0</v>
      </c>
      <c r="N41" s="20" t="n">
        <v>0</v>
      </c>
      <c r="O41" s="18" t="n">
        <v>0</v>
      </c>
      <c r="P41" s="20" t="n">
        <v>0</v>
      </c>
      <c r="Q41" s="18" t="n">
        <v>0.88433862</v>
      </c>
      <c r="R41" s="20" t="n">
        <v>0.37292691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(10275.0/B46*100)</f>
        <v/>
      </c>
      <c r="D46" s="19" t="n">
        <v>1798</v>
      </c>
      <c r="E46" s="18" t="n">
        <v>64.79235475</v>
      </c>
      <c r="F46" s="20" t="n">
        <v>1.34216405</v>
      </c>
      <c r="G46" s="18" t="n">
        <v>28.32103145</v>
      </c>
      <c r="H46" s="20" t="n">
        <v>1.26204434</v>
      </c>
      <c r="I46" s="18" t="n">
        <v>0</v>
      </c>
      <c r="J46" s="20" t="n">
        <v>0</v>
      </c>
      <c r="K46" s="18" t="n">
        <v>4.17097315</v>
      </c>
      <c r="L46" s="20" t="n">
        <v>0.63059154</v>
      </c>
      <c r="M46" s="18" t="n">
        <v>0</v>
      </c>
      <c r="N46" s="20" t="n">
        <v>0</v>
      </c>
      <c r="O46" s="18" t="n">
        <v>0</v>
      </c>
      <c r="P46" s="20" t="n">
        <v>0</v>
      </c>
      <c r="Q46" s="18" t="n">
        <v>2.71564064</v>
      </c>
      <c r="R46" s="20" t="n">
        <v>0.4747057</v>
      </c>
    </row>
    <row r="47" spans="1:18">
      <c r="A47" s="15" t="s">
        <v>606</v>
      </c>
      <c r="B47" s="17" t="n">
        <v>2823</v>
      </c>
      <c r="C47" s="18">
        <f>(2243.0/B47*100)</f>
        <v/>
      </c>
      <c r="D47" s="19" t="n">
        <v>580</v>
      </c>
      <c r="E47" s="18" t="n">
        <v>72.40711425000001</v>
      </c>
      <c r="F47" s="20" t="n">
        <v>1.77740007</v>
      </c>
      <c r="G47" s="18" t="n">
        <v>24.66891848</v>
      </c>
      <c r="H47" s="20" t="n">
        <v>1.59606725</v>
      </c>
      <c r="I47" s="18" t="n">
        <v>0</v>
      </c>
      <c r="J47" s="20" t="n">
        <v>0</v>
      </c>
      <c r="K47" s="18" t="n">
        <v>1.73600045</v>
      </c>
      <c r="L47" s="20" t="n">
        <v>0.54988811</v>
      </c>
      <c r="M47" s="18" t="n">
        <v>0</v>
      </c>
      <c r="N47" s="20" t="n">
        <v>0</v>
      </c>
      <c r="O47" s="18" t="n">
        <v>0</v>
      </c>
      <c r="P47" s="20" t="n">
        <v>0</v>
      </c>
      <c r="Q47" s="18" t="n">
        <v>1.18796681</v>
      </c>
      <c r="R47" s="20" t="n">
        <v>0.49084271</v>
      </c>
    </row>
    <row r="48" spans="1:18">
      <c r="A48" s="15" t="s">
        <v>607</v>
      </c>
      <c r="B48" s="17" t="n">
        <v>4682</v>
      </c>
      <c r="C48" s="18">
        <f>(3644.0/B48*100)</f>
        <v/>
      </c>
      <c r="D48" s="19" t="n">
        <v>1038</v>
      </c>
      <c r="E48" s="18" t="n">
        <v>56.28127621</v>
      </c>
      <c r="F48" s="20" t="n">
        <v>1.99971671</v>
      </c>
      <c r="G48" s="18" t="n">
        <v>41.23388839</v>
      </c>
      <c r="H48" s="20" t="n">
        <v>2.02412715</v>
      </c>
      <c r="I48" s="18" t="n">
        <v>0</v>
      </c>
      <c r="J48" s="20" t="n">
        <v>0</v>
      </c>
      <c r="K48" s="18" t="n">
        <v>1.81744532</v>
      </c>
      <c r="L48" s="20" t="n">
        <v>0.59117765</v>
      </c>
      <c r="M48" s="18" t="n">
        <v>0</v>
      </c>
      <c r="N48" s="20" t="n">
        <v>0</v>
      </c>
      <c r="O48" s="18" t="n">
        <v>0</v>
      </c>
      <c r="P48" s="20" t="n">
        <v>0</v>
      </c>
      <c r="Q48" s="18" t="n">
        <v>0.66739008</v>
      </c>
      <c r="R48" s="20" t="n">
        <v>0.32536695</v>
      </c>
    </row>
    <row r="49" spans="1:18">
      <c r="A49" s="15" t="s">
        <v>608</v>
      </c>
      <c r="B49" s="17" t="n">
        <v>6158</v>
      </c>
      <c r="C49" s="18">
        <f>(4915.0/B49*100)</f>
        <v/>
      </c>
      <c r="D49" s="19" t="n">
        <v>1243</v>
      </c>
      <c r="E49" s="18" t="n">
        <v>66.47264411</v>
      </c>
      <c r="F49" s="20" t="n">
        <v>1.5810515</v>
      </c>
      <c r="G49" s="18" t="n">
        <v>27.9584137</v>
      </c>
      <c r="H49" s="20" t="n">
        <v>1.61552453</v>
      </c>
      <c r="I49" s="18" t="n">
        <v>0</v>
      </c>
      <c r="J49" s="20" t="n">
        <v>0</v>
      </c>
      <c r="K49" s="18" t="n">
        <v>4.79069522</v>
      </c>
      <c r="L49" s="20" t="n">
        <v>0.81166752</v>
      </c>
      <c r="M49" s="18" t="n">
        <v>0</v>
      </c>
      <c r="N49" s="20" t="n">
        <v>0</v>
      </c>
      <c r="O49" s="18" t="n">
        <v>0</v>
      </c>
      <c r="P49" s="20" t="n">
        <v>0</v>
      </c>
      <c r="Q49" s="18" t="n">
        <v>0.77824697</v>
      </c>
      <c r="R49" s="20" t="n">
        <v>0.27447948</v>
      </c>
    </row>
    <row r="50" spans="1:18">
      <c r="A50" s="15" t="s">
        <v>609</v>
      </c>
      <c r="B50" s="17" t="n">
        <v>3494</v>
      </c>
      <c r="C50" s="18">
        <f>(2842.0/B50*100)</f>
        <v/>
      </c>
      <c r="D50" s="19" t="n">
        <v>652</v>
      </c>
      <c r="E50" s="18" t="n">
        <v>60.17963896</v>
      </c>
      <c r="F50" s="20" t="n">
        <v>1.89649386</v>
      </c>
      <c r="G50" s="18" t="n">
        <v>35.39121579</v>
      </c>
      <c r="H50" s="20" t="n">
        <v>1.98825002</v>
      </c>
      <c r="I50" s="18" t="n">
        <v>0</v>
      </c>
      <c r="J50" s="20" t="n">
        <v>0</v>
      </c>
      <c r="K50" s="18" t="n">
        <v>1.9195776</v>
      </c>
      <c r="L50" s="20" t="n">
        <v>0.64892335</v>
      </c>
      <c r="M50" s="18" t="n">
        <v>0</v>
      </c>
      <c r="N50" s="20" t="n">
        <v>0</v>
      </c>
      <c r="O50" s="18" t="n">
        <v>0</v>
      </c>
      <c r="P50" s="20" t="n">
        <v>0</v>
      </c>
      <c r="Q50" s="18" t="n">
        <v>2.50956766</v>
      </c>
      <c r="R50" s="20" t="n">
        <v>0.88073662</v>
      </c>
    </row>
    <row r="51" spans="1:18">
      <c r="A51" s="15" t="s">
        <v>610</v>
      </c>
      <c r="B51" s="17" t="n">
        <v>3013</v>
      </c>
      <c r="C51" s="18">
        <f>(2374.0/B51*100)</f>
        <v/>
      </c>
      <c r="D51" s="19" t="n">
        <v>639</v>
      </c>
      <c r="E51" s="18" t="n">
        <v>66.02042702999999</v>
      </c>
      <c r="F51" s="20" t="n">
        <v>2.10669869</v>
      </c>
      <c r="G51" s="18" t="n">
        <v>31.59504903</v>
      </c>
      <c r="H51" s="20" t="n">
        <v>2.09037304</v>
      </c>
      <c r="I51" s="18" t="n">
        <v>0</v>
      </c>
      <c r="J51" s="20" t="n">
        <v>0</v>
      </c>
      <c r="K51" s="18" t="n">
        <v>2.08703459</v>
      </c>
      <c r="L51" s="20" t="n">
        <v>0.5428006</v>
      </c>
      <c r="M51" s="18" t="n">
        <v>0</v>
      </c>
      <c r="N51" s="20" t="n">
        <v>0</v>
      </c>
      <c r="O51" s="18" t="n">
        <v>0</v>
      </c>
      <c r="P51" s="20" t="n">
        <v>0</v>
      </c>
      <c r="Q51" s="18" t="n">
        <v>0.29748935</v>
      </c>
      <c r="R51" s="20" t="n">
        <v>0.21163965</v>
      </c>
    </row>
    <row r="52" spans="1:18">
      <c r="A52" s="15" t="s">
        <v>611</v>
      </c>
      <c r="B52" s="17" t="n">
        <v>2760</v>
      </c>
      <c r="C52" s="18">
        <f>(2156.0/B52*100)</f>
        <v/>
      </c>
      <c r="D52" s="19" t="n">
        <v>604</v>
      </c>
      <c r="E52" s="18" t="n">
        <v>73.91704109</v>
      </c>
      <c r="F52" s="20" t="n">
        <v>1.80093771</v>
      </c>
      <c r="G52" s="18" t="n">
        <v>22.99967896</v>
      </c>
      <c r="H52" s="20" t="n">
        <v>1.90189234</v>
      </c>
      <c r="I52" s="18" t="n">
        <v>0</v>
      </c>
      <c r="J52" s="20" t="n">
        <v>0</v>
      </c>
      <c r="K52" s="18" t="n">
        <v>1.96165837</v>
      </c>
      <c r="L52" s="20" t="n">
        <v>0.44259927</v>
      </c>
      <c r="M52" s="18" t="n">
        <v>0</v>
      </c>
      <c r="N52" s="20" t="n">
        <v>0</v>
      </c>
      <c r="O52" s="18" t="n">
        <v>0</v>
      </c>
      <c r="P52" s="20" t="n">
        <v>0</v>
      </c>
      <c r="Q52" s="18" t="n">
        <v>1.12162158</v>
      </c>
      <c r="R52" s="20" t="n">
        <v>0.43238999</v>
      </c>
    </row>
    <row r="53" spans="1:18">
      <c r="A53" s="15" t="s">
        <v>612</v>
      </c>
      <c r="B53" s="17" t="n">
        <v>2474</v>
      </c>
      <c r="C53" s="18">
        <f>(1946.0/B53*100)</f>
        <v/>
      </c>
      <c r="D53" s="19" t="n">
        <v>528</v>
      </c>
      <c r="E53" s="18" t="n">
        <v>45.34151391</v>
      </c>
      <c r="F53" s="20" t="n">
        <v>2.45825176</v>
      </c>
      <c r="G53" s="18" t="n">
        <v>25.24077433</v>
      </c>
      <c r="H53" s="20" t="n">
        <v>2.11052211</v>
      </c>
      <c r="I53" s="18" t="n">
        <v>0</v>
      </c>
      <c r="J53" s="20" t="n">
        <v>0</v>
      </c>
      <c r="K53" s="18" t="n">
        <v>26.33799815</v>
      </c>
      <c r="L53" s="20" t="n">
        <v>2.52865226</v>
      </c>
      <c r="M53" s="18" t="n">
        <v>0</v>
      </c>
      <c r="N53" s="20" t="n">
        <v>0</v>
      </c>
      <c r="O53" s="18" t="n">
        <v>0</v>
      </c>
      <c r="P53" s="20" t="n">
        <v>0</v>
      </c>
      <c r="Q53" s="18" t="n">
        <v>3.07971361</v>
      </c>
      <c r="R53" s="20" t="n">
        <v>0.78089324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(2050.0/B55*100)</f>
        <v/>
      </c>
      <c r="D55" s="19" t="n">
        <v>625</v>
      </c>
      <c r="E55" s="18" t="n">
        <v>50.94312092</v>
      </c>
      <c r="F55" s="20" t="n">
        <v>1.80847456</v>
      </c>
      <c r="G55" s="18" t="n">
        <v>48.0643063</v>
      </c>
      <c r="H55" s="20" t="n">
        <v>1.86215511</v>
      </c>
      <c r="I55" s="18" t="n">
        <v>0</v>
      </c>
      <c r="J55" s="20" t="n">
        <v>0</v>
      </c>
      <c r="K55" s="18" t="n">
        <v>0.66115787</v>
      </c>
      <c r="L55" s="20" t="n">
        <v>0.43778043</v>
      </c>
      <c r="M55" s="18" t="n">
        <v>0</v>
      </c>
      <c r="N55" s="20" t="n">
        <v>0</v>
      </c>
      <c r="O55" s="18" t="n">
        <v>0</v>
      </c>
      <c r="P55" s="20" t="n">
        <v>0</v>
      </c>
      <c r="Q55" s="18" t="n">
        <v>0.33141491</v>
      </c>
      <c r="R55" s="20" t="n">
        <v>0.23705295</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(2489.0/B61*100)</f>
        <v/>
      </c>
      <c r="D61" s="19" t="n">
        <v>712</v>
      </c>
      <c r="E61" s="18" t="n">
        <v>68.55097678</v>
      </c>
      <c r="F61" s="20" t="n">
        <v>1.85451565</v>
      </c>
      <c r="G61" s="18" t="n">
        <v>29.14761975</v>
      </c>
      <c r="H61" s="20" t="n">
        <v>1.80260425</v>
      </c>
      <c r="I61" s="18" t="n">
        <v>0</v>
      </c>
      <c r="J61" s="20" t="n">
        <v>0</v>
      </c>
      <c r="K61" s="18" t="n">
        <v>0.7929108499999999</v>
      </c>
      <c r="L61" s="20" t="n">
        <v>0.32699356</v>
      </c>
      <c r="M61" s="18" t="n">
        <v>0</v>
      </c>
      <c r="N61" s="20" t="n">
        <v>0</v>
      </c>
      <c r="O61" s="18" t="n">
        <v>0</v>
      </c>
      <c r="P61" s="20" t="n">
        <v>0</v>
      </c>
      <c r="Q61" s="18" t="n">
        <v>1.50849262</v>
      </c>
      <c r="R61" s="20" t="n">
        <v>0.50549183</v>
      </c>
    </row>
    <row r="62" spans="1:18">
      <c r="A62" s="15" t="s">
        <v>622</v>
      </c>
      <c r="B62" s="17" t="n">
        <v>2230</v>
      </c>
      <c r="C62" s="18">
        <f>(1759.0/B62*100)</f>
        <v/>
      </c>
      <c r="D62" s="19" t="n">
        <v>471</v>
      </c>
      <c r="E62" s="18" t="n">
        <v>57.15140785</v>
      </c>
      <c r="F62" s="20" t="n">
        <v>2.35774546</v>
      </c>
      <c r="G62" s="18" t="n">
        <v>42.84859215</v>
      </c>
      <c r="H62" s="20" t="n">
        <v>2.35774546</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(2197.0/B67*100)</f>
        <v/>
      </c>
      <c r="D67" s="19" t="n">
        <v>574</v>
      </c>
      <c r="E67" s="18" t="n">
        <v>70.43460193</v>
      </c>
      <c r="F67" s="20" t="n">
        <v>1.98658299</v>
      </c>
      <c r="G67" s="18" t="n">
        <v>20.46829465</v>
      </c>
      <c r="H67" s="20" t="n">
        <v>1.7366236</v>
      </c>
      <c r="I67" s="18" t="n">
        <v>0</v>
      </c>
      <c r="J67" s="20" t="n">
        <v>0</v>
      </c>
      <c r="K67" s="18" t="n">
        <v>4.82539281</v>
      </c>
      <c r="L67" s="20" t="n">
        <v>0.92831684</v>
      </c>
      <c r="M67" s="18" t="n">
        <v>0</v>
      </c>
      <c r="N67" s="20" t="n">
        <v>0</v>
      </c>
      <c r="O67" s="18" t="n">
        <v>0</v>
      </c>
      <c r="P67" s="20" t="n">
        <v>0</v>
      </c>
      <c r="Q67" s="18" t="n">
        <v>4.27171061</v>
      </c>
      <c r="R67" s="20" t="n">
        <v>0.86881732</v>
      </c>
    </row>
    <row r="68" spans="1:18">
      <c r="A68" s="15" t="s">
        <v>628</v>
      </c>
      <c r="B68" s="17" t="n">
        <v>3460</v>
      </c>
      <c r="C68" s="18">
        <f>(2882.0/B68*100)</f>
        <v/>
      </c>
      <c r="D68" s="19" t="n">
        <v>578</v>
      </c>
      <c r="E68" s="18" t="n">
        <v>73.5579628</v>
      </c>
      <c r="F68" s="20" t="n">
        <v>1.86446265</v>
      </c>
      <c r="G68" s="18" t="n">
        <v>24.15492282</v>
      </c>
      <c r="H68" s="20" t="n">
        <v>1.77853281</v>
      </c>
      <c r="I68" s="18" t="n">
        <v>0</v>
      </c>
      <c r="J68" s="20" t="n">
        <v>0</v>
      </c>
      <c r="K68" s="18" t="n">
        <v>1.06483017</v>
      </c>
      <c r="L68" s="20" t="n">
        <v>0.46302312</v>
      </c>
      <c r="M68" s="18" t="n">
        <v>0</v>
      </c>
      <c r="N68" s="20" t="n">
        <v>0</v>
      </c>
      <c r="O68" s="18" t="n">
        <v>0</v>
      </c>
      <c r="P68" s="20" t="n">
        <v>0</v>
      </c>
      <c r="Q68" s="18" t="n">
        <v>1.2222842</v>
      </c>
      <c r="R68" s="20" t="n">
        <v>0.40157021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(4654.0/B70*100)</f>
        <v/>
      </c>
      <c r="D70" s="19" t="n">
        <v>1380</v>
      </c>
      <c r="E70" s="18" t="n">
        <v>58.06496593</v>
      </c>
      <c r="F70" s="20" t="n">
        <v>1.30307767</v>
      </c>
      <c r="G70" s="18" t="n">
        <v>35.06361521</v>
      </c>
      <c r="H70" s="20" t="n">
        <v>1.15370109</v>
      </c>
      <c r="I70" s="18" t="n">
        <v>0</v>
      </c>
      <c r="J70" s="20" t="n">
        <v>0</v>
      </c>
      <c r="K70" s="18" t="n">
        <v>5.83422336</v>
      </c>
      <c r="L70" s="20" t="n">
        <v>0.6725047199999999</v>
      </c>
      <c r="M70" s="18" t="n">
        <v>0</v>
      </c>
      <c r="N70" s="20" t="n">
        <v>0</v>
      </c>
      <c r="O70" s="18" t="n">
        <v>0</v>
      </c>
      <c r="P70" s="20" t="n">
        <v>0</v>
      </c>
      <c r="Q70" s="18" t="n">
        <v>1.0371955</v>
      </c>
      <c r="R70" s="20" t="n">
        <v>0.29224343</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(2543.0/B72*100)</f>
        <v/>
      </c>
      <c r="D72" s="19" t="n">
        <v>564</v>
      </c>
      <c r="E72" s="18" t="n">
        <v>65.72957642999999</v>
      </c>
      <c r="F72" s="20" t="n">
        <v>2.09494846</v>
      </c>
      <c r="G72" s="18" t="n">
        <v>30.6675545</v>
      </c>
      <c r="H72" s="20" t="n">
        <v>2.33618934</v>
      </c>
      <c r="I72" s="18" t="n">
        <v>0</v>
      </c>
      <c r="J72" s="20" t="n">
        <v>0</v>
      </c>
      <c r="K72" s="18" t="n">
        <v>1.80157797</v>
      </c>
      <c r="L72" s="20" t="n">
        <v>0.53434826</v>
      </c>
      <c r="M72" s="18" t="n">
        <v>0</v>
      </c>
      <c r="N72" s="20" t="n">
        <v>0</v>
      </c>
      <c r="O72" s="18" t="n">
        <v>0</v>
      </c>
      <c r="P72" s="20" t="n">
        <v>0</v>
      </c>
      <c r="Q72" s="18" t="n">
        <v>1.80129109</v>
      </c>
      <c r="R72" s="20" t="n">
        <v>0.50107565</v>
      </c>
    </row>
    <row r="73" spans="1:18">
      <c r="A73" s="15" t="s">
        <v>633</v>
      </c>
      <c r="B73" s="17" t="n">
        <v>2973</v>
      </c>
      <c r="C73" s="18">
        <f>(2337.0/B73*100)</f>
        <v/>
      </c>
      <c r="D73" s="19" t="n">
        <v>636</v>
      </c>
      <c r="E73" s="18" t="n">
        <v>54.79466219</v>
      </c>
      <c r="F73" s="20" t="n">
        <v>2.07966078</v>
      </c>
      <c r="G73" s="18" t="n">
        <v>44.24722287</v>
      </c>
      <c r="H73" s="20" t="n">
        <v>2.18247466</v>
      </c>
      <c r="I73" s="18" t="n">
        <v>0</v>
      </c>
      <c r="J73" s="20" t="n">
        <v>0</v>
      </c>
      <c r="K73" s="18" t="n">
        <v>0.95811494</v>
      </c>
      <c r="L73" s="20" t="n">
        <v>0.43345236</v>
      </c>
      <c r="M73" s="18" t="n">
        <v>0</v>
      </c>
      <c r="N73" s="20" t="n">
        <v>0</v>
      </c>
      <c r="O73" s="18" t="n">
        <v>0</v>
      </c>
      <c r="P73" s="20" t="n">
        <v>0</v>
      </c>
      <c r="Q73" s="18" t="n">
        <v>0</v>
      </c>
      <c r="R73" s="20" t="n">
        <v>0</v>
      </c>
    </row>
    <row r="74" spans="1:18">
      <c r="A74" s="15" t="s">
        <v>634</v>
      </c>
      <c r="B74" s="17" t="n">
        <v>3819</v>
      </c>
      <c r="C74" s="18">
        <f>(2978.0/B74*100)</f>
        <v/>
      </c>
      <c r="D74" s="19" t="n">
        <v>841</v>
      </c>
      <c r="E74" s="18" t="n">
        <v>36.1242849</v>
      </c>
      <c r="F74" s="20" t="n">
        <v>1.73785152</v>
      </c>
      <c r="G74" s="18" t="n">
        <v>63.63846187</v>
      </c>
      <c r="H74" s="20" t="n">
        <v>1.71956056</v>
      </c>
      <c r="I74" s="18" t="n">
        <v>0</v>
      </c>
      <c r="J74" s="20" t="n">
        <v>0</v>
      </c>
      <c r="K74" s="18" t="n">
        <v>0.08618136</v>
      </c>
      <c r="L74" s="20" t="n">
        <v>0.08667208</v>
      </c>
      <c r="M74" s="18" t="n">
        <v>0</v>
      </c>
      <c r="N74" s="20" t="n">
        <v>0</v>
      </c>
      <c r="O74" s="18" t="n">
        <v>0</v>
      </c>
      <c r="P74" s="20" t="n">
        <v>0</v>
      </c>
      <c r="Q74" s="18" t="n">
        <v>0.15107187</v>
      </c>
      <c r="R74" s="20" t="n">
        <v>0.15171314</v>
      </c>
    </row>
    <row r="75" spans="1:18">
      <c r="A75" s="15" t="s">
        <v>635</v>
      </c>
      <c r="B75" s="17" t="n">
        <v>4652</v>
      </c>
      <c r="C75" s="18">
        <f>(3729.0/B75*100)</f>
        <v/>
      </c>
      <c r="D75" s="19" t="n">
        <v>923</v>
      </c>
      <c r="E75" s="18" t="n">
        <v>55.10604567</v>
      </c>
      <c r="F75" s="20" t="n">
        <v>2.02105614</v>
      </c>
      <c r="G75" s="18" t="n">
        <v>44.6858462</v>
      </c>
      <c r="H75" s="20" t="n">
        <v>2.04380231</v>
      </c>
      <c r="I75" s="18" t="n">
        <v>0</v>
      </c>
      <c r="J75" s="20" t="n">
        <v>0</v>
      </c>
      <c r="K75" s="18" t="n">
        <v>0.0550027</v>
      </c>
      <c r="L75" s="20" t="n">
        <v>0.05549826</v>
      </c>
      <c r="M75" s="18" t="n">
        <v>0</v>
      </c>
      <c r="N75" s="20" t="n">
        <v>0</v>
      </c>
      <c r="O75" s="18" t="n">
        <v>0</v>
      </c>
      <c r="P75" s="20" t="n">
        <v>0</v>
      </c>
      <c r="Q75" s="18" t="n">
        <v>0.15310543</v>
      </c>
      <c r="R75" s="20" t="n">
        <v>0.14921529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(2430.0/B77*100)</f>
        <v/>
      </c>
      <c r="D77" s="19" t="n">
        <v>539</v>
      </c>
      <c r="E77" s="18" t="n">
        <v>65.84993876999999</v>
      </c>
      <c r="F77" s="20" t="n">
        <v>2.18383052</v>
      </c>
      <c r="G77" s="18" t="n">
        <v>22.97050677</v>
      </c>
      <c r="H77" s="20" t="n">
        <v>2.11161266</v>
      </c>
      <c r="I77" s="18" t="n">
        <v>0</v>
      </c>
      <c r="J77" s="20" t="n">
        <v>0</v>
      </c>
      <c r="K77" s="18" t="n">
        <v>9.24052657</v>
      </c>
      <c r="L77" s="20" t="n">
        <v>1.49712541</v>
      </c>
      <c r="M77" s="18" t="n">
        <v>0</v>
      </c>
      <c r="N77" s="20" t="n">
        <v>0</v>
      </c>
      <c r="O77" s="18" t="n">
        <v>0</v>
      </c>
      <c r="P77" s="20" t="n">
        <v>0</v>
      </c>
      <c r="Q77" s="18" t="n">
        <v>1.93902789</v>
      </c>
      <c r="R77" s="20" t="n">
        <v>0.63975501</v>
      </c>
    </row>
    <row r="78" spans="1:18">
      <c r="A78" s="15" t="s">
        <v>638</v>
      </c>
      <c r="B78" s="17" t="n">
        <v>7115</v>
      </c>
      <c r="C78" s="18">
        <f>(5586.0/B78*100)</f>
        <v/>
      </c>
      <c r="D78" s="19" t="n">
        <v>1529</v>
      </c>
      <c r="E78" s="18" t="n">
        <v>61.82857555</v>
      </c>
      <c r="F78" s="20" t="n">
        <v>1.72642935</v>
      </c>
      <c r="G78" s="18" t="n">
        <v>35.2456417</v>
      </c>
      <c r="H78" s="20" t="n">
        <v>1.71101399</v>
      </c>
      <c r="I78" s="18" t="n">
        <v>0</v>
      </c>
      <c r="J78" s="20" t="n">
        <v>0</v>
      </c>
      <c r="K78" s="18" t="n">
        <v>1.98119074</v>
      </c>
      <c r="L78" s="20" t="n">
        <v>0.46171409</v>
      </c>
      <c r="M78" s="18" t="n">
        <v>0</v>
      </c>
      <c r="N78" s="20" t="n">
        <v>0</v>
      </c>
      <c r="O78" s="18" t="n">
        <v>0</v>
      </c>
      <c r="P78" s="20" t="n">
        <v>0</v>
      </c>
      <c r="Q78" s="18" t="n">
        <v>0.94459201</v>
      </c>
      <c r="R78" s="20" t="n">
        <v>0.3208758</v>
      </c>
    </row>
    <row r="79" spans="1:18">
      <c r="A79" s="15" t="s">
        <v>639</v>
      </c>
      <c r="B79" s="17" t="n">
        <v>3154</v>
      </c>
      <c r="C79" s="18">
        <f>(2509.0/B79*100)</f>
        <v/>
      </c>
      <c r="D79" s="19" t="n">
        <v>645</v>
      </c>
      <c r="E79" s="18" t="n">
        <v>60.64613265</v>
      </c>
      <c r="F79" s="20" t="n">
        <v>1.69144204</v>
      </c>
      <c r="G79" s="18" t="n">
        <v>32.14033555</v>
      </c>
      <c r="H79" s="20" t="n">
        <v>1.76929876</v>
      </c>
      <c r="I79" s="18" t="n">
        <v>0</v>
      </c>
      <c r="J79" s="20" t="n">
        <v>0</v>
      </c>
      <c r="K79" s="18" t="n">
        <v>4.7460979</v>
      </c>
      <c r="L79" s="20" t="n">
        <v>0.81163207</v>
      </c>
      <c r="M79" s="18" t="n">
        <v>0</v>
      </c>
      <c r="N79" s="20" t="n">
        <v>0</v>
      </c>
      <c r="O79" s="18" t="n">
        <v>0</v>
      </c>
      <c r="P79" s="20" t="n">
        <v>0</v>
      </c>
      <c r="Q79" s="18" t="n">
        <v>2.4674339</v>
      </c>
      <c r="R79" s="20" t="n">
        <v>0.6752993</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(12591.0/B82*100)</f>
        <v/>
      </c>
      <c r="D82" s="19" t="n">
        <v>3370</v>
      </c>
      <c r="E82" s="18" t="n">
        <v>65.80385984999999</v>
      </c>
      <c r="F82" s="20" t="n">
        <v>1.17887858</v>
      </c>
      <c r="G82" s="18" t="n">
        <v>32.04895129</v>
      </c>
      <c r="H82" s="20" t="n">
        <v>1.14995662</v>
      </c>
      <c r="I82" s="18" t="n">
        <v>0</v>
      </c>
      <c r="J82" s="20" t="n">
        <v>0</v>
      </c>
      <c r="K82" s="18" t="n">
        <v>1.27740859</v>
      </c>
      <c r="L82" s="20" t="n">
        <v>0.25115805</v>
      </c>
      <c r="M82" s="18" t="n">
        <v>0</v>
      </c>
      <c r="N82" s="20" t="n">
        <v>0</v>
      </c>
      <c r="O82" s="18" t="n">
        <v>0</v>
      </c>
      <c r="P82" s="20" t="n">
        <v>0</v>
      </c>
      <c r="Q82" s="18" t="n">
        <v>0.86978027</v>
      </c>
      <c r="R82" s="20" t="n">
        <v>0.25380641</v>
      </c>
    </row>
    <row r="83" spans="1:18">
      <c r="A83" s="15" t="s">
        <v>643</v>
      </c>
      <c r="B83" s="17" t="n">
        <v>808</v>
      </c>
      <c r="C83" s="18">
        <f>(637.0/B83*100)</f>
        <v/>
      </c>
      <c r="D83" s="19" t="n">
        <v>171</v>
      </c>
      <c r="E83" s="18" t="n">
        <v>55.37298027</v>
      </c>
      <c r="F83" s="20" t="n">
        <v>3.25701408</v>
      </c>
      <c r="G83" s="18" t="n">
        <v>43.2588619</v>
      </c>
      <c r="H83" s="20" t="n">
        <v>3.23603123</v>
      </c>
      <c r="I83" s="18" t="n">
        <v>0</v>
      </c>
      <c r="J83" s="20" t="n">
        <v>0</v>
      </c>
      <c r="K83" s="18" t="n">
        <v>0.71330684</v>
      </c>
      <c r="L83" s="20" t="n">
        <v>0.74491237</v>
      </c>
      <c r="M83" s="18" t="n">
        <v>0</v>
      </c>
      <c r="N83" s="20" t="n">
        <v>0</v>
      </c>
      <c r="O83" s="18" t="n">
        <v>0</v>
      </c>
      <c r="P83" s="20" t="n">
        <v>0</v>
      </c>
      <c r="Q83" s="18" t="n">
        <v>0.65485099</v>
      </c>
      <c r="R83" s="20" t="n">
        <v>0.66623753</v>
      </c>
    </row>
    <row r="84" spans="1:18">
      <c r="A84" s="23" t="s">
        <v>644</v>
      </c>
      <c r="B84" s="24" t="n">
        <v>938</v>
      </c>
      <c r="C84" s="25">
        <f>(740.0/B84*100)</f>
        <v/>
      </c>
      <c r="D84" s="19" t="n">
        <v>198</v>
      </c>
      <c r="E84" s="18" t="n">
        <v>55.68618389</v>
      </c>
      <c r="F84" s="20" t="n">
        <v>3.91767042</v>
      </c>
      <c r="G84" s="18" t="n">
        <v>43.75986689</v>
      </c>
      <c r="H84" s="20" t="n">
        <v>3.68328756</v>
      </c>
      <c r="I84" s="18" t="n">
        <v>0</v>
      </c>
      <c r="J84" s="20" t="n">
        <v>0</v>
      </c>
      <c r="K84" s="18" t="n">
        <v>0</v>
      </c>
      <c r="L84" s="20" t="n">
        <v>0</v>
      </c>
      <c r="M84" s="18" t="n">
        <v>0</v>
      </c>
      <c r="N84" s="20" t="n">
        <v>0</v>
      </c>
      <c r="O84" s="18" t="n">
        <v>0</v>
      </c>
      <c r="P84" s="20" t="n">
        <v>0</v>
      </c>
      <c r="Q84" s="18" t="n">
        <v>0.55394923</v>
      </c>
      <c r="R84" s="20" t="n">
        <v>0.54529434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(5683.0/B7*100)</f>
        <v/>
      </c>
      <c r="D7" s="19" t="n">
        <v>1480</v>
      </c>
      <c r="E7" s="18" t="n">
        <v>43.5971705</v>
      </c>
      <c r="F7" s="20" t="n">
        <v>1.63950147</v>
      </c>
      <c r="G7" s="18" t="n">
        <v>52.79935421</v>
      </c>
      <c r="H7" s="20" t="n">
        <v>1.61220908</v>
      </c>
      <c r="I7" s="18" t="n">
        <v>0</v>
      </c>
      <c r="J7" s="20" t="n">
        <v>0</v>
      </c>
      <c r="K7" s="18" t="n">
        <v>2.42569699</v>
      </c>
      <c r="L7" s="20" t="n">
        <v>0.46109773</v>
      </c>
      <c r="M7" s="18" t="n">
        <v>0</v>
      </c>
      <c r="N7" s="20" t="n">
        <v>0</v>
      </c>
      <c r="O7" s="18" t="n">
        <v>0</v>
      </c>
      <c r="P7" s="20" t="n">
        <v>0</v>
      </c>
      <c r="Q7" s="18" t="n">
        <v>1.1777783</v>
      </c>
      <c r="R7" s="20" t="n">
        <v>0.37874838</v>
      </c>
    </row>
    <row r="8" spans="1:18">
      <c r="A8" s="15" t="s">
        <v>566</v>
      </c>
      <c r="B8" s="17" t="n">
        <v>3443</v>
      </c>
      <c r="C8" s="18">
        <f>(2739.0/B8*100)</f>
        <v/>
      </c>
      <c r="D8" s="19" t="n">
        <v>704</v>
      </c>
      <c r="E8" s="18" t="n">
        <v>50.13692706</v>
      </c>
      <c r="F8" s="20" t="n">
        <v>1.90497774</v>
      </c>
      <c r="G8" s="18" t="n">
        <v>43.94677043</v>
      </c>
      <c r="H8" s="20" t="n">
        <v>1.92289752</v>
      </c>
      <c r="I8" s="18" t="n">
        <v>0</v>
      </c>
      <c r="J8" s="20" t="n">
        <v>0</v>
      </c>
      <c r="K8" s="18" t="n">
        <v>5.30082661</v>
      </c>
      <c r="L8" s="20" t="n">
        <v>0.94221529</v>
      </c>
      <c r="M8" s="18" t="n">
        <v>0</v>
      </c>
      <c r="N8" s="20" t="n">
        <v>0</v>
      </c>
      <c r="O8" s="18" t="n">
        <v>0</v>
      </c>
      <c r="P8" s="20" t="n">
        <v>0</v>
      </c>
      <c r="Q8" s="18" t="n">
        <v>0.6154759</v>
      </c>
      <c r="R8" s="20" t="n">
        <v>0.27866358</v>
      </c>
    </row>
    <row r="9" spans="1:18">
      <c r="A9" s="15" t="s">
        <v>567</v>
      </c>
      <c r="B9" s="17" t="n">
        <v>4752</v>
      </c>
      <c r="C9" s="18">
        <f>(3778.0/B9*100)</f>
        <v/>
      </c>
      <c r="D9" s="19" t="n">
        <v>974</v>
      </c>
      <c r="E9" s="18" t="n">
        <v>48.26529987</v>
      </c>
      <c r="F9" s="20" t="n">
        <v>1.61673927</v>
      </c>
      <c r="G9" s="18" t="n">
        <v>46.52460173</v>
      </c>
      <c r="H9" s="20" t="n">
        <v>1.68317147</v>
      </c>
      <c r="I9" s="18" t="n">
        <v>0</v>
      </c>
      <c r="J9" s="20" t="n">
        <v>0</v>
      </c>
      <c r="K9" s="18" t="n">
        <v>4.69261421</v>
      </c>
      <c r="L9" s="20" t="n">
        <v>0.6945695200000001</v>
      </c>
      <c r="M9" s="18" t="n">
        <v>0</v>
      </c>
      <c r="N9" s="20" t="n">
        <v>0</v>
      </c>
      <c r="O9" s="18" t="n">
        <v>0</v>
      </c>
      <c r="P9" s="20" t="n">
        <v>0</v>
      </c>
      <c r="Q9" s="18" t="n">
        <v>0.5174841999999999</v>
      </c>
      <c r="R9" s="20" t="n">
        <v>0.2061354</v>
      </c>
    </row>
    <row r="10" spans="1:18">
      <c r="A10" s="15" t="s">
        <v>568</v>
      </c>
      <c r="B10" s="17" t="n">
        <v>10022</v>
      </c>
      <c r="C10" s="18">
        <f>(7888.0/B10*100)</f>
        <v/>
      </c>
      <c r="D10" s="19" t="n">
        <v>2134</v>
      </c>
      <c r="E10" s="18" t="n">
        <v>44.35420823</v>
      </c>
      <c r="F10" s="20" t="n">
        <v>1.80683212</v>
      </c>
      <c r="G10" s="18" t="n">
        <v>53.33612351</v>
      </c>
      <c r="H10" s="20" t="n">
        <v>1.8666721</v>
      </c>
      <c r="I10" s="18" t="n">
        <v>0</v>
      </c>
      <c r="J10" s="20" t="n">
        <v>0</v>
      </c>
      <c r="K10" s="18" t="n">
        <v>1.91927678</v>
      </c>
      <c r="L10" s="20" t="n">
        <v>0.46679876</v>
      </c>
      <c r="M10" s="18" t="n">
        <v>0</v>
      </c>
      <c r="N10" s="20" t="n">
        <v>0</v>
      </c>
      <c r="O10" s="18" t="n">
        <v>0</v>
      </c>
      <c r="P10" s="20" t="n">
        <v>0</v>
      </c>
      <c r="Q10" s="18" t="n">
        <v>0.39039148</v>
      </c>
      <c r="R10" s="20" t="n">
        <v>0.17363622</v>
      </c>
    </row>
    <row r="11" spans="1:18">
      <c r="A11" s="15" t="s">
        <v>569</v>
      </c>
      <c r="B11" s="17" t="n">
        <v>3500</v>
      </c>
      <c r="C11" s="18">
        <f>(2806.0/B11*100)</f>
        <v/>
      </c>
      <c r="D11" s="19" t="n">
        <v>694</v>
      </c>
      <c r="E11" s="18" t="n">
        <v>54.57036382</v>
      </c>
      <c r="F11" s="20" t="n">
        <v>2.4120486</v>
      </c>
      <c r="G11" s="18" t="n">
        <v>41.13178502</v>
      </c>
      <c r="H11" s="20" t="n">
        <v>2.43096114</v>
      </c>
      <c r="I11" s="18" t="n">
        <v>0</v>
      </c>
      <c r="J11" s="20" t="n">
        <v>0</v>
      </c>
      <c r="K11" s="18" t="n">
        <v>3.14140228</v>
      </c>
      <c r="L11" s="20" t="n">
        <v>0.71976978</v>
      </c>
      <c r="M11" s="18" t="n">
        <v>0</v>
      </c>
      <c r="N11" s="20" t="n">
        <v>0</v>
      </c>
      <c r="O11" s="18" t="n">
        <v>0</v>
      </c>
      <c r="P11" s="20" t="n">
        <v>0</v>
      </c>
      <c r="Q11" s="18" t="n">
        <v>1.15644888</v>
      </c>
      <c r="R11" s="20" t="n">
        <v>0.51375983</v>
      </c>
    </row>
    <row r="12" spans="1:18">
      <c r="A12" s="15" t="s">
        <v>570</v>
      </c>
      <c r="B12" s="17" t="n">
        <v>3422</v>
      </c>
      <c r="C12" s="18">
        <f>(2679.0/B12*100)</f>
        <v/>
      </c>
      <c r="D12" s="19" t="n">
        <v>743</v>
      </c>
      <c r="E12" s="18" t="n">
        <v>50.35983597</v>
      </c>
      <c r="F12" s="20" t="n">
        <v>1.88571526</v>
      </c>
      <c r="G12" s="18" t="n">
        <v>46.94807028</v>
      </c>
      <c r="H12" s="20" t="n">
        <v>1.92535026</v>
      </c>
      <c r="I12" s="18" t="n">
        <v>0</v>
      </c>
      <c r="J12" s="20" t="n">
        <v>0</v>
      </c>
      <c r="K12" s="18" t="n">
        <v>2.63102017</v>
      </c>
      <c r="L12" s="20" t="n">
        <v>0.60316346</v>
      </c>
      <c r="M12" s="18" t="n">
        <v>0</v>
      </c>
      <c r="N12" s="20" t="n">
        <v>0</v>
      </c>
      <c r="O12" s="18" t="n">
        <v>0</v>
      </c>
      <c r="P12" s="20" t="n">
        <v>0</v>
      </c>
      <c r="Q12" s="18" t="n">
        <v>0.06107358</v>
      </c>
      <c r="R12" s="20" t="n">
        <v>0.06247602</v>
      </c>
    </row>
    <row r="13" spans="1:18">
      <c r="A13" s="15" t="s">
        <v>571</v>
      </c>
      <c r="B13" s="17" t="n">
        <v>3602</v>
      </c>
      <c r="C13" s="18">
        <f>(2860.0/B13*100)</f>
        <v/>
      </c>
      <c r="D13" s="19" t="n">
        <v>742</v>
      </c>
      <c r="E13" s="18" t="n">
        <v>51.04208182</v>
      </c>
      <c r="F13" s="20" t="n">
        <v>2.74437235</v>
      </c>
      <c r="G13" s="18" t="n">
        <v>46.32717348</v>
      </c>
      <c r="H13" s="20" t="n">
        <v>2.78877133</v>
      </c>
      <c r="I13" s="18" t="n">
        <v>0</v>
      </c>
      <c r="J13" s="20" t="n">
        <v>0</v>
      </c>
      <c r="K13" s="18" t="n">
        <v>2.36363604</v>
      </c>
      <c r="L13" s="20" t="n">
        <v>0.52582755</v>
      </c>
      <c r="M13" s="18" t="n">
        <v>0</v>
      </c>
      <c r="N13" s="20" t="n">
        <v>0</v>
      </c>
      <c r="O13" s="18" t="n">
        <v>0</v>
      </c>
      <c r="P13" s="20" t="n">
        <v>0</v>
      </c>
      <c r="Q13" s="18" t="n">
        <v>0.26710865</v>
      </c>
      <c r="R13" s="20" t="n">
        <v>0.16535251</v>
      </c>
    </row>
    <row r="14" spans="1:18">
      <c r="A14" s="15" t="s">
        <v>572</v>
      </c>
      <c r="B14" s="17" t="n">
        <v>2788</v>
      </c>
      <c r="C14" s="18">
        <f>(2193.0/B14*100)</f>
        <v/>
      </c>
      <c r="D14" s="19" t="n">
        <v>595</v>
      </c>
      <c r="E14" s="18" t="n">
        <v>49.2739086</v>
      </c>
      <c r="F14" s="20" t="n">
        <v>2.21028672</v>
      </c>
      <c r="G14" s="18" t="n">
        <v>48.95363568</v>
      </c>
      <c r="H14" s="20" t="n">
        <v>2.13726607</v>
      </c>
      <c r="I14" s="18" t="n">
        <v>0</v>
      </c>
      <c r="J14" s="20" t="n">
        <v>0</v>
      </c>
      <c r="K14" s="18" t="n">
        <v>1.65143218</v>
      </c>
      <c r="L14" s="20" t="n">
        <v>0.55000304</v>
      </c>
      <c r="M14" s="18" t="n">
        <v>0</v>
      </c>
      <c r="N14" s="20" t="n">
        <v>0</v>
      </c>
      <c r="O14" s="18" t="n">
        <v>0</v>
      </c>
      <c r="P14" s="20" t="n">
        <v>0</v>
      </c>
      <c r="Q14" s="18" t="n">
        <v>0.12102353</v>
      </c>
      <c r="R14" s="20" t="n">
        <v>0.12028838</v>
      </c>
    </row>
    <row r="15" spans="1:18">
      <c r="A15" s="15" t="s">
        <v>573</v>
      </c>
      <c r="B15" s="17" t="n">
        <v>2863</v>
      </c>
      <c r="C15" s="18">
        <f>(2260.0/B15*100)</f>
        <v/>
      </c>
      <c r="D15" s="19" t="n">
        <v>603</v>
      </c>
      <c r="E15" s="18" t="n">
        <v>45.58769575</v>
      </c>
      <c r="F15" s="20" t="n">
        <v>2.20146755</v>
      </c>
      <c r="G15" s="18" t="n">
        <v>52.3774588</v>
      </c>
      <c r="H15" s="20" t="n">
        <v>2.22020157</v>
      </c>
      <c r="I15" s="18" t="n">
        <v>0</v>
      </c>
      <c r="J15" s="20" t="n">
        <v>0</v>
      </c>
      <c r="K15" s="18" t="n">
        <v>1.60415109</v>
      </c>
      <c r="L15" s="20" t="n">
        <v>0.53654713</v>
      </c>
      <c r="M15" s="18" t="n">
        <v>0</v>
      </c>
      <c r="N15" s="20" t="n">
        <v>0</v>
      </c>
      <c r="O15" s="18" t="n">
        <v>0</v>
      </c>
      <c r="P15" s="20" t="n">
        <v>0</v>
      </c>
      <c r="Q15" s="18" t="n">
        <v>0.43069437</v>
      </c>
      <c r="R15" s="20" t="n">
        <v>0.30474056</v>
      </c>
    </row>
    <row r="16" spans="1:18">
      <c r="A16" s="15" t="s">
        <v>574</v>
      </c>
      <c r="B16" s="17" t="n">
        <v>3111</v>
      </c>
      <c r="C16" s="18">
        <f>(2477.0/B16*100)</f>
        <v/>
      </c>
      <c r="D16" s="19" t="n">
        <v>634</v>
      </c>
      <c r="E16" s="18" t="n">
        <v>50.54748967</v>
      </c>
      <c r="F16" s="20" t="n">
        <v>2.06656085</v>
      </c>
      <c r="G16" s="18" t="n">
        <v>44.37965256</v>
      </c>
      <c r="H16" s="20" t="n">
        <v>1.98548306</v>
      </c>
      <c r="I16" s="18" t="n">
        <v>0</v>
      </c>
      <c r="J16" s="20" t="n">
        <v>0</v>
      </c>
      <c r="K16" s="18" t="n">
        <v>4.77849341</v>
      </c>
      <c r="L16" s="20" t="n">
        <v>0.95417437</v>
      </c>
      <c r="M16" s="18" t="n">
        <v>0</v>
      </c>
      <c r="N16" s="20" t="n">
        <v>0</v>
      </c>
      <c r="O16" s="18" t="n">
        <v>0</v>
      </c>
      <c r="P16" s="20" t="n">
        <v>0</v>
      </c>
      <c r="Q16" s="18" t="n">
        <v>0.29436436</v>
      </c>
      <c r="R16" s="20" t="n">
        <v>0.20805648</v>
      </c>
    </row>
    <row r="17" spans="1:18">
      <c r="A17" s="15" t="s">
        <v>575</v>
      </c>
      <c r="B17" s="17" t="n">
        <v>3197</v>
      </c>
      <c r="C17" s="18">
        <f>(2502.0/B17*100)</f>
        <v/>
      </c>
      <c r="D17" s="19" t="n">
        <v>695</v>
      </c>
      <c r="E17" s="18" t="n">
        <v>43.3577714</v>
      </c>
      <c r="F17" s="20" t="n">
        <v>1.59830108</v>
      </c>
      <c r="G17" s="18" t="n">
        <v>52.49753365</v>
      </c>
      <c r="H17" s="20" t="n">
        <v>1.7797361</v>
      </c>
      <c r="I17" s="18" t="n">
        <v>0</v>
      </c>
      <c r="J17" s="20" t="n">
        <v>0</v>
      </c>
      <c r="K17" s="18" t="n">
        <v>3.84411996</v>
      </c>
      <c r="L17" s="20" t="n">
        <v>0.77958968</v>
      </c>
      <c r="M17" s="18" t="n">
        <v>0</v>
      </c>
      <c r="N17" s="20" t="n">
        <v>0</v>
      </c>
      <c r="O17" s="18" t="n">
        <v>0</v>
      </c>
      <c r="P17" s="20" t="n">
        <v>0</v>
      </c>
      <c r="Q17" s="18" t="n">
        <v>0.30057499</v>
      </c>
      <c r="R17" s="20" t="n">
        <v>0.08932327</v>
      </c>
    </row>
    <row r="18" spans="1:18">
      <c r="A18" s="15" t="s">
        <v>576</v>
      </c>
      <c r="B18" s="17" t="n">
        <v>2706</v>
      </c>
      <c r="C18" s="18">
        <f>(2103.0/B18*100)</f>
        <v/>
      </c>
      <c r="D18" s="19" t="n">
        <v>603</v>
      </c>
      <c r="E18" s="18" t="n">
        <v>59.09021819</v>
      </c>
      <c r="F18" s="20" t="n">
        <v>2.26211173</v>
      </c>
      <c r="G18" s="18" t="n">
        <v>36.02970707</v>
      </c>
      <c r="H18" s="20" t="n">
        <v>2.09324178</v>
      </c>
      <c r="I18" s="18" t="n">
        <v>0</v>
      </c>
      <c r="J18" s="20" t="n">
        <v>0</v>
      </c>
      <c r="K18" s="18" t="n">
        <v>4.04947698</v>
      </c>
      <c r="L18" s="20" t="n">
        <v>1.06650991</v>
      </c>
      <c r="M18" s="18" t="n">
        <v>0</v>
      </c>
      <c r="N18" s="20" t="n">
        <v>0</v>
      </c>
      <c r="O18" s="18" t="n">
        <v>0</v>
      </c>
      <c r="P18" s="20" t="n">
        <v>0</v>
      </c>
      <c r="Q18" s="18" t="n">
        <v>0.83059776</v>
      </c>
      <c r="R18" s="20" t="n">
        <v>0.37708938</v>
      </c>
    </row>
    <row r="19" spans="1:18">
      <c r="A19" s="15" t="s">
        <v>577</v>
      </c>
      <c r="B19" s="17" t="n">
        <v>2850</v>
      </c>
      <c r="C19" s="18">
        <f>(2296.0/B19*100)</f>
        <v/>
      </c>
      <c r="D19" s="19" t="n">
        <v>554</v>
      </c>
      <c r="E19" s="18" t="n">
        <v>57.66058801</v>
      </c>
      <c r="F19" s="20" t="n">
        <v>2.22075277</v>
      </c>
      <c r="G19" s="18" t="n">
        <v>39.96668343</v>
      </c>
      <c r="H19" s="20" t="n">
        <v>2.29226984</v>
      </c>
      <c r="I19" s="18" t="n">
        <v>0</v>
      </c>
      <c r="J19" s="20" t="n">
        <v>0</v>
      </c>
      <c r="K19" s="18" t="n">
        <v>1.97586048</v>
      </c>
      <c r="L19" s="20" t="n">
        <v>0.54513955</v>
      </c>
      <c r="M19" s="18" t="n">
        <v>0</v>
      </c>
      <c r="N19" s="20" t="n">
        <v>0</v>
      </c>
      <c r="O19" s="18" t="n">
        <v>0</v>
      </c>
      <c r="P19" s="20" t="n">
        <v>0</v>
      </c>
      <c r="Q19" s="18" t="n">
        <v>0.39686808</v>
      </c>
      <c r="R19" s="20" t="n">
        <v>0.24577632</v>
      </c>
    </row>
    <row r="20" spans="1:18">
      <c r="A20" s="15" t="s">
        <v>578</v>
      </c>
      <c r="B20" s="17" t="n">
        <v>1741</v>
      </c>
      <c r="C20" s="18">
        <f>(1389.0/B20*100)</f>
        <v/>
      </c>
      <c r="D20" s="19" t="n">
        <v>352</v>
      </c>
      <c r="E20" s="18" t="n">
        <v>49.64750272</v>
      </c>
      <c r="F20" s="20" t="n">
        <v>2.54138224</v>
      </c>
      <c r="G20" s="18" t="n">
        <v>47.97884032</v>
      </c>
      <c r="H20" s="20" t="n">
        <v>2.46450701</v>
      </c>
      <c r="I20" s="18" t="n">
        <v>0</v>
      </c>
      <c r="J20" s="20" t="n">
        <v>0</v>
      </c>
      <c r="K20" s="18" t="n">
        <v>2.11895869</v>
      </c>
      <c r="L20" s="20" t="n">
        <v>0.79550638</v>
      </c>
      <c r="M20" s="18" t="n">
        <v>0</v>
      </c>
      <c r="N20" s="20" t="n">
        <v>0</v>
      </c>
      <c r="O20" s="18" t="n">
        <v>0</v>
      </c>
      <c r="P20" s="20" t="n">
        <v>0</v>
      </c>
      <c r="Q20" s="18" t="n">
        <v>0.25469827</v>
      </c>
      <c r="R20" s="20" t="n">
        <v>0.2556774</v>
      </c>
    </row>
    <row r="21" spans="1:18">
      <c r="A21" s="15" t="s">
        <v>579</v>
      </c>
      <c r="B21" s="17" t="n">
        <v>2833</v>
      </c>
      <c r="C21" s="18">
        <f>(2190.0/B21*100)</f>
        <v/>
      </c>
      <c r="D21" s="19" t="n">
        <v>643</v>
      </c>
      <c r="E21" s="18" t="n">
        <v>53.02513828</v>
      </c>
      <c r="F21" s="20" t="n">
        <v>2.12079136</v>
      </c>
      <c r="G21" s="18" t="n">
        <v>45.41416784</v>
      </c>
      <c r="H21" s="20" t="n">
        <v>2.05686889</v>
      </c>
      <c r="I21" s="18" t="n">
        <v>0</v>
      </c>
      <c r="J21" s="20" t="n">
        <v>0</v>
      </c>
      <c r="K21" s="18" t="n">
        <v>1.0794016</v>
      </c>
      <c r="L21" s="20" t="n">
        <v>0.3813239</v>
      </c>
      <c r="M21" s="18" t="n">
        <v>0</v>
      </c>
      <c r="N21" s="20" t="n">
        <v>0</v>
      </c>
      <c r="O21" s="18" t="n">
        <v>0</v>
      </c>
      <c r="P21" s="20" t="n">
        <v>0</v>
      </c>
      <c r="Q21" s="18" t="n">
        <v>0.48129229</v>
      </c>
      <c r="R21" s="20" t="n">
        <v>0.27543209</v>
      </c>
    </row>
    <row r="22" spans="1:18">
      <c r="A22" s="15" t="s">
        <v>580</v>
      </c>
      <c r="B22" s="17" t="n">
        <v>3667</v>
      </c>
      <c r="C22" s="18">
        <f>(2861.0/B22*100)</f>
        <v/>
      </c>
      <c r="D22" s="19" t="n">
        <v>806</v>
      </c>
      <c r="E22" s="18" t="n">
        <v>42.88364033</v>
      </c>
      <c r="F22" s="20" t="n">
        <v>1.85192071</v>
      </c>
      <c r="G22" s="18" t="n">
        <v>53.43310369</v>
      </c>
      <c r="H22" s="20" t="n">
        <v>1.96758894</v>
      </c>
      <c r="I22" s="18" t="n">
        <v>0</v>
      </c>
      <c r="J22" s="20" t="n">
        <v>0</v>
      </c>
      <c r="K22" s="18" t="n">
        <v>3.31478943</v>
      </c>
      <c r="L22" s="20" t="n">
        <v>0.64711755</v>
      </c>
      <c r="M22" s="18" t="n">
        <v>0</v>
      </c>
      <c r="N22" s="20" t="n">
        <v>0</v>
      </c>
      <c r="O22" s="18" t="n">
        <v>0</v>
      </c>
      <c r="P22" s="20" t="n">
        <v>0</v>
      </c>
      <c r="Q22" s="18" t="n">
        <v>0.36846655</v>
      </c>
      <c r="R22" s="20" t="n">
        <v>0.20952892</v>
      </c>
    </row>
    <row r="23" spans="1:18">
      <c r="A23" s="15" t="s">
        <v>581</v>
      </c>
      <c r="B23" s="17" t="n">
        <v>5792</v>
      </c>
      <c r="C23" s="18">
        <f>(4554.0/B23*100)</f>
        <v/>
      </c>
      <c r="D23" s="19" t="n">
        <v>1238</v>
      </c>
      <c r="E23" s="18" t="n">
        <v>51.64428112</v>
      </c>
      <c r="F23" s="20" t="n">
        <v>2.01143488</v>
      </c>
      <c r="G23" s="18" t="n">
        <v>43.25980666</v>
      </c>
      <c r="H23" s="20" t="n">
        <v>2.13760182</v>
      </c>
      <c r="I23" s="18" t="n">
        <v>0</v>
      </c>
      <c r="J23" s="20" t="n">
        <v>0</v>
      </c>
      <c r="K23" s="18" t="n">
        <v>4.41683808</v>
      </c>
      <c r="L23" s="20" t="n">
        <v>0.97990268</v>
      </c>
      <c r="M23" s="18" t="n">
        <v>0</v>
      </c>
      <c r="N23" s="20" t="n">
        <v>0</v>
      </c>
      <c r="O23" s="18" t="n">
        <v>0</v>
      </c>
      <c r="P23" s="20" t="n">
        <v>0</v>
      </c>
      <c r="Q23" s="18" t="n">
        <v>0.67907414</v>
      </c>
      <c r="R23" s="20" t="n">
        <v>0.29027441</v>
      </c>
    </row>
    <row r="24" spans="1:18">
      <c r="A24" s="15" t="s">
        <v>582</v>
      </c>
      <c r="B24" s="17" t="n">
        <v>3309</v>
      </c>
      <c r="C24" s="18">
        <f>(2557.0/B24*100)</f>
        <v/>
      </c>
      <c r="D24" s="19" t="n">
        <v>752</v>
      </c>
      <c r="E24" s="18" t="n">
        <v>37.09487136</v>
      </c>
      <c r="F24" s="20" t="n">
        <v>2.14805372</v>
      </c>
      <c r="G24" s="18" t="n">
        <v>61.74755133</v>
      </c>
      <c r="H24" s="20" t="n">
        <v>2.22333836</v>
      </c>
      <c r="I24" s="18" t="n">
        <v>0</v>
      </c>
      <c r="J24" s="20" t="n">
        <v>0</v>
      </c>
      <c r="K24" s="18" t="n">
        <v>1.1575773</v>
      </c>
      <c r="L24" s="20" t="n">
        <v>0.38977199</v>
      </c>
      <c r="M24" s="18" t="n">
        <v>0</v>
      </c>
      <c r="N24" s="20" t="n">
        <v>0</v>
      </c>
      <c r="O24" s="18" t="n">
        <v>0</v>
      </c>
      <c r="P24" s="20" t="n">
        <v>0</v>
      </c>
      <c r="Q24" s="18" t="n">
        <v>0</v>
      </c>
      <c r="R24" s="20" t="n">
        <v>0</v>
      </c>
    </row>
    <row r="25" spans="1:18">
      <c r="A25" s="15" t="s">
        <v>583</v>
      </c>
      <c r="B25" s="17" t="n">
        <v>2669</v>
      </c>
      <c r="C25" s="18">
        <f>(2087.0/B25*100)</f>
        <v/>
      </c>
      <c r="D25" s="19" t="n">
        <v>582</v>
      </c>
      <c r="E25" s="18" t="n">
        <v>38.73985102</v>
      </c>
      <c r="F25" s="20" t="n">
        <v>1.99946798</v>
      </c>
      <c r="G25" s="18" t="n">
        <v>59.8403933</v>
      </c>
      <c r="H25" s="20" t="n">
        <v>2.02708049</v>
      </c>
      <c r="I25" s="18" t="n">
        <v>0</v>
      </c>
      <c r="J25" s="20" t="n">
        <v>0</v>
      </c>
      <c r="K25" s="18" t="n">
        <v>1.26036108</v>
      </c>
      <c r="L25" s="20" t="n">
        <v>0.4593254</v>
      </c>
      <c r="M25" s="18" t="n">
        <v>0</v>
      </c>
      <c r="N25" s="20" t="n">
        <v>0</v>
      </c>
      <c r="O25" s="18" t="n">
        <v>0</v>
      </c>
      <c r="P25" s="20" t="n">
        <v>0</v>
      </c>
      <c r="Q25" s="18" t="n">
        <v>0.1593946</v>
      </c>
      <c r="R25" s="20" t="n">
        <v>0.15978527</v>
      </c>
    </row>
    <row r="26" spans="1:18">
      <c r="A26" s="15" t="s">
        <v>584</v>
      </c>
      <c r="B26" s="17" t="n">
        <v>2419</v>
      </c>
      <c r="C26" s="18">
        <f>(1903.0/B26*100)</f>
        <v/>
      </c>
      <c r="D26" s="19" t="n">
        <v>516</v>
      </c>
      <c r="E26" s="18" t="n">
        <v>55.42096677</v>
      </c>
      <c r="F26" s="20" t="n">
        <v>2.36727183</v>
      </c>
      <c r="G26" s="18" t="n">
        <v>43.00574274</v>
      </c>
      <c r="H26" s="20" t="n">
        <v>2.33549254</v>
      </c>
      <c r="I26" s="18" t="n">
        <v>0</v>
      </c>
      <c r="J26" s="20" t="n">
        <v>0</v>
      </c>
      <c r="K26" s="18" t="n">
        <v>0.81576228</v>
      </c>
      <c r="L26" s="20" t="n">
        <v>0.36303967</v>
      </c>
      <c r="M26" s="18" t="n">
        <v>0</v>
      </c>
      <c r="N26" s="20" t="n">
        <v>0</v>
      </c>
      <c r="O26" s="18" t="n">
        <v>0</v>
      </c>
      <c r="P26" s="20" t="n">
        <v>0</v>
      </c>
      <c r="Q26" s="18" t="n">
        <v>0.75752821</v>
      </c>
      <c r="R26" s="20" t="n">
        <v>0.40152441</v>
      </c>
    </row>
    <row r="27" spans="1:18">
      <c r="A27" s="15" t="s">
        <v>585</v>
      </c>
      <c r="B27" s="17" t="n">
        <v>2683</v>
      </c>
      <c r="C27" s="18">
        <f>(2093.0/B27*100)</f>
        <v/>
      </c>
      <c r="D27" s="19" t="n">
        <v>590</v>
      </c>
      <c r="E27" s="18" t="n">
        <v>52.47473289</v>
      </c>
      <c r="F27" s="20" t="n">
        <v>1.66746674</v>
      </c>
      <c r="G27" s="18" t="n">
        <v>42.75585187</v>
      </c>
      <c r="H27" s="20" t="n">
        <v>1.83805206</v>
      </c>
      <c r="I27" s="18" t="n">
        <v>0</v>
      </c>
      <c r="J27" s="20" t="n">
        <v>0</v>
      </c>
      <c r="K27" s="18" t="n">
        <v>3.7480286</v>
      </c>
      <c r="L27" s="20" t="n">
        <v>0.73647796</v>
      </c>
      <c r="M27" s="18" t="n">
        <v>0</v>
      </c>
      <c r="N27" s="20" t="n">
        <v>0</v>
      </c>
      <c r="O27" s="18" t="n">
        <v>0</v>
      </c>
      <c r="P27" s="20" t="n">
        <v>0</v>
      </c>
      <c r="Q27" s="18" t="n">
        <v>1.02138664</v>
      </c>
      <c r="R27" s="20" t="n">
        <v>0.41452944</v>
      </c>
    </row>
    <row r="28" spans="1:18">
      <c r="A28" s="15" t="s">
        <v>586</v>
      </c>
      <c r="B28" s="17" t="n">
        <v>3803</v>
      </c>
      <c r="C28" s="18">
        <f>(3098.0/B28*100)</f>
        <v/>
      </c>
      <c r="D28" s="19" t="n">
        <v>705</v>
      </c>
      <c r="E28" s="18" t="n">
        <v>61.8504218</v>
      </c>
      <c r="F28" s="20" t="n">
        <v>2.13351066</v>
      </c>
      <c r="G28" s="18" t="n">
        <v>33.78299436</v>
      </c>
      <c r="H28" s="20" t="n">
        <v>2.13146278</v>
      </c>
      <c r="I28" s="18" t="n">
        <v>0</v>
      </c>
      <c r="J28" s="20" t="n">
        <v>0</v>
      </c>
      <c r="K28" s="18" t="n">
        <v>3.54793507</v>
      </c>
      <c r="L28" s="20" t="n">
        <v>1.11833146</v>
      </c>
      <c r="M28" s="18" t="n">
        <v>0</v>
      </c>
      <c r="N28" s="20" t="n">
        <v>0</v>
      </c>
      <c r="O28" s="18" t="n">
        <v>0</v>
      </c>
      <c r="P28" s="20" t="n">
        <v>0</v>
      </c>
      <c r="Q28" s="18" t="n">
        <v>0.81864877</v>
      </c>
      <c r="R28" s="20" t="n">
        <v>0.37847923</v>
      </c>
    </row>
    <row r="29" spans="1:18">
      <c r="A29" s="15" t="s">
        <v>587</v>
      </c>
      <c r="B29" s="17" t="n">
        <v>2700</v>
      </c>
      <c r="C29" s="18">
        <f>(2118.0/B29*100)</f>
        <v/>
      </c>
      <c r="D29" s="19" t="n">
        <v>582</v>
      </c>
      <c r="E29" s="18" t="n">
        <v>55.75924061</v>
      </c>
      <c r="F29" s="20" t="n">
        <v>2.51886538</v>
      </c>
      <c r="G29" s="18" t="n">
        <v>43.43964991</v>
      </c>
      <c r="H29" s="20" t="n">
        <v>2.53997208</v>
      </c>
      <c r="I29" s="18" t="n">
        <v>0</v>
      </c>
      <c r="J29" s="20" t="n">
        <v>0</v>
      </c>
      <c r="K29" s="18" t="n">
        <v>0.6064969099999999</v>
      </c>
      <c r="L29" s="20" t="n">
        <v>0.37115957</v>
      </c>
      <c r="M29" s="18" t="n">
        <v>0</v>
      </c>
      <c r="N29" s="20" t="n">
        <v>0</v>
      </c>
      <c r="O29" s="18" t="n">
        <v>0</v>
      </c>
      <c r="P29" s="20" t="n">
        <v>0</v>
      </c>
      <c r="Q29" s="18" t="n">
        <v>0.19461258</v>
      </c>
      <c r="R29" s="20" t="n">
        <v>0.19781424</v>
      </c>
    </row>
    <row r="30" spans="1:18">
      <c r="A30" s="15" t="s">
        <v>588</v>
      </c>
      <c r="B30" s="17" t="n">
        <v>2257</v>
      </c>
      <c r="C30" s="18">
        <f>(1812.0/B30*100)</f>
        <v/>
      </c>
      <c r="D30" s="19" t="n">
        <v>445</v>
      </c>
      <c r="E30" s="18" t="n">
        <v>48.23034793</v>
      </c>
      <c r="F30" s="20" t="n">
        <v>2.67413088</v>
      </c>
      <c r="G30" s="18" t="n">
        <v>50.04490954</v>
      </c>
      <c r="H30" s="20" t="n">
        <v>2.59492454</v>
      </c>
      <c r="I30" s="18" t="n">
        <v>0</v>
      </c>
      <c r="J30" s="20" t="n">
        <v>0</v>
      </c>
      <c r="K30" s="18" t="n">
        <v>1.37158979</v>
      </c>
      <c r="L30" s="20" t="n">
        <v>0.57665997</v>
      </c>
      <c r="M30" s="18" t="n">
        <v>0</v>
      </c>
      <c r="N30" s="20" t="n">
        <v>0</v>
      </c>
      <c r="O30" s="18" t="n">
        <v>0</v>
      </c>
      <c r="P30" s="20" t="n">
        <v>0</v>
      </c>
      <c r="Q30" s="18" t="n">
        <v>0.35315273</v>
      </c>
      <c r="R30" s="20" t="n">
        <v>0.2478526</v>
      </c>
    </row>
    <row r="31" spans="1:18">
      <c r="A31" s="15" t="s">
        <v>589</v>
      </c>
      <c r="B31" s="17" t="n">
        <v>2706</v>
      </c>
      <c r="C31" s="18">
        <f>(2130.0/B31*100)</f>
        <v/>
      </c>
      <c r="D31" s="19" t="n">
        <v>576</v>
      </c>
      <c r="E31" s="18" t="n">
        <v>44.36916787</v>
      </c>
      <c r="F31" s="20" t="n">
        <v>2.41875231</v>
      </c>
      <c r="G31" s="18" t="n">
        <v>51.26752865</v>
      </c>
      <c r="H31" s="20" t="n">
        <v>2.40802429</v>
      </c>
      <c r="I31" s="18" t="n">
        <v>0</v>
      </c>
      <c r="J31" s="20" t="n">
        <v>0</v>
      </c>
      <c r="K31" s="18" t="n">
        <v>3.84343615</v>
      </c>
      <c r="L31" s="20" t="n">
        <v>0.91053724</v>
      </c>
      <c r="M31" s="18" t="n">
        <v>0</v>
      </c>
      <c r="N31" s="20" t="n">
        <v>0</v>
      </c>
      <c r="O31" s="18" t="n">
        <v>0</v>
      </c>
      <c r="P31" s="20" t="n">
        <v>0</v>
      </c>
      <c r="Q31" s="18" t="n">
        <v>0.51986732</v>
      </c>
      <c r="R31" s="20" t="n">
        <v>0.39881281</v>
      </c>
    </row>
    <row r="32" spans="1:18">
      <c r="A32" s="15" t="s">
        <v>590</v>
      </c>
      <c r="B32" s="17" t="n">
        <v>2209</v>
      </c>
      <c r="C32" s="18">
        <f>(1761.0/B32*100)</f>
        <v/>
      </c>
      <c r="D32" s="19" t="n">
        <v>448</v>
      </c>
      <c r="E32" s="18" t="n">
        <v>46.85589098</v>
      </c>
      <c r="F32" s="20" t="n">
        <v>1.95963535</v>
      </c>
      <c r="G32" s="18" t="n">
        <v>52.48362304</v>
      </c>
      <c r="H32" s="20" t="n">
        <v>2.03450361</v>
      </c>
      <c r="I32" s="18" t="n">
        <v>0</v>
      </c>
      <c r="J32" s="20" t="n">
        <v>0</v>
      </c>
      <c r="K32" s="18" t="n">
        <v>0.66048598</v>
      </c>
      <c r="L32" s="20" t="n">
        <v>0.37760633</v>
      </c>
      <c r="M32" s="18" t="n">
        <v>0</v>
      </c>
      <c r="N32" s="20" t="n">
        <v>0</v>
      </c>
      <c r="O32" s="18" t="n">
        <v>0</v>
      </c>
      <c r="P32" s="20" t="n">
        <v>0</v>
      </c>
      <c r="Q32" s="18" t="n">
        <v>0</v>
      </c>
      <c r="R32" s="20" t="n">
        <v>0</v>
      </c>
    </row>
    <row r="33" spans="1:18">
      <c r="A33" s="15" t="s">
        <v>591</v>
      </c>
      <c r="B33" s="17" t="n">
        <v>3651</v>
      </c>
      <c r="C33" s="18">
        <f>(2962.0/B33*100)</f>
        <v/>
      </c>
      <c r="D33" s="19" t="n">
        <v>689</v>
      </c>
      <c r="E33" s="18" t="n">
        <v>49.90889375</v>
      </c>
      <c r="F33" s="20" t="n">
        <v>2.0154345</v>
      </c>
      <c r="G33" s="18" t="n">
        <v>47.74402824</v>
      </c>
      <c r="H33" s="20" t="n">
        <v>1.96552146</v>
      </c>
      <c r="I33" s="18" t="n">
        <v>0</v>
      </c>
      <c r="J33" s="20" t="n">
        <v>0</v>
      </c>
      <c r="K33" s="18" t="n">
        <v>2.13456777</v>
      </c>
      <c r="L33" s="20" t="n">
        <v>0.52376856</v>
      </c>
      <c r="M33" s="18" t="n">
        <v>0</v>
      </c>
      <c r="N33" s="20" t="n">
        <v>0</v>
      </c>
      <c r="O33" s="18" t="n">
        <v>0</v>
      </c>
      <c r="P33" s="20" t="n">
        <v>0</v>
      </c>
      <c r="Q33" s="18" t="n">
        <v>0.21251024</v>
      </c>
      <c r="R33" s="20" t="n">
        <v>0.1512165</v>
      </c>
    </row>
    <row r="34" spans="1:18">
      <c r="A34" s="15" t="s">
        <v>592</v>
      </c>
      <c r="B34" s="17" t="n">
        <v>3035</v>
      </c>
      <c r="C34" s="18">
        <f>(2411.0/B34*100)</f>
        <v/>
      </c>
      <c r="D34" s="19" t="n">
        <v>624</v>
      </c>
      <c r="E34" s="18" t="n">
        <v>58.23287788</v>
      </c>
      <c r="F34" s="20" t="n">
        <v>2.32028236</v>
      </c>
      <c r="G34" s="18" t="n">
        <v>39.57605164</v>
      </c>
      <c r="H34" s="20" t="n">
        <v>2.10108761</v>
      </c>
      <c r="I34" s="18" t="n">
        <v>0</v>
      </c>
      <c r="J34" s="20" t="n">
        <v>0</v>
      </c>
      <c r="K34" s="18" t="n">
        <v>1.59743028</v>
      </c>
      <c r="L34" s="20" t="n">
        <v>0.44437748</v>
      </c>
      <c r="M34" s="18" t="n">
        <v>0</v>
      </c>
      <c r="N34" s="20" t="n">
        <v>0</v>
      </c>
      <c r="O34" s="18" t="n">
        <v>0</v>
      </c>
      <c r="P34" s="20" t="n">
        <v>0</v>
      </c>
      <c r="Q34" s="18" t="n">
        <v>0.59364019</v>
      </c>
      <c r="R34" s="20" t="n">
        <v>0.35496142</v>
      </c>
    </row>
    <row r="35" spans="1:18">
      <c r="A35" s="15" t="s">
        <v>593</v>
      </c>
      <c r="B35" s="17" t="n">
        <v>2901</v>
      </c>
      <c r="C35" s="18">
        <f>(2252.0/B35*100)</f>
        <v/>
      </c>
      <c r="D35" s="19" t="n">
        <v>649</v>
      </c>
      <c r="E35" s="18" t="n">
        <v>51.16259832</v>
      </c>
      <c r="F35" s="20" t="n">
        <v>2.2570973</v>
      </c>
      <c r="G35" s="18" t="n">
        <v>46.70503345</v>
      </c>
      <c r="H35" s="20" t="n">
        <v>2.24603868</v>
      </c>
      <c r="I35" s="18" t="n">
        <v>0</v>
      </c>
      <c r="J35" s="20" t="n">
        <v>0</v>
      </c>
      <c r="K35" s="18" t="n">
        <v>1.73238904</v>
      </c>
      <c r="L35" s="20" t="n">
        <v>0.63186119</v>
      </c>
      <c r="M35" s="18" t="n">
        <v>0</v>
      </c>
      <c r="N35" s="20" t="n">
        <v>0</v>
      </c>
      <c r="O35" s="18" t="n">
        <v>0</v>
      </c>
      <c r="P35" s="20" t="n">
        <v>0</v>
      </c>
      <c r="Q35" s="18" t="n">
        <v>0.39997918</v>
      </c>
      <c r="R35" s="20" t="n">
        <v>0.26134592</v>
      </c>
    </row>
    <row r="36" spans="1:18">
      <c r="A36" s="15" t="s">
        <v>594</v>
      </c>
      <c r="B36" s="17" t="n">
        <v>3404</v>
      </c>
      <c r="C36" s="18">
        <f>(2708.0/B36*100)</f>
        <v/>
      </c>
      <c r="D36" s="19" t="n">
        <v>696</v>
      </c>
      <c r="E36" s="18" t="n">
        <v>48.41171911</v>
      </c>
      <c r="F36" s="20" t="n">
        <v>1.97111338</v>
      </c>
      <c r="G36" s="18" t="n">
        <v>48.44037585</v>
      </c>
      <c r="H36" s="20" t="n">
        <v>2.00985612</v>
      </c>
      <c r="I36" s="18" t="n">
        <v>0</v>
      </c>
      <c r="J36" s="20" t="n">
        <v>0</v>
      </c>
      <c r="K36" s="18" t="n">
        <v>2.45369974</v>
      </c>
      <c r="L36" s="20" t="n">
        <v>0.64505948</v>
      </c>
      <c r="M36" s="18" t="n">
        <v>0</v>
      </c>
      <c r="N36" s="20" t="n">
        <v>0</v>
      </c>
      <c r="O36" s="18" t="n">
        <v>0</v>
      </c>
      <c r="P36" s="20" t="n">
        <v>0</v>
      </c>
      <c r="Q36" s="18" t="n">
        <v>0.69420529</v>
      </c>
      <c r="R36" s="20" t="n">
        <v>0.27701244</v>
      </c>
    </row>
    <row r="37" spans="1:18">
      <c r="A37" s="15" t="s">
        <v>595</v>
      </c>
      <c r="B37" s="17" t="n">
        <v>2731</v>
      </c>
      <c r="C37" s="18">
        <f>(2182.0/B37*100)</f>
        <v/>
      </c>
      <c r="D37" s="19" t="n">
        <v>549</v>
      </c>
      <c r="E37" s="18" t="n">
        <v>52.52448555</v>
      </c>
      <c r="F37" s="20" t="n">
        <v>2.20115627</v>
      </c>
      <c r="G37" s="18" t="n">
        <v>39.09682396</v>
      </c>
      <c r="H37" s="20" t="n">
        <v>2.26366475</v>
      </c>
      <c r="I37" s="18" t="n">
        <v>0</v>
      </c>
      <c r="J37" s="20" t="n">
        <v>0</v>
      </c>
      <c r="K37" s="18" t="n">
        <v>7.37792928</v>
      </c>
      <c r="L37" s="20" t="n">
        <v>1.22840386</v>
      </c>
      <c r="M37" s="18" t="n">
        <v>0</v>
      </c>
      <c r="N37" s="20" t="n">
        <v>0</v>
      </c>
      <c r="O37" s="18" t="n">
        <v>0</v>
      </c>
      <c r="P37" s="20" t="n">
        <v>0</v>
      </c>
      <c r="Q37" s="18" t="n">
        <v>1.00076121</v>
      </c>
      <c r="R37" s="20" t="n">
        <v>0.39460665</v>
      </c>
    </row>
    <row r="38" spans="1:18">
      <c r="A38" s="15" t="s">
        <v>596</v>
      </c>
      <c r="B38" s="17" t="n">
        <v>2807</v>
      </c>
      <c r="C38" s="18">
        <f>(2191.0/B38*100)</f>
        <v/>
      </c>
      <c r="D38" s="19" t="n">
        <v>616</v>
      </c>
      <c r="E38" s="18" t="n">
        <v>48.75263541</v>
      </c>
      <c r="F38" s="20" t="n">
        <v>2.0625938</v>
      </c>
      <c r="G38" s="18" t="n">
        <v>47.05651807</v>
      </c>
      <c r="H38" s="20" t="n">
        <v>2.14261171</v>
      </c>
      <c r="I38" s="18" t="n">
        <v>0</v>
      </c>
      <c r="J38" s="20" t="n">
        <v>0</v>
      </c>
      <c r="K38" s="18" t="n">
        <v>2.69500442</v>
      </c>
      <c r="L38" s="20" t="n">
        <v>0.77460502</v>
      </c>
      <c r="M38" s="18" t="n">
        <v>0</v>
      </c>
      <c r="N38" s="20" t="n">
        <v>0</v>
      </c>
      <c r="O38" s="18" t="n">
        <v>0</v>
      </c>
      <c r="P38" s="20" t="n">
        <v>0</v>
      </c>
      <c r="Q38" s="18" t="n">
        <v>1.4958421</v>
      </c>
      <c r="R38" s="20" t="n">
        <v>0.51681878</v>
      </c>
    </row>
    <row r="39" spans="1:18">
      <c r="A39" s="15" t="s">
        <v>597</v>
      </c>
      <c r="B39" s="17" t="n">
        <v>2938</v>
      </c>
      <c r="C39" s="18">
        <f>(2275.0/B39*100)</f>
        <v/>
      </c>
      <c r="D39" s="19" t="n">
        <v>663</v>
      </c>
      <c r="E39" s="18" t="n">
        <v>63.00646427</v>
      </c>
      <c r="F39" s="20" t="n">
        <v>2.69579114</v>
      </c>
      <c r="G39" s="18" t="n">
        <v>34.61875359</v>
      </c>
      <c r="H39" s="20" t="n">
        <v>2.55404509</v>
      </c>
      <c r="I39" s="18" t="n">
        <v>0</v>
      </c>
      <c r="J39" s="20" t="n">
        <v>0</v>
      </c>
      <c r="K39" s="18" t="n">
        <v>1.80250362</v>
      </c>
      <c r="L39" s="20" t="n">
        <v>0.62594784</v>
      </c>
      <c r="M39" s="18" t="n">
        <v>0</v>
      </c>
      <c r="N39" s="20" t="n">
        <v>0</v>
      </c>
      <c r="O39" s="18" t="n">
        <v>0</v>
      </c>
      <c r="P39" s="20" t="n">
        <v>0</v>
      </c>
      <c r="Q39" s="18" t="n">
        <v>0.57227852</v>
      </c>
      <c r="R39" s="20" t="n">
        <v>0.40534176</v>
      </c>
    </row>
    <row r="40" spans="1:18">
      <c r="A40" s="15" t="s">
        <v>598</v>
      </c>
      <c r="B40" s="17" t="n">
        <v>6922</v>
      </c>
      <c r="C40" s="18">
        <f>(5488.0/B40*100)</f>
        <v/>
      </c>
      <c r="D40" s="19" t="n">
        <v>1434</v>
      </c>
      <c r="E40" s="18" t="n">
        <v>52.57748703</v>
      </c>
      <c r="F40" s="20" t="n">
        <v>1.62576695</v>
      </c>
      <c r="G40" s="18" t="n">
        <v>45.66907944</v>
      </c>
      <c r="H40" s="20" t="n">
        <v>1.74508122</v>
      </c>
      <c r="I40" s="18" t="n">
        <v>0</v>
      </c>
      <c r="J40" s="20" t="n">
        <v>0</v>
      </c>
      <c r="K40" s="18" t="n">
        <v>1.12623946</v>
      </c>
      <c r="L40" s="20" t="n">
        <v>0.3532832</v>
      </c>
      <c r="M40" s="18" t="n">
        <v>0</v>
      </c>
      <c r="N40" s="20" t="n">
        <v>0</v>
      </c>
      <c r="O40" s="18" t="n">
        <v>0</v>
      </c>
      <c r="P40" s="20" t="n">
        <v>0</v>
      </c>
      <c r="Q40" s="18" t="n">
        <v>0.62719407</v>
      </c>
      <c r="R40" s="20" t="n">
        <v>0.28980966</v>
      </c>
    </row>
    <row r="41" spans="1:18">
      <c r="A41" s="15" t="s">
        <v>599</v>
      </c>
      <c r="B41" s="17" t="n">
        <v>2854</v>
      </c>
      <c r="C41" s="18">
        <f>(2228.0/B41*100)</f>
        <v/>
      </c>
      <c r="D41" s="19" t="n">
        <v>626</v>
      </c>
      <c r="E41" s="18" t="n">
        <v>50.78985025</v>
      </c>
      <c r="F41" s="20" t="n">
        <v>2.07064126</v>
      </c>
      <c r="G41" s="18" t="n">
        <v>47.63742326</v>
      </c>
      <c r="H41" s="20" t="n">
        <v>2.07084782</v>
      </c>
      <c r="I41" s="18" t="n">
        <v>0</v>
      </c>
      <c r="J41" s="20" t="n">
        <v>0</v>
      </c>
      <c r="K41" s="18" t="n">
        <v>1.30679658</v>
      </c>
      <c r="L41" s="20" t="n">
        <v>0.46960626</v>
      </c>
      <c r="M41" s="18" t="n">
        <v>0</v>
      </c>
      <c r="N41" s="20" t="n">
        <v>0</v>
      </c>
      <c r="O41" s="18" t="n">
        <v>0</v>
      </c>
      <c r="P41" s="20" t="n">
        <v>0</v>
      </c>
      <c r="Q41" s="18" t="n">
        <v>0.26592991</v>
      </c>
      <c r="R41" s="20" t="n">
        <v>0.18043645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(10300.0/B46*100)</f>
        <v/>
      </c>
      <c r="D46" s="19" t="n">
        <v>1773</v>
      </c>
      <c r="E46" s="18" t="n">
        <v>63.33970388</v>
      </c>
      <c r="F46" s="20" t="n">
        <v>1.70695927</v>
      </c>
      <c r="G46" s="18" t="n">
        <v>30.57204194</v>
      </c>
      <c r="H46" s="20" t="n">
        <v>1.50508811</v>
      </c>
      <c r="I46" s="18" t="n">
        <v>0</v>
      </c>
      <c r="J46" s="20" t="n">
        <v>0</v>
      </c>
      <c r="K46" s="18" t="n">
        <v>5.64592108</v>
      </c>
      <c r="L46" s="20" t="n">
        <v>0.8059318</v>
      </c>
      <c r="M46" s="18" t="n">
        <v>0</v>
      </c>
      <c r="N46" s="20" t="n">
        <v>0</v>
      </c>
      <c r="O46" s="18" t="n">
        <v>0</v>
      </c>
      <c r="P46" s="20" t="n">
        <v>0</v>
      </c>
      <c r="Q46" s="18" t="n">
        <v>0.44233311</v>
      </c>
      <c r="R46" s="20" t="n">
        <v>0.20211664</v>
      </c>
    </row>
    <row r="47" spans="1:18">
      <c r="A47" s="15" t="s">
        <v>606</v>
      </c>
      <c r="B47" s="17" t="n">
        <v>2823</v>
      </c>
      <c r="C47" s="18">
        <f>(2246.0/B47*100)</f>
        <v/>
      </c>
      <c r="D47" s="19" t="n">
        <v>577</v>
      </c>
      <c r="E47" s="18" t="n">
        <v>57.78723797</v>
      </c>
      <c r="F47" s="20" t="n">
        <v>2.02683071</v>
      </c>
      <c r="G47" s="18" t="n">
        <v>39.44992278</v>
      </c>
      <c r="H47" s="20" t="n">
        <v>2.04107063</v>
      </c>
      <c r="I47" s="18" t="n">
        <v>0</v>
      </c>
      <c r="J47" s="20" t="n">
        <v>0</v>
      </c>
      <c r="K47" s="18" t="n">
        <v>2.60235412</v>
      </c>
      <c r="L47" s="20" t="n">
        <v>0.70635483</v>
      </c>
      <c r="M47" s="18" t="n">
        <v>0</v>
      </c>
      <c r="N47" s="20" t="n">
        <v>0</v>
      </c>
      <c r="O47" s="18" t="n">
        <v>0</v>
      </c>
      <c r="P47" s="20" t="n">
        <v>0</v>
      </c>
      <c r="Q47" s="18" t="n">
        <v>0.16048513</v>
      </c>
      <c r="R47" s="20" t="n">
        <v>0.11361516</v>
      </c>
    </row>
    <row r="48" spans="1:18">
      <c r="A48" s="15" t="s">
        <v>607</v>
      </c>
      <c r="B48" s="17" t="n">
        <v>4682</v>
      </c>
      <c r="C48" s="18">
        <f>(3646.0/B48*100)</f>
        <v/>
      </c>
      <c r="D48" s="19" t="n">
        <v>1036</v>
      </c>
      <c r="E48" s="18" t="n">
        <v>43.27884465</v>
      </c>
      <c r="F48" s="20" t="n">
        <v>2.04648681</v>
      </c>
      <c r="G48" s="18" t="n">
        <v>54.78608331</v>
      </c>
      <c r="H48" s="20" t="n">
        <v>2.00795563</v>
      </c>
      <c r="I48" s="18" t="n">
        <v>0</v>
      </c>
      <c r="J48" s="20" t="n">
        <v>0</v>
      </c>
      <c r="K48" s="18" t="n">
        <v>1.93111359</v>
      </c>
      <c r="L48" s="20" t="n">
        <v>0.59878453</v>
      </c>
      <c r="M48" s="18" t="n">
        <v>0</v>
      </c>
      <c r="N48" s="20" t="n">
        <v>0</v>
      </c>
      <c r="O48" s="18" t="n">
        <v>0</v>
      </c>
      <c r="P48" s="20" t="n">
        <v>0</v>
      </c>
      <c r="Q48" s="18" t="n">
        <v>0.00395845</v>
      </c>
      <c r="R48" s="20" t="n">
        <v>0.00393904</v>
      </c>
    </row>
    <row r="49" spans="1:18">
      <c r="A49" s="15" t="s">
        <v>608</v>
      </c>
      <c r="B49" s="17" t="n">
        <v>6158</v>
      </c>
      <c r="C49" s="18">
        <f>(4919.0/B49*100)</f>
        <v/>
      </c>
      <c r="D49" s="19" t="n">
        <v>1239</v>
      </c>
      <c r="E49" s="18" t="n">
        <v>63.80848759</v>
      </c>
      <c r="F49" s="20" t="n">
        <v>1.68981387</v>
      </c>
      <c r="G49" s="18" t="n">
        <v>30.72182487</v>
      </c>
      <c r="H49" s="20" t="n">
        <v>1.57464429</v>
      </c>
      <c r="I49" s="18" t="n">
        <v>0</v>
      </c>
      <c r="J49" s="20" t="n">
        <v>0</v>
      </c>
      <c r="K49" s="18" t="n">
        <v>5.35804523</v>
      </c>
      <c r="L49" s="20" t="n">
        <v>0.86342607</v>
      </c>
      <c r="M49" s="18" t="n">
        <v>0</v>
      </c>
      <c r="N49" s="20" t="n">
        <v>0</v>
      </c>
      <c r="O49" s="18" t="n">
        <v>0</v>
      </c>
      <c r="P49" s="20" t="n">
        <v>0</v>
      </c>
      <c r="Q49" s="18" t="n">
        <v>0.11164231</v>
      </c>
      <c r="R49" s="20" t="n">
        <v>0.0664843</v>
      </c>
    </row>
    <row r="50" spans="1:18">
      <c r="A50" s="15" t="s">
        <v>609</v>
      </c>
      <c r="B50" s="17" t="n">
        <v>3494</v>
      </c>
      <c r="C50" s="18">
        <f>(2846.0/B50*100)</f>
        <v/>
      </c>
      <c r="D50" s="19" t="n">
        <v>648</v>
      </c>
      <c r="E50" s="18" t="n">
        <v>61.64821808</v>
      </c>
      <c r="F50" s="20" t="n">
        <v>1.81950302</v>
      </c>
      <c r="G50" s="18" t="n">
        <v>33.39472787</v>
      </c>
      <c r="H50" s="20" t="n">
        <v>1.89679525</v>
      </c>
      <c r="I50" s="18" t="n">
        <v>0</v>
      </c>
      <c r="J50" s="20" t="n">
        <v>0</v>
      </c>
      <c r="K50" s="18" t="n">
        <v>3.37640939</v>
      </c>
      <c r="L50" s="20" t="n">
        <v>0.79754079</v>
      </c>
      <c r="M50" s="18" t="n">
        <v>0</v>
      </c>
      <c r="N50" s="20" t="n">
        <v>0</v>
      </c>
      <c r="O50" s="18" t="n">
        <v>0</v>
      </c>
      <c r="P50" s="20" t="n">
        <v>0</v>
      </c>
      <c r="Q50" s="18" t="n">
        <v>1.58064467</v>
      </c>
      <c r="R50" s="20" t="n">
        <v>0.5943970200000001</v>
      </c>
    </row>
    <row r="51" spans="1:18">
      <c r="A51" s="15" t="s">
        <v>610</v>
      </c>
      <c r="B51" s="17" t="n">
        <v>3013</v>
      </c>
      <c r="C51" s="18">
        <f>(2375.0/B51*100)</f>
        <v/>
      </c>
      <c r="D51" s="19" t="n">
        <v>638</v>
      </c>
      <c r="E51" s="18" t="n">
        <v>55.46283108</v>
      </c>
      <c r="F51" s="20" t="n">
        <v>2.12730345</v>
      </c>
      <c r="G51" s="18" t="n">
        <v>41.01988728</v>
      </c>
      <c r="H51" s="20" t="n">
        <v>2.19443853</v>
      </c>
      <c r="I51" s="18" t="n">
        <v>0</v>
      </c>
      <c r="J51" s="20" t="n">
        <v>0</v>
      </c>
      <c r="K51" s="18" t="n">
        <v>3.29229696</v>
      </c>
      <c r="L51" s="20" t="n">
        <v>0.69749066</v>
      </c>
      <c r="M51" s="18" t="n">
        <v>0</v>
      </c>
      <c r="N51" s="20" t="n">
        <v>0</v>
      </c>
      <c r="O51" s="18" t="n">
        <v>0</v>
      </c>
      <c r="P51" s="20" t="n">
        <v>0</v>
      </c>
      <c r="Q51" s="18" t="n">
        <v>0.22498467</v>
      </c>
      <c r="R51" s="20" t="n">
        <v>0.15905723</v>
      </c>
    </row>
    <row r="52" spans="1:18">
      <c r="A52" s="15" t="s">
        <v>611</v>
      </c>
      <c r="B52" s="17" t="n">
        <v>2760</v>
      </c>
      <c r="C52" s="18">
        <f>(2157.0/B52*100)</f>
        <v/>
      </c>
      <c r="D52" s="19" t="n">
        <v>603</v>
      </c>
      <c r="E52" s="18" t="n">
        <v>66.94212374</v>
      </c>
      <c r="F52" s="20" t="n">
        <v>2.04308879</v>
      </c>
      <c r="G52" s="18" t="n">
        <v>30.00540292</v>
      </c>
      <c r="H52" s="20" t="n">
        <v>2.08734253</v>
      </c>
      <c r="I52" s="18" t="n">
        <v>0</v>
      </c>
      <c r="J52" s="20" t="n">
        <v>0</v>
      </c>
      <c r="K52" s="18" t="n">
        <v>2.26443725</v>
      </c>
      <c r="L52" s="20" t="n">
        <v>0.47854328</v>
      </c>
      <c r="M52" s="18" t="n">
        <v>0</v>
      </c>
      <c r="N52" s="20" t="n">
        <v>0</v>
      </c>
      <c r="O52" s="18" t="n">
        <v>0</v>
      </c>
      <c r="P52" s="20" t="n">
        <v>0</v>
      </c>
      <c r="Q52" s="18" t="n">
        <v>0.78803608</v>
      </c>
      <c r="R52" s="20" t="n">
        <v>0.39890514</v>
      </c>
    </row>
    <row r="53" spans="1:18">
      <c r="A53" s="15" t="s">
        <v>612</v>
      </c>
      <c r="B53" s="17" t="n">
        <v>2474</v>
      </c>
      <c r="C53" s="18">
        <f>(1947.0/B53*100)</f>
        <v/>
      </c>
      <c r="D53" s="19" t="n">
        <v>527</v>
      </c>
      <c r="E53" s="18" t="n">
        <v>49.89366911</v>
      </c>
      <c r="F53" s="20" t="n">
        <v>2.54465503</v>
      </c>
      <c r="G53" s="18" t="n">
        <v>19.11966922</v>
      </c>
      <c r="H53" s="20" t="n">
        <v>1.81887307</v>
      </c>
      <c r="I53" s="18" t="n">
        <v>0</v>
      </c>
      <c r="J53" s="20" t="n">
        <v>0</v>
      </c>
      <c r="K53" s="18" t="n">
        <v>29.30255006</v>
      </c>
      <c r="L53" s="20" t="n">
        <v>2.48861366</v>
      </c>
      <c r="M53" s="18" t="n">
        <v>0</v>
      </c>
      <c r="N53" s="20" t="n">
        <v>0</v>
      </c>
      <c r="O53" s="18" t="n">
        <v>0</v>
      </c>
      <c r="P53" s="20" t="n">
        <v>0</v>
      </c>
      <c r="Q53" s="18" t="n">
        <v>1.68411161</v>
      </c>
      <c r="R53" s="20" t="n">
        <v>0.56113786</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(2050.0/B55*100)</f>
        <v/>
      </c>
      <c r="D55" s="19" t="n">
        <v>625</v>
      </c>
      <c r="E55" s="18" t="n">
        <v>40.47826408</v>
      </c>
      <c r="F55" s="20" t="n">
        <v>2.02225287</v>
      </c>
      <c r="G55" s="18" t="n">
        <v>58.86057804</v>
      </c>
      <c r="H55" s="20" t="n">
        <v>2.0391251</v>
      </c>
      <c r="I55" s="18" t="n">
        <v>0</v>
      </c>
      <c r="J55" s="20" t="n">
        <v>0</v>
      </c>
      <c r="K55" s="18" t="n">
        <v>0.66115787</v>
      </c>
      <c r="L55" s="20" t="n">
        <v>0.43778043</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(2492.0/B61*100)</f>
        <v/>
      </c>
      <c r="D61" s="19" t="n">
        <v>709</v>
      </c>
      <c r="E61" s="18" t="n">
        <v>55.29999361</v>
      </c>
      <c r="F61" s="20" t="n">
        <v>1.88658216</v>
      </c>
      <c r="G61" s="18" t="n">
        <v>42.28424626</v>
      </c>
      <c r="H61" s="20" t="n">
        <v>1.86971741</v>
      </c>
      <c r="I61" s="18" t="n">
        <v>0</v>
      </c>
      <c r="J61" s="20" t="n">
        <v>0</v>
      </c>
      <c r="K61" s="18" t="n">
        <v>2.03047705</v>
      </c>
      <c r="L61" s="20" t="n">
        <v>0.52781351</v>
      </c>
      <c r="M61" s="18" t="n">
        <v>0</v>
      </c>
      <c r="N61" s="20" t="n">
        <v>0</v>
      </c>
      <c r="O61" s="18" t="n">
        <v>0</v>
      </c>
      <c r="P61" s="20" t="n">
        <v>0</v>
      </c>
      <c r="Q61" s="18" t="n">
        <v>0.38528309</v>
      </c>
      <c r="R61" s="20" t="n">
        <v>0.2242279</v>
      </c>
    </row>
    <row r="62" spans="1:18">
      <c r="A62" s="15" t="s">
        <v>622</v>
      </c>
      <c r="B62" s="17" t="n">
        <v>2230</v>
      </c>
      <c r="C62" s="18">
        <f>(1760.0/B62*100)</f>
        <v/>
      </c>
      <c r="D62" s="19" t="n">
        <v>470</v>
      </c>
      <c r="E62" s="18" t="n">
        <v>37.56233609</v>
      </c>
      <c r="F62" s="20" t="n">
        <v>2.19769095</v>
      </c>
      <c r="G62" s="18" t="n">
        <v>62.01520032</v>
      </c>
      <c r="H62" s="20" t="n">
        <v>2.26025205</v>
      </c>
      <c r="I62" s="18" t="n">
        <v>0</v>
      </c>
      <c r="J62" s="20" t="n">
        <v>0</v>
      </c>
      <c r="K62" s="18" t="n">
        <v>0.21123179</v>
      </c>
      <c r="L62" s="20" t="n">
        <v>0.21032672</v>
      </c>
      <c r="M62" s="18" t="n">
        <v>0</v>
      </c>
      <c r="N62" s="20" t="n">
        <v>0</v>
      </c>
      <c r="O62" s="18" t="n">
        <v>0</v>
      </c>
      <c r="P62" s="20" t="n">
        <v>0</v>
      </c>
      <c r="Q62" s="18" t="n">
        <v>0.21123179</v>
      </c>
      <c r="R62" s="20" t="n">
        <v>0.21202574</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(2200.0/B67*100)</f>
        <v/>
      </c>
      <c r="D67" s="19" t="n">
        <v>571</v>
      </c>
      <c r="E67" s="18" t="n">
        <v>63.64711225</v>
      </c>
      <c r="F67" s="20" t="n">
        <v>1.850183</v>
      </c>
      <c r="G67" s="18" t="n">
        <v>28.33152359</v>
      </c>
      <c r="H67" s="20" t="n">
        <v>1.77581709</v>
      </c>
      <c r="I67" s="18" t="n">
        <v>0</v>
      </c>
      <c r="J67" s="20" t="n">
        <v>0</v>
      </c>
      <c r="K67" s="18" t="n">
        <v>7.66694323</v>
      </c>
      <c r="L67" s="20" t="n">
        <v>1.11622361</v>
      </c>
      <c r="M67" s="18" t="n">
        <v>0</v>
      </c>
      <c r="N67" s="20" t="n">
        <v>0</v>
      </c>
      <c r="O67" s="18" t="n">
        <v>0</v>
      </c>
      <c r="P67" s="20" t="n">
        <v>0</v>
      </c>
      <c r="Q67" s="18" t="n">
        <v>0.35442093</v>
      </c>
      <c r="R67" s="20" t="n">
        <v>0.25557017</v>
      </c>
    </row>
    <row r="68" spans="1:18">
      <c r="A68" s="15" t="s">
        <v>628</v>
      </c>
      <c r="B68" s="17" t="n">
        <v>3460</v>
      </c>
      <c r="C68" s="18">
        <f>(2889.0/B68*100)</f>
        <v/>
      </c>
      <c r="D68" s="19" t="n">
        <v>571</v>
      </c>
      <c r="E68" s="18" t="n">
        <v>57.29950475</v>
      </c>
      <c r="F68" s="20" t="n">
        <v>2.37704222</v>
      </c>
      <c r="G68" s="18" t="n">
        <v>40.76532905</v>
      </c>
      <c r="H68" s="20" t="n">
        <v>2.47220166</v>
      </c>
      <c r="I68" s="18" t="n">
        <v>0</v>
      </c>
      <c r="J68" s="20" t="n">
        <v>0</v>
      </c>
      <c r="K68" s="18" t="n">
        <v>1.42780102</v>
      </c>
      <c r="L68" s="20" t="n">
        <v>0.5880151</v>
      </c>
      <c r="M68" s="18" t="n">
        <v>0</v>
      </c>
      <c r="N68" s="20" t="n">
        <v>0</v>
      </c>
      <c r="O68" s="18" t="n">
        <v>0</v>
      </c>
      <c r="P68" s="20" t="n">
        <v>0</v>
      </c>
      <c r="Q68" s="18" t="n">
        <v>0.50736518</v>
      </c>
      <c r="R68" s="20" t="n">
        <v>0.2694025</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(4654.0/B70*100)</f>
        <v/>
      </c>
      <c r="D70" s="19" t="n">
        <v>1380</v>
      </c>
      <c r="E70" s="18" t="n">
        <v>57.20208476</v>
      </c>
      <c r="F70" s="20" t="n">
        <v>1.22282527</v>
      </c>
      <c r="G70" s="18" t="n">
        <v>35.72263631</v>
      </c>
      <c r="H70" s="20" t="n">
        <v>1.17226657</v>
      </c>
      <c r="I70" s="18" t="n">
        <v>0</v>
      </c>
      <c r="J70" s="20" t="n">
        <v>0</v>
      </c>
      <c r="K70" s="18" t="n">
        <v>6.49770301</v>
      </c>
      <c r="L70" s="20" t="n">
        <v>0.65173409</v>
      </c>
      <c r="M70" s="18" t="n">
        <v>0</v>
      </c>
      <c r="N70" s="20" t="n">
        <v>0</v>
      </c>
      <c r="O70" s="18" t="n">
        <v>0</v>
      </c>
      <c r="P70" s="20" t="n">
        <v>0</v>
      </c>
      <c r="Q70" s="18" t="n">
        <v>0.57757591</v>
      </c>
      <c r="R70" s="20" t="n">
        <v>0.18273561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(2549.0/B72*100)</f>
        <v/>
      </c>
      <c r="D72" s="19" t="n">
        <v>558</v>
      </c>
      <c r="E72" s="18" t="n">
        <v>62.54715505</v>
      </c>
      <c r="F72" s="20" t="n">
        <v>1.93129277</v>
      </c>
      <c r="G72" s="18" t="n">
        <v>34.83799849</v>
      </c>
      <c r="H72" s="20" t="n">
        <v>2.06461336</v>
      </c>
      <c r="I72" s="18" t="n">
        <v>0</v>
      </c>
      <c r="J72" s="20" t="n">
        <v>0</v>
      </c>
      <c r="K72" s="18" t="n">
        <v>2.39172548</v>
      </c>
      <c r="L72" s="20" t="n">
        <v>0.58130719</v>
      </c>
      <c r="M72" s="18" t="n">
        <v>0</v>
      </c>
      <c r="N72" s="20" t="n">
        <v>0</v>
      </c>
      <c r="O72" s="18" t="n">
        <v>0</v>
      </c>
      <c r="P72" s="20" t="n">
        <v>0</v>
      </c>
      <c r="Q72" s="18" t="n">
        <v>0.22312098</v>
      </c>
      <c r="R72" s="20" t="n">
        <v>0.15718048</v>
      </c>
    </row>
    <row r="73" spans="1:18">
      <c r="A73" s="15" t="s">
        <v>633</v>
      </c>
      <c r="B73" s="17" t="n">
        <v>2973</v>
      </c>
      <c r="C73" s="18">
        <f>(2338.0/B73*100)</f>
        <v/>
      </c>
      <c r="D73" s="19" t="n">
        <v>635</v>
      </c>
      <c r="E73" s="18" t="n">
        <v>37.73348416</v>
      </c>
      <c r="F73" s="20" t="n">
        <v>1.73114527</v>
      </c>
      <c r="G73" s="18" t="n">
        <v>60.90004235</v>
      </c>
      <c r="H73" s="20" t="n">
        <v>1.83041826</v>
      </c>
      <c r="I73" s="18" t="n">
        <v>0</v>
      </c>
      <c r="J73" s="20" t="n">
        <v>0</v>
      </c>
      <c r="K73" s="18" t="n">
        <v>1.36647348</v>
      </c>
      <c r="L73" s="20" t="n">
        <v>0.49584731</v>
      </c>
      <c r="M73" s="18" t="n">
        <v>0</v>
      </c>
      <c r="N73" s="20" t="n">
        <v>0</v>
      </c>
      <c r="O73" s="18" t="n">
        <v>0</v>
      </c>
      <c r="P73" s="20" t="n">
        <v>0</v>
      </c>
      <c r="Q73" s="18" t="n">
        <v>0</v>
      </c>
      <c r="R73" s="20" t="n">
        <v>0</v>
      </c>
    </row>
    <row r="74" spans="1:18">
      <c r="A74" s="15" t="s">
        <v>634</v>
      </c>
      <c r="B74" s="17" t="n">
        <v>3819</v>
      </c>
      <c r="C74" s="18">
        <f>(2978.0/B74*100)</f>
        <v/>
      </c>
      <c r="D74" s="19" t="n">
        <v>841</v>
      </c>
      <c r="E74" s="18" t="n">
        <v>41.64900336</v>
      </c>
      <c r="F74" s="20" t="n">
        <v>1.95811388</v>
      </c>
      <c r="G74" s="18" t="n">
        <v>58.1504705</v>
      </c>
      <c r="H74" s="20" t="n">
        <v>1.96696859</v>
      </c>
      <c r="I74" s="18" t="n">
        <v>0</v>
      </c>
      <c r="J74" s="20" t="n">
        <v>0</v>
      </c>
      <c r="K74" s="18" t="n">
        <v>0.08618136</v>
      </c>
      <c r="L74" s="20" t="n">
        <v>0.08667208</v>
      </c>
      <c r="M74" s="18" t="n">
        <v>0</v>
      </c>
      <c r="N74" s="20" t="n">
        <v>0</v>
      </c>
      <c r="O74" s="18" t="n">
        <v>0</v>
      </c>
      <c r="P74" s="20" t="n">
        <v>0</v>
      </c>
      <c r="Q74" s="18" t="n">
        <v>0.11434477</v>
      </c>
      <c r="R74" s="20" t="n">
        <v>0.08113161000000001</v>
      </c>
    </row>
    <row r="75" spans="1:18">
      <c r="A75" s="15" t="s">
        <v>635</v>
      </c>
      <c r="B75" s="17" t="n">
        <v>4652</v>
      </c>
      <c r="C75" s="18">
        <f>(3739.0/B75*100)</f>
        <v/>
      </c>
      <c r="D75" s="19" t="n">
        <v>913</v>
      </c>
      <c r="E75" s="18" t="n">
        <v>59.22753821</v>
      </c>
      <c r="F75" s="20" t="n">
        <v>1.8110025</v>
      </c>
      <c r="G75" s="18" t="n">
        <v>40.4151135</v>
      </c>
      <c r="H75" s="20" t="n">
        <v>1.81304025</v>
      </c>
      <c r="I75" s="18" t="n">
        <v>0</v>
      </c>
      <c r="J75" s="20" t="n">
        <v>0</v>
      </c>
      <c r="K75" s="18" t="n">
        <v>0.2045606</v>
      </c>
      <c r="L75" s="20" t="n">
        <v>0.159034</v>
      </c>
      <c r="M75" s="18" t="n">
        <v>0</v>
      </c>
      <c r="N75" s="20" t="n">
        <v>0</v>
      </c>
      <c r="O75" s="18" t="n">
        <v>0</v>
      </c>
      <c r="P75" s="20" t="n">
        <v>0</v>
      </c>
      <c r="Q75" s="18" t="n">
        <v>0.15278769</v>
      </c>
      <c r="R75" s="20" t="n">
        <v>0.14766957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(2433.0/B77*100)</f>
        <v/>
      </c>
      <c r="D77" s="19" t="n">
        <v>536</v>
      </c>
      <c r="E77" s="18" t="n">
        <v>62.56125772</v>
      </c>
      <c r="F77" s="20" t="n">
        <v>2.18753834</v>
      </c>
      <c r="G77" s="18" t="n">
        <v>25.56308239</v>
      </c>
      <c r="H77" s="20" t="n">
        <v>1.92139658</v>
      </c>
      <c r="I77" s="18" t="n">
        <v>0</v>
      </c>
      <c r="J77" s="20" t="n">
        <v>0</v>
      </c>
      <c r="K77" s="18" t="n">
        <v>10.97619537</v>
      </c>
      <c r="L77" s="20" t="n">
        <v>1.67492089</v>
      </c>
      <c r="M77" s="18" t="n">
        <v>0</v>
      </c>
      <c r="N77" s="20" t="n">
        <v>0</v>
      </c>
      <c r="O77" s="18" t="n">
        <v>0</v>
      </c>
      <c r="P77" s="20" t="n">
        <v>0</v>
      </c>
      <c r="Q77" s="18" t="n">
        <v>0.8994645100000001</v>
      </c>
      <c r="R77" s="20" t="n">
        <v>0.40147381</v>
      </c>
    </row>
    <row r="78" spans="1:18">
      <c r="A78" s="15" t="s">
        <v>638</v>
      </c>
      <c r="B78" s="17" t="n">
        <v>7115</v>
      </c>
      <c r="C78" s="18">
        <f>(5588.0/B78*100)</f>
        <v/>
      </c>
      <c r="D78" s="19" t="n">
        <v>1527</v>
      </c>
      <c r="E78" s="18" t="n">
        <v>55.20709131</v>
      </c>
      <c r="F78" s="20" t="n">
        <v>1.63664359</v>
      </c>
      <c r="G78" s="18" t="n">
        <v>41.23358876</v>
      </c>
      <c r="H78" s="20" t="n">
        <v>1.62256711</v>
      </c>
      <c r="I78" s="18" t="n">
        <v>0</v>
      </c>
      <c r="J78" s="20" t="n">
        <v>0</v>
      </c>
      <c r="K78" s="18" t="n">
        <v>2.73716744</v>
      </c>
      <c r="L78" s="20" t="n">
        <v>0.58328845</v>
      </c>
      <c r="M78" s="18" t="n">
        <v>0</v>
      </c>
      <c r="N78" s="20" t="n">
        <v>0</v>
      </c>
      <c r="O78" s="18" t="n">
        <v>0</v>
      </c>
      <c r="P78" s="20" t="n">
        <v>0</v>
      </c>
      <c r="Q78" s="18" t="n">
        <v>0.82215248</v>
      </c>
      <c r="R78" s="20" t="n">
        <v>0.26876352</v>
      </c>
    </row>
    <row r="79" spans="1:18">
      <c r="A79" s="15" t="s">
        <v>639</v>
      </c>
      <c r="B79" s="17" t="n">
        <v>3154</v>
      </c>
      <c r="C79" s="18">
        <f>(2510.0/B79*100)</f>
        <v/>
      </c>
      <c r="D79" s="19" t="n">
        <v>644</v>
      </c>
      <c r="E79" s="18" t="n">
        <v>62.27913226</v>
      </c>
      <c r="F79" s="20" t="n">
        <v>1.84629945</v>
      </c>
      <c r="G79" s="18" t="n">
        <v>30.35168707</v>
      </c>
      <c r="H79" s="20" t="n">
        <v>1.68237599</v>
      </c>
      <c r="I79" s="18" t="n">
        <v>0</v>
      </c>
      <c r="J79" s="20" t="n">
        <v>0</v>
      </c>
      <c r="K79" s="18" t="n">
        <v>6.62062573</v>
      </c>
      <c r="L79" s="20" t="n">
        <v>0.92642988</v>
      </c>
      <c r="M79" s="18" t="n">
        <v>0</v>
      </c>
      <c r="N79" s="20" t="n">
        <v>0</v>
      </c>
      <c r="O79" s="18" t="n">
        <v>0</v>
      </c>
      <c r="P79" s="20" t="n">
        <v>0</v>
      </c>
      <c r="Q79" s="18" t="n">
        <v>0.74855493</v>
      </c>
      <c r="R79" s="20" t="n">
        <v>0.28527887</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(12612.0/B82*100)</f>
        <v/>
      </c>
      <c r="D82" s="19" t="n">
        <v>3349</v>
      </c>
      <c r="E82" s="18" t="n">
        <v>49.35452474</v>
      </c>
      <c r="F82" s="20" t="n">
        <v>1.24775281</v>
      </c>
      <c r="G82" s="18" t="n">
        <v>48.09153251</v>
      </c>
      <c r="H82" s="20" t="n">
        <v>1.24559026</v>
      </c>
      <c r="I82" s="18" t="n">
        <v>0</v>
      </c>
      <c r="J82" s="20" t="n">
        <v>0</v>
      </c>
      <c r="K82" s="18" t="n">
        <v>2.0002918</v>
      </c>
      <c r="L82" s="20" t="n">
        <v>0.28463721</v>
      </c>
      <c r="M82" s="18" t="n">
        <v>0</v>
      </c>
      <c r="N82" s="20" t="n">
        <v>0</v>
      </c>
      <c r="O82" s="18" t="n">
        <v>0</v>
      </c>
      <c r="P82" s="20" t="n">
        <v>0</v>
      </c>
      <c r="Q82" s="18" t="n">
        <v>0.55365095</v>
      </c>
      <c r="R82" s="20" t="n">
        <v>0.18986287</v>
      </c>
    </row>
    <row r="83" spans="1:18">
      <c r="A83" s="15" t="s">
        <v>643</v>
      </c>
      <c r="B83" s="17" t="n">
        <v>808</v>
      </c>
      <c r="C83" s="18">
        <f>(637.0/B83*100)</f>
        <v/>
      </c>
      <c r="D83" s="19" t="n">
        <v>171</v>
      </c>
      <c r="E83" s="18" t="n">
        <v>40.92620568</v>
      </c>
      <c r="F83" s="20" t="n">
        <v>4.82074629</v>
      </c>
      <c r="G83" s="18" t="n">
        <v>58.36048748</v>
      </c>
      <c r="H83" s="20" t="n">
        <v>4.58890736</v>
      </c>
      <c r="I83" s="18" t="n">
        <v>0</v>
      </c>
      <c r="J83" s="20" t="n">
        <v>0</v>
      </c>
      <c r="K83" s="18" t="n">
        <v>0.71330684</v>
      </c>
      <c r="L83" s="20" t="n">
        <v>0.74491237</v>
      </c>
      <c r="M83" s="18" t="n">
        <v>0</v>
      </c>
      <c r="N83" s="20" t="n">
        <v>0</v>
      </c>
      <c r="O83" s="18" t="n">
        <v>0</v>
      </c>
      <c r="P83" s="20" t="n">
        <v>0</v>
      </c>
      <c r="Q83" s="18" t="n">
        <v>0</v>
      </c>
      <c r="R83" s="20" t="n">
        <v>0</v>
      </c>
    </row>
    <row r="84" spans="1:18">
      <c r="A84" s="23" t="s">
        <v>644</v>
      </c>
      <c r="B84" s="24" t="n">
        <v>938</v>
      </c>
      <c r="C84" s="25">
        <f>(741.0/B84*100)</f>
        <v/>
      </c>
      <c r="D84" s="19" t="n">
        <v>197</v>
      </c>
      <c r="E84" s="18" t="n">
        <v>54.15729974</v>
      </c>
      <c r="F84" s="20" t="n">
        <v>3.65818189</v>
      </c>
      <c r="G84" s="18" t="n">
        <v>44.79368418</v>
      </c>
      <c r="H84" s="20" t="n">
        <v>3.65361578</v>
      </c>
      <c r="I84" s="18" t="n">
        <v>0</v>
      </c>
      <c r="J84" s="20" t="n">
        <v>0</v>
      </c>
      <c r="K84" s="18" t="n">
        <v>0</v>
      </c>
      <c r="L84" s="20" t="n">
        <v>0</v>
      </c>
      <c r="M84" s="18" t="n">
        <v>0</v>
      </c>
      <c r="N84" s="20" t="n">
        <v>0</v>
      </c>
      <c r="O84" s="18" t="n">
        <v>0</v>
      </c>
      <c r="P84" s="20" t="n">
        <v>0</v>
      </c>
      <c r="Q84" s="18" t="n">
        <v>1.04901608</v>
      </c>
      <c r="R84" s="20" t="n">
        <v>0.74834486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V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814</v>
      </c>
    </row>
    <row customHeight="1" ht="30" r="4" spans="1:22">
      <c r="A4" s="6" t="n"/>
      <c r="B4" s="7" t="s">
        <v>551</v>
      </c>
      <c r="C4" s="7" t="s">
        <v>552</v>
      </c>
      <c r="D4" s="8" t="s">
        <v>551</v>
      </c>
      <c r="E4" s="9" t="s">
        <v>655</v>
      </c>
      <c r="F4" s="10" t="n"/>
      <c r="G4" s="9" t="s">
        <v>815</v>
      </c>
      <c r="H4" s="10" t="n"/>
      <c r="I4" s="9" t="s">
        <v>816</v>
      </c>
      <c r="J4" s="10" t="n"/>
      <c r="K4" s="9" t="s">
        <v>817</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row>
    <row r="6" spans="1:22">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565</v>
      </c>
      <c r="B7" s="17" t="n">
        <v>7163</v>
      </c>
      <c r="C7" s="18">
        <f>(5690.0/B7*100)</f>
        <v/>
      </c>
      <c r="D7" s="19" t="n">
        <v>1473</v>
      </c>
      <c r="E7" s="18" t="n">
        <v>38.23065478</v>
      </c>
      <c r="F7" s="20" t="n">
        <v>1.70463375</v>
      </c>
      <c r="G7" s="18" t="n">
        <v>11.66246393</v>
      </c>
      <c r="H7" s="20" t="n">
        <v>0.98941437</v>
      </c>
      <c r="I7" s="18" t="n">
        <v>11.10211378</v>
      </c>
      <c r="J7" s="20" t="n">
        <v>1.10859185</v>
      </c>
      <c r="K7" s="18" t="n">
        <v>22.36622522</v>
      </c>
      <c r="L7" s="20" t="n">
        <v>1.3117244</v>
      </c>
      <c r="M7" s="18" t="n">
        <v>0</v>
      </c>
      <c r="N7" s="20" t="n">
        <v>0</v>
      </c>
      <c r="O7" s="18" t="n">
        <v>16.56831183</v>
      </c>
      <c r="P7" s="20" t="n">
        <v>1.11380608</v>
      </c>
      <c r="Q7" s="18" t="n">
        <v>0.07023045999999999</v>
      </c>
      <c r="R7" s="20" t="n">
        <v>0.04969618</v>
      </c>
      <c r="S7" s="18" t="n">
        <v>0</v>
      </c>
      <c r="T7" s="20" t="n">
        <v>0</v>
      </c>
      <c r="U7" s="18" t="n">
        <v>0</v>
      </c>
      <c r="V7" s="20" t="n">
        <v>0</v>
      </c>
    </row>
    <row r="8" spans="1:22">
      <c r="A8" s="15" t="s">
        <v>566</v>
      </c>
      <c r="B8" s="17" t="n">
        <v>3443</v>
      </c>
      <c r="C8" s="18">
        <f>(2742.0/B8*100)</f>
        <v/>
      </c>
      <c r="D8" s="19" t="n">
        <v>701</v>
      </c>
      <c r="E8" s="18" t="n">
        <v>33.77899389</v>
      </c>
      <c r="F8" s="20" t="n">
        <v>2.1029945</v>
      </c>
      <c r="G8" s="18" t="n">
        <v>13.891369</v>
      </c>
      <c r="H8" s="20" t="n">
        <v>1.67629971</v>
      </c>
      <c r="I8" s="18" t="n">
        <v>7.34100778</v>
      </c>
      <c r="J8" s="20" t="n">
        <v>1.02271282</v>
      </c>
      <c r="K8" s="18" t="n">
        <v>10.3427035</v>
      </c>
      <c r="L8" s="20" t="n">
        <v>1.27418528</v>
      </c>
      <c r="M8" s="18" t="n">
        <v>0</v>
      </c>
      <c r="N8" s="20" t="n">
        <v>0</v>
      </c>
      <c r="O8" s="18" t="n">
        <v>34.64592583</v>
      </c>
      <c r="P8" s="20" t="n">
        <v>2.09936541</v>
      </c>
      <c r="Q8" s="18" t="n">
        <v>0</v>
      </c>
      <c r="R8" s="20" t="n">
        <v>0</v>
      </c>
      <c r="S8" s="18" t="n">
        <v>0</v>
      </c>
      <c r="T8" s="20" t="n">
        <v>0</v>
      </c>
      <c r="U8" s="18" t="n">
        <v>0</v>
      </c>
      <c r="V8" s="20" t="n">
        <v>0</v>
      </c>
    </row>
    <row r="9" spans="1:22">
      <c r="A9" s="15" t="s">
        <v>567</v>
      </c>
      <c r="B9" s="17" t="n">
        <v>4752</v>
      </c>
      <c r="C9" s="18">
        <f>(3782.0/B9*100)</f>
        <v/>
      </c>
      <c r="D9" s="19" t="n">
        <v>970</v>
      </c>
      <c r="E9" s="18" t="n">
        <v>43.53705835</v>
      </c>
      <c r="F9" s="20" t="n">
        <v>1.56061753</v>
      </c>
      <c r="G9" s="18" t="n">
        <v>15.50128956</v>
      </c>
      <c r="H9" s="20" t="n">
        <v>1.08474795</v>
      </c>
      <c r="I9" s="18" t="n">
        <v>8.39833979</v>
      </c>
      <c r="J9" s="20" t="n">
        <v>1.01501724</v>
      </c>
      <c r="K9" s="18" t="n">
        <v>7.19019617</v>
      </c>
      <c r="L9" s="20" t="n">
        <v>0.9067547</v>
      </c>
      <c r="M9" s="18" t="n">
        <v>0</v>
      </c>
      <c r="N9" s="20" t="n">
        <v>0</v>
      </c>
      <c r="O9" s="18" t="n">
        <v>25.0475321</v>
      </c>
      <c r="P9" s="20" t="n">
        <v>1.44727847</v>
      </c>
      <c r="Q9" s="18" t="n">
        <v>0.32558404</v>
      </c>
      <c r="R9" s="20" t="n">
        <v>0.15034077</v>
      </c>
      <c r="S9" s="18" t="n">
        <v>0</v>
      </c>
      <c r="T9" s="20" t="n">
        <v>0</v>
      </c>
      <c r="U9" s="18" t="n">
        <v>0</v>
      </c>
      <c r="V9" s="20" t="n">
        <v>0</v>
      </c>
    </row>
    <row r="10" spans="1:22">
      <c r="A10" s="15" t="s">
        <v>568</v>
      </c>
      <c r="B10" s="17" t="n">
        <v>10022</v>
      </c>
      <c r="C10" s="18">
        <f>(7893.0/B10*100)</f>
        <v/>
      </c>
      <c r="D10" s="19" t="n">
        <v>2129</v>
      </c>
      <c r="E10" s="18" t="n">
        <v>37.01448965</v>
      </c>
      <c r="F10" s="20" t="n">
        <v>1.50541843</v>
      </c>
      <c r="G10" s="18" t="n">
        <v>24.01449505</v>
      </c>
      <c r="H10" s="20" t="n">
        <v>1.21878022</v>
      </c>
      <c r="I10" s="18" t="n">
        <v>5.8569106</v>
      </c>
      <c r="J10" s="20" t="n">
        <v>0.64300557</v>
      </c>
      <c r="K10" s="18" t="n">
        <v>25.01836852</v>
      </c>
      <c r="L10" s="20" t="n">
        <v>1.70947234</v>
      </c>
      <c r="M10" s="18" t="n">
        <v>0</v>
      </c>
      <c r="N10" s="20" t="n">
        <v>0</v>
      </c>
      <c r="O10" s="18" t="n">
        <v>8.091915480000001</v>
      </c>
      <c r="P10" s="20" t="n">
        <v>0.80903965</v>
      </c>
      <c r="Q10" s="18" t="n">
        <v>0.0038207</v>
      </c>
      <c r="R10" s="20" t="n">
        <v>0.00391128</v>
      </c>
      <c r="S10" s="18" t="n">
        <v>0</v>
      </c>
      <c r="T10" s="20" t="n">
        <v>0</v>
      </c>
      <c r="U10" s="18" t="n">
        <v>0</v>
      </c>
      <c r="V10" s="20" t="n">
        <v>0</v>
      </c>
    </row>
    <row r="11" spans="1:22">
      <c r="A11" s="15" t="s">
        <v>569</v>
      </c>
      <c r="B11" s="17" t="n">
        <v>3500</v>
      </c>
      <c r="C11" s="18">
        <f>(2814.0/B11*100)</f>
        <v/>
      </c>
      <c r="D11" s="19" t="n">
        <v>686</v>
      </c>
      <c r="E11" s="18" t="n">
        <v>42.76144375</v>
      </c>
      <c r="F11" s="20" t="n">
        <v>2.19027732</v>
      </c>
      <c r="G11" s="18" t="n">
        <v>11.36491923</v>
      </c>
      <c r="H11" s="20" t="n">
        <v>1.33684205</v>
      </c>
      <c r="I11" s="18" t="n">
        <v>9.34253717</v>
      </c>
      <c r="J11" s="20" t="n">
        <v>1.42822581</v>
      </c>
      <c r="K11" s="18" t="n">
        <v>7.29265007</v>
      </c>
      <c r="L11" s="20" t="n">
        <v>1.13159527</v>
      </c>
      <c r="M11" s="18" t="n">
        <v>0</v>
      </c>
      <c r="N11" s="20" t="n">
        <v>0</v>
      </c>
      <c r="O11" s="18" t="n">
        <v>29.17447715</v>
      </c>
      <c r="P11" s="20" t="n">
        <v>1.8738684</v>
      </c>
      <c r="Q11" s="18" t="n">
        <v>0.06397261999999999</v>
      </c>
      <c r="R11" s="20" t="n">
        <v>0.07010561999999999</v>
      </c>
      <c r="S11" s="18" t="n">
        <v>0</v>
      </c>
      <c r="T11" s="20" t="n">
        <v>0</v>
      </c>
      <c r="U11" s="18" t="n">
        <v>0</v>
      </c>
      <c r="V11" s="20" t="n">
        <v>0</v>
      </c>
    </row>
    <row r="12" spans="1:22">
      <c r="A12" s="15" t="s">
        <v>570</v>
      </c>
      <c r="B12" s="17" t="n">
        <v>3422</v>
      </c>
      <c r="C12" s="18">
        <f>(2683.0/B12*100)</f>
        <v/>
      </c>
      <c r="D12" s="19" t="n">
        <v>739</v>
      </c>
      <c r="E12" s="18" t="n">
        <v>29.02107908</v>
      </c>
      <c r="F12" s="20" t="n">
        <v>2.15675919</v>
      </c>
      <c r="G12" s="18" t="n">
        <v>4.98498964</v>
      </c>
      <c r="H12" s="20" t="n">
        <v>0.77645498</v>
      </c>
      <c r="I12" s="18" t="n">
        <v>18.25976915</v>
      </c>
      <c r="J12" s="20" t="n">
        <v>1.53319604</v>
      </c>
      <c r="K12" s="18" t="n">
        <v>14.55289665</v>
      </c>
      <c r="L12" s="20" t="n">
        <v>1.36054321</v>
      </c>
      <c r="M12" s="18" t="n">
        <v>0</v>
      </c>
      <c r="N12" s="20" t="n">
        <v>0</v>
      </c>
      <c r="O12" s="18" t="n">
        <v>33.12985012</v>
      </c>
      <c r="P12" s="20" t="n">
        <v>2.33620986</v>
      </c>
      <c r="Q12" s="18" t="n">
        <v>0.05141535</v>
      </c>
      <c r="R12" s="20" t="n">
        <v>0.05151393</v>
      </c>
      <c r="S12" s="18" t="n">
        <v>0</v>
      </c>
      <c r="T12" s="20" t="n">
        <v>0</v>
      </c>
      <c r="U12" s="18" t="n">
        <v>0</v>
      </c>
      <c r="V12" s="20" t="n">
        <v>0</v>
      </c>
    </row>
    <row r="13" spans="1:22">
      <c r="A13" s="15" t="s">
        <v>571</v>
      </c>
      <c r="B13" s="17" t="n">
        <v>3602</v>
      </c>
      <c r="C13" s="18">
        <f>(2864.0/B13*100)</f>
        <v/>
      </c>
      <c r="D13" s="19" t="n">
        <v>738</v>
      </c>
      <c r="E13" s="18" t="n">
        <v>37.55791484</v>
      </c>
      <c r="F13" s="20" t="n">
        <v>2.16481577</v>
      </c>
      <c r="G13" s="18" t="n">
        <v>27.13139227</v>
      </c>
      <c r="H13" s="20" t="n">
        <v>2.13579876</v>
      </c>
      <c r="I13" s="18" t="n">
        <v>4.05804966</v>
      </c>
      <c r="J13" s="20" t="n">
        <v>0.82496459</v>
      </c>
      <c r="K13" s="18" t="n">
        <v>11.16385375</v>
      </c>
      <c r="L13" s="20" t="n">
        <v>1.31981255</v>
      </c>
      <c r="M13" s="18" t="n">
        <v>0</v>
      </c>
      <c r="N13" s="20" t="n">
        <v>0</v>
      </c>
      <c r="O13" s="18" t="n">
        <v>20.08878948</v>
      </c>
      <c r="P13" s="20" t="n">
        <v>1.89485185</v>
      </c>
      <c r="Q13" s="18" t="n">
        <v>0</v>
      </c>
      <c r="R13" s="20" t="n">
        <v>0</v>
      </c>
      <c r="S13" s="18" t="n">
        <v>0</v>
      </c>
      <c r="T13" s="20" t="n">
        <v>0</v>
      </c>
      <c r="U13" s="18" t="n">
        <v>0</v>
      </c>
      <c r="V13" s="20" t="n">
        <v>0</v>
      </c>
    </row>
    <row r="14" spans="1:22">
      <c r="A14" s="15" t="s">
        <v>572</v>
      </c>
      <c r="B14" s="17" t="n">
        <v>2788</v>
      </c>
      <c r="C14" s="18">
        <f>(2195.0/B14*100)</f>
        <v/>
      </c>
      <c r="D14" s="19" t="n">
        <v>593</v>
      </c>
      <c r="E14" s="18" t="n">
        <v>19.95263826</v>
      </c>
      <c r="F14" s="20" t="n">
        <v>1.86529932</v>
      </c>
      <c r="G14" s="18" t="n">
        <v>16.10028081</v>
      </c>
      <c r="H14" s="20" t="n">
        <v>1.59047859</v>
      </c>
      <c r="I14" s="18" t="n">
        <v>7.57581238</v>
      </c>
      <c r="J14" s="20" t="n">
        <v>1.33437563</v>
      </c>
      <c r="K14" s="18" t="n">
        <v>42.96761134</v>
      </c>
      <c r="L14" s="20" t="n">
        <v>2.22978567</v>
      </c>
      <c r="M14" s="18" t="n">
        <v>0</v>
      </c>
      <c r="N14" s="20" t="n">
        <v>0</v>
      </c>
      <c r="O14" s="18" t="n">
        <v>13.40365722</v>
      </c>
      <c r="P14" s="20" t="n">
        <v>1.40224645</v>
      </c>
      <c r="Q14" s="18" t="n">
        <v>0</v>
      </c>
      <c r="R14" s="20" t="n">
        <v>0</v>
      </c>
      <c r="S14" s="18" t="n">
        <v>0</v>
      </c>
      <c r="T14" s="20" t="n">
        <v>0</v>
      </c>
      <c r="U14" s="18" t="n">
        <v>0</v>
      </c>
      <c r="V14" s="20" t="n">
        <v>0</v>
      </c>
    </row>
    <row r="15" spans="1:22">
      <c r="A15" s="15" t="s">
        <v>573</v>
      </c>
      <c r="B15" s="17" t="n">
        <v>2863</v>
      </c>
      <c r="C15" s="18">
        <f>(2265.0/B15*100)</f>
        <v/>
      </c>
      <c r="D15" s="19" t="n">
        <v>598</v>
      </c>
      <c r="E15" s="18" t="n">
        <v>37.89392749</v>
      </c>
      <c r="F15" s="20" t="n">
        <v>1.9676562</v>
      </c>
      <c r="G15" s="18" t="n">
        <v>12.83464547</v>
      </c>
      <c r="H15" s="20" t="n">
        <v>1.383179</v>
      </c>
      <c r="I15" s="18" t="n">
        <v>20.4023371</v>
      </c>
      <c r="J15" s="20" t="n">
        <v>1.7680127</v>
      </c>
      <c r="K15" s="18" t="n">
        <v>16.35742995</v>
      </c>
      <c r="L15" s="20" t="n">
        <v>1.56739394</v>
      </c>
      <c r="M15" s="18" t="n">
        <v>0</v>
      </c>
      <c r="N15" s="20" t="n">
        <v>0</v>
      </c>
      <c r="O15" s="18" t="n">
        <v>12.51165999</v>
      </c>
      <c r="P15" s="20" t="n">
        <v>1.63021294</v>
      </c>
      <c r="Q15" s="18" t="n">
        <v>0</v>
      </c>
      <c r="R15" s="20" t="n">
        <v>0</v>
      </c>
      <c r="S15" s="18" t="n">
        <v>0</v>
      </c>
      <c r="T15" s="20" t="n">
        <v>0</v>
      </c>
      <c r="U15" s="18" t="n">
        <v>0</v>
      </c>
      <c r="V15" s="20" t="n">
        <v>0</v>
      </c>
    </row>
    <row r="16" spans="1:22">
      <c r="A16" s="15" t="s">
        <v>574</v>
      </c>
      <c r="B16" s="17" t="n">
        <v>3111</v>
      </c>
      <c r="C16" s="18">
        <f>(2484.0/B16*100)</f>
        <v/>
      </c>
      <c r="D16" s="19" t="n">
        <v>627</v>
      </c>
      <c r="E16" s="18" t="n">
        <v>42.92495743</v>
      </c>
      <c r="F16" s="20" t="n">
        <v>1.96507408</v>
      </c>
      <c r="G16" s="18" t="n">
        <v>15.2297955</v>
      </c>
      <c r="H16" s="20" t="n">
        <v>1.40167049</v>
      </c>
      <c r="I16" s="18" t="n">
        <v>5.37210909</v>
      </c>
      <c r="J16" s="20" t="n">
        <v>0.82114372</v>
      </c>
      <c r="K16" s="18" t="n">
        <v>6.59239235</v>
      </c>
      <c r="L16" s="20" t="n">
        <v>1.0201674</v>
      </c>
      <c r="M16" s="18" t="n">
        <v>0</v>
      </c>
      <c r="N16" s="20" t="n">
        <v>0</v>
      </c>
      <c r="O16" s="18" t="n">
        <v>29.71921751</v>
      </c>
      <c r="P16" s="20" t="n">
        <v>1.99615508</v>
      </c>
      <c r="Q16" s="18" t="n">
        <v>0.16152811</v>
      </c>
      <c r="R16" s="20" t="n">
        <v>0.17005559</v>
      </c>
      <c r="S16" s="18" t="n">
        <v>0</v>
      </c>
      <c r="T16" s="20" t="n">
        <v>0</v>
      </c>
      <c r="U16" s="18" t="n">
        <v>0</v>
      </c>
      <c r="V16" s="20" t="n">
        <v>0</v>
      </c>
    </row>
    <row r="17" spans="1:22">
      <c r="A17" s="15" t="s">
        <v>575</v>
      </c>
      <c r="B17" s="17" t="n">
        <v>3197</v>
      </c>
      <c r="C17" s="18">
        <f>(2514.0/B17*100)</f>
        <v/>
      </c>
      <c r="D17" s="19" t="n">
        <v>683</v>
      </c>
      <c r="E17" s="18" t="n">
        <v>31.6429214</v>
      </c>
      <c r="F17" s="20" t="n">
        <v>1.86659987</v>
      </c>
      <c r="G17" s="18" t="n">
        <v>7.53706364</v>
      </c>
      <c r="H17" s="20" t="n">
        <v>1.1031469</v>
      </c>
      <c r="I17" s="18" t="n">
        <v>13.66271549</v>
      </c>
      <c r="J17" s="20" t="n">
        <v>1.30301168</v>
      </c>
      <c r="K17" s="18" t="n">
        <v>14.86745859</v>
      </c>
      <c r="L17" s="20" t="n">
        <v>1.4958025</v>
      </c>
      <c r="M17" s="18" t="n">
        <v>0</v>
      </c>
      <c r="N17" s="20" t="n">
        <v>0</v>
      </c>
      <c r="O17" s="18" t="n">
        <v>32.28984088</v>
      </c>
      <c r="P17" s="20" t="n">
        <v>2.11146209</v>
      </c>
      <c r="Q17" s="18" t="n">
        <v>0</v>
      </c>
      <c r="R17" s="20" t="n">
        <v>0</v>
      </c>
      <c r="S17" s="18" t="n">
        <v>0</v>
      </c>
      <c r="T17" s="20" t="n">
        <v>0</v>
      </c>
      <c r="U17" s="18" t="n">
        <v>0</v>
      </c>
      <c r="V17" s="20" t="n">
        <v>0</v>
      </c>
    </row>
    <row r="18" spans="1:22">
      <c r="A18" s="15" t="s">
        <v>576</v>
      </c>
      <c r="B18" s="17" t="n">
        <v>2706</v>
      </c>
      <c r="C18" s="18">
        <f>(2104.0/B18*100)</f>
        <v/>
      </c>
      <c r="D18" s="19" t="n">
        <v>602</v>
      </c>
      <c r="E18" s="18" t="n">
        <v>38.00499594</v>
      </c>
      <c r="F18" s="20" t="n">
        <v>2.03896736</v>
      </c>
      <c r="G18" s="18" t="n">
        <v>23.59242885</v>
      </c>
      <c r="H18" s="20" t="n">
        <v>1.43984286</v>
      </c>
      <c r="I18" s="18" t="n">
        <v>4.51972208</v>
      </c>
      <c r="J18" s="20" t="n">
        <v>0.7703618800000001</v>
      </c>
      <c r="K18" s="18" t="n">
        <v>7.92315922</v>
      </c>
      <c r="L18" s="20" t="n">
        <v>1.02045968</v>
      </c>
      <c r="M18" s="18" t="n">
        <v>0</v>
      </c>
      <c r="N18" s="20" t="n">
        <v>0</v>
      </c>
      <c r="O18" s="18" t="n">
        <v>25.9596939</v>
      </c>
      <c r="P18" s="20" t="n">
        <v>2.34629631</v>
      </c>
      <c r="Q18" s="18" t="n">
        <v>0</v>
      </c>
      <c r="R18" s="20" t="n">
        <v>0</v>
      </c>
      <c r="S18" s="18" t="n">
        <v>0</v>
      </c>
      <c r="T18" s="20" t="n">
        <v>0</v>
      </c>
      <c r="U18" s="18" t="n">
        <v>0</v>
      </c>
      <c r="V18" s="20" t="n">
        <v>0</v>
      </c>
    </row>
    <row r="19" spans="1:22">
      <c r="A19" s="15" t="s">
        <v>577</v>
      </c>
      <c r="B19" s="17" t="n">
        <v>2850</v>
      </c>
      <c r="C19" s="18">
        <f>(2301.0/B19*100)</f>
        <v/>
      </c>
      <c r="D19" s="19" t="n">
        <v>549</v>
      </c>
      <c r="E19" s="18" t="n">
        <v>41.67822265</v>
      </c>
      <c r="F19" s="20" t="n">
        <v>2.14663464</v>
      </c>
      <c r="G19" s="18" t="n">
        <v>19.96794925</v>
      </c>
      <c r="H19" s="20" t="n">
        <v>1.73005576</v>
      </c>
      <c r="I19" s="18" t="n">
        <v>4.82146866</v>
      </c>
      <c r="J19" s="20" t="n">
        <v>0.99237451</v>
      </c>
      <c r="K19" s="18" t="n">
        <v>6.62576805</v>
      </c>
      <c r="L19" s="20" t="n">
        <v>1.02114231</v>
      </c>
      <c r="M19" s="18" t="n">
        <v>0</v>
      </c>
      <c r="N19" s="20" t="n">
        <v>0</v>
      </c>
      <c r="O19" s="18" t="n">
        <v>26.9065914</v>
      </c>
      <c r="P19" s="20" t="n">
        <v>2.09714287</v>
      </c>
      <c r="Q19" s="18" t="n">
        <v>0</v>
      </c>
      <c r="R19" s="20" t="n">
        <v>0</v>
      </c>
      <c r="S19" s="18" t="n">
        <v>0</v>
      </c>
      <c r="T19" s="20" t="n">
        <v>0</v>
      </c>
      <c r="U19" s="18" t="n">
        <v>0</v>
      </c>
      <c r="V19" s="20" t="n">
        <v>0</v>
      </c>
    </row>
    <row r="20" spans="1:22">
      <c r="A20" s="15" t="s">
        <v>578</v>
      </c>
      <c r="B20" s="17" t="n">
        <v>1741</v>
      </c>
      <c r="C20" s="18">
        <f>(1392.0/B20*100)</f>
        <v/>
      </c>
      <c r="D20" s="19" t="n">
        <v>349</v>
      </c>
      <c r="E20" s="18" t="n">
        <v>45.39576336</v>
      </c>
      <c r="F20" s="20" t="n">
        <v>2.9879706</v>
      </c>
      <c r="G20" s="18" t="n">
        <v>14.43238408</v>
      </c>
      <c r="H20" s="20" t="n">
        <v>1.88645818</v>
      </c>
      <c r="I20" s="18" t="n">
        <v>4.79871137</v>
      </c>
      <c r="J20" s="20" t="n">
        <v>1.09813196</v>
      </c>
      <c r="K20" s="18" t="n">
        <v>7.62335593</v>
      </c>
      <c r="L20" s="20" t="n">
        <v>1.19149044</v>
      </c>
      <c r="M20" s="18" t="n">
        <v>0</v>
      </c>
      <c r="N20" s="20" t="n">
        <v>0</v>
      </c>
      <c r="O20" s="18" t="n">
        <v>27.30637755</v>
      </c>
      <c r="P20" s="20" t="n">
        <v>2.25067187</v>
      </c>
      <c r="Q20" s="18" t="n">
        <v>0.44340772</v>
      </c>
      <c r="R20" s="20" t="n">
        <v>0.45027584</v>
      </c>
      <c r="S20" s="18" t="n">
        <v>0</v>
      </c>
      <c r="T20" s="20" t="n">
        <v>0</v>
      </c>
      <c r="U20" s="18" t="n">
        <v>0</v>
      </c>
      <c r="V20" s="20" t="n">
        <v>0</v>
      </c>
    </row>
    <row r="21" spans="1:22">
      <c r="A21" s="15" t="s">
        <v>579</v>
      </c>
      <c r="B21" s="17" t="n">
        <v>2833</v>
      </c>
      <c r="C21" s="18">
        <f>(2195.0/B21*100)</f>
        <v/>
      </c>
      <c r="D21" s="19" t="n">
        <v>638</v>
      </c>
      <c r="E21" s="18" t="n">
        <v>41.77611402</v>
      </c>
      <c r="F21" s="20" t="n">
        <v>2.17417034</v>
      </c>
      <c r="G21" s="18" t="n">
        <v>16.63426011</v>
      </c>
      <c r="H21" s="20" t="n">
        <v>1.34979221</v>
      </c>
      <c r="I21" s="18" t="n">
        <v>7.96402932</v>
      </c>
      <c r="J21" s="20" t="n">
        <v>1.12678114</v>
      </c>
      <c r="K21" s="18" t="n">
        <v>16.75769083</v>
      </c>
      <c r="L21" s="20" t="n">
        <v>1.64085344</v>
      </c>
      <c r="M21" s="18" t="n">
        <v>0</v>
      </c>
      <c r="N21" s="20" t="n">
        <v>0</v>
      </c>
      <c r="O21" s="18" t="n">
        <v>16.86790572</v>
      </c>
      <c r="P21" s="20" t="n">
        <v>1.49535879</v>
      </c>
      <c r="Q21" s="18" t="n">
        <v>0</v>
      </c>
      <c r="R21" s="20" t="n">
        <v>0</v>
      </c>
      <c r="S21" s="18" t="n">
        <v>0</v>
      </c>
      <c r="T21" s="20" t="n">
        <v>0</v>
      </c>
      <c r="U21" s="18" t="n">
        <v>0</v>
      </c>
      <c r="V21" s="20" t="n">
        <v>0</v>
      </c>
    </row>
    <row r="22" spans="1:22">
      <c r="A22" s="15" t="s">
        <v>580</v>
      </c>
      <c r="B22" s="17" t="n">
        <v>3667</v>
      </c>
      <c r="C22" s="18">
        <f>(2866.0/B22*100)</f>
        <v/>
      </c>
      <c r="D22" s="19" t="n">
        <v>801</v>
      </c>
      <c r="E22" s="18" t="n">
        <v>46.08997819</v>
      </c>
      <c r="F22" s="20" t="n">
        <v>1.63836066</v>
      </c>
      <c r="G22" s="18" t="n">
        <v>15.20749314</v>
      </c>
      <c r="H22" s="20" t="n">
        <v>1.37084372</v>
      </c>
      <c r="I22" s="18" t="n">
        <v>5.19526156</v>
      </c>
      <c r="J22" s="20" t="n">
        <v>0.68528175</v>
      </c>
      <c r="K22" s="18" t="n">
        <v>8.48520602</v>
      </c>
      <c r="L22" s="20" t="n">
        <v>0.8617123</v>
      </c>
      <c r="M22" s="18" t="n">
        <v>0</v>
      </c>
      <c r="N22" s="20" t="n">
        <v>0</v>
      </c>
      <c r="O22" s="18" t="n">
        <v>25.0220611</v>
      </c>
      <c r="P22" s="20" t="n">
        <v>1.87465029</v>
      </c>
      <c r="Q22" s="18" t="n">
        <v>0</v>
      </c>
      <c r="R22" s="20" t="n">
        <v>0</v>
      </c>
      <c r="S22" s="18" t="n">
        <v>0</v>
      </c>
      <c r="T22" s="20" t="n">
        <v>0</v>
      </c>
      <c r="U22" s="18" t="n">
        <v>0</v>
      </c>
      <c r="V22" s="20" t="n">
        <v>0</v>
      </c>
    </row>
    <row r="23" spans="1:22">
      <c r="A23" s="15" t="s">
        <v>581</v>
      </c>
      <c r="B23" s="17" t="n">
        <v>5792</v>
      </c>
      <c r="C23" s="18">
        <f>(4561.0/B23*100)</f>
        <v/>
      </c>
      <c r="D23" s="19" t="n">
        <v>1231</v>
      </c>
      <c r="E23" s="18" t="n">
        <v>50.82105608</v>
      </c>
      <c r="F23" s="20" t="n">
        <v>2.18172876</v>
      </c>
      <c r="G23" s="18" t="n">
        <v>6.77935367</v>
      </c>
      <c r="H23" s="20" t="n">
        <v>0.96719391</v>
      </c>
      <c r="I23" s="18" t="n">
        <v>5.21152099</v>
      </c>
      <c r="J23" s="20" t="n">
        <v>0.75290334</v>
      </c>
      <c r="K23" s="18" t="n">
        <v>3.81318335</v>
      </c>
      <c r="L23" s="20" t="n">
        <v>0.64723529</v>
      </c>
      <c r="M23" s="18" t="n">
        <v>0</v>
      </c>
      <c r="N23" s="20" t="n">
        <v>0</v>
      </c>
      <c r="O23" s="18" t="n">
        <v>33.2722556</v>
      </c>
      <c r="P23" s="20" t="n">
        <v>2.03027265</v>
      </c>
      <c r="Q23" s="18" t="n">
        <v>0.1026303</v>
      </c>
      <c r="R23" s="20" t="n">
        <v>0.09663181999999999</v>
      </c>
      <c r="S23" s="18" t="n">
        <v>0</v>
      </c>
      <c r="T23" s="20" t="n">
        <v>0</v>
      </c>
      <c r="U23" s="18" t="n">
        <v>0</v>
      </c>
      <c r="V23" s="20" t="n">
        <v>0</v>
      </c>
    </row>
    <row r="24" spans="1:22">
      <c r="A24" s="15" t="s">
        <v>582</v>
      </c>
      <c r="B24" s="17" t="n">
        <v>3309</v>
      </c>
      <c r="C24" s="18">
        <f>(2567.0/B24*100)</f>
        <v/>
      </c>
      <c r="D24" s="19" t="n">
        <v>742</v>
      </c>
      <c r="E24" s="18" t="n">
        <v>50.57160447</v>
      </c>
      <c r="F24" s="20" t="n">
        <v>1.88737938</v>
      </c>
      <c r="G24" s="18" t="n">
        <v>13.09391699</v>
      </c>
      <c r="H24" s="20" t="n">
        <v>1.36915984</v>
      </c>
      <c r="I24" s="18" t="n">
        <v>12.67974885</v>
      </c>
      <c r="J24" s="20" t="n">
        <v>1.13962944</v>
      </c>
      <c r="K24" s="18" t="n">
        <v>5.49523563</v>
      </c>
      <c r="L24" s="20" t="n">
        <v>0.69261672</v>
      </c>
      <c r="M24" s="18" t="n">
        <v>0</v>
      </c>
      <c r="N24" s="20" t="n">
        <v>0</v>
      </c>
      <c r="O24" s="18" t="n">
        <v>18.15949405</v>
      </c>
      <c r="P24" s="20" t="n">
        <v>1.56049327</v>
      </c>
      <c r="Q24" s="18" t="n">
        <v>0</v>
      </c>
      <c r="R24" s="20" t="n">
        <v>0</v>
      </c>
      <c r="S24" s="18" t="n">
        <v>0</v>
      </c>
      <c r="T24" s="20" t="n">
        <v>0</v>
      </c>
      <c r="U24" s="18" t="n">
        <v>0</v>
      </c>
      <c r="V24" s="20" t="n">
        <v>0</v>
      </c>
    </row>
    <row r="25" spans="1:22">
      <c r="A25" s="15" t="s">
        <v>583</v>
      </c>
      <c r="B25" s="17" t="n">
        <v>2669</v>
      </c>
      <c r="C25" s="18">
        <f>(2087.0/B25*100)</f>
        <v/>
      </c>
      <c r="D25" s="19" t="n">
        <v>582</v>
      </c>
      <c r="E25" s="18" t="n">
        <v>53.06544998</v>
      </c>
      <c r="F25" s="20" t="n">
        <v>1.90331391</v>
      </c>
      <c r="G25" s="18" t="n">
        <v>24.07778598</v>
      </c>
      <c r="H25" s="20" t="n">
        <v>1.89325164</v>
      </c>
      <c r="I25" s="18" t="n">
        <v>2.57508113</v>
      </c>
      <c r="J25" s="20" t="n">
        <v>0.66697099</v>
      </c>
      <c r="K25" s="18" t="n">
        <v>4.24597349</v>
      </c>
      <c r="L25" s="20" t="n">
        <v>0.70364849</v>
      </c>
      <c r="M25" s="18" t="n">
        <v>0</v>
      </c>
      <c r="N25" s="20" t="n">
        <v>0</v>
      </c>
      <c r="O25" s="18" t="n">
        <v>16.03570942</v>
      </c>
      <c r="P25" s="20" t="n">
        <v>1.5646277</v>
      </c>
      <c r="Q25" s="18" t="n">
        <v>0</v>
      </c>
      <c r="R25" s="20" t="n">
        <v>0</v>
      </c>
      <c r="S25" s="18" t="n">
        <v>0</v>
      </c>
      <c r="T25" s="20" t="n">
        <v>0</v>
      </c>
      <c r="U25" s="18" t="n">
        <v>0</v>
      </c>
      <c r="V25" s="20" t="n">
        <v>0</v>
      </c>
    </row>
    <row r="26" spans="1:22">
      <c r="A26" s="15" t="s">
        <v>584</v>
      </c>
      <c r="B26" s="17" t="n">
        <v>2419</v>
      </c>
      <c r="C26" s="18">
        <f>(1905.0/B26*100)</f>
        <v/>
      </c>
      <c r="D26" s="19" t="n">
        <v>514</v>
      </c>
      <c r="E26" s="18" t="n">
        <v>41.57107824</v>
      </c>
      <c r="F26" s="20" t="n">
        <v>2.1135411</v>
      </c>
      <c r="G26" s="18" t="n">
        <v>7.35627029</v>
      </c>
      <c r="H26" s="20" t="n">
        <v>1.15406029</v>
      </c>
      <c r="I26" s="18" t="n">
        <v>10.41319305</v>
      </c>
      <c r="J26" s="20" t="n">
        <v>1.37831371</v>
      </c>
      <c r="K26" s="18" t="n">
        <v>19.5445494</v>
      </c>
      <c r="L26" s="20" t="n">
        <v>1.83485303</v>
      </c>
      <c r="M26" s="18" t="n">
        <v>0</v>
      </c>
      <c r="N26" s="20" t="n">
        <v>0</v>
      </c>
      <c r="O26" s="18" t="n">
        <v>20.97836795</v>
      </c>
      <c r="P26" s="20" t="n">
        <v>1.82730263</v>
      </c>
      <c r="Q26" s="18" t="n">
        <v>0.13654108</v>
      </c>
      <c r="R26" s="20" t="n">
        <v>0.13753156</v>
      </c>
      <c r="S26" s="18" t="n">
        <v>0</v>
      </c>
      <c r="T26" s="20" t="n">
        <v>0</v>
      </c>
      <c r="U26" s="18" t="n">
        <v>0</v>
      </c>
      <c r="V26" s="20" t="n">
        <v>0</v>
      </c>
    </row>
    <row r="27" spans="1:22">
      <c r="A27" s="15" t="s">
        <v>585</v>
      </c>
      <c r="B27" s="17" t="n">
        <v>2683</v>
      </c>
      <c r="C27" s="18">
        <f>(2098.0/B27*100)</f>
        <v/>
      </c>
      <c r="D27" s="19" t="n">
        <v>585</v>
      </c>
      <c r="E27" s="18" t="n">
        <v>35.03665076</v>
      </c>
      <c r="F27" s="20" t="n">
        <v>1.95402219</v>
      </c>
      <c r="G27" s="18" t="n">
        <v>9.5385411</v>
      </c>
      <c r="H27" s="20" t="n">
        <v>1.08455887</v>
      </c>
      <c r="I27" s="18" t="n">
        <v>7.98355764</v>
      </c>
      <c r="J27" s="20" t="n">
        <v>1.03118361</v>
      </c>
      <c r="K27" s="18" t="n">
        <v>10.6000944</v>
      </c>
      <c r="L27" s="20" t="n">
        <v>1.24904772</v>
      </c>
      <c r="M27" s="18" t="n">
        <v>0</v>
      </c>
      <c r="N27" s="20" t="n">
        <v>0</v>
      </c>
      <c r="O27" s="18" t="n">
        <v>36.84115609</v>
      </c>
      <c r="P27" s="20" t="n">
        <v>1.82171476</v>
      </c>
      <c r="Q27" s="18" t="n">
        <v>0</v>
      </c>
      <c r="R27" s="20" t="n">
        <v>0</v>
      </c>
      <c r="S27" s="18" t="n">
        <v>0</v>
      </c>
      <c r="T27" s="20" t="n">
        <v>0</v>
      </c>
      <c r="U27" s="18" t="n">
        <v>0</v>
      </c>
      <c r="V27" s="20" t="n">
        <v>0</v>
      </c>
    </row>
    <row r="28" spans="1:22">
      <c r="A28" s="15" t="s">
        <v>586</v>
      </c>
      <c r="B28" s="17" t="n">
        <v>3803</v>
      </c>
      <c r="C28" s="18">
        <f>(3120.0/B28*100)</f>
        <v/>
      </c>
      <c r="D28" s="19" t="n">
        <v>683</v>
      </c>
      <c r="E28" s="18" t="n">
        <v>69.30196611</v>
      </c>
      <c r="F28" s="20" t="n">
        <v>1.96274226</v>
      </c>
      <c r="G28" s="18" t="n">
        <v>11.12796909</v>
      </c>
      <c r="H28" s="20" t="n">
        <v>1.22980717</v>
      </c>
      <c r="I28" s="18" t="n">
        <v>5.58869391</v>
      </c>
      <c r="J28" s="20" t="n">
        <v>0.91773988</v>
      </c>
      <c r="K28" s="18" t="n">
        <v>1.17571527</v>
      </c>
      <c r="L28" s="20" t="n">
        <v>0.4137599</v>
      </c>
      <c r="M28" s="18" t="n">
        <v>0</v>
      </c>
      <c r="N28" s="20" t="n">
        <v>0</v>
      </c>
      <c r="O28" s="18" t="n">
        <v>12.80565563</v>
      </c>
      <c r="P28" s="20" t="n">
        <v>1.69025513</v>
      </c>
      <c r="Q28" s="18" t="n">
        <v>0</v>
      </c>
      <c r="R28" s="20" t="n">
        <v>0</v>
      </c>
      <c r="S28" s="18" t="n">
        <v>0</v>
      </c>
      <c r="T28" s="20" t="n">
        <v>0</v>
      </c>
      <c r="U28" s="18" t="n">
        <v>0</v>
      </c>
      <c r="V28" s="20" t="n">
        <v>0</v>
      </c>
    </row>
    <row r="29" spans="1:22">
      <c r="A29" s="15" t="s">
        <v>587</v>
      </c>
      <c r="B29" s="17" t="n">
        <v>2700</v>
      </c>
      <c r="C29" s="18">
        <f>(2118.0/B29*100)</f>
        <v/>
      </c>
      <c r="D29" s="19" t="n">
        <v>582</v>
      </c>
      <c r="E29" s="18" t="n">
        <v>58.42131475</v>
      </c>
      <c r="F29" s="20" t="n">
        <v>1.71977762</v>
      </c>
      <c r="G29" s="18" t="n">
        <v>8.40135252</v>
      </c>
      <c r="H29" s="20" t="n">
        <v>1.09297008</v>
      </c>
      <c r="I29" s="18" t="n">
        <v>11.27810158</v>
      </c>
      <c r="J29" s="20" t="n">
        <v>1.23486954</v>
      </c>
      <c r="K29" s="18" t="n">
        <v>6.45556988</v>
      </c>
      <c r="L29" s="20" t="n">
        <v>0.9720102</v>
      </c>
      <c r="M29" s="18" t="n">
        <v>0</v>
      </c>
      <c r="N29" s="20" t="n">
        <v>0</v>
      </c>
      <c r="O29" s="18" t="n">
        <v>15.44366127</v>
      </c>
      <c r="P29" s="20" t="n">
        <v>1.55629603</v>
      </c>
      <c r="Q29" s="18" t="n">
        <v>0</v>
      </c>
      <c r="R29" s="20" t="n">
        <v>0</v>
      </c>
      <c r="S29" s="18" t="n">
        <v>0</v>
      </c>
      <c r="T29" s="20" t="n">
        <v>0</v>
      </c>
      <c r="U29" s="18" t="n">
        <v>0</v>
      </c>
      <c r="V29" s="20" t="n">
        <v>0</v>
      </c>
    </row>
    <row r="30" spans="1:22">
      <c r="A30" s="15" t="s">
        <v>588</v>
      </c>
      <c r="B30" s="17" t="n">
        <v>2257</v>
      </c>
      <c r="C30" s="18">
        <f>(1814.0/B30*100)</f>
        <v/>
      </c>
      <c r="D30" s="19" t="n">
        <v>443</v>
      </c>
      <c r="E30" s="18" t="n">
        <v>31.03353842</v>
      </c>
      <c r="F30" s="20" t="n">
        <v>2.30010164</v>
      </c>
      <c r="G30" s="18" t="n">
        <v>9.27771006</v>
      </c>
      <c r="H30" s="20" t="n">
        <v>1.46597356</v>
      </c>
      <c r="I30" s="18" t="n">
        <v>16.85413565</v>
      </c>
      <c r="J30" s="20" t="n">
        <v>2.12276357</v>
      </c>
      <c r="K30" s="18" t="n">
        <v>21.71201033</v>
      </c>
      <c r="L30" s="20" t="n">
        <v>1.83413902</v>
      </c>
      <c r="M30" s="18" t="n">
        <v>0</v>
      </c>
      <c r="N30" s="20" t="n">
        <v>0</v>
      </c>
      <c r="O30" s="18" t="n">
        <v>21.12260553</v>
      </c>
      <c r="P30" s="20" t="n">
        <v>2.01559099</v>
      </c>
      <c r="Q30" s="18" t="n">
        <v>0</v>
      </c>
      <c r="R30" s="20" t="n">
        <v>0</v>
      </c>
      <c r="S30" s="18" t="n">
        <v>0</v>
      </c>
      <c r="T30" s="20" t="n">
        <v>0</v>
      </c>
      <c r="U30" s="18" t="n">
        <v>0</v>
      </c>
      <c r="V30" s="20" t="n">
        <v>0</v>
      </c>
    </row>
    <row r="31" spans="1:22">
      <c r="A31" s="15" t="s">
        <v>589</v>
      </c>
      <c r="B31" s="17" t="n">
        <v>2706</v>
      </c>
      <c r="C31" s="18">
        <f>(2134.0/B31*100)</f>
        <v/>
      </c>
      <c r="D31" s="19" t="n">
        <v>572</v>
      </c>
      <c r="E31" s="18" t="n">
        <v>29.21228466</v>
      </c>
      <c r="F31" s="20" t="n">
        <v>2.04351746</v>
      </c>
      <c r="G31" s="18" t="n">
        <v>12.00958726</v>
      </c>
      <c r="H31" s="20" t="n">
        <v>1.49811911</v>
      </c>
      <c r="I31" s="18" t="n">
        <v>11.91795955</v>
      </c>
      <c r="J31" s="20" t="n">
        <v>1.33970174</v>
      </c>
      <c r="K31" s="18" t="n">
        <v>17.11881169</v>
      </c>
      <c r="L31" s="20" t="n">
        <v>1.68843424</v>
      </c>
      <c r="M31" s="18" t="n">
        <v>0</v>
      </c>
      <c r="N31" s="20" t="n">
        <v>0</v>
      </c>
      <c r="O31" s="18" t="n">
        <v>29.74135684</v>
      </c>
      <c r="P31" s="20" t="n">
        <v>1.91818296</v>
      </c>
      <c r="Q31" s="18" t="n">
        <v>0</v>
      </c>
      <c r="R31" s="20" t="n">
        <v>0</v>
      </c>
      <c r="S31" s="18" t="n">
        <v>0</v>
      </c>
      <c r="T31" s="20" t="n">
        <v>0</v>
      </c>
      <c r="U31" s="18" t="n">
        <v>0</v>
      </c>
      <c r="V31" s="20" t="n">
        <v>0</v>
      </c>
    </row>
    <row r="32" spans="1:22">
      <c r="A32" s="15" t="s">
        <v>590</v>
      </c>
      <c r="B32" s="17" t="n">
        <v>2209</v>
      </c>
      <c r="C32" s="18">
        <f>(1765.0/B32*100)</f>
        <v/>
      </c>
      <c r="D32" s="19" t="n">
        <v>444</v>
      </c>
      <c r="E32" s="18" t="n">
        <v>31.80898056</v>
      </c>
      <c r="F32" s="20" t="n">
        <v>2.09764555</v>
      </c>
      <c r="G32" s="18" t="n">
        <v>10.56250473</v>
      </c>
      <c r="H32" s="20" t="n">
        <v>1.45877302</v>
      </c>
      <c r="I32" s="18" t="n">
        <v>12.71346891</v>
      </c>
      <c r="J32" s="20" t="n">
        <v>1.55422003</v>
      </c>
      <c r="K32" s="18" t="n">
        <v>20.1947186</v>
      </c>
      <c r="L32" s="20" t="n">
        <v>1.8387383</v>
      </c>
      <c r="M32" s="18" t="n">
        <v>0</v>
      </c>
      <c r="N32" s="20" t="n">
        <v>0</v>
      </c>
      <c r="O32" s="18" t="n">
        <v>24.7203272</v>
      </c>
      <c r="P32" s="20" t="n">
        <v>2.304353</v>
      </c>
      <c r="Q32" s="18" t="n">
        <v>0</v>
      </c>
      <c r="R32" s="20" t="n">
        <v>0</v>
      </c>
      <c r="S32" s="18" t="n">
        <v>0</v>
      </c>
      <c r="T32" s="20" t="n">
        <v>0</v>
      </c>
      <c r="U32" s="18" t="n">
        <v>0</v>
      </c>
      <c r="V32" s="20" t="n">
        <v>0</v>
      </c>
    </row>
    <row r="33" spans="1:22">
      <c r="A33" s="15" t="s">
        <v>591</v>
      </c>
      <c r="B33" s="17" t="n">
        <v>3651</v>
      </c>
      <c r="C33" s="18">
        <f>(2974.0/B33*100)</f>
        <v/>
      </c>
      <c r="D33" s="19" t="n">
        <v>677</v>
      </c>
      <c r="E33" s="18" t="n">
        <v>50.0175462</v>
      </c>
      <c r="F33" s="20" t="n">
        <v>2.58808599</v>
      </c>
      <c r="G33" s="18" t="n">
        <v>13.07475923</v>
      </c>
      <c r="H33" s="20" t="n">
        <v>2.07522482</v>
      </c>
      <c r="I33" s="18" t="n">
        <v>6.68522547</v>
      </c>
      <c r="J33" s="20" t="n">
        <v>1.24400565</v>
      </c>
      <c r="K33" s="18" t="n">
        <v>10.92936275</v>
      </c>
      <c r="L33" s="20" t="n">
        <v>1.65720852</v>
      </c>
      <c r="M33" s="18" t="n">
        <v>0</v>
      </c>
      <c r="N33" s="20" t="n">
        <v>0</v>
      </c>
      <c r="O33" s="18" t="n">
        <v>19.29310635</v>
      </c>
      <c r="P33" s="20" t="n">
        <v>2.12671942</v>
      </c>
      <c r="Q33" s="18" t="n">
        <v>0</v>
      </c>
      <c r="R33" s="20" t="n">
        <v>0</v>
      </c>
      <c r="S33" s="18" t="n">
        <v>0</v>
      </c>
      <c r="T33" s="20" t="n">
        <v>0</v>
      </c>
      <c r="U33" s="18" t="n">
        <v>0</v>
      </c>
      <c r="V33" s="20" t="n">
        <v>0</v>
      </c>
    </row>
    <row r="34" spans="1:22">
      <c r="A34" s="15" t="s">
        <v>592</v>
      </c>
      <c r="B34" s="17" t="n">
        <v>3035</v>
      </c>
      <c r="C34" s="18">
        <f>(2413.0/B34*100)</f>
        <v/>
      </c>
      <c r="D34" s="19" t="n">
        <v>622</v>
      </c>
      <c r="E34" s="18" t="n">
        <v>38.34544323</v>
      </c>
      <c r="F34" s="20" t="n">
        <v>2.09136822</v>
      </c>
      <c r="G34" s="18" t="n">
        <v>6.51259107</v>
      </c>
      <c r="H34" s="20" t="n">
        <v>1.0758516</v>
      </c>
      <c r="I34" s="18" t="n">
        <v>12.54871149</v>
      </c>
      <c r="J34" s="20" t="n">
        <v>1.48860398</v>
      </c>
      <c r="K34" s="18" t="n">
        <v>8.310140820000001</v>
      </c>
      <c r="L34" s="20" t="n">
        <v>1.24906911</v>
      </c>
      <c r="M34" s="18" t="n">
        <v>0</v>
      </c>
      <c r="N34" s="20" t="n">
        <v>0</v>
      </c>
      <c r="O34" s="18" t="n">
        <v>34.13033573</v>
      </c>
      <c r="P34" s="20" t="n">
        <v>2.3281494</v>
      </c>
      <c r="Q34" s="18" t="n">
        <v>0.15277765</v>
      </c>
      <c r="R34" s="20" t="n">
        <v>0.1082583</v>
      </c>
      <c r="S34" s="18" t="n">
        <v>0</v>
      </c>
      <c r="T34" s="20" t="n">
        <v>0</v>
      </c>
      <c r="U34" s="18" t="n">
        <v>0</v>
      </c>
      <c r="V34" s="20" t="n">
        <v>0</v>
      </c>
    </row>
    <row r="35" spans="1:22">
      <c r="A35" s="15" t="s">
        <v>593</v>
      </c>
      <c r="B35" s="17" t="n">
        <v>2901</v>
      </c>
      <c r="C35" s="18">
        <f>(2255.0/B35*100)</f>
        <v/>
      </c>
      <c r="D35" s="19" t="n">
        <v>646</v>
      </c>
      <c r="E35" s="18" t="n">
        <v>38.60927083</v>
      </c>
      <c r="F35" s="20" t="n">
        <v>2.23585517</v>
      </c>
      <c r="G35" s="18" t="n">
        <v>19.31144876</v>
      </c>
      <c r="H35" s="20" t="n">
        <v>1.86677396</v>
      </c>
      <c r="I35" s="18" t="n">
        <v>6.58286246</v>
      </c>
      <c r="J35" s="20" t="n">
        <v>1.2208034</v>
      </c>
      <c r="K35" s="18" t="n">
        <v>10.54874912</v>
      </c>
      <c r="L35" s="20" t="n">
        <v>1.56153898</v>
      </c>
      <c r="M35" s="18" t="n">
        <v>0</v>
      </c>
      <c r="N35" s="20" t="n">
        <v>0</v>
      </c>
      <c r="O35" s="18" t="n">
        <v>24.94766883</v>
      </c>
      <c r="P35" s="20" t="n">
        <v>1.97224515</v>
      </c>
      <c r="Q35" s="18" t="n">
        <v>0</v>
      </c>
      <c r="R35" s="20" t="n">
        <v>0</v>
      </c>
      <c r="S35" s="18" t="n">
        <v>0</v>
      </c>
      <c r="T35" s="20" t="n">
        <v>0</v>
      </c>
      <c r="U35" s="18" t="n">
        <v>0</v>
      </c>
      <c r="V35" s="20" t="n">
        <v>0</v>
      </c>
    </row>
    <row r="36" spans="1:22">
      <c r="A36" s="15" t="s">
        <v>594</v>
      </c>
      <c r="B36" s="17" t="n">
        <v>3404</v>
      </c>
      <c r="C36" s="18">
        <f>(2717.0/B36*100)</f>
        <v/>
      </c>
      <c r="D36" s="19" t="n">
        <v>687</v>
      </c>
      <c r="E36" s="18" t="n">
        <v>41.05190001</v>
      </c>
      <c r="F36" s="20" t="n">
        <v>1.90969062</v>
      </c>
      <c r="G36" s="18" t="n">
        <v>11.49247211</v>
      </c>
      <c r="H36" s="20" t="n">
        <v>1.37599353</v>
      </c>
      <c r="I36" s="18" t="n">
        <v>16.33312109</v>
      </c>
      <c r="J36" s="20" t="n">
        <v>1.34452971</v>
      </c>
      <c r="K36" s="18" t="n">
        <v>12.12726006</v>
      </c>
      <c r="L36" s="20" t="n">
        <v>1.44791668</v>
      </c>
      <c r="M36" s="18" t="n">
        <v>0</v>
      </c>
      <c r="N36" s="20" t="n">
        <v>0</v>
      </c>
      <c r="O36" s="18" t="n">
        <v>18.99524674</v>
      </c>
      <c r="P36" s="20" t="n">
        <v>1.65927928</v>
      </c>
      <c r="Q36" s="18" t="n">
        <v>0</v>
      </c>
      <c r="R36" s="20" t="n">
        <v>0</v>
      </c>
      <c r="S36" s="18" t="n">
        <v>0</v>
      </c>
      <c r="T36" s="20" t="n">
        <v>0</v>
      </c>
      <c r="U36" s="18" t="n">
        <v>0</v>
      </c>
      <c r="V36" s="20" t="n">
        <v>0</v>
      </c>
    </row>
    <row r="37" spans="1:22">
      <c r="A37" s="15" t="s">
        <v>595</v>
      </c>
      <c r="B37" s="17" t="n">
        <v>2731</v>
      </c>
      <c r="C37" s="18">
        <f>(2184.0/B37*100)</f>
        <v/>
      </c>
      <c r="D37" s="19" t="n">
        <v>547</v>
      </c>
      <c r="E37" s="18" t="n">
        <v>43.2351394</v>
      </c>
      <c r="F37" s="20" t="n">
        <v>2.4638639</v>
      </c>
      <c r="G37" s="18" t="n">
        <v>15.35211231</v>
      </c>
      <c r="H37" s="20" t="n">
        <v>1.56745152</v>
      </c>
      <c r="I37" s="18" t="n">
        <v>5.43526277</v>
      </c>
      <c r="J37" s="20" t="n">
        <v>1.1316555</v>
      </c>
      <c r="K37" s="18" t="n">
        <v>8.338075549999999</v>
      </c>
      <c r="L37" s="20" t="n">
        <v>1.47826051</v>
      </c>
      <c r="M37" s="18" t="n">
        <v>0</v>
      </c>
      <c r="N37" s="20" t="n">
        <v>0</v>
      </c>
      <c r="O37" s="18" t="n">
        <v>27.63940997</v>
      </c>
      <c r="P37" s="20" t="n">
        <v>2.39881419</v>
      </c>
      <c r="Q37" s="18" t="n">
        <v>0</v>
      </c>
      <c r="R37" s="20" t="n">
        <v>0</v>
      </c>
      <c r="S37" s="18" t="n">
        <v>0</v>
      </c>
      <c r="T37" s="20" t="n">
        <v>0</v>
      </c>
      <c r="U37" s="18" t="n">
        <v>0</v>
      </c>
      <c r="V37" s="20" t="n">
        <v>0</v>
      </c>
    </row>
    <row r="38" spans="1:22">
      <c r="A38" s="15" t="s">
        <v>596</v>
      </c>
      <c r="B38" s="17" t="n">
        <v>2807</v>
      </c>
      <c r="C38" s="18">
        <f>(2200.0/B38*100)</f>
        <v/>
      </c>
      <c r="D38" s="19" t="n">
        <v>607</v>
      </c>
      <c r="E38" s="18" t="n">
        <v>30.53505253</v>
      </c>
      <c r="F38" s="20" t="n">
        <v>2.26237466</v>
      </c>
      <c r="G38" s="18" t="n">
        <v>11.11753475</v>
      </c>
      <c r="H38" s="20" t="n">
        <v>1.65468201</v>
      </c>
      <c r="I38" s="18" t="n">
        <v>9.804756830000001</v>
      </c>
      <c r="J38" s="20" t="n">
        <v>1.34767747</v>
      </c>
      <c r="K38" s="18" t="n">
        <v>16.60006555</v>
      </c>
      <c r="L38" s="20" t="n">
        <v>1.73532372</v>
      </c>
      <c r="M38" s="18" t="n">
        <v>0</v>
      </c>
      <c r="N38" s="20" t="n">
        <v>0</v>
      </c>
      <c r="O38" s="18" t="n">
        <v>29.22807105</v>
      </c>
      <c r="P38" s="20" t="n">
        <v>2.1529134</v>
      </c>
      <c r="Q38" s="18" t="n">
        <v>2.7145193</v>
      </c>
      <c r="R38" s="20" t="n">
        <v>0.64624222</v>
      </c>
      <c r="S38" s="18" t="n">
        <v>0</v>
      </c>
      <c r="T38" s="20" t="n">
        <v>0</v>
      </c>
      <c r="U38" s="18" t="n">
        <v>0</v>
      </c>
      <c r="V38" s="20" t="n">
        <v>0</v>
      </c>
    </row>
    <row r="39" spans="1:22">
      <c r="A39" s="15" t="s">
        <v>597</v>
      </c>
      <c r="B39" s="17" t="n">
        <v>2938</v>
      </c>
      <c r="C39" s="18">
        <f>(2276.0/B39*100)</f>
        <v/>
      </c>
      <c r="D39" s="19" t="n">
        <v>662</v>
      </c>
      <c r="E39" s="18" t="n">
        <v>54.76167294</v>
      </c>
      <c r="F39" s="20" t="n">
        <v>2.12299364</v>
      </c>
      <c r="G39" s="18" t="n">
        <v>16.47473684</v>
      </c>
      <c r="H39" s="20" t="n">
        <v>1.61475246</v>
      </c>
      <c r="I39" s="18" t="n">
        <v>1.98540823</v>
      </c>
      <c r="J39" s="20" t="n">
        <v>0.49409152</v>
      </c>
      <c r="K39" s="18" t="n">
        <v>5.26188354</v>
      </c>
      <c r="L39" s="20" t="n">
        <v>1.04488493</v>
      </c>
      <c r="M39" s="18" t="n">
        <v>0</v>
      </c>
      <c r="N39" s="20" t="n">
        <v>0</v>
      </c>
      <c r="O39" s="18" t="n">
        <v>21.51629845</v>
      </c>
      <c r="P39" s="20" t="n">
        <v>1.87156601</v>
      </c>
      <c r="Q39" s="18" t="n">
        <v>0</v>
      </c>
      <c r="R39" s="20" t="n">
        <v>0</v>
      </c>
      <c r="S39" s="18" t="n">
        <v>0</v>
      </c>
      <c r="T39" s="20" t="n">
        <v>0</v>
      </c>
      <c r="U39" s="18" t="n">
        <v>0</v>
      </c>
      <c r="V39" s="20" t="n">
        <v>0</v>
      </c>
    </row>
    <row r="40" spans="1:22">
      <c r="A40" s="15" t="s">
        <v>598</v>
      </c>
      <c r="B40" s="17" t="n">
        <v>6922</v>
      </c>
      <c r="C40" s="18">
        <f>(5492.0/B40*100)</f>
        <v/>
      </c>
      <c r="D40" s="19" t="n">
        <v>1430</v>
      </c>
      <c r="E40" s="18" t="n">
        <v>34.41630416</v>
      </c>
      <c r="F40" s="20" t="n">
        <v>1.67516224</v>
      </c>
      <c r="G40" s="18" t="n">
        <v>19.12905642</v>
      </c>
      <c r="H40" s="20" t="n">
        <v>1.48029831</v>
      </c>
      <c r="I40" s="18" t="n">
        <v>6.51085439</v>
      </c>
      <c r="J40" s="20" t="n">
        <v>0.93707301</v>
      </c>
      <c r="K40" s="18" t="n">
        <v>21.16004787</v>
      </c>
      <c r="L40" s="20" t="n">
        <v>1.55355969</v>
      </c>
      <c r="M40" s="18" t="n">
        <v>0</v>
      </c>
      <c r="N40" s="20" t="n">
        <v>0</v>
      </c>
      <c r="O40" s="18" t="n">
        <v>18.76943636</v>
      </c>
      <c r="P40" s="20" t="n">
        <v>1.60254626</v>
      </c>
      <c r="Q40" s="18" t="n">
        <v>0.01430079</v>
      </c>
      <c r="R40" s="20" t="n">
        <v>0.01377676</v>
      </c>
      <c r="S40" s="18" t="n">
        <v>0</v>
      </c>
      <c r="T40" s="20" t="n">
        <v>0</v>
      </c>
      <c r="U40" s="18" t="n">
        <v>0</v>
      </c>
      <c r="V40" s="20" t="n">
        <v>0</v>
      </c>
    </row>
    <row r="41" spans="1:22">
      <c r="A41" s="15" t="s">
        <v>599</v>
      </c>
      <c r="B41" s="17" t="n">
        <v>2854</v>
      </c>
      <c r="C41" s="18">
        <f>(2235.0/B41*100)</f>
        <v/>
      </c>
      <c r="D41" s="19" t="n">
        <v>619</v>
      </c>
      <c r="E41" s="18" t="n">
        <v>51.17012095</v>
      </c>
      <c r="F41" s="20" t="n">
        <v>2.1640803</v>
      </c>
      <c r="G41" s="18" t="n">
        <v>19.13376274</v>
      </c>
      <c r="H41" s="20" t="n">
        <v>1.55178648</v>
      </c>
      <c r="I41" s="18" t="n">
        <v>6.58916702</v>
      </c>
      <c r="J41" s="20" t="n">
        <v>1.18430194</v>
      </c>
      <c r="K41" s="18" t="n">
        <v>16.77225572</v>
      </c>
      <c r="L41" s="20" t="n">
        <v>1.80576382</v>
      </c>
      <c r="M41" s="18" t="n">
        <v>0</v>
      </c>
      <c r="N41" s="20" t="n">
        <v>0</v>
      </c>
      <c r="O41" s="18" t="n">
        <v>6.33469357</v>
      </c>
      <c r="P41" s="20" t="n">
        <v>1.10272102</v>
      </c>
      <c r="Q41" s="18" t="n">
        <v>0</v>
      </c>
      <c r="R41" s="20" t="n">
        <v>0</v>
      </c>
      <c r="S41" s="18" t="n">
        <v>0</v>
      </c>
      <c r="T41" s="20" t="n">
        <v>0</v>
      </c>
      <c r="U41" s="18" t="n">
        <v>0</v>
      </c>
      <c r="V41" s="20" t="n">
        <v>0</v>
      </c>
    </row>
    <row r="42" spans="1:22">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c r="U44" s="18" t="s">
        <v>603</v>
      </c>
      <c r="V44" s="20" t="s">
        <v>603</v>
      </c>
    </row>
    <row r="45" spans="1:22">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c r="U45" s="18" t="s">
        <v>603</v>
      </c>
      <c r="V45" s="20" t="s">
        <v>603</v>
      </c>
    </row>
    <row r="46" spans="1:22">
      <c r="A46" s="15" t="s">
        <v>605</v>
      </c>
      <c r="B46" s="17" t="n">
        <v>12073</v>
      </c>
      <c r="C46" s="18">
        <f>(10349.0/B46*100)</f>
        <v/>
      </c>
      <c r="D46" s="19" t="n">
        <v>1724</v>
      </c>
      <c r="E46" s="18" t="n">
        <v>41.41570695</v>
      </c>
      <c r="F46" s="20" t="n">
        <v>1.80851746</v>
      </c>
      <c r="G46" s="18" t="n">
        <v>9.56421752</v>
      </c>
      <c r="H46" s="20" t="n">
        <v>0.94791362</v>
      </c>
      <c r="I46" s="18" t="n">
        <v>2.54882046</v>
      </c>
      <c r="J46" s="20" t="n">
        <v>0.52738559</v>
      </c>
      <c r="K46" s="18" t="n">
        <v>12.89203742</v>
      </c>
      <c r="L46" s="20" t="n">
        <v>1.08540184</v>
      </c>
      <c r="M46" s="18" t="n">
        <v>0</v>
      </c>
      <c r="N46" s="20" t="n">
        <v>0</v>
      </c>
      <c r="O46" s="18" t="n">
        <v>33.33141609</v>
      </c>
      <c r="P46" s="20" t="n">
        <v>1.70079144</v>
      </c>
      <c r="Q46" s="18" t="n">
        <v>0.24780157</v>
      </c>
      <c r="R46" s="20" t="n">
        <v>0.10906865</v>
      </c>
      <c r="S46" s="18" t="n">
        <v>0</v>
      </c>
      <c r="T46" s="20" t="n">
        <v>0</v>
      </c>
      <c r="U46" s="18" t="n">
        <v>0</v>
      </c>
      <c r="V46" s="20" t="n">
        <v>0</v>
      </c>
    </row>
    <row r="47" spans="1:22">
      <c r="A47" s="15" t="s">
        <v>606</v>
      </c>
      <c r="B47" s="17" t="n">
        <v>2823</v>
      </c>
      <c r="C47" s="18">
        <f>(2258.0/B47*100)</f>
        <v/>
      </c>
      <c r="D47" s="19" t="n">
        <v>565</v>
      </c>
      <c r="E47" s="18" t="n">
        <v>32.83205042</v>
      </c>
      <c r="F47" s="20" t="n">
        <v>1.85766462</v>
      </c>
      <c r="G47" s="18" t="n">
        <v>8.042925289999999</v>
      </c>
      <c r="H47" s="20" t="n">
        <v>1.33109194</v>
      </c>
      <c r="I47" s="18" t="n">
        <v>3.05505051</v>
      </c>
      <c r="J47" s="20" t="n">
        <v>0.8216915299999999</v>
      </c>
      <c r="K47" s="18" t="n">
        <v>8.617018939999999</v>
      </c>
      <c r="L47" s="20" t="n">
        <v>1.32416941</v>
      </c>
      <c r="M47" s="18" t="n">
        <v>0</v>
      </c>
      <c r="N47" s="20" t="n">
        <v>0</v>
      </c>
      <c r="O47" s="18" t="n">
        <v>47.45295484</v>
      </c>
      <c r="P47" s="20" t="n">
        <v>2.34740763</v>
      </c>
      <c r="Q47" s="18" t="n">
        <v>0</v>
      </c>
      <c r="R47" s="20" t="n">
        <v>0</v>
      </c>
      <c r="S47" s="18" t="n">
        <v>0</v>
      </c>
      <c r="T47" s="20" t="n">
        <v>0</v>
      </c>
      <c r="U47" s="18" t="n">
        <v>0</v>
      </c>
      <c r="V47" s="20" t="n">
        <v>0</v>
      </c>
    </row>
    <row r="48" spans="1:22">
      <c r="A48" s="15" t="s">
        <v>607</v>
      </c>
      <c r="B48" s="17" t="n">
        <v>4682</v>
      </c>
      <c r="C48" s="18">
        <f>(3649.0/B48*100)</f>
        <v/>
      </c>
      <c r="D48" s="19" t="n">
        <v>1033</v>
      </c>
      <c r="E48" s="18" t="n">
        <v>40.42024222</v>
      </c>
      <c r="F48" s="20" t="n">
        <v>1.90374442</v>
      </c>
      <c r="G48" s="18" t="n">
        <v>30.37057544</v>
      </c>
      <c r="H48" s="20" t="n">
        <v>1.97229413</v>
      </c>
      <c r="I48" s="18" t="n">
        <v>7.68252679</v>
      </c>
      <c r="J48" s="20" t="n">
        <v>1.04946822</v>
      </c>
      <c r="K48" s="18" t="n">
        <v>9.40507792</v>
      </c>
      <c r="L48" s="20" t="n">
        <v>1.09465514</v>
      </c>
      <c r="M48" s="18" t="n">
        <v>0</v>
      </c>
      <c r="N48" s="20" t="n">
        <v>0</v>
      </c>
      <c r="O48" s="18" t="n">
        <v>12.12157763</v>
      </c>
      <c r="P48" s="20" t="n">
        <v>1.33557632</v>
      </c>
      <c r="Q48" s="18" t="n">
        <v>0</v>
      </c>
      <c r="R48" s="20" t="n">
        <v>0</v>
      </c>
      <c r="S48" s="18" t="n">
        <v>0</v>
      </c>
      <c r="T48" s="20" t="n">
        <v>0</v>
      </c>
      <c r="U48" s="18" t="n">
        <v>0</v>
      </c>
      <c r="V48" s="20" t="n">
        <v>0</v>
      </c>
    </row>
    <row r="49" spans="1:22">
      <c r="A49" s="15" t="s">
        <v>608</v>
      </c>
      <c r="B49" s="17" t="n">
        <v>6158</v>
      </c>
      <c r="C49" s="18">
        <f>(4929.0/B49*100)</f>
        <v/>
      </c>
      <c r="D49" s="19" t="n">
        <v>1229</v>
      </c>
      <c r="E49" s="18" t="n">
        <v>59.76616421</v>
      </c>
      <c r="F49" s="20" t="n">
        <v>1.92067774</v>
      </c>
      <c r="G49" s="18" t="n">
        <v>9.71453857</v>
      </c>
      <c r="H49" s="20" t="n">
        <v>1.24016668</v>
      </c>
      <c r="I49" s="18" t="n">
        <v>6.02535215</v>
      </c>
      <c r="J49" s="20" t="n">
        <v>0.88142665</v>
      </c>
      <c r="K49" s="18" t="n">
        <v>5.33766852</v>
      </c>
      <c r="L49" s="20" t="n">
        <v>0.8428650600000001</v>
      </c>
      <c r="M49" s="18" t="n">
        <v>0</v>
      </c>
      <c r="N49" s="20" t="n">
        <v>0</v>
      </c>
      <c r="O49" s="18" t="n">
        <v>18.94705148</v>
      </c>
      <c r="P49" s="20" t="n">
        <v>1.52128248</v>
      </c>
      <c r="Q49" s="18" t="n">
        <v>0.20922507</v>
      </c>
      <c r="R49" s="20" t="n">
        <v>0.12645626</v>
      </c>
      <c r="S49" s="18" t="n">
        <v>0</v>
      </c>
      <c r="T49" s="20" t="n">
        <v>0</v>
      </c>
      <c r="U49" s="18" t="n">
        <v>0</v>
      </c>
      <c r="V49" s="20" t="n">
        <v>0</v>
      </c>
    </row>
    <row r="50" spans="1:22">
      <c r="A50" s="15" t="s">
        <v>609</v>
      </c>
      <c r="B50" s="17" t="n">
        <v>3494</v>
      </c>
      <c r="C50" s="18">
        <f>(2854.0/B50*100)</f>
        <v/>
      </c>
      <c r="D50" s="19" t="n">
        <v>640</v>
      </c>
      <c r="E50" s="18" t="n">
        <v>58.59647951</v>
      </c>
      <c r="F50" s="20" t="n">
        <v>2.14093597</v>
      </c>
      <c r="G50" s="18" t="n">
        <v>9.28980117</v>
      </c>
      <c r="H50" s="20" t="n">
        <v>1.31565081</v>
      </c>
      <c r="I50" s="18" t="n">
        <v>4.56308519</v>
      </c>
      <c r="J50" s="20" t="n">
        <v>0.83571062</v>
      </c>
      <c r="K50" s="18" t="n">
        <v>10.04330168</v>
      </c>
      <c r="L50" s="20" t="n">
        <v>1.35904296</v>
      </c>
      <c r="M50" s="18" t="n">
        <v>0</v>
      </c>
      <c r="N50" s="20" t="n">
        <v>0</v>
      </c>
      <c r="O50" s="18" t="n">
        <v>17.50733246</v>
      </c>
      <c r="P50" s="20" t="n">
        <v>1.7536592</v>
      </c>
      <c r="Q50" s="18" t="n">
        <v>0</v>
      </c>
      <c r="R50" s="20" t="n">
        <v>0</v>
      </c>
      <c r="S50" s="18" t="n">
        <v>0</v>
      </c>
      <c r="T50" s="20" t="n">
        <v>0</v>
      </c>
      <c r="U50" s="18" t="n">
        <v>0</v>
      </c>
      <c r="V50" s="20" t="n">
        <v>0</v>
      </c>
    </row>
    <row r="51" spans="1:22">
      <c r="A51" s="15" t="s">
        <v>610</v>
      </c>
      <c r="B51" s="17" t="n">
        <v>3013</v>
      </c>
      <c r="C51" s="18">
        <f>(2379.0/B51*100)</f>
        <v/>
      </c>
      <c r="D51" s="19" t="n">
        <v>634</v>
      </c>
      <c r="E51" s="18" t="n">
        <v>49.67768814</v>
      </c>
      <c r="F51" s="20" t="n">
        <v>1.9228814</v>
      </c>
      <c r="G51" s="18" t="n">
        <v>6.63159417</v>
      </c>
      <c r="H51" s="20" t="n">
        <v>1.06018187</v>
      </c>
      <c r="I51" s="18" t="n">
        <v>7.92016405</v>
      </c>
      <c r="J51" s="20" t="n">
        <v>1.11130262</v>
      </c>
      <c r="K51" s="18" t="n">
        <v>4.94973589</v>
      </c>
      <c r="L51" s="20" t="n">
        <v>0.69305787</v>
      </c>
      <c r="M51" s="18" t="n">
        <v>0</v>
      </c>
      <c r="N51" s="20" t="n">
        <v>0</v>
      </c>
      <c r="O51" s="18" t="n">
        <v>30.82081775</v>
      </c>
      <c r="P51" s="20" t="n">
        <v>1.64800115</v>
      </c>
      <c r="Q51" s="18" t="n">
        <v>0</v>
      </c>
      <c r="R51" s="20" t="n">
        <v>0</v>
      </c>
      <c r="S51" s="18" t="n">
        <v>0</v>
      </c>
      <c r="T51" s="20" t="n">
        <v>0</v>
      </c>
      <c r="U51" s="18" t="n">
        <v>0</v>
      </c>
      <c r="V51" s="20" t="n">
        <v>0</v>
      </c>
    </row>
    <row r="52" spans="1:22">
      <c r="A52" s="15" t="s">
        <v>611</v>
      </c>
      <c r="B52" s="17" t="n">
        <v>2760</v>
      </c>
      <c r="C52" s="18">
        <f>(2161.0/B52*100)</f>
        <v/>
      </c>
      <c r="D52" s="19" t="n">
        <v>599</v>
      </c>
      <c r="E52" s="18" t="n">
        <v>52.16088765</v>
      </c>
      <c r="F52" s="20" t="n">
        <v>2.16259956</v>
      </c>
      <c r="G52" s="18" t="n">
        <v>4.34577287</v>
      </c>
      <c r="H52" s="20" t="n">
        <v>0.94350817</v>
      </c>
      <c r="I52" s="18" t="n">
        <v>4.13611075</v>
      </c>
      <c r="J52" s="20" t="n">
        <v>0.86062457</v>
      </c>
      <c r="K52" s="18" t="n">
        <v>4.16422702</v>
      </c>
      <c r="L52" s="20" t="n">
        <v>1.05070571</v>
      </c>
      <c r="M52" s="18" t="n">
        <v>0</v>
      </c>
      <c r="N52" s="20" t="n">
        <v>0</v>
      </c>
      <c r="O52" s="18" t="n">
        <v>35.19300171</v>
      </c>
      <c r="P52" s="20" t="n">
        <v>1.93393862</v>
      </c>
      <c r="Q52" s="18" t="n">
        <v>0</v>
      </c>
      <c r="R52" s="20" t="n">
        <v>0</v>
      </c>
      <c r="S52" s="18" t="n">
        <v>0</v>
      </c>
      <c r="T52" s="20" t="n">
        <v>0</v>
      </c>
      <c r="U52" s="18" t="n">
        <v>0</v>
      </c>
      <c r="V52" s="20" t="n">
        <v>0</v>
      </c>
    </row>
    <row r="53" spans="1:22">
      <c r="A53" s="15" t="s">
        <v>612</v>
      </c>
      <c r="B53" s="17" t="n">
        <v>2474</v>
      </c>
      <c r="C53" s="18">
        <f>(1947.0/B53*100)</f>
        <v/>
      </c>
      <c r="D53" s="19" t="n">
        <v>527</v>
      </c>
      <c r="E53" s="18" t="n">
        <v>41.76111191</v>
      </c>
      <c r="F53" s="20" t="n">
        <v>2.46647751</v>
      </c>
      <c r="G53" s="18" t="n">
        <v>2.87212381</v>
      </c>
      <c r="H53" s="20" t="n">
        <v>0.57480133</v>
      </c>
      <c r="I53" s="18" t="n">
        <v>0.82169345</v>
      </c>
      <c r="J53" s="20" t="n">
        <v>0.36958286</v>
      </c>
      <c r="K53" s="18" t="n">
        <v>0.8758020399999999</v>
      </c>
      <c r="L53" s="20" t="n">
        <v>0.4510608</v>
      </c>
      <c r="M53" s="18" t="n">
        <v>0</v>
      </c>
      <c r="N53" s="20" t="n">
        <v>0</v>
      </c>
      <c r="O53" s="18" t="n">
        <v>53.06652683</v>
      </c>
      <c r="P53" s="20" t="n">
        <v>2.54298434</v>
      </c>
      <c r="Q53" s="18" t="n">
        <v>0.60274196</v>
      </c>
      <c r="R53" s="20" t="n">
        <v>0.50318067</v>
      </c>
      <c r="S53" s="18" t="n">
        <v>0</v>
      </c>
      <c r="T53" s="20" t="n">
        <v>0</v>
      </c>
      <c r="U53" s="18" t="n">
        <v>0</v>
      </c>
      <c r="V53" s="20" t="n">
        <v>0</v>
      </c>
    </row>
    <row r="54" spans="1:22">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c r="U54" s="18" t="s">
        <v>603</v>
      </c>
      <c r="V54" s="20" t="s">
        <v>603</v>
      </c>
    </row>
    <row r="55" spans="1:22">
      <c r="A55" s="15" t="s">
        <v>614</v>
      </c>
      <c r="B55" s="17" t="n">
        <v>2675</v>
      </c>
      <c r="C55" s="18">
        <f>(2062.0/B55*100)</f>
        <v/>
      </c>
      <c r="D55" s="19" t="n">
        <v>613</v>
      </c>
      <c r="E55" s="18" t="n">
        <v>51.82249511</v>
      </c>
      <c r="F55" s="20" t="n">
        <v>2.50267384</v>
      </c>
      <c r="G55" s="18" t="n">
        <v>17.90597969</v>
      </c>
      <c r="H55" s="20" t="n">
        <v>1.60937115</v>
      </c>
      <c r="I55" s="18" t="n">
        <v>11.30504223</v>
      </c>
      <c r="J55" s="20" t="n">
        <v>1.25106754</v>
      </c>
      <c r="K55" s="18" t="n">
        <v>10.68374788</v>
      </c>
      <c r="L55" s="20" t="n">
        <v>1.15205891</v>
      </c>
      <c r="M55" s="18" t="n">
        <v>0</v>
      </c>
      <c r="N55" s="20" t="n">
        <v>0</v>
      </c>
      <c r="O55" s="18" t="n">
        <v>8.078475389999999</v>
      </c>
      <c r="P55" s="20" t="n">
        <v>1.30245252</v>
      </c>
      <c r="Q55" s="18" t="n">
        <v>0.20425969</v>
      </c>
      <c r="R55" s="20" t="n">
        <v>0.22561888</v>
      </c>
      <c r="S55" s="18" t="n">
        <v>0</v>
      </c>
      <c r="T55" s="20" t="n">
        <v>0</v>
      </c>
      <c r="U55" s="18" t="n">
        <v>0</v>
      </c>
      <c r="V55" s="20" t="n">
        <v>0</v>
      </c>
    </row>
    <row r="56" spans="1:22">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c r="U56" s="18" t="s">
        <v>603</v>
      </c>
      <c r="V56" s="20" t="s">
        <v>603</v>
      </c>
    </row>
    <row r="57" spans="1:22">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c r="U57" s="18" t="s">
        <v>603</v>
      </c>
      <c r="V57" s="20" t="s">
        <v>603</v>
      </c>
    </row>
    <row r="58" spans="1:22">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row>
    <row r="59" spans="1:22">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c r="U59" s="18" t="s">
        <v>603</v>
      </c>
      <c r="V59" s="20" t="s">
        <v>603</v>
      </c>
    </row>
    <row r="60" spans="1:22">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c r="U60" s="18" t="s">
        <v>603</v>
      </c>
      <c r="V60" s="20" t="s">
        <v>603</v>
      </c>
    </row>
    <row r="61" spans="1:22">
      <c r="A61" s="15" t="s">
        <v>621</v>
      </c>
      <c r="B61" s="17" t="n">
        <v>3201</v>
      </c>
      <c r="C61" s="18">
        <f>(2494.0/B61*100)</f>
        <v/>
      </c>
      <c r="D61" s="19" t="n">
        <v>707</v>
      </c>
      <c r="E61" s="18" t="n">
        <v>40.18204148</v>
      </c>
      <c r="F61" s="20" t="n">
        <v>2.09280377</v>
      </c>
      <c r="G61" s="18" t="n">
        <v>6.93102502</v>
      </c>
      <c r="H61" s="20" t="n">
        <v>1.03405881</v>
      </c>
      <c r="I61" s="18" t="n">
        <v>9.814507389999999</v>
      </c>
      <c r="J61" s="20" t="n">
        <v>1.2964275</v>
      </c>
      <c r="K61" s="18" t="n">
        <v>9.38628288</v>
      </c>
      <c r="L61" s="20" t="n">
        <v>1.43237699</v>
      </c>
      <c r="M61" s="18" t="n">
        <v>0</v>
      </c>
      <c r="N61" s="20" t="n">
        <v>0</v>
      </c>
      <c r="O61" s="18" t="n">
        <v>33.68614324</v>
      </c>
      <c r="P61" s="20" t="n">
        <v>2.06469642</v>
      </c>
      <c r="Q61" s="18" t="n">
        <v>0</v>
      </c>
      <c r="R61" s="20" t="n">
        <v>0</v>
      </c>
      <c r="S61" s="18" t="n">
        <v>0</v>
      </c>
      <c r="T61" s="20" t="n">
        <v>0</v>
      </c>
      <c r="U61" s="18" t="n">
        <v>0</v>
      </c>
      <c r="V61" s="20" t="n">
        <v>0</v>
      </c>
    </row>
    <row r="62" spans="1:22">
      <c r="A62" s="15" t="s">
        <v>622</v>
      </c>
      <c r="B62" s="17" t="n">
        <v>2230</v>
      </c>
      <c r="C62" s="18">
        <f>(1776.0/B62*100)</f>
        <v/>
      </c>
      <c r="D62" s="19" t="n">
        <v>454</v>
      </c>
      <c r="E62" s="18" t="n">
        <v>65.41909244</v>
      </c>
      <c r="F62" s="20" t="n">
        <v>2.1835947</v>
      </c>
      <c r="G62" s="18" t="n">
        <v>16.99627171</v>
      </c>
      <c r="H62" s="20" t="n">
        <v>1.77830329</v>
      </c>
      <c r="I62" s="18" t="n">
        <v>6.34778763</v>
      </c>
      <c r="J62" s="20" t="n">
        <v>1.1285356</v>
      </c>
      <c r="K62" s="18" t="n">
        <v>5.28026472</v>
      </c>
      <c r="L62" s="20" t="n">
        <v>1.00644572</v>
      </c>
      <c r="M62" s="18" t="n">
        <v>0</v>
      </c>
      <c r="N62" s="20" t="n">
        <v>0</v>
      </c>
      <c r="O62" s="18" t="n">
        <v>5.95658349</v>
      </c>
      <c r="P62" s="20" t="n">
        <v>0.95370249</v>
      </c>
      <c r="Q62" s="18" t="n">
        <v>0</v>
      </c>
      <c r="R62" s="20" t="n">
        <v>0</v>
      </c>
      <c r="S62" s="18" t="n">
        <v>0</v>
      </c>
      <c r="T62" s="20" t="n">
        <v>0</v>
      </c>
      <c r="U62" s="18" t="n">
        <v>0</v>
      </c>
      <c r="V62" s="20" t="n">
        <v>0</v>
      </c>
    </row>
    <row r="63" spans="1:22">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c r="U63" s="18" t="s">
        <v>603</v>
      </c>
      <c r="V63" s="20" t="s">
        <v>603</v>
      </c>
    </row>
    <row r="64" spans="1:22">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row>
    <row r="65" spans="1:22">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c r="U65" s="18" t="s">
        <v>603</v>
      </c>
      <c r="V65" s="20" t="s">
        <v>603</v>
      </c>
    </row>
    <row r="66" spans="1:22">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c r="U66" s="18" t="s">
        <v>603</v>
      </c>
      <c r="V66" s="20" t="s">
        <v>603</v>
      </c>
    </row>
    <row r="67" spans="1:22">
      <c r="A67" s="15" t="s">
        <v>627</v>
      </c>
      <c r="B67" s="17" t="n">
        <v>2771</v>
      </c>
      <c r="C67" s="18">
        <f>(2206.0/B67*100)</f>
        <v/>
      </c>
      <c r="D67" s="19" t="n">
        <v>565</v>
      </c>
      <c r="E67" s="18" t="n">
        <v>26.12311844</v>
      </c>
      <c r="F67" s="20" t="n">
        <v>1.70193741</v>
      </c>
      <c r="G67" s="18" t="n">
        <v>5.98734447</v>
      </c>
      <c r="H67" s="20" t="n">
        <v>0.98679809</v>
      </c>
      <c r="I67" s="18" t="n">
        <v>5.23275703</v>
      </c>
      <c r="J67" s="20" t="n">
        <v>0.92745931</v>
      </c>
      <c r="K67" s="18" t="n">
        <v>3.761229</v>
      </c>
      <c r="L67" s="20" t="n">
        <v>0.73381984</v>
      </c>
      <c r="M67" s="18" t="n">
        <v>0</v>
      </c>
      <c r="N67" s="20" t="n">
        <v>0</v>
      </c>
      <c r="O67" s="18" t="n">
        <v>58.57269007</v>
      </c>
      <c r="P67" s="20" t="n">
        <v>1.90189015</v>
      </c>
      <c r="Q67" s="18" t="n">
        <v>0.32286099</v>
      </c>
      <c r="R67" s="20" t="n">
        <v>0.22919496</v>
      </c>
      <c r="S67" s="18" t="n">
        <v>0</v>
      </c>
      <c r="T67" s="20" t="n">
        <v>0</v>
      </c>
      <c r="U67" s="18" t="n">
        <v>0</v>
      </c>
      <c r="V67" s="20" t="n">
        <v>0</v>
      </c>
    </row>
    <row r="68" spans="1:22">
      <c r="A68" s="15" t="s">
        <v>628</v>
      </c>
      <c r="B68" s="17" t="n">
        <v>3460</v>
      </c>
      <c r="C68" s="18">
        <f>(2914.0/B68*100)</f>
        <v/>
      </c>
      <c r="D68" s="19" t="n">
        <v>546</v>
      </c>
      <c r="E68" s="18" t="n">
        <v>68.81682057</v>
      </c>
      <c r="F68" s="20" t="n">
        <v>1.98330022</v>
      </c>
      <c r="G68" s="18" t="n">
        <v>4.31410706</v>
      </c>
      <c r="H68" s="20" t="n">
        <v>0.86048885</v>
      </c>
      <c r="I68" s="18" t="n">
        <v>4.79898179</v>
      </c>
      <c r="J68" s="20" t="n">
        <v>1.01330803</v>
      </c>
      <c r="K68" s="18" t="n">
        <v>1.12755918</v>
      </c>
      <c r="L68" s="20" t="n">
        <v>0.4463448</v>
      </c>
      <c r="M68" s="18" t="n">
        <v>0</v>
      </c>
      <c r="N68" s="20" t="n">
        <v>0</v>
      </c>
      <c r="O68" s="18" t="n">
        <v>20.94253139</v>
      </c>
      <c r="P68" s="20" t="n">
        <v>1.79054454</v>
      </c>
      <c r="Q68" s="18" t="n">
        <v>0</v>
      </c>
      <c r="R68" s="20" t="n">
        <v>0</v>
      </c>
      <c r="S68" s="18" t="n">
        <v>0</v>
      </c>
      <c r="T68" s="20" t="n">
        <v>0</v>
      </c>
      <c r="U68" s="18" t="n">
        <v>0</v>
      </c>
      <c r="V68" s="20" t="n">
        <v>0</v>
      </c>
    </row>
    <row r="69" spans="1:22">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c r="U69" s="18" t="s">
        <v>603</v>
      </c>
      <c r="V69" s="20" t="s">
        <v>603</v>
      </c>
    </row>
    <row r="70" spans="1:22">
      <c r="A70" s="15" t="s">
        <v>630</v>
      </c>
      <c r="B70" s="17" t="n">
        <v>6034</v>
      </c>
      <c r="C70" s="18">
        <f>(4652.0/B70*100)</f>
        <v/>
      </c>
      <c r="D70" s="19" t="n">
        <v>1382</v>
      </c>
      <c r="E70" s="18" t="n">
        <v>53.31687088</v>
      </c>
      <c r="F70" s="20" t="n">
        <v>1.20223476</v>
      </c>
      <c r="G70" s="18" t="n">
        <v>13.76138543</v>
      </c>
      <c r="H70" s="20" t="n">
        <v>0.95540381</v>
      </c>
      <c r="I70" s="18" t="n">
        <v>3.57168286</v>
      </c>
      <c r="J70" s="20" t="n">
        <v>0.51356133</v>
      </c>
      <c r="K70" s="18" t="n">
        <v>4.67738723</v>
      </c>
      <c r="L70" s="20" t="n">
        <v>0.65888757</v>
      </c>
      <c r="M70" s="18" t="n">
        <v>0</v>
      </c>
      <c r="N70" s="20" t="n">
        <v>0</v>
      </c>
      <c r="O70" s="18" t="n">
        <v>24.60251086</v>
      </c>
      <c r="P70" s="20" t="n">
        <v>1.05593553</v>
      </c>
      <c r="Q70" s="18" t="n">
        <v>0.07016273000000001</v>
      </c>
      <c r="R70" s="20" t="n">
        <v>0.06987181000000001</v>
      </c>
      <c r="S70" s="18" t="n">
        <v>0</v>
      </c>
      <c r="T70" s="20" t="n">
        <v>0</v>
      </c>
      <c r="U70" s="18" t="n">
        <v>0</v>
      </c>
      <c r="V70" s="20" t="n">
        <v>0</v>
      </c>
    </row>
    <row r="71" spans="1:22">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c r="U71" s="18" t="s">
        <v>603</v>
      </c>
      <c r="V71" s="20" t="s">
        <v>603</v>
      </c>
    </row>
    <row r="72" spans="1:22">
      <c r="A72" s="15" t="s">
        <v>632</v>
      </c>
      <c r="B72" s="17" t="n">
        <v>3107</v>
      </c>
      <c r="C72" s="18">
        <f>(2553.0/B72*100)</f>
        <v/>
      </c>
      <c r="D72" s="19" t="n">
        <v>554</v>
      </c>
      <c r="E72" s="18" t="n">
        <v>35.27207374</v>
      </c>
      <c r="F72" s="20" t="n">
        <v>2.4951822</v>
      </c>
      <c r="G72" s="18" t="n">
        <v>10.05228574</v>
      </c>
      <c r="H72" s="20" t="n">
        <v>1.88192779</v>
      </c>
      <c r="I72" s="18" t="n">
        <v>13.74405486</v>
      </c>
      <c r="J72" s="20" t="n">
        <v>1.68371001</v>
      </c>
      <c r="K72" s="18" t="n">
        <v>7.28523636</v>
      </c>
      <c r="L72" s="20" t="n">
        <v>1.16460806</v>
      </c>
      <c r="M72" s="18" t="n">
        <v>0</v>
      </c>
      <c r="N72" s="20" t="n">
        <v>0</v>
      </c>
      <c r="O72" s="18" t="n">
        <v>33.6463493</v>
      </c>
      <c r="P72" s="20" t="n">
        <v>3.02820756</v>
      </c>
      <c r="Q72" s="18" t="n">
        <v>0</v>
      </c>
      <c r="R72" s="20" t="n">
        <v>0</v>
      </c>
      <c r="S72" s="18" t="n">
        <v>0</v>
      </c>
      <c r="T72" s="20" t="n">
        <v>0</v>
      </c>
      <c r="U72" s="18" t="n">
        <v>0</v>
      </c>
      <c r="V72" s="20" t="n">
        <v>0</v>
      </c>
    </row>
    <row r="73" spans="1:22">
      <c r="A73" s="15" t="s">
        <v>633</v>
      </c>
      <c r="B73" s="17" t="n">
        <v>2973</v>
      </c>
      <c r="C73" s="18">
        <f>(2340.0/B73*100)</f>
        <v/>
      </c>
      <c r="D73" s="19" t="n">
        <v>633</v>
      </c>
      <c r="E73" s="18" t="n">
        <v>65.48051185999999</v>
      </c>
      <c r="F73" s="20" t="n">
        <v>2.46302831</v>
      </c>
      <c r="G73" s="18" t="n">
        <v>15.84526252</v>
      </c>
      <c r="H73" s="20" t="n">
        <v>1.70673393</v>
      </c>
      <c r="I73" s="18" t="n">
        <v>5.39641579</v>
      </c>
      <c r="J73" s="20" t="n">
        <v>0.92503659</v>
      </c>
      <c r="K73" s="18" t="n">
        <v>5.01415486</v>
      </c>
      <c r="L73" s="20" t="n">
        <v>1.08053812</v>
      </c>
      <c r="M73" s="18" t="n">
        <v>0</v>
      </c>
      <c r="N73" s="20" t="n">
        <v>0</v>
      </c>
      <c r="O73" s="18" t="n">
        <v>8.26365498</v>
      </c>
      <c r="P73" s="20" t="n">
        <v>1.20242213</v>
      </c>
      <c r="Q73" s="18" t="n">
        <v>0</v>
      </c>
      <c r="R73" s="20" t="n">
        <v>0</v>
      </c>
      <c r="S73" s="18" t="n">
        <v>0</v>
      </c>
      <c r="T73" s="20" t="n">
        <v>0</v>
      </c>
      <c r="U73" s="18" t="n">
        <v>0</v>
      </c>
      <c r="V73" s="20" t="n">
        <v>0</v>
      </c>
    </row>
    <row r="74" spans="1:22">
      <c r="A74" s="15" t="s">
        <v>634</v>
      </c>
      <c r="B74" s="17" t="n">
        <v>3819</v>
      </c>
      <c r="C74" s="18">
        <f>(2981.0/B74*100)</f>
        <v/>
      </c>
      <c r="D74" s="19" t="n">
        <v>838</v>
      </c>
      <c r="E74" s="18" t="n">
        <v>27.94497345</v>
      </c>
      <c r="F74" s="20" t="n">
        <v>1.66369057</v>
      </c>
      <c r="G74" s="18" t="n">
        <v>26.82107492</v>
      </c>
      <c r="H74" s="20" t="n">
        <v>1.48227549</v>
      </c>
      <c r="I74" s="18" t="n">
        <v>11.78707192</v>
      </c>
      <c r="J74" s="20" t="n">
        <v>1.18682444</v>
      </c>
      <c r="K74" s="18" t="n">
        <v>26.34366804</v>
      </c>
      <c r="L74" s="20" t="n">
        <v>1.49334422</v>
      </c>
      <c r="M74" s="18" t="n">
        <v>0</v>
      </c>
      <c r="N74" s="20" t="n">
        <v>0</v>
      </c>
      <c r="O74" s="18" t="n">
        <v>7.10321167</v>
      </c>
      <c r="P74" s="20" t="n">
        <v>1.02523118</v>
      </c>
      <c r="Q74" s="18" t="n">
        <v>0</v>
      </c>
      <c r="R74" s="20" t="n">
        <v>0</v>
      </c>
      <c r="S74" s="18" t="n">
        <v>0</v>
      </c>
      <c r="T74" s="20" t="n">
        <v>0</v>
      </c>
      <c r="U74" s="18" t="n">
        <v>0</v>
      </c>
      <c r="V74" s="20" t="n">
        <v>0</v>
      </c>
    </row>
    <row r="75" spans="1:22">
      <c r="A75" s="15" t="s">
        <v>635</v>
      </c>
      <c r="B75" s="17" t="n">
        <v>4652</v>
      </c>
      <c r="C75" s="18">
        <f>(3750.0/B75*100)</f>
        <v/>
      </c>
      <c r="D75" s="19" t="n">
        <v>902</v>
      </c>
      <c r="E75" s="18" t="n">
        <v>77.54775216</v>
      </c>
      <c r="F75" s="20" t="n">
        <v>1.67762407</v>
      </c>
      <c r="G75" s="18" t="n">
        <v>12.87849004</v>
      </c>
      <c r="H75" s="20" t="n">
        <v>1.34892115</v>
      </c>
      <c r="I75" s="18" t="n">
        <v>1.71474839</v>
      </c>
      <c r="J75" s="20" t="n">
        <v>0.54519165</v>
      </c>
      <c r="K75" s="18" t="n">
        <v>2.52661394</v>
      </c>
      <c r="L75" s="20" t="n">
        <v>0.66109082</v>
      </c>
      <c r="M75" s="18" t="n">
        <v>0</v>
      </c>
      <c r="N75" s="20" t="n">
        <v>0</v>
      </c>
      <c r="O75" s="18" t="n">
        <v>5.02842126</v>
      </c>
      <c r="P75" s="20" t="n">
        <v>0.70847692</v>
      </c>
      <c r="Q75" s="18" t="n">
        <v>0.30397422</v>
      </c>
      <c r="R75" s="20" t="n">
        <v>0.21380811</v>
      </c>
      <c r="S75" s="18" t="n">
        <v>0</v>
      </c>
      <c r="T75" s="20" t="n">
        <v>0</v>
      </c>
      <c r="U75" s="18" t="n">
        <v>0</v>
      </c>
      <c r="V75" s="20" t="n">
        <v>0</v>
      </c>
    </row>
    <row r="76" spans="1:22">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c r="U76" s="18" t="s">
        <v>603</v>
      </c>
      <c r="V76" s="20" t="s">
        <v>603</v>
      </c>
    </row>
    <row r="77" spans="1:22">
      <c r="A77" s="15" t="s">
        <v>637</v>
      </c>
      <c r="B77" s="17" t="n">
        <v>2969</v>
      </c>
      <c r="C77" s="18">
        <f>(2435.0/B77*100)</f>
        <v/>
      </c>
      <c r="D77" s="19" t="n">
        <v>534</v>
      </c>
      <c r="E77" s="18" t="n">
        <v>56.33593457</v>
      </c>
      <c r="F77" s="20" t="n">
        <v>2.29113182</v>
      </c>
      <c r="G77" s="18" t="n">
        <v>1.16971755</v>
      </c>
      <c r="H77" s="20" t="n">
        <v>0.46386716</v>
      </c>
      <c r="I77" s="18" t="n">
        <v>0.18527555</v>
      </c>
      <c r="J77" s="20" t="n">
        <v>0.18577233</v>
      </c>
      <c r="K77" s="18" t="n">
        <v>0.37468502</v>
      </c>
      <c r="L77" s="20" t="n">
        <v>0.26695964</v>
      </c>
      <c r="M77" s="18" t="n">
        <v>0</v>
      </c>
      <c r="N77" s="20" t="n">
        <v>0</v>
      </c>
      <c r="O77" s="18" t="n">
        <v>41.14774201</v>
      </c>
      <c r="P77" s="20" t="n">
        <v>2.37760641</v>
      </c>
      <c r="Q77" s="18" t="n">
        <v>0.7866453</v>
      </c>
      <c r="R77" s="20" t="n">
        <v>0.47820315</v>
      </c>
      <c r="S77" s="18" t="n">
        <v>0</v>
      </c>
      <c r="T77" s="20" t="n">
        <v>0</v>
      </c>
      <c r="U77" s="18" t="n">
        <v>0</v>
      </c>
      <c r="V77" s="20" t="n">
        <v>0</v>
      </c>
    </row>
    <row r="78" spans="1:22">
      <c r="A78" s="15" t="s">
        <v>638</v>
      </c>
      <c r="B78" s="17" t="n">
        <v>7115</v>
      </c>
      <c r="C78" s="18">
        <f>(5592.0/B78*100)</f>
        <v/>
      </c>
      <c r="D78" s="19" t="n">
        <v>1523</v>
      </c>
      <c r="E78" s="18" t="n">
        <v>65.24586924</v>
      </c>
      <c r="F78" s="20" t="n">
        <v>1.36120679</v>
      </c>
      <c r="G78" s="18" t="n">
        <v>10.27066287</v>
      </c>
      <c r="H78" s="20" t="n">
        <v>1.0580905</v>
      </c>
      <c r="I78" s="18" t="n">
        <v>6.21436899</v>
      </c>
      <c r="J78" s="20" t="n">
        <v>0.75008547</v>
      </c>
      <c r="K78" s="18" t="n">
        <v>5.97774623</v>
      </c>
      <c r="L78" s="20" t="n">
        <v>0.85968958</v>
      </c>
      <c r="M78" s="18" t="n">
        <v>0</v>
      </c>
      <c r="N78" s="20" t="n">
        <v>0</v>
      </c>
      <c r="O78" s="18" t="n">
        <v>12.14776732</v>
      </c>
      <c r="P78" s="20" t="n">
        <v>1.14975577</v>
      </c>
      <c r="Q78" s="18" t="n">
        <v>0.14358536</v>
      </c>
      <c r="R78" s="20" t="n">
        <v>0.10182259</v>
      </c>
      <c r="S78" s="18" t="n">
        <v>0</v>
      </c>
      <c r="T78" s="20" t="n">
        <v>0</v>
      </c>
      <c r="U78" s="18" t="n">
        <v>0</v>
      </c>
      <c r="V78" s="20" t="n">
        <v>0</v>
      </c>
    </row>
    <row r="79" spans="1:22">
      <c r="A79" s="15" t="s">
        <v>639</v>
      </c>
      <c r="B79" s="17" t="n">
        <v>3154</v>
      </c>
      <c r="C79" s="18">
        <f>(2516.0/B79*100)</f>
        <v/>
      </c>
      <c r="D79" s="19" t="n">
        <v>638</v>
      </c>
      <c r="E79" s="18" t="n">
        <v>39.019429</v>
      </c>
      <c r="F79" s="20" t="n">
        <v>1.82649657</v>
      </c>
      <c r="G79" s="18" t="n">
        <v>11.17488552</v>
      </c>
      <c r="H79" s="20" t="n">
        <v>1.28504227</v>
      </c>
      <c r="I79" s="18" t="n">
        <v>4.28137392</v>
      </c>
      <c r="J79" s="20" t="n">
        <v>0.81807</v>
      </c>
      <c r="K79" s="18" t="n">
        <v>5.08582391</v>
      </c>
      <c r="L79" s="20" t="n">
        <v>0.79479813</v>
      </c>
      <c r="M79" s="18" t="n">
        <v>0</v>
      </c>
      <c r="N79" s="20" t="n">
        <v>0</v>
      </c>
      <c r="O79" s="18" t="n">
        <v>40.43848766</v>
      </c>
      <c r="P79" s="20" t="n">
        <v>2.06408675</v>
      </c>
      <c r="Q79" s="18" t="n">
        <v>0</v>
      </c>
      <c r="R79" s="20" t="n">
        <v>0</v>
      </c>
      <c r="S79" s="18" t="n">
        <v>0</v>
      </c>
      <c r="T79" s="20" t="n">
        <v>0</v>
      </c>
      <c r="U79" s="18" t="n">
        <v>0</v>
      </c>
      <c r="V79" s="20" t="n">
        <v>0</v>
      </c>
    </row>
    <row r="80" spans="1:22">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c r="U80" s="18" t="s">
        <v>603</v>
      </c>
      <c r="V80" s="20" t="s">
        <v>603</v>
      </c>
    </row>
    <row r="81" spans="1:22">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c r="U81" s="18" t="s">
        <v>603</v>
      </c>
      <c r="V81" s="20" t="s">
        <v>603</v>
      </c>
    </row>
    <row r="82" spans="1:22">
      <c r="A82" s="15" t="s">
        <v>642</v>
      </c>
      <c r="B82" s="17" t="n">
        <v>15961</v>
      </c>
      <c r="C82" s="18">
        <f>(12642.0/B82*100)</f>
        <v/>
      </c>
      <c r="D82" s="19" t="n">
        <v>3319</v>
      </c>
      <c r="E82" s="18" t="n">
        <v>39.54349281</v>
      </c>
      <c r="F82" s="20" t="n">
        <v>1.12562284</v>
      </c>
      <c r="G82" s="18" t="n">
        <v>10.91310587</v>
      </c>
      <c r="H82" s="20" t="n">
        <v>0.85828531</v>
      </c>
      <c r="I82" s="18" t="n">
        <v>16.98476189</v>
      </c>
      <c r="J82" s="20" t="n">
        <v>0.9927904</v>
      </c>
      <c r="K82" s="18" t="n">
        <v>13.74075407</v>
      </c>
      <c r="L82" s="20" t="n">
        <v>0.76377615</v>
      </c>
      <c r="M82" s="18" t="n">
        <v>0</v>
      </c>
      <c r="N82" s="20" t="n">
        <v>0</v>
      </c>
      <c r="O82" s="18" t="n">
        <v>18.81788537</v>
      </c>
      <c r="P82" s="20" t="n">
        <v>0.92662234</v>
      </c>
      <c r="Q82" s="18" t="n">
        <v>0</v>
      </c>
      <c r="R82" s="20" t="n">
        <v>0</v>
      </c>
      <c r="S82" s="18" t="n">
        <v>0</v>
      </c>
      <c r="T82" s="20" t="n">
        <v>0</v>
      </c>
      <c r="U82" s="18" t="n">
        <v>0</v>
      </c>
      <c r="V82" s="20" t="n">
        <v>0</v>
      </c>
    </row>
    <row r="83" spans="1:22">
      <c r="A83" s="15" t="s">
        <v>643</v>
      </c>
      <c r="B83" s="17" t="n">
        <v>808</v>
      </c>
      <c r="C83" s="18">
        <f>(637.0/B83*100)</f>
        <v/>
      </c>
      <c r="D83" s="19" t="n">
        <v>171</v>
      </c>
      <c r="E83" s="18" t="n">
        <v>36.0637101</v>
      </c>
      <c r="F83" s="20" t="n">
        <v>5.06525018</v>
      </c>
      <c r="G83" s="18" t="n">
        <v>25.31737698</v>
      </c>
      <c r="H83" s="20" t="n">
        <v>2.78794066</v>
      </c>
      <c r="I83" s="18" t="n">
        <v>4.42532668</v>
      </c>
      <c r="J83" s="20" t="n">
        <v>1.91336517</v>
      </c>
      <c r="K83" s="18" t="n">
        <v>29.98715671</v>
      </c>
      <c r="L83" s="20" t="n">
        <v>4.12359412</v>
      </c>
      <c r="M83" s="18" t="n">
        <v>0</v>
      </c>
      <c r="N83" s="20" t="n">
        <v>0</v>
      </c>
      <c r="O83" s="18" t="n">
        <v>4.20642954</v>
      </c>
      <c r="P83" s="20" t="n">
        <v>1.5130047</v>
      </c>
      <c r="Q83" s="18" t="n">
        <v>0</v>
      </c>
      <c r="R83" s="20" t="n">
        <v>0</v>
      </c>
      <c r="S83" s="18" t="n">
        <v>0</v>
      </c>
      <c r="T83" s="20" t="n">
        <v>0</v>
      </c>
      <c r="U83" s="18" t="n">
        <v>0</v>
      </c>
      <c r="V83" s="20" t="n">
        <v>0</v>
      </c>
    </row>
    <row r="84" spans="1:22">
      <c r="A84" s="23" t="s">
        <v>644</v>
      </c>
      <c r="B84" s="24" t="n">
        <v>938</v>
      </c>
      <c r="C84" s="25">
        <f>(744.0/B84*100)</f>
        <v/>
      </c>
      <c r="D84" s="19" t="n">
        <v>194</v>
      </c>
      <c r="E84" s="18" t="n">
        <v>45.47539179</v>
      </c>
      <c r="F84" s="20" t="n">
        <v>2.904248</v>
      </c>
      <c r="G84" s="18" t="n">
        <v>26.49970573</v>
      </c>
      <c r="H84" s="20" t="n">
        <v>3.82844625</v>
      </c>
      <c r="I84" s="18" t="n">
        <v>2.74350414</v>
      </c>
      <c r="J84" s="20" t="n">
        <v>0.97620507</v>
      </c>
      <c r="K84" s="18" t="n">
        <v>19.27179985</v>
      </c>
      <c r="L84" s="20" t="n">
        <v>3.62918678</v>
      </c>
      <c r="M84" s="18" t="n">
        <v>0</v>
      </c>
      <c r="N84" s="20" t="n">
        <v>0</v>
      </c>
      <c r="O84" s="18" t="n">
        <v>6.00959849</v>
      </c>
      <c r="P84" s="20" t="n">
        <v>1.71569195</v>
      </c>
      <c r="Q84" s="18" t="n">
        <v>0</v>
      </c>
      <c r="R84" s="20" t="n">
        <v>0</v>
      </c>
      <c r="S84" s="18" t="n">
        <v>0</v>
      </c>
      <c r="T84" s="20" t="n">
        <v>0</v>
      </c>
      <c r="U84" s="18" t="n">
        <v>0</v>
      </c>
      <c r="V84" s="20" t="n">
        <v>0</v>
      </c>
    </row>
    <row r="86" spans="1:22">
      <c r="A86" s="3" t="s">
        <v>645</v>
      </c>
    </row>
    <row r="87" spans="1:22">
      <c r="A87" s="26" t="s">
        <v>646</v>
      </c>
    </row>
    <row r="88" spans="1:22">
      <c r="A88" s="26" t="s">
        <v>647</v>
      </c>
    </row>
    <row customHeight="1" ht="30" r="89" spans="1:22">
      <c r="A89" s="26" t="s">
        <v>648</v>
      </c>
    </row>
    <row customHeight="1" ht="30" r="90" spans="1:22">
      <c r="A90" s="26" t="s">
        <v>649</v>
      </c>
    </row>
    <row customHeight="1" ht="30" r="91" spans="1:22">
      <c r="A91" s="26" t="s">
        <v>650</v>
      </c>
    </row>
    <row customHeight="1" ht="30" r="92" spans="1:22">
      <c r="A92" s="26" t="s">
        <v>651</v>
      </c>
    </row>
    <row customHeight="1" ht="30" r="93" spans="1:22">
      <c r="A93" s="26" t="s">
        <v>652</v>
      </c>
    </row>
    <row customHeight="1" ht="30" r="94" spans="1:22">
      <c r="A94" s="26" t="s">
        <v>653</v>
      </c>
    </row>
  </sheetData>
  <mergeCells count="19">
    <mergeCell ref="E4:F4"/>
    <mergeCell ref="G4:H4"/>
    <mergeCell ref="I4:J4"/>
    <mergeCell ref="K4:L4"/>
    <mergeCell ref="M4:N4"/>
    <mergeCell ref="O4:P4"/>
    <mergeCell ref="Q4:R4"/>
    <mergeCell ref="S4:T4"/>
    <mergeCell ref="U4:V4"/>
    <mergeCell ref="A1:V1"/>
    <mergeCell ref="A2:V2"/>
    <mergeCell ref="A87:V87"/>
    <mergeCell ref="A88:V88"/>
    <mergeCell ref="A89:V89"/>
    <mergeCell ref="A90:V90"/>
    <mergeCell ref="A91:V91"/>
    <mergeCell ref="A92:V92"/>
    <mergeCell ref="A93:V93"/>
    <mergeCell ref="A94:V94"/>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(5591.0/B7*100)</f>
        <v/>
      </c>
      <c r="D7" s="19" t="n">
        <v>1572</v>
      </c>
      <c r="E7" s="18" t="n">
        <v>37.8051105</v>
      </c>
      <c r="F7" s="20" t="n">
        <v>1.59407955</v>
      </c>
      <c r="G7" s="18" t="n">
        <v>60.95310952</v>
      </c>
      <c r="H7" s="20" t="n">
        <v>1.59547731</v>
      </c>
      <c r="I7" s="18" t="n">
        <v>0</v>
      </c>
      <c r="J7" s="20" t="n">
        <v>0</v>
      </c>
      <c r="K7" s="18" t="n">
        <v>0.17546033</v>
      </c>
      <c r="L7" s="20" t="n">
        <v>0.16492183</v>
      </c>
      <c r="M7" s="18" t="n">
        <v>0</v>
      </c>
      <c r="N7" s="20" t="n">
        <v>0</v>
      </c>
      <c r="O7" s="18" t="n">
        <v>0</v>
      </c>
      <c r="P7" s="20" t="n">
        <v>0</v>
      </c>
      <c r="Q7" s="18" t="n">
        <v>1.06631965</v>
      </c>
      <c r="R7" s="20" t="n">
        <v>0.2599886</v>
      </c>
    </row>
    <row r="8" spans="1:18">
      <c r="A8" s="15" t="s">
        <v>566</v>
      </c>
      <c r="B8" s="17" t="n">
        <v>3443</v>
      </c>
      <c r="C8" s="18">
        <f>(2666.0/B8*100)</f>
        <v/>
      </c>
      <c r="D8" s="19" t="n">
        <v>777</v>
      </c>
      <c r="E8" s="18" t="n">
        <v>46.45814653</v>
      </c>
      <c r="F8" s="20" t="n">
        <v>1.84506777</v>
      </c>
      <c r="G8" s="18" t="n">
        <v>53.46230518</v>
      </c>
      <c r="H8" s="20" t="n">
        <v>1.83878139</v>
      </c>
      <c r="I8" s="18" t="n">
        <v>0</v>
      </c>
      <c r="J8" s="20" t="n">
        <v>0</v>
      </c>
      <c r="K8" s="18" t="n">
        <v>0</v>
      </c>
      <c r="L8" s="20" t="n">
        <v>0</v>
      </c>
      <c r="M8" s="18" t="n">
        <v>0</v>
      </c>
      <c r="N8" s="20" t="n">
        <v>0</v>
      </c>
      <c r="O8" s="18" t="n">
        <v>0</v>
      </c>
      <c r="P8" s="20" t="n">
        <v>0</v>
      </c>
      <c r="Q8" s="18" t="n">
        <v>0.07954828999999999</v>
      </c>
      <c r="R8" s="20" t="n">
        <v>0.07088113</v>
      </c>
    </row>
    <row r="9" spans="1:18">
      <c r="A9" s="15" t="s">
        <v>567</v>
      </c>
      <c r="B9" s="17" t="n">
        <v>4752</v>
      </c>
      <c r="C9" s="18">
        <f>(3723.0/B9*100)</f>
        <v/>
      </c>
      <c r="D9" s="19" t="n">
        <v>1029</v>
      </c>
      <c r="E9" s="18" t="n">
        <v>35.93147183</v>
      </c>
      <c r="F9" s="20" t="n">
        <v>1.69447159</v>
      </c>
      <c r="G9" s="18" t="n">
        <v>63.54015111</v>
      </c>
      <c r="H9" s="20" t="n">
        <v>1.67573373</v>
      </c>
      <c r="I9" s="18" t="n">
        <v>0</v>
      </c>
      <c r="J9" s="20" t="n">
        <v>0</v>
      </c>
      <c r="K9" s="18" t="n">
        <v>0.11286789</v>
      </c>
      <c r="L9" s="20" t="n">
        <v>0.11318792</v>
      </c>
      <c r="M9" s="18" t="n">
        <v>0</v>
      </c>
      <c r="N9" s="20" t="n">
        <v>0</v>
      </c>
      <c r="O9" s="18" t="n">
        <v>0</v>
      </c>
      <c r="P9" s="20" t="n">
        <v>0</v>
      </c>
      <c r="Q9" s="18" t="n">
        <v>0.41550917</v>
      </c>
      <c r="R9" s="20" t="n">
        <v>0.18972099</v>
      </c>
    </row>
    <row r="10" spans="1:18">
      <c r="A10" s="15" t="s">
        <v>568</v>
      </c>
      <c r="B10" s="17" t="n">
        <v>10022</v>
      </c>
      <c r="C10" s="18">
        <f>(7817.0/B10*100)</f>
        <v/>
      </c>
      <c r="D10" s="19" t="n">
        <v>2205</v>
      </c>
      <c r="E10" s="18" t="n">
        <v>37.09897195</v>
      </c>
      <c r="F10" s="20" t="n">
        <v>1.50628222</v>
      </c>
      <c r="G10" s="18" t="n">
        <v>62.39230806</v>
      </c>
      <c r="H10" s="20" t="n">
        <v>1.52483902</v>
      </c>
      <c r="I10" s="18" t="n">
        <v>0</v>
      </c>
      <c r="J10" s="20" t="n">
        <v>0</v>
      </c>
      <c r="K10" s="18" t="n">
        <v>0.17569761</v>
      </c>
      <c r="L10" s="20" t="n">
        <v>0.16979305</v>
      </c>
      <c r="M10" s="18" t="n">
        <v>0</v>
      </c>
      <c r="N10" s="20" t="n">
        <v>0</v>
      </c>
      <c r="O10" s="18" t="n">
        <v>0</v>
      </c>
      <c r="P10" s="20" t="n">
        <v>0</v>
      </c>
      <c r="Q10" s="18" t="n">
        <v>0.33302238</v>
      </c>
      <c r="R10" s="20" t="n">
        <v>0.1882562</v>
      </c>
    </row>
    <row r="11" spans="1:18">
      <c r="A11" s="15" t="s">
        <v>569</v>
      </c>
      <c r="B11" s="17" t="n">
        <v>3500</v>
      </c>
      <c r="C11" s="18">
        <f>(2751.0/B11*100)</f>
        <v/>
      </c>
      <c r="D11" s="19" t="n">
        <v>749</v>
      </c>
      <c r="E11" s="18" t="n">
        <v>50.9672531</v>
      </c>
      <c r="F11" s="20" t="n">
        <v>2.32085032</v>
      </c>
      <c r="G11" s="18" t="n">
        <v>48.32969883</v>
      </c>
      <c r="H11" s="20" t="n">
        <v>2.26007942</v>
      </c>
      <c r="I11" s="18" t="n">
        <v>0</v>
      </c>
      <c r="J11" s="20" t="n">
        <v>0</v>
      </c>
      <c r="K11" s="18" t="n">
        <v>0.2299115</v>
      </c>
      <c r="L11" s="20" t="n">
        <v>0.17482334</v>
      </c>
      <c r="M11" s="18" t="n">
        <v>0</v>
      </c>
      <c r="N11" s="20" t="n">
        <v>0</v>
      </c>
      <c r="O11" s="18" t="n">
        <v>0</v>
      </c>
      <c r="P11" s="20" t="n">
        <v>0</v>
      </c>
      <c r="Q11" s="18" t="n">
        <v>0.47313657</v>
      </c>
      <c r="R11" s="20" t="n">
        <v>0.30809654</v>
      </c>
    </row>
    <row r="12" spans="1:18">
      <c r="A12" s="15" t="s">
        <v>570</v>
      </c>
      <c r="B12" s="17" t="n">
        <v>3422</v>
      </c>
      <c r="C12" s="18">
        <f>(2672.0/B12*100)</f>
        <v/>
      </c>
      <c r="D12" s="19" t="n">
        <v>750</v>
      </c>
      <c r="E12" s="18" t="n">
        <v>40.45942301</v>
      </c>
      <c r="F12" s="20" t="n">
        <v>1.6306494</v>
      </c>
      <c r="G12" s="18" t="n">
        <v>59.26639785</v>
      </c>
      <c r="H12" s="20" t="n">
        <v>1.60904878</v>
      </c>
      <c r="I12" s="18" t="n">
        <v>0</v>
      </c>
      <c r="J12" s="20" t="n">
        <v>0</v>
      </c>
      <c r="K12" s="18" t="n">
        <v>0</v>
      </c>
      <c r="L12" s="20" t="n">
        <v>0</v>
      </c>
      <c r="M12" s="18" t="n">
        <v>0</v>
      </c>
      <c r="N12" s="20" t="n">
        <v>0</v>
      </c>
      <c r="O12" s="18" t="n">
        <v>0</v>
      </c>
      <c r="P12" s="20" t="n">
        <v>0</v>
      </c>
      <c r="Q12" s="18" t="n">
        <v>0.27417914</v>
      </c>
      <c r="R12" s="20" t="n">
        <v>0.26292373</v>
      </c>
    </row>
    <row r="13" spans="1:18">
      <c r="A13" s="15" t="s">
        <v>571</v>
      </c>
      <c r="B13" s="17" t="n">
        <v>3602</v>
      </c>
      <c r="C13" s="18">
        <f>(2822.0/B13*100)</f>
        <v/>
      </c>
      <c r="D13" s="19" t="n">
        <v>780</v>
      </c>
      <c r="E13" s="18" t="n">
        <v>42.68652037</v>
      </c>
      <c r="F13" s="20" t="n">
        <v>2.34715843</v>
      </c>
      <c r="G13" s="18" t="n">
        <v>56.80793894</v>
      </c>
      <c r="H13" s="20" t="n">
        <v>2.36284682</v>
      </c>
      <c r="I13" s="18" t="n">
        <v>0</v>
      </c>
      <c r="J13" s="20" t="n">
        <v>0</v>
      </c>
      <c r="K13" s="18" t="n">
        <v>0</v>
      </c>
      <c r="L13" s="20" t="n">
        <v>0</v>
      </c>
      <c r="M13" s="18" t="n">
        <v>0</v>
      </c>
      <c r="N13" s="20" t="n">
        <v>0</v>
      </c>
      <c r="O13" s="18" t="n">
        <v>0</v>
      </c>
      <c r="P13" s="20" t="n">
        <v>0</v>
      </c>
      <c r="Q13" s="18" t="n">
        <v>0.50554069</v>
      </c>
      <c r="R13" s="20" t="n">
        <v>0.3210847</v>
      </c>
    </row>
    <row r="14" spans="1:18">
      <c r="A14" s="15" t="s">
        <v>572</v>
      </c>
      <c r="B14" s="17" t="n">
        <v>2788</v>
      </c>
      <c r="C14" s="18">
        <f>(2181.0/B14*100)</f>
        <v/>
      </c>
      <c r="D14" s="19" t="n">
        <v>607</v>
      </c>
      <c r="E14" s="18" t="n">
        <v>22.96893513</v>
      </c>
      <c r="F14" s="20" t="n">
        <v>1.83450186</v>
      </c>
      <c r="G14" s="18" t="n">
        <v>77.03106486999999</v>
      </c>
      <c r="H14" s="20" t="n">
        <v>1.83450186</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(2222.0/B15*100)</f>
        <v/>
      </c>
      <c r="D15" s="19" t="n">
        <v>641</v>
      </c>
      <c r="E15" s="18" t="n">
        <v>30.326407</v>
      </c>
      <c r="F15" s="20" t="n">
        <v>1.84223123</v>
      </c>
      <c r="G15" s="18" t="n">
        <v>69.21954993999999</v>
      </c>
      <c r="H15" s="20" t="n">
        <v>1.85288026</v>
      </c>
      <c r="I15" s="18" t="n">
        <v>0</v>
      </c>
      <c r="J15" s="20" t="n">
        <v>0</v>
      </c>
      <c r="K15" s="18" t="n">
        <v>0</v>
      </c>
      <c r="L15" s="20" t="n">
        <v>0</v>
      </c>
      <c r="M15" s="18" t="n">
        <v>0</v>
      </c>
      <c r="N15" s="20" t="n">
        <v>0</v>
      </c>
      <c r="O15" s="18" t="n">
        <v>0</v>
      </c>
      <c r="P15" s="20" t="n">
        <v>0</v>
      </c>
      <c r="Q15" s="18" t="n">
        <v>0.45404306</v>
      </c>
      <c r="R15" s="20" t="n">
        <v>0.26118457</v>
      </c>
    </row>
    <row r="16" spans="1:18">
      <c r="A16" s="15" t="s">
        <v>574</v>
      </c>
      <c r="B16" s="17" t="n">
        <v>3111</v>
      </c>
      <c r="C16" s="18">
        <f>(2408.0/B16*100)</f>
        <v/>
      </c>
      <c r="D16" s="19" t="n">
        <v>703</v>
      </c>
      <c r="E16" s="18" t="n">
        <v>39.09691569</v>
      </c>
      <c r="F16" s="20" t="n">
        <v>1.60019887</v>
      </c>
      <c r="G16" s="18" t="n">
        <v>60.17091746</v>
      </c>
      <c r="H16" s="20" t="n">
        <v>1.65261628</v>
      </c>
      <c r="I16" s="18" t="n">
        <v>0</v>
      </c>
      <c r="J16" s="20" t="n">
        <v>0</v>
      </c>
      <c r="K16" s="18" t="n">
        <v>0</v>
      </c>
      <c r="L16" s="20" t="n">
        <v>0</v>
      </c>
      <c r="M16" s="18" t="n">
        <v>0</v>
      </c>
      <c r="N16" s="20" t="n">
        <v>0</v>
      </c>
      <c r="O16" s="18" t="n">
        <v>0</v>
      </c>
      <c r="P16" s="20" t="n">
        <v>0</v>
      </c>
      <c r="Q16" s="18" t="n">
        <v>0.73216685</v>
      </c>
      <c r="R16" s="20" t="n">
        <v>0.32288935</v>
      </c>
    </row>
    <row r="17" spans="1:18">
      <c r="A17" s="15" t="s">
        <v>575</v>
      </c>
      <c r="B17" s="17" t="n">
        <v>3197</v>
      </c>
      <c r="C17" s="18">
        <f>(2489.0/B17*100)</f>
        <v/>
      </c>
      <c r="D17" s="19" t="n">
        <v>708</v>
      </c>
      <c r="E17" s="18" t="n">
        <v>41.51602899</v>
      </c>
      <c r="F17" s="20" t="n">
        <v>1.82580804</v>
      </c>
      <c r="G17" s="18" t="n">
        <v>58.48397101</v>
      </c>
      <c r="H17" s="20" t="n">
        <v>1.82580804</v>
      </c>
      <c r="I17" s="18" t="n">
        <v>0</v>
      </c>
      <c r="J17" s="20" t="n">
        <v>0</v>
      </c>
      <c r="K17" s="18" t="n">
        <v>0</v>
      </c>
      <c r="L17" s="20" t="n">
        <v>0</v>
      </c>
      <c r="M17" s="18" t="n">
        <v>0</v>
      </c>
      <c r="N17" s="20" t="n">
        <v>0</v>
      </c>
      <c r="O17" s="18" t="n">
        <v>0</v>
      </c>
      <c r="P17" s="20" t="n">
        <v>0</v>
      </c>
      <c r="Q17" s="18" t="n">
        <v>0</v>
      </c>
      <c r="R17" s="20" t="n">
        <v>0</v>
      </c>
    </row>
    <row r="18" spans="1:18">
      <c r="A18" s="15" t="s">
        <v>576</v>
      </c>
      <c r="B18" s="17" t="n">
        <v>2706</v>
      </c>
      <c r="C18" s="18">
        <f>(2086.0/B18*100)</f>
        <v/>
      </c>
      <c r="D18" s="19" t="n">
        <v>620</v>
      </c>
      <c r="E18" s="18" t="n">
        <v>39.69522728</v>
      </c>
      <c r="F18" s="20" t="n">
        <v>2.08934375</v>
      </c>
      <c r="G18" s="18" t="n">
        <v>59.74737164</v>
      </c>
      <c r="H18" s="20" t="n">
        <v>2.15369075</v>
      </c>
      <c r="I18" s="18" t="n">
        <v>0</v>
      </c>
      <c r="J18" s="20" t="n">
        <v>0</v>
      </c>
      <c r="K18" s="18" t="n">
        <v>0.26503962</v>
      </c>
      <c r="L18" s="20" t="n">
        <v>0.26048104</v>
      </c>
      <c r="M18" s="18" t="n">
        <v>0</v>
      </c>
      <c r="N18" s="20" t="n">
        <v>0</v>
      </c>
      <c r="O18" s="18" t="n">
        <v>0</v>
      </c>
      <c r="P18" s="20" t="n">
        <v>0</v>
      </c>
      <c r="Q18" s="18" t="n">
        <v>0.29236145</v>
      </c>
      <c r="R18" s="20" t="n">
        <v>0.20786214</v>
      </c>
    </row>
    <row r="19" spans="1:18">
      <c r="A19" s="15" t="s">
        <v>577</v>
      </c>
      <c r="B19" s="17" t="n">
        <v>2850</v>
      </c>
      <c r="C19" s="18">
        <f>(2223.0/B19*100)</f>
        <v/>
      </c>
      <c r="D19" s="19" t="n">
        <v>627</v>
      </c>
      <c r="E19" s="18" t="n">
        <v>39.19856732</v>
      </c>
      <c r="F19" s="20" t="n">
        <v>1.88966636</v>
      </c>
      <c r="G19" s="18" t="n">
        <v>59.42358991</v>
      </c>
      <c r="H19" s="20" t="n">
        <v>1.93897005</v>
      </c>
      <c r="I19" s="18" t="n">
        <v>0</v>
      </c>
      <c r="J19" s="20" t="n">
        <v>0</v>
      </c>
      <c r="K19" s="18" t="n">
        <v>0</v>
      </c>
      <c r="L19" s="20" t="n">
        <v>0</v>
      </c>
      <c r="M19" s="18" t="n">
        <v>0</v>
      </c>
      <c r="N19" s="20" t="n">
        <v>0</v>
      </c>
      <c r="O19" s="18" t="n">
        <v>0</v>
      </c>
      <c r="P19" s="20" t="n">
        <v>0</v>
      </c>
      <c r="Q19" s="18" t="n">
        <v>1.37784276</v>
      </c>
      <c r="R19" s="20" t="n">
        <v>0.52707774</v>
      </c>
    </row>
    <row r="20" spans="1:18">
      <c r="A20" s="15" t="s">
        <v>578</v>
      </c>
      <c r="B20" s="17" t="n">
        <v>1741</v>
      </c>
      <c r="C20" s="18">
        <f>(1364.0/B20*100)</f>
        <v/>
      </c>
      <c r="D20" s="19" t="n">
        <v>377</v>
      </c>
      <c r="E20" s="18" t="n">
        <v>34.51741931</v>
      </c>
      <c r="F20" s="20" t="n">
        <v>2.06842848</v>
      </c>
      <c r="G20" s="18" t="n">
        <v>64.2347329</v>
      </c>
      <c r="H20" s="20" t="n">
        <v>2.04502744</v>
      </c>
      <c r="I20" s="18" t="n">
        <v>0</v>
      </c>
      <c r="J20" s="20" t="n">
        <v>0</v>
      </c>
      <c r="K20" s="18" t="n">
        <v>0.26193306</v>
      </c>
      <c r="L20" s="20" t="n">
        <v>0.26439859</v>
      </c>
      <c r="M20" s="18" t="n">
        <v>0</v>
      </c>
      <c r="N20" s="20" t="n">
        <v>0</v>
      </c>
      <c r="O20" s="18" t="n">
        <v>0</v>
      </c>
      <c r="P20" s="20" t="n">
        <v>0</v>
      </c>
      <c r="Q20" s="18" t="n">
        <v>0.98591472</v>
      </c>
      <c r="R20" s="20" t="n">
        <v>0.5688737</v>
      </c>
    </row>
    <row r="21" spans="1:18">
      <c r="A21" s="15" t="s">
        <v>579</v>
      </c>
      <c r="B21" s="17" t="n">
        <v>2833</v>
      </c>
      <c r="C21" s="18">
        <f>(2213.0/B21*100)</f>
        <v/>
      </c>
      <c r="D21" s="19" t="n">
        <v>620</v>
      </c>
      <c r="E21" s="18" t="n">
        <v>45.46557127</v>
      </c>
      <c r="F21" s="20" t="n">
        <v>1.89887697</v>
      </c>
      <c r="G21" s="18" t="n">
        <v>54.10949667</v>
      </c>
      <c r="H21" s="20" t="n">
        <v>1.90605293</v>
      </c>
      <c r="I21" s="18" t="n">
        <v>0</v>
      </c>
      <c r="J21" s="20" t="n">
        <v>0</v>
      </c>
      <c r="K21" s="18" t="n">
        <v>0</v>
      </c>
      <c r="L21" s="20" t="n">
        <v>0</v>
      </c>
      <c r="M21" s="18" t="n">
        <v>0</v>
      </c>
      <c r="N21" s="20" t="n">
        <v>0</v>
      </c>
      <c r="O21" s="18" t="n">
        <v>0</v>
      </c>
      <c r="P21" s="20" t="n">
        <v>0</v>
      </c>
      <c r="Q21" s="18" t="n">
        <v>0.42493205</v>
      </c>
      <c r="R21" s="20" t="n">
        <v>0.25463236</v>
      </c>
    </row>
    <row r="22" spans="1:18">
      <c r="A22" s="15" t="s">
        <v>580</v>
      </c>
      <c r="B22" s="17" t="n">
        <v>3667</v>
      </c>
      <c r="C22" s="18">
        <f>(3006.0/B22*100)</f>
        <v/>
      </c>
      <c r="D22" s="19" t="n">
        <v>661</v>
      </c>
      <c r="E22" s="18" t="n">
        <v>44.44460705</v>
      </c>
      <c r="F22" s="20" t="n">
        <v>2.02202172</v>
      </c>
      <c r="G22" s="18" t="n">
        <v>54.66055963</v>
      </c>
      <c r="H22" s="20" t="n">
        <v>1.9999985</v>
      </c>
      <c r="I22" s="18" t="n">
        <v>0</v>
      </c>
      <c r="J22" s="20" t="n">
        <v>0</v>
      </c>
      <c r="K22" s="18" t="n">
        <v>0.16544359</v>
      </c>
      <c r="L22" s="20" t="n">
        <v>0.17243588</v>
      </c>
      <c r="M22" s="18" t="n">
        <v>0</v>
      </c>
      <c r="N22" s="20" t="n">
        <v>0</v>
      </c>
      <c r="O22" s="18" t="n">
        <v>0</v>
      </c>
      <c r="P22" s="20" t="n">
        <v>0</v>
      </c>
      <c r="Q22" s="18" t="n">
        <v>0.72938973</v>
      </c>
      <c r="R22" s="20" t="n">
        <v>0.35003926</v>
      </c>
    </row>
    <row r="23" spans="1:18">
      <c r="A23" s="15" t="s">
        <v>581</v>
      </c>
      <c r="B23" s="17" t="n">
        <v>5792</v>
      </c>
      <c r="C23" s="18">
        <f>(4483.0/B23*100)</f>
        <v/>
      </c>
      <c r="D23" s="19" t="n">
        <v>1309</v>
      </c>
      <c r="E23" s="18" t="n">
        <v>37.84301322</v>
      </c>
      <c r="F23" s="20" t="n">
        <v>1.93934588</v>
      </c>
      <c r="G23" s="18" t="n">
        <v>61.66705084</v>
      </c>
      <c r="H23" s="20" t="n">
        <v>1.92776575</v>
      </c>
      <c r="I23" s="18" t="n">
        <v>0</v>
      </c>
      <c r="J23" s="20" t="n">
        <v>0</v>
      </c>
      <c r="K23" s="18" t="n">
        <v>0.04979944</v>
      </c>
      <c r="L23" s="20" t="n">
        <v>0.0490851</v>
      </c>
      <c r="M23" s="18" t="n">
        <v>0</v>
      </c>
      <c r="N23" s="20" t="n">
        <v>0</v>
      </c>
      <c r="O23" s="18" t="n">
        <v>0</v>
      </c>
      <c r="P23" s="20" t="n">
        <v>0</v>
      </c>
      <c r="Q23" s="18" t="n">
        <v>0.4401365</v>
      </c>
      <c r="R23" s="20" t="n">
        <v>0.17790007</v>
      </c>
    </row>
    <row r="24" spans="1:18">
      <c r="A24" s="15" t="s">
        <v>582</v>
      </c>
      <c r="B24" s="17" t="n">
        <v>3309</v>
      </c>
      <c r="C24" s="18">
        <f>(2586.0/B24*100)</f>
        <v/>
      </c>
      <c r="D24" s="19" t="n">
        <v>723</v>
      </c>
      <c r="E24" s="18" t="n">
        <v>34.64126537</v>
      </c>
      <c r="F24" s="20" t="n">
        <v>1.93747234</v>
      </c>
      <c r="G24" s="18" t="n">
        <v>64.64389138</v>
      </c>
      <c r="H24" s="20" t="n">
        <v>1.94159908</v>
      </c>
      <c r="I24" s="18" t="n">
        <v>0</v>
      </c>
      <c r="J24" s="20" t="n">
        <v>0</v>
      </c>
      <c r="K24" s="18" t="n">
        <v>0.16543863</v>
      </c>
      <c r="L24" s="20" t="n">
        <v>0.15441833</v>
      </c>
      <c r="M24" s="18" t="n">
        <v>0</v>
      </c>
      <c r="N24" s="20" t="n">
        <v>0</v>
      </c>
      <c r="O24" s="18" t="n">
        <v>0</v>
      </c>
      <c r="P24" s="20" t="n">
        <v>0</v>
      </c>
      <c r="Q24" s="18" t="n">
        <v>0.54940462</v>
      </c>
      <c r="R24" s="20" t="n">
        <v>0.2749492</v>
      </c>
    </row>
    <row r="25" spans="1:18">
      <c r="A25" s="15" t="s">
        <v>583</v>
      </c>
      <c r="B25" s="17" t="n">
        <v>2669</v>
      </c>
      <c r="C25" s="18">
        <f>(2069.0/B25*100)</f>
        <v/>
      </c>
      <c r="D25" s="19" t="n">
        <v>600</v>
      </c>
      <c r="E25" s="18" t="n">
        <v>39.52647835</v>
      </c>
      <c r="F25" s="20" t="n">
        <v>2.05052674</v>
      </c>
      <c r="G25" s="18" t="n">
        <v>60.30855289</v>
      </c>
      <c r="H25" s="20" t="n">
        <v>2.05014318</v>
      </c>
      <c r="I25" s="18" t="n">
        <v>0</v>
      </c>
      <c r="J25" s="20" t="n">
        <v>0</v>
      </c>
      <c r="K25" s="18" t="n">
        <v>0.16496877</v>
      </c>
      <c r="L25" s="20" t="n">
        <v>0.16490759</v>
      </c>
      <c r="M25" s="18" t="n">
        <v>0</v>
      </c>
      <c r="N25" s="20" t="n">
        <v>0</v>
      </c>
      <c r="O25" s="18" t="n">
        <v>0</v>
      </c>
      <c r="P25" s="20" t="n">
        <v>0</v>
      </c>
      <c r="Q25" s="18" t="n">
        <v>0</v>
      </c>
      <c r="R25" s="20" t="n">
        <v>0</v>
      </c>
    </row>
    <row r="26" spans="1:18">
      <c r="A26" s="15" t="s">
        <v>584</v>
      </c>
      <c r="B26" s="17" t="n">
        <v>2419</v>
      </c>
      <c r="C26" s="18">
        <f>(1861.0/B26*100)</f>
        <v/>
      </c>
      <c r="D26" s="19" t="n">
        <v>558</v>
      </c>
      <c r="E26" s="18" t="n">
        <v>34.80194194</v>
      </c>
      <c r="F26" s="20" t="n">
        <v>2.52086325</v>
      </c>
      <c r="G26" s="18" t="n">
        <v>64.87358664999999</v>
      </c>
      <c r="H26" s="20" t="n">
        <v>2.50104565</v>
      </c>
      <c r="I26" s="18" t="n">
        <v>0</v>
      </c>
      <c r="J26" s="20" t="n">
        <v>0</v>
      </c>
      <c r="K26" s="18" t="n">
        <v>0</v>
      </c>
      <c r="L26" s="20" t="n">
        <v>0</v>
      </c>
      <c r="M26" s="18" t="n">
        <v>0</v>
      </c>
      <c r="N26" s="20" t="n">
        <v>0</v>
      </c>
      <c r="O26" s="18" t="n">
        <v>0</v>
      </c>
      <c r="P26" s="20" t="n">
        <v>0</v>
      </c>
      <c r="Q26" s="18" t="n">
        <v>0.32447141</v>
      </c>
      <c r="R26" s="20" t="n">
        <v>0.32075913</v>
      </c>
    </row>
    <row r="27" spans="1:18">
      <c r="A27" s="15" t="s">
        <v>585</v>
      </c>
      <c r="B27" s="17" t="n">
        <v>2683</v>
      </c>
      <c r="C27" s="18">
        <f>(2095.0/B27*100)</f>
        <v/>
      </c>
      <c r="D27" s="19" t="n">
        <v>588</v>
      </c>
      <c r="E27" s="18" t="n">
        <v>46.3210741</v>
      </c>
      <c r="F27" s="20" t="n">
        <v>1.99216709</v>
      </c>
      <c r="G27" s="18" t="n">
        <v>52.98768683</v>
      </c>
      <c r="H27" s="20" t="n">
        <v>1.94232964</v>
      </c>
      <c r="I27" s="18" t="n">
        <v>0</v>
      </c>
      <c r="J27" s="20" t="n">
        <v>0</v>
      </c>
      <c r="K27" s="18" t="n">
        <v>0.16840354</v>
      </c>
      <c r="L27" s="20" t="n">
        <v>0.16837791</v>
      </c>
      <c r="M27" s="18" t="n">
        <v>0</v>
      </c>
      <c r="N27" s="20" t="n">
        <v>0</v>
      </c>
      <c r="O27" s="18" t="n">
        <v>0</v>
      </c>
      <c r="P27" s="20" t="n">
        <v>0</v>
      </c>
      <c r="Q27" s="18" t="n">
        <v>0.52283553</v>
      </c>
      <c r="R27" s="20" t="n">
        <v>0.30395721</v>
      </c>
    </row>
    <row r="28" spans="1:18">
      <c r="A28" s="15" t="s">
        <v>586</v>
      </c>
      <c r="B28" s="17" t="n">
        <v>3803</v>
      </c>
      <c r="C28" s="18">
        <f>(3004.0/B28*100)</f>
        <v/>
      </c>
      <c r="D28" s="19" t="n">
        <v>799</v>
      </c>
      <c r="E28" s="18" t="n">
        <v>54.2672539</v>
      </c>
      <c r="F28" s="20" t="n">
        <v>2.09845746</v>
      </c>
      <c r="G28" s="18" t="n">
        <v>44.92291837</v>
      </c>
      <c r="H28" s="20" t="n">
        <v>2.08177718</v>
      </c>
      <c r="I28" s="18" t="n">
        <v>0</v>
      </c>
      <c r="J28" s="20" t="n">
        <v>0</v>
      </c>
      <c r="K28" s="18" t="n">
        <v>0.32298894</v>
      </c>
      <c r="L28" s="20" t="n">
        <v>0.31363596</v>
      </c>
      <c r="M28" s="18" t="n">
        <v>0</v>
      </c>
      <c r="N28" s="20" t="n">
        <v>0</v>
      </c>
      <c r="O28" s="18" t="n">
        <v>0</v>
      </c>
      <c r="P28" s="20" t="n">
        <v>0</v>
      </c>
      <c r="Q28" s="18" t="n">
        <v>0.48683879</v>
      </c>
      <c r="R28" s="20" t="n">
        <v>0.22172573</v>
      </c>
    </row>
    <row r="29" spans="1:18">
      <c r="A29" s="15" t="s">
        <v>587</v>
      </c>
      <c r="B29" s="17" t="n">
        <v>2700</v>
      </c>
      <c r="C29" s="18">
        <f>(2097.0/B29*100)</f>
        <v/>
      </c>
      <c r="D29" s="19" t="n">
        <v>603</v>
      </c>
      <c r="E29" s="18" t="n">
        <v>31.95345191</v>
      </c>
      <c r="F29" s="20" t="n">
        <v>2.22675158</v>
      </c>
      <c r="G29" s="18" t="n">
        <v>67.9133432</v>
      </c>
      <c r="H29" s="20" t="n">
        <v>2.23641223</v>
      </c>
      <c r="I29" s="18" t="n">
        <v>0</v>
      </c>
      <c r="J29" s="20" t="n">
        <v>0</v>
      </c>
      <c r="K29" s="18" t="n">
        <v>0</v>
      </c>
      <c r="L29" s="20" t="n">
        <v>0</v>
      </c>
      <c r="M29" s="18" t="n">
        <v>0</v>
      </c>
      <c r="N29" s="20" t="n">
        <v>0</v>
      </c>
      <c r="O29" s="18" t="n">
        <v>0</v>
      </c>
      <c r="P29" s="20" t="n">
        <v>0</v>
      </c>
      <c r="Q29" s="18" t="n">
        <v>0.13320489</v>
      </c>
      <c r="R29" s="20" t="n">
        <v>0.1367406</v>
      </c>
    </row>
    <row r="30" spans="1:18">
      <c r="A30" s="15" t="s">
        <v>588</v>
      </c>
      <c r="B30" s="17" t="n">
        <v>2257</v>
      </c>
      <c r="C30" s="18">
        <f>(1771.0/B30*100)</f>
        <v/>
      </c>
      <c r="D30" s="19" t="n">
        <v>486</v>
      </c>
      <c r="E30" s="18" t="n">
        <v>38.88132233</v>
      </c>
      <c r="F30" s="20" t="n">
        <v>2.4258676</v>
      </c>
      <c r="G30" s="18" t="n">
        <v>60.76018679</v>
      </c>
      <c r="H30" s="20" t="n">
        <v>2.42136456</v>
      </c>
      <c r="I30" s="18" t="n">
        <v>0</v>
      </c>
      <c r="J30" s="20" t="n">
        <v>0</v>
      </c>
      <c r="K30" s="18" t="n">
        <v>0</v>
      </c>
      <c r="L30" s="20" t="n">
        <v>0</v>
      </c>
      <c r="M30" s="18" t="n">
        <v>0</v>
      </c>
      <c r="N30" s="20" t="n">
        <v>0</v>
      </c>
      <c r="O30" s="18" t="n">
        <v>0</v>
      </c>
      <c r="P30" s="20" t="n">
        <v>0</v>
      </c>
      <c r="Q30" s="18" t="n">
        <v>0.35849088</v>
      </c>
      <c r="R30" s="20" t="n">
        <v>0.22692151</v>
      </c>
    </row>
    <row r="31" spans="1:18">
      <c r="A31" s="15" t="s">
        <v>589</v>
      </c>
      <c r="B31" s="17" t="n">
        <v>2706</v>
      </c>
      <c r="C31" s="18">
        <f>(2120.0/B31*100)</f>
        <v/>
      </c>
      <c r="D31" s="19" t="n">
        <v>586</v>
      </c>
      <c r="E31" s="18" t="n">
        <v>42.52415262</v>
      </c>
      <c r="F31" s="20" t="n">
        <v>2.25142756</v>
      </c>
      <c r="G31" s="18" t="n">
        <v>57.15096952</v>
      </c>
      <c r="H31" s="20" t="n">
        <v>2.24486347</v>
      </c>
      <c r="I31" s="18" t="n">
        <v>0</v>
      </c>
      <c r="J31" s="20" t="n">
        <v>0</v>
      </c>
      <c r="K31" s="18" t="n">
        <v>0.15733911</v>
      </c>
      <c r="L31" s="20" t="n">
        <v>0.15637673</v>
      </c>
      <c r="M31" s="18" t="n">
        <v>0</v>
      </c>
      <c r="N31" s="20" t="n">
        <v>0</v>
      </c>
      <c r="O31" s="18" t="n">
        <v>0</v>
      </c>
      <c r="P31" s="20" t="n">
        <v>0</v>
      </c>
      <c r="Q31" s="18" t="n">
        <v>0.16753874</v>
      </c>
      <c r="R31" s="20" t="n">
        <v>0.17319424</v>
      </c>
    </row>
    <row r="32" spans="1:18">
      <c r="A32" s="15" t="s">
        <v>590</v>
      </c>
      <c r="B32" s="17" t="n">
        <v>2209</v>
      </c>
      <c r="C32" s="18">
        <f>(1708.0/B32*100)</f>
        <v/>
      </c>
      <c r="D32" s="19" t="n">
        <v>501</v>
      </c>
      <c r="E32" s="18" t="n">
        <v>39.86953226</v>
      </c>
      <c r="F32" s="20" t="n">
        <v>2.37792053</v>
      </c>
      <c r="G32" s="18" t="n">
        <v>59.77547228</v>
      </c>
      <c r="H32" s="20" t="n">
        <v>2.41570849</v>
      </c>
      <c r="I32" s="18" t="n">
        <v>0</v>
      </c>
      <c r="J32" s="20" t="n">
        <v>0</v>
      </c>
      <c r="K32" s="18" t="n">
        <v>0</v>
      </c>
      <c r="L32" s="20" t="n">
        <v>0</v>
      </c>
      <c r="M32" s="18" t="n">
        <v>0</v>
      </c>
      <c r="N32" s="20" t="n">
        <v>0</v>
      </c>
      <c r="O32" s="18" t="n">
        <v>0</v>
      </c>
      <c r="P32" s="20" t="n">
        <v>0</v>
      </c>
      <c r="Q32" s="18" t="n">
        <v>0.35499546</v>
      </c>
      <c r="R32" s="20" t="n">
        <v>0.24712787</v>
      </c>
    </row>
    <row r="33" spans="1:18">
      <c r="A33" s="15" t="s">
        <v>591</v>
      </c>
      <c r="B33" s="17" t="n">
        <v>3651</v>
      </c>
      <c r="C33" s="18">
        <f>(2863.0/B33*100)</f>
        <v/>
      </c>
      <c r="D33" s="19" t="n">
        <v>788</v>
      </c>
      <c r="E33" s="18" t="n">
        <v>39.39121142</v>
      </c>
      <c r="F33" s="20" t="n">
        <v>1.87654506</v>
      </c>
      <c r="G33" s="18" t="n">
        <v>60.3780109</v>
      </c>
      <c r="H33" s="20" t="n">
        <v>1.89523612</v>
      </c>
      <c r="I33" s="18" t="n">
        <v>0</v>
      </c>
      <c r="J33" s="20" t="n">
        <v>0</v>
      </c>
      <c r="K33" s="18" t="n">
        <v>0</v>
      </c>
      <c r="L33" s="20" t="n">
        <v>0</v>
      </c>
      <c r="M33" s="18" t="n">
        <v>0</v>
      </c>
      <c r="N33" s="20" t="n">
        <v>0</v>
      </c>
      <c r="O33" s="18" t="n">
        <v>0</v>
      </c>
      <c r="P33" s="20" t="n">
        <v>0</v>
      </c>
      <c r="Q33" s="18" t="n">
        <v>0.23077768</v>
      </c>
      <c r="R33" s="20" t="n">
        <v>0.1362952</v>
      </c>
    </row>
    <row r="34" spans="1:18">
      <c r="A34" s="15" t="s">
        <v>592</v>
      </c>
      <c r="B34" s="17" t="n">
        <v>3035</v>
      </c>
      <c r="C34" s="18">
        <f>(2366.0/B34*100)</f>
        <v/>
      </c>
      <c r="D34" s="19" t="n">
        <v>669</v>
      </c>
      <c r="E34" s="18" t="n">
        <v>47.33415162</v>
      </c>
      <c r="F34" s="20" t="n">
        <v>2.00678249</v>
      </c>
      <c r="G34" s="18" t="n">
        <v>51.88834511</v>
      </c>
      <c r="H34" s="20" t="n">
        <v>2.06465699</v>
      </c>
      <c r="I34" s="18" t="n">
        <v>0</v>
      </c>
      <c r="J34" s="20" t="n">
        <v>0</v>
      </c>
      <c r="K34" s="18" t="n">
        <v>0</v>
      </c>
      <c r="L34" s="20" t="n">
        <v>0</v>
      </c>
      <c r="M34" s="18" t="n">
        <v>0</v>
      </c>
      <c r="N34" s="20" t="n">
        <v>0</v>
      </c>
      <c r="O34" s="18" t="n">
        <v>0</v>
      </c>
      <c r="P34" s="20" t="n">
        <v>0</v>
      </c>
      <c r="Q34" s="18" t="n">
        <v>0.77750328</v>
      </c>
      <c r="R34" s="20" t="n">
        <v>0.40314371</v>
      </c>
    </row>
    <row r="35" spans="1:18">
      <c r="A35" s="15" t="s">
        <v>593</v>
      </c>
      <c r="B35" s="17" t="n">
        <v>2901</v>
      </c>
      <c r="C35" s="18">
        <f>(2250.0/B35*100)</f>
        <v/>
      </c>
      <c r="D35" s="19" t="n">
        <v>651</v>
      </c>
      <c r="E35" s="18" t="n">
        <v>31.40064889</v>
      </c>
      <c r="F35" s="20" t="n">
        <v>1.69456989</v>
      </c>
      <c r="G35" s="18" t="n">
        <v>68.32111796</v>
      </c>
      <c r="H35" s="20" t="n">
        <v>1.71672413</v>
      </c>
      <c r="I35" s="18" t="n">
        <v>0</v>
      </c>
      <c r="J35" s="20" t="n">
        <v>0</v>
      </c>
      <c r="K35" s="18" t="n">
        <v>0.08383077999999999</v>
      </c>
      <c r="L35" s="20" t="n">
        <v>0.08395355</v>
      </c>
      <c r="M35" s="18" t="n">
        <v>0</v>
      </c>
      <c r="N35" s="20" t="n">
        <v>0</v>
      </c>
      <c r="O35" s="18" t="n">
        <v>0</v>
      </c>
      <c r="P35" s="20" t="n">
        <v>0</v>
      </c>
      <c r="Q35" s="18" t="n">
        <v>0.19440237</v>
      </c>
      <c r="R35" s="20" t="n">
        <v>0.19633316</v>
      </c>
    </row>
    <row r="36" spans="1:18">
      <c r="A36" s="15" t="s">
        <v>594</v>
      </c>
      <c r="B36" s="17" t="n">
        <v>3404</v>
      </c>
      <c r="C36" s="18">
        <f>(2671.0/B36*100)</f>
        <v/>
      </c>
      <c r="D36" s="19" t="n">
        <v>733</v>
      </c>
      <c r="E36" s="18" t="n">
        <v>39.78792257</v>
      </c>
      <c r="F36" s="20" t="n">
        <v>1.84156792</v>
      </c>
      <c r="G36" s="18" t="n">
        <v>59.72629506</v>
      </c>
      <c r="H36" s="20" t="n">
        <v>1.84733475</v>
      </c>
      <c r="I36" s="18" t="n">
        <v>0</v>
      </c>
      <c r="J36" s="20" t="n">
        <v>0</v>
      </c>
      <c r="K36" s="18" t="n">
        <v>0</v>
      </c>
      <c r="L36" s="20" t="n">
        <v>0</v>
      </c>
      <c r="M36" s="18" t="n">
        <v>0</v>
      </c>
      <c r="N36" s="20" t="n">
        <v>0</v>
      </c>
      <c r="O36" s="18" t="n">
        <v>0</v>
      </c>
      <c r="P36" s="20" t="n">
        <v>0</v>
      </c>
      <c r="Q36" s="18" t="n">
        <v>0.48578236</v>
      </c>
      <c r="R36" s="20" t="n">
        <v>0.13812317</v>
      </c>
    </row>
    <row r="37" spans="1:18">
      <c r="A37" s="15" t="s">
        <v>595</v>
      </c>
      <c r="B37" s="17" t="n">
        <v>2731</v>
      </c>
      <c r="C37" s="18">
        <f>(2114.0/B37*100)</f>
        <v/>
      </c>
      <c r="D37" s="19" t="n">
        <v>617</v>
      </c>
      <c r="E37" s="18" t="n">
        <v>44.01423777</v>
      </c>
      <c r="F37" s="20" t="n">
        <v>2.17825162</v>
      </c>
      <c r="G37" s="18" t="n">
        <v>54.23362762</v>
      </c>
      <c r="H37" s="20" t="n">
        <v>2.21048741</v>
      </c>
      <c r="I37" s="18" t="n">
        <v>0</v>
      </c>
      <c r="J37" s="20" t="n">
        <v>0</v>
      </c>
      <c r="K37" s="18" t="n">
        <v>0.32037683</v>
      </c>
      <c r="L37" s="20" t="n">
        <v>0.22551898</v>
      </c>
      <c r="M37" s="18" t="n">
        <v>0</v>
      </c>
      <c r="N37" s="20" t="n">
        <v>0</v>
      </c>
      <c r="O37" s="18" t="n">
        <v>0</v>
      </c>
      <c r="P37" s="20" t="n">
        <v>0</v>
      </c>
      <c r="Q37" s="18" t="n">
        <v>1.43175778</v>
      </c>
      <c r="R37" s="20" t="n">
        <v>0.4963705</v>
      </c>
    </row>
    <row r="38" spans="1:18">
      <c r="A38" s="15" t="s">
        <v>596</v>
      </c>
      <c r="B38" s="17" t="n">
        <v>2807</v>
      </c>
      <c r="C38" s="18">
        <f>(2147.0/B38*100)</f>
        <v/>
      </c>
      <c r="D38" s="19" t="n">
        <v>660</v>
      </c>
      <c r="E38" s="18" t="n">
        <v>44.25688424</v>
      </c>
      <c r="F38" s="20" t="n">
        <v>2.2694004</v>
      </c>
      <c r="G38" s="18" t="n">
        <v>55.50442353</v>
      </c>
      <c r="H38" s="20" t="n">
        <v>2.30030629</v>
      </c>
      <c r="I38" s="18" t="n">
        <v>0</v>
      </c>
      <c r="J38" s="20" t="n">
        <v>0</v>
      </c>
      <c r="K38" s="18" t="n">
        <v>0</v>
      </c>
      <c r="L38" s="20" t="n">
        <v>0</v>
      </c>
      <c r="M38" s="18" t="n">
        <v>0</v>
      </c>
      <c r="N38" s="20" t="n">
        <v>0</v>
      </c>
      <c r="O38" s="18" t="n">
        <v>0</v>
      </c>
      <c r="P38" s="20" t="n">
        <v>0</v>
      </c>
      <c r="Q38" s="18" t="n">
        <v>0.23869223</v>
      </c>
      <c r="R38" s="20" t="n">
        <v>0.2352089</v>
      </c>
    </row>
    <row r="39" spans="1:18">
      <c r="A39" s="15" t="s">
        <v>597</v>
      </c>
      <c r="B39" s="17" t="n">
        <v>2938</v>
      </c>
      <c r="C39" s="18">
        <f>(2289.0/B39*100)</f>
        <v/>
      </c>
      <c r="D39" s="19" t="n">
        <v>649</v>
      </c>
      <c r="E39" s="18" t="n">
        <v>53.63258895</v>
      </c>
      <c r="F39" s="20" t="n">
        <v>1.9409902</v>
      </c>
      <c r="G39" s="18" t="n">
        <v>45.46481004</v>
      </c>
      <c r="H39" s="20" t="n">
        <v>1.91195234</v>
      </c>
      <c r="I39" s="18" t="n">
        <v>0</v>
      </c>
      <c r="J39" s="20" t="n">
        <v>0</v>
      </c>
      <c r="K39" s="18" t="n">
        <v>0.1447273</v>
      </c>
      <c r="L39" s="20" t="n">
        <v>0.14442047</v>
      </c>
      <c r="M39" s="18" t="n">
        <v>0</v>
      </c>
      <c r="N39" s="20" t="n">
        <v>0</v>
      </c>
      <c r="O39" s="18" t="n">
        <v>0</v>
      </c>
      <c r="P39" s="20" t="n">
        <v>0</v>
      </c>
      <c r="Q39" s="18" t="n">
        <v>0.75787371</v>
      </c>
      <c r="R39" s="20" t="n">
        <v>0.2900483</v>
      </c>
    </row>
    <row r="40" spans="1:18">
      <c r="A40" s="15" t="s">
        <v>598</v>
      </c>
      <c r="B40" s="17" t="n">
        <v>6922</v>
      </c>
      <c r="C40" s="18">
        <f>(5364.0/B40*100)</f>
        <v/>
      </c>
      <c r="D40" s="19" t="n">
        <v>1558</v>
      </c>
      <c r="E40" s="18" t="n">
        <v>40.3564097</v>
      </c>
      <c r="F40" s="20" t="n">
        <v>2.23962539</v>
      </c>
      <c r="G40" s="18" t="n">
        <v>59.30832364</v>
      </c>
      <c r="H40" s="20" t="n">
        <v>2.28176255</v>
      </c>
      <c r="I40" s="18" t="n">
        <v>0</v>
      </c>
      <c r="J40" s="20" t="n">
        <v>0</v>
      </c>
      <c r="K40" s="18" t="n">
        <v>0.01185918</v>
      </c>
      <c r="L40" s="20" t="n">
        <v>0.01142227</v>
      </c>
      <c r="M40" s="18" t="n">
        <v>0</v>
      </c>
      <c r="N40" s="20" t="n">
        <v>0</v>
      </c>
      <c r="O40" s="18" t="n">
        <v>0</v>
      </c>
      <c r="P40" s="20" t="n">
        <v>0</v>
      </c>
      <c r="Q40" s="18" t="n">
        <v>0.32340748</v>
      </c>
      <c r="R40" s="20" t="n">
        <v>0.19897032</v>
      </c>
    </row>
    <row r="41" spans="1:18">
      <c r="A41" s="15" t="s">
        <v>599</v>
      </c>
      <c r="B41" s="17" t="n">
        <v>2854</v>
      </c>
      <c r="C41" s="18">
        <f>(2234.0/B41*100)</f>
        <v/>
      </c>
      <c r="D41" s="19" t="n">
        <v>620</v>
      </c>
      <c r="E41" s="18" t="n">
        <v>41.850201</v>
      </c>
      <c r="F41" s="20" t="n">
        <v>1.96633632</v>
      </c>
      <c r="G41" s="18" t="n">
        <v>57.7347383</v>
      </c>
      <c r="H41" s="20" t="n">
        <v>1.9894904</v>
      </c>
      <c r="I41" s="18" t="n">
        <v>0</v>
      </c>
      <c r="J41" s="20" t="n">
        <v>0</v>
      </c>
      <c r="K41" s="18" t="n">
        <v>0</v>
      </c>
      <c r="L41" s="20" t="n">
        <v>0</v>
      </c>
      <c r="M41" s="18" t="n">
        <v>0</v>
      </c>
      <c r="N41" s="20" t="n">
        <v>0</v>
      </c>
      <c r="O41" s="18" t="n">
        <v>0</v>
      </c>
      <c r="P41" s="20" t="n">
        <v>0</v>
      </c>
      <c r="Q41" s="18" t="n">
        <v>0.41506069</v>
      </c>
      <c r="R41" s="20" t="n">
        <v>0.29246208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(9587.0/B46*100)</f>
        <v/>
      </c>
      <c r="D46" s="19" t="n">
        <v>2486</v>
      </c>
      <c r="E46" s="18" t="n">
        <v>59.11961155</v>
      </c>
      <c r="F46" s="20" t="n">
        <v>1.37362641</v>
      </c>
      <c r="G46" s="18" t="n">
        <v>38.68403363</v>
      </c>
      <c r="H46" s="20" t="n">
        <v>1.33119125</v>
      </c>
      <c r="I46" s="18" t="n">
        <v>0</v>
      </c>
      <c r="J46" s="20" t="n">
        <v>0</v>
      </c>
      <c r="K46" s="18" t="n">
        <v>0.27842611</v>
      </c>
      <c r="L46" s="20" t="n">
        <v>0.12836377</v>
      </c>
      <c r="M46" s="18" t="n">
        <v>0</v>
      </c>
      <c r="N46" s="20" t="n">
        <v>0</v>
      </c>
      <c r="O46" s="18" t="n">
        <v>0</v>
      </c>
      <c r="P46" s="20" t="n">
        <v>0</v>
      </c>
      <c r="Q46" s="18" t="n">
        <v>1.91792871</v>
      </c>
      <c r="R46" s="20" t="n">
        <v>0.39798918</v>
      </c>
    </row>
    <row r="47" spans="1:18">
      <c r="A47" s="15" t="s">
        <v>606</v>
      </c>
      <c r="B47" s="17" t="n">
        <v>2823</v>
      </c>
      <c r="C47" s="18">
        <f>(2206.0/B47*100)</f>
        <v/>
      </c>
      <c r="D47" s="19" t="n">
        <v>617</v>
      </c>
      <c r="E47" s="18" t="n">
        <v>37.83133983</v>
      </c>
      <c r="F47" s="20" t="n">
        <v>2.57976436</v>
      </c>
      <c r="G47" s="18" t="n">
        <v>61.53900115</v>
      </c>
      <c r="H47" s="20" t="n">
        <v>2.63996245</v>
      </c>
      <c r="I47" s="18" t="n">
        <v>0</v>
      </c>
      <c r="J47" s="20" t="n">
        <v>0</v>
      </c>
      <c r="K47" s="18" t="n">
        <v>0</v>
      </c>
      <c r="L47" s="20" t="n">
        <v>0</v>
      </c>
      <c r="M47" s="18" t="n">
        <v>0</v>
      </c>
      <c r="N47" s="20" t="n">
        <v>0</v>
      </c>
      <c r="O47" s="18" t="n">
        <v>0</v>
      </c>
      <c r="P47" s="20" t="n">
        <v>0</v>
      </c>
      <c r="Q47" s="18" t="n">
        <v>0.62965902</v>
      </c>
      <c r="R47" s="20" t="n">
        <v>0.29508253</v>
      </c>
    </row>
    <row r="48" spans="1:18">
      <c r="A48" s="15" t="s">
        <v>607</v>
      </c>
      <c r="B48" s="17" t="n">
        <v>4682</v>
      </c>
      <c r="C48" s="18">
        <f>(3610.0/B48*100)</f>
        <v/>
      </c>
      <c r="D48" s="19" t="n">
        <v>1072</v>
      </c>
      <c r="E48" s="18" t="n">
        <v>34.60024074</v>
      </c>
      <c r="F48" s="20" t="n">
        <v>2.12837904</v>
      </c>
      <c r="G48" s="18" t="n">
        <v>64.59436814999999</v>
      </c>
      <c r="H48" s="20" t="n">
        <v>2.13282264</v>
      </c>
      <c r="I48" s="18" t="n">
        <v>0</v>
      </c>
      <c r="J48" s="20" t="n">
        <v>0</v>
      </c>
      <c r="K48" s="18" t="n">
        <v>0.09143606999999999</v>
      </c>
      <c r="L48" s="20" t="n">
        <v>0.07063879000000001</v>
      </c>
      <c r="M48" s="18" t="n">
        <v>0</v>
      </c>
      <c r="N48" s="20" t="n">
        <v>0</v>
      </c>
      <c r="O48" s="18" t="n">
        <v>0</v>
      </c>
      <c r="P48" s="20" t="n">
        <v>0</v>
      </c>
      <c r="Q48" s="18" t="n">
        <v>0.71395503</v>
      </c>
      <c r="R48" s="20" t="n">
        <v>0.30227833</v>
      </c>
    </row>
    <row r="49" spans="1:18">
      <c r="A49" s="15" t="s">
        <v>608</v>
      </c>
      <c r="B49" s="17" t="n">
        <v>6158</v>
      </c>
      <c r="C49" s="18">
        <f>(4824.0/B49*100)</f>
        <v/>
      </c>
      <c r="D49" s="19" t="n">
        <v>1334</v>
      </c>
      <c r="E49" s="18" t="n">
        <v>56.9196442</v>
      </c>
      <c r="F49" s="20" t="n">
        <v>2.02554235</v>
      </c>
      <c r="G49" s="18" t="n">
        <v>42.56580521</v>
      </c>
      <c r="H49" s="20" t="n">
        <v>2.00592239</v>
      </c>
      <c r="I49" s="18" t="n">
        <v>0</v>
      </c>
      <c r="J49" s="20" t="n">
        <v>0</v>
      </c>
      <c r="K49" s="18" t="n">
        <v>0.40073365</v>
      </c>
      <c r="L49" s="20" t="n">
        <v>0.20994574</v>
      </c>
      <c r="M49" s="18" t="n">
        <v>0</v>
      </c>
      <c r="N49" s="20" t="n">
        <v>0</v>
      </c>
      <c r="O49" s="18" t="n">
        <v>0</v>
      </c>
      <c r="P49" s="20" t="n">
        <v>0</v>
      </c>
      <c r="Q49" s="18" t="n">
        <v>0.11381694</v>
      </c>
      <c r="R49" s="20" t="n">
        <v>0.06634125</v>
      </c>
    </row>
    <row r="50" spans="1:18">
      <c r="A50" s="15" t="s">
        <v>609</v>
      </c>
      <c r="B50" s="17" t="n">
        <v>3494</v>
      </c>
      <c r="C50" s="18">
        <f>(2820.0/B50*100)</f>
        <v/>
      </c>
      <c r="D50" s="19" t="n">
        <v>674</v>
      </c>
      <c r="E50" s="18" t="n">
        <v>55.18467513</v>
      </c>
      <c r="F50" s="20" t="n">
        <v>2.00221675</v>
      </c>
      <c r="G50" s="18" t="n">
        <v>43.38265749</v>
      </c>
      <c r="H50" s="20" t="n">
        <v>2.02922376</v>
      </c>
      <c r="I50" s="18" t="n">
        <v>0</v>
      </c>
      <c r="J50" s="20" t="n">
        <v>0</v>
      </c>
      <c r="K50" s="18" t="n">
        <v>0</v>
      </c>
      <c r="L50" s="20" t="n">
        <v>0</v>
      </c>
      <c r="M50" s="18" t="n">
        <v>0</v>
      </c>
      <c r="N50" s="20" t="n">
        <v>0</v>
      </c>
      <c r="O50" s="18" t="n">
        <v>0</v>
      </c>
      <c r="P50" s="20" t="n">
        <v>0</v>
      </c>
      <c r="Q50" s="18" t="n">
        <v>1.43266738</v>
      </c>
      <c r="R50" s="20" t="n">
        <v>0.49639714</v>
      </c>
    </row>
    <row r="51" spans="1:18">
      <c r="A51" s="15" t="s">
        <v>610</v>
      </c>
      <c r="B51" s="17" t="n">
        <v>3013</v>
      </c>
      <c r="C51" s="18">
        <f>(2347.0/B51*100)</f>
        <v/>
      </c>
      <c r="D51" s="19" t="n">
        <v>666</v>
      </c>
      <c r="E51" s="18" t="n">
        <v>40.88169678</v>
      </c>
      <c r="F51" s="20" t="n">
        <v>1.89809694</v>
      </c>
      <c r="G51" s="18" t="n">
        <v>57.7449066</v>
      </c>
      <c r="H51" s="20" t="n">
        <v>1.93437129</v>
      </c>
      <c r="I51" s="18" t="n">
        <v>0</v>
      </c>
      <c r="J51" s="20" t="n">
        <v>0</v>
      </c>
      <c r="K51" s="18" t="n">
        <v>0</v>
      </c>
      <c r="L51" s="20" t="n">
        <v>0</v>
      </c>
      <c r="M51" s="18" t="n">
        <v>0</v>
      </c>
      <c r="N51" s="20" t="n">
        <v>0</v>
      </c>
      <c r="O51" s="18" t="n">
        <v>0</v>
      </c>
      <c r="P51" s="20" t="n">
        <v>0</v>
      </c>
      <c r="Q51" s="18" t="n">
        <v>1.37339662</v>
      </c>
      <c r="R51" s="20" t="n">
        <v>0.4906657</v>
      </c>
    </row>
    <row r="52" spans="1:18">
      <c r="A52" s="15" t="s">
        <v>611</v>
      </c>
      <c r="B52" s="17" t="n">
        <v>2760</v>
      </c>
      <c r="C52" s="18">
        <f>(2171.0/B52*100)</f>
        <v/>
      </c>
      <c r="D52" s="19" t="n">
        <v>589</v>
      </c>
      <c r="E52" s="18" t="n">
        <v>59.14252741</v>
      </c>
      <c r="F52" s="20" t="n">
        <v>1.83418371</v>
      </c>
      <c r="G52" s="18" t="n">
        <v>39.50248439</v>
      </c>
      <c r="H52" s="20" t="n">
        <v>1.90039988</v>
      </c>
      <c r="I52" s="18" t="n">
        <v>0</v>
      </c>
      <c r="J52" s="20" t="n">
        <v>0</v>
      </c>
      <c r="K52" s="18" t="n">
        <v>0</v>
      </c>
      <c r="L52" s="20" t="n">
        <v>0</v>
      </c>
      <c r="M52" s="18" t="n">
        <v>0</v>
      </c>
      <c r="N52" s="20" t="n">
        <v>0</v>
      </c>
      <c r="O52" s="18" t="n">
        <v>0</v>
      </c>
      <c r="P52" s="20" t="n">
        <v>0</v>
      </c>
      <c r="Q52" s="18" t="n">
        <v>1.35498821</v>
      </c>
      <c r="R52" s="20" t="n">
        <v>0.52963692</v>
      </c>
    </row>
    <row r="53" spans="1:18">
      <c r="A53" s="15" t="s">
        <v>612</v>
      </c>
      <c r="B53" s="17" t="n">
        <v>2474</v>
      </c>
      <c r="C53" s="18">
        <f>(1939.0/B53*100)</f>
        <v/>
      </c>
      <c r="D53" s="19" t="n">
        <v>535</v>
      </c>
      <c r="E53" s="18" t="n">
        <v>60.36908418</v>
      </c>
      <c r="F53" s="20" t="n">
        <v>2.33582075</v>
      </c>
      <c r="G53" s="18" t="n">
        <v>31.48815292</v>
      </c>
      <c r="H53" s="20" t="n">
        <v>2.29463251</v>
      </c>
      <c r="I53" s="18" t="n">
        <v>0</v>
      </c>
      <c r="J53" s="20" t="n">
        <v>0</v>
      </c>
      <c r="K53" s="18" t="n">
        <v>4.99760347</v>
      </c>
      <c r="L53" s="20" t="n">
        <v>1.23994689</v>
      </c>
      <c r="M53" s="18" t="n">
        <v>0</v>
      </c>
      <c r="N53" s="20" t="n">
        <v>0</v>
      </c>
      <c r="O53" s="18" t="n">
        <v>0</v>
      </c>
      <c r="P53" s="20" t="n">
        <v>0</v>
      </c>
      <c r="Q53" s="18" t="n">
        <v>3.14515943</v>
      </c>
      <c r="R53" s="20" t="n">
        <v>0.93564121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(2105.0/B55*100)</f>
        <v/>
      </c>
      <c r="D55" s="19" t="n">
        <v>570</v>
      </c>
      <c r="E55" s="18" t="n">
        <v>46.57822129</v>
      </c>
      <c r="F55" s="20" t="n">
        <v>2.51393267</v>
      </c>
      <c r="G55" s="18" t="n">
        <v>52.96893547</v>
      </c>
      <c r="H55" s="20" t="n">
        <v>2.45812573</v>
      </c>
      <c r="I55" s="18" t="n">
        <v>0</v>
      </c>
      <c r="J55" s="20" t="n">
        <v>0</v>
      </c>
      <c r="K55" s="18" t="n">
        <v>0.18846506</v>
      </c>
      <c r="L55" s="20" t="n">
        <v>0.18645257</v>
      </c>
      <c r="M55" s="18" t="n">
        <v>0</v>
      </c>
      <c r="N55" s="20" t="n">
        <v>0</v>
      </c>
      <c r="O55" s="18" t="n">
        <v>0</v>
      </c>
      <c r="P55" s="20" t="n">
        <v>0</v>
      </c>
      <c r="Q55" s="18" t="n">
        <v>0.26437818</v>
      </c>
      <c r="R55" s="20" t="n">
        <v>0.17699544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(2508.0/B61*100)</f>
        <v/>
      </c>
      <c r="D61" s="19" t="n">
        <v>693</v>
      </c>
      <c r="E61" s="18" t="n">
        <v>33.88545288</v>
      </c>
      <c r="F61" s="20" t="n">
        <v>1.78610189</v>
      </c>
      <c r="G61" s="18" t="n">
        <v>65.82659242</v>
      </c>
      <c r="H61" s="20" t="n">
        <v>1.77202623</v>
      </c>
      <c r="I61" s="18" t="n">
        <v>0</v>
      </c>
      <c r="J61" s="20" t="n">
        <v>0</v>
      </c>
      <c r="K61" s="18" t="n">
        <v>0.1838046</v>
      </c>
      <c r="L61" s="20" t="n">
        <v>0.19072568</v>
      </c>
      <c r="M61" s="18" t="n">
        <v>0</v>
      </c>
      <c r="N61" s="20" t="n">
        <v>0</v>
      </c>
      <c r="O61" s="18" t="n">
        <v>0</v>
      </c>
      <c r="P61" s="20" t="n">
        <v>0</v>
      </c>
      <c r="Q61" s="18" t="n">
        <v>0.1041501</v>
      </c>
      <c r="R61" s="20" t="n">
        <v>0.06054621</v>
      </c>
    </row>
    <row r="62" spans="1:18">
      <c r="A62" s="15" t="s">
        <v>622</v>
      </c>
      <c r="B62" s="17" t="n">
        <v>2230</v>
      </c>
      <c r="C62" s="18">
        <f>(1704.0/B62*100)</f>
        <v/>
      </c>
      <c r="D62" s="19" t="n">
        <v>526</v>
      </c>
      <c r="E62" s="18" t="n">
        <v>41.14002161</v>
      </c>
      <c r="F62" s="20" t="n">
        <v>1.81570334</v>
      </c>
      <c r="G62" s="18" t="n">
        <v>58.85997839</v>
      </c>
      <c r="H62" s="20" t="n">
        <v>1.81570334</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(2180.0/B67*100)</f>
        <v/>
      </c>
      <c r="D67" s="19" t="n">
        <v>591</v>
      </c>
      <c r="E67" s="18" t="n">
        <v>58.02443392</v>
      </c>
      <c r="F67" s="20" t="n">
        <v>2.27914084</v>
      </c>
      <c r="G67" s="18" t="n">
        <v>40.42265237</v>
      </c>
      <c r="H67" s="20" t="n">
        <v>2.22625593</v>
      </c>
      <c r="I67" s="18" t="n">
        <v>0</v>
      </c>
      <c r="J67" s="20" t="n">
        <v>0</v>
      </c>
      <c r="K67" s="18" t="n">
        <v>0</v>
      </c>
      <c r="L67" s="20" t="n">
        <v>0</v>
      </c>
      <c r="M67" s="18" t="n">
        <v>0</v>
      </c>
      <c r="N67" s="20" t="n">
        <v>0</v>
      </c>
      <c r="O67" s="18" t="n">
        <v>0</v>
      </c>
      <c r="P67" s="20" t="n">
        <v>0</v>
      </c>
      <c r="Q67" s="18" t="n">
        <v>1.55291371</v>
      </c>
      <c r="R67" s="20" t="n">
        <v>0.49669466</v>
      </c>
    </row>
    <row r="68" spans="1:18">
      <c r="A68" s="15" t="s">
        <v>628</v>
      </c>
      <c r="B68" s="17" t="n">
        <v>3460</v>
      </c>
      <c r="C68" s="18">
        <f>(2709.0/B68*100)</f>
        <v/>
      </c>
      <c r="D68" s="19" t="n">
        <v>751</v>
      </c>
      <c r="E68" s="18" t="n">
        <v>61.09600142</v>
      </c>
      <c r="F68" s="20" t="n">
        <v>1.78846952</v>
      </c>
      <c r="G68" s="18" t="n">
        <v>37.05038459</v>
      </c>
      <c r="H68" s="20" t="n">
        <v>1.91730235</v>
      </c>
      <c r="I68" s="18" t="n">
        <v>0</v>
      </c>
      <c r="J68" s="20" t="n">
        <v>0</v>
      </c>
      <c r="K68" s="18" t="n">
        <v>0.1428675</v>
      </c>
      <c r="L68" s="20" t="n">
        <v>0.14333519</v>
      </c>
      <c r="M68" s="18" t="n">
        <v>0</v>
      </c>
      <c r="N68" s="20" t="n">
        <v>0</v>
      </c>
      <c r="O68" s="18" t="n">
        <v>0</v>
      </c>
      <c r="P68" s="20" t="n">
        <v>0</v>
      </c>
      <c r="Q68" s="18" t="n">
        <v>1.71074649</v>
      </c>
      <c r="R68" s="20" t="n">
        <v>0.49027844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(4718.0/B70*100)</f>
        <v/>
      </c>
      <c r="D70" s="19" t="n">
        <v>1316</v>
      </c>
      <c r="E70" s="18" t="n">
        <v>62.27752265</v>
      </c>
      <c r="F70" s="20" t="n">
        <v>1.24683844</v>
      </c>
      <c r="G70" s="18" t="n">
        <v>36.3475347</v>
      </c>
      <c r="H70" s="20" t="n">
        <v>1.19156289</v>
      </c>
      <c r="I70" s="18" t="n">
        <v>0</v>
      </c>
      <c r="J70" s="20" t="n">
        <v>0</v>
      </c>
      <c r="K70" s="18" t="n">
        <v>0.37247769</v>
      </c>
      <c r="L70" s="20" t="n">
        <v>0.1646914</v>
      </c>
      <c r="M70" s="18" t="n">
        <v>0</v>
      </c>
      <c r="N70" s="20" t="n">
        <v>0</v>
      </c>
      <c r="O70" s="18" t="n">
        <v>0</v>
      </c>
      <c r="P70" s="20" t="n">
        <v>0</v>
      </c>
      <c r="Q70" s="18" t="n">
        <v>1.00246496</v>
      </c>
      <c r="R70" s="20" t="n">
        <v>0.2529502</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(2404.0/B72*100)</f>
        <v/>
      </c>
      <c r="D72" s="19" t="n">
        <v>703</v>
      </c>
      <c r="E72" s="18" t="n">
        <v>34.39163337</v>
      </c>
      <c r="F72" s="20" t="n">
        <v>1.8869418</v>
      </c>
      <c r="G72" s="18" t="n">
        <v>64.75717435999999</v>
      </c>
      <c r="H72" s="20" t="n">
        <v>1.8772955</v>
      </c>
      <c r="I72" s="18" t="n">
        <v>0</v>
      </c>
      <c r="J72" s="20" t="n">
        <v>0</v>
      </c>
      <c r="K72" s="18" t="n">
        <v>0</v>
      </c>
      <c r="L72" s="20" t="n">
        <v>0</v>
      </c>
      <c r="M72" s="18" t="n">
        <v>0</v>
      </c>
      <c r="N72" s="20" t="n">
        <v>0</v>
      </c>
      <c r="O72" s="18" t="n">
        <v>0</v>
      </c>
      <c r="P72" s="20" t="n">
        <v>0</v>
      </c>
      <c r="Q72" s="18" t="n">
        <v>0.85119227</v>
      </c>
      <c r="R72" s="20" t="n">
        <v>0.30601624</v>
      </c>
    </row>
    <row r="73" spans="1:18">
      <c r="A73" s="15" t="s">
        <v>633</v>
      </c>
      <c r="B73" s="17" t="n">
        <v>2973</v>
      </c>
      <c r="C73" s="18">
        <f>(2296.0/B73*100)</f>
        <v/>
      </c>
      <c r="D73" s="19" t="n">
        <v>677</v>
      </c>
      <c r="E73" s="18" t="n">
        <v>29.84732294</v>
      </c>
      <c r="F73" s="20" t="n">
        <v>1.55896662</v>
      </c>
      <c r="G73" s="18" t="n">
        <v>69.10668235999999</v>
      </c>
      <c r="H73" s="20" t="n">
        <v>1.61285962</v>
      </c>
      <c r="I73" s="18" t="n">
        <v>0</v>
      </c>
      <c r="J73" s="20" t="n">
        <v>0</v>
      </c>
      <c r="K73" s="18" t="n">
        <v>0.31911638</v>
      </c>
      <c r="L73" s="20" t="n">
        <v>0.22734919</v>
      </c>
      <c r="M73" s="18" t="n">
        <v>0</v>
      </c>
      <c r="N73" s="20" t="n">
        <v>0</v>
      </c>
      <c r="O73" s="18" t="n">
        <v>0</v>
      </c>
      <c r="P73" s="20" t="n">
        <v>0</v>
      </c>
      <c r="Q73" s="18" t="n">
        <v>0.72687832</v>
      </c>
      <c r="R73" s="20" t="n">
        <v>0.32106861</v>
      </c>
    </row>
    <row r="74" spans="1:18">
      <c r="A74" s="15" t="s">
        <v>634</v>
      </c>
      <c r="B74" s="17" t="n">
        <v>3819</v>
      </c>
      <c r="C74" s="18">
        <f>(2938.0/B74*100)</f>
        <v/>
      </c>
      <c r="D74" s="19" t="n">
        <v>881</v>
      </c>
      <c r="E74" s="18" t="n">
        <v>47.0523606</v>
      </c>
      <c r="F74" s="20" t="n">
        <v>1.73708124</v>
      </c>
      <c r="G74" s="18" t="n">
        <v>52.81959154</v>
      </c>
      <c r="H74" s="20" t="n">
        <v>1.74159623</v>
      </c>
      <c r="I74" s="18" t="n">
        <v>0</v>
      </c>
      <c r="J74" s="20" t="n">
        <v>0</v>
      </c>
      <c r="K74" s="18" t="n">
        <v>0</v>
      </c>
      <c r="L74" s="20" t="n">
        <v>0</v>
      </c>
      <c r="M74" s="18" t="n">
        <v>0</v>
      </c>
      <c r="N74" s="20" t="n">
        <v>0</v>
      </c>
      <c r="O74" s="18" t="n">
        <v>0</v>
      </c>
      <c r="P74" s="20" t="n">
        <v>0</v>
      </c>
      <c r="Q74" s="18" t="n">
        <v>0.12804787</v>
      </c>
      <c r="R74" s="20" t="n">
        <v>0.12914759</v>
      </c>
    </row>
    <row r="75" spans="1:18">
      <c r="A75" s="15" t="s">
        <v>635</v>
      </c>
      <c r="B75" s="17" t="n">
        <v>4652</v>
      </c>
      <c r="C75" s="18">
        <f>(3617.0/B75*100)</f>
        <v/>
      </c>
      <c r="D75" s="19" t="n">
        <v>1035</v>
      </c>
      <c r="E75" s="18" t="n">
        <v>59.6234445</v>
      </c>
      <c r="F75" s="20" t="n">
        <v>1.80250238</v>
      </c>
      <c r="G75" s="18" t="n">
        <v>39.99173892</v>
      </c>
      <c r="H75" s="20" t="n">
        <v>1.83107702</v>
      </c>
      <c r="I75" s="18" t="n">
        <v>0</v>
      </c>
      <c r="J75" s="20" t="n">
        <v>0</v>
      </c>
      <c r="K75" s="18" t="n">
        <v>0</v>
      </c>
      <c r="L75" s="20" t="n">
        <v>0</v>
      </c>
      <c r="M75" s="18" t="n">
        <v>0</v>
      </c>
      <c r="N75" s="20" t="n">
        <v>0</v>
      </c>
      <c r="O75" s="18" t="n">
        <v>0</v>
      </c>
      <c r="P75" s="20" t="n">
        <v>0</v>
      </c>
      <c r="Q75" s="18" t="n">
        <v>0.38481658</v>
      </c>
      <c r="R75" s="20" t="n">
        <v>0.18532838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(2359.0/B77*100)</f>
        <v/>
      </c>
      <c r="D77" s="19" t="n">
        <v>610</v>
      </c>
      <c r="E77" s="18" t="n">
        <v>66.7081598</v>
      </c>
      <c r="F77" s="20" t="n">
        <v>2.07372928</v>
      </c>
      <c r="G77" s="18" t="n">
        <v>30.76417478</v>
      </c>
      <c r="H77" s="20" t="n">
        <v>2.04077115</v>
      </c>
      <c r="I77" s="18" t="n">
        <v>0</v>
      </c>
      <c r="J77" s="20" t="n">
        <v>0</v>
      </c>
      <c r="K77" s="18" t="n">
        <v>0.59287007</v>
      </c>
      <c r="L77" s="20" t="n">
        <v>0.29375506</v>
      </c>
      <c r="M77" s="18" t="n">
        <v>0</v>
      </c>
      <c r="N77" s="20" t="n">
        <v>0</v>
      </c>
      <c r="O77" s="18" t="n">
        <v>0</v>
      </c>
      <c r="P77" s="20" t="n">
        <v>0</v>
      </c>
      <c r="Q77" s="18" t="n">
        <v>1.93479535</v>
      </c>
      <c r="R77" s="20" t="n">
        <v>0.51430619</v>
      </c>
    </row>
    <row r="78" spans="1:18">
      <c r="A78" s="15" t="s">
        <v>638</v>
      </c>
      <c r="B78" s="17" t="n">
        <v>7115</v>
      </c>
      <c r="C78" s="18">
        <f>(5556.0/B78*100)</f>
        <v/>
      </c>
      <c r="D78" s="19" t="n">
        <v>1559</v>
      </c>
      <c r="E78" s="18" t="n">
        <v>59.4079621</v>
      </c>
      <c r="F78" s="20" t="n">
        <v>1.34944116</v>
      </c>
      <c r="G78" s="18" t="n">
        <v>39.77946509</v>
      </c>
      <c r="H78" s="20" t="n">
        <v>1.35825435</v>
      </c>
      <c r="I78" s="18" t="n">
        <v>0</v>
      </c>
      <c r="J78" s="20" t="n">
        <v>0</v>
      </c>
      <c r="K78" s="18" t="n">
        <v>0.07025297</v>
      </c>
      <c r="L78" s="20" t="n">
        <v>0.05899687</v>
      </c>
      <c r="M78" s="18" t="n">
        <v>0</v>
      </c>
      <c r="N78" s="20" t="n">
        <v>0</v>
      </c>
      <c r="O78" s="18" t="n">
        <v>0</v>
      </c>
      <c r="P78" s="20" t="n">
        <v>0</v>
      </c>
      <c r="Q78" s="18" t="n">
        <v>0.74231983</v>
      </c>
      <c r="R78" s="20" t="n">
        <v>0.26566157</v>
      </c>
    </row>
    <row r="79" spans="1:18">
      <c r="A79" s="15" t="s">
        <v>639</v>
      </c>
      <c r="B79" s="17" t="n">
        <v>3154</v>
      </c>
      <c r="C79" s="18">
        <f>(2475.0/B79*100)</f>
        <v/>
      </c>
      <c r="D79" s="19" t="n">
        <v>679</v>
      </c>
      <c r="E79" s="18" t="n">
        <v>52.24840004</v>
      </c>
      <c r="F79" s="20" t="n">
        <v>2.06225748</v>
      </c>
      <c r="G79" s="18" t="n">
        <v>46.73371817</v>
      </c>
      <c r="H79" s="20" t="n">
        <v>2.14457645</v>
      </c>
      <c r="I79" s="18" t="n">
        <v>0</v>
      </c>
      <c r="J79" s="20" t="n">
        <v>0</v>
      </c>
      <c r="K79" s="18" t="n">
        <v>0.1050325</v>
      </c>
      <c r="L79" s="20" t="n">
        <v>0.1065882</v>
      </c>
      <c r="M79" s="18" t="n">
        <v>0</v>
      </c>
      <c r="N79" s="20" t="n">
        <v>0</v>
      </c>
      <c r="O79" s="18" t="n">
        <v>0</v>
      </c>
      <c r="P79" s="20" t="n">
        <v>0</v>
      </c>
      <c r="Q79" s="18" t="n">
        <v>0.9128493</v>
      </c>
      <c r="R79" s="20" t="n">
        <v>0.36681535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(12411.0/B82*100)</f>
        <v/>
      </c>
      <c r="D82" s="19" t="n">
        <v>3550</v>
      </c>
      <c r="E82" s="18" t="n">
        <v>39.76202497</v>
      </c>
      <c r="F82" s="20" t="n">
        <v>1.23289196</v>
      </c>
      <c r="G82" s="18" t="n">
        <v>59.55731457</v>
      </c>
      <c r="H82" s="20" t="n">
        <v>1.21530344</v>
      </c>
      <c r="I82" s="18" t="n">
        <v>0</v>
      </c>
      <c r="J82" s="20" t="n">
        <v>0</v>
      </c>
      <c r="K82" s="18" t="n">
        <v>0.01907971</v>
      </c>
      <c r="L82" s="20" t="n">
        <v>0.01527056</v>
      </c>
      <c r="M82" s="18" t="n">
        <v>0</v>
      </c>
      <c r="N82" s="20" t="n">
        <v>0</v>
      </c>
      <c r="O82" s="18" t="n">
        <v>0</v>
      </c>
      <c r="P82" s="20" t="n">
        <v>0</v>
      </c>
      <c r="Q82" s="18" t="n">
        <v>0.66158074</v>
      </c>
      <c r="R82" s="20" t="n">
        <v>0.21963241</v>
      </c>
    </row>
    <row r="83" spans="1:18">
      <c r="A83" s="15" t="s">
        <v>643</v>
      </c>
      <c r="B83" s="17" t="n">
        <v>808</v>
      </c>
      <c r="C83" s="18">
        <f>(623.0/B83*100)</f>
        <v/>
      </c>
      <c r="D83" s="19" t="n">
        <v>185</v>
      </c>
      <c r="E83" s="18" t="n">
        <v>36.49196163</v>
      </c>
      <c r="F83" s="20" t="n">
        <v>3.87557854</v>
      </c>
      <c r="G83" s="18" t="n">
        <v>63.50803837</v>
      </c>
      <c r="H83" s="20" t="n">
        <v>3.87557854</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(738.0/B84*100)</f>
        <v/>
      </c>
      <c r="D84" s="19" t="n">
        <v>200</v>
      </c>
      <c r="E84" s="18" t="n">
        <v>29.98264585</v>
      </c>
      <c r="F84" s="20" t="n">
        <v>2.8287284</v>
      </c>
      <c r="G84" s="18" t="n">
        <v>69.48267633</v>
      </c>
      <c r="H84" s="20" t="n">
        <v>2.92606306</v>
      </c>
      <c r="I84" s="18" t="n">
        <v>0</v>
      </c>
      <c r="J84" s="20" t="n">
        <v>0</v>
      </c>
      <c r="K84" s="18" t="n">
        <v>0</v>
      </c>
      <c r="L84" s="20" t="n">
        <v>0</v>
      </c>
      <c r="M84" s="18" t="n">
        <v>0</v>
      </c>
      <c r="N84" s="20" t="n">
        <v>0</v>
      </c>
      <c r="O84" s="18" t="n">
        <v>0</v>
      </c>
      <c r="P84" s="20" t="n">
        <v>0</v>
      </c>
      <c r="Q84" s="18" t="n">
        <v>0.53467782</v>
      </c>
      <c r="R84" s="20" t="n">
        <v>0.53440258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(5592.0/B7*100)</f>
        <v/>
      </c>
      <c r="D7" s="19" t="n">
        <v>1571</v>
      </c>
      <c r="E7" s="18" t="n">
        <v>45.68482856</v>
      </c>
      <c r="F7" s="20" t="n">
        <v>1.6081612</v>
      </c>
      <c r="G7" s="18" t="n">
        <v>44.63488025</v>
      </c>
      <c r="H7" s="20" t="n">
        <v>1.36821674</v>
      </c>
      <c r="I7" s="18" t="n">
        <v>0</v>
      </c>
      <c r="J7" s="20" t="n">
        <v>0</v>
      </c>
      <c r="K7" s="18" t="n">
        <v>0.18345609</v>
      </c>
      <c r="L7" s="20" t="n">
        <v>0.16528756</v>
      </c>
      <c r="M7" s="18" t="n">
        <v>0.1736755</v>
      </c>
      <c r="N7" s="20" t="n">
        <v>0.15248398</v>
      </c>
      <c r="O7" s="18" t="n">
        <v>0</v>
      </c>
      <c r="P7" s="20" t="n">
        <v>0</v>
      </c>
      <c r="Q7" s="18" t="n">
        <v>9.3231596</v>
      </c>
      <c r="R7" s="20" t="n">
        <v>0.91049957</v>
      </c>
    </row>
    <row r="8" spans="1:18">
      <c r="A8" s="15" t="s">
        <v>566</v>
      </c>
      <c r="B8" s="17" t="n">
        <v>3443</v>
      </c>
      <c r="C8" s="18">
        <f>(2666.0/B8*100)</f>
        <v/>
      </c>
      <c r="D8" s="19" t="n">
        <v>777</v>
      </c>
      <c r="E8" s="18" t="n">
        <v>28.78301304</v>
      </c>
      <c r="F8" s="20" t="n">
        <v>1.73168552</v>
      </c>
      <c r="G8" s="18" t="n">
        <v>43.94155081</v>
      </c>
      <c r="H8" s="20" t="n">
        <v>2.08816844</v>
      </c>
      <c r="I8" s="18" t="n">
        <v>0</v>
      </c>
      <c r="J8" s="20" t="n">
        <v>0</v>
      </c>
      <c r="K8" s="18" t="n">
        <v>0</v>
      </c>
      <c r="L8" s="20" t="n">
        <v>0</v>
      </c>
      <c r="M8" s="18" t="n">
        <v>0</v>
      </c>
      <c r="N8" s="20" t="n">
        <v>0</v>
      </c>
      <c r="O8" s="18" t="n">
        <v>0</v>
      </c>
      <c r="P8" s="20" t="n">
        <v>0</v>
      </c>
      <c r="Q8" s="18" t="n">
        <v>27.27543615</v>
      </c>
      <c r="R8" s="20" t="n">
        <v>1.75742245</v>
      </c>
    </row>
    <row r="9" spans="1:18">
      <c r="A9" s="15" t="s">
        <v>567</v>
      </c>
      <c r="B9" s="17" t="n">
        <v>4752</v>
      </c>
      <c r="C9" s="18">
        <f>(3723.0/B9*100)</f>
        <v/>
      </c>
      <c r="D9" s="19" t="n">
        <v>1029</v>
      </c>
      <c r="E9" s="18" t="n">
        <v>45.66552782</v>
      </c>
      <c r="F9" s="20" t="n">
        <v>1.59222368</v>
      </c>
      <c r="G9" s="18" t="n">
        <v>36.84312343</v>
      </c>
      <c r="H9" s="20" t="n">
        <v>1.53243257</v>
      </c>
      <c r="I9" s="18" t="n">
        <v>0</v>
      </c>
      <c r="J9" s="20" t="n">
        <v>0</v>
      </c>
      <c r="K9" s="18" t="n">
        <v>0.21946986</v>
      </c>
      <c r="L9" s="20" t="n">
        <v>0.15987153</v>
      </c>
      <c r="M9" s="18" t="n">
        <v>0.16671257</v>
      </c>
      <c r="N9" s="20" t="n">
        <v>0.13612185</v>
      </c>
      <c r="O9" s="18" t="n">
        <v>0</v>
      </c>
      <c r="P9" s="20" t="n">
        <v>0</v>
      </c>
      <c r="Q9" s="18" t="n">
        <v>17.10516632</v>
      </c>
      <c r="R9" s="20" t="n">
        <v>1.22274781</v>
      </c>
    </row>
    <row r="10" spans="1:18">
      <c r="A10" s="15" t="s">
        <v>568</v>
      </c>
      <c r="B10" s="17" t="n">
        <v>10022</v>
      </c>
      <c r="C10" s="18">
        <f>(7818.0/B10*100)</f>
        <v/>
      </c>
      <c r="D10" s="19" t="n">
        <v>2204</v>
      </c>
      <c r="E10" s="18" t="n">
        <v>47.37818086</v>
      </c>
      <c r="F10" s="20" t="n">
        <v>1.68038129</v>
      </c>
      <c r="G10" s="18" t="n">
        <v>45.63966195</v>
      </c>
      <c r="H10" s="20" t="n">
        <v>1.71638464</v>
      </c>
      <c r="I10" s="18" t="n">
        <v>0</v>
      </c>
      <c r="J10" s="20" t="n">
        <v>0</v>
      </c>
      <c r="K10" s="18" t="n">
        <v>0.17578447</v>
      </c>
      <c r="L10" s="20" t="n">
        <v>0.16987828</v>
      </c>
      <c r="M10" s="18" t="n">
        <v>0</v>
      </c>
      <c r="N10" s="20" t="n">
        <v>0</v>
      </c>
      <c r="O10" s="18" t="n">
        <v>0</v>
      </c>
      <c r="P10" s="20" t="n">
        <v>0</v>
      </c>
      <c r="Q10" s="18" t="n">
        <v>6.80637272</v>
      </c>
      <c r="R10" s="20" t="n">
        <v>0.86601661</v>
      </c>
    </row>
    <row r="11" spans="1:18">
      <c r="A11" s="15" t="s">
        <v>569</v>
      </c>
      <c r="B11" s="17" t="n">
        <v>3500</v>
      </c>
      <c r="C11" s="18">
        <f>(2753.0/B11*100)</f>
        <v/>
      </c>
      <c r="D11" s="19" t="n">
        <v>747</v>
      </c>
      <c r="E11" s="18" t="n">
        <v>57.61082389</v>
      </c>
      <c r="F11" s="20" t="n">
        <v>1.71253965</v>
      </c>
      <c r="G11" s="18" t="n">
        <v>6.38232065</v>
      </c>
      <c r="H11" s="20" t="n">
        <v>0.87678647</v>
      </c>
      <c r="I11" s="18" t="n">
        <v>0</v>
      </c>
      <c r="J11" s="20" t="n">
        <v>0</v>
      </c>
      <c r="K11" s="18" t="n">
        <v>0.44604566</v>
      </c>
      <c r="L11" s="20" t="n">
        <v>0.2752386</v>
      </c>
      <c r="M11" s="18" t="n">
        <v>0.01456794</v>
      </c>
      <c r="N11" s="20" t="n">
        <v>0.01470979</v>
      </c>
      <c r="O11" s="18" t="n">
        <v>0</v>
      </c>
      <c r="P11" s="20" t="n">
        <v>0</v>
      </c>
      <c r="Q11" s="18" t="n">
        <v>35.54624185</v>
      </c>
      <c r="R11" s="20" t="n">
        <v>1.953121</v>
      </c>
    </row>
    <row r="12" spans="1:18">
      <c r="A12" s="15" t="s">
        <v>570</v>
      </c>
      <c r="B12" s="17" t="n">
        <v>3422</v>
      </c>
      <c r="C12" s="18">
        <f>(2672.0/B12*100)</f>
        <v/>
      </c>
      <c r="D12" s="19" t="n">
        <v>750</v>
      </c>
      <c r="E12" s="18" t="n">
        <v>48.90170186</v>
      </c>
      <c r="F12" s="20" t="n">
        <v>2.676317</v>
      </c>
      <c r="G12" s="18" t="n">
        <v>12.19537846</v>
      </c>
      <c r="H12" s="20" t="n">
        <v>1.44092007</v>
      </c>
      <c r="I12" s="18" t="n">
        <v>0</v>
      </c>
      <c r="J12" s="20" t="n">
        <v>0</v>
      </c>
      <c r="K12" s="18" t="n">
        <v>0</v>
      </c>
      <c r="L12" s="20" t="n">
        <v>0</v>
      </c>
      <c r="M12" s="18" t="n">
        <v>0</v>
      </c>
      <c r="N12" s="20" t="n">
        <v>0</v>
      </c>
      <c r="O12" s="18" t="n">
        <v>0</v>
      </c>
      <c r="P12" s="20" t="n">
        <v>0</v>
      </c>
      <c r="Q12" s="18" t="n">
        <v>38.90291969</v>
      </c>
      <c r="R12" s="20" t="n">
        <v>2.49057411</v>
      </c>
    </row>
    <row r="13" spans="1:18">
      <c r="A13" s="15" t="s">
        <v>571</v>
      </c>
      <c r="B13" s="17" t="n">
        <v>3602</v>
      </c>
      <c r="C13" s="18">
        <f>(2822.0/B13*100)</f>
        <v/>
      </c>
      <c r="D13" s="19" t="n">
        <v>780</v>
      </c>
      <c r="E13" s="18" t="n">
        <v>50.86902173</v>
      </c>
      <c r="F13" s="20" t="n">
        <v>1.98493073</v>
      </c>
      <c r="G13" s="18" t="n">
        <v>27.45013676</v>
      </c>
      <c r="H13" s="20" t="n">
        <v>1.67344443</v>
      </c>
      <c r="I13" s="18" t="n">
        <v>0</v>
      </c>
      <c r="J13" s="20" t="n">
        <v>0</v>
      </c>
      <c r="K13" s="18" t="n">
        <v>0</v>
      </c>
      <c r="L13" s="20" t="n">
        <v>0</v>
      </c>
      <c r="M13" s="18" t="n">
        <v>0.03203599</v>
      </c>
      <c r="N13" s="20" t="n">
        <v>0.03203658</v>
      </c>
      <c r="O13" s="18" t="n">
        <v>0</v>
      </c>
      <c r="P13" s="20" t="n">
        <v>0</v>
      </c>
      <c r="Q13" s="18" t="n">
        <v>21.64880553</v>
      </c>
      <c r="R13" s="20" t="n">
        <v>1.59487944</v>
      </c>
    </row>
    <row r="14" spans="1:18">
      <c r="A14" s="15" t="s">
        <v>572</v>
      </c>
      <c r="B14" s="17" t="n">
        <v>2788</v>
      </c>
      <c r="C14" s="18">
        <f>(2182.0/B14*100)</f>
        <v/>
      </c>
      <c r="D14" s="19" t="n">
        <v>606</v>
      </c>
      <c r="E14" s="18" t="n">
        <v>58.27657101</v>
      </c>
      <c r="F14" s="20" t="n">
        <v>2.28405828</v>
      </c>
      <c r="G14" s="18" t="n">
        <v>32.04270588</v>
      </c>
      <c r="H14" s="20" t="n">
        <v>2.33201895</v>
      </c>
      <c r="I14" s="18" t="n">
        <v>0</v>
      </c>
      <c r="J14" s="20" t="n">
        <v>0</v>
      </c>
      <c r="K14" s="18" t="n">
        <v>0</v>
      </c>
      <c r="L14" s="20" t="n">
        <v>0</v>
      </c>
      <c r="M14" s="18" t="n">
        <v>0</v>
      </c>
      <c r="N14" s="20" t="n">
        <v>0</v>
      </c>
      <c r="O14" s="18" t="n">
        <v>0</v>
      </c>
      <c r="P14" s="20" t="n">
        <v>0</v>
      </c>
      <c r="Q14" s="18" t="n">
        <v>9.680723110000001</v>
      </c>
      <c r="R14" s="20" t="n">
        <v>1.45384688</v>
      </c>
    </row>
    <row r="15" spans="1:18">
      <c r="A15" s="15" t="s">
        <v>573</v>
      </c>
      <c r="B15" s="17" t="n">
        <v>2863</v>
      </c>
      <c r="C15" s="18">
        <f>(2222.0/B15*100)</f>
        <v/>
      </c>
      <c r="D15" s="19" t="n">
        <v>641</v>
      </c>
      <c r="E15" s="18" t="n">
        <v>42.37451156</v>
      </c>
      <c r="F15" s="20" t="n">
        <v>1.99367124</v>
      </c>
      <c r="G15" s="18" t="n">
        <v>44.15944477</v>
      </c>
      <c r="H15" s="20" t="n">
        <v>2.02686227</v>
      </c>
      <c r="I15" s="18" t="n">
        <v>0</v>
      </c>
      <c r="J15" s="20" t="n">
        <v>0</v>
      </c>
      <c r="K15" s="18" t="n">
        <v>0</v>
      </c>
      <c r="L15" s="20" t="n">
        <v>0</v>
      </c>
      <c r="M15" s="18" t="n">
        <v>0</v>
      </c>
      <c r="N15" s="20" t="n">
        <v>0</v>
      </c>
      <c r="O15" s="18" t="n">
        <v>0</v>
      </c>
      <c r="P15" s="20" t="n">
        <v>0</v>
      </c>
      <c r="Q15" s="18" t="n">
        <v>13.46604367</v>
      </c>
      <c r="R15" s="20" t="n">
        <v>1.48466091</v>
      </c>
    </row>
    <row r="16" spans="1:18">
      <c r="A16" s="15" t="s">
        <v>574</v>
      </c>
      <c r="B16" s="17" t="n">
        <v>3111</v>
      </c>
      <c r="C16" s="18">
        <f>(2409.0/B16*100)</f>
        <v/>
      </c>
      <c r="D16" s="19" t="n">
        <v>702</v>
      </c>
      <c r="E16" s="18" t="n">
        <v>49.85255394</v>
      </c>
      <c r="F16" s="20" t="n">
        <v>1.94812636</v>
      </c>
      <c r="G16" s="18" t="n">
        <v>28.33389785</v>
      </c>
      <c r="H16" s="20" t="n">
        <v>1.58054298</v>
      </c>
      <c r="I16" s="18" t="n">
        <v>0</v>
      </c>
      <c r="J16" s="20" t="n">
        <v>0</v>
      </c>
      <c r="K16" s="18" t="n">
        <v>0</v>
      </c>
      <c r="L16" s="20" t="n">
        <v>0</v>
      </c>
      <c r="M16" s="18" t="n">
        <v>0</v>
      </c>
      <c r="N16" s="20" t="n">
        <v>0</v>
      </c>
      <c r="O16" s="18" t="n">
        <v>0</v>
      </c>
      <c r="P16" s="20" t="n">
        <v>0</v>
      </c>
      <c r="Q16" s="18" t="n">
        <v>21.81354821</v>
      </c>
      <c r="R16" s="20" t="n">
        <v>1.64632071</v>
      </c>
    </row>
    <row r="17" spans="1:18">
      <c r="A17" s="15" t="s">
        <v>575</v>
      </c>
      <c r="B17" s="17" t="n">
        <v>3197</v>
      </c>
      <c r="C17" s="18">
        <f>(2489.0/B17*100)</f>
        <v/>
      </c>
      <c r="D17" s="19" t="n">
        <v>708</v>
      </c>
      <c r="E17" s="18" t="n">
        <v>38.72286574</v>
      </c>
      <c r="F17" s="20" t="n">
        <v>1.99843111</v>
      </c>
      <c r="G17" s="18" t="n">
        <v>39.83423036</v>
      </c>
      <c r="H17" s="20" t="n">
        <v>2.09352156</v>
      </c>
      <c r="I17" s="18" t="n">
        <v>0</v>
      </c>
      <c r="J17" s="20" t="n">
        <v>0</v>
      </c>
      <c r="K17" s="18" t="n">
        <v>0</v>
      </c>
      <c r="L17" s="20" t="n">
        <v>0</v>
      </c>
      <c r="M17" s="18" t="n">
        <v>0.12860255</v>
      </c>
      <c r="N17" s="20" t="n">
        <v>0.12980967</v>
      </c>
      <c r="O17" s="18" t="n">
        <v>0</v>
      </c>
      <c r="P17" s="20" t="n">
        <v>0</v>
      </c>
      <c r="Q17" s="18" t="n">
        <v>21.31430135</v>
      </c>
      <c r="R17" s="20" t="n">
        <v>1.5030223</v>
      </c>
    </row>
    <row r="18" spans="1:18">
      <c r="A18" s="15" t="s">
        <v>576</v>
      </c>
      <c r="B18" s="17" t="n">
        <v>2706</v>
      </c>
      <c r="C18" s="18">
        <f>(2085.0/B18*100)</f>
        <v/>
      </c>
      <c r="D18" s="19" t="n">
        <v>621</v>
      </c>
      <c r="E18" s="18" t="n">
        <v>38.52614742</v>
      </c>
      <c r="F18" s="20" t="n">
        <v>2.31793604</v>
      </c>
      <c r="G18" s="18" t="n">
        <v>45.15097461</v>
      </c>
      <c r="H18" s="20" t="n">
        <v>2.17073212</v>
      </c>
      <c r="I18" s="18" t="n">
        <v>0</v>
      </c>
      <c r="J18" s="20" t="n">
        <v>0</v>
      </c>
      <c r="K18" s="18" t="n">
        <v>0.26458689</v>
      </c>
      <c r="L18" s="20" t="n">
        <v>0.26005387</v>
      </c>
      <c r="M18" s="18" t="n">
        <v>0</v>
      </c>
      <c r="N18" s="20" t="n">
        <v>0</v>
      </c>
      <c r="O18" s="18" t="n">
        <v>0</v>
      </c>
      <c r="P18" s="20" t="n">
        <v>0</v>
      </c>
      <c r="Q18" s="18" t="n">
        <v>16.05829109</v>
      </c>
      <c r="R18" s="20" t="n">
        <v>1.54180029</v>
      </c>
    </row>
    <row r="19" spans="1:18">
      <c r="A19" s="15" t="s">
        <v>577</v>
      </c>
      <c r="B19" s="17" t="n">
        <v>2850</v>
      </c>
      <c r="C19" s="18">
        <f>(2223.0/B19*100)</f>
        <v/>
      </c>
      <c r="D19" s="19" t="n">
        <v>627</v>
      </c>
      <c r="E19" s="18" t="n">
        <v>40.76165762</v>
      </c>
      <c r="F19" s="20" t="n">
        <v>2.01796524</v>
      </c>
      <c r="G19" s="18" t="n">
        <v>29.75709246</v>
      </c>
      <c r="H19" s="20" t="n">
        <v>1.82936944</v>
      </c>
      <c r="I19" s="18" t="n">
        <v>0</v>
      </c>
      <c r="J19" s="20" t="n">
        <v>0</v>
      </c>
      <c r="K19" s="18" t="n">
        <v>0</v>
      </c>
      <c r="L19" s="20" t="n">
        <v>0</v>
      </c>
      <c r="M19" s="18" t="n">
        <v>0.16405477</v>
      </c>
      <c r="N19" s="20" t="n">
        <v>0.16559367</v>
      </c>
      <c r="O19" s="18" t="n">
        <v>0</v>
      </c>
      <c r="P19" s="20" t="n">
        <v>0</v>
      </c>
      <c r="Q19" s="18" t="n">
        <v>29.31719514</v>
      </c>
      <c r="R19" s="20" t="n">
        <v>1.71140028</v>
      </c>
    </row>
    <row r="20" spans="1:18">
      <c r="A20" s="15" t="s">
        <v>578</v>
      </c>
      <c r="B20" s="17" t="n">
        <v>1741</v>
      </c>
      <c r="C20" s="18">
        <f>(1364.0/B20*100)</f>
        <v/>
      </c>
      <c r="D20" s="19" t="n">
        <v>377</v>
      </c>
      <c r="E20" s="18" t="n">
        <v>54.35780869</v>
      </c>
      <c r="F20" s="20" t="n">
        <v>2.78659622</v>
      </c>
      <c r="G20" s="18" t="n">
        <v>23.97479038</v>
      </c>
      <c r="H20" s="20" t="n">
        <v>2.15226885</v>
      </c>
      <c r="I20" s="18" t="n">
        <v>0</v>
      </c>
      <c r="J20" s="20" t="n">
        <v>0</v>
      </c>
      <c r="K20" s="18" t="n">
        <v>0.26193306</v>
      </c>
      <c r="L20" s="20" t="n">
        <v>0.26439859</v>
      </c>
      <c r="M20" s="18" t="n">
        <v>0.40622334</v>
      </c>
      <c r="N20" s="20" t="n">
        <v>0.41027298</v>
      </c>
      <c r="O20" s="18" t="n">
        <v>0</v>
      </c>
      <c r="P20" s="20" t="n">
        <v>0</v>
      </c>
      <c r="Q20" s="18" t="n">
        <v>20.99924453</v>
      </c>
      <c r="R20" s="20" t="n">
        <v>2.29509358</v>
      </c>
    </row>
    <row r="21" spans="1:18">
      <c r="A21" s="15" t="s">
        <v>579</v>
      </c>
      <c r="B21" s="17" t="n">
        <v>2833</v>
      </c>
      <c r="C21" s="18">
        <f>(2213.0/B21*100)</f>
        <v/>
      </c>
      <c r="D21" s="19" t="n">
        <v>620</v>
      </c>
      <c r="E21" s="18" t="n">
        <v>58.55977819</v>
      </c>
      <c r="F21" s="20" t="n">
        <v>2.15373266</v>
      </c>
      <c r="G21" s="18" t="n">
        <v>31.95611704</v>
      </c>
      <c r="H21" s="20" t="n">
        <v>2.23097012</v>
      </c>
      <c r="I21" s="18" t="n">
        <v>0</v>
      </c>
      <c r="J21" s="20" t="n">
        <v>0</v>
      </c>
      <c r="K21" s="18" t="n">
        <v>0</v>
      </c>
      <c r="L21" s="20" t="n">
        <v>0</v>
      </c>
      <c r="M21" s="18" t="n">
        <v>0</v>
      </c>
      <c r="N21" s="20" t="n">
        <v>0</v>
      </c>
      <c r="O21" s="18" t="n">
        <v>0</v>
      </c>
      <c r="P21" s="20" t="n">
        <v>0</v>
      </c>
      <c r="Q21" s="18" t="n">
        <v>9.48410477</v>
      </c>
      <c r="R21" s="20" t="n">
        <v>1.20989777</v>
      </c>
    </row>
    <row r="22" spans="1:18">
      <c r="A22" s="15" t="s">
        <v>580</v>
      </c>
      <c r="B22" s="17" t="n">
        <v>3667</v>
      </c>
      <c r="C22" s="18">
        <f>(3006.0/B22*100)</f>
        <v/>
      </c>
      <c r="D22" s="19" t="n">
        <v>661</v>
      </c>
      <c r="E22" s="18" t="n">
        <v>56.10951231</v>
      </c>
      <c r="F22" s="20" t="n">
        <v>2.431898</v>
      </c>
      <c r="G22" s="18" t="n">
        <v>29.68746399</v>
      </c>
      <c r="H22" s="20" t="n">
        <v>2.05718985</v>
      </c>
      <c r="I22" s="18" t="n">
        <v>0</v>
      </c>
      <c r="J22" s="20" t="n">
        <v>0</v>
      </c>
      <c r="K22" s="18" t="n">
        <v>0.16544359</v>
      </c>
      <c r="L22" s="20" t="n">
        <v>0.17243588</v>
      </c>
      <c r="M22" s="18" t="n">
        <v>0.13602144</v>
      </c>
      <c r="N22" s="20" t="n">
        <v>0.13652879</v>
      </c>
      <c r="O22" s="18" t="n">
        <v>0</v>
      </c>
      <c r="P22" s="20" t="n">
        <v>0</v>
      </c>
      <c r="Q22" s="18" t="n">
        <v>13.90155868</v>
      </c>
      <c r="R22" s="20" t="n">
        <v>1.80456859</v>
      </c>
    </row>
    <row r="23" spans="1:18">
      <c r="A23" s="15" t="s">
        <v>581</v>
      </c>
      <c r="B23" s="17" t="n">
        <v>5792</v>
      </c>
      <c r="C23" s="18">
        <f>(4485.0/B23*100)</f>
        <v/>
      </c>
      <c r="D23" s="19" t="n">
        <v>1307</v>
      </c>
      <c r="E23" s="18" t="n">
        <v>51.27667152</v>
      </c>
      <c r="F23" s="20" t="n">
        <v>2.17294392</v>
      </c>
      <c r="G23" s="18" t="n">
        <v>17.66952102</v>
      </c>
      <c r="H23" s="20" t="n">
        <v>1.60583777</v>
      </c>
      <c r="I23" s="18" t="n">
        <v>0</v>
      </c>
      <c r="J23" s="20" t="n">
        <v>0</v>
      </c>
      <c r="K23" s="18" t="n">
        <v>0.0498036</v>
      </c>
      <c r="L23" s="20" t="n">
        <v>0.04908924</v>
      </c>
      <c r="M23" s="18" t="n">
        <v>0</v>
      </c>
      <c r="N23" s="20" t="n">
        <v>0</v>
      </c>
      <c r="O23" s="18" t="n">
        <v>0</v>
      </c>
      <c r="P23" s="20" t="n">
        <v>0</v>
      </c>
      <c r="Q23" s="18" t="n">
        <v>31.00400386</v>
      </c>
      <c r="R23" s="20" t="n">
        <v>2.44924558</v>
      </c>
    </row>
    <row r="24" spans="1:18">
      <c r="A24" s="15" t="s">
        <v>582</v>
      </c>
      <c r="B24" s="17" t="n">
        <v>3309</v>
      </c>
      <c r="C24" s="18">
        <f>(2586.0/B24*100)</f>
        <v/>
      </c>
      <c r="D24" s="19" t="n">
        <v>723</v>
      </c>
      <c r="E24" s="18" t="n">
        <v>37.26156755</v>
      </c>
      <c r="F24" s="20" t="n">
        <v>1.64074673</v>
      </c>
      <c r="G24" s="18" t="n">
        <v>44.00748931</v>
      </c>
      <c r="H24" s="20" t="n">
        <v>1.81326296</v>
      </c>
      <c r="I24" s="18" t="n">
        <v>0</v>
      </c>
      <c r="J24" s="20" t="n">
        <v>0</v>
      </c>
      <c r="K24" s="18" t="n">
        <v>0.16543863</v>
      </c>
      <c r="L24" s="20" t="n">
        <v>0.15441833</v>
      </c>
      <c r="M24" s="18" t="n">
        <v>0</v>
      </c>
      <c r="N24" s="20" t="n">
        <v>0</v>
      </c>
      <c r="O24" s="18" t="n">
        <v>0</v>
      </c>
      <c r="P24" s="20" t="n">
        <v>0</v>
      </c>
      <c r="Q24" s="18" t="n">
        <v>18.56550451</v>
      </c>
      <c r="R24" s="20" t="n">
        <v>1.32485273</v>
      </c>
    </row>
    <row r="25" spans="1:18">
      <c r="A25" s="15" t="s">
        <v>583</v>
      </c>
      <c r="B25" s="17" t="n">
        <v>2669</v>
      </c>
      <c r="C25" s="18">
        <f>(2068.0/B25*100)</f>
        <v/>
      </c>
      <c r="D25" s="19" t="n">
        <v>601</v>
      </c>
      <c r="E25" s="18" t="n">
        <v>50.95622403</v>
      </c>
      <c r="F25" s="20" t="n">
        <v>1.98789848</v>
      </c>
      <c r="G25" s="18" t="n">
        <v>32.73145918</v>
      </c>
      <c r="H25" s="20" t="n">
        <v>1.81984665</v>
      </c>
      <c r="I25" s="18" t="n">
        <v>0</v>
      </c>
      <c r="J25" s="20" t="n">
        <v>0</v>
      </c>
      <c r="K25" s="18" t="n">
        <v>0.16470226</v>
      </c>
      <c r="L25" s="20" t="n">
        <v>0.1646375</v>
      </c>
      <c r="M25" s="18" t="n">
        <v>0</v>
      </c>
      <c r="N25" s="20" t="n">
        <v>0</v>
      </c>
      <c r="O25" s="18" t="n">
        <v>0</v>
      </c>
      <c r="P25" s="20" t="n">
        <v>0</v>
      </c>
      <c r="Q25" s="18" t="n">
        <v>16.14761453</v>
      </c>
      <c r="R25" s="20" t="n">
        <v>1.64630403</v>
      </c>
    </row>
    <row r="26" spans="1:18">
      <c r="A26" s="15" t="s">
        <v>584</v>
      </c>
      <c r="B26" s="17" t="n">
        <v>2419</v>
      </c>
      <c r="C26" s="18">
        <f>(1861.0/B26*100)</f>
        <v/>
      </c>
      <c r="D26" s="19" t="n">
        <v>558</v>
      </c>
      <c r="E26" s="18" t="n">
        <v>57.96815965</v>
      </c>
      <c r="F26" s="20" t="n">
        <v>2.21220694</v>
      </c>
      <c r="G26" s="18" t="n">
        <v>28.66970857</v>
      </c>
      <c r="H26" s="20" t="n">
        <v>2.06710081</v>
      </c>
      <c r="I26" s="18" t="n">
        <v>0</v>
      </c>
      <c r="J26" s="20" t="n">
        <v>0</v>
      </c>
      <c r="K26" s="18" t="n">
        <v>0</v>
      </c>
      <c r="L26" s="20" t="n">
        <v>0</v>
      </c>
      <c r="M26" s="18" t="n">
        <v>0.12305382</v>
      </c>
      <c r="N26" s="20" t="n">
        <v>0.12326254</v>
      </c>
      <c r="O26" s="18" t="n">
        <v>0</v>
      </c>
      <c r="P26" s="20" t="n">
        <v>0</v>
      </c>
      <c r="Q26" s="18" t="n">
        <v>13.23907796</v>
      </c>
      <c r="R26" s="20" t="n">
        <v>1.47988926</v>
      </c>
    </row>
    <row r="27" spans="1:18">
      <c r="A27" s="15" t="s">
        <v>585</v>
      </c>
      <c r="B27" s="17" t="n">
        <v>2683</v>
      </c>
      <c r="C27" s="18">
        <f>(2095.0/B27*100)</f>
        <v/>
      </c>
      <c r="D27" s="19" t="n">
        <v>588</v>
      </c>
      <c r="E27" s="18" t="n">
        <v>40.55984573</v>
      </c>
      <c r="F27" s="20" t="n">
        <v>1.93796345</v>
      </c>
      <c r="G27" s="18" t="n">
        <v>31.76743542</v>
      </c>
      <c r="H27" s="20" t="n">
        <v>1.88977034</v>
      </c>
      <c r="I27" s="18" t="n">
        <v>0</v>
      </c>
      <c r="J27" s="20" t="n">
        <v>0</v>
      </c>
      <c r="K27" s="18" t="n">
        <v>0.16840354</v>
      </c>
      <c r="L27" s="20" t="n">
        <v>0.16837791</v>
      </c>
      <c r="M27" s="18" t="n">
        <v>0</v>
      </c>
      <c r="N27" s="20" t="n">
        <v>0</v>
      </c>
      <c r="O27" s="18" t="n">
        <v>0</v>
      </c>
      <c r="P27" s="20" t="n">
        <v>0</v>
      </c>
      <c r="Q27" s="18" t="n">
        <v>27.50431531</v>
      </c>
      <c r="R27" s="20" t="n">
        <v>1.71010402</v>
      </c>
    </row>
    <row r="28" spans="1:18">
      <c r="A28" s="15" t="s">
        <v>586</v>
      </c>
      <c r="B28" s="17" t="n">
        <v>3803</v>
      </c>
      <c r="C28" s="18">
        <f>(3012.0/B28*100)</f>
        <v/>
      </c>
      <c r="D28" s="19" t="n">
        <v>791</v>
      </c>
      <c r="E28" s="18" t="n">
        <v>78.19719795</v>
      </c>
      <c r="F28" s="20" t="n">
        <v>1.73243699</v>
      </c>
      <c r="G28" s="18" t="n">
        <v>13.44301214</v>
      </c>
      <c r="H28" s="20" t="n">
        <v>1.3297515</v>
      </c>
      <c r="I28" s="18" t="n">
        <v>0</v>
      </c>
      <c r="J28" s="20" t="n">
        <v>0</v>
      </c>
      <c r="K28" s="18" t="n">
        <v>0.32645007</v>
      </c>
      <c r="L28" s="20" t="n">
        <v>0.31697813</v>
      </c>
      <c r="M28" s="18" t="n">
        <v>0.32206699</v>
      </c>
      <c r="N28" s="20" t="n">
        <v>0.23918036</v>
      </c>
      <c r="O28" s="18" t="n">
        <v>0</v>
      </c>
      <c r="P28" s="20" t="n">
        <v>0</v>
      </c>
      <c r="Q28" s="18" t="n">
        <v>7.71127285</v>
      </c>
      <c r="R28" s="20" t="n">
        <v>1.06586233</v>
      </c>
    </row>
    <row r="29" spans="1:18">
      <c r="A29" s="15" t="s">
        <v>587</v>
      </c>
      <c r="B29" s="17" t="n">
        <v>2700</v>
      </c>
      <c r="C29" s="18">
        <f>(2097.0/B29*100)</f>
        <v/>
      </c>
      <c r="D29" s="19" t="n">
        <v>603</v>
      </c>
      <c r="E29" s="18" t="n">
        <v>50.88358974</v>
      </c>
      <c r="F29" s="20" t="n">
        <v>2.01157727</v>
      </c>
      <c r="G29" s="18" t="n">
        <v>37.76763485</v>
      </c>
      <c r="H29" s="20" t="n">
        <v>1.98360672</v>
      </c>
      <c r="I29" s="18" t="n">
        <v>0</v>
      </c>
      <c r="J29" s="20" t="n">
        <v>0</v>
      </c>
      <c r="K29" s="18" t="n">
        <v>0</v>
      </c>
      <c r="L29" s="20" t="n">
        <v>0</v>
      </c>
      <c r="M29" s="18" t="n">
        <v>0</v>
      </c>
      <c r="N29" s="20" t="n">
        <v>0</v>
      </c>
      <c r="O29" s="18" t="n">
        <v>0</v>
      </c>
      <c r="P29" s="20" t="n">
        <v>0</v>
      </c>
      <c r="Q29" s="18" t="n">
        <v>11.34877541</v>
      </c>
      <c r="R29" s="20" t="n">
        <v>1.30309203</v>
      </c>
    </row>
    <row r="30" spans="1:18">
      <c r="A30" s="15" t="s">
        <v>588</v>
      </c>
      <c r="B30" s="17" t="n">
        <v>2257</v>
      </c>
      <c r="C30" s="18">
        <f>(1771.0/B30*100)</f>
        <v/>
      </c>
      <c r="D30" s="19" t="n">
        <v>486</v>
      </c>
      <c r="E30" s="18" t="n">
        <v>41.6376292</v>
      </c>
      <c r="F30" s="20" t="n">
        <v>2.4508274</v>
      </c>
      <c r="G30" s="18" t="n">
        <v>43.34969548</v>
      </c>
      <c r="H30" s="20" t="n">
        <v>2.51956858</v>
      </c>
      <c r="I30" s="18" t="n">
        <v>0</v>
      </c>
      <c r="J30" s="20" t="n">
        <v>0</v>
      </c>
      <c r="K30" s="18" t="n">
        <v>0</v>
      </c>
      <c r="L30" s="20" t="n">
        <v>0</v>
      </c>
      <c r="M30" s="18" t="n">
        <v>0.1906963</v>
      </c>
      <c r="N30" s="20" t="n">
        <v>0.189663</v>
      </c>
      <c r="O30" s="18" t="n">
        <v>0</v>
      </c>
      <c r="P30" s="20" t="n">
        <v>0</v>
      </c>
      <c r="Q30" s="18" t="n">
        <v>14.82197902</v>
      </c>
      <c r="R30" s="20" t="n">
        <v>1.58939958</v>
      </c>
    </row>
    <row r="31" spans="1:18">
      <c r="A31" s="15" t="s">
        <v>589</v>
      </c>
      <c r="B31" s="17" t="n">
        <v>2706</v>
      </c>
      <c r="C31" s="18">
        <f>(2120.0/B31*100)</f>
        <v/>
      </c>
      <c r="D31" s="19" t="n">
        <v>586</v>
      </c>
      <c r="E31" s="18" t="n">
        <v>33.74822012</v>
      </c>
      <c r="F31" s="20" t="n">
        <v>1.93279816</v>
      </c>
      <c r="G31" s="18" t="n">
        <v>51.84828162</v>
      </c>
      <c r="H31" s="20" t="n">
        <v>2.08999762</v>
      </c>
      <c r="I31" s="18" t="n">
        <v>0</v>
      </c>
      <c r="J31" s="20" t="n">
        <v>0</v>
      </c>
      <c r="K31" s="18" t="n">
        <v>0.15733911</v>
      </c>
      <c r="L31" s="20" t="n">
        <v>0.15637673</v>
      </c>
      <c r="M31" s="18" t="n">
        <v>0.32549698</v>
      </c>
      <c r="N31" s="20" t="n">
        <v>0.21845749</v>
      </c>
      <c r="O31" s="18" t="n">
        <v>0</v>
      </c>
      <c r="P31" s="20" t="n">
        <v>0</v>
      </c>
      <c r="Q31" s="18" t="n">
        <v>13.92066217</v>
      </c>
      <c r="R31" s="20" t="n">
        <v>1.25674438</v>
      </c>
    </row>
    <row r="32" spans="1:18">
      <c r="A32" s="15" t="s">
        <v>590</v>
      </c>
      <c r="B32" s="17" t="n">
        <v>2209</v>
      </c>
      <c r="C32" s="18">
        <f>(1708.0/B32*100)</f>
        <v/>
      </c>
      <c r="D32" s="19" t="n">
        <v>501</v>
      </c>
      <c r="E32" s="18" t="n">
        <v>51.21096603</v>
      </c>
      <c r="F32" s="20" t="n">
        <v>2.65550838</v>
      </c>
      <c r="G32" s="18" t="n">
        <v>27.6837121</v>
      </c>
      <c r="H32" s="20" t="n">
        <v>1.9713234</v>
      </c>
      <c r="I32" s="18" t="n">
        <v>0</v>
      </c>
      <c r="J32" s="20" t="n">
        <v>0</v>
      </c>
      <c r="K32" s="18" t="n">
        <v>0</v>
      </c>
      <c r="L32" s="20" t="n">
        <v>0</v>
      </c>
      <c r="M32" s="18" t="n">
        <v>0.85117319</v>
      </c>
      <c r="N32" s="20" t="n">
        <v>0.90047511</v>
      </c>
      <c r="O32" s="18" t="n">
        <v>0</v>
      </c>
      <c r="P32" s="20" t="n">
        <v>0</v>
      </c>
      <c r="Q32" s="18" t="n">
        <v>20.25414867</v>
      </c>
      <c r="R32" s="20" t="n">
        <v>2.09983692</v>
      </c>
    </row>
    <row r="33" spans="1:18">
      <c r="A33" s="15" t="s">
        <v>591</v>
      </c>
      <c r="B33" s="17" t="n">
        <v>3651</v>
      </c>
      <c r="C33" s="18">
        <f>(2867.0/B33*100)</f>
        <v/>
      </c>
      <c r="D33" s="19" t="n">
        <v>784</v>
      </c>
      <c r="E33" s="18" t="n">
        <v>49.48635492</v>
      </c>
      <c r="F33" s="20" t="n">
        <v>2.16541089</v>
      </c>
      <c r="G33" s="18" t="n">
        <v>31.22234474</v>
      </c>
      <c r="H33" s="20" t="n">
        <v>2.04376704</v>
      </c>
      <c r="I33" s="18" t="n">
        <v>0</v>
      </c>
      <c r="J33" s="20" t="n">
        <v>0</v>
      </c>
      <c r="K33" s="18" t="n">
        <v>0</v>
      </c>
      <c r="L33" s="20" t="n">
        <v>0</v>
      </c>
      <c r="M33" s="18" t="n">
        <v>0.36509533</v>
      </c>
      <c r="N33" s="20" t="n">
        <v>0.21456308</v>
      </c>
      <c r="O33" s="18" t="n">
        <v>0</v>
      </c>
      <c r="P33" s="20" t="n">
        <v>0</v>
      </c>
      <c r="Q33" s="18" t="n">
        <v>18.92620501</v>
      </c>
      <c r="R33" s="20" t="n">
        <v>1.42631288</v>
      </c>
    </row>
    <row r="34" spans="1:18">
      <c r="A34" s="15" t="s">
        <v>592</v>
      </c>
      <c r="B34" s="17" t="n">
        <v>3035</v>
      </c>
      <c r="C34" s="18">
        <f>(2368.0/B34*100)</f>
        <v/>
      </c>
      <c r="D34" s="19" t="n">
        <v>667</v>
      </c>
      <c r="E34" s="18" t="n">
        <v>48.46989981</v>
      </c>
      <c r="F34" s="20" t="n">
        <v>1.85504985</v>
      </c>
      <c r="G34" s="18" t="n">
        <v>28.46079278</v>
      </c>
      <c r="H34" s="20" t="n">
        <v>1.5221018</v>
      </c>
      <c r="I34" s="18" t="n">
        <v>0</v>
      </c>
      <c r="J34" s="20" t="n">
        <v>0</v>
      </c>
      <c r="K34" s="18" t="n">
        <v>0</v>
      </c>
      <c r="L34" s="20" t="n">
        <v>0</v>
      </c>
      <c r="M34" s="18" t="n">
        <v>0.85065639</v>
      </c>
      <c r="N34" s="20" t="n">
        <v>0.54172069</v>
      </c>
      <c r="O34" s="18" t="n">
        <v>0</v>
      </c>
      <c r="P34" s="20" t="n">
        <v>0</v>
      </c>
      <c r="Q34" s="18" t="n">
        <v>22.21865102</v>
      </c>
      <c r="R34" s="20" t="n">
        <v>1.78034085</v>
      </c>
    </row>
    <row r="35" spans="1:18">
      <c r="A35" s="15" t="s">
        <v>593</v>
      </c>
      <c r="B35" s="17" t="n">
        <v>2901</v>
      </c>
      <c r="C35" s="18">
        <f>(2249.0/B35*100)</f>
        <v/>
      </c>
      <c r="D35" s="19" t="n">
        <v>652</v>
      </c>
      <c r="E35" s="18" t="n">
        <v>40.43067312</v>
      </c>
      <c r="F35" s="20" t="n">
        <v>2.31252222</v>
      </c>
      <c r="G35" s="18" t="n">
        <v>41.13075986</v>
      </c>
      <c r="H35" s="20" t="n">
        <v>2.73694307</v>
      </c>
      <c r="I35" s="18" t="n">
        <v>0</v>
      </c>
      <c r="J35" s="20" t="n">
        <v>0</v>
      </c>
      <c r="K35" s="18" t="n">
        <v>0.08378498</v>
      </c>
      <c r="L35" s="20" t="n">
        <v>0.08390822000000001</v>
      </c>
      <c r="M35" s="18" t="n">
        <v>0</v>
      </c>
      <c r="N35" s="20" t="n">
        <v>0</v>
      </c>
      <c r="O35" s="18" t="n">
        <v>0</v>
      </c>
      <c r="P35" s="20" t="n">
        <v>0</v>
      </c>
      <c r="Q35" s="18" t="n">
        <v>18.35478204</v>
      </c>
      <c r="R35" s="20" t="n">
        <v>1.9358914</v>
      </c>
    </row>
    <row r="36" spans="1:18">
      <c r="A36" s="15" t="s">
        <v>594</v>
      </c>
      <c r="B36" s="17" t="n">
        <v>3404</v>
      </c>
      <c r="C36" s="18">
        <f>(2669.0/B36*100)</f>
        <v/>
      </c>
      <c r="D36" s="19" t="n">
        <v>735</v>
      </c>
      <c r="E36" s="18" t="n">
        <v>48.56186037</v>
      </c>
      <c r="F36" s="20" t="n">
        <v>1.76797607</v>
      </c>
      <c r="G36" s="18" t="n">
        <v>28.77702539</v>
      </c>
      <c r="H36" s="20" t="n">
        <v>1.78813068</v>
      </c>
      <c r="I36" s="18" t="n">
        <v>0</v>
      </c>
      <c r="J36" s="20" t="n">
        <v>0</v>
      </c>
      <c r="K36" s="18" t="n">
        <v>0</v>
      </c>
      <c r="L36" s="20" t="n">
        <v>0</v>
      </c>
      <c r="M36" s="18" t="n">
        <v>0.39389847</v>
      </c>
      <c r="N36" s="20" t="n">
        <v>0.2256225</v>
      </c>
      <c r="O36" s="18" t="n">
        <v>0</v>
      </c>
      <c r="P36" s="20" t="n">
        <v>0</v>
      </c>
      <c r="Q36" s="18" t="n">
        <v>22.26721577</v>
      </c>
      <c r="R36" s="20" t="n">
        <v>1.53922425</v>
      </c>
    </row>
    <row r="37" spans="1:18">
      <c r="A37" s="15" t="s">
        <v>595</v>
      </c>
      <c r="B37" s="17" t="n">
        <v>2731</v>
      </c>
      <c r="C37" s="18">
        <f>(2114.0/B37*100)</f>
        <v/>
      </c>
      <c r="D37" s="19" t="n">
        <v>617</v>
      </c>
      <c r="E37" s="18" t="n">
        <v>40.84289878</v>
      </c>
      <c r="F37" s="20" t="n">
        <v>2.08755103</v>
      </c>
      <c r="G37" s="18" t="n">
        <v>31.83923316</v>
      </c>
      <c r="H37" s="20" t="n">
        <v>2.21570143</v>
      </c>
      <c r="I37" s="18" t="n">
        <v>0</v>
      </c>
      <c r="J37" s="20" t="n">
        <v>0</v>
      </c>
      <c r="K37" s="18" t="n">
        <v>0.48003494</v>
      </c>
      <c r="L37" s="20" t="n">
        <v>0.27525802</v>
      </c>
      <c r="M37" s="18" t="n">
        <v>0</v>
      </c>
      <c r="N37" s="20" t="n">
        <v>0</v>
      </c>
      <c r="O37" s="18" t="n">
        <v>0</v>
      </c>
      <c r="P37" s="20" t="n">
        <v>0</v>
      </c>
      <c r="Q37" s="18" t="n">
        <v>26.83783311</v>
      </c>
      <c r="R37" s="20" t="n">
        <v>2.03951153</v>
      </c>
    </row>
    <row r="38" spans="1:18">
      <c r="A38" s="15" t="s">
        <v>596</v>
      </c>
      <c r="B38" s="17" t="n">
        <v>2807</v>
      </c>
      <c r="C38" s="18">
        <f>(2148.0/B38*100)</f>
        <v/>
      </c>
      <c r="D38" s="19" t="n">
        <v>659</v>
      </c>
      <c r="E38" s="18" t="n">
        <v>38.24067383</v>
      </c>
      <c r="F38" s="20" t="n">
        <v>1.94075452</v>
      </c>
      <c r="G38" s="18" t="n">
        <v>38.34944749</v>
      </c>
      <c r="H38" s="20" t="n">
        <v>2.25840731</v>
      </c>
      <c r="I38" s="18" t="n">
        <v>0</v>
      </c>
      <c r="J38" s="20" t="n">
        <v>0</v>
      </c>
      <c r="K38" s="18" t="n">
        <v>0</v>
      </c>
      <c r="L38" s="20" t="n">
        <v>0</v>
      </c>
      <c r="M38" s="18" t="n">
        <v>2.22020195</v>
      </c>
      <c r="N38" s="20" t="n">
        <v>0.7165495</v>
      </c>
      <c r="O38" s="18" t="n">
        <v>0</v>
      </c>
      <c r="P38" s="20" t="n">
        <v>0</v>
      </c>
      <c r="Q38" s="18" t="n">
        <v>21.18967674</v>
      </c>
      <c r="R38" s="20" t="n">
        <v>1.80267236</v>
      </c>
    </row>
    <row r="39" spans="1:18">
      <c r="A39" s="15" t="s">
        <v>597</v>
      </c>
      <c r="B39" s="17" t="n">
        <v>2938</v>
      </c>
      <c r="C39" s="18">
        <f>(2289.0/B39*100)</f>
        <v/>
      </c>
      <c r="D39" s="19" t="n">
        <v>649</v>
      </c>
      <c r="E39" s="18" t="n">
        <v>45.1135593</v>
      </c>
      <c r="F39" s="20" t="n">
        <v>2.15027312</v>
      </c>
      <c r="G39" s="18" t="n">
        <v>36.10939186</v>
      </c>
      <c r="H39" s="20" t="n">
        <v>2.52398943</v>
      </c>
      <c r="I39" s="18" t="n">
        <v>0</v>
      </c>
      <c r="J39" s="20" t="n">
        <v>0</v>
      </c>
      <c r="K39" s="18" t="n">
        <v>0.1447273</v>
      </c>
      <c r="L39" s="20" t="n">
        <v>0.14442047</v>
      </c>
      <c r="M39" s="18" t="n">
        <v>0</v>
      </c>
      <c r="N39" s="20" t="n">
        <v>0</v>
      </c>
      <c r="O39" s="18" t="n">
        <v>0</v>
      </c>
      <c r="P39" s="20" t="n">
        <v>0</v>
      </c>
      <c r="Q39" s="18" t="n">
        <v>18.63232154</v>
      </c>
      <c r="R39" s="20" t="n">
        <v>1.56664396</v>
      </c>
    </row>
    <row r="40" spans="1:18">
      <c r="A40" s="15" t="s">
        <v>598</v>
      </c>
      <c r="B40" s="17" t="n">
        <v>6922</v>
      </c>
      <c r="C40" s="18">
        <f>(5365.0/B40*100)</f>
        <v/>
      </c>
      <c r="D40" s="19" t="n">
        <v>1557</v>
      </c>
      <c r="E40" s="18" t="n">
        <v>37.4797297</v>
      </c>
      <c r="F40" s="20" t="n">
        <v>2.05765502</v>
      </c>
      <c r="G40" s="18" t="n">
        <v>49.11246487</v>
      </c>
      <c r="H40" s="20" t="n">
        <v>2.21684173</v>
      </c>
      <c r="I40" s="18" t="n">
        <v>0</v>
      </c>
      <c r="J40" s="20" t="n">
        <v>0</v>
      </c>
      <c r="K40" s="18" t="n">
        <v>0.02684885</v>
      </c>
      <c r="L40" s="20" t="n">
        <v>0.01668662</v>
      </c>
      <c r="M40" s="18" t="n">
        <v>0</v>
      </c>
      <c r="N40" s="20" t="n">
        <v>0</v>
      </c>
      <c r="O40" s="18" t="n">
        <v>0</v>
      </c>
      <c r="P40" s="20" t="n">
        <v>0</v>
      </c>
      <c r="Q40" s="18" t="n">
        <v>13.38095658</v>
      </c>
      <c r="R40" s="20" t="n">
        <v>1.40167884</v>
      </c>
    </row>
    <row r="41" spans="1:18">
      <c r="A41" s="15" t="s">
        <v>599</v>
      </c>
      <c r="B41" s="17" t="n">
        <v>2854</v>
      </c>
      <c r="C41" s="18">
        <f>(2235.0/B41*100)</f>
        <v/>
      </c>
      <c r="D41" s="19" t="n">
        <v>619</v>
      </c>
      <c r="E41" s="18" t="n">
        <v>55.52725808</v>
      </c>
      <c r="F41" s="20" t="n">
        <v>1.73225331</v>
      </c>
      <c r="G41" s="18" t="n">
        <v>38.27321949</v>
      </c>
      <c r="H41" s="20" t="n">
        <v>1.86831422</v>
      </c>
      <c r="I41" s="18" t="n">
        <v>0</v>
      </c>
      <c r="J41" s="20" t="n">
        <v>0</v>
      </c>
      <c r="K41" s="18" t="n">
        <v>0</v>
      </c>
      <c r="L41" s="20" t="n">
        <v>0</v>
      </c>
      <c r="M41" s="18" t="n">
        <v>0</v>
      </c>
      <c r="N41" s="20" t="n">
        <v>0</v>
      </c>
      <c r="O41" s="18" t="n">
        <v>0</v>
      </c>
      <c r="P41" s="20" t="n">
        <v>0</v>
      </c>
      <c r="Q41" s="18" t="n">
        <v>6.19952244</v>
      </c>
      <c r="R41" s="20" t="n">
        <v>1.05590535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(9644.0/B46*100)</f>
        <v/>
      </c>
      <c r="D46" s="19" t="n">
        <v>2429</v>
      </c>
      <c r="E46" s="18" t="n">
        <v>57.40725188</v>
      </c>
      <c r="F46" s="20" t="n">
        <v>1.43046581</v>
      </c>
      <c r="G46" s="18" t="n">
        <v>11.08299221</v>
      </c>
      <c r="H46" s="20" t="n">
        <v>0.8702958</v>
      </c>
      <c r="I46" s="18" t="n">
        <v>0</v>
      </c>
      <c r="J46" s="20" t="n">
        <v>0</v>
      </c>
      <c r="K46" s="18" t="n">
        <v>0.36832972</v>
      </c>
      <c r="L46" s="20" t="n">
        <v>0.1480167</v>
      </c>
      <c r="M46" s="18" t="n">
        <v>0.3323546</v>
      </c>
      <c r="N46" s="20" t="n">
        <v>0.14906513</v>
      </c>
      <c r="O46" s="18" t="n">
        <v>0</v>
      </c>
      <c r="P46" s="20" t="n">
        <v>0</v>
      </c>
      <c r="Q46" s="18" t="n">
        <v>30.80907159</v>
      </c>
      <c r="R46" s="20" t="n">
        <v>1.34610456</v>
      </c>
    </row>
    <row r="47" spans="1:18">
      <c r="A47" s="15" t="s">
        <v>606</v>
      </c>
      <c r="B47" s="17" t="n">
        <v>2823</v>
      </c>
      <c r="C47" s="18">
        <f>(2208.0/B47*100)</f>
        <v/>
      </c>
      <c r="D47" s="19" t="n">
        <v>615</v>
      </c>
      <c r="E47" s="18" t="n">
        <v>38.41825747</v>
      </c>
      <c r="F47" s="20" t="n">
        <v>1.9013523</v>
      </c>
      <c r="G47" s="18" t="n">
        <v>28.61894578</v>
      </c>
      <c r="H47" s="20" t="n">
        <v>2.48564862</v>
      </c>
      <c r="I47" s="18" t="n">
        <v>0</v>
      </c>
      <c r="J47" s="20" t="n">
        <v>0</v>
      </c>
      <c r="K47" s="18" t="n">
        <v>0</v>
      </c>
      <c r="L47" s="20" t="n">
        <v>0</v>
      </c>
      <c r="M47" s="18" t="n">
        <v>0.3246765</v>
      </c>
      <c r="N47" s="20" t="n">
        <v>0.22570387</v>
      </c>
      <c r="O47" s="18" t="n">
        <v>0</v>
      </c>
      <c r="P47" s="20" t="n">
        <v>0</v>
      </c>
      <c r="Q47" s="18" t="n">
        <v>32.63812025</v>
      </c>
      <c r="R47" s="20" t="n">
        <v>2.38527742</v>
      </c>
    </row>
    <row r="48" spans="1:18">
      <c r="A48" s="15" t="s">
        <v>607</v>
      </c>
      <c r="B48" s="17" t="n">
        <v>4682</v>
      </c>
      <c r="C48" s="18">
        <f>(3611.0/B48*100)</f>
        <v/>
      </c>
      <c r="D48" s="19" t="n">
        <v>1071</v>
      </c>
      <c r="E48" s="18" t="n">
        <v>57.95645159</v>
      </c>
      <c r="F48" s="20" t="n">
        <v>2.30789207</v>
      </c>
      <c r="G48" s="18" t="n">
        <v>28.95927687</v>
      </c>
      <c r="H48" s="20" t="n">
        <v>2.15682876</v>
      </c>
      <c r="I48" s="18" t="n">
        <v>0</v>
      </c>
      <c r="J48" s="20" t="n">
        <v>0</v>
      </c>
      <c r="K48" s="18" t="n">
        <v>0.09156259</v>
      </c>
      <c r="L48" s="20" t="n">
        <v>0.07073901</v>
      </c>
      <c r="M48" s="18" t="n">
        <v>0</v>
      </c>
      <c r="N48" s="20" t="n">
        <v>0</v>
      </c>
      <c r="O48" s="18" t="n">
        <v>0</v>
      </c>
      <c r="P48" s="20" t="n">
        <v>0</v>
      </c>
      <c r="Q48" s="18" t="n">
        <v>12.99270896</v>
      </c>
      <c r="R48" s="20" t="n">
        <v>1.54630506</v>
      </c>
    </row>
    <row r="49" spans="1:18">
      <c r="A49" s="15" t="s">
        <v>608</v>
      </c>
      <c r="B49" s="17" t="n">
        <v>6158</v>
      </c>
      <c r="C49" s="18">
        <f>(4829.0/B49*100)</f>
        <v/>
      </c>
      <c r="D49" s="19" t="n">
        <v>1329</v>
      </c>
      <c r="E49" s="18" t="n">
        <v>80.81020164</v>
      </c>
      <c r="F49" s="20" t="n">
        <v>1.42913143</v>
      </c>
      <c r="G49" s="18" t="n">
        <v>7.27929104</v>
      </c>
      <c r="H49" s="20" t="n">
        <v>0.85833438</v>
      </c>
      <c r="I49" s="18" t="n">
        <v>0</v>
      </c>
      <c r="J49" s="20" t="n">
        <v>0</v>
      </c>
      <c r="K49" s="18" t="n">
        <v>0.63821326</v>
      </c>
      <c r="L49" s="20" t="n">
        <v>0.2238925</v>
      </c>
      <c r="M49" s="18" t="n">
        <v>0.03963666</v>
      </c>
      <c r="N49" s="20" t="n">
        <v>0.02823801</v>
      </c>
      <c r="O49" s="18" t="n">
        <v>0</v>
      </c>
      <c r="P49" s="20" t="n">
        <v>0</v>
      </c>
      <c r="Q49" s="18" t="n">
        <v>11.23265741</v>
      </c>
      <c r="R49" s="20" t="n">
        <v>1.07915549</v>
      </c>
    </row>
    <row r="50" spans="1:18">
      <c r="A50" s="15" t="s">
        <v>609</v>
      </c>
      <c r="B50" s="17" t="n">
        <v>3494</v>
      </c>
      <c r="C50" s="18">
        <f>(2825.0/B50*100)</f>
        <v/>
      </c>
      <c r="D50" s="19" t="n">
        <v>669</v>
      </c>
      <c r="E50" s="18" t="n">
        <v>69.26014696</v>
      </c>
      <c r="F50" s="20" t="n">
        <v>2.13095686</v>
      </c>
      <c r="G50" s="18" t="n">
        <v>6.8167245</v>
      </c>
      <c r="H50" s="20" t="n">
        <v>1.1441239</v>
      </c>
      <c r="I50" s="18" t="n">
        <v>0</v>
      </c>
      <c r="J50" s="20" t="n">
        <v>0</v>
      </c>
      <c r="K50" s="18" t="n">
        <v>0</v>
      </c>
      <c r="L50" s="20" t="n">
        <v>0</v>
      </c>
      <c r="M50" s="18" t="n">
        <v>0</v>
      </c>
      <c r="N50" s="20" t="n">
        <v>0</v>
      </c>
      <c r="O50" s="18" t="n">
        <v>0</v>
      </c>
      <c r="P50" s="20" t="n">
        <v>0</v>
      </c>
      <c r="Q50" s="18" t="n">
        <v>23.92312854</v>
      </c>
      <c r="R50" s="20" t="n">
        <v>1.82048158</v>
      </c>
    </row>
    <row r="51" spans="1:18">
      <c r="A51" s="15" t="s">
        <v>610</v>
      </c>
      <c r="B51" s="17" t="n">
        <v>3013</v>
      </c>
      <c r="C51" s="18">
        <f>(2347.0/B51*100)</f>
        <v/>
      </c>
      <c r="D51" s="19" t="n">
        <v>666</v>
      </c>
      <c r="E51" s="18" t="n">
        <v>40.77282051</v>
      </c>
      <c r="F51" s="20" t="n">
        <v>1.62990583</v>
      </c>
      <c r="G51" s="18" t="n">
        <v>28.17275921</v>
      </c>
      <c r="H51" s="20" t="n">
        <v>1.77174616</v>
      </c>
      <c r="I51" s="18" t="n">
        <v>0</v>
      </c>
      <c r="J51" s="20" t="n">
        <v>0</v>
      </c>
      <c r="K51" s="18" t="n">
        <v>0</v>
      </c>
      <c r="L51" s="20" t="n">
        <v>0</v>
      </c>
      <c r="M51" s="18" t="n">
        <v>0</v>
      </c>
      <c r="N51" s="20" t="n">
        <v>0</v>
      </c>
      <c r="O51" s="18" t="n">
        <v>0</v>
      </c>
      <c r="P51" s="20" t="n">
        <v>0</v>
      </c>
      <c r="Q51" s="18" t="n">
        <v>31.05442028</v>
      </c>
      <c r="R51" s="20" t="n">
        <v>1.68499923</v>
      </c>
    </row>
    <row r="52" spans="1:18">
      <c r="A52" s="15" t="s">
        <v>611</v>
      </c>
      <c r="B52" s="17" t="n">
        <v>2760</v>
      </c>
      <c r="C52" s="18">
        <f>(2170.0/B52*100)</f>
        <v/>
      </c>
      <c r="D52" s="19" t="n">
        <v>590</v>
      </c>
      <c r="E52" s="18" t="n">
        <v>57.16886645</v>
      </c>
      <c r="F52" s="20" t="n">
        <v>2.08048178</v>
      </c>
      <c r="G52" s="18" t="n">
        <v>13.51792708</v>
      </c>
      <c r="H52" s="20" t="n">
        <v>1.50597781</v>
      </c>
      <c r="I52" s="18" t="n">
        <v>0</v>
      </c>
      <c r="J52" s="20" t="n">
        <v>0</v>
      </c>
      <c r="K52" s="18" t="n">
        <v>0</v>
      </c>
      <c r="L52" s="20" t="n">
        <v>0</v>
      </c>
      <c r="M52" s="18" t="n">
        <v>0</v>
      </c>
      <c r="N52" s="20" t="n">
        <v>0</v>
      </c>
      <c r="O52" s="18" t="n">
        <v>0</v>
      </c>
      <c r="P52" s="20" t="n">
        <v>0</v>
      </c>
      <c r="Q52" s="18" t="n">
        <v>29.31320648</v>
      </c>
      <c r="R52" s="20" t="n">
        <v>2.2850876</v>
      </c>
    </row>
    <row r="53" spans="1:18">
      <c r="A53" s="15" t="s">
        <v>612</v>
      </c>
      <c r="B53" s="17" t="n">
        <v>2474</v>
      </c>
      <c r="C53" s="18">
        <f>(1939.0/B53*100)</f>
        <v/>
      </c>
      <c r="D53" s="19" t="n">
        <v>535</v>
      </c>
      <c r="E53" s="18" t="n">
        <v>56.58962385</v>
      </c>
      <c r="F53" s="20" t="n">
        <v>2.14057059</v>
      </c>
      <c r="G53" s="18" t="n">
        <v>3.04109183</v>
      </c>
      <c r="H53" s="20" t="n">
        <v>1.17866951</v>
      </c>
      <c r="I53" s="18" t="n">
        <v>0</v>
      </c>
      <c r="J53" s="20" t="n">
        <v>0</v>
      </c>
      <c r="K53" s="18" t="n">
        <v>5.15481235</v>
      </c>
      <c r="L53" s="20" t="n">
        <v>1.25542303</v>
      </c>
      <c r="M53" s="18" t="n">
        <v>1.16005427</v>
      </c>
      <c r="N53" s="20" t="n">
        <v>0.94004755</v>
      </c>
      <c r="O53" s="18" t="n">
        <v>0</v>
      </c>
      <c r="P53" s="20" t="n">
        <v>0</v>
      </c>
      <c r="Q53" s="18" t="n">
        <v>34.0544177</v>
      </c>
      <c r="R53" s="20" t="n">
        <v>1.89319098</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(2105.0/B55*100)</f>
        <v/>
      </c>
      <c r="D55" s="19" t="n">
        <v>570</v>
      </c>
      <c r="E55" s="18" t="n">
        <v>58.94945178</v>
      </c>
      <c r="F55" s="20" t="n">
        <v>2.0102575</v>
      </c>
      <c r="G55" s="18" t="n">
        <v>34.24317824</v>
      </c>
      <c r="H55" s="20" t="n">
        <v>2.02469936</v>
      </c>
      <c r="I55" s="18" t="n">
        <v>0</v>
      </c>
      <c r="J55" s="20" t="n">
        <v>0</v>
      </c>
      <c r="K55" s="18" t="n">
        <v>0.18846506</v>
      </c>
      <c r="L55" s="20" t="n">
        <v>0.18645257</v>
      </c>
      <c r="M55" s="18" t="n">
        <v>0</v>
      </c>
      <c r="N55" s="20" t="n">
        <v>0</v>
      </c>
      <c r="O55" s="18" t="n">
        <v>0</v>
      </c>
      <c r="P55" s="20" t="n">
        <v>0</v>
      </c>
      <c r="Q55" s="18" t="n">
        <v>6.61890492</v>
      </c>
      <c r="R55" s="20" t="n">
        <v>1.07303872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(2508.0/B61*100)</f>
        <v/>
      </c>
      <c r="D61" s="19" t="n">
        <v>693</v>
      </c>
      <c r="E61" s="18" t="n">
        <v>54.78095436</v>
      </c>
      <c r="F61" s="20" t="n">
        <v>2.24474243</v>
      </c>
      <c r="G61" s="18" t="n">
        <v>31.56092617</v>
      </c>
      <c r="H61" s="20" t="n">
        <v>2.02186882</v>
      </c>
      <c r="I61" s="18" t="n">
        <v>0</v>
      </c>
      <c r="J61" s="20" t="n">
        <v>0</v>
      </c>
      <c r="K61" s="18" t="n">
        <v>0.1838046</v>
      </c>
      <c r="L61" s="20" t="n">
        <v>0.19072568</v>
      </c>
      <c r="M61" s="18" t="n">
        <v>0.17262219</v>
      </c>
      <c r="N61" s="20" t="n">
        <v>0.17103676</v>
      </c>
      <c r="O61" s="18" t="n">
        <v>0</v>
      </c>
      <c r="P61" s="20" t="n">
        <v>0</v>
      </c>
      <c r="Q61" s="18" t="n">
        <v>13.30169267</v>
      </c>
      <c r="R61" s="20" t="n">
        <v>1.34802385</v>
      </c>
    </row>
    <row r="62" spans="1:18">
      <c r="A62" s="15" t="s">
        <v>622</v>
      </c>
      <c r="B62" s="17" t="n">
        <v>2230</v>
      </c>
      <c r="C62" s="18">
        <f>(1704.0/B62*100)</f>
        <v/>
      </c>
      <c r="D62" s="19" t="n">
        <v>526</v>
      </c>
      <c r="E62" s="18" t="n">
        <v>67.75581975</v>
      </c>
      <c r="F62" s="20" t="n">
        <v>2.11841926</v>
      </c>
      <c r="G62" s="18" t="n">
        <v>27.84716044</v>
      </c>
      <c r="H62" s="20" t="n">
        <v>2.08320199</v>
      </c>
      <c r="I62" s="18" t="n">
        <v>0</v>
      </c>
      <c r="J62" s="20" t="n">
        <v>0</v>
      </c>
      <c r="K62" s="18" t="n">
        <v>0</v>
      </c>
      <c r="L62" s="20" t="n">
        <v>0</v>
      </c>
      <c r="M62" s="18" t="n">
        <v>0</v>
      </c>
      <c r="N62" s="20" t="n">
        <v>0</v>
      </c>
      <c r="O62" s="18" t="n">
        <v>0</v>
      </c>
      <c r="P62" s="20" t="n">
        <v>0</v>
      </c>
      <c r="Q62" s="18" t="n">
        <v>4.39701981</v>
      </c>
      <c r="R62" s="20" t="n">
        <v>0.85074077</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(2183.0/B67*100)</f>
        <v/>
      </c>
      <c r="D67" s="19" t="n">
        <v>588</v>
      </c>
      <c r="E67" s="18" t="n">
        <v>35.46399784</v>
      </c>
      <c r="F67" s="20" t="n">
        <v>1.95291099</v>
      </c>
      <c r="G67" s="18" t="n">
        <v>24.61615191</v>
      </c>
      <c r="H67" s="20" t="n">
        <v>1.71999565</v>
      </c>
      <c r="I67" s="18" t="n">
        <v>0</v>
      </c>
      <c r="J67" s="20" t="n">
        <v>0</v>
      </c>
      <c r="K67" s="18" t="n">
        <v>0</v>
      </c>
      <c r="L67" s="20" t="n">
        <v>0</v>
      </c>
      <c r="M67" s="18" t="n">
        <v>0.18586006</v>
      </c>
      <c r="N67" s="20" t="n">
        <v>0.1868862</v>
      </c>
      <c r="O67" s="18" t="n">
        <v>0</v>
      </c>
      <c r="P67" s="20" t="n">
        <v>0</v>
      </c>
      <c r="Q67" s="18" t="n">
        <v>39.73399018</v>
      </c>
      <c r="R67" s="20" t="n">
        <v>1.68279428</v>
      </c>
    </row>
    <row r="68" spans="1:18">
      <c r="A68" s="15" t="s">
        <v>628</v>
      </c>
      <c r="B68" s="17" t="n">
        <v>3460</v>
      </c>
      <c r="C68" s="18">
        <f>(2721.0/B68*100)</f>
        <v/>
      </c>
      <c r="D68" s="19" t="n">
        <v>739</v>
      </c>
      <c r="E68" s="18" t="n">
        <v>76.45713566000001</v>
      </c>
      <c r="F68" s="20" t="n">
        <v>1.51403462</v>
      </c>
      <c r="G68" s="18" t="n">
        <v>2.41145516</v>
      </c>
      <c r="H68" s="20" t="n">
        <v>0.6431061300000001</v>
      </c>
      <c r="I68" s="18" t="n">
        <v>0</v>
      </c>
      <c r="J68" s="20" t="n">
        <v>0</v>
      </c>
      <c r="K68" s="18" t="n">
        <v>0.14524207</v>
      </c>
      <c r="L68" s="20" t="n">
        <v>0.14552442</v>
      </c>
      <c r="M68" s="18" t="n">
        <v>0.40169922</v>
      </c>
      <c r="N68" s="20" t="n">
        <v>0.2285352</v>
      </c>
      <c r="O68" s="18" t="n">
        <v>0</v>
      </c>
      <c r="P68" s="20" t="n">
        <v>0</v>
      </c>
      <c r="Q68" s="18" t="n">
        <v>20.58446789</v>
      </c>
      <c r="R68" s="20" t="n">
        <v>1.57228685</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(4717.0/B70*100)</f>
        <v/>
      </c>
      <c r="D70" s="19" t="n">
        <v>1317</v>
      </c>
      <c r="E70" s="18" t="n">
        <v>70.81783741</v>
      </c>
      <c r="F70" s="20" t="n">
        <v>1.28952595</v>
      </c>
      <c r="G70" s="18" t="n">
        <v>12.30911545</v>
      </c>
      <c r="H70" s="20" t="n">
        <v>0.91344591</v>
      </c>
      <c r="I70" s="18" t="n">
        <v>0</v>
      </c>
      <c r="J70" s="20" t="n">
        <v>0</v>
      </c>
      <c r="K70" s="18" t="n">
        <v>0.59902857</v>
      </c>
      <c r="L70" s="20" t="n">
        <v>0.20844629</v>
      </c>
      <c r="M70" s="18" t="n">
        <v>0</v>
      </c>
      <c r="N70" s="20" t="n">
        <v>0</v>
      </c>
      <c r="O70" s="18" t="n">
        <v>0</v>
      </c>
      <c r="P70" s="20" t="n">
        <v>0</v>
      </c>
      <c r="Q70" s="18" t="n">
        <v>16.27401856</v>
      </c>
      <c r="R70" s="20" t="n">
        <v>1.21957687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(2408.0/B72*100)</f>
        <v/>
      </c>
      <c r="D72" s="19" t="n">
        <v>699</v>
      </c>
      <c r="E72" s="18" t="n">
        <v>64.57773398</v>
      </c>
      <c r="F72" s="20" t="n">
        <v>2.18318553</v>
      </c>
      <c r="G72" s="18" t="n">
        <v>16.21520113</v>
      </c>
      <c r="H72" s="20" t="n">
        <v>1.75643503</v>
      </c>
      <c r="I72" s="18" t="n">
        <v>0</v>
      </c>
      <c r="J72" s="20" t="n">
        <v>0</v>
      </c>
      <c r="K72" s="18" t="n">
        <v>0</v>
      </c>
      <c r="L72" s="20" t="n">
        <v>0</v>
      </c>
      <c r="M72" s="18" t="n">
        <v>0</v>
      </c>
      <c r="N72" s="20" t="n">
        <v>0</v>
      </c>
      <c r="O72" s="18" t="n">
        <v>0</v>
      </c>
      <c r="P72" s="20" t="n">
        <v>0</v>
      </c>
      <c r="Q72" s="18" t="n">
        <v>19.20706489</v>
      </c>
      <c r="R72" s="20" t="n">
        <v>1.63766383</v>
      </c>
    </row>
    <row r="73" spans="1:18">
      <c r="A73" s="15" t="s">
        <v>633</v>
      </c>
      <c r="B73" s="17" t="n">
        <v>2973</v>
      </c>
      <c r="C73" s="18">
        <f>(2297.0/B73*100)</f>
        <v/>
      </c>
      <c r="D73" s="19" t="n">
        <v>676</v>
      </c>
      <c r="E73" s="18" t="n">
        <v>45.95467432</v>
      </c>
      <c r="F73" s="20" t="n">
        <v>2.01444647</v>
      </c>
      <c r="G73" s="18" t="n">
        <v>48.48235487</v>
      </c>
      <c r="H73" s="20" t="n">
        <v>2.08104342</v>
      </c>
      <c r="I73" s="18" t="n">
        <v>0</v>
      </c>
      <c r="J73" s="20" t="n">
        <v>0</v>
      </c>
      <c r="K73" s="18" t="n">
        <v>0.31953292</v>
      </c>
      <c r="L73" s="20" t="n">
        <v>0.22764429</v>
      </c>
      <c r="M73" s="18" t="n">
        <v>0.2076348</v>
      </c>
      <c r="N73" s="20" t="n">
        <v>0.20801655</v>
      </c>
      <c r="O73" s="18" t="n">
        <v>0</v>
      </c>
      <c r="P73" s="20" t="n">
        <v>0</v>
      </c>
      <c r="Q73" s="18" t="n">
        <v>5.03580309</v>
      </c>
      <c r="R73" s="20" t="n">
        <v>0.92986861</v>
      </c>
    </row>
    <row r="74" spans="1:18">
      <c r="A74" s="15" t="s">
        <v>634</v>
      </c>
      <c r="B74" s="17" t="n">
        <v>3819</v>
      </c>
      <c r="C74" s="18">
        <f>(2939.0/B74*100)</f>
        <v/>
      </c>
      <c r="D74" s="19" t="n">
        <v>880</v>
      </c>
      <c r="E74" s="18" t="n">
        <v>69.44415468</v>
      </c>
      <c r="F74" s="20" t="n">
        <v>1.50064198</v>
      </c>
      <c r="G74" s="18" t="n">
        <v>20.56277138</v>
      </c>
      <c r="H74" s="20" t="n">
        <v>1.3282852</v>
      </c>
      <c r="I74" s="18" t="n">
        <v>0</v>
      </c>
      <c r="J74" s="20" t="n">
        <v>0</v>
      </c>
      <c r="K74" s="18" t="n">
        <v>0</v>
      </c>
      <c r="L74" s="20" t="n">
        <v>0</v>
      </c>
      <c r="M74" s="18" t="n">
        <v>0</v>
      </c>
      <c r="N74" s="20" t="n">
        <v>0</v>
      </c>
      <c r="O74" s="18" t="n">
        <v>0</v>
      </c>
      <c r="P74" s="20" t="n">
        <v>0</v>
      </c>
      <c r="Q74" s="18" t="n">
        <v>9.99307394</v>
      </c>
      <c r="R74" s="20" t="n">
        <v>1.16233559</v>
      </c>
    </row>
    <row r="75" spans="1:18">
      <c r="A75" s="15" t="s">
        <v>635</v>
      </c>
      <c r="B75" s="17" t="n">
        <v>4652</v>
      </c>
      <c r="C75" s="18">
        <f>(3622.0/B75*100)</f>
        <v/>
      </c>
      <c r="D75" s="19" t="n">
        <v>1030</v>
      </c>
      <c r="E75" s="18" t="n">
        <v>90.25233895</v>
      </c>
      <c r="F75" s="20" t="n">
        <v>1.03342147</v>
      </c>
      <c r="G75" s="18" t="n">
        <v>5.54400127</v>
      </c>
      <c r="H75" s="20" t="n">
        <v>0.78053079</v>
      </c>
      <c r="I75" s="18" t="n">
        <v>0</v>
      </c>
      <c r="J75" s="20" t="n">
        <v>0</v>
      </c>
      <c r="K75" s="18" t="n">
        <v>0</v>
      </c>
      <c r="L75" s="20" t="n">
        <v>0</v>
      </c>
      <c r="M75" s="18" t="n">
        <v>0.5445078</v>
      </c>
      <c r="N75" s="20" t="n">
        <v>0.4248287</v>
      </c>
      <c r="O75" s="18" t="n">
        <v>0</v>
      </c>
      <c r="P75" s="20" t="n">
        <v>0</v>
      </c>
      <c r="Q75" s="18" t="n">
        <v>3.65915197</v>
      </c>
      <c r="R75" s="20" t="n">
        <v>0.7264406799999999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(2362.0/B77*100)</f>
        <v/>
      </c>
      <c r="D77" s="19" t="n">
        <v>607</v>
      </c>
      <c r="E77" s="18" t="n">
        <v>50.44614567</v>
      </c>
      <c r="F77" s="20" t="n">
        <v>2.16634094</v>
      </c>
      <c r="G77" s="18" t="n">
        <v>9.792203260000001</v>
      </c>
      <c r="H77" s="20" t="n">
        <v>1.21384431</v>
      </c>
      <c r="I77" s="18" t="n">
        <v>0</v>
      </c>
      <c r="J77" s="20" t="n">
        <v>0</v>
      </c>
      <c r="K77" s="18" t="n">
        <v>0.90816246</v>
      </c>
      <c r="L77" s="20" t="n">
        <v>0.36628531</v>
      </c>
      <c r="M77" s="18" t="n">
        <v>1.01309405</v>
      </c>
      <c r="N77" s="20" t="n">
        <v>0.3996607</v>
      </c>
      <c r="O77" s="18" t="n">
        <v>0</v>
      </c>
      <c r="P77" s="20" t="n">
        <v>0</v>
      </c>
      <c r="Q77" s="18" t="n">
        <v>37.84039455</v>
      </c>
      <c r="R77" s="20" t="n">
        <v>2.05343062</v>
      </c>
    </row>
    <row r="78" spans="1:18">
      <c r="A78" s="15" t="s">
        <v>638</v>
      </c>
      <c r="B78" s="17" t="n">
        <v>7115</v>
      </c>
      <c r="C78" s="18">
        <f>(5557.0/B78*100)</f>
        <v/>
      </c>
      <c r="D78" s="19" t="n">
        <v>1558</v>
      </c>
      <c r="E78" s="18" t="n">
        <v>73.76568498</v>
      </c>
      <c r="F78" s="20" t="n">
        <v>1.4416732</v>
      </c>
      <c r="G78" s="18" t="n">
        <v>19.12640801</v>
      </c>
      <c r="H78" s="20" t="n">
        <v>1.21198373</v>
      </c>
      <c r="I78" s="18" t="n">
        <v>0</v>
      </c>
      <c r="J78" s="20" t="n">
        <v>0</v>
      </c>
      <c r="K78" s="18" t="n">
        <v>0.07030886</v>
      </c>
      <c r="L78" s="20" t="n">
        <v>0.05904605</v>
      </c>
      <c r="M78" s="18" t="n">
        <v>0.14383444</v>
      </c>
      <c r="N78" s="20" t="n">
        <v>0.08948779</v>
      </c>
      <c r="O78" s="18" t="n">
        <v>0</v>
      </c>
      <c r="P78" s="20" t="n">
        <v>0</v>
      </c>
      <c r="Q78" s="18" t="n">
        <v>6.89376372</v>
      </c>
      <c r="R78" s="20" t="n">
        <v>0.92877294</v>
      </c>
    </row>
    <row r="79" spans="1:18">
      <c r="A79" s="15" t="s">
        <v>639</v>
      </c>
      <c r="B79" s="17" t="n">
        <v>3154</v>
      </c>
      <c r="C79" s="18">
        <f>(2477.0/B79*100)</f>
        <v/>
      </c>
      <c r="D79" s="19" t="n">
        <v>677</v>
      </c>
      <c r="E79" s="18" t="n">
        <v>42.09266317</v>
      </c>
      <c r="F79" s="20" t="n">
        <v>1.87233203</v>
      </c>
      <c r="G79" s="18" t="n">
        <v>12.56859545</v>
      </c>
      <c r="H79" s="20" t="n">
        <v>1.4266069</v>
      </c>
      <c r="I79" s="18" t="n">
        <v>0</v>
      </c>
      <c r="J79" s="20" t="n">
        <v>0</v>
      </c>
      <c r="K79" s="18" t="n">
        <v>0.37385361</v>
      </c>
      <c r="L79" s="20" t="n">
        <v>0.26255399</v>
      </c>
      <c r="M79" s="18" t="n">
        <v>0</v>
      </c>
      <c r="N79" s="20" t="n">
        <v>0</v>
      </c>
      <c r="O79" s="18" t="n">
        <v>0</v>
      </c>
      <c r="P79" s="20" t="n">
        <v>0</v>
      </c>
      <c r="Q79" s="18" t="n">
        <v>44.96488776</v>
      </c>
      <c r="R79" s="20" t="n">
        <v>1.81419082</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(12411.0/B82*100)</f>
        <v/>
      </c>
      <c r="D82" s="19" t="n">
        <v>3550</v>
      </c>
      <c r="E82" s="18" t="n">
        <v>47.77238435</v>
      </c>
      <c r="F82" s="20" t="n">
        <v>1.21000131</v>
      </c>
      <c r="G82" s="18" t="n">
        <v>29.88834713</v>
      </c>
      <c r="H82" s="20" t="n">
        <v>1.22381987</v>
      </c>
      <c r="I82" s="18" t="n">
        <v>0</v>
      </c>
      <c r="J82" s="20" t="n">
        <v>0</v>
      </c>
      <c r="K82" s="18" t="n">
        <v>0.0190435</v>
      </c>
      <c r="L82" s="20" t="n">
        <v>0.01524137</v>
      </c>
      <c r="M82" s="18" t="n">
        <v>0.25050499</v>
      </c>
      <c r="N82" s="20" t="n">
        <v>0.14434325</v>
      </c>
      <c r="O82" s="18" t="n">
        <v>0</v>
      </c>
      <c r="P82" s="20" t="n">
        <v>0</v>
      </c>
      <c r="Q82" s="18" t="n">
        <v>22.06972002</v>
      </c>
      <c r="R82" s="20" t="n">
        <v>1.06317483</v>
      </c>
    </row>
    <row r="83" spans="1:18">
      <c r="A83" s="15" t="s">
        <v>643</v>
      </c>
      <c r="B83" s="17" t="n">
        <v>808</v>
      </c>
      <c r="C83" s="18">
        <f>(624.0/B83*100)</f>
        <v/>
      </c>
      <c r="D83" s="19" t="n">
        <v>184</v>
      </c>
      <c r="E83" s="18" t="n">
        <v>59.08767708</v>
      </c>
      <c r="F83" s="20" t="n">
        <v>4.00749363</v>
      </c>
      <c r="G83" s="18" t="n">
        <v>37.1026512</v>
      </c>
      <c r="H83" s="20" t="n">
        <v>4.02489217</v>
      </c>
      <c r="I83" s="18" t="n">
        <v>0</v>
      </c>
      <c r="J83" s="20" t="n">
        <v>0</v>
      </c>
      <c r="K83" s="18" t="n">
        <v>0</v>
      </c>
      <c r="L83" s="20" t="n">
        <v>0</v>
      </c>
      <c r="M83" s="18" t="n">
        <v>0</v>
      </c>
      <c r="N83" s="20" t="n">
        <v>0</v>
      </c>
      <c r="O83" s="18" t="n">
        <v>0</v>
      </c>
      <c r="P83" s="20" t="n">
        <v>0</v>
      </c>
      <c r="Q83" s="18" t="n">
        <v>3.80967172</v>
      </c>
      <c r="R83" s="20" t="n">
        <v>1.38529547</v>
      </c>
    </row>
    <row r="84" spans="1:18">
      <c r="A84" s="23" t="s">
        <v>644</v>
      </c>
      <c r="B84" s="24" t="n">
        <v>938</v>
      </c>
      <c r="C84" s="25">
        <f>(739.0/B84*100)</f>
        <v/>
      </c>
      <c r="D84" s="19" t="n">
        <v>199</v>
      </c>
      <c r="E84" s="18" t="n">
        <v>59.12863702</v>
      </c>
      <c r="F84" s="20" t="n">
        <v>2.78217023</v>
      </c>
      <c r="G84" s="18" t="n">
        <v>37.37964575</v>
      </c>
      <c r="H84" s="20" t="n">
        <v>3.34677418</v>
      </c>
      <c r="I84" s="18" t="n">
        <v>0</v>
      </c>
      <c r="J84" s="20" t="n">
        <v>0</v>
      </c>
      <c r="K84" s="18" t="n">
        <v>0</v>
      </c>
      <c r="L84" s="20" t="n">
        <v>0</v>
      </c>
      <c r="M84" s="18" t="n">
        <v>0</v>
      </c>
      <c r="N84" s="20" t="n">
        <v>0</v>
      </c>
      <c r="O84" s="18" t="n">
        <v>0</v>
      </c>
      <c r="P84" s="20" t="n">
        <v>0</v>
      </c>
      <c r="Q84" s="18" t="n">
        <v>3.49171723</v>
      </c>
      <c r="R84" s="20" t="n">
        <v>1.55344168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(5594.0/B7*100)</f>
        <v/>
      </c>
      <c r="D7" s="19" t="n">
        <v>1569</v>
      </c>
      <c r="E7" s="18" t="n">
        <v>69.71229901</v>
      </c>
      <c r="F7" s="20" t="n">
        <v>1.19226105</v>
      </c>
      <c r="G7" s="18" t="n">
        <v>29.06338741</v>
      </c>
      <c r="H7" s="20" t="n">
        <v>1.25075364</v>
      </c>
      <c r="I7" s="18" t="n">
        <v>0</v>
      </c>
      <c r="J7" s="20" t="n">
        <v>0</v>
      </c>
      <c r="K7" s="18" t="n">
        <v>0.1835166</v>
      </c>
      <c r="L7" s="20" t="n">
        <v>0.1653402</v>
      </c>
      <c r="M7" s="18" t="n">
        <v>0</v>
      </c>
      <c r="N7" s="20" t="n">
        <v>0</v>
      </c>
      <c r="O7" s="18" t="n">
        <v>0</v>
      </c>
      <c r="P7" s="20" t="n">
        <v>0</v>
      </c>
      <c r="Q7" s="18" t="n">
        <v>1.04079698</v>
      </c>
      <c r="R7" s="20" t="n">
        <v>0.31608942</v>
      </c>
    </row>
    <row r="8" spans="1:18">
      <c r="A8" s="15" t="s">
        <v>566</v>
      </c>
      <c r="B8" s="17" t="n">
        <v>3443</v>
      </c>
      <c r="C8" s="18">
        <f>(2666.0/B8*100)</f>
        <v/>
      </c>
      <c r="D8" s="19" t="n">
        <v>777</v>
      </c>
      <c r="E8" s="18" t="n">
        <v>52.62731514</v>
      </c>
      <c r="F8" s="20" t="n">
        <v>1.88183535</v>
      </c>
      <c r="G8" s="18" t="n">
        <v>46.08404108</v>
      </c>
      <c r="H8" s="20" t="n">
        <v>1.91087049</v>
      </c>
      <c r="I8" s="18" t="n">
        <v>0</v>
      </c>
      <c r="J8" s="20" t="n">
        <v>0</v>
      </c>
      <c r="K8" s="18" t="n">
        <v>0</v>
      </c>
      <c r="L8" s="20" t="n">
        <v>0</v>
      </c>
      <c r="M8" s="18" t="n">
        <v>0</v>
      </c>
      <c r="N8" s="20" t="n">
        <v>0</v>
      </c>
      <c r="O8" s="18" t="n">
        <v>0</v>
      </c>
      <c r="P8" s="20" t="n">
        <v>0</v>
      </c>
      <c r="Q8" s="18" t="n">
        <v>1.28864378</v>
      </c>
      <c r="R8" s="20" t="n">
        <v>0.49081149</v>
      </c>
    </row>
    <row r="9" spans="1:18">
      <c r="A9" s="15" t="s">
        <v>567</v>
      </c>
      <c r="B9" s="17" t="n">
        <v>4752</v>
      </c>
      <c r="C9" s="18">
        <f>(3723.0/B9*100)</f>
        <v/>
      </c>
      <c r="D9" s="19" t="n">
        <v>1029</v>
      </c>
      <c r="E9" s="18" t="n">
        <v>54.89759611</v>
      </c>
      <c r="F9" s="20" t="n">
        <v>1.9519017</v>
      </c>
      <c r="G9" s="18" t="n">
        <v>43.23619196</v>
      </c>
      <c r="H9" s="20" t="n">
        <v>1.9064122</v>
      </c>
      <c r="I9" s="18" t="n">
        <v>0</v>
      </c>
      <c r="J9" s="20" t="n">
        <v>0</v>
      </c>
      <c r="K9" s="18" t="n">
        <v>0.21946986</v>
      </c>
      <c r="L9" s="20" t="n">
        <v>0.15987153</v>
      </c>
      <c r="M9" s="18" t="n">
        <v>0</v>
      </c>
      <c r="N9" s="20" t="n">
        <v>0</v>
      </c>
      <c r="O9" s="18" t="n">
        <v>0</v>
      </c>
      <c r="P9" s="20" t="n">
        <v>0</v>
      </c>
      <c r="Q9" s="18" t="n">
        <v>1.64674206</v>
      </c>
      <c r="R9" s="20" t="n">
        <v>0.48310307</v>
      </c>
    </row>
    <row r="10" spans="1:18">
      <c r="A10" s="15" t="s">
        <v>568</v>
      </c>
      <c r="B10" s="17" t="n">
        <v>10022</v>
      </c>
      <c r="C10" s="18">
        <f>(7818.0/B10*100)</f>
        <v/>
      </c>
      <c r="D10" s="19" t="n">
        <v>2204</v>
      </c>
      <c r="E10" s="18" t="n">
        <v>54.0127123</v>
      </c>
      <c r="F10" s="20" t="n">
        <v>1.51412594</v>
      </c>
      <c r="G10" s="18" t="n">
        <v>44.67392599</v>
      </c>
      <c r="H10" s="20" t="n">
        <v>1.52043308</v>
      </c>
      <c r="I10" s="18" t="n">
        <v>0</v>
      </c>
      <c r="J10" s="20" t="n">
        <v>0</v>
      </c>
      <c r="K10" s="18" t="n">
        <v>0.17578447</v>
      </c>
      <c r="L10" s="20" t="n">
        <v>0.16987828</v>
      </c>
      <c r="M10" s="18" t="n">
        <v>0</v>
      </c>
      <c r="N10" s="20" t="n">
        <v>0</v>
      </c>
      <c r="O10" s="18" t="n">
        <v>0</v>
      </c>
      <c r="P10" s="20" t="n">
        <v>0</v>
      </c>
      <c r="Q10" s="18" t="n">
        <v>1.13757725</v>
      </c>
      <c r="R10" s="20" t="n">
        <v>0.31761455</v>
      </c>
    </row>
    <row r="11" spans="1:18">
      <c r="A11" s="15" t="s">
        <v>569</v>
      </c>
      <c r="B11" s="17" t="n">
        <v>3500</v>
      </c>
      <c r="C11" s="18">
        <f>(2753.0/B11*100)</f>
        <v/>
      </c>
      <c r="D11" s="19" t="n">
        <v>747</v>
      </c>
      <c r="E11" s="18" t="n">
        <v>73.30614545</v>
      </c>
      <c r="F11" s="20" t="n">
        <v>1.94308629</v>
      </c>
      <c r="G11" s="18" t="n">
        <v>24.14886953</v>
      </c>
      <c r="H11" s="20" t="n">
        <v>1.83633972</v>
      </c>
      <c r="I11" s="18" t="n">
        <v>0</v>
      </c>
      <c r="J11" s="20" t="n">
        <v>0</v>
      </c>
      <c r="K11" s="18" t="n">
        <v>0.44604566</v>
      </c>
      <c r="L11" s="20" t="n">
        <v>0.2752386</v>
      </c>
      <c r="M11" s="18" t="n">
        <v>0</v>
      </c>
      <c r="N11" s="20" t="n">
        <v>0</v>
      </c>
      <c r="O11" s="18" t="n">
        <v>0</v>
      </c>
      <c r="P11" s="20" t="n">
        <v>0</v>
      </c>
      <c r="Q11" s="18" t="n">
        <v>2.09893936</v>
      </c>
      <c r="R11" s="20" t="n">
        <v>0.56719816</v>
      </c>
    </row>
    <row r="12" spans="1:18">
      <c r="A12" s="15" t="s">
        <v>570</v>
      </c>
      <c r="B12" s="17" t="n">
        <v>3422</v>
      </c>
      <c r="C12" s="18">
        <f>(2672.0/B12*100)</f>
        <v/>
      </c>
      <c r="D12" s="19" t="n">
        <v>750</v>
      </c>
      <c r="E12" s="18" t="n">
        <v>52.94718006</v>
      </c>
      <c r="F12" s="20" t="n">
        <v>2.21562965</v>
      </c>
      <c r="G12" s="18" t="n">
        <v>46.29961904</v>
      </c>
      <c r="H12" s="20" t="n">
        <v>2.25883495</v>
      </c>
      <c r="I12" s="18" t="n">
        <v>0</v>
      </c>
      <c r="J12" s="20" t="n">
        <v>0</v>
      </c>
      <c r="K12" s="18" t="n">
        <v>0</v>
      </c>
      <c r="L12" s="20" t="n">
        <v>0</v>
      </c>
      <c r="M12" s="18" t="n">
        <v>0</v>
      </c>
      <c r="N12" s="20" t="n">
        <v>0</v>
      </c>
      <c r="O12" s="18" t="n">
        <v>0</v>
      </c>
      <c r="P12" s="20" t="n">
        <v>0</v>
      </c>
      <c r="Q12" s="18" t="n">
        <v>0.7532009</v>
      </c>
      <c r="R12" s="20" t="n">
        <v>0.32686783</v>
      </c>
    </row>
    <row r="13" spans="1:18">
      <c r="A13" s="15" t="s">
        <v>571</v>
      </c>
      <c r="B13" s="17" t="n">
        <v>3602</v>
      </c>
      <c r="C13" s="18">
        <f>(2822.0/B13*100)</f>
        <v/>
      </c>
      <c r="D13" s="19" t="n">
        <v>780</v>
      </c>
      <c r="E13" s="18" t="n">
        <v>48.42553507</v>
      </c>
      <c r="F13" s="20" t="n">
        <v>2.11144453</v>
      </c>
      <c r="G13" s="18" t="n">
        <v>51.13352096</v>
      </c>
      <c r="H13" s="20" t="n">
        <v>2.13342419</v>
      </c>
      <c r="I13" s="18" t="n">
        <v>0</v>
      </c>
      <c r="J13" s="20" t="n">
        <v>0</v>
      </c>
      <c r="K13" s="18" t="n">
        <v>0</v>
      </c>
      <c r="L13" s="20" t="n">
        <v>0</v>
      </c>
      <c r="M13" s="18" t="n">
        <v>0</v>
      </c>
      <c r="N13" s="20" t="n">
        <v>0</v>
      </c>
      <c r="O13" s="18" t="n">
        <v>0</v>
      </c>
      <c r="P13" s="20" t="n">
        <v>0</v>
      </c>
      <c r="Q13" s="18" t="n">
        <v>0.44094397</v>
      </c>
      <c r="R13" s="20" t="n">
        <v>0.15693288</v>
      </c>
    </row>
    <row r="14" spans="1:18">
      <c r="A14" s="15" t="s">
        <v>572</v>
      </c>
      <c r="B14" s="17" t="n">
        <v>2788</v>
      </c>
      <c r="C14" s="18">
        <f>(2182.0/B14*100)</f>
        <v/>
      </c>
      <c r="D14" s="19" t="n">
        <v>606</v>
      </c>
      <c r="E14" s="18" t="n">
        <v>53.04399653</v>
      </c>
      <c r="F14" s="20" t="n">
        <v>2.2308143</v>
      </c>
      <c r="G14" s="18" t="n">
        <v>46.46580824</v>
      </c>
      <c r="H14" s="20" t="n">
        <v>2.31672157</v>
      </c>
      <c r="I14" s="18" t="n">
        <v>0</v>
      </c>
      <c r="J14" s="20" t="n">
        <v>0</v>
      </c>
      <c r="K14" s="18" t="n">
        <v>0</v>
      </c>
      <c r="L14" s="20" t="n">
        <v>0</v>
      </c>
      <c r="M14" s="18" t="n">
        <v>0</v>
      </c>
      <c r="N14" s="20" t="n">
        <v>0</v>
      </c>
      <c r="O14" s="18" t="n">
        <v>0</v>
      </c>
      <c r="P14" s="20" t="n">
        <v>0</v>
      </c>
      <c r="Q14" s="18" t="n">
        <v>0.49019523</v>
      </c>
      <c r="R14" s="20" t="n">
        <v>0.38386037</v>
      </c>
    </row>
    <row r="15" spans="1:18">
      <c r="A15" s="15" t="s">
        <v>573</v>
      </c>
      <c r="B15" s="17" t="n">
        <v>2863</v>
      </c>
      <c r="C15" s="18">
        <f>(2222.0/B15*100)</f>
        <v/>
      </c>
      <c r="D15" s="19" t="n">
        <v>641</v>
      </c>
      <c r="E15" s="18" t="n">
        <v>49.1133265</v>
      </c>
      <c r="F15" s="20" t="n">
        <v>1.96197752</v>
      </c>
      <c r="G15" s="18" t="n">
        <v>49.65509978</v>
      </c>
      <c r="H15" s="20" t="n">
        <v>1.90821992</v>
      </c>
      <c r="I15" s="18" t="n">
        <v>0</v>
      </c>
      <c r="J15" s="20" t="n">
        <v>0</v>
      </c>
      <c r="K15" s="18" t="n">
        <v>0</v>
      </c>
      <c r="L15" s="20" t="n">
        <v>0</v>
      </c>
      <c r="M15" s="18" t="n">
        <v>0</v>
      </c>
      <c r="N15" s="20" t="n">
        <v>0</v>
      </c>
      <c r="O15" s="18" t="n">
        <v>0</v>
      </c>
      <c r="P15" s="20" t="n">
        <v>0</v>
      </c>
      <c r="Q15" s="18" t="n">
        <v>1.23157373</v>
      </c>
      <c r="R15" s="20" t="n">
        <v>0.43240462</v>
      </c>
    </row>
    <row r="16" spans="1:18">
      <c r="A16" s="15" t="s">
        <v>574</v>
      </c>
      <c r="B16" s="17" t="n">
        <v>3111</v>
      </c>
      <c r="C16" s="18">
        <f>(2408.0/B16*100)</f>
        <v/>
      </c>
      <c r="D16" s="19" t="n">
        <v>703</v>
      </c>
      <c r="E16" s="18" t="n">
        <v>45.2043728</v>
      </c>
      <c r="F16" s="20" t="n">
        <v>2.05522379</v>
      </c>
      <c r="G16" s="18" t="n">
        <v>53.03799252</v>
      </c>
      <c r="H16" s="20" t="n">
        <v>1.99129605</v>
      </c>
      <c r="I16" s="18" t="n">
        <v>0</v>
      </c>
      <c r="J16" s="20" t="n">
        <v>0</v>
      </c>
      <c r="K16" s="18" t="n">
        <v>0.19146741</v>
      </c>
      <c r="L16" s="20" t="n">
        <v>0.35444057</v>
      </c>
      <c r="M16" s="18" t="n">
        <v>0</v>
      </c>
      <c r="N16" s="20" t="n">
        <v>0</v>
      </c>
      <c r="O16" s="18" t="n">
        <v>0</v>
      </c>
      <c r="P16" s="20" t="n">
        <v>0</v>
      </c>
      <c r="Q16" s="18" t="n">
        <v>1.56616727</v>
      </c>
      <c r="R16" s="20" t="n">
        <v>0.42160015</v>
      </c>
    </row>
    <row r="17" spans="1:18">
      <c r="A17" s="15" t="s">
        <v>575</v>
      </c>
      <c r="B17" s="17" t="n">
        <v>3197</v>
      </c>
      <c r="C17" s="18">
        <f>(2489.0/B17*100)</f>
        <v/>
      </c>
      <c r="D17" s="19" t="n">
        <v>708</v>
      </c>
      <c r="E17" s="18" t="n">
        <v>52.02425229</v>
      </c>
      <c r="F17" s="20" t="n">
        <v>1.84171665</v>
      </c>
      <c r="G17" s="18" t="n">
        <v>46.60919437</v>
      </c>
      <c r="H17" s="20" t="n">
        <v>1.78130487</v>
      </c>
      <c r="I17" s="18" t="n">
        <v>0</v>
      </c>
      <c r="J17" s="20" t="n">
        <v>0</v>
      </c>
      <c r="K17" s="18" t="n">
        <v>0</v>
      </c>
      <c r="L17" s="20" t="n">
        <v>0</v>
      </c>
      <c r="M17" s="18" t="n">
        <v>0</v>
      </c>
      <c r="N17" s="20" t="n">
        <v>0</v>
      </c>
      <c r="O17" s="18" t="n">
        <v>0</v>
      </c>
      <c r="P17" s="20" t="n">
        <v>0</v>
      </c>
      <c r="Q17" s="18" t="n">
        <v>1.36655333</v>
      </c>
      <c r="R17" s="20" t="n">
        <v>0.49480191</v>
      </c>
    </row>
    <row r="18" spans="1:18">
      <c r="A18" s="15" t="s">
        <v>576</v>
      </c>
      <c r="B18" s="17" t="n">
        <v>2706</v>
      </c>
      <c r="C18" s="18">
        <f>(2085.0/B18*100)</f>
        <v/>
      </c>
      <c r="D18" s="19" t="n">
        <v>621</v>
      </c>
      <c r="E18" s="18" t="n">
        <v>61.04695825</v>
      </c>
      <c r="F18" s="20" t="n">
        <v>2.19096761</v>
      </c>
      <c r="G18" s="18" t="n">
        <v>37.35674724</v>
      </c>
      <c r="H18" s="20" t="n">
        <v>2.12851079</v>
      </c>
      <c r="I18" s="18" t="n">
        <v>0</v>
      </c>
      <c r="J18" s="20" t="n">
        <v>0</v>
      </c>
      <c r="K18" s="18" t="n">
        <v>0.26458689</v>
      </c>
      <c r="L18" s="20" t="n">
        <v>0.26005387</v>
      </c>
      <c r="M18" s="18" t="n">
        <v>0</v>
      </c>
      <c r="N18" s="20" t="n">
        <v>0</v>
      </c>
      <c r="O18" s="18" t="n">
        <v>0</v>
      </c>
      <c r="P18" s="20" t="n">
        <v>0</v>
      </c>
      <c r="Q18" s="18" t="n">
        <v>1.33170763</v>
      </c>
      <c r="R18" s="20" t="n">
        <v>0.46696008</v>
      </c>
    </row>
    <row r="19" spans="1:18">
      <c r="A19" s="15" t="s">
        <v>577</v>
      </c>
      <c r="B19" s="17" t="n">
        <v>2850</v>
      </c>
      <c r="C19" s="18">
        <f>(2223.0/B19*100)</f>
        <v/>
      </c>
      <c r="D19" s="19" t="n">
        <v>627</v>
      </c>
      <c r="E19" s="18" t="n">
        <v>74.17908924</v>
      </c>
      <c r="F19" s="20" t="n">
        <v>1.81458854</v>
      </c>
      <c r="G19" s="18" t="n">
        <v>25.21784958</v>
      </c>
      <c r="H19" s="20" t="n">
        <v>1.82908858</v>
      </c>
      <c r="I19" s="18" t="n">
        <v>0</v>
      </c>
      <c r="J19" s="20" t="n">
        <v>0</v>
      </c>
      <c r="K19" s="18" t="n">
        <v>0</v>
      </c>
      <c r="L19" s="20" t="n">
        <v>0</v>
      </c>
      <c r="M19" s="18" t="n">
        <v>0</v>
      </c>
      <c r="N19" s="20" t="n">
        <v>0</v>
      </c>
      <c r="O19" s="18" t="n">
        <v>0</v>
      </c>
      <c r="P19" s="20" t="n">
        <v>0</v>
      </c>
      <c r="Q19" s="18" t="n">
        <v>0.60306117</v>
      </c>
      <c r="R19" s="20" t="n">
        <v>0.3260456</v>
      </c>
    </row>
    <row r="20" spans="1:18">
      <c r="A20" s="15" t="s">
        <v>578</v>
      </c>
      <c r="B20" s="17" t="n">
        <v>1741</v>
      </c>
      <c r="C20" s="18">
        <f>(1364.0/B20*100)</f>
        <v/>
      </c>
      <c r="D20" s="19" t="n">
        <v>377</v>
      </c>
      <c r="E20" s="18" t="n">
        <v>73.24617588</v>
      </c>
      <c r="F20" s="20" t="n">
        <v>2.55364168</v>
      </c>
      <c r="G20" s="18" t="n">
        <v>25.70658356</v>
      </c>
      <c r="H20" s="20" t="n">
        <v>2.44622016</v>
      </c>
      <c r="I20" s="18" t="n">
        <v>0</v>
      </c>
      <c r="J20" s="20" t="n">
        <v>0</v>
      </c>
      <c r="K20" s="18" t="n">
        <v>0.26193306</v>
      </c>
      <c r="L20" s="20" t="n">
        <v>0.26439859</v>
      </c>
      <c r="M20" s="18" t="n">
        <v>0</v>
      </c>
      <c r="N20" s="20" t="n">
        <v>0</v>
      </c>
      <c r="O20" s="18" t="n">
        <v>0</v>
      </c>
      <c r="P20" s="20" t="n">
        <v>0</v>
      </c>
      <c r="Q20" s="18" t="n">
        <v>0.7853075</v>
      </c>
      <c r="R20" s="20" t="n">
        <v>0.45132279</v>
      </c>
    </row>
    <row r="21" spans="1:18">
      <c r="A21" s="15" t="s">
        <v>579</v>
      </c>
      <c r="B21" s="17" t="n">
        <v>2833</v>
      </c>
      <c r="C21" s="18">
        <f>(2213.0/B21*100)</f>
        <v/>
      </c>
      <c r="D21" s="19" t="n">
        <v>620</v>
      </c>
      <c r="E21" s="18" t="n">
        <v>67.6142098</v>
      </c>
      <c r="F21" s="20" t="n">
        <v>2.07374655</v>
      </c>
      <c r="G21" s="18" t="n">
        <v>31.74357707</v>
      </c>
      <c r="H21" s="20" t="n">
        <v>2.03857747</v>
      </c>
      <c r="I21" s="18" t="n">
        <v>0</v>
      </c>
      <c r="J21" s="20" t="n">
        <v>0</v>
      </c>
      <c r="K21" s="18" t="n">
        <v>0</v>
      </c>
      <c r="L21" s="20" t="n">
        <v>0</v>
      </c>
      <c r="M21" s="18" t="n">
        <v>0</v>
      </c>
      <c r="N21" s="20" t="n">
        <v>0</v>
      </c>
      <c r="O21" s="18" t="n">
        <v>0</v>
      </c>
      <c r="P21" s="20" t="n">
        <v>0</v>
      </c>
      <c r="Q21" s="18" t="n">
        <v>0.64221313</v>
      </c>
      <c r="R21" s="20" t="n">
        <v>0.31722879</v>
      </c>
    </row>
    <row r="22" spans="1:18">
      <c r="A22" s="15" t="s">
        <v>580</v>
      </c>
      <c r="B22" s="17" t="n">
        <v>3667</v>
      </c>
      <c r="C22" s="18">
        <f>(3007.0/B22*100)</f>
        <v/>
      </c>
      <c r="D22" s="19" t="n">
        <v>660</v>
      </c>
      <c r="E22" s="18" t="n">
        <v>67.11016239</v>
      </c>
      <c r="F22" s="20" t="n">
        <v>1.82307547</v>
      </c>
      <c r="G22" s="18" t="n">
        <v>31.30858817</v>
      </c>
      <c r="H22" s="20" t="n">
        <v>1.76138465</v>
      </c>
      <c r="I22" s="18" t="n">
        <v>0</v>
      </c>
      <c r="J22" s="20" t="n">
        <v>0</v>
      </c>
      <c r="K22" s="18" t="n">
        <v>0.16565677</v>
      </c>
      <c r="L22" s="20" t="n">
        <v>0.17265745</v>
      </c>
      <c r="M22" s="18" t="n">
        <v>0</v>
      </c>
      <c r="N22" s="20" t="n">
        <v>0</v>
      </c>
      <c r="O22" s="18" t="n">
        <v>0</v>
      </c>
      <c r="P22" s="20" t="n">
        <v>0</v>
      </c>
      <c r="Q22" s="18" t="n">
        <v>1.41559267</v>
      </c>
      <c r="R22" s="20" t="n">
        <v>0.47235488</v>
      </c>
    </row>
    <row r="23" spans="1:18">
      <c r="A23" s="15" t="s">
        <v>581</v>
      </c>
      <c r="B23" s="17" t="n">
        <v>5792</v>
      </c>
      <c r="C23" s="18">
        <f>(4487.0/B23*100)</f>
        <v/>
      </c>
      <c r="D23" s="19" t="n">
        <v>1305</v>
      </c>
      <c r="E23" s="18" t="n">
        <v>57.86666072</v>
      </c>
      <c r="F23" s="20" t="n">
        <v>1.96466687</v>
      </c>
      <c r="G23" s="18" t="n">
        <v>40.70576568</v>
      </c>
      <c r="H23" s="20" t="n">
        <v>2.05023091</v>
      </c>
      <c r="I23" s="18" t="n">
        <v>0</v>
      </c>
      <c r="J23" s="20" t="n">
        <v>0</v>
      </c>
      <c r="K23" s="18" t="n">
        <v>0.23119644</v>
      </c>
      <c r="L23" s="20" t="n">
        <v>0.18654033</v>
      </c>
      <c r="M23" s="18" t="n">
        <v>0</v>
      </c>
      <c r="N23" s="20" t="n">
        <v>0</v>
      </c>
      <c r="O23" s="18" t="n">
        <v>0</v>
      </c>
      <c r="P23" s="20" t="n">
        <v>0</v>
      </c>
      <c r="Q23" s="18" t="n">
        <v>1.19637716</v>
      </c>
      <c r="R23" s="20" t="n">
        <v>0.39480967</v>
      </c>
    </row>
    <row r="24" spans="1:18">
      <c r="A24" s="15" t="s">
        <v>582</v>
      </c>
      <c r="B24" s="17" t="n">
        <v>3309</v>
      </c>
      <c r="C24" s="18">
        <f>(2586.0/B24*100)</f>
        <v/>
      </c>
      <c r="D24" s="19" t="n">
        <v>723</v>
      </c>
      <c r="E24" s="18" t="n">
        <v>49.74189828</v>
      </c>
      <c r="F24" s="20" t="n">
        <v>1.77392939</v>
      </c>
      <c r="G24" s="18" t="n">
        <v>49.9594284</v>
      </c>
      <c r="H24" s="20" t="n">
        <v>1.80321543</v>
      </c>
      <c r="I24" s="18" t="n">
        <v>0</v>
      </c>
      <c r="J24" s="20" t="n">
        <v>0</v>
      </c>
      <c r="K24" s="18" t="n">
        <v>0.16543863</v>
      </c>
      <c r="L24" s="20" t="n">
        <v>0.15441833</v>
      </c>
      <c r="M24" s="18" t="n">
        <v>0</v>
      </c>
      <c r="N24" s="20" t="n">
        <v>0</v>
      </c>
      <c r="O24" s="18" t="n">
        <v>0</v>
      </c>
      <c r="P24" s="20" t="n">
        <v>0</v>
      </c>
      <c r="Q24" s="18" t="n">
        <v>0.1332347</v>
      </c>
      <c r="R24" s="20" t="n">
        <v>0.13377371</v>
      </c>
    </row>
    <row r="25" spans="1:18">
      <c r="A25" s="15" t="s">
        <v>583</v>
      </c>
      <c r="B25" s="17" t="n">
        <v>2669</v>
      </c>
      <c r="C25" s="18">
        <f>(2069.0/B25*100)</f>
        <v/>
      </c>
      <c r="D25" s="19" t="n">
        <v>600</v>
      </c>
      <c r="E25" s="18" t="n">
        <v>52.37935456</v>
      </c>
      <c r="F25" s="20" t="n">
        <v>1.81887424</v>
      </c>
      <c r="G25" s="18" t="n">
        <v>46.81227754</v>
      </c>
      <c r="H25" s="20" t="n">
        <v>1.89685954</v>
      </c>
      <c r="I25" s="18" t="n">
        <v>0</v>
      </c>
      <c r="J25" s="20" t="n">
        <v>0</v>
      </c>
      <c r="K25" s="18" t="n">
        <v>0.16496877</v>
      </c>
      <c r="L25" s="20" t="n">
        <v>0.16490759</v>
      </c>
      <c r="M25" s="18" t="n">
        <v>0</v>
      </c>
      <c r="N25" s="20" t="n">
        <v>0</v>
      </c>
      <c r="O25" s="18" t="n">
        <v>0</v>
      </c>
      <c r="P25" s="20" t="n">
        <v>0</v>
      </c>
      <c r="Q25" s="18" t="n">
        <v>0.64339914</v>
      </c>
      <c r="R25" s="20" t="n">
        <v>0.31026264</v>
      </c>
    </row>
    <row r="26" spans="1:18">
      <c r="A26" s="15" t="s">
        <v>584</v>
      </c>
      <c r="B26" s="17" t="n">
        <v>2419</v>
      </c>
      <c r="C26" s="18">
        <f>(1861.0/B26*100)</f>
        <v/>
      </c>
      <c r="D26" s="19" t="n">
        <v>558</v>
      </c>
      <c r="E26" s="18" t="n">
        <v>55.60257892</v>
      </c>
      <c r="F26" s="20" t="n">
        <v>2.22555956</v>
      </c>
      <c r="G26" s="18" t="n">
        <v>44.39742108</v>
      </c>
      <c r="H26" s="20" t="n">
        <v>2.22555956</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(2095.0/B27*100)</f>
        <v/>
      </c>
      <c r="D27" s="19" t="n">
        <v>588</v>
      </c>
      <c r="E27" s="18" t="n">
        <v>57.59870743</v>
      </c>
      <c r="F27" s="20" t="n">
        <v>1.98810942</v>
      </c>
      <c r="G27" s="18" t="n">
        <v>41.37913393</v>
      </c>
      <c r="H27" s="20" t="n">
        <v>2.01895676</v>
      </c>
      <c r="I27" s="18" t="n">
        <v>0</v>
      </c>
      <c r="J27" s="20" t="n">
        <v>0</v>
      </c>
      <c r="K27" s="18" t="n">
        <v>0.16840354</v>
      </c>
      <c r="L27" s="20" t="n">
        <v>0.16837791</v>
      </c>
      <c r="M27" s="18" t="n">
        <v>0</v>
      </c>
      <c r="N27" s="20" t="n">
        <v>0</v>
      </c>
      <c r="O27" s="18" t="n">
        <v>0</v>
      </c>
      <c r="P27" s="20" t="n">
        <v>0</v>
      </c>
      <c r="Q27" s="18" t="n">
        <v>0.8537551</v>
      </c>
      <c r="R27" s="20" t="n">
        <v>0.38546439</v>
      </c>
    </row>
    <row r="28" spans="1:18">
      <c r="A28" s="15" t="s">
        <v>586</v>
      </c>
      <c r="B28" s="17" t="n">
        <v>3803</v>
      </c>
      <c r="C28" s="18">
        <f>(3012.0/B28*100)</f>
        <v/>
      </c>
      <c r="D28" s="19" t="n">
        <v>791</v>
      </c>
      <c r="E28" s="18" t="n">
        <v>76.49160069</v>
      </c>
      <c r="F28" s="20" t="n">
        <v>1.66239388</v>
      </c>
      <c r="G28" s="18" t="n">
        <v>22.82159544</v>
      </c>
      <c r="H28" s="20" t="n">
        <v>1.65847637</v>
      </c>
      <c r="I28" s="18" t="n">
        <v>0</v>
      </c>
      <c r="J28" s="20" t="n">
        <v>0</v>
      </c>
      <c r="K28" s="18" t="n">
        <v>0.43900712</v>
      </c>
      <c r="L28" s="20" t="n">
        <v>0.33637886</v>
      </c>
      <c r="M28" s="18" t="n">
        <v>0</v>
      </c>
      <c r="N28" s="20" t="n">
        <v>0</v>
      </c>
      <c r="O28" s="18" t="n">
        <v>0</v>
      </c>
      <c r="P28" s="20" t="n">
        <v>0</v>
      </c>
      <c r="Q28" s="18" t="n">
        <v>0.24779674</v>
      </c>
      <c r="R28" s="20" t="n">
        <v>0.17436498</v>
      </c>
    </row>
    <row r="29" spans="1:18">
      <c r="A29" s="15" t="s">
        <v>587</v>
      </c>
      <c r="B29" s="17" t="n">
        <v>2700</v>
      </c>
      <c r="C29" s="18">
        <f>(2097.0/B29*100)</f>
        <v/>
      </c>
      <c r="D29" s="19" t="n">
        <v>603</v>
      </c>
      <c r="E29" s="18" t="n">
        <v>51.74003009</v>
      </c>
      <c r="F29" s="20" t="n">
        <v>2.4162976</v>
      </c>
      <c r="G29" s="18" t="n">
        <v>48.12676502</v>
      </c>
      <c r="H29" s="20" t="n">
        <v>2.41557975</v>
      </c>
      <c r="I29" s="18" t="n">
        <v>0</v>
      </c>
      <c r="J29" s="20" t="n">
        <v>0</v>
      </c>
      <c r="K29" s="18" t="n">
        <v>0</v>
      </c>
      <c r="L29" s="20" t="n">
        <v>0</v>
      </c>
      <c r="M29" s="18" t="n">
        <v>0</v>
      </c>
      <c r="N29" s="20" t="n">
        <v>0</v>
      </c>
      <c r="O29" s="18" t="n">
        <v>0</v>
      </c>
      <c r="P29" s="20" t="n">
        <v>0</v>
      </c>
      <c r="Q29" s="18" t="n">
        <v>0.13320489</v>
      </c>
      <c r="R29" s="20" t="n">
        <v>0.1367406</v>
      </c>
    </row>
    <row r="30" spans="1:18">
      <c r="A30" s="15" t="s">
        <v>588</v>
      </c>
      <c r="B30" s="17" t="n">
        <v>2257</v>
      </c>
      <c r="C30" s="18">
        <f>(1771.0/B30*100)</f>
        <v/>
      </c>
      <c r="D30" s="19" t="n">
        <v>486</v>
      </c>
      <c r="E30" s="18" t="n">
        <v>60.40260311</v>
      </c>
      <c r="F30" s="20" t="n">
        <v>1.89711746</v>
      </c>
      <c r="G30" s="18" t="n">
        <v>36.94693965</v>
      </c>
      <c r="H30" s="20" t="n">
        <v>1.99310334</v>
      </c>
      <c r="I30" s="18" t="n">
        <v>0</v>
      </c>
      <c r="J30" s="20" t="n">
        <v>0</v>
      </c>
      <c r="K30" s="18" t="n">
        <v>0</v>
      </c>
      <c r="L30" s="20" t="n">
        <v>0</v>
      </c>
      <c r="M30" s="18" t="n">
        <v>0</v>
      </c>
      <c r="N30" s="20" t="n">
        <v>0</v>
      </c>
      <c r="O30" s="18" t="n">
        <v>0</v>
      </c>
      <c r="P30" s="20" t="n">
        <v>0</v>
      </c>
      <c r="Q30" s="18" t="n">
        <v>2.65045724</v>
      </c>
      <c r="R30" s="20" t="n">
        <v>0.83005261</v>
      </c>
    </row>
    <row r="31" spans="1:18">
      <c r="A31" s="15" t="s">
        <v>589</v>
      </c>
      <c r="B31" s="17" t="n">
        <v>2706</v>
      </c>
      <c r="C31" s="18">
        <f>(2120.0/B31*100)</f>
        <v/>
      </c>
      <c r="D31" s="19" t="n">
        <v>586</v>
      </c>
      <c r="E31" s="18" t="n">
        <v>58.01006719</v>
      </c>
      <c r="F31" s="20" t="n">
        <v>2.57916037</v>
      </c>
      <c r="G31" s="18" t="n">
        <v>41.31589094</v>
      </c>
      <c r="H31" s="20" t="n">
        <v>2.541937</v>
      </c>
      <c r="I31" s="18" t="n">
        <v>0</v>
      </c>
      <c r="J31" s="20" t="n">
        <v>0</v>
      </c>
      <c r="K31" s="18" t="n">
        <v>0.15733911</v>
      </c>
      <c r="L31" s="20" t="n">
        <v>0.15637673</v>
      </c>
      <c r="M31" s="18" t="n">
        <v>0</v>
      </c>
      <c r="N31" s="20" t="n">
        <v>0</v>
      </c>
      <c r="O31" s="18" t="n">
        <v>0</v>
      </c>
      <c r="P31" s="20" t="n">
        <v>0</v>
      </c>
      <c r="Q31" s="18" t="n">
        <v>0.51670276</v>
      </c>
      <c r="R31" s="20" t="n">
        <v>0.2942323</v>
      </c>
    </row>
    <row r="32" spans="1:18">
      <c r="A32" s="15" t="s">
        <v>590</v>
      </c>
      <c r="B32" s="17" t="n">
        <v>2209</v>
      </c>
      <c r="C32" s="18">
        <f>(1708.0/B32*100)</f>
        <v/>
      </c>
      <c r="D32" s="19" t="n">
        <v>501</v>
      </c>
      <c r="E32" s="18" t="n">
        <v>52.49006564</v>
      </c>
      <c r="F32" s="20" t="n">
        <v>2.69015764</v>
      </c>
      <c r="G32" s="18" t="n">
        <v>47.50993436</v>
      </c>
      <c r="H32" s="20" t="n">
        <v>2.69015764</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(2867.0/B33*100)</f>
        <v/>
      </c>
      <c r="D33" s="19" t="n">
        <v>784</v>
      </c>
      <c r="E33" s="18" t="n">
        <v>60.18503132</v>
      </c>
      <c r="F33" s="20" t="n">
        <v>1.95600714</v>
      </c>
      <c r="G33" s="18" t="n">
        <v>39.40571766</v>
      </c>
      <c r="H33" s="20" t="n">
        <v>1.99159762</v>
      </c>
      <c r="I33" s="18" t="n">
        <v>0</v>
      </c>
      <c r="J33" s="20" t="n">
        <v>0</v>
      </c>
      <c r="K33" s="18" t="n">
        <v>0</v>
      </c>
      <c r="L33" s="20" t="n">
        <v>0</v>
      </c>
      <c r="M33" s="18" t="n">
        <v>0</v>
      </c>
      <c r="N33" s="20" t="n">
        <v>0</v>
      </c>
      <c r="O33" s="18" t="n">
        <v>0</v>
      </c>
      <c r="P33" s="20" t="n">
        <v>0</v>
      </c>
      <c r="Q33" s="18" t="n">
        <v>0.40925102</v>
      </c>
      <c r="R33" s="20" t="n">
        <v>0.24836863</v>
      </c>
    </row>
    <row r="34" spans="1:18">
      <c r="A34" s="15" t="s">
        <v>592</v>
      </c>
      <c r="B34" s="17" t="n">
        <v>3035</v>
      </c>
      <c r="C34" s="18">
        <f>(2366.0/B34*100)</f>
        <v/>
      </c>
      <c r="D34" s="19" t="n">
        <v>669</v>
      </c>
      <c r="E34" s="18" t="n">
        <v>59.89104623</v>
      </c>
      <c r="F34" s="20" t="n">
        <v>1.78257099</v>
      </c>
      <c r="G34" s="18" t="n">
        <v>39.04291456</v>
      </c>
      <c r="H34" s="20" t="n">
        <v>1.81098211</v>
      </c>
      <c r="I34" s="18" t="n">
        <v>0</v>
      </c>
      <c r="J34" s="20" t="n">
        <v>0</v>
      </c>
      <c r="K34" s="18" t="n">
        <v>0.20246152</v>
      </c>
      <c r="L34" s="20" t="n">
        <v>0.11338444</v>
      </c>
      <c r="M34" s="18" t="n">
        <v>0</v>
      </c>
      <c r="N34" s="20" t="n">
        <v>0</v>
      </c>
      <c r="O34" s="18" t="n">
        <v>0</v>
      </c>
      <c r="P34" s="20" t="n">
        <v>0</v>
      </c>
      <c r="Q34" s="18" t="n">
        <v>0.86357768</v>
      </c>
      <c r="R34" s="20" t="n">
        <v>0.40938718</v>
      </c>
    </row>
    <row r="35" spans="1:18">
      <c r="A35" s="15" t="s">
        <v>593</v>
      </c>
      <c r="B35" s="17" t="n">
        <v>2901</v>
      </c>
      <c r="C35" s="18">
        <f>(2250.0/B35*100)</f>
        <v/>
      </c>
      <c r="D35" s="19" t="n">
        <v>651</v>
      </c>
      <c r="E35" s="18" t="n">
        <v>45.23393628</v>
      </c>
      <c r="F35" s="20" t="n">
        <v>2.26145301</v>
      </c>
      <c r="G35" s="18" t="n">
        <v>54.39632816</v>
      </c>
      <c r="H35" s="20" t="n">
        <v>2.25959338</v>
      </c>
      <c r="I35" s="18" t="n">
        <v>0</v>
      </c>
      <c r="J35" s="20" t="n">
        <v>0</v>
      </c>
      <c r="K35" s="18" t="n">
        <v>0.08383077999999999</v>
      </c>
      <c r="L35" s="20" t="n">
        <v>0.08395355</v>
      </c>
      <c r="M35" s="18" t="n">
        <v>0</v>
      </c>
      <c r="N35" s="20" t="n">
        <v>0</v>
      </c>
      <c r="O35" s="18" t="n">
        <v>0</v>
      </c>
      <c r="P35" s="20" t="n">
        <v>0</v>
      </c>
      <c r="Q35" s="18" t="n">
        <v>0.28590478</v>
      </c>
      <c r="R35" s="20" t="n">
        <v>0.20707935</v>
      </c>
    </row>
    <row r="36" spans="1:18">
      <c r="A36" s="15" t="s">
        <v>594</v>
      </c>
      <c r="B36" s="17" t="n">
        <v>3404</v>
      </c>
      <c r="C36" s="18">
        <f>(2669.0/B36*100)</f>
        <v/>
      </c>
      <c r="D36" s="19" t="n">
        <v>735</v>
      </c>
      <c r="E36" s="18" t="n">
        <v>56.49092592</v>
      </c>
      <c r="F36" s="20" t="n">
        <v>1.88349254</v>
      </c>
      <c r="G36" s="18" t="n">
        <v>42.24627404</v>
      </c>
      <c r="H36" s="20" t="n">
        <v>1.93191955</v>
      </c>
      <c r="I36" s="18" t="n">
        <v>0</v>
      </c>
      <c r="J36" s="20" t="n">
        <v>0</v>
      </c>
      <c r="K36" s="18" t="n">
        <v>0</v>
      </c>
      <c r="L36" s="20" t="n">
        <v>0</v>
      </c>
      <c r="M36" s="18" t="n">
        <v>0</v>
      </c>
      <c r="N36" s="20" t="n">
        <v>0</v>
      </c>
      <c r="O36" s="18" t="n">
        <v>0</v>
      </c>
      <c r="P36" s="20" t="n">
        <v>0</v>
      </c>
      <c r="Q36" s="18" t="n">
        <v>1.26280004</v>
      </c>
      <c r="R36" s="20" t="n">
        <v>0.44074176</v>
      </c>
    </row>
    <row r="37" spans="1:18">
      <c r="A37" s="15" t="s">
        <v>595</v>
      </c>
      <c r="B37" s="17" t="n">
        <v>2731</v>
      </c>
      <c r="C37" s="18">
        <f>(2114.0/B37*100)</f>
        <v/>
      </c>
      <c r="D37" s="19" t="n">
        <v>617</v>
      </c>
      <c r="E37" s="18" t="n">
        <v>50.77422567</v>
      </c>
      <c r="F37" s="20" t="n">
        <v>2.28253117</v>
      </c>
      <c r="G37" s="18" t="n">
        <v>44.24244015</v>
      </c>
      <c r="H37" s="20" t="n">
        <v>2.40561151</v>
      </c>
      <c r="I37" s="18" t="n">
        <v>0</v>
      </c>
      <c r="J37" s="20" t="n">
        <v>0</v>
      </c>
      <c r="K37" s="18" t="n">
        <v>0.48003494</v>
      </c>
      <c r="L37" s="20" t="n">
        <v>0.27525802</v>
      </c>
      <c r="M37" s="18" t="n">
        <v>0</v>
      </c>
      <c r="N37" s="20" t="n">
        <v>0</v>
      </c>
      <c r="O37" s="18" t="n">
        <v>0</v>
      </c>
      <c r="P37" s="20" t="n">
        <v>0</v>
      </c>
      <c r="Q37" s="18" t="n">
        <v>4.50329924</v>
      </c>
      <c r="R37" s="20" t="n">
        <v>0.97426667</v>
      </c>
    </row>
    <row r="38" spans="1:18">
      <c r="A38" s="15" t="s">
        <v>596</v>
      </c>
      <c r="B38" s="17" t="n">
        <v>2807</v>
      </c>
      <c r="C38" s="18">
        <f>(2148.0/B38*100)</f>
        <v/>
      </c>
      <c r="D38" s="19" t="n">
        <v>659</v>
      </c>
      <c r="E38" s="18" t="n">
        <v>52.74550083</v>
      </c>
      <c r="F38" s="20" t="n">
        <v>2.36706188</v>
      </c>
      <c r="G38" s="18" t="n">
        <v>46.65592375</v>
      </c>
      <c r="H38" s="20" t="n">
        <v>2.38382153</v>
      </c>
      <c r="I38" s="18" t="n">
        <v>0</v>
      </c>
      <c r="J38" s="20" t="n">
        <v>0</v>
      </c>
      <c r="K38" s="18" t="n">
        <v>0</v>
      </c>
      <c r="L38" s="20" t="n">
        <v>0</v>
      </c>
      <c r="M38" s="18" t="n">
        <v>0</v>
      </c>
      <c r="N38" s="20" t="n">
        <v>0</v>
      </c>
      <c r="O38" s="18" t="n">
        <v>0</v>
      </c>
      <c r="P38" s="20" t="n">
        <v>0</v>
      </c>
      <c r="Q38" s="18" t="n">
        <v>0.59857543</v>
      </c>
      <c r="R38" s="20" t="n">
        <v>0.30960451</v>
      </c>
    </row>
    <row r="39" spans="1:18">
      <c r="A39" s="15" t="s">
        <v>597</v>
      </c>
      <c r="B39" s="17" t="n">
        <v>2938</v>
      </c>
      <c r="C39" s="18">
        <f>(2289.0/B39*100)</f>
        <v/>
      </c>
      <c r="D39" s="19" t="n">
        <v>649</v>
      </c>
      <c r="E39" s="18" t="n">
        <v>71.87769279</v>
      </c>
      <c r="F39" s="20" t="n">
        <v>2.03209887</v>
      </c>
      <c r="G39" s="18" t="n">
        <v>26.96482369</v>
      </c>
      <c r="H39" s="20" t="n">
        <v>2.05605118</v>
      </c>
      <c r="I39" s="18" t="n">
        <v>0</v>
      </c>
      <c r="J39" s="20" t="n">
        <v>0</v>
      </c>
      <c r="K39" s="18" t="n">
        <v>0.1447273</v>
      </c>
      <c r="L39" s="20" t="n">
        <v>0.14442047</v>
      </c>
      <c r="M39" s="18" t="n">
        <v>0</v>
      </c>
      <c r="N39" s="20" t="n">
        <v>0</v>
      </c>
      <c r="O39" s="18" t="n">
        <v>0</v>
      </c>
      <c r="P39" s="20" t="n">
        <v>0</v>
      </c>
      <c r="Q39" s="18" t="n">
        <v>1.01275622</v>
      </c>
      <c r="R39" s="20" t="n">
        <v>0.33429662</v>
      </c>
    </row>
    <row r="40" spans="1:18">
      <c r="A40" s="15" t="s">
        <v>598</v>
      </c>
      <c r="B40" s="17" t="n">
        <v>6922</v>
      </c>
      <c r="C40" s="18">
        <f>(5365.0/B40*100)</f>
        <v/>
      </c>
      <c r="D40" s="19" t="n">
        <v>1557</v>
      </c>
      <c r="E40" s="18" t="n">
        <v>65.2251649</v>
      </c>
      <c r="F40" s="20" t="n">
        <v>2.07866444</v>
      </c>
      <c r="G40" s="18" t="n">
        <v>33.37150031</v>
      </c>
      <c r="H40" s="20" t="n">
        <v>2.01094497</v>
      </c>
      <c r="I40" s="18" t="n">
        <v>0</v>
      </c>
      <c r="J40" s="20" t="n">
        <v>0</v>
      </c>
      <c r="K40" s="18" t="n">
        <v>0.02684885</v>
      </c>
      <c r="L40" s="20" t="n">
        <v>0.01668662</v>
      </c>
      <c r="M40" s="18" t="n">
        <v>0</v>
      </c>
      <c r="N40" s="20" t="n">
        <v>0</v>
      </c>
      <c r="O40" s="18" t="n">
        <v>0</v>
      </c>
      <c r="P40" s="20" t="n">
        <v>0</v>
      </c>
      <c r="Q40" s="18" t="n">
        <v>1.37648594</v>
      </c>
      <c r="R40" s="20" t="n">
        <v>0.51427688</v>
      </c>
    </row>
    <row r="41" spans="1:18">
      <c r="A41" s="15" t="s">
        <v>599</v>
      </c>
      <c r="B41" s="17" t="n">
        <v>2854</v>
      </c>
      <c r="C41" s="18">
        <f>(2235.0/B41*100)</f>
        <v/>
      </c>
      <c r="D41" s="19" t="n">
        <v>619</v>
      </c>
      <c r="E41" s="18" t="n">
        <v>59.82449775</v>
      </c>
      <c r="F41" s="20" t="n">
        <v>2.03991736</v>
      </c>
      <c r="G41" s="18" t="n">
        <v>39.86326474</v>
      </c>
      <c r="H41" s="20" t="n">
        <v>2.03306825</v>
      </c>
      <c r="I41" s="18" t="n">
        <v>0</v>
      </c>
      <c r="J41" s="20" t="n">
        <v>0</v>
      </c>
      <c r="K41" s="18" t="n">
        <v>0</v>
      </c>
      <c r="L41" s="20" t="n">
        <v>0</v>
      </c>
      <c r="M41" s="18" t="n">
        <v>0</v>
      </c>
      <c r="N41" s="20" t="n">
        <v>0</v>
      </c>
      <c r="O41" s="18" t="n">
        <v>0</v>
      </c>
      <c r="P41" s="20" t="n">
        <v>0</v>
      </c>
      <c r="Q41" s="18" t="n">
        <v>0.31223751</v>
      </c>
      <c r="R41" s="20" t="n">
        <v>0.21722911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(9643.0/B46*100)</f>
        <v/>
      </c>
      <c r="D46" s="19" t="n">
        <v>2430</v>
      </c>
      <c r="E46" s="18" t="n">
        <v>79.52625012</v>
      </c>
      <c r="F46" s="20" t="n">
        <v>1.15024204</v>
      </c>
      <c r="G46" s="18" t="n">
        <v>17.70528922</v>
      </c>
      <c r="H46" s="20" t="n">
        <v>1.08890916</v>
      </c>
      <c r="I46" s="18" t="n">
        <v>0</v>
      </c>
      <c r="J46" s="20" t="n">
        <v>0</v>
      </c>
      <c r="K46" s="18" t="n">
        <v>0.36821619</v>
      </c>
      <c r="L46" s="20" t="n">
        <v>0.1479712</v>
      </c>
      <c r="M46" s="18" t="n">
        <v>0</v>
      </c>
      <c r="N46" s="20" t="n">
        <v>0</v>
      </c>
      <c r="O46" s="18" t="n">
        <v>0</v>
      </c>
      <c r="P46" s="20" t="n">
        <v>0</v>
      </c>
      <c r="Q46" s="18" t="n">
        <v>2.40024447</v>
      </c>
      <c r="R46" s="20" t="n">
        <v>0.44678684</v>
      </c>
    </row>
    <row r="47" spans="1:18">
      <c r="A47" s="15" t="s">
        <v>606</v>
      </c>
      <c r="B47" s="17" t="n">
        <v>2823</v>
      </c>
      <c r="C47" s="18">
        <f>(2207.0/B47*100)</f>
        <v/>
      </c>
      <c r="D47" s="19" t="n">
        <v>616</v>
      </c>
      <c r="E47" s="18" t="n">
        <v>60.36899868</v>
      </c>
      <c r="F47" s="20" t="n">
        <v>2.27769201</v>
      </c>
      <c r="G47" s="18" t="n">
        <v>37.8963928</v>
      </c>
      <c r="H47" s="20" t="n">
        <v>2.25146579</v>
      </c>
      <c r="I47" s="18" t="n">
        <v>0</v>
      </c>
      <c r="J47" s="20" t="n">
        <v>0</v>
      </c>
      <c r="K47" s="18" t="n">
        <v>0</v>
      </c>
      <c r="L47" s="20" t="n">
        <v>0</v>
      </c>
      <c r="M47" s="18" t="n">
        <v>0</v>
      </c>
      <c r="N47" s="20" t="n">
        <v>0</v>
      </c>
      <c r="O47" s="18" t="n">
        <v>0</v>
      </c>
      <c r="P47" s="20" t="n">
        <v>0</v>
      </c>
      <c r="Q47" s="18" t="n">
        <v>1.73460852</v>
      </c>
      <c r="R47" s="20" t="n">
        <v>0.48155088</v>
      </c>
    </row>
    <row r="48" spans="1:18">
      <c r="A48" s="15" t="s">
        <v>607</v>
      </c>
      <c r="B48" s="17" t="n">
        <v>4682</v>
      </c>
      <c r="C48" s="18">
        <f>(3610.0/B48*100)</f>
        <v/>
      </c>
      <c r="D48" s="19" t="n">
        <v>1072</v>
      </c>
      <c r="E48" s="18" t="n">
        <v>62.48140212</v>
      </c>
      <c r="F48" s="20" t="n">
        <v>2.06207073</v>
      </c>
      <c r="G48" s="18" t="n">
        <v>36.7095902</v>
      </c>
      <c r="H48" s="20" t="n">
        <v>2.08700112</v>
      </c>
      <c r="I48" s="18" t="n">
        <v>0</v>
      </c>
      <c r="J48" s="20" t="n">
        <v>0</v>
      </c>
      <c r="K48" s="18" t="n">
        <v>0.09143606999999999</v>
      </c>
      <c r="L48" s="20" t="n">
        <v>0.07063879000000001</v>
      </c>
      <c r="M48" s="18" t="n">
        <v>0</v>
      </c>
      <c r="N48" s="20" t="n">
        <v>0</v>
      </c>
      <c r="O48" s="18" t="n">
        <v>0</v>
      </c>
      <c r="P48" s="20" t="n">
        <v>0</v>
      </c>
      <c r="Q48" s="18" t="n">
        <v>0.71757161</v>
      </c>
      <c r="R48" s="20" t="n">
        <v>0.29430472</v>
      </c>
    </row>
    <row r="49" spans="1:18">
      <c r="A49" s="15" t="s">
        <v>608</v>
      </c>
      <c r="B49" s="17" t="n">
        <v>6158</v>
      </c>
      <c r="C49" s="18">
        <f>(4829.0/B49*100)</f>
        <v/>
      </c>
      <c r="D49" s="19" t="n">
        <v>1329</v>
      </c>
      <c r="E49" s="18" t="n">
        <v>76.31025554999999</v>
      </c>
      <c r="F49" s="20" t="n">
        <v>1.39683968</v>
      </c>
      <c r="G49" s="18" t="n">
        <v>21.84038416</v>
      </c>
      <c r="H49" s="20" t="n">
        <v>1.38715679</v>
      </c>
      <c r="I49" s="18" t="n">
        <v>0</v>
      </c>
      <c r="J49" s="20" t="n">
        <v>0</v>
      </c>
      <c r="K49" s="18" t="n">
        <v>0.79410223</v>
      </c>
      <c r="L49" s="20" t="n">
        <v>0.24565157</v>
      </c>
      <c r="M49" s="18" t="n">
        <v>0</v>
      </c>
      <c r="N49" s="20" t="n">
        <v>0</v>
      </c>
      <c r="O49" s="18" t="n">
        <v>0</v>
      </c>
      <c r="P49" s="20" t="n">
        <v>0</v>
      </c>
      <c r="Q49" s="18" t="n">
        <v>1.05525806</v>
      </c>
      <c r="R49" s="20" t="n">
        <v>0.29924173</v>
      </c>
    </row>
    <row r="50" spans="1:18">
      <c r="A50" s="15" t="s">
        <v>609</v>
      </c>
      <c r="B50" s="17" t="n">
        <v>3494</v>
      </c>
      <c r="C50" s="18">
        <f>(2825.0/B50*100)</f>
        <v/>
      </c>
      <c r="D50" s="19" t="n">
        <v>669</v>
      </c>
      <c r="E50" s="18" t="n">
        <v>80.10181779</v>
      </c>
      <c r="F50" s="20" t="n">
        <v>1.85305245</v>
      </c>
      <c r="G50" s="18" t="n">
        <v>17.1884369</v>
      </c>
      <c r="H50" s="20" t="n">
        <v>1.79610327</v>
      </c>
      <c r="I50" s="18" t="n">
        <v>0</v>
      </c>
      <c r="J50" s="20" t="n">
        <v>0</v>
      </c>
      <c r="K50" s="18" t="n">
        <v>0</v>
      </c>
      <c r="L50" s="20" t="n">
        <v>0</v>
      </c>
      <c r="M50" s="18" t="n">
        <v>0</v>
      </c>
      <c r="N50" s="20" t="n">
        <v>0</v>
      </c>
      <c r="O50" s="18" t="n">
        <v>0</v>
      </c>
      <c r="P50" s="20" t="n">
        <v>0</v>
      </c>
      <c r="Q50" s="18" t="n">
        <v>2.70974531</v>
      </c>
      <c r="R50" s="20" t="n">
        <v>0.69854357</v>
      </c>
    </row>
    <row r="51" spans="1:18">
      <c r="A51" s="15" t="s">
        <v>610</v>
      </c>
      <c r="B51" s="17" t="n">
        <v>3013</v>
      </c>
      <c r="C51" s="18">
        <f>(2347.0/B51*100)</f>
        <v/>
      </c>
      <c r="D51" s="19" t="n">
        <v>666</v>
      </c>
      <c r="E51" s="18" t="n">
        <v>58.43204711</v>
      </c>
      <c r="F51" s="20" t="n">
        <v>2.23434961</v>
      </c>
      <c r="G51" s="18" t="n">
        <v>40.56562578</v>
      </c>
      <c r="H51" s="20" t="n">
        <v>2.29400638</v>
      </c>
      <c r="I51" s="18" t="n">
        <v>0</v>
      </c>
      <c r="J51" s="20" t="n">
        <v>0</v>
      </c>
      <c r="K51" s="18" t="n">
        <v>0</v>
      </c>
      <c r="L51" s="20" t="n">
        <v>0</v>
      </c>
      <c r="M51" s="18" t="n">
        <v>0</v>
      </c>
      <c r="N51" s="20" t="n">
        <v>0</v>
      </c>
      <c r="O51" s="18" t="n">
        <v>0</v>
      </c>
      <c r="P51" s="20" t="n">
        <v>0</v>
      </c>
      <c r="Q51" s="18" t="n">
        <v>1.00232711</v>
      </c>
      <c r="R51" s="20" t="n">
        <v>0.4747622</v>
      </c>
    </row>
    <row r="52" spans="1:18">
      <c r="A52" s="15" t="s">
        <v>611</v>
      </c>
      <c r="B52" s="17" t="n">
        <v>2760</v>
      </c>
      <c r="C52" s="18">
        <f>(2170.0/B52*100)</f>
        <v/>
      </c>
      <c r="D52" s="19" t="n">
        <v>590</v>
      </c>
      <c r="E52" s="18" t="n">
        <v>66.18721597</v>
      </c>
      <c r="F52" s="20" t="n">
        <v>1.95498423</v>
      </c>
      <c r="G52" s="18" t="n">
        <v>32.18009368</v>
      </c>
      <c r="H52" s="20" t="n">
        <v>1.94040543</v>
      </c>
      <c r="I52" s="18" t="n">
        <v>0</v>
      </c>
      <c r="J52" s="20" t="n">
        <v>0</v>
      </c>
      <c r="K52" s="18" t="n">
        <v>0</v>
      </c>
      <c r="L52" s="20" t="n">
        <v>0</v>
      </c>
      <c r="M52" s="18" t="n">
        <v>0</v>
      </c>
      <c r="N52" s="20" t="n">
        <v>0</v>
      </c>
      <c r="O52" s="18" t="n">
        <v>0</v>
      </c>
      <c r="P52" s="20" t="n">
        <v>0</v>
      </c>
      <c r="Q52" s="18" t="n">
        <v>1.63269035</v>
      </c>
      <c r="R52" s="20" t="n">
        <v>0.57239244</v>
      </c>
    </row>
    <row r="53" spans="1:18">
      <c r="A53" s="15" t="s">
        <v>612</v>
      </c>
      <c r="B53" s="17" t="n">
        <v>2474</v>
      </c>
      <c r="C53" s="18">
        <f>(1939.0/B53*100)</f>
        <v/>
      </c>
      <c r="D53" s="19" t="n">
        <v>535</v>
      </c>
      <c r="E53" s="18" t="n">
        <v>81.91179561</v>
      </c>
      <c r="F53" s="20" t="n">
        <v>1.96080468</v>
      </c>
      <c r="G53" s="18" t="n">
        <v>8.114252090000001</v>
      </c>
      <c r="H53" s="20" t="n">
        <v>1.18934931</v>
      </c>
      <c r="I53" s="18" t="n">
        <v>0</v>
      </c>
      <c r="J53" s="20" t="n">
        <v>0</v>
      </c>
      <c r="K53" s="18" t="n">
        <v>5.85450797</v>
      </c>
      <c r="L53" s="20" t="n">
        <v>1.34299873</v>
      </c>
      <c r="M53" s="18" t="n">
        <v>0</v>
      </c>
      <c r="N53" s="20" t="n">
        <v>0</v>
      </c>
      <c r="O53" s="18" t="n">
        <v>0</v>
      </c>
      <c r="P53" s="20" t="n">
        <v>0</v>
      </c>
      <c r="Q53" s="18" t="n">
        <v>4.11944432</v>
      </c>
      <c r="R53" s="20" t="n">
        <v>0.95587833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(2105.0/B55*100)</f>
        <v/>
      </c>
      <c r="D55" s="19" t="n">
        <v>570</v>
      </c>
      <c r="E55" s="18" t="n">
        <v>65.21615039</v>
      </c>
      <c r="F55" s="20" t="n">
        <v>2.13428729</v>
      </c>
      <c r="G55" s="18" t="n">
        <v>34.2382932</v>
      </c>
      <c r="H55" s="20" t="n">
        <v>2.15077338</v>
      </c>
      <c r="I55" s="18" t="n">
        <v>0</v>
      </c>
      <c r="J55" s="20" t="n">
        <v>0</v>
      </c>
      <c r="K55" s="18" t="n">
        <v>0.18846506</v>
      </c>
      <c r="L55" s="20" t="n">
        <v>0.18645257</v>
      </c>
      <c r="M55" s="18" t="n">
        <v>0</v>
      </c>
      <c r="N55" s="20" t="n">
        <v>0</v>
      </c>
      <c r="O55" s="18" t="n">
        <v>0</v>
      </c>
      <c r="P55" s="20" t="n">
        <v>0</v>
      </c>
      <c r="Q55" s="18" t="n">
        <v>0.35709135</v>
      </c>
      <c r="R55" s="20" t="n">
        <v>0.22878881</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(2508.0/B61*100)</f>
        <v/>
      </c>
      <c r="D61" s="19" t="n">
        <v>693</v>
      </c>
      <c r="E61" s="18" t="n">
        <v>57.00239728</v>
      </c>
      <c r="F61" s="20" t="n">
        <v>2.01153208</v>
      </c>
      <c r="G61" s="18" t="n">
        <v>42.46767316</v>
      </c>
      <c r="H61" s="20" t="n">
        <v>1.99081875</v>
      </c>
      <c r="I61" s="18" t="n">
        <v>0</v>
      </c>
      <c r="J61" s="20" t="n">
        <v>0</v>
      </c>
      <c r="K61" s="18" t="n">
        <v>0.1838046</v>
      </c>
      <c r="L61" s="20" t="n">
        <v>0.19072568</v>
      </c>
      <c r="M61" s="18" t="n">
        <v>0</v>
      </c>
      <c r="N61" s="20" t="n">
        <v>0</v>
      </c>
      <c r="O61" s="18" t="n">
        <v>0</v>
      </c>
      <c r="P61" s="20" t="n">
        <v>0</v>
      </c>
      <c r="Q61" s="18" t="n">
        <v>0.34612496</v>
      </c>
      <c r="R61" s="20" t="n">
        <v>0.20617634</v>
      </c>
    </row>
    <row r="62" spans="1:18">
      <c r="A62" s="15" t="s">
        <v>622</v>
      </c>
      <c r="B62" s="17" t="n">
        <v>2230</v>
      </c>
      <c r="C62" s="18">
        <f>(1704.0/B62*100)</f>
        <v/>
      </c>
      <c r="D62" s="19" t="n">
        <v>526</v>
      </c>
      <c r="E62" s="18" t="n">
        <v>57.05459166</v>
      </c>
      <c r="F62" s="20" t="n">
        <v>2.15486147</v>
      </c>
      <c r="G62" s="18" t="n">
        <v>42.75665592</v>
      </c>
      <c r="H62" s="20" t="n">
        <v>2.15347798</v>
      </c>
      <c r="I62" s="18" t="n">
        <v>0</v>
      </c>
      <c r="J62" s="20" t="n">
        <v>0</v>
      </c>
      <c r="K62" s="18" t="n">
        <v>0</v>
      </c>
      <c r="L62" s="20" t="n">
        <v>0</v>
      </c>
      <c r="M62" s="18" t="n">
        <v>0</v>
      </c>
      <c r="N62" s="20" t="n">
        <v>0</v>
      </c>
      <c r="O62" s="18" t="n">
        <v>0</v>
      </c>
      <c r="P62" s="20" t="n">
        <v>0</v>
      </c>
      <c r="Q62" s="18" t="n">
        <v>0.18875242</v>
      </c>
      <c r="R62" s="20" t="n">
        <v>0.18835593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(2183.0/B67*100)</f>
        <v/>
      </c>
      <c r="D67" s="19" t="n">
        <v>588</v>
      </c>
      <c r="E67" s="18" t="n">
        <v>71.84791177</v>
      </c>
      <c r="F67" s="20" t="n">
        <v>2.01543215</v>
      </c>
      <c r="G67" s="18" t="n">
        <v>24.19492417</v>
      </c>
      <c r="H67" s="20" t="n">
        <v>1.88256257</v>
      </c>
      <c r="I67" s="18" t="n">
        <v>0</v>
      </c>
      <c r="J67" s="20" t="n">
        <v>0</v>
      </c>
      <c r="K67" s="18" t="n">
        <v>0</v>
      </c>
      <c r="L67" s="20" t="n">
        <v>0</v>
      </c>
      <c r="M67" s="18" t="n">
        <v>0</v>
      </c>
      <c r="N67" s="20" t="n">
        <v>0</v>
      </c>
      <c r="O67" s="18" t="n">
        <v>0</v>
      </c>
      <c r="P67" s="20" t="n">
        <v>0</v>
      </c>
      <c r="Q67" s="18" t="n">
        <v>3.95716406</v>
      </c>
      <c r="R67" s="20" t="n">
        <v>0.97232357</v>
      </c>
    </row>
    <row r="68" spans="1:18">
      <c r="A68" s="15" t="s">
        <v>628</v>
      </c>
      <c r="B68" s="17" t="n">
        <v>3460</v>
      </c>
      <c r="C68" s="18">
        <f>(2721.0/B68*100)</f>
        <v/>
      </c>
      <c r="D68" s="19" t="n">
        <v>739</v>
      </c>
      <c r="E68" s="18" t="n">
        <v>80.40061024000001</v>
      </c>
      <c r="F68" s="20" t="n">
        <v>1.67784684</v>
      </c>
      <c r="G68" s="18" t="n">
        <v>17.41881236</v>
      </c>
      <c r="H68" s="20" t="n">
        <v>1.5963691</v>
      </c>
      <c r="I68" s="18" t="n">
        <v>0</v>
      </c>
      <c r="J68" s="20" t="n">
        <v>0</v>
      </c>
      <c r="K68" s="18" t="n">
        <v>0.14524207</v>
      </c>
      <c r="L68" s="20" t="n">
        <v>0.14552442</v>
      </c>
      <c r="M68" s="18" t="n">
        <v>0</v>
      </c>
      <c r="N68" s="20" t="n">
        <v>0</v>
      </c>
      <c r="O68" s="18" t="n">
        <v>0</v>
      </c>
      <c r="P68" s="20" t="n">
        <v>0</v>
      </c>
      <c r="Q68" s="18" t="n">
        <v>2.03533533</v>
      </c>
      <c r="R68" s="20" t="n">
        <v>0.61909783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(4717.0/B70*100)</f>
        <v/>
      </c>
      <c r="D70" s="19" t="n">
        <v>1317</v>
      </c>
      <c r="E70" s="18" t="n">
        <v>73.22436621</v>
      </c>
      <c r="F70" s="20" t="n">
        <v>1.18826013</v>
      </c>
      <c r="G70" s="18" t="n">
        <v>24.42092644</v>
      </c>
      <c r="H70" s="20" t="n">
        <v>1.1295443</v>
      </c>
      <c r="I70" s="18" t="n">
        <v>0</v>
      </c>
      <c r="J70" s="20" t="n">
        <v>0</v>
      </c>
      <c r="K70" s="18" t="n">
        <v>0.59902857</v>
      </c>
      <c r="L70" s="20" t="n">
        <v>0.20844629</v>
      </c>
      <c r="M70" s="18" t="n">
        <v>0</v>
      </c>
      <c r="N70" s="20" t="n">
        <v>0</v>
      </c>
      <c r="O70" s="18" t="n">
        <v>0</v>
      </c>
      <c r="P70" s="20" t="n">
        <v>0</v>
      </c>
      <c r="Q70" s="18" t="n">
        <v>1.75567878</v>
      </c>
      <c r="R70" s="20" t="n">
        <v>0.35249194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(2408.0/B72*100)</f>
        <v/>
      </c>
      <c r="D72" s="19" t="n">
        <v>699</v>
      </c>
      <c r="E72" s="18" t="n">
        <v>63.46245305</v>
      </c>
      <c r="F72" s="20" t="n">
        <v>2.24327884</v>
      </c>
      <c r="G72" s="18" t="n">
        <v>35.55358087</v>
      </c>
      <c r="H72" s="20" t="n">
        <v>2.11315777</v>
      </c>
      <c r="I72" s="18" t="n">
        <v>0</v>
      </c>
      <c r="J72" s="20" t="n">
        <v>0</v>
      </c>
      <c r="K72" s="18" t="n">
        <v>0</v>
      </c>
      <c r="L72" s="20" t="n">
        <v>0</v>
      </c>
      <c r="M72" s="18" t="n">
        <v>0</v>
      </c>
      <c r="N72" s="20" t="n">
        <v>0</v>
      </c>
      <c r="O72" s="18" t="n">
        <v>0</v>
      </c>
      <c r="P72" s="20" t="n">
        <v>0</v>
      </c>
      <c r="Q72" s="18" t="n">
        <v>0.98396608</v>
      </c>
      <c r="R72" s="20" t="n">
        <v>0.42266468</v>
      </c>
    </row>
    <row r="73" spans="1:18">
      <c r="A73" s="15" t="s">
        <v>633</v>
      </c>
      <c r="B73" s="17" t="n">
        <v>2973</v>
      </c>
      <c r="C73" s="18">
        <f>(2297.0/B73*100)</f>
        <v/>
      </c>
      <c r="D73" s="19" t="n">
        <v>676</v>
      </c>
      <c r="E73" s="18" t="n">
        <v>56.78273335</v>
      </c>
      <c r="F73" s="20" t="n">
        <v>2.05106356</v>
      </c>
      <c r="G73" s="18" t="n">
        <v>42.15394247</v>
      </c>
      <c r="H73" s="20" t="n">
        <v>2.03649059</v>
      </c>
      <c r="I73" s="18" t="n">
        <v>0</v>
      </c>
      <c r="J73" s="20" t="n">
        <v>0</v>
      </c>
      <c r="K73" s="18" t="n">
        <v>0.31953292</v>
      </c>
      <c r="L73" s="20" t="n">
        <v>0.22764429</v>
      </c>
      <c r="M73" s="18" t="n">
        <v>0</v>
      </c>
      <c r="N73" s="20" t="n">
        <v>0</v>
      </c>
      <c r="O73" s="18" t="n">
        <v>0</v>
      </c>
      <c r="P73" s="20" t="n">
        <v>0</v>
      </c>
      <c r="Q73" s="18" t="n">
        <v>0.74379125</v>
      </c>
      <c r="R73" s="20" t="n">
        <v>0.30473809</v>
      </c>
    </row>
    <row r="74" spans="1:18">
      <c r="A74" s="15" t="s">
        <v>634</v>
      </c>
      <c r="B74" s="17" t="n">
        <v>3819</v>
      </c>
      <c r="C74" s="18">
        <f>(2939.0/B74*100)</f>
        <v/>
      </c>
      <c r="D74" s="19" t="n">
        <v>880</v>
      </c>
      <c r="E74" s="18" t="n">
        <v>54.79100595</v>
      </c>
      <c r="F74" s="20" t="n">
        <v>2.02880178</v>
      </c>
      <c r="G74" s="18" t="n">
        <v>44.89518091</v>
      </c>
      <c r="H74" s="20" t="n">
        <v>2.02720785</v>
      </c>
      <c r="I74" s="18" t="n">
        <v>0</v>
      </c>
      <c r="J74" s="20" t="n">
        <v>0</v>
      </c>
      <c r="K74" s="18" t="n">
        <v>0</v>
      </c>
      <c r="L74" s="20" t="n">
        <v>0</v>
      </c>
      <c r="M74" s="18" t="n">
        <v>0</v>
      </c>
      <c r="N74" s="20" t="n">
        <v>0</v>
      </c>
      <c r="O74" s="18" t="n">
        <v>0</v>
      </c>
      <c r="P74" s="20" t="n">
        <v>0</v>
      </c>
      <c r="Q74" s="18" t="n">
        <v>0.31381315</v>
      </c>
      <c r="R74" s="20" t="n">
        <v>0.18369845</v>
      </c>
    </row>
    <row r="75" spans="1:18">
      <c r="A75" s="15" t="s">
        <v>635</v>
      </c>
      <c r="B75" s="17" t="n">
        <v>4652</v>
      </c>
      <c r="C75" s="18">
        <f>(3623.0/B75*100)</f>
        <v/>
      </c>
      <c r="D75" s="19" t="n">
        <v>1029</v>
      </c>
      <c r="E75" s="18" t="n">
        <v>75.18140491</v>
      </c>
      <c r="F75" s="20" t="n">
        <v>1.56785681</v>
      </c>
      <c r="G75" s="18" t="n">
        <v>24.48151083</v>
      </c>
      <c r="H75" s="20" t="n">
        <v>1.56529262</v>
      </c>
      <c r="I75" s="18" t="n">
        <v>0</v>
      </c>
      <c r="J75" s="20" t="n">
        <v>0</v>
      </c>
      <c r="K75" s="18" t="n">
        <v>0</v>
      </c>
      <c r="L75" s="20" t="n">
        <v>0</v>
      </c>
      <c r="M75" s="18" t="n">
        <v>0</v>
      </c>
      <c r="N75" s="20" t="n">
        <v>0</v>
      </c>
      <c r="O75" s="18" t="n">
        <v>0</v>
      </c>
      <c r="P75" s="20" t="n">
        <v>0</v>
      </c>
      <c r="Q75" s="18" t="n">
        <v>0.33708426</v>
      </c>
      <c r="R75" s="20" t="n">
        <v>0.19742784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(2362.0/B77*100)</f>
        <v/>
      </c>
      <c r="D77" s="19" t="n">
        <v>607</v>
      </c>
      <c r="E77" s="18" t="n">
        <v>73.55733832</v>
      </c>
      <c r="F77" s="20" t="n">
        <v>2.00998559</v>
      </c>
      <c r="G77" s="18" t="n">
        <v>22.25413001</v>
      </c>
      <c r="H77" s="20" t="n">
        <v>1.74456037</v>
      </c>
      <c r="I77" s="18" t="n">
        <v>0</v>
      </c>
      <c r="J77" s="20" t="n">
        <v>0</v>
      </c>
      <c r="K77" s="18" t="n">
        <v>1.27967948</v>
      </c>
      <c r="L77" s="20" t="n">
        <v>0.44727307</v>
      </c>
      <c r="M77" s="18" t="n">
        <v>0</v>
      </c>
      <c r="N77" s="20" t="n">
        <v>0</v>
      </c>
      <c r="O77" s="18" t="n">
        <v>0</v>
      </c>
      <c r="P77" s="20" t="n">
        <v>0</v>
      </c>
      <c r="Q77" s="18" t="n">
        <v>2.90885219</v>
      </c>
      <c r="R77" s="20" t="n">
        <v>0.66359233</v>
      </c>
    </row>
    <row r="78" spans="1:18">
      <c r="A78" s="15" t="s">
        <v>638</v>
      </c>
      <c r="B78" s="17" t="n">
        <v>7115</v>
      </c>
      <c r="C78" s="18">
        <f>(5557.0/B78*100)</f>
        <v/>
      </c>
      <c r="D78" s="19" t="n">
        <v>1558</v>
      </c>
      <c r="E78" s="18" t="n">
        <v>74.81128783</v>
      </c>
      <c r="F78" s="20" t="n">
        <v>1.71927741</v>
      </c>
      <c r="G78" s="18" t="n">
        <v>23.91392235</v>
      </c>
      <c r="H78" s="20" t="n">
        <v>1.69388853</v>
      </c>
      <c r="I78" s="18" t="n">
        <v>0</v>
      </c>
      <c r="J78" s="20" t="n">
        <v>0</v>
      </c>
      <c r="K78" s="18" t="n">
        <v>0.07030886</v>
      </c>
      <c r="L78" s="20" t="n">
        <v>0.05904605</v>
      </c>
      <c r="M78" s="18" t="n">
        <v>0</v>
      </c>
      <c r="N78" s="20" t="n">
        <v>0</v>
      </c>
      <c r="O78" s="18" t="n">
        <v>0</v>
      </c>
      <c r="P78" s="20" t="n">
        <v>0</v>
      </c>
      <c r="Q78" s="18" t="n">
        <v>1.20448096</v>
      </c>
      <c r="R78" s="20" t="n">
        <v>0.39937848</v>
      </c>
    </row>
    <row r="79" spans="1:18">
      <c r="A79" s="15" t="s">
        <v>639</v>
      </c>
      <c r="B79" s="17" t="n">
        <v>3154</v>
      </c>
      <c r="C79" s="18">
        <f>(2476.0/B79*100)</f>
        <v/>
      </c>
      <c r="D79" s="19" t="n">
        <v>678</v>
      </c>
      <c r="E79" s="18" t="n">
        <v>72.59904303</v>
      </c>
      <c r="F79" s="20" t="n">
        <v>2.13678364</v>
      </c>
      <c r="G79" s="18" t="n">
        <v>25.29016649</v>
      </c>
      <c r="H79" s="20" t="n">
        <v>2.17914023</v>
      </c>
      <c r="I79" s="18" t="n">
        <v>0</v>
      </c>
      <c r="J79" s="20" t="n">
        <v>0</v>
      </c>
      <c r="K79" s="18" t="n">
        <v>0.37334951</v>
      </c>
      <c r="L79" s="20" t="n">
        <v>0.26219892</v>
      </c>
      <c r="M79" s="18" t="n">
        <v>0</v>
      </c>
      <c r="N79" s="20" t="n">
        <v>0</v>
      </c>
      <c r="O79" s="18" t="n">
        <v>0</v>
      </c>
      <c r="P79" s="20" t="n">
        <v>0</v>
      </c>
      <c r="Q79" s="18" t="n">
        <v>1.73744097</v>
      </c>
      <c r="R79" s="20" t="n">
        <v>0.49536338</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(12410.0/B82*100)</f>
        <v/>
      </c>
      <c r="D82" s="19" t="n">
        <v>3551</v>
      </c>
      <c r="E82" s="18" t="n">
        <v>57.65865559</v>
      </c>
      <c r="F82" s="20" t="n">
        <v>1.36756646</v>
      </c>
      <c r="G82" s="18" t="n">
        <v>41.33092967</v>
      </c>
      <c r="H82" s="20" t="n">
        <v>1.34417126</v>
      </c>
      <c r="I82" s="18" t="n">
        <v>0</v>
      </c>
      <c r="J82" s="20" t="n">
        <v>0</v>
      </c>
      <c r="K82" s="18" t="n">
        <v>0.01904048</v>
      </c>
      <c r="L82" s="20" t="n">
        <v>0.01523894</v>
      </c>
      <c r="M82" s="18" t="n">
        <v>0</v>
      </c>
      <c r="N82" s="20" t="n">
        <v>0</v>
      </c>
      <c r="O82" s="18" t="n">
        <v>0</v>
      </c>
      <c r="P82" s="20" t="n">
        <v>0</v>
      </c>
      <c r="Q82" s="18" t="n">
        <v>0.99137427</v>
      </c>
      <c r="R82" s="20" t="n">
        <v>0.26660229</v>
      </c>
    </row>
    <row r="83" spans="1:18">
      <c r="A83" s="15" t="s">
        <v>643</v>
      </c>
      <c r="B83" s="17" t="n">
        <v>808</v>
      </c>
      <c r="C83" s="18">
        <f>(624.0/B83*100)</f>
        <v/>
      </c>
      <c r="D83" s="19" t="n">
        <v>184</v>
      </c>
      <c r="E83" s="18" t="n">
        <v>46.61597711</v>
      </c>
      <c r="F83" s="20" t="n">
        <v>5.20621383</v>
      </c>
      <c r="G83" s="18" t="n">
        <v>53.38402289</v>
      </c>
      <c r="H83" s="20" t="n">
        <v>5.20621383</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(739.0/B84*100)</f>
        <v/>
      </c>
      <c r="D84" s="19" t="n">
        <v>199</v>
      </c>
      <c r="E84" s="18" t="n">
        <v>57.35122497</v>
      </c>
      <c r="F84" s="20" t="n">
        <v>4.46945446</v>
      </c>
      <c r="G84" s="18" t="n">
        <v>42.64877503</v>
      </c>
      <c r="H84" s="20" t="n">
        <v>4.46945446</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(5623.0/B7*100)</f>
        <v/>
      </c>
      <c r="D7" s="19" t="n">
        <v>1540</v>
      </c>
      <c r="E7" s="18" t="n">
        <v>58.43376262</v>
      </c>
      <c r="F7" s="20" t="n">
        <v>1.52259797</v>
      </c>
      <c r="G7" s="18" t="n">
        <v>26.83406414</v>
      </c>
      <c r="H7" s="20" t="n">
        <v>1.41753539</v>
      </c>
      <c r="I7" s="18" t="n">
        <v>0</v>
      </c>
      <c r="J7" s="20" t="n">
        <v>0</v>
      </c>
      <c r="K7" s="18" t="n">
        <v>0.18610618</v>
      </c>
      <c r="L7" s="20" t="n">
        <v>0.16762948</v>
      </c>
      <c r="M7" s="18" t="n">
        <v>0.17618431</v>
      </c>
      <c r="N7" s="20" t="n">
        <v>0.15475992</v>
      </c>
      <c r="O7" s="18" t="n">
        <v>0</v>
      </c>
      <c r="P7" s="20" t="n">
        <v>0</v>
      </c>
      <c r="Q7" s="18" t="n">
        <v>14.36988275</v>
      </c>
      <c r="R7" s="20" t="n">
        <v>1.1364415</v>
      </c>
    </row>
    <row r="8" spans="1:18">
      <c r="A8" s="15" t="s">
        <v>566</v>
      </c>
      <c r="B8" s="17" t="n">
        <v>3443</v>
      </c>
      <c r="C8" s="18">
        <f>(2669.0/B8*100)</f>
        <v/>
      </c>
      <c r="D8" s="19" t="n">
        <v>774</v>
      </c>
      <c r="E8" s="18" t="n">
        <v>51.40837565</v>
      </c>
      <c r="F8" s="20" t="n">
        <v>1.86225982</v>
      </c>
      <c r="G8" s="18" t="n">
        <v>23.02532185</v>
      </c>
      <c r="H8" s="20" t="n">
        <v>1.61996578</v>
      </c>
      <c r="I8" s="18" t="n">
        <v>0</v>
      </c>
      <c r="J8" s="20" t="n">
        <v>0</v>
      </c>
      <c r="K8" s="18" t="n">
        <v>0</v>
      </c>
      <c r="L8" s="20" t="n">
        <v>0</v>
      </c>
      <c r="M8" s="18" t="n">
        <v>0</v>
      </c>
      <c r="N8" s="20" t="n">
        <v>0</v>
      </c>
      <c r="O8" s="18" t="n">
        <v>0</v>
      </c>
      <c r="P8" s="20" t="n">
        <v>0</v>
      </c>
      <c r="Q8" s="18" t="n">
        <v>25.5663025</v>
      </c>
      <c r="R8" s="20" t="n">
        <v>1.60949348</v>
      </c>
    </row>
    <row r="9" spans="1:18">
      <c r="A9" s="15" t="s">
        <v>567</v>
      </c>
      <c r="B9" s="17" t="n">
        <v>4752</v>
      </c>
      <c r="C9" s="18">
        <f>(3740.0/B9*100)</f>
        <v/>
      </c>
      <c r="D9" s="19" t="n">
        <v>1012</v>
      </c>
      <c r="E9" s="18" t="n">
        <v>46.81860757</v>
      </c>
      <c r="F9" s="20" t="n">
        <v>1.657854</v>
      </c>
      <c r="G9" s="18" t="n">
        <v>34.53761275</v>
      </c>
      <c r="H9" s="20" t="n">
        <v>1.66555186</v>
      </c>
      <c r="I9" s="18" t="n">
        <v>0</v>
      </c>
      <c r="J9" s="20" t="n">
        <v>0</v>
      </c>
      <c r="K9" s="18" t="n">
        <v>0.2234316</v>
      </c>
      <c r="L9" s="20" t="n">
        <v>0.16267364</v>
      </c>
      <c r="M9" s="18" t="n">
        <v>0.16972197</v>
      </c>
      <c r="N9" s="20" t="n">
        <v>0.13862298</v>
      </c>
      <c r="O9" s="18" t="n">
        <v>0</v>
      </c>
      <c r="P9" s="20" t="n">
        <v>0</v>
      </c>
      <c r="Q9" s="18" t="n">
        <v>18.2506261</v>
      </c>
      <c r="R9" s="20" t="n">
        <v>1.33962885</v>
      </c>
    </row>
    <row r="10" spans="1:18">
      <c r="A10" s="15" t="s">
        <v>568</v>
      </c>
      <c r="B10" s="17" t="n">
        <v>10022</v>
      </c>
      <c r="C10" s="18">
        <f>(7836.0/B10*100)</f>
        <v/>
      </c>
      <c r="D10" s="19" t="n">
        <v>2186</v>
      </c>
      <c r="E10" s="18" t="n">
        <v>51.62307286</v>
      </c>
      <c r="F10" s="20" t="n">
        <v>1.73474089</v>
      </c>
      <c r="G10" s="18" t="n">
        <v>41.8049337</v>
      </c>
      <c r="H10" s="20" t="n">
        <v>1.73103096</v>
      </c>
      <c r="I10" s="18" t="n">
        <v>0</v>
      </c>
      <c r="J10" s="20" t="n">
        <v>0</v>
      </c>
      <c r="K10" s="18" t="n">
        <v>0.17749696</v>
      </c>
      <c r="L10" s="20" t="n">
        <v>0.17154043</v>
      </c>
      <c r="M10" s="18" t="n">
        <v>0</v>
      </c>
      <c r="N10" s="20" t="n">
        <v>0</v>
      </c>
      <c r="O10" s="18" t="n">
        <v>0</v>
      </c>
      <c r="P10" s="20" t="n">
        <v>0</v>
      </c>
      <c r="Q10" s="18" t="n">
        <v>6.39449647</v>
      </c>
      <c r="R10" s="20" t="n">
        <v>0.74383738</v>
      </c>
    </row>
    <row r="11" spans="1:18">
      <c r="A11" s="15" t="s">
        <v>569</v>
      </c>
      <c r="B11" s="17" t="n">
        <v>3500</v>
      </c>
      <c r="C11" s="18">
        <f>(2777.0/B11*100)</f>
        <v/>
      </c>
      <c r="D11" s="19" t="n">
        <v>723</v>
      </c>
      <c r="E11" s="18" t="n">
        <v>64.86356984</v>
      </c>
      <c r="F11" s="20" t="n">
        <v>2.03834546</v>
      </c>
      <c r="G11" s="18" t="n">
        <v>6.30054202</v>
      </c>
      <c r="H11" s="20" t="n">
        <v>1.01960963</v>
      </c>
      <c r="I11" s="18" t="n">
        <v>0</v>
      </c>
      <c r="J11" s="20" t="n">
        <v>0</v>
      </c>
      <c r="K11" s="18" t="n">
        <v>0.63869667</v>
      </c>
      <c r="L11" s="20" t="n">
        <v>0.33453748</v>
      </c>
      <c r="M11" s="18" t="n">
        <v>0.01499895</v>
      </c>
      <c r="N11" s="20" t="n">
        <v>0.01514986</v>
      </c>
      <c r="O11" s="18" t="n">
        <v>0</v>
      </c>
      <c r="P11" s="20" t="n">
        <v>0</v>
      </c>
      <c r="Q11" s="18" t="n">
        <v>28.18219252</v>
      </c>
      <c r="R11" s="20" t="n">
        <v>1.99960968</v>
      </c>
    </row>
    <row r="12" spans="1:18">
      <c r="A12" s="15" t="s">
        <v>570</v>
      </c>
      <c r="B12" s="17" t="n">
        <v>3422</v>
      </c>
      <c r="C12" s="18">
        <f>(2683.0/B12*100)</f>
        <v/>
      </c>
      <c r="D12" s="19" t="n">
        <v>739</v>
      </c>
      <c r="E12" s="18" t="n">
        <v>49.18130515</v>
      </c>
      <c r="F12" s="20" t="n">
        <v>2.24939348</v>
      </c>
      <c r="G12" s="18" t="n">
        <v>21.64055875</v>
      </c>
      <c r="H12" s="20" t="n">
        <v>1.9129468</v>
      </c>
      <c r="I12" s="18" t="n">
        <v>0</v>
      </c>
      <c r="J12" s="20" t="n">
        <v>0</v>
      </c>
      <c r="K12" s="18" t="n">
        <v>0</v>
      </c>
      <c r="L12" s="20" t="n">
        <v>0</v>
      </c>
      <c r="M12" s="18" t="n">
        <v>0</v>
      </c>
      <c r="N12" s="20" t="n">
        <v>0</v>
      </c>
      <c r="O12" s="18" t="n">
        <v>0</v>
      </c>
      <c r="P12" s="20" t="n">
        <v>0</v>
      </c>
      <c r="Q12" s="18" t="n">
        <v>29.1781361</v>
      </c>
      <c r="R12" s="20" t="n">
        <v>2.10226412</v>
      </c>
    </row>
    <row r="13" spans="1:18">
      <c r="A13" s="15" t="s">
        <v>571</v>
      </c>
      <c r="B13" s="17" t="n">
        <v>3602</v>
      </c>
      <c r="C13" s="18">
        <f>(2835.0/B13*100)</f>
        <v/>
      </c>
      <c r="D13" s="19" t="n">
        <v>767</v>
      </c>
      <c r="E13" s="18" t="n">
        <v>59.72742845</v>
      </c>
      <c r="F13" s="20" t="n">
        <v>2.08401538</v>
      </c>
      <c r="G13" s="18" t="n">
        <v>24.69666046</v>
      </c>
      <c r="H13" s="20" t="n">
        <v>1.86007172</v>
      </c>
      <c r="I13" s="18" t="n">
        <v>0</v>
      </c>
      <c r="J13" s="20" t="n">
        <v>0</v>
      </c>
      <c r="K13" s="18" t="n">
        <v>0</v>
      </c>
      <c r="L13" s="20" t="n">
        <v>0</v>
      </c>
      <c r="M13" s="18" t="n">
        <v>0.03256405</v>
      </c>
      <c r="N13" s="20" t="n">
        <v>0.03256342</v>
      </c>
      <c r="O13" s="18" t="n">
        <v>0</v>
      </c>
      <c r="P13" s="20" t="n">
        <v>0</v>
      </c>
      <c r="Q13" s="18" t="n">
        <v>15.54334704</v>
      </c>
      <c r="R13" s="20" t="n">
        <v>1.74849696</v>
      </c>
    </row>
    <row r="14" spans="1:18">
      <c r="A14" s="15" t="s">
        <v>572</v>
      </c>
      <c r="B14" s="17" t="n">
        <v>2788</v>
      </c>
      <c r="C14" s="18">
        <f>(2185.0/B14*100)</f>
        <v/>
      </c>
      <c r="D14" s="19" t="n">
        <v>603</v>
      </c>
      <c r="E14" s="18" t="n">
        <v>56.8404007</v>
      </c>
      <c r="F14" s="20" t="n">
        <v>2.40419755</v>
      </c>
      <c r="G14" s="18" t="n">
        <v>26.76127981</v>
      </c>
      <c r="H14" s="20" t="n">
        <v>2.08725149</v>
      </c>
      <c r="I14" s="18" t="n">
        <v>0</v>
      </c>
      <c r="J14" s="20" t="n">
        <v>0</v>
      </c>
      <c r="K14" s="18" t="n">
        <v>0.14742104</v>
      </c>
      <c r="L14" s="20" t="n">
        <v>0.14603807</v>
      </c>
      <c r="M14" s="18" t="n">
        <v>0</v>
      </c>
      <c r="N14" s="20" t="n">
        <v>0</v>
      </c>
      <c r="O14" s="18" t="n">
        <v>0</v>
      </c>
      <c r="P14" s="20" t="n">
        <v>0</v>
      </c>
      <c r="Q14" s="18" t="n">
        <v>16.25089845</v>
      </c>
      <c r="R14" s="20" t="n">
        <v>1.72888071</v>
      </c>
    </row>
    <row r="15" spans="1:18">
      <c r="A15" s="15" t="s">
        <v>573</v>
      </c>
      <c r="B15" s="17" t="n">
        <v>2863</v>
      </c>
      <c r="C15" s="18">
        <f>(2227.0/B15*100)</f>
        <v/>
      </c>
      <c r="D15" s="19" t="n">
        <v>636</v>
      </c>
      <c r="E15" s="18" t="n">
        <v>44.27863883</v>
      </c>
      <c r="F15" s="20" t="n">
        <v>2.25078403</v>
      </c>
      <c r="G15" s="18" t="n">
        <v>47.18648402</v>
      </c>
      <c r="H15" s="20" t="n">
        <v>2.23384476</v>
      </c>
      <c r="I15" s="18" t="n">
        <v>0</v>
      </c>
      <c r="J15" s="20" t="n">
        <v>0</v>
      </c>
      <c r="K15" s="18" t="n">
        <v>0</v>
      </c>
      <c r="L15" s="20" t="n">
        <v>0</v>
      </c>
      <c r="M15" s="18" t="n">
        <v>0</v>
      </c>
      <c r="N15" s="20" t="n">
        <v>0</v>
      </c>
      <c r="O15" s="18" t="n">
        <v>0</v>
      </c>
      <c r="P15" s="20" t="n">
        <v>0</v>
      </c>
      <c r="Q15" s="18" t="n">
        <v>8.53487715</v>
      </c>
      <c r="R15" s="20" t="n">
        <v>1.14741204</v>
      </c>
    </row>
    <row r="16" spans="1:18">
      <c r="A16" s="15" t="s">
        <v>574</v>
      </c>
      <c r="B16" s="17" t="n">
        <v>3111</v>
      </c>
      <c r="C16" s="18">
        <f>(2415.0/B16*100)</f>
        <v/>
      </c>
      <c r="D16" s="19" t="n">
        <v>696</v>
      </c>
      <c r="E16" s="18" t="n">
        <v>52.52207075</v>
      </c>
      <c r="F16" s="20" t="n">
        <v>1.9756321</v>
      </c>
      <c r="G16" s="18" t="n">
        <v>21.8171363</v>
      </c>
      <c r="H16" s="20" t="n">
        <v>1.45959127</v>
      </c>
      <c r="I16" s="18" t="n">
        <v>0</v>
      </c>
      <c r="J16" s="20" t="n">
        <v>0</v>
      </c>
      <c r="K16" s="18" t="n">
        <v>0.35668395</v>
      </c>
      <c r="L16" s="20" t="n">
        <v>0.39734124</v>
      </c>
      <c r="M16" s="18" t="n">
        <v>0</v>
      </c>
      <c r="N16" s="20" t="n">
        <v>0</v>
      </c>
      <c r="O16" s="18" t="n">
        <v>0</v>
      </c>
      <c r="P16" s="20" t="n">
        <v>0</v>
      </c>
      <c r="Q16" s="18" t="n">
        <v>25.30410899</v>
      </c>
      <c r="R16" s="20" t="n">
        <v>1.5756353</v>
      </c>
    </row>
    <row r="17" spans="1:18">
      <c r="A17" s="15" t="s">
        <v>575</v>
      </c>
      <c r="B17" s="17" t="n">
        <v>3197</v>
      </c>
      <c r="C17" s="18">
        <f>(2498.0/B17*100)</f>
        <v/>
      </c>
      <c r="D17" s="19" t="n">
        <v>699</v>
      </c>
      <c r="E17" s="18" t="n">
        <v>47.85053835</v>
      </c>
      <c r="F17" s="20" t="n">
        <v>2.2108515</v>
      </c>
      <c r="G17" s="18" t="n">
        <v>31.78153722</v>
      </c>
      <c r="H17" s="20" t="n">
        <v>2.07953184</v>
      </c>
      <c r="I17" s="18" t="n">
        <v>0</v>
      </c>
      <c r="J17" s="20" t="n">
        <v>0</v>
      </c>
      <c r="K17" s="18" t="n">
        <v>0</v>
      </c>
      <c r="L17" s="20" t="n">
        <v>0</v>
      </c>
      <c r="M17" s="18" t="n">
        <v>0</v>
      </c>
      <c r="N17" s="20" t="n">
        <v>0</v>
      </c>
      <c r="O17" s="18" t="n">
        <v>0</v>
      </c>
      <c r="P17" s="20" t="n">
        <v>0</v>
      </c>
      <c r="Q17" s="18" t="n">
        <v>20.36792443</v>
      </c>
      <c r="R17" s="20" t="n">
        <v>1.52117248</v>
      </c>
    </row>
    <row r="18" spans="1:18">
      <c r="A18" s="15" t="s">
        <v>576</v>
      </c>
      <c r="B18" s="17" t="n">
        <v>2706</v>
      </c>
      <c r="C18" s="18">
        <f>(2090.0/B18*100)</f>
        <v/>
      </c>
      <c r="D18" s="19" t="n">
        <v>616</v>
      </c>
      <c r="E18" s="18" t="n">
        <v>56.84106572</v>
      </c>
      <c r="F18" s="20" t="n">
        <v>2.13056492</v>
      </c>
      <c r="G18" s="18" t="n">
        <v>28.79935778</v>
      </c>
      <c r="H18" s="20" t="n">
        <v>1.98109098</v>
      </c>
      <c r="I18" s="18" t="n">
        <v>0</v>
      </c>
      <c r="J18" s="20" t="n">
        <v>0</v>
      </c>
      <c r="K18" s="18" t="n">
        <v>0.26661108</v>
      </c>
      <c r="L18" s="20" t="n">
        <v>0.26248542</v>
      </c>
      <c r="M18" s="18" t="n">
        <v>0</v>
      </c>
      <c r="N18" s="20" t="n">
        <v>0</v>
      </c>
      <c r="O18" s="18" t="n">
        <v>0</v>
      </c>
      <c r="P18" s="20" t="n">
        <v>0</v>
      </c>
      <c r="Q18" s="18" t="n">
        <v>14.09296542</v>
      </c>
      <c r="R18" s="20" t="n">
        <v>1.68413652</v>
      </c>
    </row>
    <row r="19" spans="1:18">
      <c r="A19" s="15" t="s">
        <v>577</v>
      </c>
      <c r="B19" s="17" t="n">
        <v>2850</v>
      </c>
      <c r="C19" s="18">
        <f>(2228.0/B19*100)</f>
        <v/>
      </c>
      <c r="D19" s="19" t="n">
        <v>622</v>
      </c>
      <c r="E19" s="18" t="n">
        <v>57.08603259</v>
      </c>
      <c r="F19" s="20" t="n">
        <v>2.04565759</v>
      </c>
      <c r="G19" s="18" t="n">
        <v>16.50567846</v>
      </c>
      <c r="H19" s="20" t="n">
        <v>1.67579486</v>
      </c>
      <c r="I19" s="18" t="n">
        <v>0</v>
      </c>
      <c r="J19" s="20" t="n">
        <v>0</v>
      </c>
      <c r="K19" s="18" t="n">
        <v>0</v>
      </c>
      <c r="L19" s="20" t="n">
        <v>0</v>
      </c>
      <c r="M19" s="18" t="n">
        <v>0</v>
      </c>
      <c r="N19" s="20" t="n">
        <v>0</v>
      </c>
      <c r="O19" s="18" t="n">
        <v>0</v>
      </c>
      <c r="P19" s="20" t="n">
        <v>0</v>
      </c>
      <c r="Q19" s="18" t="n">
        <v>26.40828894</v>
      </c>
      <c r="R19" s="20" t="n">
        <v>2.0981007</v>
      </c>
    </row>
    <row r="20" spans="1:18">
      <c r="A20" s="15" t="s">
        <v>578</v>
      </c>
      <c r="B20" s="17" t="n">
        <v>1741</v>
      </c>
      <c r="C20" s="18">
        <f>(1365.0/B20*100)</f>
        <v/>
      </c>
      <c r="D20" s="19" t="n">
        <v>376</v>
      </c>
      <c r="E20" s="18" t="n">
        <v>67.88973339</v>
      </c>
      <c r="F20" s="20" t="n">
        <v>2.40844757</v>
      </c>
      <c r="G20" s="18" t="n">
        <v>11.84277372</v>
      </c>
      <c r="H20" s="20" t="n">
        <v>1.51300211</v>
      </c>
      <c r="I20" s="18" t="n">
        <v>0</v>
      </c>
      <c r="J20" s="20" t="n">
        <v>0</v>
      </c>
      <c r="K20" s="18" t="n">
        <v>0.26254609</v>
      </c>
      <c r="L20" s="20" t="n">
        <v>0.26501684</v>
      </c>
      <c r="M20" s="18" t="n">
        <v>0.40717407</v>
      </c>
      <c r="N20" s="20" t="n">
        <v>0.41121619</v>
      </c>
      <c r="O20" s="18" t="n">
        <v>0</v>
      </c>
      <c r="P20" s="20" t="n">
        <v>0</v>
      </c>
      <c r="Q20" s="18" t="n">
        <v>19.59777274</v>
      </c>
      <c r="R20" s="20" t="n">
        <v>2.17751535</v>
      </c>
    </row>
    <row r="21" spans="1:18">
      <c r="A21" s="15" t="s">
        <v>579</v>
      </c>
      <c r="B21" s="17" t="n">
        <v>2833</v>
      </c>
      <c r="C21" s="18">
        <f>(2213.0/B21*100)</f>
        <v/>
      </c>
      <c r="D21" s="19" t="n">
        <v>620</v>
      </c>
      <c r="E21" s="18" t="n">
        <v>64.04109029</v>
      </c>
      <c r="F21" s="20" t="n">
        <v>2.29406709</v>
      </c>
      <c r="G21" s="18" t="n">
        <v>25.6202515</v>
      </c>
      <c r="H21" s="20" t="n">
        <v>2.20937372</v>
      </c>
      <c r="I21" s="18" t="n">
        <v>0</v>
      </c>
      <c r="J21" s="20" t="n">
        <v>0</v>
      </c>
      <c r="K21" s="18" t="n">
        <v>0</v>
      </c>
      <c r="L21" s="20" t="n">
        <v>0</v>
      </c>
      <c r="M21" s="18" t="n">
        <v>0</v>
      </c>
      <c r="N21" s="20" t="n">
        <v>0</v>
      </c>
      <c r="O21" s="18" t="n">
        <v>0</v>
      </c>
      <c r="P21" s="20" t="n">
        <v>0</v>
      </c>
      <c r="Q21" s="18" t="n">
        <v>10.33865821</v>
      </c>
      <c r="R21" s="20" t="n">
        <v>1.32473818</v>
      </c>
    </row>
    <row r="22" spans="1:18">
      <c r="A22" s="15" t="s">
        <v>580</v>
      </c>
      <c r="B22" s="17" t="n">
        <v>3667</v>
      </c>
      <c r="C22" s="18">
        <f>(2909.0/B22*100)</f>
        <v/>
      </c>
      <c r="D22" s="19" t="n">
        <v>758</v>
      </c>
      <c r="E22" s="18" t="n">
        <v>48.90800239</v>
      </c>
      <c r="F22" s="20" t="n">
        <v>2.19689756</v>
      </c>
      <c r="G22" s="18" t="n">
        <v>32.53635007</v>
      </c>
      <c r="H22" s="20" t="n">
        <v>2.01862923</v>
      </c>
      <c r="I22" s="18" t="n">
        <v>0</v>
      </c>
      <c r="J22" s="20" t="n">
        <v>0</v>
      </c>
      <c r="K22" s="18" t="n">
        <v>0.14273415</v>
      </c>
      <c r="L22" s="20" t="n">
        <v>0.1488366</v>
      </c>
      <c r="M22" s="18" t="n">
        <v>0</v>
      </c>
      <c r="N22" s="20" t="n">
        <v>0</v>
      </c>
      <c r="O22" s="18" t="n">
        <v>0</v>
      </c>
      <c r="P22" s="20" t="n">
        <v>0</v>
      </c>
      <c r="Q22" s="18" t="n">
        <v>18.41291339</v>
      </c>
      <c r="R22" s="20" t="n">
        <v>1.65655508</v>
      </c>
    </row>
    <row r="23" spans="1:18">
      <c r="A23" s="15" t="s">
        <v>581</v>
      </c>
      <c r="B23" s="17" t="n">
        <v>5792</v>
      </c>
      <c r="C23" s="18">
        <f>(4496.0/B23*100)</f>
        <v/>
      </c>
      <c r="D23" s="19" t="n">
        <v>1296</v>
      </c>
      <c r="E23" s="18" t="n">
        <v>54.84133977</v>
      </c>
      <c r="F23" s="20" t="n">
        <v>1.99363311</v>
      </c>
      <c r="G23" s="18" t="n">
        <v>20.29205184</v>
      </c>
      <c r="H23" s="20" t="n">
        <v>1.83130445</v>
      </c>
      <c r="I23" s="18" t="n">
        <v>0</v>
      </c>
      <c r="J23" s="20" t="n">
        <v>0</v>
      </c>
      <c r="K23" s="18" t="n">
        <v>0.23205285</v>
      </c>
      <c r="L23" s="20" t="n">
        <v>0.18710162</v>
      </c>
      <c r="M23" s="18" t="n">
        <v>0</v>
      </c>
      <c r="N23" s="20" t="n">
        <v>0</v>
      </c>
      <c r="O23" s="18" t="n">
        <v>0</v>
      </c>
      <c r="P23" s="20" t="n">
        <v>0</v>
      </c>
      <c r="Q23" s="18" t="n">
        <v>24.63455554</v>
      </c>
      <c r="R23" s="20" t="n">
        <v>1.75207098</v>
      </c>
    </row>
    <row r="24" spans="1:18">
      <c r="A24" s="15" t="s">
        <v>582</v>
      </c>
      <c r="B24" s="17" t="n">
        <v>3309</v>
      </c>
      <c r="C24" s="18">
        <f>(2591.0/B24*100)</f>
        <v/>
      </c>
      <c r="D24" s="19" t="n">
        <v>718</v>
      </c>
      <c r="E24" s="18" t="n">
        <v>37.28561428</v>
      </c>
      <c r="F24" s="20" t="n">
        <v>2.05744146</v>
      </c>
      <c r="G24" s="18" t="n">
        <v>47.88628124</v>
      </c>
      <c r="H24" s="20" t="n">
        <v>2.07520522</v>
      </c>
      <c r="I24" s="18" t="n">
        <v>0</v>
      </c>
      <c r="J24" s="20" t="n">
        <v>0</v>
      </c>
      <c r="K24" s="18" t="n">
        <v>0.16654609</v>
      </c>
      <c r="L24" s="20" t="n">
        <v>0.15546627</v>
      </c>
      <c r="M24" s="18" t="n">
        <v>0</v>
      </c>
      <c r="N24" s="20" t="n">
        <v>0</v>
      </c>
      <c r="O24" s="18" t="n">
        <v>0</v>
      </c>
      <c r="P24" s="20" t="n">
        <v>0</v>
      </c>
      <c r="Q24" s="18" t="n">
        <v>14.66155839</v>
      </c>
      <c r="R24" s="20" t="n">
        <v>1.30908801</v>
      </c>
    </row>
    <row r="25" spans="1:18">
      <c r="A25" s="15" t="s">
        <v>583</v>
      </c>
      <c r="B25" s="17" t="n">
        <v>2669</v>
      </c>
      <c r="C25" s="18">
        <f>(2068.0/B25*100)</f>
        <v/>
      </c>
      <c r="D25" s="19" t="n">
        <v>601</v>
      </c>
      <c r="E25" s="18" t="n">
        <v>64.48188602</v>
      </c>
      <c r="F25" s="20" t="n">
        <v>2.18029859</v>
      </c>
      <c r="G25" s="18" t="n">
        <v>21.83213741</v>
      </c>
      <c r="H25" s="20" t="n">
        <v>1.96983213</v>
      </c>
      <c r="I25" s="18" t="n">
        <v>0</v>
      </c>
      <c r="J25" s="20" t="n">
        <v>0</v>
      </c>
      <c r="K25" s="18" t="n">
        <v>0.16470226</v>
      </c>
      <c r="L25" s="20" t="n">
        <v>0.1646375</v>
      </c>
      <c r="M25" s="18" t="n">
        <v>0</v>
      </c>
      <c r="N25" s="20" t="n">
        <v>0</v>
      </c>
      <c r="O25" s="18" t="n">
        <v>0</v>
      </c>
      <c r="P25" s="20" t="n">
        <v>0</v>
      </c>
      <c r="Q25" s="18" t="n">
        <v>13.52127431</v>
      </c>
      <c r="R25" s="20" t="n">
        <v>1.3766895</v>
      </c>
    </row>
    <row r="26" spans="1:18">
      <c r="A26" s="15" t="s">
        <v>584</v>
      </c>
      <c r="B26" s="17" t="n">
        <v>2419</v>
      </c>
      <c r="C26" s="18">
        <f>(1863.0/B26*100)</f>
        <v/>
      </c>
      <c r="D26" s="19" t="n">
        <v>556</v>
      </c>
      <c r="E26" s="18" t="n">
        <v>60.95525537</v>
      </c>
      <c r="F26" s="20" t="n">
        <v>2.57579582</v>
      </c>
      <c r="G26" s="18" t="n">
        <v>21.16778169</v>
      </c>
      <c r="H26" s="20" t="n">
        <v>2.13882132</v>
      </c>
      <c r="I26" s="18" t="n">
        <v>0</v>
      </c>
      <c r="J26" s="20" t="n">
        <v>0</v>
      </c>
      <c r="K26" s="18" t="n">
        <v>0</v>
      </c>
      <c r="L26" s="20" t="n">
        <v>0</v>
      </c>
      <c r="M26" s="18" t="n">
        <v>0.123408</v>
      </c>
      <c r="N26" s="20" t="n">
        <v>0.12361732</v>
      </c>
      <c r="O26" s="18" t="n">
        <v>0</v>
      </c>
      <c r="P26" s="20" t="n">
        <v>0</v>
      </c>
      <c r="Q26" s="18" t="n">
        <v>17.75355494</v>
      </c>
      <c r="R26" s="20" t="n">
        <v>1.62346543</v>
      </c>
    </row>
    <row r="27" spans="1:18">
      <c r="A27" s="15" t="s">
        <v>585</v>
      </c>
      <c r="B27" s="17" t="n">
        <v>2683</v>
      </c>
      <c r="C27" s="18">
        <f>(2106.0/B27*100)</f>
        <v/>
      </c>
      <c r="D27" s="19" t="n">
        <v>577</v>
      </c>
      <c r="E27" s="18" t="n">
        <v>56.85373935</v>
      </c>
      <c r="F27" s="20" t="n">
        <v>2.03331931</v>
      </c>
      <c r="G27" s="18" t="n">
        <v>21.62860537</v>
      </c>
      <c r="H27" s="20" t="n">
        <v>1.76216433</v>
      </c>
      <c r="I27" s="18" t="n">
        <v>0</v>
      </c>
      <c r="J27" s="20" t="n">
        <v>0</v>
      </c>
      <c r="K27" s="18" t="n">
        <v>0.17163945</v>
      </c>
      <c r="L27" s="20" t="n">
        <v>0.17162661</v>
      </c>
      <c r="M27" s="18" t="n">
        <v>0</v>
      </c>
      <c r="N27" s="20" t="n">
        <v>0</v>
      </c>
      <c r="O27" s="18" t="n">
        <v>0</v>
      </c>
      <c r="P27" s="20" t="n">
        <v>0</v>
      </c>
      <c r="Q27" s="18" t="n">
        <v>21.34601583</v>
      </c>
      <c r="R27" s="20" t="n">
        <v>1.80679185</v>
      </c>
    </row>
    <row r="28" spans="1:18">
      <c r="A28" s="15" t="s">
        <v>586</v>
      </c>
      <c r="B28" s="17" t="n">
        <v>3803</v>
      </c>
      <c r="C28" s="18">
        <f>(3058.0/B28*100)</f>
        <v/>
      </c>
      <c r="D28" s="19" t="n">
        <v>745</v>
      </c>
      <c r="E28" s="18" t="n">
        <v>86.51600166</v>
      </c>
      <c r="F28" s="20" t="n">
        <v>1.57487905</v>
      </c>
      <c r="G28" s="18" t="n">
        <v>6.32753377</v>
      </c>
      <c r="H28" s="20" t="n">
        <v>1.07391593</v>
      </c>
      <c r="I28" s="18" t="n">
        <v>0</v>
      </c>
      <c r="J28" s="20" t="n">
        <v>0</v>
      </c>
      <c r="K28" s="18" t="n">
        <v>0.46790285</v>
      </c>
      <c r="L28" s="20" t="n">
        <v>0.35866386</v>
      </c>
      <c r="M28" s="18" t="n">
        <v>0.11334872</v>
      </c>
      <c r="N28" s="20" t="n">
        <v>0.11270188</v>
      </c>
      <c r="O28" s="18" t="n">
        <v>0</v>
      </c>
      <c r="P28" s="20" t="n">
        <v>0</v>
      </c>
      <c r="Q28" s="18" t="n">
        <v>6.575213</v>
      </c>
      <c r="R28" s="20" t="n">
        <v>1.06995445</v>
      </c>
    </row>
    <row r="29" spans="1:18">
      <c r="A29" s="15" t="s">
        <v>587</v>
      </c>
      <c r="B29" s="17" t="n">
        <v>2700</v>
      </c>
      <c r="C29" s="18">
        <f>(2097.0/B29*100)</f>
        <v/>
      </c>
      <c r="D29" s="19" t="n">
        <v>603</v>
      </c>
      <c r="E29" s="18" t="n">
        <v>52.01418711</v>
      </c>
      <c r="F29" s="20" t="n">
        <v>2.56733617</v>
      </c>
      <c r="G29" s="18" t="n">
        <v>41.29306087</v>
      </c>
      <c r="H29" s="20" t="n">
        <v>2.47027352</v>
      </c>
      <c r="I29" s="18" t="n">
        <v>0</v>
      </c>
      <c r="J29" s="20" t="n">
        <v>0</v>
      </c>
      <c r="K29" s="18" t="n">
        <v>0</v>
      </c>
      <c r="L29" s="20" t="n">
        <v>0</v>
      </c>
      <c r="M29" s="18" t="n">
        <v>0</v>
      </c>
      <c r="N29" s="20" t="n">
        <v>0</v>
      </c>
      <c r="O29" s="18" t="n">
        <v>0</v>
      </c>
      <c r="P29" s="20" t="n">
        <v>0</v>
      </c>
      <c r="Q29" s="18" t="n">
        <v>6.69275201</v>
      </c>
      <c r="R29" s="20" t="n">
        <v>1.1283257</v>
      </c>
    </row>
    <row r="30" spans="1:18">
      <c r="A30" s="15" t="s">
        <v>588</v>
      </c>
      <c r="B30" s="17" t="n">
        <v>2257</v>
      </c>
      <c r="C30" s="18">
        <f>(1787.0/B30*100)</f>
        <v/>
      </c>
      <c r="D30" s="19" t="n">
        <v>470</v>
      </c>
      <c r="E30" s="18" t="n">
        <v>42.2527677</v>
      </c>
      <c r="F30" s="20" t="n">
        <v>2.22551864</v>
      </c>
      <c r="G30" s="18" t="n">
        <v>45.71032401</v>
      </c>
      <c r="H30" s="20" t="n">
        <v>2.10907365</v>
      </c>
      <c r="I30" s="18" t="n">
        <v>0</v>
      </c>
      <c r="J30" s="20" t="n">
        <v>0</v>
      </c>
      <c r="K30" s="18" t="n">
        <v>0</v>
      </c>
      <c r="L30" s="20" t="n">
        <v>0</v>
      </c>
      <c r="M30" s="18" t="n">
        <v>0.19743432</v>
      </c>
      <c r="N30" s="20" t="n">
        <v>0.19594097</v>
      </c>
      <c r="O30" s="18" t="n">
        <v>0</v>
      </c>
      <c r="P30" s="20" t="n">
        <v>0</v>
      </c>
      <c r="Q30" s="18" t="n">
        <v>11.83947396</v>
      </c>
      <c r="R30" s="20" t="n">
        <v>1.6196426</v>
      </c>
    </row>
    <row r="31" spans="1:18">
      <c r="A31" s="15" t="s">
        <v>589</v>
      </c>
      <c r="B31" s="17" t="n">
        <v>2706</v>
      </c>
      <c r="C31" s="18">
        <f>(2128.0/B31*100)</f>
        <v/>
      </c>
      <c r="D31" s="19" t="n">
        <v>578</v>
      </c>
      <c r="E31" s="18" t="n">
        <v>49.99302826</v>
      </c>
      <c r="F31" s="20" t="n">
        <v>2.37609591</v>
      </c>
      <c r="G31" s="18" t="n">
        <v>33.84931332</v>
      </c>
      <c r="H31" s="20" t="n">
        <v>2.11010825</v>
      </c>
      <c r="I31" s="18" t="n">
        <v>0</v>
      </c>
      <c r="J31" s="20" t="n">
        <v>0</v>
      </c>
      <c r="K31" s="18" t="n">
        <v>0.33016166</v>
      </c>
      <c r="L31" s="20" t="n">
        <v>0.22645642</v>
      </c>
      <c r="M31" s="18" t="n">
        <v>0.33004553</v>
      </c>
      <c r="N31" s="20" t="n">
        <v>0.22139953</v>
      </c>
      <c r="O31" s="18" t="n">
        <v>0</v>
      </c>
      <c r="P31" s="20" t="n">
        <v>0</v>
      </c>
      <c r="Q31" s="18" t="n">
        <v>15.49745123</v>
      </c>
      <c r="R31" s="20" t="n">
        <v>1.46742327</v>
      </c>
    </row>
    <row r="32" spans="1:18">
      <c r="A32" s="15" t="s">
        <v>590</v>
      </c>
      <c r="B32" s="17" t="n">
        <v>2209</v>
      </c>
      <c r="C32" s="18">
        <f>(1710.0/B32*100)</f>
        <v/>
      </c>
      <c r="D32" s="19" t="n">
        <v>499</v>
      </c>
      <c r="E32" s="18" t="n">
        <v>54.48631511</v>
      </c>
      <c r="F32" s="20" t="n">
        <v>2.43949305</v>
      </c>
      <c r="G32" s="18" t="n">
        <v>17.58273916</v>
      </c>
      <c r="H32" s="20" t="n">
        <v>1.98199118</v>
      </c>
      <c r="I32" s="18" t="n">
        <v>0</v>
      </c>
      <c r="J32" s="20" t="n">
        <v>0</v>
      </c>
      <c r="K32" s="18" t="n">
        <v>0</v>
      </c>
      <c r="L32" s="20" t="n">
        <v>0</v>
      </c>
      <c r="M32" s="18" t="n">
        <v>0.85604766</v>
      </c>
      <c r="N32" s="20" t="n">
        <v>0.90853378</v>
      </c>
      <c r="O32" s="18" t="n">
        <v>0</v>
      </c>
      <c r="P32" s="20" t="n">
        <v>0</v>
      </c>
      <c r="Q32" s="18" t="n">
        <v>27.07489807</v>
      </c>
      <c r="R32" s="20" t="n">
        <v>2.09831808</v>
      </c>
    </row>
    <row r="33" spans="1:18">
      <c r="A33" s="15" t="s">
        <v>591</v>
      </c>
      <c r="B33" s="17" t="n">
        <v>3651</v>
      </c>
      <c r="C33" s="18">
        <f>(2885.0/B33*100)</f>
        <v/>
      </c>
      <c r="D33" s="19" t="n">
        <v>766</v>
      </c>
      <c r="E33" s="18" t="n">
        <v>49.12853765</v>
      </c>
      <c r="F33" s="20" t="n">
        <v>2.18364264</v>
      </c>
      <c r="G33" s="18" t="n">
        <v>26.59568318</v>
      </c>
      <c r="H33" s="20" t="n">
        <v>2.11314922</v>
      </c>
      <c r="I33" s="18" t="n">
        <v>0</v>
      </c>
      <c r="J33" s="20" t="n">
        <v>0</v>
      </c>
      <c r="K33" s="18" t="n">
        <v>0</v>
      </c>
      <c r="L33" s="20" t="n">
        <v>0</v>
      </c>
      <c r="M33" s="18" t="n">
        <v>0.37523065</v>
      </c>
      <c r="N33" s="20" t="n">
        <v>0.2203589</v>
      </c>
      <c r="O33" s="18" t="n">
        <v>0</v>
      </c>
      <c r="P33" s="20" t="n">
        <v>0</v>
      </c>
      <c r="Q33" s="18" t="n">
        <v>23.90054851</v>
      </c>
      <c r="R33" s="20" t="n">
        <v>1.9163561</v>
      </c>
    </row>
    <row r="34" spans="1:18">
      <c r="A34" s="15" t="s">
        <v>592</v>
      </c>
      <c r="B34" s="17" t="n">
        <v>3035</v>
      </c>
      <c r="C34" s="18">
        <f>(2373.0/B34*100)</f>
        <v/>
      </c>
      <c r="D34" s="19" t="n">
        <v>662</v>
      </c>
      <c r="E34" s="18" t="n">
        <v>57.74048856</v>
      </c>
      <c r="F34" s="20" t="n">
        <v>2.11683718</v>
      </c>
      <c r="G34" s="18" t="n">
        <v>15.97989114</v>
      </c>
      <c r="H34" s="20" t="n">
        <v>1.7371721</v>
      </c>
      <c r="I34" s="18" t="n">
        <v>0</v>
      </c>
      <c r="J34" s="20" t="n">
        <v>0</v>
      </c>
      <c r="K34" s="18" t="n">
        <v>0.20451107</v>
      </c>
      <c r="L34" s="20" t="n">
        <v>0.11452311</v>
      </c>
      <c r="M34" s="18" t="n">
        <v>8.53665408</v>
      </c>
      <c r="N34" s="20" t="n">
        <v>1.8081526</v>
      </c>
      <c r="O34" s="18" t="n">
        <v>0</v>
      </c>
      <c r="P34" s="20" t="n">
        <v>0</v>
      </c>
      <c r="Q34" s="18" t="n">
        <v>17.53845515</v>
      </c>
      <c r="R34" s="20" t="n">
        <v>1.74666246</v>
      </c>
    </row>
    <row r="35" spans="1:18">
      <c r="A35" s="15" t="s">
        <v>593</v>
      </c>
      <c r="B35" s="17" t="n">
        <v>2901</v>
      </c>
      <c r="C35" s="18">
        <f>(2251.0/B35*100)</f>
        <v/>
      </c>
      <c r="D35" s="19" t="n">
        <v>650</v>
      </c>
      <c r="E35" s="18" t="n">
        <v>58.43520438</v>
      </c>
      <c r="F35" s="20" t="n">
        <v>2.28579885</v>
      </c>
      <c r="G35" s="18" t="n">
        <v>26.67680812</v>
      </c>
      <c r="H35" s="20" t="n">
        <v>2.13703303</v>
      </c>
      <c r="I35" s="18" t="n">
        <v>0</v>
      </c>
      <c r="J35" s="20" t="n">
        <v>0</v>
      </c>
      <c r="K35" s="18" t="n">
        <v>0.08417825</v>
      </c>
      <c r="L35" s="20" t="n">
        <v>0.08429837</v>
      </c>
      <c r="M35" s="18" t="n">
        <v>0</v>
      </c>
      <c r="N35" s="20" t="n">
        <v>0</v>
      </c>
      <c r="O35" s="18" t="n">
        <v>0</v>
      </c>
      <c r="P35" s="20" t="n">
        <v>0</v>
      </c>
      <c r="Q35" s="18" t="n">
        <v>14.80380926</v>
      </c>
      <c r="R35" s="20" t="n">
        <v>1.5844651</v>
      </c>
    </row>
    <row r="36" spans="1:18">
      <c r="A36" s="15" t="s">
        <v>594</v>
      </c>
      <c r="B36" s="17" t="n">
        <v>3404</v>
      </c>
      <c r="C36" s="18">
        <f>(2683.0/B36*100)</f>
        <v/>
      </c>
      <c r="D36" s="19" t="n">
        <v>721</v>
      </c>
      <c r="E36" s="18" t="n">
        <v>64.60473617</v>
      </c>
      <c r="F36" s="20" t="n">
        <v>1.78776903</v>
      </c>
      <c r="G36" s="18" t="n">
        <v>20.50822118</v>
      </c>
      <c r="H36" s="20" t="n">
        <v>1.72061157</v>
      </c>
      <c r="I36" s="18" t="n">
        <v>0</v>
      </c>
      <c r="J36" s="20" t="n">
        <v>0</v>
      </c>
      <c r="K36" s="18" t="n">
        <v>0</v>
      </c>
      <c r="L36" s="20" t="n">
        <v>0</v>
      </c>
      <c r="M36" s="18" t="n">
        <v>0.27185026</v>
      </c>
      <c r="N36" s="20" t="n">
        <v>0.18942662</v>
      </c>
      <c r="O36" s="18" t="n">
        <v>0</v>
      </c>
      <c r="P36" s="20" t="n">
        <v>0</v>
      </c>
      <c r="Q36" s="18" t="n">
        <v>14.61519239</v>
      </c>
      <c r="R36" s="20" t="n">
        <v>1.41752679</v>
      </c>
    </row>
    <row r="37" spans="1:18">
      <c r="A37" s="15" t="s">
        <v>595</v>
      </c>
      <c r="B37" s="17" t="n">
        <v>2731</v>
      </c>
      <c r="C37" s="18">
        <f>(2134.0/B37*100)</f>
        <v/>
      </c>
      <c r="D37" s="19" t="n">
        <v>597</v>
      </c>
      <c r="E37" s="18" t="n">
        <v>47.08352831</v>
      </c>
      <c r="F37" s="20" t="n">
        <v>2.38133518</v>
      </c>
      <c r="G37" s="18" t="n">
        <v>28.66755233</v>
      </c>
      <c r="H37" s="20" t="n">
        <v>2.42882203</v>
      </c>
      <c r="I37" s="18" t="n">
        <v>0</v>
      </c>
      <c r="J37" s="20" t="n">
        <v>0</v>
      </c>
      <c r="K37" s="18" t="n">
        <v>0.4963098</v>
      </c>
      <c r="L37" s="20" t="n">
        <v>0.2849442</v>
      </c>
      <c r="M37" s="18" t="n">
        <v>0</v>
      </c>
      <c r="N37" s="20" t="n">
        <v>0</v>
      </c>
      <c r="O37" s="18" t="n">
        <v>0</v>
      </c>
      <c r="P37" s="20" t="n">
        <v>0</v>
      </c>
      <c r="Q37" s="18" t="n">
        <v>23.75260956</v>
      </c>
      <c r="R37" s="20" t="n">
        <v>1.84542269</v>
      </c>
    </row>
    <row r="38" spans="1:18">
      <c r="A38" s="15" t="s">
        <v>596</v>
      </c>
      <c r="B38" s="17" t="n">
        <v>2807</v>
      </c>
      <c r="C38" s="18">
        <f>(2157.0/B38*100)</f>
        <v/>
      </c>
      <c r="D38" s="19" t="n">
        <v>650</v>
      </c>
      <c r="E38" s="18" t="n">
        <v>57.74653309</v>
      </c>
      <c r="F38" s="20" t="n">
        <v>2.52696197</v>
      </c>
      <c r="G38" s="18" t="n">
        <v>20.76128781</v>
      </c>
      <c r="H38" s="20" t="n">
        <v>1.63911762</v>
      </c>
      <c r="I38" s="18" t="n">
        <v>0</v>
      </c>
      <c r="J38" s="20" t="n">
        <v>0</v>
      </c>
      <c r="K38" s="18" t="n">
        <v>0.17541716</v>
      </c>
      <c r="L38" s="20" t="n">
        <v>0.17447946</v>
      </c>
      <c r="M38" s="18" t="n">
        <v>1.63463633</v>
      </c>
      <c r="N38" s="20" t="n">
        <v>0.5314125</v>
      </c>
      <c r="O38" s="18" t="n">
        <v>0</v>
      </c>
      <c r="P38" s="20" t="n">
        <v>0</v>
      </c>
      <c r="Q38" s="18" t="n">
        <v>19.68212562</v>
      </c>
      <c r="R38" s="20" t="n">
        <v>1.97819674</v>
      </c>
    </row>
    <row r="39" spans="1:18">
      <c r="A39" s="15" t="s">
        <v>597</v>
      </c>
      <c r="B39" s="17" t="n">
        <v>2938</v>
      </c>
      <c r="C39" s="18">
        <f>(2288.0/B39*100)</f>
        <v/>
      </c>
      <c r="D39" s="19" t="n">
        <v>650</v>
      </c>
      <c r="E39" s="18" t="n">
        <v>60.56231147</v>
      </c>
      <c r="F39" s="20" t="n">
        <v>1.99275293</v>
      </c>
      <c r="G39" s="18" t="n">
        <v>24.87499709</v>
      </c>
      <c r="H39" s="20" t="n">
        <v>2.17940157</v>
      </c>
      <c r="I39" s="18" t="n">
        <v>0</v>
      </c>
      <c r="J39" s="20" t="n">
        <v>0</v>
      </c>
      <c r="K39" s="18" t="n">
        <v>0.14466618</v>
      </c>
      <c r="L39" s="20" t="n">
        <v>0.1443615</v>
      </c>
      <c r="M39" s="18" t="n">
        <v>0</v>
      </c>
      <c r="N39" s="20" t="n">
        <v>0</v>
      </c>
      <c r="O39" s="18" t="n">
        <v>0</v>
      </c>
      <c r="P39" s="20" t="n">
        <v>0</v>
      </c>
      <c r="Q39" s="18" t="n">
        <v>14.41802526</v>
      </c>
      <c r="R39" s="20" t="n">
        <v>1.47194583</v>
      </c>
    </row>
    <row r="40" spans="1:18">
      <c r="A40" s="15" t="s">
        <v>598</v>
      </c>
      <c r="B40" s="17" t="n">
        <v>6922</v>
      </c>
      <c r="C40" s="18">
        <f>(5372.0/B40*100)</f>
        <v/>
      </c>
      <c r="D40" s="19" t="n">
        <v>1550</v>
      </c>
      <c r="E40" s="18" t="n">
        <v>30.9660331</v>
      </c>
      <c r="F40" s="20" t="n">
        <v>1.73155248</v>
      </c>
      <c r="G40" s="18" t="n">
        <v>57.68044565</v>
      </c>
      <c r="H40" s="20" t="n">
        <v>2.03068833</v>
      </c>
      <c r="I40" s="18" t="n">
        <v>0</v>
      </c>
      <c r="J40" s="20" t="n">
        <v>0</v>
      </c>
      <c r="K40" s="18" t="n">
        <v>0.02700333</v>
      </c>
      <c r="L40" s="20" t="n">
        <v>0.01678263</v>
      </c>
      <c r="M40" s="18" t="n">
        <v>0</v>
      </c>
      <c r="N40" s="20" t="n">
        <v>0</v>
      </c>
      <c r="O40" s="18" t="n">
        <v>0</v>
      </c>
      <c r="P40" s="20" t="n">
        <v>0</v>
      </c>
      <c r="Q40" s="18" t="n">
        <v>11.32651791</v>
      </c>
      <c r="R40" s="20" t="n">
        <v>1.22221719</v>
      </c>
    </row>
    <row r="41" spans="1:18">
      <c r="A41" s="15" t="s">
        <v>599</v>
      </c>
      <c r="B41" s="17" t="n">
        <v>2854</v>
      </c>
      <c r="C41" s="18">
        <f>(2249.0/B41*100)</f>
        <v/>
      </c>
      <c r="D41" s="19" t="n">
        <v>605</v>
      </c>
      <c r="E41" s="18" t="n">
        <v>77.65197943</v>
      </c>
      <c r="F41" s="20" t="n">
        <v>1.94763878</v>
      </c>
      <c r="G41" s="18" t="n">
        <v>16.01798575</v>
      </c>
      <c r="H41" s="20" t="n">
        <v>1.83630243</v>
      </c>
      <c r="I41" s="18" t="n">
        <v>0</v>
      </c>
      <c r="J41" s="20" t="n">
        <v>0</v>
      </c>
      <c r="K41" s="18" t="n">
        <v>0.22325673</v>
      </c>
      <c r="L41" s="20" t="n">
        <v>0.24007796</v>
      </c>
      <c r="M41" s="18" t="n">
        <v>0</v>
      </c>
      <c r="N41" s="20" t="n">
        <v>0</v>
      </c>
      <c r="O41" s="18" t="n">
        <v>0</v>
      </c>
      <c r="P41" s="20" t="n">
        <v>0</v>
      </c>
      <c r="Q41" s="18" t="n">
        <v>6.1067781</v>
      </c>
      <c r="R41" s="20" t="n">
        <v>1.01612359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(9968.0/B46*100)</f>
        <v/>
      </c>
      <c r="D46" s="19" t="n">
        <v>2105</v>
      </c>
      <c r="E46" s="18" t="n">
        <v>63.05234358</v>
      </c>
      <c r="F46" s="20" t="n">
        <v>1.6173338</v>
      </c>
      <c r="G46" s="18" t="n">
        <v>6.67921832</v>
      </c>
      <c r="H46" s="20" t="n">
        <v>0.7945595600000001</v>
      </c>
      <c r="I46" s="18" t="n">
        <v>0</v>
      </c>
      <c r="J46" s="20" t="n">
        <v>0</v>
      </c>
      <c r="K46" s="18" t="n">
        <v>0.53581894</v>
      </c>
      <c r="L46" s="20" t="n">
        <v>0.18391182</v>
      </c>
      <c r="M46" s="18" t="n">
        <v>0.41041709</v>
      </c>
      <c r="N46" s="20" t="n">
        <v>0.17162329</v>
      </c>
      <c r="O46" s="18" t="n">
        <v>0</v>
      </c>
      <c r="P46" s="20" t="n">
        <v>0</v>
      </c>
      <c r="Q46" s="18" t="n">
        <v>29.32220206</v>
      </c>
      <c r="R46" s="20" t="n">
        <v>1.53127935</v>
      </c>
    </row>
    <row r="47" spans="1:18">
      <c r="A47" s="15" t="s">
        <v>606</v>
      </c>
      <c r="B47" s="17" t="n">
        <v>2823</v>
      </c>
      <c r="C47" s="18">
        <f>(2227.0/B47*100)</f>
        <v/>
      </c>
      <c r="D47" s="19" t="n">
        <v>596</v>
      </c>
      <c r="E47" s="18" t="n">
        <v>46.10971846</v>
      </c>
      <c r="F47" s="20" t="n">
        <v>2.38963625</v>
      </c>
      <c r="G47" s="18" t="n">
        <v>27.27677071</v>
      </c>
      <c r="H47" s="20" t="n">
        <v>2.63926315</v>
      </c>
      <c r="I47" s="18" t="n">
        <v>0</v>
      </c>
      <c r="J47" s="20" t="n">
        <v>0</v>
      </c>
      <c r="K47" s="18" t="n">
        <v>0</v>
      </c>
      <c r="L47" s="20" t="n">
        <v>0</v>
      </c>
      <c r="M47" s="18" t="n">
        <v>0.33427737</v>
      </c>
      <c r="N47" s="20" t="n">
        <v>0.23261061</v>
      </c>
      <c r="O47" s="18" t="n">
        <v>0</v>
      </c>
      <c r="P47" s="20" t="n">
        <v>0</v>
      </c>
      <c r="Q47" s="18" t="n">
        <v>26.27923346</v>
      </c>
      <c r="R47" s="20" t="n">
        <v>2.21602275</v>
      </c>
    </row>
    <row r="48" spans="1:18">
      <c r="A48" s="15" t="s">
        <v>607</v>
      </c>
      <c r="B48" s="17" t="n">
        <v>4682</v>
      </c>
      <c r="C48" s="18">
        <f>(3614.0/B48*100)</f>
        <v/>
      </c>
      <c r="D48" s="19" t="n">
        <v>1068</v>
      </c>
      <c r="E48" s="18" t="n">
        <v>44.65719763</v>
      </c>
      <c r="F48" s="20" t="n">
        <v>2.33192653</v>
      </c>
      <c r="G48" s="18" t="n">
        <v>44.79437798</v>
      </c>
      <c r="H48" s="20" t="n">
        <v>2.74417966</v>
      </c>
      <c r="I48" s="18" t="n">
        <v>0</v>
      </c>
      <c r="J48" s="20" t="n">
        <v>0</v>
      </c>
      <c r="K48" s="18" t="n">
        <v>0.09198218</v>
      </c>
      <c r="L48" s="20" t="n">
        <v>0.07106313</v>
      </c>
      <c r="M48" s="18" t="n">
        <v>0</v>
      </c>
      <c r="N48" s="20" t="n">
        <v>0</v>
      </c>
      <c r="O48" s="18" t="n">
        <v>0</v>
      </c>
      <c r="P48" s="20" t="n">
        <v>0</v>
      </c>
      <c r="Q48" s="18" t="n">
        <v>10.45644221</v>
      </c>
      <c r="R48" s="20" t="n">
        <v>1.51611591</v>
      </c>
    </row>
    <row r="49" spans="1:18">
      <c r="A49" s="15" t="s">
        <v>608</v>
      </c>
      <c r="B49" s="17" t="n">
        <v>6158</v>
      </c>
      <c r="C49" s="18">
        <f>(4863.0/B49*100)</f>
        <v/>
      </c>
      <c r="D49" s="19" t="n">
        <v>1295</v>
      </c>
      <c r="E49" s="18" t="n">
        <v>87.21660505</v>
      </c>
      <c r="F49" s="20" t="n">
        <v>1.073735</v>
      </c>
      <c r="G49" s="18" t="n">
        <v>4.60044297</v>
      </c>
      <c r="H49" s="20" t="n">
        <v>0.75335016</v>
      </c>
      <c r="I49" s="18" t="n">
        <v>0</v>
      </c>
      <c r="J49" s="20" t="n">
        <v>0</v>
      </c>
      <c r="K49" s="18" t="n">
        <v>1.14903821</v>
      </c>
      <c r="L49" s="20" t="n">
        <v>0.3599172</v>
      </c>
      <c r="M49" s="18" t="n">
        <v>0.04066228</v>
      </c>
      <c r="N49" s="20" t="n">
        <v>0.02897219</v>
      </c>
      <c r="O49" s="18" t="n">
        <v>0</v>
      </c>
      <c r="P49" s="20" t="n">
        <v>0</v>
      </c>
      <c r="Q49" s="18" t="n">
        <v>6.99325148</v>
      </c>
      <c r="R49" s="20" t="n">
        <v>0.72845145</v>
      </c>
    </row>
    <row r="50" spans="1:18">
      <c r="A50" s="15" t="s">
        <v>609</v>
      </c>
      <c r="B50" s="17" t="n">
        <v>3494</v>
      </c>
      <c r="C50" s="18">
        <f>(2858.0/B50*100)</f>
        <v/>
      </c>
      <c r="D50" s="19" t="n">
        <v>636</v>
      </c>
      <c r="E50" s="18" t="n">
        <v>84.50488695999999</v>
      </c>
      <c r="F50" s="20" t="n">
        <v>1.6828569</v>
      </c>
      <c r="G50" s="18" t="n">
        <v>1.90369381</v>
      </c>
      <c r="H50" s="20" t="n">
        <v>0.65760224</v>
      </c>
      <c r="I50" s="18" t="n">
        <v>0</v>
      </c>
      <c r="J50" s="20" t="n">
        <v>0</v>
      </c>
      <c r="K50" s="18" t="n">
        <v>0</v>
      </c>
      <c r="L50" s="20" t="n">
        <v>0</v>
      </c>
      <c r="M50" s="18" t="n">
        <v>0</v>
      </c>
      <c r="N50" s="20" t="n">
        <v>0</v>
      </c>
      <c r="O50" s="18" t="n">
        <v>0</v>
      </c>
      <c r="P50" s="20" t="n">
        <v>0</v>
      </c>
      <c r="Q50" s="18" t="n">
        <v>13.59141923</v>
      </c>
      <c r="R50" s="20" t="n">
        <v>1.49806256</v>
      </c>
    </row>
    <row r="51" spans="1:18">
      <c r="A51" s="15" t="s">
        <v>610</v>
      </c>
      <c r="B51" s="17" t="n">
        <v>3013</v>
      </c>
      <c r="C51" s="18">
        <f>(2351.0/B51*100)</f>
        <v/>
      </c>
      <c r="D51" s="19" t="n">
        <v>662</v>
      </c>
      <c r="E51" s="18" t="n">
        <v>40.11563279</v>
      </c>
      <c r="F51" s="20" t="n">
        <v>2.07455621</v>
      </c>
      <c r="G51" s="18" t="n">
        <v>30.33815332</v>
      </c>
      <c r="H51" s="20" t="n">
        <v>1.7755925</v>
      </c>
      <c r="I51" s="18" t="n">
        <v>0</v>
      </c>
      <c r="J51" s="20" t="n">
        <v>0</v>
      </c>
      <c r="K51" s="18" t="n">
        <v>0</v>
      </c>
      <c r="L51" s="20" t="n">
        <v>0</v>
      </c>
      <c r="M51" s="18" t="n">
        <v>0</v>
      </c>
      <c r="N51" s="20" t="n">
        <v>0</v>
      </c>
      <c r="O51" s="18" t="n">
        <v>0</v>
      </c>
      <c r="P51" s="20" t="n">
        <v>0</v>
      </c>
      <c r="Q51" s="18" t="n">
        <v>29.54621389</v>
      </c>
      <c r="R51" s="20" t="n">
        <v>1.73078182</v>
      </c>
    </row>
    <row r="52" spans="1:18">
      <c r="A52" s="15" t="s">
        <v>611</v>
      </c>
      <c r="B52" s="17" t="n">
        <v>2760</v>
      </c>
      <c r="C52" s="18">
        <f>(2175.0/B52*100)</f>
        <v/>
      </c>
      <c r="D52" s="19" t="n">
        <v>585</v>
      </c>
      <c r="E52" s="18" t="n">
        <v>63.67192362</v>
      </c>
      <c r="F52" s="20" t="n">
        <v>1.94428862</v>
      </c>
      <c r="G52" s="18" t="n">
        <v>13.94042288</v>
      </c>
      <c r="H52" s="20" t="n">
        <v>1.33426601</v>
      </c>
      <c r="I52" s="18" t="n">
        <v>0</v>
      </c>
      <c r="J52" s="20" t="n">
        <v>0</v>
      </c>
      <c r="K52" s="18" t="n">
        <v>0</v>
      </c>
      <c r="L52" s="20" t="n">
        <v>0</v>
      </c>
      <c r="M52" s="18" t="n">
        <v>0</v>
      </c>
      <c r="N52" s="20" t="n">
        <v>0</v>
      </c>
      <c r="O52" s="18" t="n">
        <v>0</v>
      </c>
      <c r="P52" s="20" t="n">
        <v>0</v>
      </c>
      <c r="Q52" s="18" t="n">
        <v>22.38765351</v>
      </c>
      <c r="R52" s="20" t="n">
        <v>1.76568272</v>
      </c>
    </row>
    <row r="53" spans="1:18">
      <c r="A53" s="15" t="s">
        <v>612</v>
      </c>
      <c r="B53" s="17" t="n">
        <v>2474</v>
      </c>
      <c r="C53" s="18">
        <f>(1941.0/B53*100)</f>
        <v/>
      </c>
      <c r="D53" s="19" t="n">
        <v>533</v>
      </c>
      <c r="E53" s="18" t="n">
        <v>73.20507901000001</v>
      </c>
      <c r="F53" s="20" t="n">
        <v>2.45430744</v>
      </c>
      <c r="G53" s="18" t="n">
        <v>0.94901714</v>
      </c>
      <c r="H53" s="20" t="n">
        <v>0.36734658</v>
      </c>
      <c r="I53" s="18" t="n">
        <v>0</v>
      </c>
      <c r="J53" s="20" t="n">
        <v>0</v>
      </c>
      <c r="K53" s="18" t="n">
        <v>7.12760634</v>
      </c>
      <c r="L53" s="20" t="n">
        <v>1.34923686</v>
      </c>
      <c r="M53" s="18" t="n">
        <v>1.16452865</v>
      </c>
      <c r="N53" s="20" t="n">
        <v>0.94164457</v>
      </c>
      <c r="O53" s="18" t="n">
        <v>0</v>
      </c>
      <c r="P53" s="20" t="n">
        <v>0</v>
      </c>
      <c r="Q53" s="18" t="n">
        <v>17.55376886</v>
      </c>
      <c r="R53" s="20" t="n">
        <v>1.75443749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(2107.0/B55*100)</f>
        <v/>
      </c>
      <c r="D55" s="19" t="n">
        <v>568</v>
      </c>
      <c r="E55" s="18" t="n">
        <v>40.01349942</v>
      </c>
      <c r="F55" s="20" t="n">
        <v>2.08509575</v>
      </c>
      <c r="G55" s="18" t="n">
        <v>49.528843</v>
      </c>
      <c r="H55" s="20" t="n">
        <v>2.1333533</v>
      </c>
      <c r="I55" s="18" t="n">
        <v>0</v>
      </c>
      <c r="J55" s="20" t="n">
        <v>0</v>
      </c>
      <c r="K55" s="18" t="n">
        <v>0.18913692</v>
      </c>
      <c r="L55" s="20" t="n">
        <v>0.18711133</v>
      </c>
      <c r="M55" s="18" t="n">
        <v>0.14976074</v>
      </c>
      <c r="N55" s="20" t="n">
        <v>0.15088009</v>
      </c>
      <c r="O55" s="18" t="n">
        <v>0</v>
      </c>
      <c r="P55" s="20" t="n">
        <v>0</v>
      </c>
      <c r="Q55" s="18" t="n">
        <v>10.11875991</v>
      </c>
      <c r="R55" s="20" t="n">
        <v>1.31845246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(2514.0/B61*100)</f>
        <v/>
      </c>
      <c r="D61" s="19" t="n">
        <v>687</v>
      </c>
      <c r="E61" s="18" t="n">
        <v>51.0841278</v>
      </c>
      <c r="F61" s="20" t="n">
        <v>2.24710936</v>
      </c>
      <c r="G61" s="18" t="n">
        <v>30.11939638</v>
      </c>
      <c r="H61" s="20" t="n">
        <v>2.14709451</v>
      </c>
      <c r="I61" s="18" t="n">
        <v>0</v>
      </c>
      <c r="J61" s="20" t="n">
        <v>0</v>
      </c>
      <c r="K61" s="18" t="n">
        <v>0.18495201</v>
      </c>
      <c r="L61" s="20" t="n">
        <v>0.19198751</v>
      </c>
      <c r="M61" s="18" t="n">
        <v>0.17369979</v>
      </c>
      <c r="N61" s="20" t="n">
        <v>0.17212248</v>
      </c>
      <c r="O61" s="18" t="n">
        <v>0</v>
      </c>
      <c r="P61" s="20" t="n">
        <v>0</v>
      </c>
      <c r="Q61" s="18" t="n">
        <v>18.43782402</v>
      </c>
      <c r="R61" s="20" t="n">
        <v>1.46344655</v>
      </c>
    </row>
    <row r="62" spans="1:18">
      <c r="A62" s="15" t="s">
        <v>622</v>
      </c>
      <c r="B62" s="17" t="n">
        <v>2230</v>
      </c>
      <c r="C62" s="18">
        <f>(1718.0/B62*100)</f>
        <v/>
      </c>
      <c r="D62" s="19" t="n">
        <v>512</v>
      </c>
      <c r="E62" s="18" t="n">
        <v>54.9000535</v>
      </c>
      <c r="F62" s="20" t="n">
        <v>2.08792568</v>
      </c>
      <c r="G62" s="18" t="n">
        <v>40.3932627</v>
      </c>
      <c r="H62" s="20" t="n">
        <v>2.1498532</v>
      </c>
      <c r="I62" s="18" t="n">
        <v>0</v>
      </c>
      <c r="J62" s="20" t="n">
        <v>0</v>
      </c>
      <c r="K62" s="18" t="n">
        <v>0</v>
      </c>
      <c r="L62" s="20" t="n">
        <v>0</v>
      </c>
      <c r="M62" s="18" t="n">
        <v>0</v>
      </c>
      <c r="N62" s="20" t="n">
        <v>0</v>
      </c>
      <c r="O62" s="18" t="n">
        <v>0</v>
      </c>
      <c r="P62" s="20" t="n">
        <v>0</v>
      </c>
      <c r="Q62" s="18" t="n">
        <v>4.7066838</v>
      </c>
      <c r="R62" s="20" t="n">
        <v>0.8639037899999999</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(2197.0/B67*100)</f>
        <v/>
      </c>
      <c r="D67" s="19" t="n">
        <v>574</v>
      </c>
      <c r="E67" s="18" t="n">
        <v>26.54302755</v>
      </c>
      <c r="F67" s="20" t="n">
        <v>1.75483049</v>
      </c>
      <c r="G67" s="18" t="n">
        <v>12.6889295</v>
      </c>
      <c r="H67" s="20" t="n">
        <v>1.34122216</v>
      </c>
      <c r="I67" s="18" t="n">
        <v>0</v>
      </c>
      <c r="J67" s="20" t="n">
        <v>0</v>
      </c>
      <c r="K67" s="18" t="n">
        <v>0</v>
      </c>
      <c r="L67" s="20" t="n">
        <v>0</v>
      </c>
      <c r="M67" s="18" t="n">
        <v>29.81275591</v>
      </c>
      <c r="N67" s="20" t="n">
        <v>1.89394263</v>
      </c>
      <c r="O67" s="18" t="n">
        <v>0</v>
      </c>
      <c r="P67" s="20" t="n">
        <v>0</v>
      </c>
      <c r="Q67" s="18" t="n">
        <v>30.95528704</v>
      </c>
      <c r="R67" s="20" t="n">
        <v>1.67770909</v>
      </c>
    </row>
    <row r="68" spans="1:18">
      <c r="A68" s="15" t="s">
        <v>628</v>
      </c>
      <c r="B68" s="17" t="n">
        <v>3460</v>
      </c>
      <c r="C68" s="18">
        <f>(2814.0/B68*100)</f>
        <v/>
      </c>
      <c r="D68" s="19" t="n">
        <v>646</v>
      </c>
      <c r="E68" s="18" t="n">
        <v>84.90477622</v>
      </c>
      <c r="F68" s="20" t="n">
        <v>1.37663594</v>
      </c>
      <c r="G68" s="18" t="n">
        <v>1.86278906</v>
      </c>
      <c r="H68" s="20" t="n">
        <v>0.52364065</v>
      </c>
      <c r="I68" s="18" t="n">
        <v>0</v>
      </c>
      <c r="J68" s="20" t="n">
        <v>0</v>
      </c>
      <c r="K68" s="18" t="n">
        <v>0.16614393</v>
      </c>
      <c r="L68" s="20" t="n">
        <v>0.16663811</v>
      </c>
      <c r="M68" s="18" t="n">
        <v>0.45950795</v>
      </c>
      <c r="N68" s="20" t="n">
        <v>0.26205397</v>
      </c>
      <c r="O68" s="18" t="n">
        <v>0</v>
      </c>
      <c r="P68" s="20" t="n">
        <v>0</v>
      </c>
      <c r="Q68" s="18" t="n">
        <v>12.60678284</v>
      </c>
      <c r="R68" s="20" t="n">
        <v>1.30618698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(4718.0/B70*100)</f>
        <v/>
      </c>
      <c r="D70" s="19" t="n">
        <v>1316</v>
      </c>
      <c r="E70" s="18" t="n">
        <v>62.04853545</v>
      </c>
      <c r="F70" s="20" t="n">
        <v>1.20921917</v>
      </c>
      <c r="G70" s="18" t="n">
        <v>23.59318128</v>
      </c>
      <c r="H70" s="20" t="n">
        <v>1.03084306</v>
      </c>
      <c r="I70" s="18" t="n">
        <v>0</v>
      </c>
      <c r="J70" s="20" t="n">
        <v>0</v>
      </c>
      <c r="K70" s="18" t="n">
        <v>0.67395623</v>
      </c>
      <c r="L70" s="20" t="n">
        <v>0.19367215</v>
      </c>
      <c r="M70" s="18" t="n">
        <v>0</v>
      </c>
      <c r="N70" s="20" t="n">
        <v>0</v>
      </c>
      <c r="O70" s="18" t="n">
        <v>0</v>
      </c>
      <c r="P70" s="20" t="n">
        <v>0</v>
      </c>
      <c r="Q70" s="18" t="n">
        <v>13.68432705</v>
      </c>
      <c r="R70" s="20" t="n">
        <v>0.97047711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(2429.0/B72*100)</f>
        <v/>
      </c>
      <c r="D72" s="19" t="n">
        <v>678</v>
      </c>
      <c r="E72" s="18" t="n">
        <v>51.00626645</v>
      </c>
      <c r="F72" s="20" t="n">
        <v>2.518542</v>
      </c>
      <c r="G72" s="18" t="n">
        <v>24.90083713</v>
      </c>
      <c r="H72" s="20" t="n">
        <v>2.65213436</v>
      </c>
      <c r="I72" s="18" t="n">
        <v>0</v>
      </c>
      <c r="J72" s="20" t="n">
        <v>0</v>
      </c>
      <c r="K72" s="18" t="n">
        <v>0</v>
      </c>
      <c r="L72" s="20" t="n">
        <v>0</v>
      </c>
      <c r="M72" s="18" t="n">
        <v>0</v>
      </c>
      <c r="N72" s="20" t="n">
        <v>0</v>
      </c>
      <c r="O72" s="18" t="n">
        <v>0</v>
      </c>
      <c r="P72" s="20" t="n">
        <v>0</v>
      </c>
      <c r="Q72" s="18" t="n">
        <v>24.09289641</v>
      </c>
      <c r="R72" s="20" t="n">
        <v>1.8903069</v>
      </c>
    </row>
    <row r="73" spans="1:18">
      <c r="A73" s="15" t="s">
        <v>633</v>
      </c>
      <c r="B73" s="17" t="n">
        <v>2973</v>
      </c>
      <c r="C73" s="18">
        <f>(2300.0/B73*100)</f>
        <v/>
      </c>
      <c r="D73" s="19" t="n">
        <v>673</v>
      </c>
      <c r="E73" s="18" t="n">
        <v>35.27004027</v>
      </c>
      <c r="F73" s="20" t="n">
        <v>1.76885073</v>
      </c>
      <c r="G73" s="18" t="n">
        <v>60.60413075</v>
      </c>
      <c r="H73" s="20" t="n">
        <v>1.87551501</v>
      </c>
      <c r="I73" s="18" t="n">
        <v>0</v>
      </c>
      <c r="J73" s="20" t="n">
        <v>0</v>
      </c>
      <c r="K73" s="18" t="n">
        <v>0.32091332</v>
      </c>
      <c r="L73" s="20" t="n">
        <v>0.22861984</v>
      </c>
      <c r="M73" s="18" t="n">
        <v>0.20853179</v>
      </c>
      <c r="N73" s="20" t="n">
        <v>0.20890555</v>
      </c>
      <c r="O73" s="18" t="n">
        <v>0</v>
      </c>
      <c r="P73" s="20" t="n">
        <v>0</v>
      </c>
      <c r="Q73" s="18" t="n">
        <v>3.59638387</v>
      </c>
      <c r="R73" s="20" t="n">
        <v>0.76515827</v>
      </c>
    </row>
    <row r="74" spans="1:18">
      <c r="A74" s="15" t="s">
        <v>634</v>
      </c>
      <c r="B74" s="17" t="n">
        <v>3819</v>
      </c>
      <c r="C74" s="18">
        <f>(2940.0/B74*100)</f>
        <v/>
      </c>
      <c r="D74" s="19" t="n">
        <v>879</v>
      </c>
      <c r="E74" s="18" t="n">
        <v>54.56809813</v>
      </c>
      <c r="F74" s="20" t="n">
        <v>2.12492324</v>
      </c>
      <c r="G74" s="18" t="n">
        <v>33.40666754</v>
      </c>
      <c r="H74" s="20" t="n">
        <v>2.24448145</v>
      </c>
      <c r="I74" s="18" t="n">
        <v>0</v>
      </c>
      <c r="J74" s="20" t="n">
        <v>0</v>
      </c>
      <c r="K74" s="18" t="n">
        <v>0</v>
      </c>
      <c r="L74" s="20" t="n">
        <v>0</v>
      </c>
      <c r="M74" s="18" t="n">
        <v>0</v>
      </c>
      <c r="N74" s="20" t="n">
        <v>0</v>
      </c>
      <c r="O74" s="18" t="n">
        <v>0</v>
      </c>
      <c r="P74" s="20" t="n">
        <v>0</v>
      </c>
      <c r="Q74" s="18" t="n">
        <v>12.02523433</v>
      </c>
      <c r="R74" s="20" t="n">
        <v>1.31171255</v>
      </c>
    </row>
    <row r="75" spans="1:18">
      <c r="A75" s="15" t="s">
        <v>635</v>
      </c>
      <c r="B75" s="17" t="n">
        <v>4652</v>
      </c>
      <c r="C75" s="18">
        <f>(3654.0/B75*100)</f>
        <v/>
      </c>
      <c r="D75" s="19" t="n">
        <v>998</v>
      </c>
      <c r="E75" s="18" t="n">
        <v>90.65098954</v>
      </c>
      <c r="F75" s="20" t="n">
        <v>1.17303709</v>
      </c>
      <c r="G75" s="18" t="n">
        <v>5.29030882</v>
      </c>
      <c r="H75" s="20" t="n">
        <v>0.88805545</v>
      </c>
      <c r="I75" s="18" t="n">
        <v>0</v>
      </c>
      <c r="J75" s="20" t="n">
        <v>0</v>
      </c>
      <c r="K75" s="18" t="n">
        <v>0</v>
      </c>
      <c r="L75" s="20" t="n">
        <v>0</v>
      </c>
      <c r="M75" s="18" t="n">
        <v>0.35213646</v>
      </c>
      <c r="N75" s="20" t="n">
        <v>0.24896007</v>
      </c>
      <c r="O75" s="18" t="n">
        <v>0</v>
      </c>
      <c r="P75" s="20" t="n">
        <v>0</v>
      </c>
      <c r="Q75" s="18" t="n">
        <v>3.70656517</v>
      </c>
      <c r="R75" s="20" t="n">
        <v>0.76314838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(2384.0/B77*100)</f>
        <v/>
      </c>
      <c r="D77" s="19" t="n">
        <v>585</v>
      </c>
      <c r="E77" s="18" t="n">
        <v>57.55733836</v>
      </c>
      <c r="F77" s="20" t="n">
        <v>2.11850647</v>
      </c>
      <c r="G77" s="18" t="n">
        <v>9.76612752</v>
      </c>
      <c r="H77" s="20" t="n">
        <v>1.11202048</v>
      </c>
      <c r="I77" s="18" t="n">
        <v>0</v>
      </c>
      <c r="J77" s="20" t="n">
        <v>0</v>
      </c>
      <c r="K77" s="18" t="n">
        <v>1.89889451</v>
      </c>
      <c r="L77" s="20" t="n">
        <v>0.56616564</v>
      </c>
      <c r="M77" s="18" t="n">
        <v>1.05537041</v>
      </c>
      <c r="N77" s="20" t="n">
        <v>0.4149309</v>
      </c>
      <c r="O77" s="18" t="n">
        <v>0</v>
      </c>
      <c r="P77" s="20" t="n">
        <v>0</v>
      </c>
      <c r="Q77" s="18" t="n">
        <v>29.7222692</v>
      </c>
      <c r="R77" s="20" t="n">
        <v>1.91169961</v>
      </c>
    </row>
    <row r="78" spans="1:18">
      <c r="A78" s="15" t="s">
        <v>638</v>
      </c>
      <c r="B78" s="17" t="n">
        <v>7115</v>
      </c>
      <c r="C78" s="18">
        <f>(5558.0/B78*100)</f>
        <v/>
      </c>
      <c r="D78" s="19" t="n">
        <v>1557</v>
      </c>
      <c r="E78" s="18" t="n">
        <v>65.9782189</v>
      </c>
      <c r="F78" s="20" t="n">
        <v>1.86598942</v>
      </c>
      <c r="G78" s="18" t="n">
        <v>28.01384011</v>
      </c>
      <c r="H78" s="20" t="n">
        <v>1.61183461</v>
      </c>
      <c r="I78" s="18" t="n">
        <v>0</v>
      </c>
      <c r="J78" s="20" t="n">
        <v>0</v>
      </c>
      <c r="K78" s="18" t="n">
        <v>0.0703237</v>
      </c>
      <c r="L78" s="20" t="n">
        <v>0.05906198</v>
      </c>
      <c r="M78" s="18" t="n">
        <v>0.1438648</v>
      </c>
      <c r="N78" s="20" t="n">
        <v>0.08949828999999999</v>
      </c>
      <c r="O78" s="18" t="n">
        <v>0</v>
      </c>
      <c r="P78" s="20" t="n">
        <v>0</v>
      </c>
      <c r="Q78" s="18" t="n">
        <v>5.79375249</v>
      </c>
      <c r="R78" s="20" t="n">
        <v>0.9317989800000001</v>
      </c>
    </row>
    <row r="79" spans="1:18">
      <c r="A79" s="15" t="s">
        <v>639</v>
      </c>
      <c r="B79" s="17" t="n">
        <v>3154</v>
      </c>
      <c r="C79" s="18">
        <f>(2508.0/B79*100)</f>
        <v/>
      </c>
      <c r="D79" s="19" t="n">
        <v>646</v>
      </c>
      <c r="E79" s="18" t="n">
        <v>56.63608774</v>
      </c>
      <c r="F79" s="20" t="n">
        <v>2.2996737</v>
      </c>
      <c r="G79" s="18" t="n">
        <v>11.32071665</v>
      </c>
      <c r="H79" s="20" t="n">
        <v>1.07832153</v>
      </c>
      <c r="I79" s="18" t="n">
        <v>0</v>
      </c>
      <c r="J79" s="20" t="n">
        <v>0</v>
      </c>
      <c r="K79" s="18" t="n">
        <v>0.68427269</v>
      </c>
      <c r="L79" s="20" t="n">
        <v>0.38135773</v>
      </c>
      <c r="M79" s="18" t="n">
        <v>0</v>
      </c>
      <c r="N79" s="20" t="n">
        <v>0</v>
      </c>
      <c r="O79" s="18" t="n">
        <v>0</v>
      </c>
      <c r="P79" s="20" t="n">
        <v>0</v>
      </c>
      <c r="Q79" s="18" t="n">
        <v>31.35892291</v>
      </c>
      <c r="R79" s="20" t="n">
        <v>2.33022828</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(12458.0/B82*100)</f>
        <v/>
      </c>
      <c r="D82" s="19" t="n">
        <v>3503</v>
      </c>
      <c r="E82" s="18" t="n">
        <v>62.63792145</v>
      </c>
      <c r="F82" s="20" t="n">
        <v>1.09318013</v>
      </c>
      <c r="G82" s="18" t="n">
        <v>21.15071253</v>
      </c>
      <c r="H82" s="20" t="n">
        <v>1.20373779</v>
      </c>
      <c r="I82" s="18" t="n">
        <v>0</v>
      </c>
      <c r="J82" s="20" t="n">
        <v>0</v>
      </c>
      <c r="K82" s="18" t="n">
        <v>0.06055802</v>
      </c>
      <c r="L82" s="20" t="n">
        <v>0.03323887</v>
      </c>
      <c r="M82" s="18" t="n">
        <v>0.17967574</v>
      </c>
      <c r="N82" s="20" t="n">
        <v>0.12622601</v>
      </c>
      <c r="O82" s="18" t="n">
        <v>0</v>
      </c>
      <c r="P82" s="20" t="n">
        <v>0</v>
      </c>
      <c r="Q82" s="18" t="n">
        <v>15.97113226</v>
      </c>
      <c r="R82" s="20" t="n">
        <v>0.84095086</v>
      </c>
    </row>
    <row r="83" spans="1:18">
      <c r="A83" s="15" t="s">
        <v>643</v>
      </c>
      <c r="B83" s="17" t="n">
        <v>808</v>
      </c>
      <c r="C83" s="18">
        <f>(626.0/B83*100)</f>
        <v/>
      </c>
      <c r="D83" s="19" t="n">
        <v>182</v>
      </c>
      <c r="E83" s="18" t="n">
        <v>74.20412155</v>
      </c>
      <c r="F83" s="20" t="n">
        <v>3.64513598</v>
      </c>
      <c r="G83" s="18" t="n">
        <v>22.89274854</v>
      </c>
      <c r="H83" s="20" t="n">
        <v>3.61913944</v>
      </c>
      <c r="I83" s="18" t="n">
        <v>0</v>
      </c>
      <c r="J83" s="20" t="n">
        <v>0</v>
      </c>
      <c r="K83" s="18" t="n">
        <v>0</v>
      </c>
      <c r="L83" s="20" t="n">
        <v>0</v>
      </c>
      <c r="M83" s="18" t="n">
        <v>0</v>
      </c>
      <c r="N83" s="20" t="n">
        <v>0</v>
      </c>
      <c r="O83" s="18" t="n">
        <v>0</v>
      </c>
      <c r="P83" s="20" t="n">
        <v>0</v>
      </c>
      <c r="Q83" s="18" t="n">
        <v>2.90312991</v>
      </c>
      <c r="R83" s="20" t="n">
        <v>1.25302551</v>
      </c>
    </row>
    <row r="84" spans="1:18">
      <c r="A84" s="23" t="s">
        <v>644</v>
      </c>
      <c r="B84" s="24" t="n">
        <v>938</v>
      </c>
      <c r="C84" s="25">
        <f>(742.0/B84*100)</f>
        <v/>
      </c>
      <c r="D84" s="19" t="n">
        <v>196</v>
      </c>
      <c r="E84" s="18" t="n">
        <v>80.75347963999999</v>
      </c>
      <c r="F84" s="20" t="n">
        <v>3.20860497</v>
      </c>
      <c r="G84" s="18" t="n">
        <v>11.41330653</v>
      </c>
      <c r="H84" s="20" t="n">
        <v>2.630062</v>
      </c>
      <c r="I84" s="18" t="n">
        <v>0</v>
      </c>
      <c r="J84" s="20" t="n">
        <v>0</v>
      </c>
      <c r="K84" s="18" t="n">
        <v>0</v>
      </c>
      <c r="L84" s="20" t="n">
        <v>0</v>
      </c>
      <c r="M84" s="18" t="n">
        <v>0</v>
      </c>
      <c r="N84" s="20" t="n">
        <v>0</v>
      </c>
      <c r="O84" s="18" t="n">
        <v>0</v>
      </c>
      <c r="P84" s="20" t="n">
        <v>0</v>
      </c>
      <c r="Q84" s="18" t="n">
        <v>7.83321383</v>
      </c>
      <c r="R84" s="20" t="n">
        <v>2.35564135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(5606.0/B7*100)</f>
        <v/>
      </c>
      <c r="D7" s="19" t="n">
        <v>1557</v>
      </c>
      <c r="E7" s="18" t="n">
        <v>23.80481085</v>
      </c>
      <c r="F7" s="20" t="n">
        <v>1.47963714</v>
      </c>
      <c r="G7" s="18" t="n">
        <v>73.96111952</v>
      </c>
      <c r="H7" s="20" t="n">
        <v>1.51764549</v>
      </c>
      <c r="I7" s="18" t="n">
        <v>0</v>
      </c>
      <c r="J7" s="20" t="n">
        <v>0</v>
      </c>
      <c r="K7" s="18" t="n">
        <v>0.18448356</v>
      </c>
      <c r="L7" s="20" t="n">
        <v>0.16621374</v>
      </c>
      <c r="M7" s="18" t="n">
        <v>0</v>
      </c>
      <c r="N7" s="20" t="n">
        <v>0</v>
      </c>
      <c r="O7" s="18" t="n">
        <v>0</v>
      </c>
      <c r="P7" s="20" t="n">
        <v>0</v>
      </c>
      <c r="Q7" s="18" t="n">
        <v>2.04958607</v>
      </c>
      <c r="R7" s="20" t="n">
        <v>0.40919071</v>
      </c>
    </row>
    <row r="8" spans="1:18">
      <c r="A8" s="15" t="s">
        <v>566</v>
      </c>
      <c r="B8" s="17" t="n">
        <v>3443</v>
      </c>
      <c r="C8" s="18">
        <f>(2667.0/B8*100)</f>
        <v/>
      </c>
      <c r="D8" s="19" t="n">
        <v>776</v>
      </c>
      <c r="E8" s="18" t="n">
        <v>27.70451674</v>
      </c>
      <c r="F8" s="20" t="n">
        <v>1.78317312</v>
      </c>
      <c r="G8" s="18" t="n">
        <v>70.2431338</v>
      </c>
      <c r="H8" s="20" t="n">
        <v>1.85942716</v>
      </c>
      <c r="I8" s="18" t="n">
        <v>0</v>
      </c>
      <c r="J8" s="20" t="n">
        <v>0</v>
      </c>
      <c r="K8" s="18" t="n">
        <v>0</v>
      </c>
      <c r="L8" s="20" t="n">
        <v>0</v>
      </c>
      <c r="M8" s="18" t="n">
        <v>0</v>
      </c>
      <c r="N8" s="20" t="n">
        <v>0</v>
      </c>
      <c r="O8" s="18" t="n">
        <v>0</v>
      </c>
      <c r="P8" s="20" t="n">
        <v>0</v>
      </c>
      <c r="Q8" s="18" t="n">
        <v>2.05234947</v>
      </c>
      <c r="R8" s="20" t="n">
        <v>0.49418516</v>
      </c>
    </row>
    <row r="9" spans="1:18">
      <c r="A9" s="15" t="s">
        <v>567</v>
      </c>
      <c r="B9" s="17" t="n">
        <v>4752</v>
      </c>
      <c r="C9" s="18">
        <f>(3728.0/B9*100)</f>
        <v/>
      </c>
      <c r="D9" s="19" t="n">
        <v>1024</v>
      </c>
      <c r="E9" s="18" t="n">
        <v>29.49597297</v>
      </c>
      <c r="F9" s="20" t="n">
        <v>1.74303822</v>
      </c>
      <c r="G9" s="18" t="n">
        <v>68.13744912999999</v>
      </c>
      <c r="H9" s="20" t="n">
        <v>1.89071346</v>
      </c>
      <c r="I9" s="18" t="n">
        <v>0</v>
      </c>
      <c r="J9" s="20" t="n">
        <v>0</v>
      </c>
      <c r="K9" s="18" t="n">
        <v>0.22064795</v>
      </c>
      <c r="L9" s="20" t="n">
        <v>0.16066597</v>
      </c>
      <c r="M9" s="18" t="n">
        <v>0</v>
      </c>
      <c r="N9" s="20" t="n">
        <v>0</v>
      </c>
      <c r="O9" s="18" t="n">
        <v>0</v>
      </c>
      <c r="P9" s="20" t="n">
        <v>0</v>
      </c>
      <c r="Q9" s="18" t="n">
        <v>2.14592995</v>
      </c>
      <c r="R9" s="20" t="n">
        <v>0.5142188600000001</v>
      </c>
    </row>
    <row r="10" spans="1:18">
      <c r="A10" s="15" t="s">
        <v>568</v>
      </c>
      <c r="B10" s="17" t="n">
        <v>10022</v>
      </c>
      <c r="C10" s="18">
        <f>(7822.0/B10*100)</f>
        <v/>
      </c>
      <c r="D10" s="19" t="n">
        <v>2200</v>
      </c>
      <c r="E10" s="18" t="n">
        <v>18.70451143</v>
      </c>
      <c r="F10" s="20" t="n">
        <v>1.14325932</v>
      </c>
      <c r="G10" s="18" t="n">
        <v>79.87425213</v>
      </c>
      <c r="H10" s="20" t="n">
        <v>1.18975112</v>
      </c>
      <c r="I10" s="18" t="n">
        <v>0</v>
      </c>
      <c r="J10" s="20" t="n">
        <v>0</v>
      </c>
      <c r="K10" s="18" t="n">
        <v>0.18626426</v>
      </c>
      <c r="L10" s="20" t="n">
        <v>0.17066312</v>
      </c>
      <c r="M10" s="18" t="n">
        <v>0</v>
      </c>
      <c r="N10" s="20" t="n">
        <v>0</v>
      </c>
      <c r="O10" s="18" t="n">
        <v>0</v>
      </c>
      <c r="P10" s="20" t="n">
        <v>0</v>
      </c>
      <c r="Q10" s="18" t="n">
        <v>1.23497219</v>
      </c>
      <c r="R10" s="20" t="n">
        <v>0.38446816</v>
      </c>
    </row>
    <row r="11" spans="1:18">
      <c r="A11" s="15" t="s">
        <v>569</v>
      </c>
      <c r="B11" s="17" t="n">
        <v>3500</v>
      </c>
      <c r="C11" s="18">
        <f>(2763.0/B11*100)</f>
        <v/>
      </c>
      <c r="D11" s="19" t="n">
        <v>737</v>
      </c>
      <c r="E11" s="18" t="n">
        <v>44.33036248</v>
      </c>
      <c r="F11" s="20" t="n">
        <v>2.50793755</v>
      </c>
      <c r="G11" s="18" t="n">
        <v>52.2029165</v>
      </c>
      <c r="H11" s="20" t="n">
        <v>2.39249454</v>
      </c>
      <c r="I11" s="18" t="n">
        <v>0</v>
      </c>
      <c r="J11" s="20" t="n">
        <v>0</v>
      </c>
      <c r="K11" s="18" t="n">
        <v>0.67638574</v>
      </c>
      <c r="L11" s="20" t="n">
        <v>0.33092055</v>
      </c>
      <c r="M11" s="18" t="n">
        <v>0</v>
      </c>
      <c r="N11" s="20" t="n">
        <v>0</v>
      </c>
      <c r="O11" s="18" t="n">
        <v>0</v>
      </c>
      <c r="P11" s="20" t="n">
        <v>0</v>
      </c>
      <c r="Q11" s="18" t="n">
        <v>2.79033529</v>
      </c>
      <c r="R11" s="20" t="n">
        <v>0.67165097</v>
      </c>
    </row>
    <row r="12" spans="1:18">
      <c r="A12" s="15" t="s">
        <v>570</v>
      </c>
      <c r="B12" s="17" t="n">
        <v>3422</v>
      </c>
      <c r="C12" s="18">
        <f>(2678.0/B12*100)</f>
        <v/>
      </c>
      <c r="D12" s="19" t="n">
        <v>744</v>
      </c>
      <c r="E12" s="18" t="n">
        <v>31.10181143</v>
      </c>
      <c r="F12" s="20" t="n">
        <v>2.20803096</v>
      </c>
      <c r="G12" s="18" t="n">
        <v>65.62673852</v>
      </c>
      <c r="H12" s="20" t="n">
        <v>2.26395747</v>
      </c>
      <c r="I12" s="18" t="n">
        <v>0</v>
      </c>
      <c r="J12" s="20" t="n">
        <v>0</v>
      </c>
      <c r="K12" s="18" t="n">
        <v>0</v>
      </c>
      <c r="L12" s="20" t="n">
        <v>0</v>
      </c>
      <c r="M12" s="18" t="n">
        <v>0</v>
      </c>
      <c r="N12" s="20" t="n">
        <v>0</v>
      </c>
      <c r="O12" s="18" t="n">
        <v>0</v>
      </c>
      <c r="P12" s="20" t="n">
        <v>0</v>
      </c>
      <c r="Q12" s="18" t="n">
        <v>3.27145005</v>
      </c>
      <c r="R12" s="20" t="n">
        <v>0.7894163</v>
      </c>
    </row>
    <row r="13" spans="1:18">
      <c r="A13" s="15" t="s">
        <v>571</v>
      </c>
      <c r="B13" s="17" t="n">
        <v>3602</v>
      </c>
      <c r="C13" s="18">
        <f>(2826.0/B13*100)</f>
        <v/>
      </c>
      <c r="D13" s="19" t="n">
        <v>776</v>
      </c>
      <c r="E13" s="18" t="n">
        <v>20.91184797</v>
      </c>
      <c r="F13" s="20" t="n">
        <v>1.79265448</v>
      </c>
      <c r="G13" s="18" t="n">
        <v>75.59192143999999</v>
      </c>
      <c r="H13" s="20" t="n">
        <v>1.97068406</v>
      </c>
      <c r="I13" s="18" t="n">
        <v>0</v>
      </c>
      <c r="J13" s="20" t="n">
        <v>0</v>
      </c>
      <c r="K13" s="18" t="n">
        <v>0</v>
      </c>
      <c r="L13" s="20" t="n">
        <v>0</v>
      </c>
      <c r="M13" s="18" t="n">
        <v>0</v>
      </c>
      <c r="N13" s="20" t="n">
        <v>0</v>
      </c>
      <c r="O13" s="18" t="n">
        <v>0</v>
      </c>
      <c r="P13" s="20" t="n">
        <v>0</v>
      </c>
      <c r="Q13" s="18" t="n">
        <v>3.4962306</v>
      </c>
      <c r="R13" s="20" t="n">
        <v>0.93173968</v>
      </c>
    </row>
    <row r="14" spans="1:18">
      <c r="A14" s="15" t="s">
        <v>572</v>
      </c>
      <c r="B14" s="17" t="n">
        <v>2788</v>
      </c>
      <c r="C14" s="18">
        <f>(2182.0/B14*100)</f>
        <v/>
      </c>
      <c r="D14" s="19" t="n">
        <v>606</v>
      </c>
      <c r="E14" s="18" t="n">
        <v>21.34752262</v>
      </c>
      <c r="F14" s="20" t="n">
        <v>1.82324652</v>
      </c>
      <c r="G14" s="18" t="n">
        <v>77.50606811999999</v>
      </c>
      <c r="H14" s="20" t="n">
        <v>1.92060694</v>
      </c>
      <c r="I14" s="18" t="n">
        <v>0</v>
      </c>
      <c r="J14" s="20" t="n">
        <v>0</v>
      </c>
      <c r="K14" s="18" t="n">
        <v>0.14678415</v>
      </c>
      <c r="L14" s="20" t="n">
        <v>0.14541054</v>
      </c>
      <c r="M14" s="18" t="n">
        <v>0</v>
      </c>
      <c r="N14" s="20" t="n">
        <v>0</v>
      </c>
      <c r="O14" s="18" t="n">
        <v>0</v>
      </c>
      <c r="P14" s="20" t="n">
        <v>0</v>
      </c>
      <c r="Q14" s="18" t="n">
        <v>0.99962511</v>
      </c>
      <c r="R14" s="20" t="n">
        <v>0.45069286</v>
      </c>
    </row>
    <row r="15" spans="1:18">
      <c r="A15" s="15" t="s">
        <v>573</v>
      </c>
      <c r="B15" s="17" t="n">
        <v>2863</v>
      </c>
      <c r="C15" s="18">
        <f>(2225.0/B15*100)</f>
        <v/>
      </c>
      <c r="D15" s="19" t="n">
        <v>638</v>
      </c>
      <c r="E15" s="18" t="n">
        <v>20.47198601</v>
      </c>
      <c r="F15" s="20" t="n">
        <v>1.77771666</v>
      </c>
      <c r="G15" s="18" t="n">
        <v>78.02288273000001</v>
      </c>
      <c r="H15" s="20" t="n">
        <v>1.73765149</v>
      </c>
      <c r="I15" s="18" t="n">
        <v>0</v>
      </c>
      <c r="J15" s="20" t="n">
        <v>0</v>
      </c>
      <c r="K15" s="18" t="n">
        <v>0</v>
      </c>
      <c r="L15" s="20" t="n">
        <v>0</v>
      </c>
      <c r="M15" s="18" t="n">
        <v>0</v>
      </c>
      <c r="N15" s="20" t="n">
        <v>0</v>
      </c>
      <c r="O15" s="18" t="n">
        <v>0</v>
      </c>
      <c r="P15" s="20" t="n">
        <v>0</v>
      </c>
      <c r="Q15" s="18" t="n">
        <v>1.50513125</v>
      </c>
      <c r="R15" s="20" t="n">
        <v>0.51198376</v>
      </c>
    </row>
    <row r="16" spans="1:18">
      <c r="A16" s="15" t="s">
        <v>574</v>
      </c>
      <c r="B16" s="17" t="n">
        <v>3111</v>
      </c>
      <c r="C16" s="18">
        <f>(2411.0/B16*100)</f>
        <v/>
      </c>
      <c r="D16" s="19" t="n">
        <v>700</v>
      </c>
      <c r="E16" s="18" t="n">
        <v>24.08510914</v>
      </c>
      <c r="F16" s="20" t="n">
        <v>1.84490864</v>
      </c>
      <c r="G16" s="18" t="n">
        <v>73.56952377</v>
      </c>
      <c r="H16" s="20" t="n">
        <v>1.74472566</v>
      </c>
      <c r="I16" s="18" t="n">
        <v>0</v>
      </c>
      <c r="J16" s="20" t="n">
        <v>0</v>
      </c>
      <c r="K16" s="18" t="n">
        <v>0.35452168</v>
      </c>
      <c r="L16" s="20" t="n">
        <v>0.39520328</v>
      </c>
      <c r="M16" s="18" t="n">
        <v>0</v>
      </c>
      <c r="N16" s="20" t="n">
        <v>0</v>
      </c>
      <c r="O16" s="18" t="n">
        <v>0</v>
      </c>
      <c r="P16" s="20" t="n">
        <v>0</v>
      </c>
      <c r="Q16" s="18" t="n">
        <v>1.99084541</v>
      </c>
      <c r="R16" s="20" t="n">
        <v>0.5612859</v>
      </c>
    </row>
    <row r="17" spans="1:18">
      <c r="A17" s="15" t="s">
        <v>575</v>
      </c>
      <c r="B17" s="17" t="n">
        <v>3197</v>
      </c>
      <c r="C17" s="18">
        <f>(2491.0/B17*100)</f>
        <v/>
      </c>
      <c r="D17" s="19" t="n">
        <v>706</v>
      </c>
      <c r="E17" s="18" t="n">
        <v>23.51010406</v>
      </c>
      <c r="F17" s="20" t="n">
        <v>1.58390059</v>
      </c>
      <c r="G17" s="18" t="n">
        <v>74.42262907999999</v>
      </c>
      <c r="H17" s="20" t="n">
        <v>1.72623087</v>
      </c>
      <c r="I17" s="18" t="n">
        <v>0</v>
      </c>
      <c r="J17" s="20" t="n">
        <v>0</v>
      </c>
      <c r="K17" s="18" t="n">
        <v>0</v>
      </c>
      <c r="L17" s="20" t="n">
        <v>0</v>
      </c>
      <c r="M17" s="18" t="n">
        <v>0</v>
      </c>
      <c r="N17" s="20" t="n">
        <v>0</v>
      </c>
      <c r="O17" s="18" t="n">
        <v>0</v>
      </c>
      <c r="P17" s="20" t="n">
        <v>0</v>
      </c>
      <c r="Q17" s="18" t="n">
        <v>2.06726686</v>
      </c>
      <c r="R17" s="20" t="n">
        <v>0.5273736999999999</v>
      </c>
    </row>
    <row r="18" spans="1:18">
      <c r="A18" s="15" t="s">
        <v>576</v>
      </c>
      <c r="B18" s="17" t="n">
        <v>2706</v>
      </c>
      <c r="C18" s="18">
        <f>(2087.0/B18*100)</f>
        <v/>
      </c>
      <c r="D18" s="19" t="n">
        <v>619</v>
      </c>
      <c r="E18" s="18" t="n">
        <v>41.6886318</v>
      </c>
      <c r="F18" s="20" t="n">
        <v>2.27326674</v>
      </c>
      <c r="G18" s="18" t="n">
        <v>54.94832259</v>
      </c>
      <c r="H18" s="20" t="n">
        <v>2.36805385</v>
      </c>
      <c r="I18" s="18" t="n">
        <v>0</v>
      </c>
      <c r="J18" s="20" t="n">
        <v>0</v>
      </c>
      <c r="K18" s="18" t="n">
        <v>0.26539666</v>
      </c>
      <c r="L18" s="20" t="n">
        <v>0.26085548</v>
      </c>
      <c r="M18" s="18" t="n">
        <v>0</v>
      </c>
      <c r="N18" s="20" t="n">
        <v>0</v>
      </c>
      <c r="O18" s="18" t="n">
        <v>0</v>
      </c>
      <c r="P18" s="20" t="n">
        <v>0</v>
      </c>
      <c r="Q18" s="18" t="n">
        <v>3.09764895</v>
      </c>
      <c r="R18" s="20" t="n">
        <v>0.6819748</v>
      </c>
    </row>
    <row r="19" spans="1:18">
      <c r="A19" s="15" t="s">
        <v>577</v>
      </c>
      <c r="B19" s="17" t="n">
        <v>2850</v>
      </c>
      <c r="C19" s="18">
        <f>(2224.0/B19*100)</f>
        <v/>
      </c>
      <c r="D19" s="19" t="n">
        <v>626</v>
      </c>
      <c r="E19" s="18" t="n">
        <v>34.84401083</v>
      </c>
      <c r="F19" s="20" t="n">
        <v>2.01122209</v>
      </c>
      <c r="G19" s="18" t="n">
        <v>63.32536616</v>
      </c>
      <c r="H19" s="20" t="n">
        <v>2.1061887</v>
      </c>
      <c r="I19" s="18" t="n">
        <v>0</v>
      </c>
      <c r="J19" s="20" t="n">
        <v>0</v>
      </c>
      <c r="K19" s="18" t="n">
        <v>0</v>
      </c>
      <c r="L19" s="20" t="n">
        <v>0</v>
      </c>
      <c r="M19" s="18" t="n">
        <v>0</v>
      </c>
      <c r="N19" s="20" t="n">
        <v>0</v>
      </c>
      <c r="O19" s="18" t="n">
        <v>0</v>
      </c>
      <c r="P19" s="20" t="n">
        <v>0</v>
      </c>
      <c r="Q19" s="18" t="n">
        <v>1.83062302</v>
      </c>
      <c r="R19" s="20" t="n">
        <v>0.64012437</v>
      </c>
    </row>
    <row r="20" spans="1:18">
      <c r="A20" s="15" t="s">
        <v>578</v>
      </c>
      <c r="B20" s="17" t="n">
        <v>1741</v>
      </c>
      <c r="C20" s="18">
        <f>(1364.0/B20*100)</f>
        <v/>
      </c>
      <c r="D20" s="19" t="n">
        <v>377</v>
      </c>
      <c r="E20" s="18" t="n">
        <v>27.1249852</v>
      </c>
      <c r="F20" s="20" t="n">
        <v>2.37449578</v>
      </c>
      <c r="G20" s="18" t="n">
        <v>72.07821446</v>
      </c>
      <c r="H20" s="20" t="n">
        <v>2.37247679</v>
      </c>
      <c r="I20" s="18" t="n">
        <v>0</v>
      </c>
      <c r="J20" s="20" t="n">
        <v>0</v>
      </c>
      <c r="K20" s="18" t="n">
        <v>0.26193306</v>
      </c>
      <c r="L20" s="20" t="n">
        <v>0.26439859</v>
      </c>
      <c r="M20" s="18" t="n">
        <v>0</v>
      </c>
      <c r="N20" s="20" t="n">
        <v>0</v>
      </c>
      <c r="O20" s="18" t="n">
        <v>0</v>
      </c>
      <c r="P20" s="20" t="n">
        <v>0</v>
      </c>
      <c r="Q20" s="18" t="n">
        <v>0.5348672799999999</v>
      </c>
      <c r="R20" s="20" t="n">
        <v>0.36954121</v>
      </c>
    </row>
    <row r="21" spans="1:18">
      <c r="A21" s="15" t="s">
        <v>579</v>
      </c>
      <c r="B21" s="17" t="n">
        <v>2833</v>
      </c>
      <c r="C21" s="18">
        <f>(2213.0/B21*100)</f>
        <v/>
      </c>
      <c r="D21" s="19" t="n">
        <v>620</v>
      </c>
      <c r="E21" s="18" t="n">
        <v>27.80950335</v>
      </c>
      <c r="F21" s="20" t="n">
        <v>1.68271683</v>
      </c>
      <c r="G21" s="18" t="n">
        <v>68.28410694</v>
      </c>
      <c r="H21" s="20" t="n">
        <v>1.81501624</v>
      </c>
      <c r="I21" s="18" t="n">
        <v>0</v>
      </c>
      <c r="J21" s="20" t="n">
        <v>0</v>
      </c>
      <c r="K21" s="18" t="n">
        <v>0</v>
      </c>
      <c r="L21" s="20" t="n">
        <v>0</v>
      </c>
      <c r="M21" s="18" t="n">
        <v>0</v>
      </c>
      <c r="N21" s="20" t="n">
        <v>0</v>
      </c>
      <c r="O21" s="18" t="n">
        <v>0</v>
      </c>
      <c r="P21" s="20" t="n">
        <v>0</v>
      </c>
      <c r="Q21" s="18" t="n">
        <v>3.90638971</v>
      </c>
      <c r="R21" s="20" t="n">
        <v>0.77058558</v>
      </c>
    </row>
    <row r="22" spans="1:18">
      <c r="A22" s="15" t="s">
        <v>580</v>
      </c>
      <c r="B22" s="17" t="n">
        <v>3667</v>
      </c>
      <c r="C22" s="18">
        <f>(2901.0/B22*100)</f>
        <v/>
      </c>
      <c r="D22" s="19" t="n">
        <v>766</v>
      </c>
      <c r="E22" s="18" t="n">
        <v>29.93182095</v>
      </c>
      <c r="F22" s="20" t="n">
        <v>2.02307127</v>
      </c>
      <c r="G22" s="18" t="n">
        <v>64.65399274000001</v>
      </c>
      <c r="H22" s="20" t="n">
        <v>2.06114022</v>
      </c>
      <c r="I22" s="18" t="n">
        <v>0</v>
      </c>
      <c r="J22" s="20" t="n">
        <v>0</v>
      </c>
      <c r="K22" s="18" t="n">
        <v>0.14116165</v>
      </c>
      <c r="L22" s="20" t="n">
        <v>0.14718405</v>
      </c>
      <c r="M22" s="18" t="n">
        <v>0</v>
      </c>
      <c r="N22" s="20" t="n">
        <v>0</v>
      </c>
      <c r="O22" s="18" t="n">
        <v>0</v>
      </c>
      <c r="P22" s="20" t="n">
        <v>0</v>
      </c>
      <c r="Q22" s="18" t="n">
        <v>5.27302466</v>
      </c>
      <c r="R22" s="20" t="n">
        <v>0.75581468</v>
      </c>
    </row>
    <row r="23" spans="1:18">
      <c r="A23" s="15" t="s">
        <v>581</v>
      </c>
      <c r="B23" s="17" t="n">
        <v>5792</v>
      </c>
      <c r="C23" s="18">
        <f>(4488.0/B23*100)</f>
        <v/>
      </c>
      <c r="D23" s="19" t="n">
        <v>1304</v>
      </c>
      <c r="E23" s="18" t="n">
        <v>39.07515592</v>
      </c>
      <c r="F23" s="20" t="n">
        <v>2.21525856</v>
      </c>
      <c r="G23" s="18" t="n">
        <v>57.25426964</v>
      </c>
      <c r="H23" s="20" t="n">
        <v>2.22812345</v>
      </c>
      <c r="I23" s="18" t="n">
        <v>0</v>
      </c>
      <c r="J23" s="20" t="n">
        <v>0</v>
      </c>
      <c r="K23" s="18" t="n">
        <v>0.36190209</v>
      </c>
      <c r="L23" s="20" t="n">
        <v>0.22679721</v>
      </c>
      <c r="M23" s="18" t="n">
        <v>0</v>
      </c>
      <c r="N23" s="20" t="n">
        <v>0</v>
      </c>
      <c r="O23" s="18" t="n">
        <v>0</v>
      </c>
      <c r="P23" s="20" t="n">
        <v>0</v>
      </c>
      <c r="Q23" s="18" t="n">
        <v>3.30867234</v>
      </c>
      <c r="R23" s="20" t="n">
        <v>0.8792446900000001</v>
      </c>
    </row>
    <row r="24" spans="1:18">
      <c r="A24" s="15" t="s">
        <v>582</v>
      </c>
      <c r="B24" s="17" t="n">
        <v>3309</v>
      </c>
      <c r="C24" s="18">
        <f>(2587.0/B24*100)</f>
        <v/>
      </c>
      <c r="D24" s="19" t="n">
        <v>722</v>
      </c>
      <c r="E24" s="18" t="n">
        <v>19.61183707</v>
      </c>
      <c r="F24" s="20" t="n">
        <v>1.42425313</v>
      </c>
      <c r="G24" s="18" t="n">
        <v>78.34179616</v>
      </c>
      <c r="H24" s="20" t="n">
        <v>1.41491709</v>
      </c>
      <c r="I24" s="18" t="n">
        <v>0</v>
      </c>
      <c r="J24" s="20" t="n">
        <v>0</v>
      </c>
      <c r="K24" s="18" t="n">
        <v>0.16571097</v>
      </c>
      <c r="L24" s="20" t="n">
        <v>0.15467221</v>
      </c>
      <c r="M24" s="18" t="n">
        <v>0</v>
      </c>
      <c r="N24" s="20" t="n">
        <v>0</v>
      </c>
      <c r="O24" s="18" t="n">
        <v>0</v>
      </c>
      <c r="P24" s="20" t="n">
        <v>0</v>
      </c>
      <c r="Q24" s="18" t="n">
        <v>1.8806558</v>
      </c>
      <c r="R24" s="20" t="n">
        <v>0.57919075</v>
      </c>
    </row>
    <row r="25" spans="1:18">
      <c r="A25" s="15" t="s">
        <v>583</v>
      </c>
      <c r="B25" s="17" t="n">
        <v>2669</v>
      </c>
      <c r="C25" s="18">
        <f>(2069.0/B25*100)</f>
        <v/>
      </c>
      <c r="D25" s="19" t="n">
        <v>600</v>
      </c>
      <c r="E25" s="18" t="n">
        <v>20.54584251</v>
      </c>
      <c r="F25" s="20" t="n">
        <v>1.58910245</v>
      </c>
      <c r="G25" s="18" t="n">
        <v>77.80056861</v>
      </c>
      <c r="H25" s="20" t="n">
        <v>1.70679437</v>
      </c>
      <c r="I25" s="18" t="n">
        <v>0</v>
      </c>
      <c r="J25" s="20" t="n">
        <v>0</v>
      </c>
      <c r="K25" s="18" t="n">
        <v>0.16496877</v>
      </c>
      <c r="L25" s="20" t="n">
        <v>0.16490759</v>
      </c>
      <c r="M25" s="18" t="n">
        <v>0</v>
      </c>
      <c r="N25" s="20" t="n">
        <v>0</v>
      </c>
      <c r="O25" s="18" t="n">
        <v>0</v>
      </c>
      <c r="P25" s="20" t="n">
        <v>0</v>
      </c>
      <c r="Q25" s="18" t="n">
        <v>1.48862011</v>
      </c>
      <c r="R25" s="20" t="n">
        <v>0.44977435</v>
      </c>
    </row>
    <row r="26" spans="1:18">
      <c r="A26" s="15" t="s">
        <v>584</v>
      </c>
      <c r="B26" s="17" t="n">
        <v>2419</v>
      </c>
      <c r="C26" s="18">
        <f>(1862.0/B26*100)</f>
        <v/>
      </c>
      <c r="D26" s="19" t="n">
        <v>557</v>
      </c>
      <c r="E26" s="18" t="n">
        <v>33.27117843</v>
      </c>
      <c r="F26" s="20" t="n">
        <v>2.44379989</v>
      </c>
      <c r="G26" s="18" t="n">
        <v>65.82606113999999</v>
      </c>
      <c r="H26" s="20" t="n">
        <v>2.40961645</v>
      </c>
      <c r="I26" s="18" t="n">
        <v>0</v>
      </c>
      <c r="J26" s="20" t="n">
        <v>0</v>
      </c>
      <c r="K26" s="18" t="n">
        <v>0</v>
      </c>
      <c r="L26" s="20" t="n">
        <v>0</v>
      </c>
      <c r="M26" s="18" t="n">
        <v>0</v>
      </c>
      <c r="N26" s="20" t="n">
        <v>0</v>
      </c>
      <c r="O26" s="18" t="n">
        <v>0</v>
      </c>
      <c r="P26" s="20" t="n">
        <v>0</v>
      </c>
      <c r="Q26" s="18" t="n">
        <v>0.9027604299999999</v>
      </c>
      <c r="R26" s="20" t="n">
        <v>0.49526664</v>
      </c>
    </row>
    <row r="27" spans="1:18">
      <c r="A27" s="15" t="s">
        <v>585</v>
      </c>
      <c r="B27" s="17" t="n">
        <v>2683</v>
      </c>
      <c r="C27" s="18">
        <f>(2097.0/B27*100)</f>
        <v/>
      </c>
      <c r="D27" s="19" t="n">
        <v>586</v>
      </c>
      <c r="E27" s="18" t="n">
        <v>28.21032521</v>
      </c>
      <c r="F27" s="20" t="n">
        <v>1.78816003</v>
      </c>
      <c r="G27" s="18" t="n">
        <v>69.52871098999999</v>
      </c>
      <c r="H27" s="20" t="n">
        <v>1.72388671</v>
      </c>
      <c r="I27" s="18" t="n">
        <v>0</v>
      </c>
      <c r="J27" s="20" t="n">
        <v>0</v>
      </c>
      <c r="K27" s="18" t="n">
        <v>0.16896129</v>
      </c>
      <c r="L27" s="20" t="n">
        <v>0.16893118</v>
      </c>
      <c r="M27" s="18" t="n">
        <v>0</v>
      </c>
      <c r="N27" s="20" t="n">
        <v>0</v>
      </c>
      <c r="O27" s="18" t="n">
        <v>0</v>
      </c>
      <c r="P27" s="20" t="n">
        <v>0</v>
      </c>
      <c r="Q27" s="18" t="n">
        <v>2.09200251</v>
      </c>
      <c r="R27" s="20" t="n">
        <v>0.60033653</v>
      </c>
    </row>
    <row r="28" spans="1:18">
      <c r="A28" s="15" t="s">
        <v>586</v>
      </c>
      <c r="B28" s="17" t="n">
        <v>3803</v>
      </c>
      <c r="C28" s="18">
        <f>(3032.0/B28*100)</f>
        <v/>
      </c>
      <c r="D28" s="19" t="n">
        <v>771</v>
      </c>
      <c r="E28" s="18" t="n">
        <v>57.84444431</v>
      </c>
      <c r="F28" s="20" t="n">
        <v>2.0897344</v>
      </c>
      <c r="G28" s="18" t="n">
        <v>39.51500892</v>
      </c>
      <c r="H28" s="20" t="n">
        <v>2.20782536</v>
      </c>
      <c r="I28" s="18" t="n">
        <v>0</v>
      </c>
      <c r="J28" s="20" t="n">
        <v>0</v>
      </c>
      <c r="K28" s="18" t="n">
        <v>0.45278978</v>
      </c>
      <c r="L28" s="20" t="n">
        <v>0.34748481</v>
      </c>
      <c r="M28" s="18" t="n">
        <v>0</v>
      </c>
      <c r="N28" s="20" t="n">
        <v>0</v>
      </c>
      <c r="O28" s="18" t="n">
        <v>0</v>
      </c>
      <c r="P28" s="20" t="n">
        <v>0</v>
      </c>
      <c r="Q28" s="18" t="n">
        <v>2.18775699</v>
      </c>
      <c r="R28" s="20" t="n">
        <v>0.52949164</v>
      </c>
    </row>
    <row r="29" spans="1:18">
      <c r="A29" s="15" t="s">
        <v>587</v>
      </c>
      <c r="B29" s="17" t="n">
        <v>2700</v>
      </c>
      <c r="C29" s="18">
        <f>(2097.0/B29*100)</f>
        <v/>
      </c>
      <c r="D29" s="19" t="n">
        <v>603</v>
      </c>
      <c r="E29" s="18" t="n">
        <v>29.11650962</v>
      </c>
      <c r="F29" s="20" t="n">
        <v>2.34425446</v>
      </c>
      <c r="G29" s="18" t="n">
        <v>69.75743482</v>
      </c>
      <c r="H29" s="20" t="n">
        <v>2.33319419</v>
      </c>
      <c r="I29" s="18" t="n">
        <v>0</v>
      </c>
      <c r="J29" s="20" t="n">
        <v>0</v>
      </c>
      <c r="K29" s="18" t="n">
        <v>0</v>
      </c>
      <c r="L29" s="20" t="n">
        <v>0</v>
      </c>
      <c r="M29" s="18" t="n">
        <v>0</v>
      </c>
      <c r="N29" s="20" t="n">
        <v>0</v>
      </c>
      <c r="O29" s="18" t="n">
        <v>0</v>
      </c>
      <c r="P29" s="20" t="n">
        <v>0</v>
      </c>
      <c r="Q29" s="18" t="n">
        <v>1.12605556</v>
      </c>
      <c r="R29" s="20" t="n">
        <v>0.41909894</v>
      </c>
    </row>
    <row r="30" spans="1:18">
      <c r="A30" s="15" t="s">
        <v>588</v>
      </c>
      <c r="B30" s="17" t="n">
        <v>2257</v>
      </c>
      <c r="C30" s="18">
        <f>(1777.0/B30*100)</f>
        <v/>
      </c>
      <c r="D30" s="19" t="n">
        <v>480</v>
      </c>
      <c r="E30" s="18" t="n">
        <v>21.41131812</v>
      </c>
      <c r="F30" s="20" t="n">
        <v>2.08007856</v>
      </c>
      <c r="G30" s="18" t="n">
        <v>75.52933002</v>
      </c>
      <c r="H30" s="20" t="n">
        <v>2.14084863</v>
      </c>
      <c r="I30" s="18" t="n">
        <v>0</v>
      </c>
      <c r="J30" s="20" t="n">
        <v>0</v>
      </c>
      <c r="K30" s="18" t="n">
        <v>0.19838374</v>
      </c>
      <c r="L30" s="20" t="n">
        <v>0.17513586</v>
      </c>
      <c r="M30" s="18" t="n">
        <v>0</v>
      </c>
      <c r="N30" s="20" t="n">
        <v>0</v>
      </c>
      <c r="O30" s="18" t="n">
        <v>0</v>
      </c>
      <c r="P30" s="20" t="n">
        <v>0</v>
      </c>
      <c r="Q30" s="18" t="n">
        <v>2.86096812</v>
      </c>
      <c r="R30" s="20" t="n">
        <v>0.91301035</v>
      </c>
    </row>
    <row r="31" spans="1:18">
      <c r="A31" s="15" t="s">
        <v>589</v>
      </c>
      <c r="B31" s="17" t="n">
        <v>2706</v>
      </c>
      <c r="C31" s="18">
        <f>(2122.0/B31*100)</f>
        <v/>
      </c>
      <c r="D31" s="19" t="n">
        <v>584</v>
      </c>
      <c r="E31" s="18" t="n">
        <v>18.81966839</v>
      </c>
      <c r="F31" s="20" t="n">
        <v>1.74954336</v>
      </c>
      <c r="G31" s="18" t="n">
        <v>78.50315946000001</v>
      </c>
      <c r="H31" s="20" t="n">
        <v>1.81728428</v>
      </c>
      <c r="I31" s="18" t="n">
        <v>0</v>
      </c>
      <c r="J31" s="20" t="n">
        <v>0</v>
      </c>
      <c r="K31" s="18" t="n">
        <v>0.32675718</v>
      </c>
      <c r="L31" s="20" t="n">
        <v>0.2241258</v>
      </c>
      <c r="M31" s="18" t="n">
        <v>0</v>
      </c>
      <c r="N31" s="20" t="n">
        <v>0</v>
      </c>
      <c r="O31" s="18" t="n">
        <v>0</v>
      </c>
      <c r="P31" s="20" t="n">
        <v>0</v>
      </c>
      <c r="Q31" s="18" t="n">
        <v>2.35041496</v>
      </c>
      <c r="R31" s="20" t="n">
        <v>0.58797954</v>
      </c>
    </row>
    <row r="32" spans="1:18">
      <c r="A32" s="15" t="s">
        <v>590</v>
      </c>
      <c r="B32" s="17" t="n">
        <v>2209</v>
      </c>
      <c r="C32" s="18">
        <f>(1709.0/B32*100)</f>
        <v/>
      </c>
      <c r="D32" s="19" t="n">
        <v>500</v>
      </c>
      <c r="E32" s="18" t="n">
        <v>23.2950198</v>
      </c>
      <c r="F32" s="20" t="n">
        <v>2.02294314</v>
      </c>
      <c r="G32" s="18" t="n">
        <v>75.67518437</v>
      </c>
      <c r="H32" s="20" t="n">
        <v>2.07910989</v>
      </c>
      <c r="I32" s="18" t="n">
        <v>0</v>
      </c>
      <c r="J32" s="20" t="n">
        <v>0</v>
      </c>
      <c r="K32" s="18" t="n">
        <v>0</v>
      </c>
      <c r="L32" s="20" t="n">
        <v>0</v>
      </c>
      <c r="M32" s="18" t="n">
        <v>0</v>
      </c>
      <c r="N32" s="20" t="n">
        <v>0</v>
      </c>
      <c r="O32" s="18" t="n">
        <v>0</v>
      </c>
      <c r="P32" s="20" t="n">
        <v>0</v>
      </c>
      <c r="Q32" s="18" t="n">
        <v>1.02979584</v>
      </c>
      <c r="R32" s="20" t="n">
        <v>0.46702701</v>
      </c>
    </row>
    <row r="33" spans="1:18">
      <c r="A33" s="15" t="s">
        <v>591</v>
      </c>
      <c r="B33" s="17" t="n">
        <v>3651</v>
      </c>
      <c r="C33" s="18">
        <f>(2872.0/B33*100)</f>
        <v/>
      </c>
      <c r="D33" s="19" t="n">
        <v>779</v>
      </c>
      <c r="E33" s="18" t="n">
        <v>23.29015129</v>
      </c>
      <c r="F33" s="20" t="n">
        <v>1.92585741</v>
      </c>
      <c r="G33" s="18" t="n">
        <v>75.06423475</v>
      </c>
      <c r="H33" s="20" t="n">
        <v>2.07776444</v>
      </c>
      <c r="I33" s="18" t="n">
        <v>0</v>
      </c>
      <c r="J33" s="20" t="n">
        <v>0</v>
      </c>
      <c r="K33" s="18" t="n">
        <v>0.21380546</v>
      </c>
      <c r="L33" s="20" t="n">
        <v>0.22102077</v>
      </c>
      <c r="M33" s="18" t="n">
        <v>0</v>
      </c>
      <c r="N33" s="20" t="n">
        <v>0</v>
      </c>
      <c r="O33" s="18" t="n">
        <v>0</v>
      </c>
      <c r="P33" s="20" t="n">
        <v>0</v>
      </c>
      <c r="Q33" s="18" t="n">
        <v>1.43180849</v>
      </c>
      <c r="R33" s="20" t="n">
        <v>0.52693174</v>
      </c>
    </row>
    <row r="34" spans="1:18">
      <c r="A34" s="15" t="s">
        <v>592</v>
      </c>
      <c r="B34" s="17" t="n">
        <v>3035</v>
      </c>
      <c r="C34" s="18">
        <f>(2366.0/B34*100)</f>
        <v/>
      </c>
      <c r="D34" s="19" t="n">
        <v>669</v>
      </c>
      <c r="E34" s="18" t="n">
        <v>33.62407765</v>
      </c>
      <c r="F34" s="20" t="n">
        <v>2.24857675</v>
      </c>
      <c r="G34" s="18" t="n">
        <v>63.79228681</v>
      </c>
      <c r="H34" s="20" t="n">
        <v>2.20917232</v>
      </c>
      <c r="I34" s="18" t="n">
        <v>0</v>
      </c>
      <c r="J34" s="20" t="n">
        <v>0</v>
      </c>
      <c r="K34" s="18" t="n">
        <v>0.20246152</v>
      </c>
      <c r="L34" s="20" t="n">
        <v>0.11338444</v>
      </c>
      <c r="M34" s="18" t="n">
        <v>0</v>
      </c>
      <c r="N34" s="20" t="n">
        <v>0</v>
      </c>
      <c r="O34" s="18" t="n">
        <v>0</v>
      </c>
      <c r="P34" s="20" t="n">
        <v>0</v>
      </c>
      <c r="Q34" s="18" t="n">
        <v>2.38117401</v>
      </c>
      <c r="R34" s="20" t="n">
        <v>0.55670751</v>
      </c>
    </row>
    <row r="35" spans="1:18">
      <c r="A35" s="15" t="s">
        <v>593</v>
      </c>
      <c r="B35" s="17" t="n">
        <v>2901</v>
      </c>
      <c r="C35" s="18">
        <f>(2251.0/B35*100)</f>
        <v/>
      </c>
      <c r="D35" s="19" t="n">
        <v>650</v>
      </c>
      <c r="E35" s="18" t="n">
        <v>20.38492374</v>
      </c>
      <c r="F35" s="20" t="n">
        <v>1.96730304</v>
      </c>
      <c r="G35" s="18" t="n">
        <v>76.7787099</v>
      </c>
      <c r="H35" s="20" t="n">
        <v>2.03156872</v>
      </c>
      <c r="I35" s="18" t="n">
        <v>0</v>
      </c>
      <c r="J35" s="20" t="n">
        <v>0</v>
      </c>
      <c r="K35" s="18" t="n">
        <v>0.08392811999999999</v>
      </c>
      <c r="L35" s="20" t="n">
        <v>0.08405113</v>
      </c>
      <c r="M35" s="18" t="n">
        <v>0</v>
      </c>
      <c r="N35" s="20" t="n">
        <v>0</v>
      </c>
      <c r="O35" s="18" t="n">
        <v>0</v>
      </c>
      <c r="P35" s="20" t="n">
        <v>0</v>
      </c>
      <c r="Q35" s="18" t="n">
        <v>2.75243824</v>
      </c>
      <c r="R35" s="20" t="n">
        <v>0.56485121</v>
      </c>
    </row>
    <row r="36" spans="1:18">
      <c r="A36" s="15" t="s">
        <v>594</v>
      </c>
      <c r="B36" s="17" t="n">
        <v>3404</v>
      </c>
      <c r="C36" s="18">
        <f>(2672.0/B36*100)</f>
        <v/>
      </c>
      <c r="D36" s="19" t="n">
        <v>732</v>
      </c>
      <c r="E36" s="18" t="n">
        <v>31.81396388</v>
      </c>
      <c r="F36" s="20" t="n">
        <v>1.97566729</v>
      </c>
      <c r="G36" s="18" t="n">
        <v>63.74759974</v>
      </c>
      <c r="H36" s="20" t="n">
        <v>1.80772512</v>
      </c>
      <c r="I36" s="18" t="n">
        <v>0</v>
      </c>
      <c r="J36" s="20" t="n">
        <v>0</v>
      </c>
      <c r="K36" s="18" t="n">
        <v>0</v>
      </c>
      <c r="L36" s="20" t="n">
        <v>0</v>
      </c>
      <c r="M36" s="18" t="n">
        <v>0</v>
      </c>
      <c r="N36" s="20" t="n">
        <v>0</v>
      </c>
      <c r="O36" s="18" t="n">
        <v>0</v>
      </c>
      <c r="P36" s="20" t="n">
        <v>0</v>
      </c>
      <c r="Q36" s="18" t="n">
        <v>4.43843638</v>
      </c>
      <c r="R36" s="20" t="n">
        <v>0.91680547</v>
      </c>
    </row>
    <row r="37" spans="1:18">
      <c r="A37" s="15" t="s">
        <v>595</v>
      </c>
      <c r="B37" s="17" t="n">
        <v>2731</v>
      </c>
      <c r="C37" s="18">
        <f>(2122.0/B37*100)</f>
        <v/>
      </c>
      <c r="D37" s="19" t="n">
        <v>609</v>
      </c>
      <c r="E37" s="18" t="n">
        <v>24.67941541</v>
      </c>
      <c r="F37" s="20" t="n">
        <v>2.14318949</v>
      </c>
      <c r="G37" s="18" t="n">
        <v>70.51924268</v>
      </c>
      <c r="H37" s="20" t="n">
        <v>2.4493016</v>
      </c>
      <c r="I37" s="18" t="n">
        <v>0</v>
      </c>
      <c r="J37" s="20" t="n">
        <v>0</v>
      </c>
      <c r="K37" s="18" t="n">
        <v>0.4864907</v>
      </c>
      <c r="L37" s="20" t="n">
        <v>0.27934093</v>
      </c>
      <c r="M37" s="18" t="n">
        <v>0</v>
      </c>
      <c r="N37" s="20" t="n">
        <v>0</v>
      </c>
      <c r="O37" s="18" t="n">
        <v>0</v>
      </c>
      <c r="P37" s="20" t="n">
        <v>0</v>
      </c>
      <c r="Q37" s="18" t="n">
        <v>4.31485121</v>
      </c>
      <c r="R37" s="20" t="n">
        <v>0.96214117</v>
      </c>
    </row>
    <row r="38" spans="1:18">
      <c r="A38" s="15" t="s">
        <v>596</v>
      </c>
      <c r="B38" s="17" t="n">
        <v>2807</v>
      </c>
      <c r="C38" s="18">
        <f>(2154.0/B38*100)</f>
        <v/>
      </c>
      <c r="D38" s="19" t="n">
        <v>653</v>
      </c>
      <c r="E38" s="18" t="n">
        <v>25.0516861</v>
      </c>
      <c r="F38" s="20" t="n">
        <v>2.13847284</v>
      </c>
      <c r="G38" s="18" t="n">
        <v>71.76026994999999</v>
      </c>
      <c r="H38" s="20" t="n">
        <v>2.1789438</v>
      </c>
      <c r="I38" s="18" t="n">
        <v>0</v>
      </c>
      <c r="J38" s="20" t="n">
        <v>0</v>
      </c>
      <c r="K38" s="18" t="n">
        <v>0.17461263</v>
      </c>
      <c r="L38" s="20" t="n">
        <v>0.1736816</v>
      </c>
      <c r="M38" s="18" t="n">
        <v>0</v>
      </c>
      <c r="N38" s="20" t="n">
        <v>0</v>
      </c>
      <c r="O38" s="18" t="n">
        <v>0</v>
      </c>
      <c r="P38" s="20" t="n">
        <v>0</v>
      </c>
      <c r="Q38" s="18" t="n">
        <v>3.01343132</v>
      </c>
      <c r="R38" s="20" t="n">
        <v>0.79579694</v>
      </c>
    </row>
    <row r="39" spans="1:18">
      <c r="A39" s="15" t="s">
        <v>597</v>
      </c>
      <c r="B39" s="17" t="n">
        <v>2938</v>
      </c>
      <c r="C39" s="18">
        <f>(2288.0/B39*100)</f>
        <v/>
      </c>
      <c r="D39" s="19" t="n">
        <v>650</v>
      </c>
      <c r="E39" s="18" t="n">
        <v>57.22858429</v>
      </c>
      <c r="F39" s="20" t="n">
        <v>2.27377004</v>
      </c>
      <c r="G39" s="18" t="n">
        <v>40.33733197</v>
      </c>
      <c r="H39" s="20" t="n">
        <v>2.41067809</v>
      </c>
      <c r="I39" s="18" t="n">
        <v>0</v>
      </c>
      <c r="J39" s="20" t="n">
        <v>0</v>
      </c>
      <c r="K39" s="18" t="n">
        <v>0.14466618</v>
      </c>
      <c r="L39" s="20" t="n">
        <v>0.1443615</v>
      </c>
      <c r="M39" s="18" t="n">
        <v>0</v>
      </c>
      <c r="N39" s="20" t="n">
        <v>0</v>
      </c>
      <c r="O39" s="18" t="n">
        <v>0</v>
      </c>
      <c r="P39" s="20" t="n">
        <v>0</v>
      </c>
      <c r="Q39" s="18" t="n">
        <v>2.28941757</v>
      </c>
      <c r="R39" s="20" t="n">
        <v>0.53754935</v>
      </c>
    </row>
    <row r="40" spans="1:18">
      <c r="A40" s="15" t="s">
        <v>598</v>
      </c>
      <c r="B40" s="17" t="n">
        <v>6922</v>
      </c>
      <c r="C40" s="18">
        <f>(5368.0/B40*100)</f>
        <v/>
      </c>
      <c r="D40" s="19" t="n">
        <v>1554</v>
      </c>
      <c r="E40" s="18" t="n">
        <v>22.35213523</v>
      </c>
      <c r="F40" s="20" t="n">
        <v>1.50252382</v>
      </c>
      <c r="G40" s="18" t="n">
        <v>74.74331612</v>
      </c>
      <c r="H40" s="20" t="n">
        <v>1.5693755</v>
      </c>
      <c r="I40" s="18" t="n">
        <v>0</v>
      </c>
      <c r="J40" s="20" t="n">
        <v>0</v>
      </c>
      <c r="K40" s="18" t="n">
        <v>0.02695436</v>
      </c>
      <c r="L40" s="20" t="n">
        <v>0.0167513</v>
      </c>
      <c r="M40" s="18" t="n">
        <v>0</v>
      </c>
      <c r="N40" s="20" t="n">
        <v>0</v>
      </c>
      <c r="O40" s="18" t="n">
        <v>0</v>
      </c>
      <c r="P40" s="20" t="n">
        <v>0</v>
      </c>
      <c r="Q40" s="18" t="n">
        <v>2.8775943</v>
      </c>
      <c r="R40" s="20" t="n">
        <v>0.66213294</v>
      </c>
    </row>
    <row r="41" spans="1:18">
      <c r="A41" s="15" t="s">
        <v>599</v>
      </c>
      <c r="B41" s="17" t="n">
        <v>2854</v>
      </c>
      <c r="C41" s="18">
        <f>(2239.0/B41*100)</f>
        <v/>
      </c>
      <c r="D41" s="19" t="n">
        <v>615</v>
      </c>
      <c r="E41" s="18" t="n">
        <v>24.94581923</v>
      </c>
      <c r="F41" s="20" t="n">
        <v>1.93324254</v>
      </c>
      <c r="G41" s="18" t="n">
        <v>73.85839706</v>
      </c>
      <c r="H41" s="20" t="n">
        <v>2.03247182</v>
      </c>
      <c r="I41" s="18" t="n">
        <v>0</v>
      </c>
      <c r="J41" s="20" t="n">
        <v>0</v>
      </c>
      <c r="K41" s="18" t="n">
        <v>0.22072017</v>
      </c>
      <c r="L41" s="20" t="n">
        <v>0.23740515</v>
      </c>
      <c r="M41" s="18" t="n">
        <v>0</v>
      </c>
      <c r="N41" s="20" t="n">
        <v>0</v>
      </c>
      <c r="O41" s="18" t="n">
        <v>0</v>
      </c>
      <c r="P41" s="20" t="n">
        <v>0</v>
      </c>
      <c r="Q41" s="18" t="n">
        <v>0.97506354</v>
      </c>
      <c r="R41" s="20" t="n">
        <v>0.40529667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(9808.0/B46*100)</f>
        <v/>
      </c>
      <c r="D46" s="19" t="n">
        <v>2265</v>
      </c>
      <c r="E46" s="18" t="n">
        <v>58.03326737</v>
      </c>
      <c r="F46" s="20" t="n">
        <v>1.66116975</v>
      </c>
      <c r="G46" s="18" t="n">
        <v>36.57766022</v>
      </c>
      <c r="H46" s="20" t="n">
        <v>1.69789996</v>
      </c>
      <c r="I46" s="18" t="n">
        <v>0</v>
      </c>
      <c r="J46" s="20" t="n">
        <v>0</v>
      </c>
      <c r="K46" s="18" t="n">
        <v>0.64409127</v>
      </c>
      <c r="L46" s="20" t="n">
        <v>0.20604709</v>
      </c>
      <c r="M46" s="18" t="n">
        <v>0</v>
      </c>
      <c r="N46" s="20" t="n">
        <v>0</v>
      </c>
      <c r="O46" s="18" t="n">
        <v>0</v>
      </c>
      <c r="P46" s="20" t="n">
        <v>0</v>
      </c>
      <c r="Q46" s="18" t="n">
        <v>4.74498114</v>
      </c>
      <c r="R46" s="20" t="n">
        <v>0.59103798</v>
      </c>
    </row>
    <row r="47" spans="1:18">
      <c r="A47" s="15" t="s">
        <v>606</v>
      </c>
      <c r="B47" s="17" t="n">
        <v>2823</v>
      </c>
      <c r="C47" s="18">
        <f>(2215.0/B47*100)</f>
        <v/>
      </c>
      <c r="D47" s="19" t="n">
        <v>608</v>
      </c>
      <c r="E47" s="18" t="n">
        <v>40.36810453</v>
      </c>
      <c r="F47" s="20" t="n">
        <v>2.33130018</v>
      </c>
      <c r="G47" s="18" t="n">
        <v>56.87885354</v>
      </c>
      <c r="H47" s="20" t="n">
        <v>2.36156294</v>
      </c>
      <c r="I47" s="18" t="n">
        <v>0</v>
      </c>
      <c r="J47" s="20" t="n">
        <v>0</v>
      </c>
      <c r="K47" s="18" t="n">
        <v>0</v>
      </c>
      <c r="L47" s="20" t="n">
        <v>0</v>
      </c>
      <c r="M47" s="18" t="n">
        <v>0</v>
      </c>
      <c r="N47" s="20" t="n">
        <v>0</v>
      </c>
      <c r="O47" s="18" t="n">
        <v>0</v>
      </c>
      <c r="P47" s="20" t="n">
        <v>0</v>
      </c>
      <c r="Q47" s="18" t="n">
        <v>2.75304194</v>
      </c>
      <c r="R47" s="20" t="n">
        <v>0.57507012</v>
      </c>
    </row>
    <row r="48" spans="1:18">
      <c r="A48" s="15" t="s">
        <v>607</v>
      </c>
      <c r="B48" s="17" t="n">
        <v>4682</v>
      </c>
      <c r="C48" s="18">
        <f>(3611.0/B48*100)</f>
        <v/>
      </c>
      <c r="D48" s="19" t="n">
        <v>1071</v>
      </c>
      <c r="E48" s="18" t="n">
        <v>28.88600689</v>
      </c>
      <c r="F48" s="20" t="n">
        <v>2.081892</v>
      </c>
      <c r="G48" s="18" t="n">
        <v>69.43548201</v>
      </c>
      <c r="H48" s="20" t="n">
        <v>2.25031386</v>
      </c>
      <c r="I48" s="18" t="n">
        <v>0</v>
      </c>
      <c r="J48" s="20" t="n">
        <v>0</v>
      </c>
      <c r="K48" s="18" t="n">
        <v>0.09159825000000001</v>
      </c>
      <c r="L48" s="20" t="n">
        <v>0.07076667</v>
      </c>
      <c r="M48" s="18" t="n">
        <v>0</v>
      </c>
      <c r="N48" s="20" t="n">
        <v>0</v>
      </c>
      <c r="O48" s="18" t="n">
        <v>0</v>
      </c>
      <c r="P48" s="20" t="n">
        <v>0</v>
      </c>
      <c r="Q48" s="18" t="n">
        <v>1.58691286</v>
      </c>
      <c r="R48" s="20" t="n">
        <v>0.51972491</v>
      </c>
    </row>
    <row r="49" spans="1:18">
      <c r="A49" s="15" t="s">
        <v>608</v>
      </c>
      <c r="B49" s="17" t="n">
        <v>6158</v>
      </c>
      <c r="C49" s="18">
        <f>(4846.0/B49*100)</f>
        <v/>
      </c>
      <c r="D49" s="19" t="n">
        <v>1312</v>
      </c>
      <c r="E49" s="18" t="n">
        <v>56.64558794</v>
      </c>
      <c r="F49" s="20" t="n">
        <v>1.92613981</v>
      </c>
      <c r="G49" s="18" t="n">
        <v>40.07253863</v>
      </c>
      <c r="H49" s="20" t="n">
        <v>1.91936119</v>
      </c>
      <c r="I49" s="18" t="n">
        <v>0</v>
      </c>
      <c r="J49" s="20" t="n">
        <v>0</v>
      </c>
      <c r="K49" s="18" t="n">
        <v>1.16439971</v>
      </c>
      <c r="L49" s="20" t="n">
        <v>0.35563135</v>
      </c>
      <c r="M49" s="18" t="n">
        <v>0</v>
      </c>
      <c r="N49" s="20" t="n">
        <v>0</v>
      </c>
      <c r="O49" s="18" t="n">
        <v>0</v>
      </c>
      <c r="P49" s="20" t="n">
        <v>0</v>
      </c>
      <c r="Q49" s="18" t="n">
        <v>2.11747372</v>
      </c>
      <c r="R49" s="20" t="n">
        <v>0.46859858</v>
      </c>
    </row>
    <row r="50" spans="1:18">
      <c r="A50" s="15" t="s">
        <v>609</v>
      </c>
      <c r="B50" s="17" t="n">
        <v>3494</v>
      </c>
      <c r="C50" s="18">
        <f>(2839.0/B50*100)</f>
        <v/>
      </c>
      <c r="D50" s="19" t="n">
        <v>655</v>
      </c>
      <c r="E50" s="18" t="n">
        <v>59.04051493</v>
      </c>
      <c r="F50" s="20" t="n">
        <v>2.00257994</v>
      </c>
      <c r="G50" s="18" t="n">
        <v>36.92749165</v>
      </c>
      <c r="H50" s="20" t="n">
        <v>1.98823233</v>
      </c>
      <c r="I50" s="18" t="n">
        <v>0</v>
      </c>
      <c r="J50" s="20" t="n">
        <v>0</v>
      </c>
      <c r="K50" s="18" t="n">
        <v>0.15461073</v>
      </c>
      <c r="L50" s="20" t="n">
        <v>0.15428989</v>
      </c>
      <c r="M50" s="18" t="n">
        <v>0</v>
      </c>
      <c r="N50" s="20" t="n">
        <v>0</v>
      </c>
      <c r="O50" s="18" t="n">
        <v>0</v>
      </c>
      <c r="P50" s="20" t="n">
        <v>0</v>
      </c>
      <c r="Q50" s="18" t="n">
        <v>3.8773827</v>
      </c>
      <c r="R50" s="20" t="n">
        <v>0.78042022</v>
      </c>
    </row>
    <row r="51" spans="1:18">
      <c r="A51" s="15" t="s">
        <v>610</v>
      </c>
      <c r="B51" s="17" t="n">
        <v>3013</v>
      </c>
      <c r="C51" s="18">
        <f>(2349.0/B51*100)</f>
        <v/>
      </c>
      <c r="D51" s="19" t="n">
        <v>664</v>
      </c>
      <c r="E51" s="18" t="n">
        <v>35.78984719</v>
      </c>
      <c r="F51" s="20" t="n">
        <v>1.8319473</v>
      </c>
      <c r="G51" s="18" t="n">
        <v>61.36218237</v>
      </c>
      <c r="H51" s="20" t="n">
        <v>1.97202377</v>
      </c>
      <c r="I51" s="18" t="n">
        <v>0</v>
      </c>
      <c r="J51" s="20" t="n">
        <v>0</v>
      </c>
      <c r="K51" s="18" t="n">
        <v>0</v>
      </c>
      <c r="L51" s="20" t="n">
        <v>0</v>
      </c>
      <c r="M51" s="18" t="n">
        <v>0</v>
      </c>
      <c r="N51" s="20" t="n">
        <v>0</v>
      </c>
      <c r="O51" s="18" t="n">
        <v>0</v>
      </c>
      <c r="P51" s="20" t="n">
        <v>0</v>
      </c>
      <c r="Q51" s="18" t="n">
        <v>2.84797044</v>
      </c>
      <c r="R51" s="20" t="n">
        <v>0.80774844</v>
      </c>
    </row>
    <row r="52" spans="1:18">
      <c r="A52" s="15" t="s">
        <v>611</v>
      </c>
      <c r="B52" s="17" t="n">
        <v>2760</v>
      </c>
      <c r="C52" s="18">
        <f>(2171.0/B52*100)</f>
        <v/>
      </c>
      <c r="D52" s="19" t="n">
        <v>589</v>
      </c>
      <c r="E52" s="18" t="n">
        <v>45.40251534</v>
      </c>
      <c r="F52" s="20" t="n">
        <v>1.94422953</v>
      </c>
      <c r="G52" s="18" t="n">
        <v>51.10230887</v>
      </c>
      <c r="H52" s="20" t="n">
        <v>2.0069422</v>
      </c>
      <c r="I52" s="18" t="n">
        <v>0</v>
      </c>
      <c r="J52" s="20" t="n">
        <v>0</v>
      </c>
      <c r="K52" s="18" t="n">
        <v>0</v>
      </c>
      <c r="L52" s="20" t="n">
        <v>0</v>
      </c>
      <c r="M52" s="18" t="n">
        <v>0</v>
      </c>
      <c r="N52" s="20" t="n">
        <v>0</v>
      </c>
      <c r="O52" s="18" t="n">
        <v>0</v>
      </c>
      <c r="P52" s="20" t="n">
        <v>0</v>
      </c>
      <c r="Q52" s="18" t="n">
        <v>3.4951758</v>
      </c>
      <c r="R52" s="20" t="n">
        <v>0.903567</v>
      </c>
    </row>
    <row r="53" spans="1:18">
      <c r="A53" s="15" t="s">
        <v>612</v>
      </c>
      <c r="B53" s="17" t="n">
        <v>2474</v>
      </c>
      <c r="C53" s="18">
        <f>(1939.0/B53*100)</f>
        <v/>
      </c>
      <c r="D53" s="19" t="n">
        <v>535</v>
      </c>
      <c r="E53" s="18" t="n">
        <v>68.31010582</v>
      </c>
      <c r="F53" s="20" t="n">
        <v>2.12632734</v>
      </c>
      <c r="G53" s="18" t="n">
        <v>15.11862491</v>
      </c>
      <c r="H53" s="20" t="n">
        <v>1.49092863</v>
      </c>
      <c r="I53" s="18" t="n">
        <v>0</v>
      </c>
      <c r="J53" s="20" t="n">
        <v>0</v>
      </c>
      <c r="K53" s="18" t="n">
        <v>9.2596112</v>
      </c>
      <c r="L53" s="20" t="n">
        <v>1.39154187</v>
      </c>
      <c r="M53" s="18" t="n">
        <v>0</v>
      </c>
      <c r="N53" s="20" t="n">
        <v>0</v>
      </c>
      <c r="O53" s="18" t="n">
        <v>0</v>
      </c>
      <c r="P53" s="20" t="n">
        <v>0</v>
      </c>
      <c r="Q53" s="18" t="n">
        <v>7.31165807</v>
      </c>
      <c r="R53" s="20" t="n">
        <v>1.20746315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(2107.0/B55*100)</f>
        <v/>
      </c>
      <c r="D55" s="19" t="n">
        <v>568</v>
      </c>
      <c r="E55" s="18" t="n">
        <v>20.4488171</v>
      </c>
      <c r="F55" s="20" t="n">
        <v>1.75033724</v>
      </c>
      <c r="G55" s="18" t="n">
        <v>77.10109349</v>
      </c>
      <c r="H55" s="20" t="n">
        <v>1.85077856</v>
      </c>
      <c r="I55" s="18" t="n">
        <v>0</v>
      </c>
      <c r="J55" s="20" t="n">
        <v>0</v>
      </c>
      <c r="K55" s="18" t="n">
        <v>0.18913692</v>
      </c>
      <c r="L55" s="20" t="n">
        <v>0.18711133</v>
      </c>
      <c r="M55" s="18" t="n">
        <v>0</v>
      </c>
      <c r="N55" s="20" t="n">
        <v>0</v>
      </c>
      <c r="O55" s="18" t="n">
        <v>0</v>
      </c>
      <c r="P55" s="20" t="n">
        <v>0</v>
      </c>
      <c r="Q55" s="18" t="n">
        <v>2.2609525</v>
      </c>
      <c r="R55" s="20" t="n">
        <v>0.7983190999999999</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(2510.0/B61*100)</f>
        <v/>
      </c>
      <c r="D61" s="19" t="n">
        <v>691</v>
      </c>
      <c r="E61" s="18" t="n">
        <v>30.97335999</v>
      </c>
      <c r="F61" s="20" t="n">
        <v>1.74708718</v>
      </c>
      <c r="G61" s="18" t="n">
        <v>65.20487751</v>
      </c>
      <c r="H61" s="20" t="n">
        <v>1.87673857</v>
      </c>
      <c r="I61" s="18" t="n">
        <v>0</v>
      </c>
      <c r="J61" s="20" t="n">
        <v>0</v>
      </c>
      <c r="K61" s="18" t="n">
        <v>0.18392164</v>
      </c>
      <c r="L61" s="20" t="n">
        <v>0.1909109</v>
      </c>
      <c r="M61" s="18" t="n">
        <v>0</v>
      </c>
      <c r="N61" s="20" t="n">
        <v>0</v>
      </c>
      <c r="O61" s="18" t="n">
        <v>0</v>
      </c>
      <c r="P61" s="20" t="n">
        <v>0</v>
      </c>
      <c r="Q61" s="18" t="n">
        <v>3.63784086</v>
      </c>
      <c r="R61" s="20" t="n">
        <v>0.74099824</v>
      </c>
    </row>
    <row r="62" spans="1:18">
      <c r="A62" s="15" t="s">
        <v>622</v>
      </c>
      <c r="B62" s="17" t="n">
        <v>2230</v>
      </c>
      <c r="C62" s="18">
        <f>(1708.0/B62*100)</f>
        <v/>
      </c>
      <c r="D62" s="19" t="n">
        <v>522</v>
      </c>
      <c r="E62" s="18" t="n">
        <v>18.6045184</v>
      </c>
      <c r="F62" s="20" t="n">
        <v>1.74268641</v>
      </c>
      <c r="G62" s="18" t="n">
        <v>80.63454668</v>
      </c>
      <c r="H62" s="20" t="n">
        <v>1.79707479</v>
      </c>
      <c r="I62" s="18" t="n">
        <v>0</v>
      </c>
      <c r="J62" s="20" t="n">
        <v>0</v>
      </c>
      <c r="K62" s="18" t="n">
        <v>0</v>
      </c>
      <c r="L62" s="20" t="n">
        <v>0</v>
      </c>
      <c r="M62" s="18" t="n">
        <v>0</v>
      </c>
      <c r="N62" s="20" t="n">
        <v>0</v>
      </c>
      <c r="O62" s="18" t="n">
        <v>0</v>
      </c>
      <c r="P62" s="20" t="n">
        <v>0</v>
      </c>
      <c r="Q62" s="18" t="n">
        <v>0.76093492</v>
      </c>
      <c r="R62" s="20" t="n">
        <v>0.38237091</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(2190.0/B67*100)</f>
        <v/>
      </c>
      <c r="D67" s="19" t="n">
        <v>581</v>
      </c>
      <c r="E67" s="18" t="n">
        <v>43.49949255</v>
      </c>
      <c r="F67" s="20" t="n">
        <v>2.05211083</v>
      </c>
      <c r="G67" s="18" t="n">
        <v>42.88967154</v>
      </c>
      <c r="H67" s="20" t="n">
        <v>1.93193402</v>
      </c>
      <c r="I67" s="18" t="n">
        <v>0</v>
      </c>
      <c r="J67" s="20" t="n">
        <v>0</v>
      </c>
      <c r="K67" s="18" t="n">
        <v>0.15581317</v>
      </c>
      <c r="L67" s="20" t="n">
        <v>0.15305196</v>
      </c>
      <c r="M67" s="18" t="n">
        <v>0</v>
      </c>
      <c r="N67" s="20" t="n">
        <v>0</v>
      </c>
      <c r="O67" s="18" t="n">
        <v>0</v>
      </c>
      <c r="P67" s="20" t="n">
        <v>0</v>
      </c>
      <c r="Q67" s="18" t="n">
        <v>13.45502275</v>
      </c>
      <c r="R67" s="20" t="n">
        <v>1.40118871</v>
      </c>
    </row>
    <row r="68" spans="1:18">
      <c r="A68" s="15" t="s">
        <v>628</v>
      </c>
      <c r="B68" s="17" t="n">
        <v>3460</v>
      </c>
      <c r="C68" s="18">
        <f>(2765.0/B68*100)</f>
        <v/>
      </c>
      <c r="D68" s="19" t="n">
        <v>695</v>
      </c>
      <c r="E68" s="18" t="n">
        <v>63.13835481</v>
      </c>
      <c r="F68" s="20" t="n">
        <v>2.02101971</v>
      </c>
      <c r="G68" s="18" t="n">
        <v>33.91284082</v>
      </c>
      <c r="H68" s="20" t="n">
        <v>2.07089756</v>
      </c>
      <c r="I68" s="18" t="n">
        <v>0</v>
      </c>
      <c r="J68" s="20" t="n">
        <v>0</v>
      </c>
      <c r="K68" s="18" t="n">
        <v>0.15439582</v>
      </c>
      <c r="L68" s="20" t="n">
        <v>0.1545726</v>
      </c>
      <c r="M68" s="18" t="n">
        <v>0</v>
      </c>
      <c r="N68" s="20" t="n">
        <v>0</v>
      </c>
      <c r="O68" s="18" t="n">
        <v>0</v>
      </c>
      <c r="P68" s="20" t="n">
        <v>0</v>
      </c>
      <c r="Q68" s="18" t="n">
        <v>2.79440854</v>
      </c>
      <c r="R68" s="20" t="n">
        <v>0.721286</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(4718.0/B70*100)</f>
        <v/>
      </c>
      <c r="D70" s="19" t="n">
        <v>1316</v>
      </c>
      <c r="E70" s="18" t="n">
        <v>50.33616265</v>
      </c>
      <c r="F70" s="20" t="n">
        <v>1.24931932</v>
      </c>
      <c r="G70" s="18" t="n">
        <v>44.04945007</v>
      </c>
      <c r="H70" s="20" t="n">
        <v>1.20492088</v>
      </c>
      <c r="I70" s="18" t="n">
        <v>0</v>
      </c>
      <c r="J70" s="20" t="n">
        <v>0</v>
      </c>
      <c r="K70" s="18" t="n">
        <v>1.20624026</v>
      </c>
      <c r="L70" s="20" t="n">
        <v>0.29782709</v>
      </c>
      <c r="M70" s="18" t="n">
        <v>0</v>
      </c>
      <c r="N70" s="20" t="n">
        <v>0</v>
      </c>
      <c r="O70" s="18" t="n">
        <v>0</v>
      </c>
      <c r="P70" s="20" t="n">
        <v>0</v>
      </c>
      <c r="Q70" s="18" t="n">
        <v>4.40814701</v>
      </c>
      <c r="R70" s="20" t="n">
        <v>0.54389234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(2416.0/B72*100)</f>
        <v/>
      </c>
      <c r="D72" s="19" t="n">
        <v>691</v>
      </c>
      <c r="E72" s="18" t="n">
        <v>26.27055285</v>
      </c>
      <c r="F72" s="20" t="n">
        <v>2.41305811</v>
      </c>
      <c r="G72" s="18" t="n">
        <v>69.74733217000001</v>
      </c>
      <c r="H72" s="20" t="n">
        <v>2.49839571</v>
      </c>
      <c r="I72" s="18" t="n">
        <v>0</v>
      </c>
      <c r="J72" s="20" t="n">
        <v>0</v>
      </c>
      <c r="K72" s="18" t="n">
        <v>0.07878158</v>
      </c>
      <c r="L72" s="20" t="n">
        <v>0.05599571</v>
      </c>
      <c r="M72" s="18" t="n">
        <v>0</v>
      </c>
      <c r="N72" s="20" t="n">
        <v>0</v>
      </c>
      <c r="O72" s="18" t="n">
        <v>0</v>
      </c>
      <c r="P72" s="20" t="n">
        <v>0</v>
      </c>
      <c r="Q72" s="18" t="n">
        <v>3.9033334</v>
      </c>
      <c r="R72" s="20" t="n">
        <v>0.7638072299999999</v>
      </c>
    </row>
    <row r="73" spans="1:18">
      <c r="A73" s="15" t="s">
        <v>633</v>
      </c>
      <c r="B73" s="17" t="n">
        <v>2973</v>
      </c>
      <c r="C73" s="18">
        <f>(2297.0/B73*100)</f>
        <v/>
      </c>
      <c r="D73" s="19" t="n">
        <v>676</v>
      </c>
      <c r="E73" s="18" t="n">
        <v>14.20232689</v>
      </c>
      <c r="F73" s="20" t="n">
        <v>1.35922442</v>
      </c>
      <c r="G73" s="18" t="n">
        <v>84.66333339000001</v>
      </c>
      <c r="H73" s="20" t="n">
        <v>1.44141337</v>
      </c>
      <c r="I73" s="18" t="n">
        <v>0</v>
      </c>
      <c r="J73" s="20" t="n">
        <v>0</v>
      </c>
      <c r="K73" s="18" t="n">
        <v>0.31953292</v>
      </c>
      <c r="L73" s="20" t="n">
        <v>0.22764429</v>
      </c>
      <c r="M73" s="18" t="n">
        <v>0</v>
      </c>
      <c r="N73" s="20" t="n">
        <v>0</v>
      </c>
      <c r="O73" s="18" t="n">
        <v>0</v>
      </c>
      <c r="P73" s="20" t="n">
        <v>0</v>
      </c>
      <c r="Q73" s="18" t="n">
        <v>0.8148068000000001</v>
      </c>
      <c r="R73" s="20" t="n">
        <v>0.30964638</v>
      </c>
    </row>
    <row r="74" spans="1:18">
      <c r="A74" s="15" t="s">
        <v>634</v>
      </c>
      <c r="B74" s="17" t="n">
        <v>3819</v>
      </c>
      <c r="C74" s="18">
        <f>(2940.0/B74*100)</f>
        <v/>
      </c>
      <c r="D74" s="19" t="n">
        <v>879</v>
      </c>
      <c r="E74" s="18" t="n">
        <v>22.22655185</v>
      </c>
      <c r="F74" s="20" t="n">
        <v>1.85113033</v>
      </c>
      <c r="G74" s="18" t="n">
        <v>76.49402825</v>
      </c>
      <c r="H74" s="20" t="n">
        <v>1.87872332</v>
      </c>
      <c r="I74" s="18" t="n">
        <v>0</v>
      </c>
      <c r="J74" s="20" t="n">
        <v>0</v>
      </c>
      <c r="K74" s="18" t="n">
        <v>0</v>
      </c>
      <c r="L74" s="20" t="n">
        <v>0</v>
      </c>
      <c r="M74" s="18" t="n">
        <v>0</v>
      </c>
      <c r="N74" s="20" t="n">
        <v>0</v>
      </c>
      <c r="O74" s="18" t="n">
        <v>0</v>
      </c>
      <c r="P74" s="20" t="n">
        <v>0</v>
      </c>
      <c r="Q74" s="18" t="n">
        <v>1.27941991</v>
      </c>
      <c r="R74" s="20" t="n">
        <v>0.38768515</v>
      </c>
    </row>
    <row r="75" spans="1:18">
      <c r="A75" s="15" t="s">
        <v>635</v>
      </c>
      <c r="B75" s="17" t="n">
        <v>4652</v>
      </c>
      <c r="C75" s="18">
        <f>(3638.0/B75*100)</f>
        <v/>
      </c>
      <c r="D75" s="19" t="n">
        <v>1014</v>
      </c>
      <c r="E75" s="18" t="n">
        <v>47.11630257</v>
      </c>
      <c r="F75" s="20" t="n">
        <v>1.87393444</v>
      </c>
      <c r="G75" s="18" t="n">
        <v>52.09770768</v>
      </c>
      <c r="H75" s="20" t="n">
        <v>1.91000564</v>
      </c>
      <c r="I75" s="18" t="n">
        <v>0</v>
      </c>
      <c r="J75" s="20" t="n">
        <v>0</v>
      </c>
      <c r="K75" s="18" t="n">
        <v>0</v>
      </c>
      <c r="L75" s="20" t="n">
        <v>0</v>
      </c>
      <c r="M75" s="18" t="n">
        <v>0</v>
      </c>
      <c r="N75" s="20" t="n">
        <v>0</v>
      </c>
      <c r="O75" s="18" t="n">
        <v>0</v>
      </c>
      <c r="P75" s="20" t="n">
        <v>0</v>
      </c>
      <c r="Q75" s="18" t="n">
        <v>0.78598975</v>
      </c>
      <c r="R75" s="20" t="n">
        <v>0.30804853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(2374.0/B77*100)</f>
        <v/>
      </c>
      <c r="D77" s="19" t="n">
        <v>595</v>
      </c>
      <c r="E77" s="18" t="n">
        <v>66.92990845</v>
      </c>
      <c r="F77" s="20" t="n">
        <v>1.92600397</v>
      </c>
      <c r="G77" s="18" t="n">
        <v>21.33117529</v>
      </c>
      <c r="H77" s="20" t="n">
        <v>1.69433574</v>
      </c>
      <c r="I77" s="18" t="n">
        <v>0</v>
      </c>
      <c r="J77" s="20" t="n">
        <v>0</v>
      </c>
      <c r="K77" s="18" t="n">
        <v>2.18910115</v>
      </c>
      <c r="L77" s="20" t="n">
        <v>0.59666363</v>
      </c>
      <c r="M77" s="18" t="n">
        <v>0</v>
      </c>
      <c r="N77" s="20" t="n">
        <v>0</v>
      </c>
      <c r="O77" s="18" t="n">
        <v>0</v>
      </c>
      <c r="P77" s="20" t="n">
        <v>0</v>
      </c>
      <c r="Q77" s="18" t="n">
        <v>9.549815110000001</v>
      </c>
      <c r="R77" s="20" t="n">
        <v>1.2099917</v>
      </c>
    </row>
    <row r="78" spans="1:18">
      <c r="A78" s="15" t="s">
        <v>638</v>
      </c>
      <c r="B78" s="17" t="n">
        <v>7115</v>
      </c>
      <c r="C78" s="18">
        <f>(5559.0/B78*100)</f>
        <v/>
      </c>
      <c r="D78" s="19" t="n">
        <v>1556</v>
      </c>
      <c r="E78" s="18" t="n">
        <v>46.51722629</v>
      </c>
      <c r="F78" s="20" t="n">
        <v>1.78628339</v>
      </c>
      <c r="G78" s="18" t="n">
        <v>49.79143038</v>
      </c>
      <c r="H78" s="20" t="n">
        <v>1.76708314</v>
      </c>
      <c r="I78" s="18" t="n">
        <v>0</v>
      </c>
      <c r="J78" s="20" t="n">
        <v>0</v>
      </c>
      <c r="K78" s="18" t="n">
        <v>0.07037852999999999</v>
      </c>
      <c r="L78" s="20" t="n">
        <v>0.05910996</v>
      </c>
      <c r="M78" s="18" t="n">
        <v>0</v>
      </c>
      <c r="N78" s="20" t="n">
        <v>0</v>
      </c>
      <c r="O78" s="18" t="n">
        <v>0</v>
      </c>
      <c r="P78" s="20" t="n">
        <v>0</v>
      </c>
      <c r="Q78" s="18" t="n">
        <v>3.6209648</v>
      </c>
      <c r="R78" s="20" t="n">
        <v>0.61249297</v>
      </c>
    </row>
    <row r="79" spans="1:18">
      <c r="A79" s="15" t="s">
        <v>639</v>
      </c>
      <c r="B79" s="17" t="n">
        <v>3154</v>
      </c>
      <c r="C79" s="18">
        <f>(2491.0/B79*100)</f>
        <v/>
      </c>
      <c r="D79" s="19" t="n">
        <v>663</v>
      </c>
      <c r="E79" s="18" t="n">
        <v>48.81814638</v>
      </c>
      <c r="F79" s="20" t="n">
        <v>2.02971801</v>
      </c>
      <c r="G79" s="18" t="n">
        <v>45.91185889</v>
      </c>
      <c r="H79" s="20" t="n">
        <v>2.06142521</v>
      </c>
      <c r="I79" s="18" t="n">
        <v>0</v>
      </c>
      <c r="J79" s="20" t="n">
        <v>0</v>
      </c>
      <c r="K79" s="18" t="n">
        <v>0.66613071</v>
      </c>
      <c r="L79" s="20" t="n">
        <v>0.37104564</v>
      </c>
      <c r="M79" s="18" t="n">
        <v>0</v>
      </c>
      <c r="N79" s="20" t="n">
        <v>0</v>
      </c>
      <c r="O79" s="18" t="n">
        <v>0</v>
      </c>
      <c r="P79" s="20" t="n">
        <v>0</v>
      </c>
      <c r="Q79" s="18" t="n">
        <v>4.60386402</v>
      </c>
      <c r="R79" s="20" t="n">
        <v>0.90191996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(12426.0/B82*100)</f>
        <v/>
      </c>
      <c r="D82" s="19" t="n">
        <v>3535</v>
      </c>
      <c r="E82" s="18" t="n">
        <v>33.19656039</v>
      </c>
      <c r="F82" s="20" t="n">
        <v>1.29435891</v>
      </c>
      <c r="G82" s="18" t="n">
        <v>63.6318674</v>
      </c>
      <c r="H82" s="20" t="n">
        <v>1.26276795</v>
      </c>
      <c r="I82" s="18" t="n">
        <v>0</v>
      </c>
      <c r="J82" s="20" t="n">
        <v>0</v>
      </c>
      <c r="K82" s="18" t="n">
        <v>0.07776735</v>
      </c>
      <c r="L82" s="20" t="n">
        <v>0.03718616</v>
      </c>
      <c r="M82" s="18" t="n">
        <v>0</v>
      </c>
      <c r="N82" s="20" t="n">
        <v>0</v>
      </c>
      <c r="O82" s="18" t="n">
        <v>0</v>
      </c>
      <c r="P82" s="20" t="n">
        <v>0</v>
      </c>
      <c r="Q82" s="18" t="n">
        <v>3.09380486</v>
      </c>
      <c r="R82" s="20" t="n">
        <v>0.46636971</v>
      </c>
    </row>
    <row r="83" spans="1:18">
      <c r="A83" s="15" t="s">
        <v>643</v>
      </c>
      <c r="B83" s="17" t="n">
        <v>808</v>
      </c>
      <c r="C83" s="18">
        <f>(625.0/B83*100)</f>
        <v/>
      </c>
      <c r="D83" s="19" t="n">
        <v>183</v>
      </c>
      <c r="E83" s="18" t="n">
        <v>17.66251018</v>
      </c>
      <c r="F83" s="20" t="n">
        <v>3.58441391</v>
      </c>
      <c r="G83" s="18" t="n">
        <v>81.56675351</v>
      </c>
      <c r="H83" s="20" t="n">
        <v>3.45103728</v>
      </c>
      <c r="I83" s="18" t="n">
        <v>0</v>
      </c>
      <c r="J83" s="20" t="n">
        <v>0</v>
      </c>
      <c r="K83" s="18" t="n">
        <v>0</v>
      </c>
      <c r="L83" s="20" t="n">
        <v>0</v>
      </c>
      <c r="M83" s="18" t="n">
        <v>0</v>
      </c>
      <c r="N83" s="20" t="n">
        <v>0</v>
      </c>
      <c r="O83" s="18" t="n">
        <v>0</v>
      </c>
      <c r="P83" s="20" t="n">
        <v>0</v>
      </c>
      <c r="Q83" s="18" t="n">
        <v>0.77073631</v>
      </c>
      <c r="R83" s="20" t="n">
        <v>0.61675687</v>
      </c>
    </row>
    <row r="84" spans="1:18">
      <c r="A84" s="23" t="s">
        <v>644</v>
      </c>
      <c r="B84" s="24" t="n">
        <v>938</v>
      </c>
      <c r="C84" s="25">
        <f>(739.0/B84*100)</f>
        <v/>
      </c>
      <c r="D84" s="19" t="n">
        <v>199</v>
      </c>
      <c r="E84" s="18" t="n">
        <v>16.65768101</v>
      </c>
      <c r="F84" s="20" t="n">
        <v>2.33446076</v>
      </c>
      <c r="G84" s="18" t="n">
        <v>81.80836041000001</v>
      </c>
      <c r="H84" s="20" t="n">
        <v>2.77410926</v>
      </c>
      <c r="I84" s="18" t="n">
        <v>0</v>
      </c>
      <c r="J84" s="20" t="n">
        <v>0</v>
      </c>
      <c r="K84" s="18" t="n">
        <v>0</v>
      </c>
      <c r="L84" s="20" t="n">
        <v>0</v>
      </c>
      <c r="M84" s="18" t="n">
        <v>0</v>
      </c>
      <c r="N84" s="20" t="n">
        <v>0</v>
      </c>
      <c r="O84" s="18" t="n">
        <v>0</v>
      </c>
      <c r="P84" s="20" t="n">
        <v>0</v>
      </c>
      <c r="Q84" s="18" t="n">
        <v>1.53395858</v>
      </c>
      <c r="R84" s="20" t="n">
        <v>0.94348285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(5609.0/B7*100)</f>
        <v/>
      </c>
      <c r="D7" s="19" t="n">
        <v>1554</v>
      </c>
      <c r="E7" s="18" t="n">
        <v>41.42712492</v>
      </c>
      <c r="F7" s="20" t="n">
        <v>1.39691224</v>
      </c>
      <c r="G7" s="18" t="n">
        <v>55.51698765</v>
      </c>
      <c r="H7" s="20" t="n">
        <v>1.39849671</v>
      </c>
      <c r="I7" s="18" t="n">
        <v>0</v>
      </c>
      <c r="J7" s="20" t="n">
        <v>0</v>
      </c>
      <c r="K7" s="18" t="n">
        <v>0.27799744</v>
      </c>
      <c r="L7" s="20" t="n">
        <v>0.18949935</v>
      </c>
      <c r="M7" s="18" t="n">
        <v>0</v>
      </c>
      <c r="N7" s="20" t="n">
        <v>0</v>
      </c>
      <c r="O7" s="18" t="n">
        <v>0</v>
      </c>
      <c r="P7" s="20" t="n">
        <v>0</v>
      </c>
      <c r="Q7" s="18" t="n">
        <v>2.77789</v>
      </c>
      <c r="R7" s="20" t="n">
        <v>0.51880643</v>
      </c>
    </row>
    <row r="8" spans="1:18">
      <c r="A8" s="15" t="s">
        <v>566</v>
      </c>
      <c r="B8" s="17" t="n">
        <v>3443</v>
      </c>
      <c r="C8" s="18">
        <f>(2668.0/B8*100)</f>
        <v/>
      </c>
      <c r="D8" s="19" t="n">
        <v>775</v>
      </c>
      <c r="E8" s="18" t="n">
        <v>36.28230252</v>
      </c>
      <c r="F8" s="20" t="n">
        <v>1.80059368</v>
      </c>
      <c r="G8" s="18" t="n">
        <v>62.78969656</v>
      </c>
      <c r="H8" s="20" t="n">
        <v>1.84937325</v>
      </c>
      <c r="I8" s="18" t="n">
        <v>0</v>
      </c>
      <c r="J8" s="20" t="n">
        <v>0</v>
      </c>
      <c r="K8" s="18" t="n">
        <v>0</v>
      </c>
      <c r="L8" s="20" t="n">
        <v>0</v>
      </c>
      <c r="M8" s="18" t="n">
        <v>0</v>
      </c>
      <c r="N8" s="20" t="n">
        <v>0</v>
      </c>
      <c r="O8" s="18" t="n">
        <v>0</v>
      </c>
      <c r="P8" s="20" t="n">
        <v>0</v>
      </c>
      <c r="Q8" s="18" t="n">
        <v>0.92800092</v>
      </c>
      <c r="R8" s="20" t="n">
        <v>0.3368576</v>
      </c>
    </row>
    <row r="9" spans="1:18">
      <c r="A9" s="15" t="s">
        <v>567</v>
      </c>
      <c r="B9" s="17" t="n">
        <v>4752</v>
      </c>
      <c r="C9" s="18">
        <f>(3732.0/B9*100)</f>
        <v/>
      </c>
      <c r="D9" s="19" t="n">
        <v>1020</v>
      </c>
      <c r="E9" s="18" t="n">
        <v>37.71875739</v>
      </c>
      <c r="F9" s="20" t="n">
        <v>1.90860109</v>
      </c>
      <c r="G9" s="18" t="n">
        <v>59.78123452</v>
      </c>
      <c r="H9" s="20" t="n">
        <v>2.00894296</v>
      </c>
      <c r="I9" s="18" t="n">
        <v>0</v>
      </c>
      <c r="J9" s="20" t="n">
        <v>0</v>
      </c>
      <c r="K9" s="18" t="n">
        <v>0.2216468</v>
      </c>
      <c r="L9" s="20" t="n">
        <v>0.16139487</v>
      </c>
      <c r="M9" s="18" t="n">
        <v>0</v>
      </c>
      <c r="N9" s="20" t="n">
        <v>0</v>
      </c>
      <c r="O9" s="18" t="n">
        <v>0</v>
      </c>
      <c r="P9" s="20" t="n">
        <v>0</v>
      </c>
      <c r="Q9" s="18" t="n">
        <v>2.27836129</v>
      </c>
      <c r="R9" s="20" t="n">
        <v>0.59838328</v>
      </c>
    </row>
    <row r="10" spans="1:18">
      <c r="A10" s="15" t="s">
        <v>568</v>
      </c>
      <c r="B10" s="17" t="n">
        <v>10022</v>
      </c>
      <c r="C10" s="18">
        <f>(7824.0/B10*100)</f>
        <v/>
      </c>
      <c r="D10" s="19" t="n">
        <v>2198</v>
      </c>
      <c r="E10" s="18" t="n">
        <v>35.31716115</v>
      </c>
      <c r="F10" s="20" t="n">
        <v>1.26902687</v>
      </c>
      <c r="G10" s="18" t="n">
        <v>63.7835187</v>
      </c>
      <c r="H10" s="20" t="n">
        <v>1.29158064</v>
      </c>
      <c r="I10" s="18" t="n">
        <v>0</v>
      </c>
      <c r="J10" s="20" t="n">
        <v>0</v>
      </c>
      <c r="K10" s="18" t="n">
        <v>0.18640411</v>
      </c>
      <c r="L10" s="20" t="n">
        <v>0.17079334</v>
      </c>
      <c r="M10" s="18" t="n">
        <v>0</v>
      </c>
      <c r="N10" s="20" t="n">
        <v>0</v>
      </c>
      <c r="O10" s="18" t="n">
        <v>0</v>
      </c>
      <c r="P10" s="20" t="n">
        <v>0</v>
      </c>
      <c r="Q10" s="18" t="n">
        <v>0.71291603</v>
      </c>
      <c r="R10" s="20" t="n">
        <v>0.25808363</v>
      </c>
    </row>
    <row r="11" spans="1:18">
      <c r="A11" s="15" t="s">
        <v>569</v>
      </c>
      <c r="B11" s="17" t="n">
        <v>3500</v>
      </c>
      <c r="C11" s="18">
        <f>(2768.0/B11*100)</f>
        <v/>
      </c>
      <c r="D11" s="19" t="n">
        <v>732</v>
      </c>
      <c r="E11" s="18" t="n">
        <v>57.60312933</v>
      </c>
      <c r="F11" s="20" t="n">
        <v>2.38298865</v>
      </c>
      <c r="G11" s="18" t="n">
        <v>38.70105408</v>
      </c>
      <c r="H11" s="20" t="n">
        <v>2.14542606</v>
      </c>
      <c r="I11" s="18" t="n">
        <v>0</v>
      </c>
      <c r="J11" s="20" t="n">
        <v>0</v>
      </c>
      <c r="K11" s="18" t="n">
        <v>0.68027076</v>
      </c>
      <c r="L11" s="20" t="n">
        <v>0.33279732</v>
      </c>
      <c r="M11" s="18" t="n">
        <v>0</v>
      </c>
      <c r="N11" s="20" t="n">
        <v>0</v>
      </c>
      <c r="O11" s="18" t="n">
        <v>0</v>
      </c>
      <c r="P11" s="20" t="n">
        <v>0</v>
      </c>
      <c r="Q11" s="18" t="n">
        <v>3.01554584</v>
      </c>
      <c r="R11" s="20" t="n">
        <v>0.72476874</v>
      </c>
    </row>
    <row r="12" spans="1:18">
      <c r="A12" s="15" t="s">
        <v>570</v>
      </c>
      <c r="B12" s="17" t="n">
        <v>3422</v>
      </c>
      <c r="C12" s="18">
        <f>(2680.0/B12*100)</f>
        <v/>
      </c>
      <c r="D12" s="19" t="n">
        <v>742</v>
      </c>
      <c r="E12" s="18" t="n">
        <v>42.0761221</v>
      </c>
      <c r="F12" s="20" t="n">
        <v>2.14824443</v>
      </c>
      <c r="G12" s="18" t="n">
        <v>56.53016429</v>
      </c>
      <c r="H12" s="20" t="n">
        <v>2.21642604</v>
      </c>
      <c r="I12" s="18" t="n">
        <v>0</v>
      </c>
      <c r="J12" s="20" t="n">
        <v>0</v>
      </c>
      <c r="K12" s="18" t="n">
        <v>0</v>
      </c>
      <c r="L12" s="20" t="n">
        <v>0</v>
      </c>
      <c r="M12" s="18" t="n">
        <v>0</v>
      </c>
      <c r="N12" s="20" t="n">
        <v>0</v>
      </c>
      <c r="O12" s="18" t="n">
        <v>0</v>
      </c>
      <c r="P12" s="20" t="n">
        <v>0</v>
      </c>
      <c r="Q12" s="18" t="n">
        <v>1.3937136</v>
      </c>
      <c r="R12" s="20" t="n">
        <v>0.59566838</v>
      </c>
    </row>
    <row r="13" spans="1:18">
      <c r="A13" s="15" t="s">
        <v>571</v>
      </c>
      <c r="B13" s="17" t="n">
        <v>3602</v>
      </c>
      <c r="C13" s="18">
        <f>(2828.0/B13*100)</f>
        <v/>
      </c>
      <c r="D13" s="19" t="n">
        <v>774</v>
      </c>
      <c r="E13" s="18" t="n">
        <v>30.62361833</v>
      </c>
      <c r="F13" s="20" t="n">
        <v>1.61613438</v>
      </c>
      <c r="G13" s="18" t="n">
        <v>67.51626627</v>
      </c>
      <c r="H13" s="20" t="n">
        <v>1.68330065</v>
      </c>
      <c r="I13" s="18" t="n">
        <v>0</v>
      </c>
      <c r="J13" s="20" t="n">
        <v>0</v>
      </c>
      <c r="K13" s="18" t="n">
        <v>0</v>
      </c>
      <c r="L13" s="20" t="n">
        <v>0</v>
      </c>
      <c r="M13" s="18" t="n">
        <v>0</v>
      </c>
      <c r="N13" s="20" t="n">
        <v>0</v>
      </c>
      <c r="O13" s="18" t="n">
        <v>0</v>
      </c>
      <c r="P13" s="20" t="n">
        <v>0</v>
      </c>
      <c r="Q13" s="18" t="n">
        <v>1.8601154</v>
      </c>
      <c r="R13" s="20" t="n">
        <v>0.6903664</v>
      </c>
    </row>
    <row r="14" spans="1:18">
      <c r="A14" s="15" t="s">
        <v>572</v>
      </c>
      <c r="B14" s="17" t="n">
        <v>2788</v>
      </c>
      <c r="C14" s="18">
        <f>(2184.0/B14*100)</f>
        <v/>
      </c>
      <c r="D14" s="19" t="n">
        <v>604</v>
      </c>
      <c r="E14" s="18" t="n">
        <v>32.35498198</v>
      </c>
      <c r="F14" s="20" t="n">
        <v>2.1502044</v>
      </c>
      <c r="G14" s="18" t="n">
        <v>67.20032076</v>
      </c>
      <c r="H14" s="20" t="n">
        <v>2.15785621</v>
      </c>
      <c r="I14" s="18" t="n">
        <v>0</v>
      </c>
      <c r="J14" s="20" t="n">
        <v>0</v>
      </c>
      <c r="K14" s="18" t="n">
        <v>0.14719205</v>
      </c>
      <c r="L14" s="20" t="n">
        <v>0.14581519</v>
      </c>
      <c r="M14" s="18" t="n">
        <v>0</v>
      </c>
      <c r="N14" s="20" t="n">
        <v>0</v>
      </c>
      <c r="O14" s="18" t="n">
        <v>0</v>
      </c>
      <c r="P14" s="20" t="n">
        <v>0</v>
      </c>
      <c r="Q14" s="18" t="n">
        <v>0.29750521</v>
      </c>
      <c r="R14" s="20" t="n">
        <v>0.20939852</v>
      </c>
    </row>
    <row r="15" spans="1:18">
      <c r="A15" s="15" t="s">
        <v>573</v>
      </c>
      <c r="B15" s="17" t="n">
        <v>2863</v>
      </c>
      <c r="C15" s="18">
        <f>(2225.0/B15*100)</f>
        <v/>
      </c>
      <c r="D15" s="19" t="n">
        <v>638</v>
      </c>
      <c r="E15" s="18" t="n">
        <v>25.82062057</v>
      </c>
      <c r="F15" s="20" t="n">
        <v>1.85313029</v>
      </c>
      <c r="G15" s="18" t="n">
        <v>72.44304651</v>
      </c>
      <c r="H15" s="20" t="n">
        <v>1.80542178</v>
      </c>
      <c r="I15" s="18" t="n">
        <v>0</v>
      </c>
      <c r="J15" s="20" t="n">
        <v>0</v>
      </c>
      <c r="K15" s="18" t="n">
        <v>0</v>
      </c>
      <c r="L15" s="20" t="n">
        <v>0</v>
      </c>
      <c r="M15" s="18" t="n">
        <v>0</v>
      </c>
      <c r="N15" s="20" t="n">
        <v>0</v>
      </c>
      <c r="O15" s="18" t="n">
        <v>0</v>
      </c>
      <c r="P15" s="20" t="n">
        <v>0</v>
      </c>
      <c r="Q15" s="18" t="n">
        <v>1.73633292</v>
      </c>
      <c r="R15" s="20" t="n">
        <v>0.53598206</v>
      </c>
    </row>
    <row r="16" spans="1:18">
      <c r="A16" s="15" t="s">
        <v>574</v>
      </c>
      <c r="B16" s="17" t="n">
        <v>3111</v>
      </c>
      <c r="C16" s="18">
        <f>(2413.0/B16*100)</f>
        <v/>
      </c>
      <c r="D16" s="19" t="n">
        <v>698</v>
      </c>
      <c r="E16" s="18" t="n">
        <v>38.4961891</v>
      </c>
      <c r="F16" s="20" t="n">
        <v>1.79796001</v>
      </c>
      <c r="G16" s="18" t="n">
        <v>59.60142169</v>
      </c>
      <c r="H16" s="20" t="n">
        <v>1.76685555</v>
      </c>
      <c r="I16" s="18" t="n">
        <v>0</v>
      </c>
      <c r="J16" s="20" t="n">
        <v>0</v>
      </c>
      <c r="K16" s="18" t="n">
        <v>0.35571133</v>
      </c>
      <c r="L16" s="20" t="n">
        <v>0.39623346</v>
      </c>
      <c r="M16" s="18" t="n">
        <v>0</v>
      </c>
      <c r="N16" s="20" t="n">
        <v>0</v>
      </c>
      <c r="O16" s="18" t="n">
        <v>0</v>
      </c>
      <c r="P16" s="20" t="n">
        <v>0</v>
      </c>
      <c r="Q16" s="18" t="n">
        <v>1.54667788</v>
      </c>
      <c r="R16" s="20" t="n">
        <v>0.49657723</v>
      </c>
    </row>
    <row r="17" spans="1:18">
      <c r="A17" s="15" t="s">
        <v>575</v>
      </c>
      <c r="B17" s="17" t="n">
        <v>3197</v>
      </c>
      <c r="C17" s="18">
        <f>(2491.0/B17*100)</f>
        <v/>
      </c>
      <c r="D17" s="19" t="n">
        <v>706</v>
      </c>
      <c r="E17" s="18" t="n">
        <v>33.33180615</v>
      </c>
      <c r="F17" s="20" t="n">
        <v>2.0810952</v>
      </c>
      <c r="G17" s="18" t="n">
        <v>65.32836392999999</v>
      </c>
      <c r="H17" s="20" t="n">
        <v>2.04573521</v>
      </c>
      <c r="I17" s="18" t="n">
        <v>0</v>
      </c>
      <c r="J17" s="20" t="n">
        <v>0</v>
      </c>
      <c r="K17" s="18" t="n">
        <v>0</v>
      </c>
      <c r="L17" s="20" t="n">
        <v>0</v>
      </c>
      <c r="M17" s="18" t="n">
        <v>0</v>
      </c>
      <c r="N17" s="20" t="n">
        <v>0</v>
      </c>
      <c r="O17" s="18" t="n">
        <v>0</v>
      </c>
      <c r="P17" s="20" t="n">
        <v>0</v>
      </c>
      <c r="Q17" s="18" t="n">
        <v>1.33982992</v>
      </c>
      <c r="R17" s="20" t="n">
        <v>0.52286398</v>
      </c>
    </row>
    <row r="18" spans="1:18">
      <c r="A18" s="15" t="s">
        <v>576</v>
      </c>
      <c r="B18" s="17" t="n">
        <v>2706</v>
      </c>
      <c r="C18" s="18">
        <f>(2089.0/B18*100)</f>
        <v/>
      </c>
      <c r="D18" s="19" t="n">
        <v>617</v>
      </c>
      <c r="E18" s="18" t="n">
        <v>53.19205036</v>
      </c>
      <c r="F18" s="20" t="n">
        <v>1.96526028</v>
      </c>
      <c r="G18" s="18" t="n">
        <v>44.06049934</v>
      </c>
      <c r="H18" s="20" t="n">
        <v>2.00278167</v>
      </c>
      <c r="I18" s="18" t="n">
        <v>0</v>
      </c>
      <c r="J18" s="20" t="n">
        <v>0</v>
      </c>
      <c r="K18" s="18" t="n">
        <v>0.26626271</v>
      </c>
      <c r="L18" s="20" t="n">
        <v>0.26215326</v>
      </c>
      <c r="M18" s="18" t="n">
        <v>0</v>
      </c>
      <c r="N18" s="20" t="n">
        <v>0</v>
      </c>
      <c r="O18" s="18" t="n">
        <v>0</v>
      </c>
      <c r="P18" s="20" t="n">
        <v>0</v>
      </c>
      <c r="Q18" s="18" t="n">
        <v>2.48118759</v>
      </c>
      <c r="R18" s="20" t="n">
        <v>0.66759321</v>
      </c>
    </row>
    <row r="19" spans="1:18">
      <c r="A19" s="15" t="s">
        <v>577</v>
      </c>
      <c r="B19" s="17" t="n">
        <v>2850</v>
      </c>
      <c r="C19" s="18">
        <f>(2224.0/B19*100)</f>
        <v/>
      </c>
      <c r="D19" s="19" t="n">
        <v>626</v>
      </c>
      <c r="E19" s="18" t="n">
        <v>47.75100647</v>
      </c>
      <c r="F19" s="20" t="n">
        <v>2.27407203</v>
      </c>
      <c r="G19" s="18" t="n">
        <v>51.23588061</v>
      </c>
      <c r="H19" s="20" t="n">
        <v>2.29576561</v>
      </c>
      <c r="I19" s="18" t="n">
        <v>0</v>
      </c>
      <c r="J19" s="20" t="n">
        <v>0</v>
      </c>
      <c r="K19" s="18" t="n">
        <v>0</v>
      </c>
      <c r="L19" s="20" t="n">
        <v>0</v>
      </c>
      <c r="M19" s="18" t="n">
        <v>0</v>
      </c>
      <c r="N19" s="20" t="n">
        <v>0</v>
      </c>
      <c r="O19" s="18" t="n">
        <v>0</v>
      </c>
      <c r="P19" s="20" t="n">
        <v>0</v>
      </c>
      <c r="Q19" s="18" t="n">
        <v>1.01311292</v>
      </c>
      <c r="R19" s="20" t="n">
        <v>0.28373922</v>
      </c>
    </row>
    <row r="20" spans="1:18">
      <c r="A20" s="15" t="s">
        <v>578</v>
      </c>
      <c r="B20" s="17" t="n">
        <v>1741</v>
      </c>
      <c r="C20" s="18">
        <f>(1365.0/B20*100)</f>
        <v/>
      </c>
      <c r="D20" s="19" t="n">
        <v>376</v>
      </c>
      <c r="E20" s="18" t="n">
        <v>39.64431572</v>
      </c>
      <c r="F20" s="20" t="n">
        <v>2.43506235</v>
      </c>
      <c r="G20" s="18" t="n">
        <v>59.08354183</v>
      </c>
      <c r="H20" s="20" t="n">
        <v>2.521227</v>
      </c>
      <c r="I20" s="18" t="n">
        <v>0</v>
      </c>
      <c r="J20" s="20" t="n">
        <v>0</v>
      </c>
      <c r="K20" s="18" t="n">
        <v>0.26254609</v>
      </c>
      <c r="L20" s="20" t="n">
        <v>0.26501684</v>
      </c>
      <c r="M20" s="18" t="n">
        <v>0</v>
      </c>
      <c r="N20" s="20" t="n">
        <v>0</v>
      </c>
      <c r="O20" s="18" t="n">
        <v>0</v>
      </c>
      <c r="P20" s="20" t="n">
        <v>0</v>
      </c>
      <c r="Q20" s="18" t="n">
        <v>1.00959635</v>
      </c>
      <c r="R20" s="20" t="n">
        <v>0.37272747</v>
      </c>
    </row>
    <row r="21" spans="1:18">
      <c r="A21" s="15" t="s">
        <v>579</v>
      </c>
      <c r="B21" s="17" t="n">
        <v>2833</v>
      </c>
      <c r="C21" s="18">
        <f>(2213.0/B21*100)</f>
        <v/>
      </c>
      <c r="D21" s="19" t="n">
        <v>620</v>
      </c>
      <c r="E21" s="18" t="n">
        <v>47.1145938</v>
      </c>
      <c r="F21" s="20" t="n">
        <v>2.41119651</v>
      </c>
      <c r="G21" s="18" t="n">
        <v>51.54896513</v>
      </c>
      <c r="H21" s="20" t="n">
        <v>2.45680872</v>
      </c>
      <c r="I21" s="18" t="n">
        <v>0</v>
      </c>
      <c r="J21" s="20" t="n">
        <v>0</v>
      </c>
      <c r="K21" s="18" t="n">
        <v>0</v>
      </c>
      <c r="L21" s="20" t="n">
        <v>0</v>
      </c>
      <c r="M21" s="18" t="n">
        <v>0</v>
      </c>
      <c r="N21" s="20" t="n">
        <v>0</v>
      </c>
      <c r="O21" s="18" t="n">
        <v>0</v>
      </c>
      <c r="P21" s="20" t="n">
        <v>0</v>
      </c>
      <c r="Q21" s="18" t="n">
        <v>1.33644107</v>
      </c>
      <c r="R21" s="20" t="n">
        <v>0.50930578</v>
      </c>
    </row>
    <row r="22" spans="1:18">
      <c r="A22" s="15" t="s">
        <v>580</v>
      </c>
      <c r="B22" s="17" t="n">
        <v>3667</v>
      </c>
      <c r="C22" s="18">
        <f>(2904.0/B22*100)</f>
        <v/>
      </c>
      <c r="D22" s="19" t="n">
        <v>763</v>
      </c>
      <c r="E22" s="18" t="n">
        <v>52.35781734</v>
      </c>
      <c r="F22" s="20" t="n">
        <v>1.84342371</v>
      </c>
      <c r="G22" s="18" t="n">
        <v>43.46389074</v>
      </c>
      <c r="H22" s="20" t="n">
        <v>1.83515055</v>
      </c>
      <c r="I22" s="18" t="n">
        <v>0</v>
      </c>
      <c r="J22" s="20" t="n">
        <v>0</v>
      </c>
      <c r="K22" s="18" t="n">
        <v>0.14166005</v>
      </c>
      <c r="L22" s="20" t="n">
        <v>0.1477156</v>
      </c>
      <c r="M22" s="18" t="n">
        <v>0</v>
      </c>
      <c r="N22" s="20" t="n">
        <v>0</v>
      </c>
      <c r="O22" s="18" t="n">
        <v>0</v>
      </c>
      <c r="P22" s="20" t="n">
        <v>0</v>
      </c>
      <c r="Q22" s="18" t="n">
        <v>4.03663187</v>
      </c>
      <c r="R22" s="20" t="n">
        <v>0.6693184</v>
      </c>
    </row>
    <row r="23" spans="1:18">
      <c r="A23" s="15" t="s">
        <v>581</v>
      </c>
      <c r="B23" s="17" t="n">
        <v>5792</v>
      </c>
      <c r="C23" s="18">
        <f>(4494.0/B23*100)</f>
        <v/>
      </c>
      <c r="D23" s="19" t="n">
        <v>1298</v>
      </c>
      <c r="E23" s="18" t="n">
        <v>48.20945046</v>
      </c>
      <c r="F23" s="20" t="n">
        <v>2.08198993</v>
      </c>
      <c r="G23" s="18" t="n">
        <v>46.58095827</v>
      </c>
      <c r="H23" s="20" t="n">
        <v>2.44398275</v>
      </c>
      <c r="I23" s="18" t="n">
        <v>0</v>
      </c>
      <c r="J23" s="20" t="n">
        <v>0</v>
      </c>
      <c r="K23" s="18" t="n">
        <v>0.36291585</v>
      </c>
      <c r="L23" s="20" t="n">
        <v>0.22744522</v>
      </c>
      <c r="M23" s="18" t="n">
        <v>0</v>
      </c>
      <c r="N23" s="20" t="n">
        <v>0</v>
      </c>
      <c r="O23" s="18" t="n">
        <v>0</v>
      </c>
      <c r="P23" s="20" t="n">
        <v>0</v>
      </c>
      <c r="Q23" s="18" t="n">
        <v>4.84667542</v>
      </c>
      <c r="R23" s="20" t="n">
        <v>1.13817079</v>
      </c>
    </row>
    <row r="24" spans="1:18">
      <c r="A24" s="15" t="s">
        <v>582</v>
      </c>
      <c r="B24" s="17" t="n">
        <v>3309</v>
      </c>
      <c r="C24" s="18">
        <f>(2587.0/B24*100)</f>
        <v/>
      </c>
      <c r="D24" s="19" t="n">
        <v>722</v>
      </c>
      <c r="E24" s="18" t="n">
        <v>27.20794645</v>
      </c>
      <c r="F24" s="20" t="n">
        <v>1.59487702</v>
      </c>
      <c r="G24" s="18" t="n">
        <v>71.35843199</v>
      </c>
      <c r="H24" s="20" t="n">
        <v>1.62514234</v>
      </c>
      <c r="I24" s="18" t="n">
        <v>0</v>
      </c>
      <c r="J24" s="20" t="n">
        <v>0</v>
      </c>
      <c r="K24" s="18" t="n">
        <v>0.16571097</v>
      </c>
      <c r="L24" s="20" t="n">
        <v>0.15467221</v>
      </c>
      <c r="M24" s="18" t="n">
        <v>0</v>
      </c>
      <c r="N24" s="20" t="n">
        <v>0</v>
      </c>
      <c r="O24" s="18" t="n">
        <v>0</v>
      </c>
      <c r="P24" s="20" t="n">
        <v>0</v>
      </c>
      <c r="Q24" s="18" t="n">
        <v>1.26791058</v>
      </c>
      <c r="R24" s="20" t="n">
        <v>0.43219577</v>
      </c>
    </row>
    <row r="25" spans="1:18">
      <c r="A25" s="15" t="s">
        <v>583</v>
      </c>
      <c r="B25" s="17" t="n">
        <v>2669</v>
      </c>
      <c r="C25" s="18">
        <f>(2069.0/B25*100)</f>
        <v/>
      </c>
      <c r="D25" s="19" t="n">
        <v>600</v>
      </c>
      <c r="E25" s="18" t="n">
        <v>29.77601615</v>
      </c>
      <c r="F25" s="20" t="n">
        <v>1.94572456</v>
      </c>
      <c r="G25" s="18" t="n">
        <v>69.72014166</v>
      </c>
      <c r="H25" s="20" t="n">
        <v>1.99663906</v>
      </c>
      <c r="I25" s="18" t="n">
        <v>0</v>
      </c>
      <c r="J25" s="20" t="n">
        <v>0</v>
      </c>
      <c r="K25" s="18" t="n">
        <v>0.16496877</v>
      </c>
      <c r="L25" s="20" t="n">
        <v>0.16490759</v>
      </c>
      <c r="M25" s="18" t="n">
        <v>0</v>
      </c>
      <c r="N25" s="20" t="n">
        <v>0</v>
      </c>
      <c r="O25" s="18" t="n">
        <v>0</v>
      </c>
      <c r="P25" s="20" t="n">
        <v>0</v>
      </c>
      <c r="Q25" s="18" t="n">
        <v>0.33887343</v>
      </c>
      <c r="R25" s="20" t="n">
        <v>0.24269881</v>
      </c>
    </row>
    <row r="26" spans="1:18">
      <c r="A26" s="15" t="s">
        <v>584</v>
      </c>
      <c r="B26" s="17" t="n">
        <v>2419</v>
      </c>
      <c r="C26" s="18">
        <f>(1862.0/B26*100)</f>
        <v/>
      </c>
      <c r="D26" s="19" t="n">
        <v>557</v>
      </c>
      <c r="E26" s="18" t="n">
        <v>41.03401827</v>
      </c>
      <c r="F26" s="20" t="n">
        <v>2.22053118</v>
      </c>
      <c r="G26" s="18" t="n">
        <v>58.82908675</v>
      </c>
      <c r="H26" s="20" t="n">
        <v>2.21219763</v>
      </c>
      <c r="I26" s="18" t="n">
        <v>0</v>
      </c>
      <c r="J26" s="20" t="n">
        <v>0</v>
      </c>
      <c r="K26" s="18" t="n">
        <v>0</v>
      </c>
      <c r="L26" s="20" t="n">
        <v>0</v>
      </c>
      <c r="M26" s="18" t="n">
        <v>0</v>
      </c>
      <c r="N26" s="20" t="n">
        <v>0</v>
      </c>
      <c r="O26" s="18" t="n">
        <v>0</v>
      </c>
      <c r="P26" s="20" t="n">
        <v>0</v>
      </c>
      <c r="Q26" s="18" t="n">
        <v>0.13689498</v>
      </c>
      <c r="R26" s="20" t="n">
        <v>0.13460687</v>
      </c>
    </row>
    <row r="27" spans="1:18">
      <c r="A27" s="15" t="s">
        <v>585</v>
      </c>
      <c r="B27" s="17" t="n">
        <v>2683</v>
      </c>
      <c r="C27" s="18">
        <f>(2098.0/B27*100)</f>
        <v/>
      </c>
      <c r="D27" s="19" t="n">
        <v>585</v>
      </c>
      <c r="E27" s="18" t="n">
        <v>44.75317453</v>
      </c>
      <c r="F27" s="20" t="n">
        <v>1.93838574</v>
      </c>
      <c r="G27" s="18" t="n">
        <v>53.53719053</v>
      </c>
      <c r="H27" s="20" t="n">
        <v>1.95950813</v>
      </c>
      <c r="I27" s="18" t="n">
        <v>0</v>
      </c>
      <c r="J27" s="20" t="n">
        <v>0</v>
      </c>
      <c r="K27" s="18" t="n">
        <v>0.16924655</v>
      </c>
      <c r="L27" s="20" t="n">
        <v>0.16922008</v>
      </c>
      <c r="M27" s="18" t="n">
        <v>0</v>
      </c>
      <c r="N27" s="20" t="n">
        <v>0</v>
      </c>
      <c r="O27" s="18" t="n">
        <v>0</v>
      </c>
      <c r="P27" s="20" t="n">
        <v>0</v>
      </c>
      <c r="Q27" s="18" t="n">
        <v>1.54038839</v>
      </c>
      <c r="R27" s="20" t="n">
        <v>0.37852181</v>
      </c>
    </row>
    <row r="28" spans="1:18">
      <c r="A28" s="15" t="s">
        <v>586</v>
      </c>
      <c r="B28" s="17" t="n">
        <v>3803</v>
      </c>
      <c r="C28" s="18">
        <f>(3036.0/B28*100)</f>
        <v/>
      </c>
      <c r="D28" s="19" t="n">
        <v>767</v>
      </c>
      <c r="E28" s="18" t="n">
        <v>74.91001831</v>
      </c>
      <c r="F28" s="20" t="n">
        <v>1.84731475</v>
      </c>
      <c r="G28" s="18" t="n">
        <v>23.72785347</v>
      </c>
      <c r="H28" s="20" t="n">
        <v>1.87169472</v>
      </c>
      <c r="I28" s="18" t="n">
        <v>0</v>
      </c>
      <c r="J28" s="20" t="n">
        <v>0</v>
      </c>
      <c r="K28" s="18" t="n">
        <v>0.57778909</v>
      </c>
      <c r="L28" s="20" t="n">
        <v>0.36959389</v>
      </c>
      <c r="M28" s="18" t="n">
        <v>0</v>
      </c>
      <c r="N28" s="20" t="n">
        <v>0</v>
      </c>
      <c r="O28" s="18" t="n">
        <v>0</v>
      </c>
      <c r="P28" s="20" t="n">
        <v>0</v>
      </c>
      <c r="Q28" s="18" t="n">
        <v>0.78433913</v>
      </c>
      <c r="R28" s="20" t="n">
        <v>0.30840395</v>
      </c>
    </row>
    <row r="29" spans="1:18">
      <c r="A29" s="15" t="s">
        <v>587</v>
      </c>
      <c r="B29" s="17" t="n">
        <v>2700</v>
      </c>
      <c r="C29" s="18">
        <f>(2097.0/B29*100)</f>
        <v/>
      </c>
      <c r="D29" s="19" t="n">
        <v>603</v>
      </c>
      <c r="E29" s="18" t="n">
        <v>32.76056624</v>
      </c>
      <c r="F29" s="20" t="n">
        <v>2.52651459</v>
      </c>
      <c r="G29" s="18" t="n">
        <v>66.49769582</v>
      </c>
      <c r="H29" s="20" t="n">
        <v>2.56139257</v>
      </c>
      <c r="I29" s="18" t="n">
        <v>0</v>
      </c>
      <c r="J29" s="20" t="n">
        <v>0</v>
      </c>
      <c r="K29" s="18" t="n">
        <v>0.13320489</v>
      </c>
      <c r="L29" s="20" t="n">
        <v>0.1367406</v>
      </c>
      <c r="M29" s="18" t="n">
        <v>0</v>
      </c>
      <c r="N29" s="20" t="n">
        <v>0</v>
      </c>
      <c r="O29" s="18" t="n">
        <v>0</v>
      </c>
      <c r="P29" s="20" t="n">
        <v>0</v>
      </c>
      <c r="Q29" s="18" t="n">
        <v>0.60853305</v>
      </c>
      <c r="R29" s="20" t="n">
        <v>0.31869966</v>
      </c>
    </row>
    <row r="30" spans="1:18">
      <c r="A30" s="15" t="s">
        <v>588</v>
      </c>
      <c r="B30" s="17" t="n">
        <v>2257</v>
      </c>
      <c r="C30" s="18">
        <f>(1779.0/B30*100)</f>
        <v/>
      </c>
      <c r="D30" s="19" t="n">
        <v>478</v>
      </c>
      <c r="E30" s="18" t="n">
        <v>41.03084057</v>
      </c>
      <c r="F30" s="20" t="n">
        <v>2.34019337</v>
      </c>
      <c r="G30" s="18" t="n">
        <v>55.02786256</v>
      </c>
      <c r="H30" s="20" t="n">
        <v>2.19361753</v>
      </c>
      <c r="I30" s="18" t="n">
        <v>0</v>
      </c>
      <c r="J30" s="20" t="n">
        <v>0</v>
      </c>
      <c r="K30" s="18" t="n">
        <v>0.42921899</v>
      </c>
      <c r="L30" s="20" t="n">
        <v>0.25638192</v>
      </c>
      <c r="M30" s="18" t="n">
        <v>0</v>
      </c>
      <c r="N30" s="20" t="n">
        <v>0</v>
      </c>
      <c r="O30" s="18" t="n">
        <v>0</v>
      </c>
      <c r="P30" s="20" t="n">
        <v>0</v>
      </c>
      <c r="Q30" s="18" t="n">
        <v>3.51207788</v>
      </c>
      <c r="R30" s="20" t="n">
        <v>0.88578913</v>
      </c>
    </row>
    <row r="31" spans="1:18">
      <c r="A31" s="15" t="s">
        <v>589</v>
      </c>
      <c r="B31" s="17" t="n">
        <v>2706</v>
      </c>
      <c r="C31" s="18">
        <f>(2122.0/B31*100)</f>
        <v/>
      </c>
      <c r="D31" s="19" t="n">
        <v>584</v>
      </c>
      <c r="E31" s="18" t="n">
        <v>34.80872647</v>
      </c>
      <c r="F31" s="20" t="n">
        <v>2.26821959</v>
      </c>
      <c r="G31" s="18" t="n">
        <v>63.19470699</v>
      </c>
      <c r="H31" s="20" t="n">
        <v>2.25402995</v>
      </c>
      <c r="I31" s="18" t="n">
        <v>0</v>
      </c>
      <c r="J31" s="20" t="n">
        <v>0</v>
      </c>
      <c r="K31" s="18" t="n">
        <v>0.32675718</v>
      </c>
      <c r="L31" s="20" t="n">
        <v>0.2241258</v>
      </c>
      <c r="M31" s="18" t="n">
        <v>0</v>
      </c>
      <c r="N31" s="20" t="n">
        <v>0</v>
      </c>
      <c r="O31" s="18" t="n">
        <v>0</v>
      </c>
      <c r="P31" s="20" t="n">
        <v>0</v>
      </c>
      <c r="Q31" s="18" t="n">
        <v>1.66980935</v>
      </c>
      <c r="R31" s="20" t="n">
        <v>0.5380151399999999</v>
      </c>
    </row>
    <row r="32" spans="1:18">
      <c r="A32" s="15" t="s">
        <v>590</v>
      </c>
      <c r="B32" s="17" t="n">
        <v>2209</v>
      </c>
      <c r="C32" s="18">
        <f>(1710.0/B32*100)</f>
        <v/>
      </c>
      <c r="D32" s="19" t="n">
        <v>499</v>
      </c>
      <c r="E32" s="18" t="n">
        <v>44.8755191</v>
      </c>
      <c r="F32" s="20" t="n">
        <v>2.46496559</v>
      </c>
      <c r="G32" s="18" t="n">
        <v>54.53131192</v>
      </c>
      <c r="H32" s="20" t="n">
        <v>2.46110809</v>
      </c>
      <c r="I32" s="18" t="n">
        <v>0</v>
      </c>
      <c r="J32" s="20" t="n">
        <v>0</v>
      </c>
      <c r="K32" s="18" t="n">
        <v>0</v>
      </c>
      <c r="L32" s="20" t="n">
        <v>0</v>
      </c>
      <c r="M32" s="18" t="n">
        <v>0</v>
      </c>
      <c r="N32" s="20" t="n">
        <v>0</v>
      </c>
      <c r="O32" s="18" t="n">
        <v>0</v>
      </c>
      <c r="P32" s="20" t="n">
        <v>0</v>
      </c>
      <c r="Q32" s="18" t="n">
        <v>0.59316897</v>
      </c>
      <c r="R32" s="20" t="n">
        <v>0.34617198</v>
      </c>
    </row>
    <row r="33" spans="1:18">
      <c r="A33" s="15" t="s">
        <v>591</v>
      </c>
      <c r="B33" s="17" t="n">
        <v>3651</v>
      </c>
      <c r="C33" s="18">
        <f>(2873.0/B33*100)</f>
        <v/>
      </c>
      <c r="D33" s="19" t="n">
        <v>778</v>
      </c>
      <c r="E33" s="18" t="n">
        <v>39.43075329</v>
      </c>
      <c r="F33" s="20" t="n">
        <v>2.42483931</v>
      </c>
      <c r="G33" s="18" t="n">
        <v>59.51486635</v>
      </c>
      <c r="H33" s="20" t="n">
        <v>2.45135074</v>
      </c>
      <c r="I33" s="18" t="n">
        <v>0</v>
      </c>
      <c r="J33" s="20" t="n">
        <v>0</v>
      </c>
      <c r="K33" s="18" t="n">
        <v>0.26201546</v>
      </c>
      <c r="L33" s="20" t="n">
        <v>0.22597645</v>
      </c>
      <c r="M33" s="18" t="n">
        <v>0</v>
      </c>
      <c r="N33" s="20" t="n">
        <v>0</v>
      </c>
      <c r="O33" s="18" t="n">
        <v>0</v>
      </c>
      <c r="P33" s="20" t="n">
        <v>0</v>
      </c>
      <c r="Q33" s="18" t="n">
        <v>0.79236489</v>
      </c>
      <c r="R33" s="20" t="n">
        <v>0.33886498</v>
      </c>
    </row>
    <row r="34" spans="1:18">
      <c r="A34" s="15" t="s">
        <v>592</v>
      </c>
      <c r="B34" s="17" t="n">
        <v>3035</v>
      </c>
      <c r="C34" s="18">
        <f>(2368.0/B34*100)</f>
        <v/>
      </c>
      <c r="D34" s="19" t="n">
        <v>667</v>
      </c>
      <c r="E34" s="18" t="n">
        <v>43.14131477</v>
      </c>
      <c r="F34" s="20" t="n">
        <v>1.95388073</v>
      </c>
      <c r="G34" s="18" t="n">
        <v>54.91694889</v>
      </c>
      <c r="H34" s="20" t="n">
        <v>1.91216224</v>
      </c>
      <c r="I34" s="18" t="n">
        <v>0</v>
      </c>
      <c r="J34" s="20" t="n">
        <v>0</v>
      </c>
      <c r="K34" s="18" t="n">
        <v>0.20301872</v>
      </c>
      <c r="L34" s="20" t="n">
        <v>0.11369507</v>
      </c>
      <c r="M34" s="18" t="n">
        <v>0</v>
      </c>
      <c r="N34" s="20" t="n">
        <v>0</v>
      </c>
      <c r="O34" s="18" t="n">
        <v>0</v>
      </c>
      <c r="P34" s="20" t="n">
        <v>0</v>
      </c>
      <c r="Q34" s="18" t="n">
        <v>1.73871761</v>
      </c>
      <c r="R34" s="20" t="n">
        <v>0.52675673</v>
      </c>
    </row>
    <row r="35" spans="1:18">
      <c r="A35" s="15" t="s">
        <v>593</v>
      </c>
      <c r="B35" s="17" t="n">
        <v>2901</v>
      </c>
      <c r="C35" s="18">
        <f>(2252.0/B35*100)</f>
        <v/>
      </c>
      <c r="D35" s="19" t="n">
        <v>649</v>
      </c>
      <c r="E35" s="18" t="n">
        <v>30.46233702</v>
      </c>
      <c r="F35" s="20" t="n">
        <v>2.33937425</v>
      </c>
      <c r="G35" s="18" t="n">
        <v>67.92865028999999</v>
      </c>
      <c r="H35" s="20" t="n">
        <v>2.44618881</v>
      </c>
      <c r="I35" s="18" t="n">
        <v>0</v>
      </c>
      <c r="J35" s="20" t="n">
        <v>0</v>
      </c>
      <c r="K35" s="18" t="n">
        <v>0.08422449</v>
      </c>
      <c r="L35" s="20" t="n">
        <v>0.08434413</v>
      </c>
      <c r="M35" s="18" t="n">
        <v>0</v>
      </c>
      <c r="N35" s="20" t="n">
        <v>0</v>
      </c>
      <c r="O35" s="18" t="n">
        <v>0</v>
      </c>
      <c r="P35" s="20" t="n">
        <v>0</v>
      </c>
      <c r="Q35" s="18" t="n">
        <v>1.52478821</v>
      </c>
      <c r="R35" s="20" t="n">
        <v>0.53357454</v>
      </c>
    </row>
    <row r="36" spans="1:18">
      <c r="A36" s="15" t="s">
        <v>594</v>
      </c>
      <c r="B36" s="17" t="n">
        <v>3404</v>
      </c>
      <c r="C36" s="18">
        <f>(2676.0/B36*100)</f>
        <v/>
      </c>
      <c r="D36" s="19" t="n">
        <v>728</v>
      </c>
      <c r="E36" s="18" t="n">
        <v>45.07830393</v>
      </c>
      <c r="F36" s="20" t="n">
        <v>1.85930336</v>
      </c>
      <c r="G36" s="18" t="n">
        <v>52.26965111</v>
      </c>
      <c r="H36" s="20" t="n">
        <v>1.96169652</v>
      </c>
      <c r="I36" s="18" t="n">
        <v>0</v>
      </c>
      <c r="J36" s="20" t="n">
        <v>0</v>
      </c>
      <c r="K36" s="18" t="n">
        <v>0.17556978</v>
      </c>
      <c r="L36" s="20" t="n">
        <v>0.14749987</v>
      </c>
      <c r="M36" s="18" t="n">
        <v>0</v>
      </c>
      <c r="N36" s="20" t="n">
        <v>0</v>
      </c>
      <c r="O36" s="18" t="n">
        <v>0</v>
      </c>
      <c r="P36" s="20" t="n">
        <v>0</v>
      </c>
      <c r="Q36" s="18" t="n">
        <v>2.47647518</v>
      </c>
      <c r="R36" s="20" t="n">
        <v>0.68304605</v>
      </c>
    </row>
    <row r="37" spans="1:18">
      <c r="A37" s="15" t="s">
        <v>595</v>
      </c>
      <c r="B37" s="17" t="n">
        <v>2731</v>
      </c>
      <c r="C37" s="18">
        <f>(2123.0/B37*100)</f>
        <v/>
      </c>
      <c r="D37" s="19" t="n">
        <v>608</v>
      </c>
      <c r="E37" s="18" t="n">
        <v>34.86348512</v>
      </c>
      <c r="F37" s="20" t="n">
        <v>2.15020427</v>
      </c>
      <c r="G37" s="18" t="n">
        <v>60.21689257</v>
      </c>
      <c r="H37" s="20" t="n">
        <v>2.42340207</v>
      </c>
      <c r="I37" s="18" t="n">
        <v>0</v>
      </c>
      <c r="J37" s="20" t="n">
        <v>0</v>
      </c>
      <c r="K37" s="18" t="n">
        <v>0.487285</v>
      </c>
      <c r="L37" s="20" t="n">
        <v>0.27982077</v>
      </c>
      <c r="M37" s="18" t="n">
        <v>0</v>
      </c>
      <c r="N37" s="20" t="n">
        <v>0</v>
      </c>
      <c r="O37" s="18" t="n">
        <v>0</v>
      </c>
      <c r="P37" s="20" t="n">
        <v>0</v>
      </c>
      <c r="Q37" s="18" t="n">
        <v>4.43233732</v>
      </c>
      <c r="R37" s="20" t="n">
        <v>0.87158375</v>
      </c>
    </row>
    <row r="38" spans="1:18">
      <c r="A38" s="15" t="s">
        <v>596</v>
      </c>
      <c r="B38" s="17" t="n">
        <v>2807</v>
      </c>
      <c r="C38" s="18">
        <f>(2154.0/B38*100)</f>
        <v/>
      </c>
      <c r="D38" s="19" t="n">
        <v>653</v>
      </c>
      <c r="E38" s="18" t="n">
        <v>34.42562782</v>
      </c>
      <c r="F38" s="20" t="n">
        <v>2.04652357</v>
      </c>
      <c r="G38" s="18" t="n">
        <v>63.1486879</v>
      </c>
      <c r="H38" s="20" t="n">
        <v>2.24279883</v>
      </c>
      <c r="I38" s="18" t="n">
        <v>0</v>
      </c>
      <c r="J38" s="20" t="n">
        <v>0</v>
      </c>
      <c r="K38" s="18" t="n">
        <v>0.17461263</v>
      </c>
      <c r="L38" s="20" t="n">
        <v>0.1736816</v>
      </c>
      <c r="M38" s="18" t="n">
        <v>0</v>
      </c>
      <c r="N38" s="20" t="n">
        <v>0</v>
      </c>
      <c r="O38" s="18" t="n">
        <v>0</v>
      </c>
      <c r="P38" s="20" t="n">
        <v>0</v>
      </c>
      <c r="Q38" s="18" t="n">
        <v>2.25107165</v>
      </c>
      <c r="R38" s="20" t="n">
        <v>0.58832068</v>
      </c>
    </row>
    <row r="39" spans="1:18">
      <c r="A39" s="15" t="s">
        <v>597</v>
      </c>
      <c r="B39" s="17" t="n">
        <v>2938</v>
      </c>
      <c r="C39" s="18">
        <f>(2288.0/B39*100)</f>
        <v/>
      </c>
      <c r="D39" s="19" t="n">
        <v>650</v>
      </c>
      <c r="E39" s="18" t="n">
        <v>63.99894073</v>
      </c>
      <c r="F39" s="20" t="n">
        <v>2.39957766</v>
      </c>
      <c r="G39" s="18" t="n">
        <v>34.76646269</v>
      </c>
      <c r="H39" s="20" t="n">
        <v>2.44064336</v>
      </c>
      <c r="I39" s="18" t="n">
        <v>0</v>
      </c>
      <c r="J39" s="20" t="n">
        <v>0</v>
      </c>
      <c r="K39" s="18" t="n">
        <v>0.14466618</v>
      </c>
      <c r="L39" s="20" t="n">
        <v>0.1443615</v>
      </c>
      <c r="M39" s="18" t="n">
        <v>0</v>
      </c>
      <c r="N39" s="20" t="n">
        <v>0</v>
      </c>
      <c r="O39" s="18" t="n">
        <v>0</v>
      </c>
      <c r="P39" s="20" t="n">
        <v>0</v>
      </c>
      <c r="Q39" s="18" t="n">
        <v>1.0899304</v>
      </c>
      <c r="R39" s="20" t="n">
        <v>0.39430788</v>
      </c>
    </row>
    <row r="40" spans="1:18">
      <c r="A40" s="15" t="s">
        <v>598</v>
      </c>
      <c r="B40" s="17" t="n">
        <v>6922</v>
      </c>
      <c r="C40" s="18">
        <f>(5368.0/B40*100)</f>
        <v/>
      </c>
      <c r="D40" s="19" t="n">
        <v>1554</v>
      </c>
      <c r="E40" s="18" t="n">
        <v>38.37921049</v>
      </c>
      <c r="F40" s="20" t="n">
        <v>1.73055479</v>
      </c>
      <c r="G40" s="18" t="n">
        <v>59.67681158</v>
      </c>
      <c r="H40" s="20" t="n">
        <v>1.75014224</v>
      </c>
      <c r="I40" s="18" t="n">
        <v>0</v>
      </c>
      <c r="J40" s="20" t="n">
        <v>0</v>
      </c>
      <c r="K40" s="18" t="n">
        <v>0.05347708</v>
      </c>
      <c r="L40" s="20" t="n">
        <v>0.02988336</v>
      </c>
      <c r="M40" s="18" t="n">
        <v>0</v>
      </c>
      <c r="N40" s="20" t="n">
        <v>0</v>
      </c>
      <c r="O40" s="18" t="n">
        <v>0</v>
      </c>
      <c r="P40" s="20" t="n">
        <v>0</v>
      </c>
      <c r="Q40" s="18" t="n">
        <v>1.89050085</v>
      </c>
      <c r="R40" s="20" t="n">
        <v>0.54211857</v>
      </c>
    </row>
    <row r="41" spans="1:18">
      <c r="A41" s="15" t="s">
        <v>599</v>
      </c>
      <c r="B41" s="17" t="n">
        <v>2854</v>
      </c>
      <c r="C41" s="18">
        <f>(2239.0/B41*100)</f>
        <v/>
      </c>
      <c r="D41" s="19" t="n">
        <v>615</v>
      </c>
      <c r="E41" s="18" t="n">
        <v>43.46300003</v>
      </c>
      <c r="F41" s="20" t="n">
        <v>2.30559299</v>
      </c>
      <c r="G41" s="18" t="n">
        <v>55.8627165</v>
      </c>
      <c r="H41" s="20" t="n">
        <v>2.32124766</v>
      </c>
      <c r="I41" s="18" t="n">
        <v>0</v>
      </c>
      <c r="J41" s="20" t="n">
        <v>0</v>
      </c>
      <c r="K41" s="18" t="n">
        <v>0.22070911</v>
      </c>
      <c r="L41" s="20" t="n">
        <v>0.23740075</v>
      </c>
      <c r="M41" s="18" t="n">
        <v>0</v>
      </c>
      <c r="N41" s="20" t="n">
        <v>0</v>
      </c>
      <c r="O41" s="18" t="n">
        <v>0</v>
      </c>
      <c r="P41" s="20" t="n">
        <v>0</v>
      </c>
      <c r="Q41" s="18" t="n">
        <v>0.45357437</v>
      </c>
      <c r="R41" s="20" t="n">
        <v>0.27327494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(9856.0/B46*100)</f>
        <v/>
      </c>
      <c r="D46" s="19" t="n">
        <v>2217</v>
      </c>
      <c r="E46" s="18" t="n">
        <v>72.5575656</v>
      </c>
      <c r="F46" s="20" t="n">
        <v>1.48628282</v>
      </c>
      <c r="G46" s="18" t="n">
        <v>23.2775379</v>
      </c>
      <c r="H46" s="20" t="n">
        <v>1.29863714</v>
      </c>
      <c r="I46" s="18" t="n">
        <v>0</v>
      </c>
      <c r="J46" s="20" t="n">
        <v>0</v>
      </c>
      <c r="K46" s="18" t="n">
        <v>0.79497646</v>
      </c>
      <c r="L46" s="20" t="n">
        <v>0.2227121</v>
      </c>
      <c r="M46" s="18" t="n">
        <v>0</v>
      </c>
      <c r="N46" s="20" t="n">
        <v>0</v>
      </c>
      <c r="O46" s="18" t="n">
        <v>0</v>
      </c>
      <c r="P46" s="20" t="n">
        <v>0</v>
      </c>
      <c r="Q46" s="18" t="n">
        <v>3.36992005</v>
      </c>
      <c r="R46" s="20" t="n">
        <v>0.602895</v>
      </c>
    </row>
    <row r="47" spans="1:18">
      <c r="A47" s="15" t="s">
        <v>606</v>
      </c>
      <c r="B47" s="17" t="n">
        <v>2823</v>
      </c>
      <c r="C47" s="18">
        <f>(2220.0/B47*100)</f>
        <v/>
      </c>
      <c r="D47" s="19" t="n">
        <v>603</v>
      </c>
      <c r="E47" s="18" t="n">
        <v>52.42649311</v>
      </c>
      <c r="F47" s="20" t="n">
        <v>2.22020258</v>
      </c>
      <c r="G47" s="18" t="n">
        <v>44.45168968</v>
      </c>
      <c r="H47" s="20" t="n">
        <v>2.26816952</v>
      </c>
      <c r="I47" s="18" t="n">
        <v>0</v>
      </c>
      <c r="J47" s="20" t="n">
        <v>0</v>
      </c>
      <c r="K47" s="18" t="n">
        <v>0.16143673</v>
      </c>
      <c r="L47" s="20" t="n">
        <v>0.16067615</v>
      </c>
      <c r="M47" s="18" t="n">
        <v>0</v>
      </c>
      <c r="N47" s="20" t="n">
        <v>0</v>
      </c>
      <c r="O47" s="18" t="n">
        <v>0</v>
      </c>
      <c r="P47" s="20" t="n">
        <v>0</v>
      </c>
      <c r="Q47" s="18" t="n">
        <v>2.96038048</v>
      </c>
      <c r="R47" s="20" t="n">
        <v>0.6620835900000001</v>
      </c>
    </row>
    <row r="48" spans="1:18">
      <c r="A48" s="15" t="s">
        <v>607</v>
      </c>
      <c r="B48" s="17" t="n">
        <v>4682</v>
      </c>
      <c r="C48" s="18">
        <f>(3611.0/B48*100)</f>
        <v/>
      </c>
      <c r="D48" s="19" t="n">
        <v>1071</v>
      </c>
      <c r="E48" s="18" t="n">
        <v>42.77349916</v>
      </c>
      <c r="F48" s="20" t="n">
        <v>2.50062214</v>
      </c>
      <c r="G48" s="18" t="n">
        <v>56.73163054</v>
      </c>
      <c r="H48" s="20" t="n">
        <v>2.5234998</v>
      </c>
      <c r="I48" s="18" t="n">
        <v>0</v>
      </c>
      <c r="J48" s="20" t="n">
        <v>0</v>
      </c>
      <c r="K48" s="18" t="n">
        <v>0.09159825000000001</v>
      </c>
      <c r="L48" s="20" t="n">
        <v>0.07076667</v>
      </c>
      <c r="M48" s="18" t="n">
        <v>0</v>
      </c>
      <c r="N48" s="20" t="n">
        <v>0</v>
      </c>
      <c r="O48" s="18" t="n">
        <v>0</v>
      </c>
      <c r="P48" s="20" t="n">
        <v>0</v>
      </c>
      <c r="Q48" s="18" t="n">
        <v>0.40327205</v>
      </c>
      <c r="R48" s="20" t="n">
        <v>0.24235047</v>
      </c>
    </row>
    <row r="49" spans="1:18">
      <c r="A49" s="15" t="s">
        <v>608</v>
      </c>
      <c r="B49" s="17" t="n">
        <v>6158</v>
      </c>
      <c r="C49" s="18">
        <f>(4851.0/B49*100)</f>
        <v/>
      </c>
      <c r="D49" s="19" t="n">
        <v>1307</v>
      </c>
      <c r="E49" s="18" t="n">
        <v>69.73922069</v>
      </c>
      <c r="F49" s="20" t="n">
        <v>1.65909032</v>
      </c>
      <c r="G49" s="18" t="n">
        <v>26.37575162</v>
      </c>
      <c r="H49" s="20" t="n">
        <v>1.57565496</v>
      </c>
      <c r="I49" s="18" t="n">
        <v>0</v>
      </c>
      <c r="J49" s="20" t="n">
        <v>0</v>
      </c>
      <c r="K49" s="18" t="n">
        <v>1.48018581</v>
      </c>
      <c r="L49" s="20" t="n">
        <v>0.40857041</v>
      </c>
      <c r="M49" s="18" t="n">
        <v>0</v>
      </c>
      <c r="N49" s="20" t="n">
        <v>0</v>
      </c>
      <c r="O49" s="18" t="n">
        <v>0</v>
      </c>
      <c r="P49" s="20" t="n">
        <v>0</v>
      </c>
      <c r="Q49" s="18" t="n">
        <v>2.40484189</v>
      </c>
      <c r="R49" s="20" t="n">
        <v>0.54169746</v>
      </c>
    </row>
    <row r="50" spans="1:18">
      <c r="A50" s="15" t="s">
        <v>609</v>
      </c>
      <c r="B50" s="17" t="n">
        <v>3494</v>
      </c>
      <c r="C50" s="18">
        <f>(2842.0/B50*100)</f>
        <v/>
      </c>
      <c r="D50" s="19" t="n">
        <v>652</v>
      </c>
      <c r="E50" s="18" t="n">
        <v>73.56029383000001</v>
      </c>
      <c r="F50" s="20" t="n">
        <v>1.8124874</v>
      </c>
      <c r="G50" s="18" t="n">
        <v>24.07080155</v>
      </c>
      <c r="H50" s="20" t="n">
        <v>1.87433913</v>
      </c>
      <c r="I50" s="18" t="n">
        <v>0</v>
      </c>
      <c r="J50" s="20" t="n">
        <v>0</v>
      </c>
      <c r="K50" s="18" t="n">
        <v>0.15530297</v>
      </c>
      <c r="L50" s="20" t="n">
        <v>0.15497052</v>
      </c>
      <c r="M50" s="18" t="n">
        <v>0</v>
      </c>
      <c r="N50" s="20" t="n">
        <v>0</v>
      </c>
      <c r="O50" s="18" t="n">
        <v>0</v>
      </c>
      <c r="P50" s="20" t="n">
        <v>0</v>
      </c>
      <c r="Q50" s="18" t="n">
        <v>2.21360166</v>
      </c>
      <c r="R50" s="20" t="n">
        <v>0.67582752</v>
      </c>
    </row>
    <row r="51" spans="1:18">
      <c r="A51" s="15" t="s">
        <v>610</v>
      </c>
      <c r="B51" s="17" t="n">
        <v>3013</v>
      </c>
      <c r="C51" s="18">
        <f>(2349.0/B51*100)</f>
        <v/>
      </c>
      <c r="D51" s="19" t="n">
        <v>664</v>
      </c>
      <c r="E51" s="18" t="n">
        <v>45.65793932</v>
      </c>
      <c r="F51" s="20" t="n">
        <v>2.0641646</v>
      </c>
      <c r="G51" s="18" t="n">
        <v>53.9530844</v>
      </c>
      <c r="H51" s="20" t="n">
        <v>2.07127596</v>
      </c>
      <c r="I51" s="18" t="n">
        <v>0</v>
      </c>
      <c r="J51" s="20" t="n">
        <v>0</v>
      </c>
      <c r="K51" s="18" t="n">
        <v>0</v>
      </c>
      <c r="L51" s="20" t="n">
        <v>0</v>
      </c>
      <c r="M51" s="18" t="n">
        <v>0</v>
      </c>
      <c r="N51" s="20" t="n">
        <v>0</v>
      </c>
      <c r="O51" s="18" t="n">
        <v>0</v>
      </c>
      <c r="P51" s="20" t="n">
        <v>0</v>
      </c>
      <c r="Q51" s="18" t="n">
        <v>0.38897628</v>
      </c>
      <c r="R51" s="20" t="n">
        <v>0.20254324</v>
      </c>
    </row>
    <row r="52" spans="1:18">
      <c r="A52" s="15" t="s">
        <v>611</v>
      </c>
      <c r="B52" s="17" t="n">
        <v>2760</v>
      </c>
      <c r="C52" s="18">
        <f>(2170.0/B52*100)</f>
        <v/>
      </c>
      <c r="D52" s="19" t="n">
        <v>590</v>
      </c>
      <c r="E52" s="18" t="n">
        <v>63.09704633</v>
      </c>
      <c r="F52" s="20" t="n">
        <v>2.41379543</v>
      </c>
      <c r="G52" s="18" t="n">
        <v>35.20421281</v>
      </c>
      <c r="H52" s="20" t="n">
        <v>2.46470866</v>
      </c>
      <c r="I52" s="18" t="n">
        <v>0</v>
      </c>
      <c r="J52" s="20" t="n">
        <v>0</v>
      </c>
      <c r="K52" s="18" t="n">
        <v>0</v>
      </c>
      <c r="L52" s="20" t="n">
        <v>0</v>
      </c>
      <c r="M52" s="18" t="n">
        <v>0</v>
      </c>
      <c r="N52" s="20" t="n">
        <v>0</v>
      </c>
      <c r="O52" s="18" t="n">
        <v>0</v>
      </c>
      <c r="P52" s="20" t="n">
        <v>0</v>
      </c>
      <c r="Q52" s="18" t="n">
        <v>1.69874086</v>
      </c>
      <c r="R52" s="20" t="n">
        <v>0.58220658</v>
      </c>
    </row>
    <row r="53" spans="1:18">
      <c r="A53" s="15" t="s">
        <v>612</v>
      </c>
      <c r="B53" s="17" t="n">
        <v>2474</v>
      </c>
      <c r="C53" s="18">
        <f>(1939.0/B53*100)</f>
        <v/>
      </c>
      <c r="D53" s="19" t="n">
        <v>535</v>
      </c>
      <c r="E53" s="18" t="n">
        <v>70.58030155</v>
      </c>
      <c r="F53" s="20" t="n">
        <v>2.24724035</v>
      </c>
      <c r="G53" s="18" t="n">
        <v>12.57788415</v>
      </c>
      <c r="H53" s="20" t="n">
        <v>1.49045406</v>
      </c>
      <c r="I53" s="18" t="n">
        <v>0</v>
      </c>
      <c r="J53" s="20" t="n">
        <v>0</v>
      </c>
      <c r="K53" s="18" t="n">
        <v>9.931233450000001</v>
      </c>
      <c r="L53" s="20" t="n">
        <v>1.42430437</v>
      </c>
      <c r="M53" s="18" t="n">
        <v>0</v>
      </c>
      <c r="N53" s="20" t="n">
        <v>0</v>
      </c>
      <c r="O53" s="18" t="n">
        <v>0</v>
      </c>
      <c r="P53" s="20" t="n">
        <v>0</v>
      </c>
      <c r="Q53" s="18" t="n">
        <v>6.91058085</v>
      </c>
      <c r="R53" s="20" t="n">
        <v>1.30976418</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(2106.0/B55*100)</f>
        <v/>
      </c>
      <c r="D55" s="19" t="n">
        <v>569</v>
      </c>
      <c r="E55" s="18" t="n">
        <v>30.7041344</v>
      </c>
      <c r="F55" s="20" t="n">
        <v>1.86682133</v>
      </c>
      <c r="G55" s="18" t="n">
        <v>68.18945574999999</v>
      </c>
      <c r="H55" s="20" t="n">
        <v>1.85493964</v>
      </c>
      <c r="I55" s="18" t="n">
        <v>0</v>
      </c>
      <c r="J55" s="20" t="n">
        <v>0</v>
      </c>
      <c r="K55" s="18" t="n">
        <v>0.18885409</v>
      </c>
      <c r="L55" s="20" t="n">
        <v>0.18683579</v>
      </c>
      <c r="M55" s="18" t="n">
        <v>0</v>
      </c>
      <c r="N55" s="20" t="n">
        <v>0</v>
      </c>
      <c r="O55" s="18" t="n">
        <v>0</v>
      </c>
      <c r="P55" s="20" t="n">
        <v>0</v>
      </c>
      <c r="Q55" s="18" t="n">
        <v>0.91755575</v>
      </c>
      <c r="R55" s="20" t="n">
        <v>0.38248034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(2510.0/B61*100)</f>
        <v/>
      </c>
      <c r="D61" s="19" t="n">
        <v>691</v>
      </c>
      <c r="E61" s="18" t="n">
        <v>51.04264382</v>
      </c>
      <c r="F61" s="20" t="n">
        <v>2.17415204</v>
      </c>
      <c r="G61" s="18" t="n">
        <v>46.78805366</v>
      </c>
      <c r="H61" s="20" t="n">
        <v>2.06510796</v>
      </c>
      <c r="I61" s="18" t="n">
        <v>0</v>
      </c>
      <c r="J61" s="20" t="n">
        <v>0</v>
      </c>
      <c r="K61" s="18" t="n">
        <v>0.18392164</v>
      </c>
      <c r="L61" s="20" t="n">
        <v>0.1909109</v>
      </c>
      <c r="M61" s="18" t="n">
        <v>0</v>
      </c>
      <c r="N61" s="20" t="n">
        <v>0</v>
      </c>
      <c r="O61" s="18" t="n">
        <v>0</v>
      </c>
      <c r="P61" s="20" t="n">
        <v>0</v>
      </c>
      <c r="Q61" s="18" t="n">
        <v>1.98538087</v>
      </c>
      <c r="R61" s="20" t="n">
        <v>0.92896967</v>
      </c>
    </row>
    <row r="62" spans="1:18">
      <c r="A62" s="15" t="s">
        <v>622</v>
      </c>
      <c r="B62" s="17" t="n">
        <v>2230</v>
      </c>
      <c r="C62" s="18">
        <f>(1713.0/B62*100)</f>
        <v/>
      </c>
      <c r="D62" s="19" t="n">
        <v>517</v>
      </c>
      <c r="E62" s="18" t="n">
        <v>24.62777273</v>
      </c>
      <c r="F62" s="20" t="n">
        <v>1.81977742</v>
      </c>
      <c r="G62" s="18" t="n">
        <v>74.98810616999999</v>
      </c>
      <c r="H62" s="20" t="n">
        <v>1.88884359</v>
      </c>
      <c r="I62" s="18" t="n">
        <v>0</v>
      </c>
      <c r="J62" s="20" t="n">
        <v>0</v>
      </c>
      <c r="K62" s="18" t="n">
        <v>0</v>
      </c>
      <c r="L62" s="20" t="n">
        <v>0</v>
      </c>
      <c r="M62" s="18" t="n">
        <v>0</v>
      </c>
      <c r="N62" s="20" t="n">
        <v>0</v>
      </c>
      <c r="O62" s="18" t="n">
        <v>0</v>
      </c>
      <c r="P62" s="20" t="n">
        <v>0</v>
      </c>
      <c r="Q62" s="18" t="n">
        <v>0.3841211</v>
      </c>
      <c r="R62" s="20" t="n">
        <v>0.27328723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(2192.0/B67*100)</f>
        <v/>
      </c>
      <c r="D67" s="19" t="n">
        <v>579</v>
      </c>
      <c r="E67" s="18" t="n">
        <v>58.95580026</v>
      </c>
      <c r="F67" s="20" t="n">
        <v>1.99857906</v>
      </c>
      <c r="G67" s="18" t="n">
        <v>33.1148061</v>
      </c>
      <c r="H67" s="20" t="n">
        <v>1.81453385</v>
      </c>
      <c r="I67" s="18" t="n">
        <v>0</v>
      </c>
      <c r="J67" s="20" t="n">
        <v>0</v>
      </c>
      <c r="K67" s="18" t="n">
        <v>0.15642435</v>
      </c>
      <c r="L67" s="20" t="n">
        <v>0.15365616</v>
      </c>
      <c r="M67" s="18" t="n">
        <v>0</v>
      </c>
      <c r="N67" s="20" t="n">
        <v>0</v>
      </c>
      <c r="O67" s="18" t="n">
        <v>0</v>
      </c>
      <c r="P67" s="20" t="n">
        <v>0</v>
      </c>
      <c r="Q67" s="18" t="n">
        <v>7.77296929</v>
      </c>
      <c r="R67" s="20" t="n">
        <v>1.15887862</v>
      </c>
    </row>
    <row r="68" spans="1:18">
      <c r="A68" s="15" t="s">
        <v>628</v>
      </c>
      <c r="B68" s="17" t="n">
        <v>3460</v>
      </c>
      <c r="C68" s="18">
        <f>(2781.0/B68*100)</f>
        <v/>
      </c>
      <c r="D68" s="19" t="n">
        <v>679</v>
      </c>
      <c r="E68" s="18" t="n">
        <v>76.56873376999999</v>
      </c>
      <c r="F68" s="20" t="n">
        <v>1.51230823</v>
      </c>
      <c r="G68" s="18" t="n">
        <v>21.99562324</v>
      </c>
      <c r="H68" s="20" t="n">
        <v>1.53482099</v>
      </c>
      <c r="I68" s="18" t="n">
        <v>0</v>
      </c>
      <c r="J68" s="20" t="n">
        <v>0</v>
      </c>
      <c r="K68" s="18" t="n">
        <v>0.15804599</v>
      </c>
      <c r="L68" s="20" t="n">
        <v>0.15821767</v>
      </c>
      <c r="M68" s="18" t="n">
        <v>0</v>
      </c>
      <c r="N68" s="20" t="n">
        <v>0</v>
      </c>
      <c r="O68" s="18" t="n">
        <v>0</v>
      </c>
      <c r="P68" s="20" t="n">
        <v>0</v>
      </c>
      <c r="Q68" s="18" t="n">
        <v>1.277597</v>
      </c>
      <c r="R68" s="20" t="n">
        <v>0.4864245</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(4718.0/B70*100)</f>
        <v/>
      </c>
      <c r="D70" s="19" t="n">
        <v>1316</v>
      </c>
      <c r="E70" s="18" t="n">
        <v>65.60579321</v>
      </c>
      <c r="F70" s="20" t="n">
        <v>1.16224453</v>
      </c>
      <c r="G70" s="18" t="n">
        <v>29.94043686</v>
      </c>
      <c r="H70" s="20" t="n">
        <v>1.13980475</v>
      </c>
      <c r="I70" s="18" t="n">
        <v>0</v>
      </c>
      <c r="J70" s="20" t="n">
        <v>0</v>
      </c>
      <c r="K70" s="18" t="n">
        <v>1.43917716</v>
      </c>
      <c r="L70" s="20" t="n">
        <v>0.32721422</v>
      </c>
      <c r="M70" s="18" t="n">
        <v>0</v>
      </c>
      <c r="N70" s="20" t="n">
        <v>0</v>
      </c>
      <c r="O70" s="18" t="n">
        <v>0</v>
      </c>
      <c r="P70" s="20" t="n">
        <v>0</v>
      </c>
      <c r="Q70" s="18" t="n">
        <v>3.01459277</v>
      </c>
      <c r="R70" s="20" t="n">
        <v>0.46426928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(2417.0/B72*100)</f>
        <v/>
      </c>
      <c r="D72" s="19" t="n">
        <v>690</v>
      </c>
      <c r="E72" s="18" t="n">
        <v>45.7599698</v>
      </c>
      <c r="F72" s="20" t="n">
        <v>2.38126093</v>
      </c>
      <c r="G72" s="18" t="n">
        <v>53.13386299</v>
      </c>
      <c r="H72" s="20" t="n">
        <v>2.24278217</v>
      </c>
      <c r="I72" s="18" t="n">
        <v>0</v>
      </c>
      <c r="J72" s="20" t="n">
        <v>0</v>
      </c>
      <c r="K72" s="18" t="n">
        <v>0.07902022</v>
      </c>
      <c r="L72" s="20" t="n">
        <v>0.05617683</v>
      </c>
      <c r="M72" s="18" t="n">
        <v>0</v>
      </c>
      <c r="N72" s="20" t="n">
        <v>0</v>
      </c>
      <c r="O72" s="18" t="n">
        <v>0</v>
      </c>
      <c r="P72" s="20" t="n">
        <v>0</v>
      </c>
      <c r="Q72" s="18" t="n">
        <v>1.02714699</v>
      </c>
      <c r="R72" s="20" t="n">
        <v>0.38648284</v>
      </c>
    </row>
    <row r="73" spans="1:18">
      <c r="A73" s="15" t="s">
        <v>633</v>
      </c>
      <c r="B73" s="17" t="n">
        <v>2973</v>
      </c>
      <c r="C73" s="18">
        <f>(2300.0/B73*100)</f>
        <v/>
      </c>
      <c r="D73" s="19" t="n">
        <v>673</v>
      </c>
      <c r="E73" s="18" t="n">
        <v>22.93137997</v>
      </c>
      <c r="F73" s="20" t="n">
        <v>1.58974614</v>
      </c>
      <c r="G73" s="18" t="n">
        <v>76.41786043</v>
      </c>
      <c r="H73" s="20" t="n">
        <v>1.61225083</v>
      </c>
      <c r="I73" s="18" t="n">
        <v>0</v>
      </c>
      <c r="J73" s="20" t="n">
        <v>0</v>
      </c>
      <c r="K73" s="18" t="n">
        <v>0.3209508</v>
      </c>
      <c r="L73" s="20" t="n">
        <v>0.22864972</v>
      </c>
      <c r="M73" s="18" t="n">
        <v>0</v>
      </c>
      <c r="N73" s="20" t="n">
        <v>0</v>
      </c>
      <c r="O73" s="18" t="n">
        <v>0</v>
      </c>
      <c r="P73" s="20" t="n">
        <v>0</v>
      </c>
      <c r="Q73" s="18" t="n">
        <v>0.32980879</v>
      </c>
      <c r="R73" s="20" t="n">
        <v>0.19707981</v>
      </c>
    </row>
    <row r="74" spans="1:18">
      <c r="A74" s="15" t="s">
        <v>634</v>
      </c>
      <c r="B74" s="17" t="n">
        <v>3819</v>
      </c>
      <c r="C74" s="18">
        <f>(2940.0/B74*100)</f>
        <v/>
      </c>
      <c r="D74" s="19" t="n">
        <v>879</v>
      </c>
      <c r="E74" s="18" t="n">
        <v>29.76075047</v>
      </c>
      <c r="F74" s="20" t="n">
        <v>1.9541003</v>
      </c>
      <c r="G74" s="18" t="n">
        <v>69.90577021</v>
      </c>
      <c r="H74" s="20" t="n">
        <v>1.99865988</v>
      </c>
      <c r="I74" s="18" t="n">
        <v>0</v>
      </c>
      <c r="J74" s="20" t="n">
        <v>0</v>
      </c>
      <c r="K74" s="18" t="n">
        <v>0</v>
      </c>
      <c r="L74" s="20" t="n">
        <v>0</v>
      </c>
      <c r="M74" s="18" t="n">
        <v>0</v>
      </c>
      <c r="N74" s="20" t="n">
        <v>0</v>
      </c>
      <c r="O74" s="18" t="n">
        <v>0</v>
      </c>
      <c r="P74" s="20" t="n">
        <v>0</v>
      </c>
      <c r="Q74" s="18" t="n">
        <v>0.33347932</v>
      </c>
      <c r="R74" s="20" t="n">
        <v>0.18195864</v>
      </c>
    </row>
    <row r="75" spans="1:18">
      <c r="A75" s="15" t="s">
        <v>635</v>
      </c>
      <c r="B75" s="17" t="n">
        <v>4652</v>
      </c>
      <c r="C75" s="18">
        <f>(3638.0/B75*100)</f>
        <v/>
      </c>
      <c r="D75" s="19" t="n">
        <v>1014</v>
      </c>
      <c r="E75" s="18" t="n">
        <v>64.80303782</v>
      </c>
      <c r="F75" s="20" t="n">
        <v>2.16876094</v>
      </c>
      <c r="G75" s="18" t="n">
        <v>34.0781742</v>
      </c>
      <c r="H75" s="20" t="n">
        <v>2.18715938</v>
      </c>
      <c r="I75" s="18" t="n">
        <v>0</v>
      </c>
      <c r="J75" s="20" t="n">
        <v>0</v>
      </c>
      <c r="K75" s="18" t="n">
        <v>0</v>
      </c>
      <c r="L75" s="20" t="n">
        <v>0</v>
      </c>
      <c r="M75" s="18" t="n">
        <v>0</v>
      </c>
      <c r="N75" s="20" t="n">
        <v>0</v>
      </c>
      <c r="O75" s="18" t="n">
        <v>0</v>
      </c>
      <c r="P75" s="20" t="n">
        <v>0</v>
      </c>
      <c r="Q75" s="18" t="n">
        <v>1.11878798</v>
      </c>
      <c r="R75" s="20" t="n">
        <v>0.36728463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(2378.0/B77*100)</f>
        <v/>
      </c>
      <c r="D77" s="19" t="n">
        <v>591</v>
      </c>
      <c r="E77" s="18" t="n">
        <v>76.60658083</v>
      </c>
      <c r="F77" s="20" t="n">
        <v>2.02102756</v>
      </c>
      <c r="G77" s="18" t="n">
        <v>17.11418775</v>
      </c>
      <c r="H77" s="20" t="n">
        <v>1.81025915</v>
      </c>
      <c r="I77" s="18" t="n">
        <v>0</v>
      </c>
      <c r="J77" s="20" t="n">
        <v>0</v>
      </c>
      <c r="K77" s="18" t="n">
        <v>2.5284372</v>
      </c>
      <c r="L77" s="20" t="n">
        <v>0.63849814</v>
      </c>
      <c r="M77" s="18" t="n">
        <v>0</v>
      </c>
      <c r="N77" s="20" t="n">
        <v>0</v>
      </c>
      <c r="O77" s="18" t="n">
        <v>0</v>
      </c>
      <c r="P77" s="20" t="n">
        <v>0</v>
      </c>
      <c r="Q77" s="18" t="n">
        <v>3.75079422</v>
      </c>
      <c r="R77" s="20" t="n">
        <v>0.76595366</v>
      </c>
    </row>
    <row r="78" spans="1:18">
      <c r="A78" s="15" t="s">
        <v>638</v>
      </c>
      <c r="B78" s="17" t="n">
        <v>7115</v>
      </c>
      <c r="C78" s="18">
        <f>(5559.0/B78*100)</f>
        <v/>
      </c>
      <c r="D78" s="19" t="n">
        <v>1556</v>
      </c>
      <c r="E78" s="18" t="n">
        <v>62.12641154</v>
      </c>
      <c r="F78" s="20" t="n">
        <v>1.66418198</v>
      </c>
      <c r="G78" s="18" t="n">
        <v>36.07229096</v>
      </c>
      <c r="H78" s="20" t="n">
        <v>1.67612217</v>
      </c>
      <c r="I78" s="18" t="n">
        <v>0</v>
      </c>
      <c r="J78" s="20" t="n">
        <v>0</v>
      </c>
      <c r="K78" s="18" t="n">
        <v>0.07037852999999999</v>
      </c>
      <c r="L78" s="20" t="n">
        <v>0.05910996</v>
      </c>
      <c r="M78" s="18" t="n">
        <v>0</v>
      </c>
      <c r="N78" s="20" t="n">
        <v>0</v>
      </c>
      <c r="O78" s="18" t="n">
        <v>0</v>
      </c>
      <c r="P78" s="20" t="n">
        <v>0</v>
      </c>
      <c r="Q78" s="18" t="n">
        <v>1.73091897</v>
      </c>
      <c r="R78" s="20" t="n">
        <v>0.38481165</v>
      </c>
    </row>
    <row r="79" spans="1:18">
      <c r="A79" s="15" t="s">
        <v>639</v>
      </c>
      <c r="B79" s="17" t="n">
        <v>3154</v>
      </c>
      <c r="C79" s="18">
        <f>(2494.0/B79*100)</f>
        <v/>
      </c>
      <c r="D79" s="19" t="n">
        <v>660</v>
      </c>
      <c r="E79" s="18" t="n">
        <v>59.78196783</v>
      </c>
      <c r="F79" s="20" t="n">
        <v>2.22764643</v>
      </c>
      <c r="G79" s="18" t="n">
        <v>37.38311928</v>
      </c>
      <c r="H79" s="20" t="n">
        <v>2.215673</v>
      </c>
      <c r="I79" s="18" t="n">
        <v>0</v>
      </c>
      <c r="J79" s="20" t="n">
        <v>0</v>
      </c>
      <c r="K79" s="18" t="n">
        <v>0.8286149900000001</v>
      </c>
      <c r="L79" s="20" t="n">
        <v>0.40642041</v>
      </c>
      <c r="M79" s="18" t="n">
        <v>0</v>
      </c>
      <c r="N79" s="20" t="n">
        <v>0</v>
      </c>
      <c r="O79" s="18" t="n">
        <v>0</v>
      </c>
      <c r="P79" s="20" t="n">
        <v>0</v>
      </c>
      <c r="Q79" s="18" t="n">
        <v>2.00629791</v>
      </c>
      <c r="R79" s="20" t="n">
        <v>0.49848095</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(12435.0/B82*100)</f>
        <v/>
      </c>
      <c r="D82" s="19" t="n">
        <v>3526</v>
      </c>
      <c r="E82" s="18" t="n">
        <v>45.71506849</v>
      </c>
      <c r="F82" s="20" t="n">
        <v>1.26429466</v>
      </c>
      <c r="G82" s="18" t="n">
        <v>52.21291346</v>
      </c>
      <c r="H82" s="20" t="n">
        <v>1.35729936</v>
      </c>
      <c r="I82" s="18" t="n">
        <v>0</v>
      </c>
      <c r="J82" s="20" t="n">
        <v>0</v>
      </c>
      <c r="K82" s="18" t="n">
        <v>0.21023943</v>
      </c>
      <c r="L82" s="20" t="n">
        <v>0.13250015</v>
      </c>
      <c r="M82" s="18" t="n">
        <v>0</v>
      </c>
      <c r="N82" s="20" t="n">
        <v>0</v>
      </c>
      <c r="O82" s="18" t="n">
        <v>0</v>
      </c>
      <c r="P82" s="20" t="n">
        <v>0</v>
      </c>
      <c r="Q82" s="18" t="n">
        <v>1.86177862</v>
      </c>
      <c r="R82" s="20" t="n">
        <v>0.23741613</v>
      </c>
    </row>
    <row r="83" spans="1:18">
      <c r="A83" s="15" t="s">
        <v>643</v>
      </c>
      <c r="B83" s="17" t="n">
        <v>808</v>
      </c>
      <c r="C83" s="18">
        <f>(625.0/B83*100)</f>
        <v/>
      </c>
      <c r="D83" s="19" t="n">
        <v>183</v>
      </c>
      <c r="E83" s="18" t="n">
        <v>35.41739598</v>
      </c>
      <c r="F83" s="20" t="n">
        <v>5.08837416</v>
      </c>
      <c r="G83" s="18" t="n">
        <v>64.58260402000001</v>
      </c>
      <c r="H83" s="20" t="n">
        <v>5.08837416</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(740.0/B84*100)</f>
        <v/>
      </c>
      <c r="D84" s="19" t="n">
        <v>198</v>
      </c>
      <c r="E84" s="18" t="n">
        <v>35.11950301</v>
      </c>
      <c r="F84" s="20" t="n">
        <v>2.87815463</v>
      </c>
      <c r="G84" s="18" t="n">
        <v>64.88049699</v>
      </c>
      <c r="H84" s="20" t="n">
        <v>2.87815463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(5615.0/B7*100)</f>
        <v/>
      </c>
      <c r="D7" s="19" t="n">
        <v>1548</v>
      </c>
      <c r="E7" s="18" t="n">
        <v>65.07204784</v>
      </c>
      <c r="F7" s="20" t="n">
        <v>1.48251768</v>
      </c>
      <c r="G7" s="18" t="n">
        <v>32.51960528</v>
      </c>
      <c r="H7" s="20" t="n">
        <v>1.50408096</v>
      </c>
      <c r="I7" s="18" t="n">
        <v>0</v>
      </c>
      <c r="J7" s="20" t="n">
        <v>0</v>
      </c>
      <c r="K7" s="18" t="n">
        <v>0.27873032</v>
      </c>
      <c r="L7" s="20" t="n">
        <v>0.18997269</v>
      </c>
      <c r="M7" s="18" t="n">
        <v>0</v>
      </c>
      <c r="N7" s="20" t="n">
        <v>0</v>
      </c>
      <c r="O7" s="18" t="n">
        <v>0</v>
      </c>
      <c r="P7" s="20" t="n">
        <v>0</v>
      </c>
      <c r="Q7" s="18" t="n">
        <v>2.12961656</v>
      </c>
      <c r="R7" s="20" t="n">
        <v>0.44368765</v>
      </c>
    </row>
    <row r="8" spans="1:18">
      <c r="A8" s="15" t="s">
        <v>566</v>
      </c>
      <c r="B8" s="17" t="n">
        <v>3443</v>
      </c>
      <c r="C8" s="18">
        <f>(2669.0/B8*100)</f>
        <v/>
      </c>
      <c r="D8" s="19" t="n">
        <v>774</v>
      </c>
      <c r="E8" s="18" t="n">
        <v>76.40597785</v>
      </c>
      <c r="F8" s="20" t="n">
        <v>1.40438826</v>
      </c>
      <c r="G8" s="18" t="n">
        <v>20.61059357</v>
      </c>
      <c r="H8" s="20" t="n">
        <v>1.40907249</v>
      </c>
      <c r="I8" s="18" t="n">
        <v>0</v>
      </c>
      <c r="J8" s="20" t="n">
        <v>0</v>
      </c>
      <c r="K8" s="18" t="n">
        <v>0</v>
      </c>
      <c r="L8" s="20" t="n">
        <v>0</v>
      </c>
      <c r="M8" s="18" t="n">
        <v>0</v>
      </c>
      <c r="N8" s="20" t="n">
        <v>0</v>
      </c>
      <c r="O8" s="18" t="n">
        <v>0</v>
      </c>
      <c r="P8" s="20" t="n">
        <v>0</v>
      </c>
      <c r="Q8" s="18" t="n">
        <v>2.98342857</v>
      </c>
      <c r="R8" s="20" t="n">
        <v>0.57469671</v>
      </c>
    </row>
    <row r="9" spans="1:18">
      <c r="A9" s="15" t="s">
        <v>567</v>
      </c>
      <c r="B9" s="17" t="n">
        <v>4752</v>
      </c>
      <c r="C9" s="18">
        <f>(3736.0/B9*100)</f>
        <v/>
      </c>
      <c r="D9" s="19" t="n">
        <v>1016</v>
      </c>
      <c r="E9" s="18" t="n">
        <v>62.20235307</v>
      </c>
      <c r="F9" s="20" t="n">
        <v>1.92894559</v>
      </c>
      <c r="G9" s="18" t="n">
        <v>34.57680365</v>
      </c>
      <c r="H9" s="20" t="n">
        <v>1.87426575</v>
      </c>
      <c r="I9" s="18" t="n">
        <v>0</v>
      </c>
      <c r="J9" s="20" t="n">
        <v>0</v>
      </c>
      <c r="K9" s="18" t="n">
        <v>0.22254839</v>
      </c>
      <c r="L9" s="20" t="n">
        <v>0.16206125</v>
      </c>
      <c r="M9" s="18" t="n">
        <v>0</v>
      </c>
      <c r="N9" s="20" t="n">
        <v>0</v>
      </c>
      <c r="O9" s="18" t="n">
        <v>0</v>
      </c>
      <c r="P9" s="20" t="n">
        <v>0</v>
      </c>
      <c r="Q9" s="18" t="n">
        <v>2.99829489</v>
      </c>
      <c r="R9" s="20" t="n">
        <v>0.66107737</v>
      </c>
    </row>
    <row r="10" spans="1:18">
      <c r="A10" s="15" t="s">
        <v>568</v>
      </c>
      <c r="B10" s="17" t="n">
        <v>10022</v>
      </c>
      <c r="C10" s="18">
        <f>(7829.0/B10*100)</f>
        <v/>
      </c>
      <c r="D10" s="19" t="n">
        <v>2193</v>
      </c>
      <c r="E10" s="18" t="n">
        <v>58.23618332</v>
      </c>
      <c r="F10" s="20" t="n">
        <v>1.4367295</v>
      </c>
      <c r="G10" s="18" t="n">
        <v>40.65215326</v>
      </c>
      <c r="H10" s="20" t="n">
        <v>1.46462715</v>
      </c>
      <c r="I10" s="18" t="n">
        <v>0</v>
      </c>
      <c r="J10" s="20" t="n">
        <v>0</v>
      </c>
      <c r="K10" s="18" t="n">
        <v>0.36982975</v>
      </c>
      <c r="L10" s="20" t="n">
        <v>0.2168445</v>
      </c>
      <c r="M10" s="18" t="n">
        <v>0</v>
      </c>
      <c r="N10" s="20" t="n">
        <v>0</v>
      </c>
      <c r="O10" s="18" t="n">
        <v>0</v>
      </c>
      <c r="P10" s="20" t="n">
        <v>0</v>
      </c>
      <c r="Q10" s="18" t="n">
        <v>0.74183367</v>
      </c>
      <c r="R10" s="20" t="n">
        <v>0.23137791</v>
      </c>
    </row>
    <row r="11" spans="1:18">
      <c r="A11" s="15" t="s">
        <v>569</v>
      </c>
      <c r="B11" s="17" t="n">
        <v>3500</v>
      </c>
      <c r="C11" s="18">
        <f>(2773.0/B11*100)</f>
        <v/>
      </c>
      <c r="D11" s="19" t="n">
        <v>727</v>
      </c>
      <c r="E11" s="18" t="n">
        <v>80.97025753</v>
      </c>
      <c r="F11" s="20" t="n">
        <v>1.87327088</v>
      </c>
      <c r="G11" s="18" t="n">
        <v>14.11862764</v>
      </c>
      <c r="H11" s="20" t="n">
        <v>1.50216186</v>
      </c>
      <c r="I11" s="18" t="n">
        <v>0</v>
      </c>
      <c r="J11" s="20" t="n">
        <v>0</v>
      </c>
      <c r="K11" s="18" t="n">
        <v>0.85829301</v>
      </c>
      <c r="L11" s="20" t="n">
        <v>0.35120724</v>
      </c>
      <c r="M11" s="18" t="n">
        <v>0</v>
      </c>
      <c r="N11" s="20" t="n">
        <v>0</v>
      </c>
      <c r="O11" s="18" t="n">
        <v>0</v>
      </c>
      <c r="P11" s="20" t="n">
        <v>0</v>
      </c>
      <c r="Q11" s="18" t="n">
        <v>4.05282181</v>
      </c>
      <c r="R11" s="20" t="n">
        <v>0.86324473</v>
      </c>
    </row>
    <row r="12" spans="1:18">
      <c r="A12" s="15" t="s">
        <v>570</v>
      </c>
      <c r="B12" s="17" t="n">
        <v>3422</v>
      </c>
      <c r="C12" s="18">
        <f>(2682.0/B12*100)</f>
        <v/>
      </c>
      <c r="D12" s="19" t="n">
        <v>740</v>
      </c>
      <c r="E12" s="18" t="n">
        <v>70.15878588</v>
      </c>
      <c r="F12" s="20" t="n">
        <v>1.92037886</v>
      </c>
      <c r="G12" s="18" t="n">
        <v>27.50222143</v>
      </c>
      <c r="H12" s="20" t="n">
        <v>1.79218826</v>
      </c>
      <c r="I12" s="18" t="n">
        <v>0</v>
      </c>
      <c r="J12" s="20" t="n">
        <v>0</v>
      </c>
      <c r="K12" s="18" t="n">
        <v>0.06192358</v>
      </c>
      <c r="L12" s="20" t="n">
        <v>0.06184049</v>
      </c>
      <c r="M12" s="18" t="n">
        <v>0</v>
      </c>
      <c r="N12" s="20" t="n">
        <v>0</v>
      </c>
      <c r="O12" s="18" t="n">
        <v>0</v>
      </c>
      <c r="P12" s="20" t="n">
        <v>0</v>
      </c>
      <c r="Q12" s="18" t="n">
        <v>2.27706911</v>
      </c>
      <c r="R12" s="20" t="n">
        <v>0.74418101</v>
      </c>
    </row>
    <row r="13" spans="1:18">
      <c r="A13" s="15" t="s">
        <v>571</v>
      </c>
      <c r="B13" s="17" t="n">
        <v>3602</v>
      </c>
      <c r="C13" s="18">
        <f>(2832.0/B13*100)</f>
        <v/>
      </c>
      <c r="D13" s="19" t="n">
        <v>770</v>
      </c>
      <c r="E13" s="18" t="n">
        <v>67.90111512999999</v>
      </c>
      <c r="F13" s="20" t="n">
        <v>2.50326068</v>
      </c>
      <c r="G13" s="18" t="n">
        <v>29.49275405</v>
      </c>
      <c r="H13" s="20" t="n">
        <v>2.45016662</v>
      </c>
      <c r="I13" s="18" t="n">
        <v>0</v>
      </c>
      <c r="J13" s="20" t="n">
        <v>0</v>
      </c>
      <c r="K13" s="18" t="n">
        <v>0.22684201</v>
      </c>
      <c r="L13" s="20" t="n">
        <v>0.25533613</v>
      </c>
      <c r="M13" s="18" t="n">
        <v>0</v>
      </c>
      <c r="N13" s="20" t="n">
        <v>0</v>
      </c>
      <c r="O13" s="18" t="n">
        <v>0</v>
      </c>
      <c r="P13" s="20" t="n">
        <v>0</v>
      </c>
      <c r="Q13" s="18" t="n">
        <v>2.37928881</v>
      </c>
      <c r="R13" s="20" t="n">
        <v>0.67055844</v>
      </c>
    </row>
    <row r="14" spans="1:18">
      <c r="A14" s="15" t="s">
        <v>572</v>
      </c>
      <c r="B14" s="17" t="n">
        <v>2788</v>
      </c>
      <c r="C14" s="18">
        <f>(2184.0/B14*100)</f>
        <v/>
      </c>
      <c r="D14" s="19" t="n">
        <v>604</v>
      </c>
      <c r="E14" s="18" t="n">
        <v>63.14068401</v>
      </c>
      <c r="F14" s="20" t="n">
        <v>2.43561268</v>
      </c>
      <c r="G14" s="18" t="n">
        <v>36.03353175</v>
      </c>
      <c r="H14" s="20" t="n">
        <v>2.42747771</v>
      </c>
      <c r="I14" s="18" t="n">
        <v>0</v>
      </c>
      <c r="J14" s="20" t="n">
        <v>0</v>
      </c>
      <c r="K14" s="18" t="n">
        <v>0.14719205</v>
      </c>
      <c r="L14" s="20" t="n">
        <v>0.14581519</v>
      </c>
      <c r="M14" s="18" t="n">
        <v>0</v>
      </c>
      <c r="N14" s="20" t="n">
        <v>0</v>
      </c>
      <c r="O14" s="18" t="n">
        <v>0</v>
      </c>
      <c r="P14" s="20" t="n">
        <v>0</v>
      </c>
      <c r="Q14" s="18" t="n">
        <v>0.67859219</v>
      </c>
      <c r="R14" s="20" t="n">
        <v>0.30198854</v>
      </c>
    </row>
    <row r="15" spans="1:18">
      <c r="A15" s="15" t="s">
        <v>573</v>
      </c>
      <c r="B15" s="17" t="n">
        <v>2863</v>
      </c>
      <c r="C15" s="18">
        <f>(2225.0/B15*100)</f>
        <v/>
      </c>
      <c r="D15" s="19" t="n">
        <v>638</v>
      </c>
      <c r="E15" s="18" t="n">
        <v>62.12178556</v>
      </c>
      <c r="F15" s="20" t="n">
        <v>2.0745642</v>
      </c>
      <c r="G15" s="18" t="n">
        <v>36.19293126</v>
      </c>
      <c r="H15" s="20" t="n">
        <v>2.00029055</v>
      </c>
      <c r="I15" s="18" t="n">
        <v>0</v>
      </c>
      <c r="J15" s="20" t="n">
        <v>0</v>
      </c>
      <c r="K15" s="18" t="n">
        <v>0</v>
      </c>
      <c r="L15" s="20" t="n">
        <v>0</v>
      </c>
      <c r="M15" s="18" t="n">
        <v>0</v>
      </c>
      <c r="N15" s="20" t="n">
        <v>0</v>
      </c>
      <c r="O15" s="18" t="n">
        <v>0</v>
      </c>
      <c r="P15" s="20" t="n">
        <v>0</v>
      </c>
      <c r="Q15" s="18" t="n">
        <v>1.68528318</v>
      </c>
      <c r="R15" s="20" t="n">
        <v>0.54258426</v>
      </c>
    </row>
    <row r="16" spans="1:18">
      <c r="A16" s="15" t="s">
        <v>574</v>
      </c>
      <c r="B16" s="17" t="n">
        <v>3111</v>
      </c>
      <c r="C16" s="18">
        <f>(2414.0/B16*100)</f>
        <v/>
      </c>
      <c r="D16" s="19" t="n">
        <v>697</v>
      </c>
      <c r="E16" s="18" t="n">
        <v>64.05058764</v>
      </c>
      <c r="F16" s="20" t="n">
        <v>1.98177231</v>
      </c>
      <c r="G16" s="18" t="n">
        <v>32.25919932</v>
      </c>
      <c r="H16" s="20" t="n">
        <v>1.91773514</v>
      </c>
      <c r="I16" s="18" t="n">
        <v>0</v>
      </c>
      <c r="J16" s="20" t="n">
        <v>0</v>
      </c>
      <c r="K16" s="18" t="n">
        <v>0.35619922</v>
      </c>
      <c r="L16" s="20" t="n">
        <v>0.39676331</v>
      </c>
      <c r="M16" s="18" t="n">
        <v>0</v>
      </c>
      <c r="N16" s="20" t="n">
        <v>0</v>
      </c>
      <c r="O16" s="18" t="n">
        <v>0</v>
      </c>
      <c r="P16" s="20" t="n">
        <v>0</v>
      </c>
      <c r="Q16" s="18" t="n">
        <v>3.33401383</v>
      </c>
      <c r="R16" s="20" t="n">
        <v>0.69813907</v>
      </c>
    </row>
    <row r="17" spans="1:18">
      <c r="A17" s="15" t="s">
        <v>575</v>
      </c>
      <c r="B17" s="17" t="n">
        <v>3197</v>
      </c>
      <c r="C17" s="18">
        <f>(2493.0/B17*100)</f>
        <v/>
      </c>
      <c r="D17" s="19" t="n">
        <v>704</v>
      </c>
      <c r="E17" s="18" t="n">
        <v>69.16826188</v>
      </c>
      <c r="F17" s="20" t="n">
        <v>1.82691822</v>
      </c>
      <c r="G17" s="18" t="n">
        <v>27.75388857</v>
      </c>
      <c r="H17" s="20" t="n">
        <v>1.84612375</v>
      </c>
      <c r="I17" s="18" t="n">
        <v>0</v>
      </c>
      <c r="J17" s="20" t="n">
        <v>0</v>
      </c>
      <c r="K17" s="18" t="n">
        <v>0</v>
      </c>
      <c r="L17" s="20" t="n">
        <v>0</v>
      </c>
      <c r="M17" s="18" t="n">
        <v>0</v>
      </c>
      <c r="N17" s="20" t="n">
        <v>0</v>
      </c>
      <c r="O17" s="18" t="n">
        <v>0</v>
      </c>
      <c r="P17" s="20" t="n">
        <v>0</v>
      </c>
      <c r="Q17" s="18" t="n">
        <v>3.07784955</v>
      </c>
      <c r="R17" s="20" t="n">
        <v>0.70148404</v>
      </c>
    </row>
    <row r="18" spans="1:18">
      <c r="A18" s="15" t="s">
        <v>576</v>
      </c>
      <c r="B18" s="17" t="n">
        <v>2706</v>
      </c>
      <c r="C18" s="18">
        <f>(2090.0/B18*100)</f>
        <v/>
      </c>
      <c r="D18" s="19" t="n">
        <v>616</v>
      </c>
      <c r="E18" s="18" t="n">
        <v>74.17645148</v>
      </c>
      <c r="F18" s="20" t="n">
        <v>2.20563726</v>
      </c>
      <c r="G18" s="18" t="n">
        <v>23.57465695</v>
      </c>
      <c r="H18" s="20" t="n">
        <v>2.00265087</v>
      </c>
      <c r="I18" s="18" t="n">
        <v>0</v>
      </c>
      <c r="J18" s="20" t="n">
        <v>0</v>
      </c>
      <c r="K18" s="18" t="n">
        <v>0.26676798</v>
      </c>
      <c r="L18" s="20" t="n">
        <v>0.26264718</v>
      </c>
      <c r="M18" s="18" t="n">
        <v>0</v>
      </c>
      <c r="N18" s="20" t="n">
        <v>0</v>
      </c>
      <c r="O18" s="18" t="n">
        <v>0</v>
      </c>
      <c r="P18" s="20" t="n">
        <v>0</v>
      </c>
      <c r="Q18" s="18" t="n">
        <v>1.98212359</v>
      </c>
      <c r="R18" s="20" t="n">
        <v>0.54770073</v>
      </c>
    </row>
    <row r="19" spans="1:18">
      <c r="A19" s="15" t="s">
        <v>577</v>
      </c>
      <c r="B19" s="17" t="n">
        <v>2850</v>
      </c>
      <c r="C19" s="18">
        <f>(2225.0/B19*100)</f>
        <v/>
      </c>
      <c r="D19" s="19" t="n">
        <v>625</v>
      </c>
      <c r="E19" s="18" t="n">
        <v>76.69796804000001</v>
      </c>
      <c r="F19" s="20" t="n">
        <v>1.74033881</v>
      </c>
      <c r="G19" s="18" t="n">
        <v>22.07864966</v>
      </c>
      <c r="H19" s="20" t="n">
        <v>1.81387502</v>
      </c>
      <c r="I19" s="18" t="n">
        <v>0</v>
      </c>
      <c r="J19" s="20" t="n">
        <v>0</v>
      </c>
      <c r="K19" s="18" t="n">
        <v>0</v>
      </c>
      <c r="L19" s="20" t="n">
        <v>0</v>
      </c>
      <c r="M19" s="18" t="n">
        <v>0</v>
      </c>
      <c r="N19" s="20" t="n">
        <v>0</v>
      </c>
      <c r="O19" s="18" t="n">
        <v>0</v>
      </c>
      <c r="P19" s="20" t="n">
        <v>0</v>
      </c>
      <c r="Q19" s="18" t="n">
        <v>1.22338229</v>
      </c>
      <c r="R19" s="20" t="n">
        <v>0.42995146</v>
      </c>
    </row>
    <row r="20" spans="1:18">
      <c r="A20" s="15" t="s">
        <v>578</v>
      </c>
      <c r="B20" s="17" t="n">
        <v>1741</v>
      </c>
      <c r="C20" s="18">
        <f>(1365.0/B20*100)</f>
        <v/>
      </c>
      <c r="D20" s="19" t="n">
        <v>376</v>
      </c>
      <c r="E20" s="18" t="n">
        <v>90.24644207999999</v>
      </c>
      <c r="F20" s="20" t="n">
        <v>1.46000138</v>
      </c>
      <c r="G20" s="18" t="n">
        <v>7.83706394</v>
      </c>
      <c r="H20" s="20" t="n">
        <v>1.40216864</v>
      </c>
      <c r="I20" s="18" t="n">
        <v>0</v>
      </c>
      <c r="J20" s="20" t="n">
        <v>0</v>
      </c>
      <c r="K20" s="18" t="n">
        <v>0.26254609</v>
      </c>
      <c r="L20" s="20" t="n">
        <v>0.26501684</v>
      </c>
      <c r="M20" s="18" t="n">
        <v>0</v>
      </c>
      <c r="N20" s="20" t="n">
        <v>0</v>
      </c>
      <c r="O20" s="18" t="n">
        <v>0</v>
      </c>
      <c r="P20" s="20" t="n">
        <v>0</v>
      </c>
      <c r="Q20" s="18" t="n">
        <v>1.65394788</v>
      </c>
      <c r="R20" s="20" t="n">
        <v>0.65981192</v>
      </c>
    </row>
    <row r="21" spans="1:18">
      <c r="A21" s="15" t="s">
        <v>579</v>
      </c>
      <c r="B21" s="17" t="n">
        <v>2833</v>
      </c>
      <c r="C21" s="18">
        <f>(2213.0/B21*100)</f>
        <v/>
      </c>
      <c r="D21" s="19" t="n">
        <v>620</v>
      </c>
      <c r="E21" s="18" t="n">
        <v>69.4260536</v>
      </c>
      <c r="F21" s="20" t="n">
        <v>2.02910816</v>
      </c>
      <c r="G21" s="18" t="n">
        <v>30.10337334</v>
      </c>
      <c r="H21" s="20" t="n">
        <v>2.05440628</v>
      </c>
      <c r="I21" s="18" t="n">
        <v>0</v>
      </c>
      <c r="J21" s="20" t="n">
        <v>0</v>
      </c>
      <c r="K21" s="18" t="n">
        <v>0</v>
      </c>
      <c r="L21" s="20" t="n">
        <v>0</v>
      </c>
      <c r="M21" s="18" t="n">
        <v>0</v>
      </c>
      <c r="N21" s="20" t="n">
        <v>0</v>
      </c>
      <c r="O21" s="18" t="n">
        <v>0</v>
      </c>
      <c r="P21" s="20" t="n">
        <v>0</v>
      </c>
      <c r="Q21" s="18" t="n">
        <v>0.47057306</v>
      </c>
      <c r="R21" s="20" t="n">
        <v>0.29124759</v>
      </c>
    </row>
    <row r="22" spans="1:18">
      <c r="A22" s="15" t="s">
        <v>580</v>
      </c>
      <c r="B22" s="17" t="n">
        <v>3667</v>
      </c>
      <c r="C22" s="18">
        <f>(2907.0/B22*100)</f>
        <v/>
      </c>
      <c r="D22" s="19" t="n">
        <v>760</v>
      </c>
      <c r="E22" s="18" t="n">
        <v>70.9134609</v>
      </c>
      <c r="F22" s="20" t="n">
        <v>1.92415672</v>
      </c>
      <c r="G22" s="18" t="n">
        <v>25.03263086</v>
      </c>
      <c r="H22" s="20" t="n">
        <v>1.91866632</v>
      </c>
      <c r="I22" s="18" t="n">
        <v>0</v>
      </c>
      <c r="J22" s="20" t="n">
        <v>0</v>
      </c>
      <c r="K22" s="18" t="n">
        <v>0.1423748</v>
      </c>
      <c r="L22" s="20" t="n">
        <v>0.14846523</v>
      </c>
      <c r="M22" s="18" t="n">
        <v>0</v>
      </c>
      <c r="N22" s="20" t="n">
        <v>0</v>
      </c>
      <c r="O22" s="18" t="n">
        <v>0</v>
      </c>
      <c r="P22" s="20" t="n">
        <v>0</v>
      </c>
      <c r="Q22" s="18" t="n">
        <v>3.91153344</v>
      </c>
      <c r="R22" s="20" t="n">
        <v>0.76099175</v>
      </c>
    </row>
    <row r="23" spans="1:18">
      <c r="A23" s="15" t="s">
        <v>581</v>
      </c>
      <c r="B23" s="17" t="n">
        <v>5792</v>
      </c>
      <c r="C23" s="18">
        <f>(4495.0/B23*100)</f>
        <v/>
      </c>
      <c r="D23" s="19" t="n">
        <v>1297</v>
      </c>
      <c r="E23" s="18" t="n">
        <v>77.24951265</v>
      </c>
      <c r="F23" s="20" t="n">
        <v>1.49115429</v>
      </c>
      <c r="G23" s="18" t="n">
        <v>17.75805251</v>
      </c>
      <c r="H23" s="20" t="n">
        <v>1.48101233</v>
      </c>
      <c r="I23" s="18" t="n">
        <v>0</v>
      </c>
      <c r="J23" s="20" t="n">
        <v>0</v>
      </c>
      <c r="K23" s="18" t="n">
        <v>0.36293045</v>
      </c>
      <c r="L23" s="20" t="n">
        <v>0.2272835</v>
      </c>
      <c r="M23" s="18" t="n">
        <v>0</v>
      </c>
      <c r="N23" s="20" t="n">
        <v>0</v>
      </c>
      <c r="O23" s="18" t="n">
        <v>0</v>
      </c>
      <c r="P23" s="20" t="n">
        <v>0</v>
      </c>
      <c r="Q23" s="18" t="n">
        <v>4.62950439</v>
      </c>
      <c r="R23" s="20" t="n">
        <v>0.95189327</v>
      </c>
    </row>
    <row r="24" spans="1:18">
      <c r="A24" s="15" t="s">
        <v>582</v>
      </c>
      <c r="B24" s="17" t="n">
        <v>3309</v>
      </c>
      <c r="C24" s="18">
        <f>(2589.0/B24*100)</f>
        <v/>
      </c>
      <c r="D24" s="19" t="n">
        <v>720</v>
      </c>
      <c r="E24" s="18" t="n">
        <v>62.59693328</v>
      </c>
      <c r="F24" s="20" t="n">
        <v>2.31619392</v>
      </c>
      <c r="G24" s="18" t="n">
        <v>35.48813979</v>
      </c>
      <c r="H24" s="20" t="n">
        <v>2.27817083</v>
      </c>
      <c r="I24" s="18" t="n">
        <v>0</v>
      </c>
      <c r="J24" s="20" t="n">
        <v>0</v>
      </c>
      <c r="K24" s="18" t="n">
        <v>0.16615655</v>
      </c>
      <c r="L24" s="20" t="n">
        <v>0.15509885</v>
      </c>
      <c r="M24" s="18" t="n">
        <v>0</v>
      </c>
      <c r="N24" s="20" t="n">
        <v>0</v>
      </c>
      <c r="O24" s="18" t="n">
        <v>0</v>
      </c>
      <c r="P24" s="20" t="n">
        <v>0</v>
      </c>
      <c r="Q24" s="18" t="n">
        <v>1.74877037</v>
      </c>
      <c r="R24" s="20" t="n">
        <v>0.45225413</v>
      </c>
    </row>
    <row r="25" spans="1:18">
      <c r="A25" s="15" t="s">
        <v>583</v>
      </c>
      <c r="B25" s="17" t="n">
        <v>2669</v>
      </c>
      <c r="C25" s="18">
        <f>(2069.0/B25*100)</f>
        <v/>
      </c>
      <c r="D25" s="19" t="n">
        <v>600</v>
      </c>
      <c r="E25" s="18" t="n">
        <v>62.04904498</v>
      </c>
      <c r="F25" s="20" t="n">
        <v>2.07845099</v>
      </c>
      <c r="G25" s="18" t="n">
        <v>37.65413065</v>
      </c>
      <c r="H25" s="20" t="n">
        <v>2.05952488</v>
      </c>
      <c r="I25" s="18" t="n">
        <v>0</v>
      </c>
      <c r="J25" s="20" t="n">
        <v>0</v>
      </c>
      <c r="K25" s="18" t="n">
        <v>0.16496877</v>
      </c>
      <c r="L25" s="20" t="n">
        <v>0.16490759</v>
      </c>
      <c r="M25" s="18" t="n">
        <v>0</v>
      </c>
      <c r="N25" s="20" t="n">
        <v>0</v>
      </c>
      <c r="O25" s="18" t="n">
        <v>0</v>
      </c>
      <c r="P25" s="20" t="n">
        <v>0</v>
      </c>
      <c r="Q25" s="18" t="n">
        <v>0.13185561</v>
      </c>
      <c r="R25" s="20" t="n">
        <v>0.09322605</v>
      </c>
    </row>
    <row r="26" spans="1:18">
      <c r="A26" s="15" t="s">
        <v>584</v>
      </c>
      <c r="B26" s="17" t="n">
        <v>2419</v>
      </c>
      <c r="C26" s="18">
        <f>(1864.0/B26*100)</f>
        <v/>
      </c>
      <c r="D26" s="19" t="n">
        <v>555</v>
      </c>
      <c r="E26" s="18" t="n">
        <v>70.73169308999999</v>
      </c>
      <c r="F26" s="20" t="n">
        <v>2.05518745</v>
      </c>
      <c r="G26" s="18" t="n">
        <v>28.40970794</v>
      </c>
      <c r="H26" s="20" t="n">
        <v>1.987675</v>
      </c>
      <c r="I26" s="18" t="n">
        <v>0</v>
      </c>
      <c r="J26" s="20" t="n">
        <v>0</v>
      </c>
      <c r="K26" s="18" t="n">
        <v>0.15044675</v>
      </c>
      <c r="L26" s="20" t="n">
        <v>0.15404562</v>
      </c>
      <c r="M26" s="18" t="n">
        <v>0</v>
      </c>
      <c r="N26" s="20" t="n">
        <v>0</v>
      </c>
      <c r="O26" s="18" t="n">
        <v>0</v>
      </c>
      <c r="P26" s="20" t="n">
        <v>0</v>
      </c>
      <c r="Q26" s="18" t="n">
        <v>0.7081522099999999</v>
      </c>
      <c r="R26" s="20" t="n">
        <v>0.43293592</v>
      </c>
    </row>
    <row r="27" spans="1:18">
      <c r="A27" s="15" t="s">
        <v>585</v>
      </c>
      <c r="B27" s="17" t="n">
        <v>2683</v>
      </c>
      <c r="C27" s="18">
        <f>(2099.0/B27*100)</f>
        <v/>
      </c>
      <c r="D27" s="19" t="n">
        <v>584</v>
      </c>
      <c r="E27" s="18" t="n">
        <v>76.91265392</v>
      </c>
      <c r="F27" s="20" t="n">
        <v>1.94025457</v>
      </c>
      <c r="G27" s="18" t="n">
        <v>21.53671132</v>
      </c>
      <c r="H27" s="20" t="n">
        <v>1.83739856</v>
      </c>
      <c r="I27" s="18" t="n">
        <v>0</v>
      </c>
      <c r="J27" s="20" t="n">
        <v>0</v>
      </c>
      <c r="K27" s="18" t="n">
        <v>0.16954247</v>
      </c>
      <c r="L27" s="20" t="n">
        <v>0.16952399</v>
      </c>
      <c r="M27" s="18" t="n">
        <v>0</v>
      </c>
      <c r="N27" s="20" t="n">
        <v>0</v>
      </c>
      <c r="O27" s="18" t="n">
        <v>0</v>
      </c>
      <c r="P27" s="20" t="n">
        <v>0</v>
      </c>
      <c r="Q27" s="18" t="n">
        <v>1.3810923</v>
      </c>
      <c r="R27" s="20" t="n">
        <v>0.48640218</v>
      </c>
    </row>
    <row r="28" spans="1:18">
      <c r="A28" s="15" t="s">
        <v>586</v>
      </c>
      <c r="B28" s="17" t="n">
        <v>3803</v>
      </c>
      <c r="C28" s="18">
        <f>(3047.0/B28*100)</f>
        <v/>
      </c>
      <c r="D28" s="19" t="n">
        <v>756</v>
      </c>
      <c r="E28" s="18" t="n">
        <v>84.29239633</v>
      </c>
      <c r="F28" s="20" t="n">
        <v>1.57946893</v>
      </c>
      <c r="G28" s="18" t="n">
        <v>14.46746244</v>
      </c>
      <c r="H28" s="20" t="n">
        <v>1.63460965</v>
      </c>
      <c r="I28" s="18" t="n">
        <v>0</v>
      </c>
      <c r="J28" s="20" t="n">
        <v>0</v>
      </c>
      <c r="K28" s="18" t="n">
        <v>0.90007947</v>
      </c>
      <c r="L28" s="20" t="n">
        <v>0.45690403</v>
      </c>
      <c r="M28" s="18" t="n">
        <v>0</v>
      </c>
      <c r="N28" s="20" t="n">
        <v>0</v>
      </c>
      <c r="O28" s="18" t="n">
        <v>0</v>
      </c>
      <c r="P28" s="20" t="n">
        <v>0</v>
      </c>
      <c r="Q28" s="18" t="n">
        <v>0.34006176</v>
      </c>
      <c r="R28" s="20" t="n">
        <v>0.20257465</v>
      </c>
    </row>
    <row r="29" spans="1:18">
      <c r="A29" s="15" t="s">
        <v>587</v>
      </c>
      <c r="B29" s="17" t="n">
        <v>2700</v>
      </c>
      <c r="C29" s="18">
        <f>(2097.0/B29*100)</f>
        <v/>
      </c>
      <c r="D29" s="19" t="n">
        <v>603</v>
      </c>
      <c r="E29" s="18" t="n">
        <v>59.25792368</v>
      </c>
      <c r="F29" s="20" t="n">
        <v>2.3171316</v>
      </c>
      <c r="G29" s="18" t="n">
        <v>39.25204962</v>
      </c>
      <c r="H29" s="20" t="n">
        <v>2.34830512</v>
      </c>
      <c r="I29" s="18" t="n">
        <v>0</v>
      </c>
      <c r="J29" s="20" t="n">
        <v>0</v>
      </c>
      <c r="K29" s="18" t="n">
        <v>0.40089464</v>
      </c>
      <c r="L29" s="20" t="n">
        <v>0.23256382</v>
      </c>
      <c r="M29" s="18" t="n">
        <v>0</v>
      </c>
      <c r="N29" s="20" t="n">
        <v>0</v>
      </c>
      <c r="O29" s="18" t="n">
        <v>0</v>
      </c>
      <c r="P29" s="20" t="n">
        <v>0</v>
      </c>
      <c r="Q29" s="18" t="n">
        <v>1.08913206</v>
      </c>
      <c r="R29" s="20" t="n">
        <v>0.40392275</v>
      </c>
    </row>
    <row r="30" spans="1:18">
      <c r="A30" s="15" t="s">
        <v>588</v>
      </c>
      <c r="B30" s="17" t="n">
        <v>2257</v>
      </c>
      <c r="C30" s="18">
        <f>(1784.0/B30*100)</f>
        <v/>
      </c>
      <c r="D30" s="19" t="n">
        <v>473</v>
      </c>
      <c r="E30" s="18" t="n">
        <v>60.69385626</v>
      </c>
      <c r="F30" s="20" t="n">
        <v>2.42810104</v>
      </c>
      <c r="G30" s="18" t="n">
        <v>35.53475776</v>
      </c>
      <c r="H30" s="20" t="n">
        <v>2.36693869</v>
      </c>
      <c r="I30" s="18" t="n">
        <v>0</v>
      </c>
      <c r="J30" s="20" t="n">
        <v>0</v>
      </c>
      <c r="K30" s="18" t="n">
        <v>0.43386595</v>
      </c>
      <c r="L30" s="20" t="n">
        <v>0.25925892</v>
      </c>
      <c r="M30" s="18" t="n">
        <v>0</v>
      </c>
      <c r="N30" s="20" t="n">
        <v>0</v>
      </c>
      <c r="O30" s="18" t="n">
        <v>0</v>
      </c>
      <c r="P30" s="20" t="n">
        <v>0</v>
      </c>
      <c r="Q30" s="18" t="n">
        <v>3.33752003</v>
      </c>
      <c r="R30" s="20" t="n">
        <v>0.8327114799999999</v>
      </c>
    </row>
    <row r="31" spans="1:18">
      <c r="A31" s="15" t="s">
        <v>589</v>
      </c>
      <c r="B31" s="17" t="n">
        <v>2706</v>
      </c>
      <c r="C31" s="18">
        <f>(2126.0/B31*100)</f>
        <v/>
      </c>
      <c r="D31" s="19" t="n">
        <v>580</v>
      </c>
      <c r="E31" s="18" t="n">
        <v>72.48273273</v>
      </c>
      <c r="F31" s="20" t="n">
        <v>1.99280736</v>
      </c>
      <c r="G31" s="18" t="n">
        <v>24.2177724</v>
      </c>
      <c r="H31" s="20" t="n">
        <v>1.88868639</v>
      </c>
      <c r="I31" s="18" t="n">
        <v>0</v>
      </c>
      <c r="J31" s="20" t="n">
        <v>0</v>
      </c>
      <c r="K31" s="18" t="n">
        <v>0.32897185</v>
      </c>
      <c r="L31" s="20" t="n">
        <v>0.22564447</v>
      </c>
      <c r="M31" s="18" t="n">
        <v>0</v>
      </c>
      <c r="N31" s="20" t="n">
        <v>0</v>
      </c>
      <c r="O31" s="18" t="n">
        <v>0</v>
      </c>
      <c r="P31" s="20" t="n">
        <v>0</v>
      </c>
      <c r="Q31" s="18" t="n">
        <v>2.97052301</v>
      </c>
      <c r="R31" s="20" t="n">
        <v>0.63656391</v>
      </c>
    </row>
    <row r="32" spans="1:18">
      <c r="A32" s="15" t="s">
        <v>590</v>
      </c>
      <c r="B32" s="17" t="n">
        <v>2209</v>
      </c>
      <c r="C32" s="18">
        <f>(1710.0/B32*100)</f>
        <v/>
      </c>
      <c r="D32" s="19" t="n">
        <v>499</v>
      </c>
      <c r="E32" s="18" t="n">
        <v>73.44208365</v>
      </c>
      <c r="F32" s="20" t="n">
        <v>2.45125062</v>
      </c>
      <c r="G32" s="18" t="n">
        <v>25.59947803</v>
      </c>
      <c r="H32" s="20" t="n">
        <v>2.4687392</v>
      </c>
      <c r="I32" s="18" t="n">
        <v>0</v>
      </c>
      <c r="J32" s="20" t="n">
        <v>0</v>
      </c>
      <c r="K32" s="18" t="n">
        <v>0.1996465</v>
      </c>
      <c r="L32" s="20" t="n">
        <v>0.21343404</v>
      </c>
      <c r="M32" s="18" t="n">
        <v>0</v>
      </c>
      <c r="N32" s="20" t="n">
        <v>0</v>
      </c>
      <c r="O32" s="18" t="n">
        <v>0</v>
      </c>
      <c r="P32" s="20" t="n">
        <v>0</v>
      </c>
      <c r="Q32" s="18" t="n">
        <v>0.75879182</v>
      </c>
      <c r="R32" s="20" t="n">
        <v>0.45868225</v>
      </c>
    </row>
    <row r="33" spans="1:18">
      <c r="A33" s="15" t="s">
        <v>591</v>
      </c>
      <c r="B33" s="17" t="n">
        <v>3651</v>
      </c>
      <c r="C33" s="18">
        <f>(2879.0/B33*100)</f>
        <v/>
      </c>
      <c r="D33" s="19" t="n">
        <v>772</v>
      </c>
      <c r="E33" s="18" t="n">
        <v>69.57086854000001</v>
      </c>
      <c r="F33" s="20" t="n">
        <v>2.29433012</v>
      </c>
      <c r="G33" s="18" t="n">
        <v>29.06926486</v>
      </c>
      <c r="H33" s="20" t="n">
        <v>2.25824983</v>
      </c>
      <c r="I33" s="18" t="n">
        <v>0</v>
      </c>
      <c r="J33" s="20" t="n">
        <v>0</v>
      </c>
      <c r="K33" s="18" t="n">
        <v>0.26482356</v>
      </c>
      <c r="L33" s="20" t="n">
        <v>0.22852109</v>
      </c>
      <c r="M33" s="18" t="n">
        <v>0</v>
      </c>
      <c r="N33" s="20" t="n">
        <v>0</v>
      </c>
      <c r="O33" s="18" t="n">
        <v>0</v>
      </c>
      <c r="P33" s="20" t="n">
        <v>0</v>
      </c>
      <c r="Q33" s="18" t="n">
        <v>1.09504304</v>
      </c>
      <c r="R33" s="20" t="n">
        <v>0.44739005</v>
      </c>
    </row>
    <row r="34" spans="1:18">
      <c r="A34" s="15" t="s">
        <v>592</v>
      </c>
      <c r="B34" s="17" t="n">
        <v>3035</v>
      </c>
      <c r="C34" s="18">
        <f>(2370.0/B34*100)</f>
        <v/>
      </c>
      <c r="D34" s="19" t="n">
        <v>665</v>
      </c>
      <c r="E34" s="18" t="n">
        <v>79.51731439</v>
      </c>
      <c r="F34" s="20" t="n">
        <v>1.60989932</v>
      </c>
      <c r="G34" s="18" t="n">
        <v>18.7251225</v>
      </c>
      <c r="H34" s="20" t="n">
        <v>1.57841797</v>
      </c>
      <c r="I34" s="18" t="n">
        <v>0</v>
      </c>
      <c r="J34" s="20" t="n">
        <v>0</v>
      </c>
      <c r="K34" s="18" t="n">
        <v>0.46522683</v>
      </c>
      <c r="L34" s="20" t="n">
        <v>0.27621327</v>
      </c>
      <c r="M34" s="18" t="n">
        <v>0</v>
      </c>
      <c r="N34" s="20" t="n">
        <v>0</v>
      </c>
      <c r="O34" s="18" t="n">
        <v>0</v>
      </c>
      <c r="P34" s="20" t="n">
        <v>0</v>
      </c>
      <c r="Q34" s="18" t="n">
        <v>1.29233627</v>
      </c>
      <c r="R34" s="20" t="n">
        <v>0.49079632</v>
      </c>
    </row>
    <row r="35" spans="1:18">
      <c r="A35" s="15" t="s">
        <v>593</v>
      </c>
      <c r="B35" s="17" t="n">
        <v>2901</v>
      </c>
      <c r="C35" s="18">
        <f>(2252.0/B35*100)</f>
        <v/>
      </c>
      <c r="D35" s="19" t="n">
        <v>649</v>
      </c>
      <c r="E35" s="18" t="n">
        <v>64.02339499999999</v>
      </c>
      <c r="F35" s="20" t="n">
        <v>2.17096204</v>
      </c>
      <c r="G35" s="18" t="n">
        <v>33.88724914</v>
      </c>
      <c r="H35" s="20" t="n">
        <v>2.14539014</v>
      </c>
      <c r="I35" s="18" t="n">
        <v>0</v>
      </c>
      <c r="J35" s="20" t="n">
        <v>0</v>
      </c>
      <c r="K35" s="18" t="n">
        <v>0.08422449</v>
      </c>
      <c r="L35" s="20" t="n">
        <v>0.08434413</v>
      </c>
      <c r="M35" s="18" t="n">
        <v>0</v>
      </c>
      <c r="N35" s="20" t="n">
        <v>0</v>
      </c>
      <c r="O35" s="18" t="n">
        <v>0</v>
      </c>
      <c r="P35" s="20" t="n">
        <v>0</v>
      </c>
      <c r="Q35" s="18" t="n">
        <v>2.00513138</v>
      </c>
      <c r="R35" s="20" t="n">
        <v>0.60199951</v>
      </c>
    </row>
    <row r="36" spans="1:18">
      <c r="A36" s="15" t="s">
        <v>594</v>
      </c>
      <c r="B36" s="17" t="n">
        <v>3404</v>
      </c>
      <c r="C36" s="18">
        <f>(2683.0/B36*100)</f>
        <v/>
      </c>
      <c r="D36" s="19" t="n">
        <v>721</v>
      </c>
      <c r="E36" s="18" t="n">
        <v>72.45367687</v>
      </c>
      <c r="F36" s="20" t="n">
        <v>1.58456762</v>
      </c>
      <c r="G36" s="18" t="n">
        <v>25.18249554</v>
      </c>
      <c r="H36" s="20" t="n">
        <v>1.70783159</v>
      </c>
      <c r="I36" s="18" t="n">
        <v>0</v>
      </c>
      <c r="J36" s="20" t="n">
        <v>0</v>
      </c>
      <c r="K36" s="18" t="n">
        <v>0.17753431</v>
      </c>
      <c r="L36" s="20" t="n">
        <v>0.14916661</v>
      </c>
      <c r="M36" s="18" t="n">
        <v>0</v>
      </c>
      <c r="N36" s="20" t="n">
        <v>0</v>
      </c>
      <c r="O36" s="18" t="n">
        <v>0</v>
      </c>
      <c r="P36" s="20" t="n">
        <v>0</v>
      </c>
      <c r="Q36" s="18" t="n">
        <v>2.18629327</v>
      </c>
      <c r="R36" s="20" t="n">
        <v>0.68342428</v>
      </c>
    </row>
    <row r="37" spans="1:18">
      <c r="A37" s="15" t="s">
        <v>595</v>
      </c>
      <c r="B37" s="17" t="n">
        <v>2731</v>
      </c>
      <c r="C37" s="18">
        <f>(2128.0/B37*100)</f>
        <v/>
      </c>
      <c r="D37" s="19" t="n">
        <v>603</v>
      </c>
      <c r="E37" s="18" t="n">
        <v>67.58943432</v>
      </c>
      <c r="F37" s="20" t="n">
        <v>1.80201473</v>
      </c>
      <c r="G37" s="18" t="n">
        <v>28.60616449</v>
      </c>
      <c r="H37" s="20" t="n">
        <v>1.91143071</v>
      </c>
      <c r="I37" s="18" t="n">
        <v>0</v>
      </c>
      <c r="J37" s="20" t="n">
        <v>0</v>
      </c>
      <c r="K37" s="18" t="n">
        <v>0.49143328</v>
      </c>
      <c r="L37" s="20" t="n">
        <v>0.28219195</v>
      </c>
      <c r="M37" s="18" t="n">
        <v>0</v>
      </c>
      <c r="N37" s="20" t="n">
        <v>0</v>
      </c>
      <c r="O37" s="18" t="n">
        <v>0</v>
      </c>
      <c r="P37" s="20" t="n">
        <v>0</v>
      </c>
      <c r="Q37" s="18" t="n">
        <v>3.31296791</v>
      </c>
      <c r="R37" s="20" t="n">
        <v>0.82722918</v>
      </c>
    </row>
    <row r="38" spans="1:18">
      <c r="A38" s="15" t="s">
        <v>596</v>
      </c>
      <c r="B38" s="17" t="n">
        <v>2807</v>
      </c>
      <c r="C38" s="18">
        <f>(2155.0/B38*100)</f>
        <v/>
      </c>
      <c r="D38" s="19" t="n">
        <v>652</v>
      </c>
      <c r="E38" s="18" t="n">
        <v>69.54716861999999</v>
      </c>
      <c r="F38" s="20" t="n">
        <v>2.32375238</v>
      </c>
      <c r="G38" s="18" t="n">
        <v>27.98253709</v>
      </c>
      <c r="H38" s="20" t="n">
        <v>2.29127865</v>
      </c>
      <c r="I38" s="18" t="n">
        <v>0</v>
      </c>
      <c r="J38" s="20" t="n">
        <v>0</v>
      </c>
      <c r="K38" s="18" t="n">
        <v>0.17466304</v>
      </c>
      <c r="L38" s="20" t="n">
        <v>0.1737322</v>
      </c>
      <c r="M38" s="18" t="n">
        <v>0</v>
      </c>
      <c r="N38" s="20" t="n">
        <v>0</v>
      </c>
      <c r="O38" s="18" t="n">
        <v>0</v>
      </c>
      <c r="P38" s="20" t="n">
        <v>0</v>
      </c>
      <c r="Q38" s="18" t="n">
        <v>2.29563125</v>
      </c>
      <c r="R38" s="20" t="n">
        <v>0.62284268</v>
      </c>
    </row>
    <row r="39" spans="1:18">
      <c r="A39" s="15" t="s">
        <v>597</v>
      </c>
      <c r="B39" s="17" t="n">
        <v>2938</v>
      </c>
      <c r="C39" s="18">
        <f>(2288.0/B39*100)</f>
        <v/>
      </c>
      <c r="D39" s="19" t="n">
        <v>650</v>
      </c>
      <c r="E39" s="18" t="n">
        <v>90.23213320000001</v>
      </c>
      <c r="F39" s="20" t="n">
        <v>1.09421054</v>
      </c>
      <c r="G39" s="18" t="n">
        <v>8.37692262</v>
      </c>
      <c r="H39" s="20" t="n">
        <v>1.08996065</v>
      </c>
      <c r="I39" s="18" t="n">
        <v>0</v>
      </c>
      <c r="J39" s="20" t="n">
        <v>0</v>
      </c>
      <c r="K39" s="18" t="n">
        <v>0.14466618</v>
      </c>
      <c r="L39" s="20" t="n">
        <v>0.1443615</v>
      </c>
      <c r="M39" s="18" t="n">
        <v>0</v>
      </c>
      <c r="N39" s="20" t="n">
        <v>0</v>
      </c>
      <c r="O39" s="18" t="n">
        <v>0</v>
      </c>
      <c r="P39" s="20" t="n">
        <v>0</v>
      </c>
      <c r="Q39" s="18" t="n">
        <v>1.246278</v>
      </c>
      <c r="R39" s="20" t="n">
        <v>0.39502537</v>
      </c>
    </row>
    <row r="40" spans="1:18">
      <c r="A40" s="15" t="s">
        <v>598</v>
      </c>
      <c r="B40" s="17" t="n">
        <v>6922</v>
      </c>
      <c r="C40" s="18">
        <f>(5369.0/B40*100)</f>
        <v/>
      </c>
      <c r="D40" s="19" t="n">
        <v>1553</v>
      </c>
      <c r="E40" s="18" t="n">
        <v>57.32469693</v>
      </c>
      <c r="F40" s="20" t="n">
        <v>2.07570056</v>
      </c>
      <c r="G40" s="18" t="n">
        <v>39.95004978</v>
      </c>
      <c r="H40" s="20" t="n">
        <v>2.0880836</v>
      </c>
      <c r="I40" s="18" t="n">
        <v>0</v>
      </c>
      <c r="J40" s="20" t="n">
        <v>0</v>
      </c>
      <c r="K40" s="18" t="n">
        <v>0.0535609</v>
      </c>
      <c r="L40" s="20" t="n">
        <v>0.02993569</v>
      </c>
      <c r="M40" s="18" t="n">
        <v>0</v>
      </c>
      <c r="N40" s="20" t="n">
        <v>0</v>
      </c>
      <c r="O40" s="18" t="n">
        <v>0</v>
      </c>
      <c r="P40" s="20" t="n">
        <v>0</v>
      </c>
      <c r="Q40" s="18" t="n">
        <v>2.67169239</v>
      </c>
      <c r="R40" s="20" t="n">
        <v>0.67826623</v>
      </c>
    </row>
    <row r="41" spans="1:18">
      <c r="A41" s="15" t="s">
        <v>599</v>
      </c>
      <c r="B41" s="17" t="n">
        <v>2854</v>
      </c>
      <c r="C41" s="18">
        <f>(2241.0/B41*100)</f>
        <v/>
      </c>
      <c r="D41" s="19" t="n">
        <v>613</v>
      </c>
      <c r="E41" s="18" t="n">
        <v>68.29780039000001</v>
      </c>
      <c r="F41" s="20" t="n">
        <v>2.01921944</v>
      </c>
      <c r="G41" s="18" t="n">
        <v>31.32000921</v>
      </c>
      <c r="H41" s="20" t="n">
        <v>2.02707201</v>
      </c>
      <c r="I41" s="18" t="n">
        <v>0</v>
      </c>
      <c r="J41" s="20" t="n">
        <v>0</v>
      </c>
      <c r="K41" s="18" t="n">
        <v>0.22123046</v>
      </c>
      <c r="L41" s="20" t="n">
        <v>0.23794457</v>
      </c>
      <c r="M41" s="18" t="n">
        <v>0</v>
      </c>
      <c r="N41" s="20" t="n">
        <v>0</v>
      </c>
      <c r="O41" s="18" t="n">
        <v>0</v>
      </c>
      <c r="P41" s="20" t="n">
        <v>0</v>
      </c>
      <c r="Q41" s="18" t="n">
        <v>0.16095994</v>
      </c>
      <c r="R41" s="20" t="n">
        <v>0.15839533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(9911.0/B46*100)</f>
        <v/>
      </c>
      <c r="D46" s="19" t="n">
        <v>2162</v>
      </c>
      <c r="E46" s="18" t="n">
        <v>88.00617382999999</v>
      </c>
      <c r="F46" s="20" t="n">
        <v>1.0347599</v>
      </c>
      <c r="G46" s="18" t="n">
        <v>6.27302528</v>
      </c>
      <c r="H46" s="20" t="n">
        <v>0.85747896</v>
      </c>
      <c r="I46" s="18" t="n">
        <v>0</v>
      </c>
      <c r="J46" s="20" t="n">
        <v>0</v>
      </c>
      <c r="K46" s="18" t="n">
        <v>1.0920354</v>
      </c>
      <c r="L46" s="20" t="n">
        <v>0.24463639</v>
      </c>
      <c r="M46" s="18" t="n">
        <v>0</v>
      </c>
      <c r="N46" s="20" t="n">
        <v>0</v>
      </c>
      <c r="O46" s="18" t="n">
        <v>0</v>
      </c>
      <c r="P46" s="20" t="n">
        <v>0</v>
      </c>
      <c r="Q46" s="18" t="n">
        <v>4.62876549</v>
      </c>
      <c r="R46" s="20" t="n">
        <v>0.57650583</v>
      </c>
    </row>
    <row r="47" spans="1:18">
      <c r="A47" s="15" t="s">
        <v>606</v>
      </c>
      <c r="B47" s="17" t="n">
        <v>2823</v>
      </c>
      <c r="C47" s="18">
        <f>(2223.0/B47*100)</f>
        <v/>
      </c>
      <c r="D47" s="19" t="n">
        <v>600</v>
      </c>
      <c r="E47" s="18" t="n">
        <v>79.72318158</v>
      </c>
      <c r="F47" s="20" t="n">
        <v>1.85580755</v>
      </c>
      <c r="G47" s="18" t="n">
        <v>17.18008869</v>
      </c>
      <c r="H47" s="20" t="n">
        <v>1.84824856</v>
      </c>
      <c r="I47" s="18" t="n">
        <v>0</v>
      </c>
      <c r="J47" s="20" t="n">
        <v>0</v>
      </c>
      <c r="K47" s="18" t="n">
        <v>0.32944291</v>
      </c>
      <c r="L47" s="20" t="n">
        <v>0.23237509</v>
      </c>
      <c r="M47" s="18" t="n">
        <v>0</v>
      </c>
      <c r="N47" s="20" t="n">
        <v>0</v>
      </c>
      <c r="O47" s="18" t="n">
        <v>0</v>
      </c>
      <c r="P47" s="20" t="n">
        <v>0</v>
      </c>
      <c r="Q47" s="18" t="n">
        <v>2.76728682</v>
      </c>
      <c r="R47" s="20" t="n">
        <v>0.61378758</v>
      </c>
    </row>
    <row r="48" spans="1:18">
      <c r="A48" s="15" t="s">
        <v>607</v>
      </c>
      <c r="B48" s="17" t="n">
        <v>4682</v>
      </c>
      <c r="C48" s="18">
        <f>(3612.0/B48*100)</f>
        <v/>
      </c>
      <c r="D48" s="19" t="n">
        <v>1070</v>
      </c>
      <c r="E48" s="18" t="n">
        <v>67.23320957</v>
      </c>
      <c r="F48" s="20" t="n">
        <v>2.85872699</v>
      </c>
      <c r="G48" s="18" t="n">
        <v>32.18143046</v>
      </c>
      <c r="H48" s="20" t="n">
        <v>2.84827898</v>
      </c>
      <c r="I48" s="18" t="n">
        <v>0</v>
      </c>
      <c r="J48" s="20" t="n">
        <v>0</v>
      </c>
      <c r="K48" s="18" t="n">
        <v>0.09174568</v>
      </c>
      <c r="L48" s="20" t="n">
        <v>0.07088091000000001</v>
      </c>
      <c r="M48" s="18" t="n">
        <v>0</v>
      </c>
      <c r="N48" s="20" t="n">
        <v>0</v>
      </c>
      <c r="O48" s="18" t="n">
        <v>0</v>
      </c>
      <c r="P48" s="20" t="n">
        <v>0</v>
      </c>
      <c r="Q48" s="18" t="n">
        <v>0.4936143</v>
      </c>
      <c r="R48" s="20" t="n">
        <v>0.28646268</v>
      </c>
    </row>
    <row r="49" spans="1:18">
      <c r="A49" s="15" t="s">
        <v>608</v>
      </c>
      <c r="B49" s="17" t="n">
        <v>6158</v>
      </c>
      <c r="C49" s="18">
        <f>(4856.0/B49*100)</f>
        <v/>
      </c>
      <c r="D49" s="19" t="n">
        <v>1302</v>
      </c>
      <c r="E49" s="18" t="n">
        <v>87.07869496000001</v>
      </c>
      <c r="F49" s="20" t="n">
        <v>1.22678965</v>
      </c>
      <c r="G49" s="18" t="n">
        <v>9.10034269</v>
      </c>
      <c r="H49" s="20" t="n">
        <v>1.07212283</v>
      </c>
      <c r="I49" s="18" t="n">
        <v>0</v>
      </c>
      <c r="J49" s="20" t="n">
        <v>0</v>
      </c>
      <c r="K49" s="18" t="n">
        <v>1.81747195</v>
      </c>
      <c r="L49" s="20" t="n">
        <v>0.45508318</v>
      </c>
      <c r="M49" s="18" t="n">
        <v>0</v>
      </c>
      <c r="N49" s="20" t="n">
        <v>0</v>
      </c>
      <c r="O49" s="18" t="n">
        <v>0</v>
      </c>
      <c r="P49" s="20" t="n">
        <v>0</v>
      </c>
      <c r="Q49" s="18" t="n">
        <v>2.00349041</v>
      </c>
      <c r="R49" s="20" t="n">
        <v>0.38216733</v>
      </c>
    </row>
    <row r="50" spans="1:18">
      <c r="A50" s="15" t="s">
        <v>609</v>
      </c>
      <c r="B50" s="17" t="n">
        <v>3494</v>
      </c>
      <c r="C50" s="18">
        <f>(2849.0/B50*100)</f>
        <v/>
      </c>
      <c r="D50" s="19" t="n">
        <v>645</v>
      </c>
      <c r="E50" s="18" t="n">
        <v>89.06080203</v>
      </c>
      <c r="F50" s="20" t="n">
        <v>1.16048239</v>
      </c>
      <c r="G50" s="18" t="n">
        <v>8.47687805</v>
      </c>
      <c r="H50" s="20" t="n">
        <v>1.02885889</v>
      </c>
      <c r="I50" s="18" t="n">
        <v>0</v>
      </c>
      <c r="J50" s="20" t="n">
        <v>0</v>
      </c>
      <c r="K50" s="18" t="n">
        <v>0.30430667</v>
      </c>
      <c r="L50" s="20" t="n">
        <v>0.21449312</v>
      </c>
      <c r="M50" s="18" t="n">
        <v>0</v>
      </c>
      <c r="N50" s="20" t="n">
        <v>0</v>
      </c>
      <c r="O50" s="18" t="n">
        <v>0</v>
      </c>
      <c r="P50" s="20" t="n">
        <v>0</v>
      </c>
      <c r="Q50" s="18" t="n">
        <v>2.15801324</v>
      </c>
      <c r="R50" s="20" t="n">
        <v>0.54696151</v>
      </c>
    </row>
    <row r="51" spans="1:18">
      <c r="A51" s="15" t="s">
        <v>610</v>
      </c>
      <c r="B51" s="17" t="n">
        <v>3013</v>
      </c>
      <c r="C51" s="18">
        <f>(2349.0/B51*100)</f>
        <v/>
      </c>
      <c r="D51" s="19" t="n">
        <v>664</v>
      </c>
      <c r="E51" s="18" t="n">
        <v>73.45200776</v>
      </c>
      <c r="F51" s="20" t="n">
        <v>1.98471875</v>
      </c>
      <c r="G51" s="18" t="n">
        <v>23.86667179</v>
      </c>
      <c r="H51" s="20" t="n">
        <v>1.96249471</v>
      </c>
      <c r="I51" s="18" t="n">
        <v>0</v>
      </c>
      <c r="J51" s="20" t="n">
        <v>0</v>
      </c>
      <c r="K51" s="18" t="n">
        <v>0</v>
      </c>
      <c r="L51" s="20" t="n">
        <v>0</v>
      </c>
      <c r="M51" s="18" t="n">
        <v>0</v>
      </c>
      <c r="N51" s="20" t="n">
        <v>0</v>
      </c>
      <c r="O51" s="18" t="n">
        <v>0</v>
      </c>
      <c r="P51" s="20" t="n">
        <v>0</v>
      </c>
      <c r="Q51" s="18" t="n">
        <v>2.68132045</v>
      </c>
      <c r="R51" s="20" t="n">
        <v>0.58462126</v>
      </c>
    </row>
    <row r="52" spans="1:18">
      <c r="A52" s="15" t="s">
        <v>611</v>
      </c>
      <c r="B52" s="17" t="n">
        <v>2760</v>
      </c>
      <c r="C52" s="18">
        <f>(2171.0/B52*100)</f>
        <v/>
      </c>
      <c r="D52" s="19" t="n">
        <v>589</v>
      </c>
      <c r="E52" s="18" t="n">
        <v>80.23645725</v>
      </c>
      <c r="F52" s="20" t="n">
        <v>1.75072624</v>
      </c>
      <c r="G52" s="18" t="n">
        <v>16.84434736</v>
      </c>
      <c r="H52" s="20" t="n">
        <v>1.69637098</v>
      </c>
      <c r="I52" s="18" t="n">
        <v>0</v>
      </c>
      <c r="J52" s="20" t="n">
        <v>0</v>
      </c>
      <c r="K52" s="18" t="n">
        <v>0</v>
      </c>
      <c r="L52" s="20" t="n">
        <v>0</v>
      </c>
      <c r="M52" s="18" t="n">
        <v>0</v>
      </c>
      <c r="N52" s="20" t="n">
        <v>0</v>
      </c>
      <c r="O52" s="18" t="n">
        <v>0</v>
      </c>
      <c r="P52" s="20" t="n">
        <v>0</v>
      </c>
      <c r="Q52" s="18" t="n">
        <v>2.91919539</v>
      </c>
      <c r="R52" s="20" t="n">
        <v>0.60481573</v>
      </c>
    </row>
    <row r="53" spans="1:18">
      <c r="A53" s="15" t="s">
        <v>612</v>
      </c>
      <c r="B53" s="17" t="n">
        <v>2474</v>
      </c>
      <c r="C53" s="18">
        <f>(1941.0/B53*100)</f>
        <v/>
      </c>
      <c r="D53" s="19" t="n">
        <v>533</v>
      </c>
      <c r="E53" s="18" t="n">
        <v>83.51925334000001</v>
      </c>
      <c r="F53" s="20" t="n">
        <v>2.02000686</v>
      </c>
      <c r="G53" s="18" t="n">
        <v>0.59119546</v>
      </c>
      <c r="H53" s="20" t="n">
        <v>0.32259245</v>
      </c>
      <c r="I53" s="18" t="n">
        <v>0</v>
      </c>
      <c r="J53" s="20" t="n">
        <v>0</v>
      </c>
      <c r="K53" s="18" t="n">
        <v>10.30232406</v>
      </c>
      <c r="L53" s="20" t="n">
        <v>1.48941691</v>
      </c>
      <c r="M53" s="18" t="n">
        <v>0</v>
      </c>
      <c r="N53" s="20" t="n">
        <v>0</v>
      </c>
      <c r="O53" s="18" t="n">
        <v>0</v>
      </c>
      <c r="P53" s="20" t="n">
        <v>0</v>
      </c>
      <c r="Q53" s="18" t="n">
        <v>5.58722714</v>
      </c>
      <c r="R53" s="20" t="n">
        <v>1.19776666</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(2106.0/B55*100)</f>
        <v/>
      </c>
      <c r="D55" s="19" t="n">
        <v>569</v>
      </c>
      <c r="E55" s="18" t="n">
        <v>75.67073309</v>
      </c>
      <c r="F55" s="20" t="n">
        <v>2.33861646</v>
      </c>
      <c r="G55" s="18" t="n">
        <v>23.56853739</v>
      </c>
      <c r="H55" s="20" t="n">
        <v>2.36818575</v>
      </c>
      <c r="I55" s="18" t="n">
        <v>0</v>
      </c>
      <c r="J55" s="20" t="n">
        <v>0</v>
      </c>
      <c r="K55" s="18" t="n">
        <v>0.18885409</v>
      </c>
      <c r="L55" s="20" t="n">
        <v>0.18683579</v>
      </c>
      <c r="M55" s="18" t="n">
        <v>0</v>
      </c>
      <c r="N55" s="20" t="n">
        <v>0</v>
      </c>
      <c r="O55" s="18" t="n">
        <v>0</v>
      </c>
      <c r="P55" s="20" t="n">
        <v>0</v>
      </c>
      <c r="Q55" s="18" t="n">
        <v>0.57187543</v>
      </c>
      <c r="R55" s="20" t="n">
        <v>0.33361119</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(2511.0/B61*100)</f>
        <v/>
      </c>
      <c r="D61" s="19" t="n">
        <v>690</v>
      </c>
      <c r="E61" s="18" t="n">
        <v>71.28725088</v>
      </c>
      <c r="F61" s="20" t="n">
        <v>2.1349967</v>
      </c>
      <c r="G61" s="18" t="n">
        <v>26.52730482</v>
      </c>
      <c r="H61" s="20" t="n">
        <v>2.09931763</v>
      </c>
      <c r="I61" s="18" t="n">
        <v>0</v>
      </c>
      <c r="J61" s="20" t="n">
        <v>0</v>
      </c>
      <c r="K61" s="18" t="n">
        <v>0.18423757</v>
      </c>
      <c r="L61" s="20" t="n">
        <v>0.19124522</v>
      </c>
      <c r="M61" s="18" t="n">
        <v>0</v>
      </c>
      <c r="N61" s="20" t="n">
        <v>0</v>
      </c>
      <c r="O61" s="18" t="n">
        <v>0</v>
      </c>
      <c r="P61" s="20" t="n">
        <v>0</v>
      </c>
      <c r="Q61" s="18" t="n">
        <v>2.00120673</v>
      </c>
      <c r="R61" s="20" t="n">
        <v>0.56532872</v>
      </c>
    </row>
    <row r="62" spans="1:18">
      <c r="A62" s="15" t="s">
        <v>622</v>
      </c>
      <c r="B62" s="17" t="n">
        <v>2230</v>
      </c>
      <c r="C62" s="18">
        <f>(1716.0/B62*100)</f>
        <v/>
      </c>
      <c r="D62" s="19" t="n">
        <v>514</v>
      </c>
      <c r="E62" s="18" t="n">
        <v>59.58520937</v>
      </c>
      <c r="F62" s="20" t="n">
        <v>1.85242969</v>
      </c>
      <c r="G62" s="18" t="n">
        <v>40.21490494</v>
      </c>
      <c r="H62" s="20" t="n">
        <v>1.83368842</v>
      </c>
      <c r="I62" s="18" t="n">
        <v>0</v>
      </c>
      <c r="J62" s="20" t="n">
        <v>0</v>
      </c>
      <c r="K62" s="18" t="n">
        <v>0</v>
      </c>
      <c r="L62" s="20" t="n">
        <v>0</v>
      </c>
      <c r="M62" s="18" t="n">
        <v>0</v>
      </c>
      <c r="N62" s="20" t="n">
        <v>0</v>
      </c>
      <c r="O62" s="18" t="n">
        <v>0</v>
      </c>
      <c r="P62" s="20" t="n">
        <v>0</v>
      </c>
      <c r="Q62" s="18" t="n">
        <v>0.19988569</v>
      </c>
      <c r="R62" s="20" t="n">
        <v>0.19838973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(2194.0/B67*100)</f>
        <v/>
      </c>
      <c r="D67" s="19" t="n">
        <v>577</v>
      </c>
      <c r="E67" s="18" t="n">
        <v>80.81885366</v>
      </c>
      <c r="F67" s="20" t="n">
        <v>1.75899087</v>
      </c>
      <c r="G67" s="18" t="n">
        <v>7.47128182</v>
      </c>
      <c r="H67" s="20" t="n">
        <v>0.98454478</v>
      </c>
      <c r="I67" s="18" t="n">
        <v>0</v>
      </c>
      <c r="J67" s="20" t="n">
        <v>0</v>
      </c>
      <c r="K67" s="18" t="n">
        <v>0.15710226</v>
      </c>
      <c r="L67" s="20" t="n">
        <v>0.15432579</v>
      </c>
      <c r="M67" s="18" t="n">
        <v>0</v>
      </c>
      <c r="N67" s="20" t="n">
        <v>0</v>
      </c>
      <c r="O67" s="18" t="n">
        <v>0</v>
      </c>
      <c r="P67" s="20" t="n">
        <v>0</v>
      </c>
      <c r="Q67" s="18" t="n">
        <v>11.55276226</v>
      </c>
      <c r="R67" s="20" t="n">
        <v>1.3501245</v>
      </c>
    </row>
    <row r="68" spans="1:18">
      <c r="A68" s="15" t="s">
        <v>628</v>
      </c>
      <c r="B68" s="17" t="n">
        <v>3460</v>
      </c>
      <c r="C68" s="18">
        <f>(2798.0/B68*100)</f>
        <v/>
      </c>
      <c r="D68" s="19" t="n">
        <v>662</v>
      </c>
      <c r="E68" s="18" t="n">
        <v>92.13696833</v>
      </c>
      <c r="F68" s="20" t="n">
        <v>1.17646502</v>
      </c>
      <c r="G68" s="18" t="n">
        <v>5.27514634</v>
      </c>
      <c r="H68" s="20" t="n">
        <v>1.03954924</v>
      </c>
      <c r="I68" s="18" t="n">
        <v>0</v>
      </c>
      <c r="J68" s="20" t="n">
        <v>0</v>
      </c>
      <c r="K68" s="18" t="n">
        <v>0.31783384</v>
      </c>
      <c r="L68" s="20" t="n">
        <v>0.22585689</v>
      </c>
      <c r="M68" s="18" t="n">
        <v>0</v>
      </c>
      <c r="N68" s="20" t="n">
        <v>0</v>
      </c>
      <c r="O68" s="18" t="n">
        <v>0</v>
      </c>
      <c r="P68" s="20" t="n">
        <v>0</v>
      </c>
      <c r="Q68" s="18" t="n">
        <v>2.27005148</v>
      </c>
      <c r="R68" s="20" t="n">
        <v>0.60571825</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81.89622491999999</v>
      </c>
      <c r="F70" s="20" t="n">
        <v>0.87579083</v>
      </c>
      <c r="G70" s="18" t="n">
        <v>14.06575651</v>
      </c>
      <c r="H70" s="20" t="n">
        <v>0.87424577</v>
      </c>
      <c r="I70" s="18" t="n">
        <v>0</v>
      </c>
      <c r="J70" s="20" t="n">
        <v>0</v>
      </c>
      <c r="K70" s="18" t="n">
        <v>1.51774194</v>
      </c>
      <c r="L70" s="20" t="n">
        <v>0.35201888</v>
      </c>
      <c r="M70" s="18" t="n">
        <v>0</v>
      </c>
      <c r="N70" s="20" t="n">
        <v>0</v>
      </c>
      <c r="O70" s="18" t="n">
        <v>0</v>
      </c>
      <c r="P70" s="20" t="n">
        <v>0</v>
      </c>
      <c r="Q70" s="18" t="n">
        <v>2.52027663</v>
      </c>
      <c r="R70" s="20" t="n">
        <v>0.41506434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(2424.0/B72*100)</f>
        <v/>
      </c>
      <c r="D72" s="19" t="n">
        <v>683</v>
      </c>
      <c r="E72" s="18" t="n">
        <v>73.56116591999999</v>
      </c>
      <c r="F72" s="20" t="n">
        <v>1.88603902</v>
      </c>
      <c r="G72" s="18" t="n">
        <v>25.14176014</v>
      </c>
      <c r="H72" s="20" t="n">
        <v>1.83855698</v>
      </c>
      <c r="I72" s="18" t="n">
        <v>0</v>
      </c>
      <c r="J72" s="20" t="n">
        <v>0</v>
      </c>
      <c r="K72" s="18" t="n">
        <v>0.07994369</v>
      </c>
      <c r="L72" s="20" t="n">
        <v>0.05683378</v>
      </c>
      <c r="M72" s="18" t="n">
        <v>0</v>
      </c>
      <c r="N72" s="20" t="n">
        <v>0</v>
      </c>
      <c r="O72" s="18" t="n">
        <v>0</v>
      </c>
      <c r="P72" s="20" t="n">
        <v>0</v>
      </c>
      <c r="Q72" s="18" t="n">
        <v>1.21713025</v>
      </c>
      <c r="R72" s="20" t="n">
        <v>0.43260145</v>
      </c>
    </row>
    <row r="73" spans="1:18">
      <c r="A73" s="15" t="s">
        <v>633</v>
      </c>
      <c r="B73" s="17" t="n">
        <v>2973</v>
      </c>
      <c r="C73" s="18">
        <f>(2299.0/B73*100)</f>
        <v/>
      </c>
      <c r="D73" s="19" t="n">
        <v>674</v>
      </c>
      <c r="E73" s="18" t="n">
        <v>50.16519639</v>
      </c>
      <c r="F73" s="20" t="n">
        <v>1.84684325</v>
      </c>
      <c r="G73" s="18" t="n">
        <v>49.51431417</v>
      </c>
      <c r="H73" s="20" t="n">
        <v>1.84348079</v>
      </c>
      <c r="I73" s="18" t="n">
        <v>0</v>
      </c>
      <c r="J73" s="20" t="n">
        <v>0</v>
      </c>
      <c r="K73" s="18" t="n">
        <v>0.32048944</v>
      </c>
      <c r="L73" s="20" t="n">
        <v>0.2283171</v>
      </c>
      <c r="M73" s="18" t="n">
        <v>0</v>
      </c>
      <c r="N73" s="20" t="n">
        <v>0</v>
      </c>
      <c r="O73" s="18" t="n">
        <v>0</v>
      </c>
      <c r="P73" s="20" t="n">
        <v>0</v>
      </c>
      <c r="Q73" s="18" t="n">
        <v>0</v>
      </c>
      <c r="R73" s="20" t="n">
        <v>0</v>
      </c>
    </row>
    <row r="74" spans="1:18">
      <c r="A74" s="15" t="s">
        <v>634</v>
      </c>
      <c r="B74" s="17" t="n">
        <v>3819</v>
      </c>
      <c r="C74" s="18">
        <f>(2940.0/B74*100)</f>
        <v/>
      </c>
      <c r="D74" s="19" t="n">
        <v>879</v>
      </c>
      <c r="E74" s="18" t="n">
        <v>68.29006467000001</v>
      </c>
      <c r="F74" s="20" t="n">
        <v>1.66128936</v>
      </c>
      <c r="G74" s="18" t="n">
        <v>31.34571789</v>
      </c>
      <c r="H74" s="20" t="n">
        <v>1.67203905</v>
      </c>
      <c r="I74" s="18" t="n">
        <v>0</v>
      </c>
      <c r="J74" s="20" t="n">
        <v>0</v>
      </c>
      <c r="K74" s="18" t="n">
        <v>0</v>
      </c>
      <c r="L74" s="20" t="n">
        <v>0</v>
      </c>
      <c r="M74" s="18" t="n">
        <v>0</v>
      </c>
      <c r="N74" s="20" t="n">
        <v>0</v>
      </c>
      <c r="O74" s="18" t="n">
        <v>0</v>
      </c>
      <c r="P74" s="20" t="n">
        <v>0</v>
      </c>
      <c r="Q74" s="18" t="n">
        <v>0.36421744</v>
      </c>
      <c r="R74" s="20" t="n">
        <v>0.21361451</v>
      </c>
    </row>
    <row r="75" spans="1:18">
      <c r="A75" s="15" t="s">
        <v>635</v>
      </c>
      <c r="B75" s="17" t="n">
        <v>4652</v>
      </c>
      <c r="C75" s="18">
        <f>(3647.0/B75*100)</f>
        <v/>
      </c>
      <c r="D75" s="19" t="n">
        <v>1005</v>
      </c>
      <c r="E75" s="18" t="n">
        <v>87.5890883</v>
      </c>
      <c r="F75" s="20" t="n">
        <v>1.49182057</v>
      </c>
      <c r="G75" s="18" t="n">
        <v>12.09244282</v>
      </c>
      <c r="H75" s="20" t="n">
        <v>1.4382206</v>
      </c>
      <c r="I75" s="18" t="n">
        <v>0</v>
      </c>
      <c r="J75" s="20" t="n">
        <v>0</v>
      </c>
      <c r="K75" s="18" t="n">
        <v>0</v>
      </c>
      <c r="L75" s="20" t="n">
        <v>0</v>
      </c>
      <c r="M75" s="18" t="n">
        <v>0</v>
      </c>
      <c r="N75" s="20" t="n">
        <v>0</v>
      </c>
      <c r="O75" s="18" t="n">
        <v>0</v>
      </c>
      <c r="P75" s="20" t="n">
        <v>0</v>
      </c>
      <c r="Q75" s="18" t="n">
        <v>0.31846889</v>
      </c>
      <c r="R75" s="20" t="n">
        <v>0.18982892</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(2380.0/B77*100)</f>
        <v/>
      </c>
      <c r="D77" s="19" t="n">
        <v>589</v>
      </c>
      <c r="E77" s="18" t="n">
        <v>88.17135009</v>
      </c>
      <c r="F77" s="20" t="n">
        <v>1.50840526</v>
      </c>
      <c r="G77" s="18" t="n">
        <v>3.36073801</v>
      </c>
      <c r="H77" s="20" t="n">
        <v>0.83632066</v>
      </c>
      <c r="I77" s="18" t="n">
        <v>0</v>
      </c>
      <c r="J77" s="20" t="n">
        <v>0</v>
      </c>
      <c r="K77" s="18" t="n">
        <v>3.19007441</v>
      </c>
      <c r="L77" s="20" t="n">
        <v>0.80568805</v>
      </c>
      <c r="M77" s="18" t="n">
        <v>0</v>
      </c>
      <c r="N77" s="20" t="n">
        <v>0</v>
      </c>
      <c r="O77" s="18" t="n">
        <v>0</v>
      </c>
      <c r="P77" s="20" t="n">
        <v>0</v>
      </c>
      <c r="Q77" s="18" t="n">
        <v>5.2778375</v>
      </c>
      <c r="R77" s="20" t="n">
        <v>0.97519345</v>
      </c>
    </row>
    <row r="78" spans="1:18">
      <c r="A78" s="15" t="s">
        <v>638</v>
      </c>
      <c r="B78" s="17" t="n">
        <v>7115</v>
      </c>
      <c r="C78" s="18">
        <f>(5560.0/B78*100)</f>
        <v/>
      </c>
      <c r="D78" s="19" t="n">
        <v>1555</v>
      </c>
      <c r="E78" s="18" t="n">
        <v>79.89413537999999</v>
      </c>
      <c r="F78" s="20" t="n">
        <v>1.2409872</v>
      </c>
      <c r="G78" s="18" t="n">
        <v>18.39542844</v>
      </c>
      <c r="H78" s="20" t="n">
        <v>1.14613927</v>
      </c>
      <c r="I78" s="18" t="n">
        <v>0</v>
      </c>
      <c r="J78" s="20" t="n">
        <v>0</v>
      </c>
      <c r="K78" s="18" t="n">
        <v>0.18231747</v>
      </c>
      <c r="L78" s="20" t="n">
        <v>0.10569453</v>
      </c>
      <c r="M78" s="18" t="n">
        <v>0</v>
      </c>
      <c r="N78" s="20" t="n">
        <v>0</v>
      </c>
      <c r="O78" s="18" t="n">
        <v>0</v>
      </c>
      <c r="P78" s="20" t="n">
        <v>0</v>
      </c>
      <c r="Q78" s="18" t="n">
        <v>1.52811871</v>
      </c>
      <c r="R78" s="20" t="n">
        <v>0.33233181</v>
      </c>
    </row>
    <row r="79" spans="1:18">
      <c r="A79" s="15" t="s">
        <v>639</v>
      </c>
      <c r="B79" s="17" t="n">
        <v>3154</v>
      </c>
      <c r="C79" s="18">
        <f>(2499.0/B79*100)</f>
        <v/>
      </c>
      <c r="D79" s="19" t="n">
        <v>655</v>
      </c>
      <c r="E79" s="18" t="n">
        <v>85.70477846</v>
      </c>
      <c r="F79" s="20" t="n">
        <v>1.24488433</v>
      </c>
      <c r="G79" s="18" t="n">
        <v>9.99007913</v>
      </c>
      <c r="H79" s="20" t="n">
        <v>1.10419092</v>
      </c>
      <c r="I79" s="18" t="n">
        <v>0</v>
      </c>
      <c r="J79" s="20" t="n">
        <v>0</v>
      </c>
      <c r="K79" s="18" t="n">
        <v>0.9911918199999999</v>
      </c>
      <c r="L79" s="20" t="n">
        <v>0.44174916</v>
      </c>
      <c r="M79" s="18" t="n">
        <v>0</v>
      </c>
      <c r="N79" s="20" t="n">
        <v>0</v>
      </c>
      <c r="O79" s="18" t="n">
        <v>0</v>
      </c>
      <c r="P79" s="20" t="n">
        <v>0</v>
      </c>
      <c r="Q79" s="18" t="n">
        <v>3.3139506</v>
      </c>
      <c r="R79" s="20" t="n">
        <v>0.60747359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(12448.0/B82*100)</f>
        <v/>
      </c>
      <c r="D82" s="19" t="n">
        <v>3513</v>
      </c>
      <c r="E82" s="18" t="n">
        <v>71.7775663</v>
      </c>
      <c r="F82" s="20" t="n">
        <v>0.94506563</v>
      </c>
      <c r="G82" s="18" t="n">
        <v>25.46047991</v>
      </c>
      <c r="H82" s="20" t="n">
        <v>1.03026906</v>
      </c>
      <c r="I82" s="18" t="n">
        <v>0</v>
      </c>
      <c r="J82" s="20" t="n">
        <v>0</v>
      </c>
      <c r="K82" s="18" t="n">
        <v>0.23484809</v>
      </c>
      <c r="L82" s="20" t="n">
        <v>0.13250392</v>
      </c>
      <c r="M82" s="18" t="n">
        <v>0</v>
      </c>
      <c r="N82" s="20" t="n">
        <v>0</v>
      </c>
      <c r="O82" s="18" t="n">
        <v>0</v>
      </c>
      <c r="P82" s="20" t="n">
        <v>0</v>
      </c>
      <c r="Q82" s="18" t="n">
        <v>2.5271057</v>
      </c>
      <c r="R82" s="20" t="n">
        <v>0.38843543</v>
      </c>
    </row>
    <row r="83" spans="1:18">
      <c r="A83" s="15" t="s">
        <v>643</v>
      </c>
      <c r="B83" s="17" t="n">
        <v>808</v>
      </c>
      <c r="C83" s="18">
        <f>(626.0/B83*100)</f>
        <v/>
      </c>
      <c r="D83" s="19" t="n">
        <v>182</v>
      </c>
      <c r="E83" s="18" t="n">
        <v>61.87896409</v>
      </c>
      <c r="F83" s="20" t="n">
        <v>5.42935444</v>
      </c>
      <c r="G83" s="18" t="n">
        <v>38.12103591</v>
      </c>
      <c r="H83" s="20" t="n">
        <v>5.42935444</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(741.0/B84*100)</f>
        <v/>
      </c>
      <c r="D84" s="19" t="n">
        <v>197</v>
      </c>
      <c r="E84" s="18" t="n">
        <v>63.84055828</v>
      </c>
      <c r="F84" s="20" t="n">
        <v>3.74758204</v>
      </c>
      <c r="G84" s="18" t="n">
        <v>36.15944172</v>
      </c>
      <c r="H84" s="20" t="n">
        <v>3.74758204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(5623.0/B7*100)</f>
        <v/>
      </c>
      <c r="D7" s="19" t="n">
        <v>1540</v>
      </c>
      <c r="E7" s="18" t="n">
        <v>74.24654323999999</v>
      </c>
      <c r="F7" s="20" t="n">
        <v>1.3251083</v>
      </c>
      <c r="G7" s="18" t="n">
        <v>21.64259942</v>
      </c>
      <c r="H7" s="20" t="n">
        <v>1.34383733</v>
      </c>
      <c r="I7" s="18" t="n">
        <v>0</v>
      </c>
      <c r="J7" s="20" t="n">
        <v>0</v>
      </c>
      <c r="K7" s="18" t="n">
        <v>0.40361387</v>
      </c>
      <c r="L7" s="20" t="n">
        <v>0.20509789</v>
      </c>
      <c r="M7" s="18" t="n">
        <v>0.17618431</v>
      </c>
      <c r="N7" s="20" t="n">
        <v>0.15475992</v>
      </c>
      <c r="O7" s="18" t="n">
        <v>0</v>
      </c>
      <c r="P7" s="20" t="n">
        <v>0</v>
      </c>
      <c r="Q7" s="18" t="n">
        <v>3.53105916</v>
      </c>
      <c r="R7" s="20" t="n">
        <v>0.61599201</v>
      </c>
    </row>
    <row r="8" spans="1:18">
      <c r="A8" s="15" t="s">
        <v>566</v>
      </c>
      <c r="B8" s="17" t="n">
        <v>3443</v>
      </c>
      <c r="C8" s="18">
        <f>(2669.0/B8*100)</f>
        <v/>
      </c>
      <c r="D8" s="19" t="n">
        <v>774</v>
      </c>
      <c r="E8" s="18" t="n">
        <v>66.53321481</v>
      </c>
      <c r="F8" s="20" t="n">
        <v>1.8836254</v>
      </c>
      <c r="G8" s="18" t="n">
        <v>30.2751597</v>
      </c>
      <c r="H8" s="20" t="n">
        <v>1.74395006</v>
      </c>
      <c r="I8" s="18" t="n">
        <v>0</v>
      </c>
      <c r="J8" s="20" t="n">
        <v>0</v>
      </c>
      <c r="K8" s="18" t="n">
        <v>0</v>
      </c>
      <c r="L8" s="20" t="n">
        <v>0</v>
      </c>
      <c r="M8" s="18" t="n">
        <v>0</v>
      </c>
      <c r="N8" s="20" t="n">
        <v>0</v>
      </c>
      <c r="O8" s="18" t="n">
        <v>0</v>
      </c>
      <c r="P8" s="20" t="n">
        <v>0</v>
      </c>
      <c r="Q8" s="18" t="n">
        <v>3.19162549</v>
      </c>
      <c r="R8" s="20" t="n">
        <v>0.75795731</v>
      </c>
    </row>
    <row r="9" spans="1:18">
      <c r="A9" s="15" t="s">
        <v>567</v>
      </c>
      <c r="B9" s="17" t="n">
        <v>4752</v>
      </c>
      <c r="C9" s="18">
        <f>(3740.0/B9*100)</f>
        <v/>
      </c>
      <c r="D9" s="19" t="n">
        <v>1012</v>
      </c>
      <c r="E9" s="18" t="n">
        <v>67.77085183</v>
      </c>
      <c r="F9" s="20" t="n">
        <v>1.78834656</v>
      </c>
      <c r="G9" s="18" t="n">
        <v>27.80821776</v>
      </c>
      <c r="H9" s="20" t="n">
        <v>1.69805045</v>
      </c>
      <c r="I9" s="18" t="n">
        <v>0</v>
      </c>
      <c r="J9" s="20" t="n">
        <v>0</v>
      </c>
      <c r="K9" s="18" t="n">
        <v>0.32857963</v>
      </c>
      <c r="L9" s="20" t="n">
        <v>0.1931022</v>
      </c>
      <c r="M9" s="18" t="n">
        <v>0.16972197</v>
      </c>
      <c r="N9" s="20" t="n">
        <v>0.13862298</v>
      </c>
      <c r="O9" s="18" t="n">
        <v>0</v>
      </c>
      <c r="P9" s="20" t="n">
        <v>0</v>
      </c>
      <c r="Q9" s="18" t="n">
        <v>3.9226288</v>
      </c>
      <c r="R9" s="20" t="n">
        <v>0.731807</v>
      </c>
    </row>
    <row r="10" spans="1:18">
      <c r="A10" s="15" t="s">
        <v>568</v>
      </c>
      <c r="B10" s="17" t="n">
        <v>10022</v>
      </c>
      <c r="C10" s="18">
        <f>(7836.0/B10*100)</f>
        <v/>
      </c>
      <c r="D10" s="19" t="n">
        <v>2186</v>
      </c>
      <c r="E10" s="18" t="n">
        <v>67.58257675999999</v>
      </c>
      <c r="F10" s="20" t="n">
        <v>1.50861731</v>
      </c>
      <c r="G10" s="18" t="n">
        <v>30.62301028</v>
      </c>
      <c r="H10" s="20" t="n">
        <v>1.44655792</v>
      </c>
      <c r="I10" s="18" t="n">
        <v>0</v>
      </c>
      <c r="J10" s="20" t="n">
        <v>0</v>
      </c>
      <c r="K10" s="18" t="n">
        <v>0.37091229</v>
      </c>
      <c r="L10" s="20" t="n">
        <v>0.21749963</v>
      </c>
      <c r="M10" s="18" t="n">
        <v>0</v>
      </c>
      <c r="N10" s="20" t="n">
        <v>0</v>
      </c>
      <c r="O10" s="18" t="n">
        <v>0</v>
      </c>
      <c r="P10" s="20" t="n">
        <v>0</v>
      </c>
      <c r="Q10" s="18" t="n">
        <v>1.42350067</v>
      </c>
      <c r="R10" s="20" t="n">
        <v>0.37356</v>
      </c>
    </row>
    <row r="11" spans="1:18">
      <c r="A11" s="15" t="s">
        <v>569</v>
      </c>
      <c r="B11" s="17" t="n">
        <v>3500</v>
      </c>
      <c r="C11" s="18">
        <f>(2776.0/B11*100)</f>
        <v/>
      </c>
      <c r="D11" s="19" t="n">
        <v>724</v>
      </c>
      <c r="E11" s="18" t="n">
        <v>75.96942057</v>
      </c>
      <c r="F11" s="20" t="n">
        <v>1.70225618</v>
      </c>
      <c r="G11" s="18" t="n">
        <v>17.02981828</v>
      </c>
      <c r="H11" s="20" t="n">
        <v>1.55197873</v>
      </c>
      <c r="I11" s="18" t="n">
        <v>0</v>
      </c>
      <c r="J11" s="20" t="n">
        <v>0</v>
      </c>
      <c r="K11" s="18" t="n">
        <v>0.86253081</v>
      </c>
      <c r="L11" s="20" t="n">
        <v>0.35375613</v>
      </c>
      <c r="M11" s="18" t="n">
        <v>0.01496773</v>
      </c>
      <c r="N11" s="20" t="n">
        <v>0.01511917</v>
      </c>
      <c r="O11" s="18" t="n">
        <v>0</v>
      </c>
      <c r="P11" s="20" t="n">
        <v>0</v>
      </c>
      <c r="Q11" s="18" t="n">
        <v>6.12326262</v>
      </c>
      <c r="R11" s="20" t="n">
        <v>0.84429663</v>
      </c>
    </row>
    <row r="12" spans="1:18">
      <c r="A12" s="15" t="s">
        <v>570</v>
      </c>
      <c r="B12" s="17" t="n">
        <v>3422</v>
      </c>
      <c r="C12" s="18">
        <f>(2683.0/B12*100)</f>
        <v/>
      </c>
      <c r="D12" s="19" t="n">
        <v>739</v>
      </c>
      <c r="E12" s="18" t="n">
        <v>79.03751678</v>
      </c>
      <c r="F12" s="20" t="n">
        <v>1.52858006</v>
      </c>
      <c r="G12" s="18" t="n">
        <v>19.27957647</v>
      </c>
      <c r="H12" s="20" t="n">
        <v>1.56735886</v>
      </c>
      <c r="I12" s="18" t="n">
        <v>0</v>
      </c>
      <c r="J12" s="20" t="n">
        <v>0</v>
      </c>
      <c r="K12" s="18" t="n">
        <v>0.06198808</v>
      </c>
      <c r="L12" s="20" t="n">
        <v>0.06190513</v>
      </c>
      <c r="M12" s="18" t="n">
        <v>0</v>
      </c>
      <c r="N12" s="20" t="n">
        <v>0</v>
      </c>
      <c r="O12" s="18" t="n">
        <v>0</v>
      </c>
      <c r="P12" s="20" t="n">
        <v>0</v>
      </c>
      <c r="Q12" s="18" t="n">
        <v>1.62091868</v>
      </c>
      <c r="R12" s="20" t="n">
        <v>0.46709377</v>
      </c>
    </row>
    <row r="13" spans="1:18">
      <c r="A13" s="15" t="s">
        <v>571</v>
      </c>
      <c r="B13" s="17" t="n">
        <v>3602</v>
      </c>
      <c r="C13" s="18">
        <f>(2835.0/B13*100)</f>
        <v/>
      </c>
      <c r="D13" s="19" t="n">
        <v>767</v>
      </c>
      <c r="E13" s="18" t="n">
        <v>66.61371784000001</v>
      </c>
      <c r="F13" s="20" t="n">
        <v>1.76845474</v>
      </c>
      <c r="G13" s="18" t="n">
        <v>30.01299738</v>
      </c>
      <c r="H13" s="20" t="n">
        <v>1.58395448</v>
      </c>
      <c r="I13" s="18" t="n">
        <v>0</v>
      </c>
      <c r="J13" s="20" t="n">
        <v>0</v>
      </c>
      <c r="K13" s="18" t="n">
        <v>0.22774043</v>
      </c>
      <c r="L13" s="20" t="n">
        <v>0.25632164</v>
      </c>
      <c r="M13" s="18" t="n">
        <v>0.09139561</v>
      </c>
      <c r="N13" s="20" t="n">
        <v>0.06796273</v>
      </c>
      <c r="O13" s="18" t="n">
        <v>0</v>
      </c>
      <c r="P13" s="20" t="n">
        <v>0</v>
      </c>
      <c r="Q13" s="18" t="n">
        <v>3.05414874</v>
      </c>
      <c r="R13" s="20" t="n">
        <v>0.69648836</v>
      </c>
    </row>
    <row r="14" spans="1:18">
      <c r="A14" s="15" t="s">
        <v>572</v>
      </c>
      <c r="B14" s="17" t="n">
        <v>2788</v>
      </c>
      <c r="C14" s="18">
        <f>(2186.0/B14*100)</f>
        <v/>
      </c>
      <c r="D14" s="19" t="n">
        <v>602</v>
      </c>
      <c r="E14" s="18" t="n">
        <v>62.32180588</v>
      </c>
      <c r="F14" s="20" t="n">
        <v>2.03133298</v>
      </c>
      <c r="G14" s="18" t="n">
        <v>36.08349134</v>
      </c>
      <c r="H14" s="20" t="n">
        <v>2.15471764</v>
      </c>
      <c r="I14" s="18" t="n">
        <v>0</v>
      </c>
      <c r="J14" s="20" t="n">
        <v>0</v>
      </c>
      <c r="K14" s="18" t="n">
        <v>0.14762415</v>
      </c>
      <c r="L14" s="20" t="n">
        <v>0.14624319</v>
      </c>
      <c r="M14" s="18" t="n">
        <v>0</v>
      </c>
      <c r="N14" s="20" t="n">
        <v>0</v>
      </c>
      <c r="O14" s="18" t="n">
        <v>0</v>
      </c>
      <c r="P14" s="20" t="n">
        <v>0</v>
      </c>
      <c r="Q14" s="18" t="n">
        <v>1.44707863</v>
      </c>
      <c r="R14" s="20" t="n">
        <v>0.5275023</v>
      </c>
    </row>
    <row r="15" spans="1:18">
      <c r="A15" s="15" t="s">
        <v>573</v>
      </c>
      <c r="B15" s="17" t="n">
        <v>2863</v>
      </c>
      <c r="C15" s="18">
        <f>(2227.0/B15*100)</f>
        <v/>
      </c>
      <c r="D15" s="19" t="n">
        <v>636</v>
      </c>
      <c r="E15" s="18" t="n">
        <v>62.65953334</v>
      </c>
      <c r="F15" s="20" t="n">
        <v>1.78111235</v>
      </c>
      <c r="G15" s="18" t="n">
        <v>36.537095</v>
      </c>
      <c r="H15" s="20" t="n">
        <v>1.78838669</v>
      </c>
      <c r="I15" s="18" t="n">
        <v>0</v>
      </c>
      <c r="J15" s="20" t="n">
        <v>0</v>
      </c>
      <c r="K15" s="18" t="n">
        <v>0.16613121</v>
      </c>
      <c r="L15" s="20" t="n">
        <v>0.1650219</v>
      </c>
      <c r="M15" s="18" t="n">
        <v>0</v>
      </c>
      <c r="N15" s="20" t="n">
        <v>0</v>
      </c>
      <c r="O15" s="18" t="n">
        <v>0</v>
      </c>
      <c r="P15" s="20" t="n">
        <v>0</v>
      </c>
      <c r="Q15" s="18" t="n">
        <v>0.63724045</v>
      </c>
      <c r="R15" s="20" t="n">
        <v>0.31283744</v>
      </c>
    </row>
    <row r="16" spans="1:18">
      <c r="A16" s="15" t="s">
        <v>574</v>
      </c>
      <c r="B16" s="17" t="n">
        <v>3111</v>
      </c>
      <c r="C16" s="18">
        <f>(2415.0/B16*100)</f>
        <v/>
      </c>
      <c r="D16" s="19" t="n">
        <v>696</v>
      </c>
      <c r="E16" s="18" t="n">
        <v>78.19680456</v>
      </c>
      <c r="F16" s="20" t="n">
        <v>1.63262899</v>
      </c>
      <c r="G16" s="18" t="n">
        <v>18.21298569</v>
      </c>
      <c r="H16" s="20" t="n">
        <v>1.40697913</v>
      </c>
      <c r="I16" s="18" t="n">
        <v>0</v>
      </c>
      <c r="J16" s="20" t="n">
        <v>0</v>
      </c>
      <c r="K16" s="18" t="n">
        <v>0.50009518</v>
      </c>
      <c r="L16" s="20" t="n">
        <v>0.43393806</v>
      </c>
      <c r="M16" s="18" t="n">
        <v>0</v>
      </c>
      <c r="N16" s="20" t="n">
        <v>0</v>
      </c>
      <c r="O16" s="18" t="n">
        <v>0</v>
      </c>
      <c r="P16" s="20" t="n">
        <v>0</v>
      </c>
      <c r="Q16" s="18" t="n">
        <v>3.09011458</v>
      </c>
      <c r="R16" s="20" t="n">
        <v>0.5951291</v>
      </c>
    </row>
    <row r="17" spans="1:18">
      <c r="A17" s="15" t="s">
        <v>575</v>
      </c>
      <c r="B17" s="17" t="n">
        <v>3197</v>
      </c>
      <c r="C17" s="18">
        <f>(2498.0/B17*100)</f>
        <v/>
      </c>
      <c r="D17" s="19" t="n">
        <v>699</v>
      </c>
      <c r="E17" s="18" t="n">
        <v>71.09303033</v>
      </c>
      <c r="F17" s="20" t="n">
        <v>1.81623902</v>
      </c>
      <c r="G17" s="18" t="n">
        <v>25.84166692</v>
      </c>
      <c r="H17" s="20" t="n">
        <v>1.89264638</v>
      </c>
      <c r="I17" s="18" t="n">
        <v>0</v>
      </c>
      <c r="J17" s="20" t="n">
        <v>0</v>
      </c>
      <c r="K17" s="18" t="n">
        <v>0.13754327</v>
      </c>
      <c r="L17" s="20" t="n">
        <v>0.14249843</v>
      </c>
      <c r="M17" s="18" t="n">
        <v>0</v>
      </c>
      <c r="N17" s="20" t="n">
        <v>0</v>
      </c>
      <c r="O17" s="18" t="n">
        <v>0</v>
      </c>
      <c r="P17" s="20" t="n">
        <v>0</v>
      </c>
      <c r="Q17" s="18" t="n">
        <v>2.92775948</v>
      </c>
      <c r="R17" s="20" t="n">
        <v>0.6855460799999999</v>
      </c>
    </row>
    <row r="18" spans="1:18">
      <c r="A18" s="15" t="s">
        <v>576</v>
      </c>
      <c r="B18" s="17" t="n">
        <v>2706</v>
      </c>
      <c r="C18" s="18">
        <f>(2090.0/B18*100)</f>
        <v/>
      </c>
      <c r="D18" s="19" t="n">
        <v>616</v>
      </c>
      <c r="E18" s="18" t="n">
        <v>75.51146915</v>
      </c>
      <c r="F18" s="20" t="n">
        <v>1.8951357</v>
      </c>
      <c r="G18" s="18" t="n">
        <v>20.50592077</v>
      </c>
      <c r="H18" s="20" t="n">
        <v>1.81551381</v>
      </c>
      <c r="I18" s="18" t="n">
        <v>0</v>
      </c>
      <c r="J18" s="20" t="n">
        <v>0</v>
      </c>
      <c r="K18" s="18" t="n">
        <v>0.74172681</v>
      </c>
      <c r="L18" s="20" t="n">
        <v>0.38156947</v>
      </c>
      <c r="M18" s="18" t="n">
        <v>0</v>
      </c>
      <c r="N18" s="20" t="n">
        <v>0</v>
      </c>
      <c r="O18" s="18" t="n">
        <v>0</v>
      </c>
      <c r="P18" s="20" t="n">
        <v>0</v>
      </c>
      <c r="Q18" s="18" t="n">
        <v>3.24088328</v>
      </c>
      <c r="R18" s="20" t="n">
        <v>0.6671045</v>
      </c>
    </row>
    <row r="19" spans="1:18">
      <c r="A19" s="15" t="s">
        <v>577</v>
      </c>
      <c r="B19" s="17" t="n">
        <v>2850</v>
      </c>
      <c r="C19" s="18">
        <f>(2228.0/B19*100)</f>
        <v/>
      </c>
      <c r="D19" s="19" t="n">
        <v>622</v>
      </c>
      <c r="E19" s="18" t="n">
        <v>74.67035206</v>
      </c>
      <c r="F19" s="20" t="n">
        <v>1.6788978</v>
      </c>
      <c r="G19" s="18" t="n">
        <v>22.08957315</v>
      </c>
      <c r="H19" s="20" t="n">
        <v>1.49600805</v>
      </c>
      <c r="I19" s="18" t="n">
        <v>0</v>
      </c>
      <c r="J19" s="20" t="n">
        <v>0</v>
      </c>
      <c r="K19" s="18" t="n">
        <v>0</v>
      </c>
      <c r="L19" s="20" t="n">
        <v>0</v>
      </c>
      <c r="M19" s="18" t="n">
        <v>0</v>
      </c>
      <c r="N19" s="20" t="n">
        <v>0</v>
      </c>
      <c r="O19" s="18" t="n">
        <v>0</v>
      </c>
      <c r="P19" s="20" t="n">
        <v>0</v>
      </c>
      <c r="Q19" s="18" t="n">
        <v>3.24007478</v>
      </c>
      <c r="R19" s="20" t="n">
        <v>0.81896219</v>
      </c>
    </row>
    <row r="20" spans="1:18">
      <c r="A20" s="15" t="s">
        <v>578</v>
      </c>
      <c r="B20" s="17" t="n">
        <v>1741</v>
      </c>
      <c r="C20" s="18">
        <f>(1365.0/B20*100)</f>
        <v/>
      </c>
      <c r="D20" s="19" t="n">
        <v>376</v>
      </c>
      <c r="E20" s="18" t="n">
        <v>63.17798218</v>
      </c>
      <c r="F20" s="20" t="n">
        <v>2.39653319</v>
      </c>
      <c r="G20" s="18" t="n">
        <v>33.72162139</v>
      </c>
      <c r="H20" s="20" t="n">
        <v>2.27217756</v>
      </c>
      <c r="I20" s="18" t="n">
        <v>0</v>
      </c>
      <c r="J20" s="20" t="n">
        <v>0</v>
      </c>
      <c r="K20" s="18" t="n">
        <v>0.26254609</v>
      </c>
      <c r="L20" s="20" t="n">
        <v>0.26501684</v>
      </c>
      <c r="M20" s="18" t="n">
        <v>0.40717407</v>
      </c>
      <c r="N20" s="20" t="n">
        <v>0.41121619</v>
      </c>
      <c r="O20" s="18" t="n">
        <v>0</v>
      </c>
      <c r="P20" s="20" t="n">
        <v>0</v>
      </c>
      <c r="Q20" s="18" t="n">
        <v>2.43067627</v>
      </c>
      <c r="R20" s="20" t="n">
        <v>0.77957996</v>
      </c>
    </row>
    <row r="21" spans="1:18">
      <c r="A21" s="15" t="s">
        <v>579</v>
      </c>
      <c r="B21" s="17" t="n">
        <v>2833</v>
      </c>
      <c r="C21" s="18">
        <f>(2213.0/B21*100)</f>
        <v/>
      </c>
      <c r="D21" s="19" t="n">
        <v>620</v>
      </c>
      <c r="E21" s="18" t="n">
        <v>82.57443627000001</v>
      </c>
      <c r="F21" s="20" t="n">
        <v>1.49760547</v>
      </c>
      <c r="G21" s="18" t="n">
        <v>15.70653804</v>
      </c>
      <c r="H21" s="20" t="n">
        <v>1.48551775</v>
      </c>
      <c r="I21" s="18" t="n">
        <v>0</v>
      </c>
      <c r="J21" s="20" t="n">
        <v>0</v>
      </c>
      <c r="K21" s="18" t="n">
        <v>0</v>
      </c>
      <c r="L21" s="20" t="n">
        <v>0</v>
      </c>
      <c r="M21" s="18" t="n">
        <v>0</v>
      </c>
      <c r="N21" s="20" t="n">
        <v>0</v>
      </c>
      <c r="O21" s="18" t="n">
        <v>0</v>
      </c>
      <c r="P21" s="20" t="n">
        <v>0</v>
      </c>
      <c r="Q21" s="18" t="n">
        <v>1.71902569</v>
      </c>
      <c r="R21" s="20" t="n">
        <v>0.62037102</v>
      </c>
    </row>
    <row r="22" spans="1:18">
      <c r="A22" s="15" t="s">
        <v>580</v>
      </c>
      <c r="B22" s="17" t="n">
        <v>3667</v>
      </c>
      <c r="C22" s="18">
        <f>(2909.0/B22*100)</f>
        <v/>
      </c>
      <c r="D22" s="19" t="n">
        <v>758</v>
      </c>
      <c r="E22" s="18" t="n">
        <v>62.96808478</v>
      </c>
      <c r="F22" s="20" t="n">
        <v>2.02229164</v>
      </c>
      <c r="G22" s="18" t="n">
        <v>30.91929361</v>
      </c>
      <c r="H22" s="20" t="n">
        <v>1.68484417</v>
      </c>
      <c r="I22" s="18" t="n">
        <v>0</v>
      </c>
      <c r="J22" s="20" t="n">
        <v>0</v>
      </c>
      <c r="K22" s="18" t="n">
        <v>0.14273415</v>
      </c>
      <c r="L22" s="20" t="n">
        <v>0.1488366</v>
      </c>
      <c r="M22" s="18" t="n">
        <v>0</v>
      </c>
      <c r="N22" s="20" t="n">
        <v>0</v>
      </c>
      <c r="O22" s="18" t="n">
        <v>0</v>
      </c>
      <c r="P22" s="20" t="n">
        <v>0</v>
      </c>
      <c r="Q22" s="18" t="n">
        <v>5.96988746</v>
      </c>
      <c r="R22" s="20" t="n">
        <v>0.9448390800000001</v>
      </c>
    </row>
    <row r="23" spans="1:18">
      <c r="A23" s="15" t="s">
        <v>581</v>
      </c>
      <c r="B23" s="17" t="n">
        <v>5792</v>
      </c>
      <c r="C23" s="18">
        <f>(4496.0/B23*100)</f>
        <v/>
      </c>
      <c r="D23" s="19" t="n">
        <v>1296</v>
      </c>
      <c r="E23" s="18" t="n">
        <v>68.35785835</v>
      </c>
      <c r="F23" s="20" t="n">
        <v>2.0115695</v>
      </c>
      <c r="G23" s="18" t="n">
        <v>22.46467611</v>
      </c>
      <c r="H23" s="20" t="n">
        <v>1.9811943</v>
      </c>
      <c r="I23" s="18" t="n">
        <v>0</v>
      </c>
      <c r="J23" s="20" t="n">
        <v>0</v>
      </c>
      <c r="K23" s="18" t="n">
        <v>0.94618801</v>
      </c>
      <c r="L23" s="20" t="n">
        <v>0.48388075</v>
      </c>
      <c r="M23" s="18" t="n">
        <v>0</v>
      </c>
      <c r="N23" s="20" t="n">
        <v>0</v>
      </c>
      <c r="O23" s="18" t="n">
        <v>0</v>
      </c>
      <c r="P23" s="20" t="n">
        <v>0</v>
      </c>
      <c r="Q23" s="18" t="n">
        <v>8.23127753</v>
      </c>
      <c r="R23" s="20" t="n">
        <v>1.22488877</v>
      </c>
    </row>
    <row r="24" spans="1:18">
      <c r="A24" s="15" t="s">
        <v>582</v>
      </c>
      <c r="B24" s="17" t="n">
        <v>3309</v>
      </c>
      <c r="C24" s="18">
        <f>(2591.0/B24*100)</f>
        <v/>
      </c>
      <c r="D24" s="19" t="n">
        <v>718</v>
      </c>
      <c r="E24" s="18" t="n">
        <v>80.51137281</v>
      </c>
      <c r="F24" s="20" t="n">
        <v>1.60254299</v>
      </c>
      <c r="G24" s="18" t="n">
        <v>16.38402576</v>
      </c>
      <c r="H24" s="20" t="n">
        <v>1.5284234</v>
      </c>
      <c r="I24" s="18" t="n">
        <v>0</v>
      </c>
      <c r="J24" s="20" t="n">
        <v>0</v>
      </c>
      <c r="K24" s="18" t="n">
        <v>0.16654609</v>
      </c>
      <c r="L24" s="20" t="n">
        <v>0.15546627</v>
      </c>
      <c r="M24" s="18" t="n">
        <v>0</v>
      </c>
      <c r="N24" s="20" t="n">
        <v>0</v>
      </c>
      <c r="O24" s="18" t="n">
        <v>0</v>
      </c>
      <c r="P24" s="20" t="n">
        <v>0</v>
      </c>
      <c r="Q24" s="18" t="n">
        <v>2.93805535</v>
      </c>
      <c r="R24" s="20" t="n">
        <v>0.65082012</v>
      </c>
    </row>
    <row r="25" spans="1:18">
      <c r="A25" s="15" t="s">
        <v>583</v>
      </c>
      <c r="B25" s="17" t="n">
        <v>2669</v>
      </c>
      <c r="C25" s="18">
        <f>(2068.0/B25*100)</f>
        <v/>
      </c>
      <c r="D25" s="19" t="n">
        <v>601</v>
      </c>
      <c r="E25" s="18" t="n">
        <v>80.4706944</v>
      </c>
      <c r="F25" s="20" t="n">
        <v>1.39888247</v>
      </c>
      <c r="G25" s="18" t="n">
        <v>18.10378843</v>
      </c>
      <c r="H25" s="20" t="n">
        <v>1.44753759</v>
      </c>
      <c r="I25" s="18" t="n">
        <v>0</v>
      </c>
      <c r="J25" s="20" t="n">
        <v>0</v>
      </c>
      <c r="K25" s="18" t="n">
        <v>0.16470226</v>
      </c>
      <c r="L25" s="20" t="n">
        <v>0.1646375</v>
      </c>
      <c r="M25" s="18" t="n">
        <v>0</v>
      </c>
      <c r="N25" s="20" t="n">
        <v>0</v>
      </c>
      <c r="O25" s="18" t="n">
        <v>0</v>
      </c>
      <c r="P25" s="20" t="n">
        <v>0</v>
      </c>
      <c r="Q25" s="18" t="n">
        <v>1.26081491</v>
      </c>
      <c r="R25" s="20" t="n">
        <v>0.471329</v>
      </c>
    </row>
    <row r="26" spans="1:18">
      <c r="A26" s="15" t="s">
        <v>584</v>
      </c>
      <c r="B26" s="17" t="n">
        <v>2419</v>
      </c>
      <c r="C26" s="18">
        <f>(1865.0/B26*100)</f>
        <v/>
      </c>
      <c r="D26" s="19" t="n">
        <v>554</v>
      </c>
      <c r="E26" s="18" t="n">
        <v>74.90208377</v>
      </c>
      <c r="F26" s="20" t="n">
        <v>1.96193083</v>
      </c>
      <c r="G26" s="18" t="n">
        <v>23.58563797</v>
      </c>
      <c r="H26" s="20" t="n">
        <v>1.95432179</v>
      </c>
      <c r="I26" s="18" t="n">
        <v>0</v>
      </c>
      <c r="J26" s="20" t="n">
        <v>0</v>
      </c>
      <c r="K26" s="18" t="n">
        <v>0.15068926</v>
      </c>
      <c r="L26" s="20" t="n">
        <v>0.15429923</v>
      </c>
      <c r="M26" s="18" t="n">
        <v>0.12380584</v>
      </c>
      <c r="N26" s="20" t="n">
        <v>0.12401732</v>
      </c>
      <c r="O26" s="18" t="n">
        <v>0</v>
      </c>
      <c r="P26" s="20" t="n">
        <v>0</v>
      </c>
      <c r="Q26" s="18" t="n">
        <v>1.23778316</v>
      </c>
      <c r="R26" s="20" t="n">
        <v>0.43427462</v>
      </c>
    </row>
    <row r="27" spans="1:18">
      <c r="A27" s="15" t="s">
        <v>585</v>
      </c>
      <c r="B27" s="17" t="n">
        <v>2683</v>
      </c>
      <c r="C27" s="18">
        <f>(2106.0/B27*100)</f>
        <v/>
      </c>
      <c r="D27" s="19" t="n">
        <v>577</v>
      </c>
      <c r="E27" s="18" t="n">
        <v>77.80196245</v>
      </c>
      <c r="F27" s="20" t="n">
        <v>1.96208674</v>
      </c>
      <c r="G27" s="18" t="n">
        <v>18.37707974</v>
      </c>
      <c r="H27" s="20" t="n">
        <v>1.7390693</v>
      </c>
      <c r="I27" s="18" t="n">
        <v>0</v>
      </c>
      <c r="J27" s="20" t="n">
        <v>0</v>
      </c>
      <c r="K27" s="18" t="n">
        <v>0.17163945</v>
      </c>
      <c r="L27" s="20" t="n">
        <v>0.17162661</v>
      </c>
      <c r="M27" s="18" t="n">
        <v>0</v>
      </c>
      <c r="N27" s="20" t="n">
        <v>0</v>
      </c>
      <c r="O27" s="18" t="n">
        <v>0</v>
      </c>
      <c r="P27" s="20" t="n">
        <v>0</v>
      </c>
      <c r="Q27" s="18" t="n">
        <v>3.64931835</v>
      </c>
      <c r="R27" s="20" t="n">
        <v>0.97233735</v>
      </c>
    </row>
    <row r="28" spans="1:18">
      <c r="A28" s="15" t="s">
        <v>586</v>
      </c>
      <c r="B28" s="17" t="n">
        <v>3803</v>
      </c>
      <c r="C28" s="18">
        <f>(3059.0/B28*100)</f>
        <v/>
      </c>
      <c r="D28" s="19" t="n">
        <v>744</v>
      </c>
      <c r="E28" s="18" t="n">
        <v>77.67453824</v>
      </c>
      <c r="F28" s="20" t="n">
        <v>1.68569506</v>
      </c>
      <c r="G28" s="18" t="n">
        <v>18.95959881</v>
      </c>
      <c r="H28" s="20" t="n">
        <v>1.67840595</v>
      </c>
      <c r="I28" s="18" t="n">
        <v>0</v>
      </c>
      <c r="J28" s="20" t="n">
        <v>0</v>
      </c>
      <c r="K28" s="18" t="n">
        <v>1.03318282</v>
      </c>
      <c r="L28" s="20" t="n">
        <v>0.5083614</v>
      </c>
      <c r="M28" s="18" t="n">
        <v>0.11352745</v>
      </c>
      <c r="N28" s="20" t="n">
        <v>0.11287858</v>
      </c>
      <c r="O28" s="18" t="n">
        <v>0</v>
      </c>
      <c r="P28" s="20" t="n">
        <v>0</v>
      </c>
      <c r="Q28" s="18" t="n">
        <v>2.21915269</v>
      </c>
      <c r="R28" s="20" t="n">
        <v>0.58992221</v>
      </c>
    </row>
    <row r="29" spans="1:18">
      <c r="A29" s="15" t="s">
        <v>587</v>
      </c>
      <c r="B29" s="17" t="n">
        <v>2700</v>
      </c>
      <c r="C29" s="18">
        <f>(2097.0/B29*100)</f>
        <v/>
      </c>
      <c r="D29" s="19" t="n">
        <v>603</v>
      </c>
      <c r="E29" s="18" t="n">
        <v>69.43054603</v>
      </c>
      <c r="F29" s="20" t="n">
        <v>2.02347214</v>
      </c>
      <c r="G29" s="18" t="n">
        <v>29.06759221</v>
      </c>
      <c r="H29" s="20" t="n">
        <v>2.07378514</v>
      </c>
      <c r="I29" s="18" t="n">
        <v>0</v>
      </c>
      <c r="J29" s="20" t="n">
        <v>0</v>
      </c>
      <c r="K29" s="18" t="n">
        <v>0.40089464</v>
      </c>
      <c r="L29" s="20" t="n">
        <v>0.23256382</v>
      </c>
      <c r="M29" s="18" t="n">
        <v>0</v>
      </c>
      <c r="N29" s="20" t="n">
        <v>0</v>
      </c>
      <c r="O29" s="18" t="n">
        <v>0</v>
      </c>
      <c r="P29" s="20" t="n">
        <v>0</v>
      </c>
      <c r="Q29" s="18" t="n">
        <v>1.10096712</v>
      </c>
      <c r="R29" s="20" t="n">
        <v>0.40719272</v>
      </c>
    </row>
    <row r="30" spans="1:18">
      <c r="A30" s="15" t="s">
        <v>588</v>
      </c>
      <c r="B30" s="17" t="n">
        <v>2257</v>
      </c>
      <c r="C30" s="18">
        <f>(1787.0/B30*100)</f>
        <v/>
      </c>
      <c r="D30" s="19" t="n">
        <v>470</v>
      </c>
      <c r="E30" s="18" t="n">
        <v>70.52052942</v>
      </c>
      <c r="F30" s="20" t="n">
        <v>1.90983825</v>
      </c>
      <c r="G30" s="18" t="n">
        <v>22.86632102</v>
      </c>
      <c r="H30" s="20" t="n">
        <v>2.04482053</v>
      </c>
      <c r="I30" s="18" t="n">
        <v>0</v>
      </c>
      <c r="J30" s="20" t="n">
        <v>0</v>
      </c>
      <c r="K30" s="18" t="n">
        <v>0.7948655</v>
      </c>
      <c r="L30" s="20" t="n">
        <v>0.44004863</v>
      </c>
      <c r="M30" s="18" t="n">
        <v>0.19743432</v>
      </c>
      <c r="N30" s="20" t="n">
        <v>0.19594097</v>
      </c>
      <c r="O30" s="18" t="n">
        <v>0</v>
      </c>
      <c r="P30" s="20" t="n">
        <v>0</v>
      </c>
      <c r="Q30" s="18" t="n">
        <v>5.62084973</v>
      </c>
      <c r="R30" s="20" t="n">
        <v>1.16384448</v>
      </c>
    </row>
    <row r="31" spans="1:18">
      <c r="A31" s="15" t="s">
        <v>589</v>
      </c>
      <c r="B31" s="17" t="n">
        <v>2706</v>
      </c>
      <c r="C31" s="18">
        <f>(2128.0/B31*100)</f>
        <v/>
      </c>
      <c r="D31" s="19" t="n">
        <v>578</v>
      </c>
      <c r="E31" s="18" t="n">
        <v>72.19122022000001</v>
      </c>
      <c r="F31" s="20" t="n">
        <v>2.26221492</v>
      </c>
      <c r="G31" s="18" t="n">
        <v>23.79047463</v>
      </c>
      <c r="H31" s="20" t="n">
        <v>2.02510866</v>
      </c>
      <c r="I31" s="18" t="n">
        <v>0</v>
      </c>
      <c r="J31" s="20" t="n">
        <v>0</v>
      </c>
      <c r="K31" s="18" t="n">
        <v>0.83955111</v>
      </c>
      <c r="L31" s="20" t="n">
        <v>0.38361156</v>
      </c>
      <c r="M31" s="18" t="n">
        <v>0.33004553</v>
      </c>
      <c r="N31" s="20" t="n">
        <v>0.22139953</v>
      </c>
      <c r="O31" s="18" t="n">
        <v>0</v>
      </c>
      <c r="P31" s="20" t="n">
        <v>0</v>
      </c>
      <c r="Q31" s="18" t="n">
        <v>2.84870851</v>
      </c>
      <c r="R31" s="20" t="n">
        <v>0.60634968</v>
      </c>
    </row>
    <row r="32" spans="1:18">
      <c r="A32" s="15" t="s">
        <v>590</v>
      </c>
      <c r="B32" s="17" t="n">
        <v>2209</v>
      </c>
      <c r="C32" s="18">
        <f>(1710.0/B32*100)</f>
        <v/>
      </c>
      <c r="D32" s="19" t="n">
        <v>499</v>
      </c>
      <c r="E32" s="18" t="n">
        <v>69.12581599000001</v>
      </c>
      <c r="F32" s="20" t="n">
        <v>2.22665432</v>
      </c>
      <c r="G32" s="18" t="n">
        <v>29.1052027</v>
      </c>
      <c r="H32" s="20" t="n">
        <v>2.12338634</v>
      </c>
      <c r="I32" s="18" t="n">
        <v>0</v>
      </c>
      <c r="J32" s="20" t="n">
        <v>0</v>
      </c>
      <c r="K32" s="18" t="n">
        <v>0.1996465</v>
      </c>
      <c r="L32" s="20" t="n">
        <v>0.21343404</v>
      </c>
      <c r="M32" s="18" t="n">
        <v>0.85604766</v>
      </c>
      <c r="N32" s="20" t="n">
        <v>0.90853378</v>
      </c>
      <c r="O32" s="18" t="n">
        <v>0</v>
      </c>
      <c r="P32" s="20" t="n">
        <v>0</v>
      </c>
      <c r="Q32" s="18" t="n">
        <v>0.71328714</v>
      </c>
      <c r="R32" s="20" t="n">
        <v>0.35823991</v>
      </c>
    </row>
    <row r="33" spans="1:18">
      <c r="A33" s="15" t="s">
        <v>591</v>
      </c>
      <c r="B33" s="17" t="n">
        <v>3651</v>
      </c>
      <c r="C33" s="18">
        <f>(2885.0/B33*100)</f>
        <v/>
      </c>
      <c r="D33" s="19" t="n">
        <v>766</v>
      </c>
      <c r="E33" s="18" t="n">
        <v>67.3914671</v>
      </c>
      <c r="F33" s="20" t="n">
        <v>1.96012931</v>
      </c>
      <c r="G33" s="18" t="n">
        <v>29.91254671</v>
      </c>
      <c r="H33" s="20" t="n">
        <v>2.07467981</v>
      </c>
      <c r="I33" s="18" t="n">
        <v>0</v>
      </c>
      <c r="J33" s="20" t="n">
        <v>0</v>
      </c>
      <c r="K33" s="18" t="n">
        <v>0.42708819</v>
      </c>
      <c r="L33" s="20" t="n">
        <v>0.27840598</v>
      </c>
      <c r="M33" s="18" t="n">
        <v>0.37523065</v>
      </c>
      <c r="N33" s="20" t="n">
        <v>0.2203589</v>
      </c>
      <c r="O33" s="18" t="n">
        <v>0</v>
      </c>
      <c r="P33" s="20" t="n">
        <v>0</v>
      </c>
      <c r="Q33" s="18" t="n">
        <v>1.89366735</v>
      </c>
      <c r="R33" s="20" t="n">
        <v>0.51147635</v>
      </c>
    </row>
    <row r="34" spans="1:18">
      <c r="A34" s="15" t="s">
        <v>592</v>
      </c>
      <c r="B34" s="17" t="n">
        <v>3035</v>
      </c>
      <c r="C34" s="18">
        <f>(2376.0/B34*100)</f>
        <v/>
      </c>
      <c r="D34" s="19" t="n">
        <v>659</v>
      </c>
      <c r="E34" s="18" t="n">
        <v>64.94535298</v>
      </c>
      <c r="F34" s="20" t="n">
        <v>1.83582869</v>
      </c>
      <c r="G34" s="18" t="n">
        <v>30.46646089</v>
      </c>
      <c r="H34" s="20" t="n">
        <v>1.85708216</v>
      </c>
      <c r="I34" s="18" t="n">
        <v>0</v>
      </c>
      <c r="J34" s="20" t="n">
        <v>0</v>
      </c>
      <c r="K34" s="18" t="n">
        <v>0.46877699</v>
      </c>
      <c r="L34" s="20" t="n">
        <v>0.27833253</v>
      </c>
      <c r="M34" s="18" t="n">
        <v>0.72712971</v>
      </c>
      <c r="N34" s="20" t="n">
        <v>0.52881117</v>
      </c>
      <c r="O34" s="18" t="n">
        <v>0</v>
      </c>
      <c r="P34" s="20" t="n">
        <v>0</v>
      </c>
      <c r="Q34" s="18" t="n">
        <v>3.39227944</v>
      </c>
      <c r="R34" s="20" t="n">
        <v>0.76979472</v>
      </c>
    </row>
    <row r="35" spans="1:18">
      <c r="A35" s="15" t="s">
        <v>593</v>
      </c>
      <c r="B35" s="17" t="n">
        <v>2901</v>
      </c>
      <c r="C35" s="18">
        <f>(2251.0/B35*100)</f>
        <v/>
      </c>
      <c r="D35" s="19" t="n">
        <v>650</v>
      </c>
      <c r="E35" s="18" t="n">
        <v>71.95341466000001</v>
      </c>
      <c r="F35" s="20" t="n">
        <v>2.25050173</v>
      </c>
      <c r="G35" s="18" t="n">
        <v>25.83571023</v>
      </c>
      <c r="H35" s="20" t="n">
        <v>2.29525153</v>
      </c>
      <c r="I35" s="18" t="n">
        <v>0</v>
      </c>
      <c r="J35" s="20" t="n">
        <v>0</v>
      </c>
      <c r="K35" s="18" t="n">
        <v>0.08417825</v>
      </c>
      <c r="L35" s="20" t="n">
        <v>0.08429837</v>
      </c>
      <c r="M35" s="18" t="n">
        <v>0</v>
      </c>
      <c r="N35" s="20" t="n">
        <v>0</v>
      </c>
      <c r="O35" s="18" t="n">
        <v>0</v>
      </c>
      <c r="P35" s="20" t="n">
        <v>0</v>
      </c>
      <c r="Q35" s="18" t="n">
        <v>2.12669686</v>
      </c>
      <c r="R35" s="20" t="n">
        <v>0.69389714</v>
      </c>
    </row>
    <row r="36" spans="1:18">
      <c r="A36" s="15" t="s">
        <v>594</v>
      </c>
      <c r="B36" s="17" t="n">
        <v>3404</v>
      </c>
      <c r="C36" s="18">
        <f>(2683.0/B36*100)</f>
        <v/>
      </c>
      <c r="D36" s="19" t="n">
        <v>721</v>
      </c>
      <c r="E36" s="18" t="n">
        <v>61.91012304</v>
      </c>
      <c r="F36" s="20" t="n">
        <v>1.71876974</v>
      </c>
      <c r="G36" s="18" t="n">
        <v>35.24461008</v>
      </c>
      <c r="H36" s="20" t="n">
        <v>1.70797266</v>
      </c>
      <c r="I36" s="18" t="n">
        <v>0</v>
      </c>
      <c r="J36" s="20" t="n">
        <v>0</v>
      </c>
      <c r="K36" s="18" t="n">
        <v>0.17753431</v>
      </c>
      <c r="L36" s="20" t="n">
        <v>0.14916661</v>
      </c>
      <c r="M36" s="18" t="n">
        <v>0.27185026</v>
      </c>
      <c r="N36" s="20" t="n">
        <v>0.18942662</v>
      </c>
      <c r="O36" s="18" t="n">
        <v>0</v>
      </c>
      <c r="P36" s="20" t="n">
        <v>0</v>
      </c>
      <c r="Q36" s="18" t="n">
        <v>2.39588231</v>
      </c>
      <c r="R36" s="20" t="n">
        <v>0.53280215</v>
      </c>
    </row>
    <row r="37" spans="1:18">
      <c r="A37" s="15" t="s">
        <v>595</v>
      </c>
      <c r="B37" s="17" t="n">
        <v>2731</v>
      </c>
      <c r="C37" s="18">
        <f>(2134.0/B37*100)</f>
        <v/>
      </c>
      <c r="D37" s="19" t="n">
        <v>597</v>
      </c>
      <c r="E37" s="18" t="n">
        <v>60.42653944</v>
      </c>
      <c r="F37" s="20" t="n">
        <v>1.93746391</v>
      </c>
      <c r="G37" s="18" t="n">
        <v>34.10664331</v>
      </c>
      <c r="H37" s="20" t="n">
        <v>1.94962963</v>
      </c>
      <c r="I37" s="18" t="n">
        <v>0</v>
      </c>
      <c r="J37" s="20" t="n">
        <v>0</v>
      </c>
      <c r="K37" s="18" t="n">
        <v>0.6768005499999999</v>
      </c>
      <c r="L37" s="20" t="n">
        <v>0.34015093</v>
      </c>
      <c r="M37" s="18" t="n">
        <v>0</v>
      </c>
      <c r="N37" s="20" t="n">
        <v>0</v>
      </c>
      <c r="O37" s="18" t="n">
        <v>0</v>
      </c>
      <c r="P37" s="20" t="n">
        <v>0</v>
      </c>
      <c r="Q37" s="18" t="n">
        <v>4.7900167</v>
      </c>
      <c r="R37" s="20" t="n">
        <v>1.01701334</v>
      </c>
    </row>
    <row r="38" spans="1:18">
      <c r="A38" s="15" t="s">
        <v>596</v>
      </c>
      <c r="B38" s="17" t="n">
        <v>2807</v>
      </c>
      <c r="C38" s="18">
        <f>(2157.0/B38*100)</f>
        <v/>
      </c>
      <c r="D38" s="19" t="n">
        <v>650</v>
      </c>
      <c r="E38" s="18" t="n">
        <v>59.18622352</v>
      </c>
      <c r="F38" s="20" t="n">
        <v>2.52468293</v>
      </c>
      <c r="G38" s="18" t="n">
        <v>36.25443594</v>
      </c>
      <c r="H38" s="20" t="n">
        <v>2.39775447</v>
      </c>
      <c r="I38" s="18" t="n">
        <v>0</v>
      </c>
      <c r="J38" s="20" t="n">
        <v>0</v>
      </c>
      <c r="K38" s="18" t="n">
        <v>0.17541716</v>
      </c>
      <c r="L38" s="20" t="n">
        <v>0.17447946</v>
      </c>
      <c r="M38" s="18" t="n">
        <v>1.13491751</v>
      </c>
      <c r="N38" s="20" t="n">
        <v>0.35490133</v>
      </c>
      <c r="O38" s="18" t="n">
        <v>0</v>
      </c>
      <c r="P38" s="20" t="n">
        <v>0</v>
      </c>
      <c r="Q38" s="18" t="n">
        <v>3.24900588</v>
      </c>
      <c r="R38" s="20" t="n">
        <v>0.71088579</v>
      </c>
    </row>
    <row r="39" spans="1:18">
      <c r="A39" s="15" t="s">
        <v>597</v>
      </c>
      <c r="B39" s="17" t="n">
        <v>2938</v>
      </c>
      <c r="C39" s="18">
        <f>(2288.0/B39*100)</f>
        <v/>
      </c>
      <c r="D39" s="19" t="n">
        <v>650</v>
      </c>
      <c r="E39" s="18" t="n">
        <v>75.16723549</v>
      </c>
      <c r="F39" s="20" t="n">
        <v>2.08242187</v>
      </c>
      <c r="G39" s="18" t="n">
        <v>21.82944965</v>
      </c>
      <c r="H39" s="20" t="n">
        <v>2.09833956</v>
      </c>
      <c r="I39" s="18" t="n">
        <v>0</v>
      </c>
      <c r="J39" s="20" t="n">
        <v>0</v>
      </c>
      <c r="K39" s="18" t="n">
        <v>0.14466618</v>
      </c>
      <c r="L39" s="20" t="n">
        <v>0.1443615</v>
      </c>
      <c r="M39" s="18" t="n">
        <v>0</v>
      </c>
      <c r="N39" s="20" t="n">
        <v>0</v>
      </c>
      <c r="O39" s="18" t="n">
        <v>0</v>
      </c>
      <c r="P39" s="20" t="n">
        <v>0</v>
      </c>
      <c r="Q39" s="18" t="n">
        <v>2.85864868</v>
      </c>
      <c r="R39" s="20" t="n">
        <v>0.67614675</v>
      </c>
    </row>
    <row r="40" spans="1:18">
      <c r="A40" s="15" t="s">
        <v>598</v>
      </c>
      <c r="B40" s="17" t="n">
        <v>6922</v>
      </c>
      <c r="C40" s="18">
        <f>(5372.0/B40*100)</f>
        <v/>
      </c>
      <c r="D40" s="19" t="n">
        <v>1550</v>
      </c>
      <c r="E40" s="18" t="n">
        <v>72.11919207</v>
      </c>
      <c r="F40" s="20" t="n">
        <v>1.52300602</v>
      </c>
      <c r="G40" s="18" t="n">
        <v>23.85952868</v>
      </c>
      <c r="H40" s="20" t="n">
        <v>1.62705579</v>
      </c>
      <c r="I40" s="18" t="n">
        <v>0</v>
      </c>
      <c r="J40" s="20" t="n">
        <v>0</v>
      </c>
      <c r="K40" s="18" t="n">
        <v>0.05357424</v>
      </c>
      <c r="L40" s="20" t="n">
        <v>0.02995249</v>
      </c>
      <c r="M40" s="18" t="n">
        <v>0</v>
      </c>
      <c r="N40" s="20" t="n">
        <v>0</v>
      </c>
      <c r="O40" s="18" t="n">
        <v>0</v>
      </c>
      <c r="P40" s="20" t="n">
        <v>0</v>
      </c>
      <c r="Q40" s="18" t="n">
        <v>3.96770501</v>
      </c>
      <c r="R40" s="20" t="n">
        <v>0.73262149</v>
      </c>
    </row>
    <row r="41" spans="1:18">
      <c r="A41" s="15" t="s">
        <v>599</v>
      </c>
      <c r="B41" s="17" t="n">
        <v>2854</v>
      </c>
      <c r="C41" s="18">
        <f>(2249.0/B41*100)</f>
        <v/>
      </c>
      <c r="D41" s="19" t="n">
        <v>605</v>
      </c>
      <c r="E41" s="18" t="n">
        <v>82.83485727999999</v>
      </c>
      <c r="F41" s="20" t="n">
        <v>1.56876781</v>
      </c>
      <c r="G41" s="18" t="n">
        <v>16.33933059</v>
      </c>
      <c r="H41" s="20" t="n">
        <v>1.49643227</v>
      </c>
      <c r="I41" s="18" t="n">
        <v>0</v>
      </c>
      <c r="J41" s="20" t="n">
        <v>0</v>
      </c>
      <c r="K41" s="18" t="n">
        <v>0.22325673</v>
      </c>
      <c r="L41" s="20" t="n">
        <v>0.24007796</v>
      </c>
      <c r="M41" s="18" t="n">
        <v>0</v>
      </c>
      <c r="N41" s="20" t="n">
        <v>0</v>
      </c>
      <c r="O41" s="18" t="n">
        <v>0</v>
      </c>
      <c r="P41" s="20" t="n">
        <v>0</v>
      </c>
      <c r="Q41" s="18" t="n">
        <v>0.6025554</v>
      </c>
      <c r="R41" s="20" t="n">
        <v>0.29455236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(9971.0/B46*100)</f>
        <v/>
      </c>
      <c r="D46" s="19" t="n">
        <v>2102</v>
      </c>
      <c r="E46" s="18" t="n">
        <v>57.67264189</v>
      </c>
      <c r="F46" s="20" t="n">
        <v>1.58717243</v>
      </c>
      <c r="G46" s="18" t="n">
        <v>31.30360666</v>
      </c>
      <c r="H46" s="20" t="n">
        <v>1.30716797</v>
      </c>
      <c r="I46" s="18" t="n">
        <v>0</v>
      </c>
      <c r="J46" s="20" t="n">
        <v>0</v>
      </c>
      <c r="K46" s="18" t="n">
        <v>1.48129162</v>
      </c>
      <c r="L46" s="20" t="n">
        <v>0.32313756</v>
      </c>
      <c r="M46" s="18" t="n">
        <v>0.41092372</v>
      </c>
      <c r="N46" s="20" t="n">
        <v>0.17183237</v>
      </c>
      <c r="O46" s="18" t="n">
        <v>0</v>
      </c>
      <c r="P46" s="20" t="n">
        <v>0</v>
      </c>
      <c r="Q46" s="18" t="n">
        <v>9.131536110000001</v>
      </c>
      <c r="R46" s="20" t="n">
        <v>0.9331447</v>
      </c>
    </row>
    <row r="47" spans="1:18">
      <c r="A47" s="15" t="s">
        <v>606</v>
      </c>
      <c r="B47" s="17" t="n">
        <v>2823</v>
      </c>
      <c r="C47" s="18">
        <f>(2227.0/B47*100)</f>
        <v/>
      </c>
      <c r="D47" s="19" t="n">
        <v>596</v>
      </c>
      <c r="E47" s="18" t="n">
        <v>68.52017223999999</v>
      </c>
      <c r="F47" s="20" t="n">
        <v>2.15656509</v>
      </c>
      <c r="G47" s="18" t="n">
        <v>27.6287147</v>
      </c>
      <c r="H47" s="20" t="n">
        <v>2.1671852</v>
      </c>
      <c r="I47" s="18" t="n">
        <v>0</v>
      </c>
      <c r="J47" s="20" t="n">
        <v>0</v>
      </c>
      <c r="K47" s="18" t="n">
        <v>0.83641018</v>
      </c>
      <c r="L47" s="20" t="n">
        <v>0.47730915</v>
      </c>
      <c r="M47" s="18" t="n">
        <v>0.33427737</v>
      </c>
      <c r="N47" s="20" t="n">
        <v>0.23261061</v>
      </c>
      <c r="O47" s="18" t="n">
        <v>0</v>
      </c>
      <c r="P47" s="20" t="n">
        <v>0</v>
      </c>
      <c r="Q47" s="18" t="n">
        <v>2.68042551</v>
      </c>
      <c r="R47" s="20" t="n">
        <v>0.7171376</v>
      </c>
    </row>
    <row r="48" spans="1:18">
      <c r="A48" s="15" t="s">
        <v>607</v>
      </c>
      <c r="B48" s="17" t="n">
        <v>4682</v>
      </c>
      <c r="C48" s="18">
        <f>(3614.0/B48*100)</f>
        <v/>
      </c>
      <c r="D48" s="19" t="n">
        <v>1068</v>
      </c>
      <c r="E48" s="18" t="n">
        <v>82.54291427</v>
      </c>
      <c r="F48" s="20" t="n">
        <v>1.56314879</v>
      </c>
      <c r="G48" s="18" t="n">
        <v>15.13951007</v>
      </c>
      <c r="H48" s="20" t="n">
        <v>1.53813673</v>
      </c>
      <c r="I48" s="18" t="n">
        <v>0</v>
      </c>
      <c r="J48" s="20" t="n">
        <v>0</v>
      </c>
      <c r="K48" s="18" t="n">
        <v>0.41482785</v>
      </c>
      <c r="L48" s="20" t="n">
        <v>0.2324554</v>
      </c>
      <c r="M48" s="18" t="n">
        <v>0</v>
      </c>
      <c r="N48" s="20" t="n">
        <v>0</v>
      </c>
      <c r="O48" s="18" t="n">
        <v>0</v>
      </c>
      <c r="P48" s="20" t="n">
        <v>0</v>
      </c>
      <c r="Q48" s="18" t="n">
        <v>1.90274781</v>
      </c>
      <c r="R48" s="20" t="n">
        <v>0.52644778</v>
      </c>
    </row>
    <row r="49" spans="1:18">
      <c r="A49" s="15" t="s">
        <v>608</v>
      </c>
      <c r="B49" s="17" t="n">
        <v>6158</v>
      </c>
      <c r="C49" s="18">
        <f>(4863.0/B49*100)</f>
        <v/>
      </c>
      <c r="D49" s="19" t="n">
        <v>1295</v>
      </c>
      <c r="E49" s="18" t="n">
        <v>75.44736623999999</v>
      </c>
      <c r="F49" s="20" t="n">
        <v>1.63130319</v>
      </c>
      <c r="G49" s="18" t="n">
        <v>18.88636354</v>
      </c>
      <c r="H49" s="20" t="n">
        <v>1.45953518</v>
      </c>
      <c r="I49" s="18" t="n">
        <v>0</v>
      </c>
      <c r="J49" s="20" t="n">
        <v>0</v>
      </c>
      <c r="K49" s="18" t="n">
        <v>2.26442213</v>
      </c>
      <c r="L49" s="20" t="n">
        <v>0.57640741</v>
      </c>
      <c r="M49" s="18" t="n">
        <v>0.04066228</v>
      </c>
      <c r="N49" s="20" t="n">
        <v>0.02897219</v>
      </c>
      <c r="O49" s="18" t="n">
        <v>0</v>
      </c>
      <c r="P49" s="20" t="n">
        <v>0</v>
      </c>
      <c r="Q49" s="18" t="n">
        <v>3.36118581</v>
      </c>
      <c r="R49" s="20" t="n">
        <v>0.60638728</v>
      </c>
    </row>
    <row r="50" spans="1:18">
      <c r="A50" s="15" t="s">
        <v>609</v>
      </c>
      <c r="B50" s="17" t="n">
        <v>3494</v>
      </c>
      <c r="C50" s="18">
        <f>(2859.0/B50*100)</f>
        <v/>
      </c>
      <c r="D50" s="19" t="n">
        <v>635</v>
      </c>
      <c r="E50" s="18" t="n">
        <v>87.00099444999999</v>
      </c>
      <c r="F50" s="20" t="n">
        <v>1.51115636</v>
      </c>
      <c r="G50" s="18" t="n">
        <v>8.64557885</v>
      </c>
      <c r="H50" s="20" t="n">
        <v>1.24228903</v>
      </c>
      <c r="I50" s="18" t="n">
        <v>0</v>
      </c>
      <c r="J50" s="20" t="n">
        <v>0</v>
      </c>
      <c r="K50" s="18" t="n">
        <v>0.43931704</v>
      </c>
      <c r="L50" s="20" t="n">
        <v>0.24915494</v>
      </c>
      <c r="M50" s="18" t="n">
        <v>0</v>
      </c>
      <c r="N50" s="20" t="n">
        <v>0</v>
      </c>
      <c r="O50" s="18" t="n">
        <v>0</v>
      </c>
      <c r="P50" s="20" t="n">
        <v>0</v>
      </c>
      <c r="Q50" s="18" t="n">
        <v>3.91410965</v>
      </c>
      <c r="R50" s="20" t="n">
        <v>1.00882258</v>
      </c>
    </row>
    <row r="51" spans="1:18">
      <c r="A51" s="15" t="s">
        <v>610</v>
      </c>
      <c r="B51" s="17" t="n">
        <v>3013</v>
      </c>
      <c r="C51" s="18">
        <f>(2351.0/B51*100)</f>
        <v/>
      </c>
      <c r="D51" s="19" t="n">
        <v>662</v>
      </c>
      <c r="E51" s="18" t="n">
        <v>73.33624657</v>
      </c>
      <c r="F51" s="20" t="n">
        <v>2.00663632</v>
      </c>
      <c r="G51" s="18" t="n">
        <v>24.15910141</v>
      </c>
      <c r="H51" s="20" t="n">
        <v>2.01725502</v>
      </c>
      <c r="I51" s="18" t="n">
        <v>0</v>
      </c>
      <c r="J51" s="20" t="n">
        <v>0</v>
      </c>
      <c r="K51" s="18" t="n">
        <v>0</v>
      </c>
      <c r="L51" s="20" t="n">
        <v>0</v>
      </c>
      <c r="M51" s="18" t="n">
        <v>0</v>
      </c>
      <c r="N51" s="20" t="n">
        <v>0</v>
      </c>
      <c r="O51" s="18" t="n">
        <v>0</v>
      </c>
      <c r="P51" s="20" t="n">
        <v>0</v>
      </c>
      <c r="Q51" s="18" t="n">
        <v>2.50465202</v>
      </c>
      <c r="R51" s="20" t="n">
        <v>0.6411256</v>
      </c>
    </row>
    <row r="52" spans="1:18">
      <c r="A52" s="15" t="s">
        <v>611</v>
      </c>
      <c r="B52" s="17" t="n">
        <v>2760</v>
      </c>
      <c r="C52" s="18">
        <f>(2175.0/B52*100)</f>
        <v/>
      </c>
      <c r="D52" s="19" t="n">
        <v>585</v>
      </c>
      <c r="E52" s="18" t="n">
        <v>81.64285424000001</v>
      </c>
      <c r="F52" s="20" t="n">
        <v>1.47796867</v>
      </c>
      <c r="G52" s="18" t="n">
        <v>14.1177089</v>
      </c>
      <c r="H52" s="20" t="n">
        <v>1.39896034</v>
      </c>
      <c r="I52" s="18" t="n">
        <v>0</v>
      </c>
      <c r="J52" s="20" t="n">
        <v>0</v>
      </c>
      <c r="K52" s="18" t="n">
        <v>0</v>
      </c>
      <c r="L52" s="20" t="n">
        <v>0</v>
      </c>
      <c r="M52" s="18" t="n">
        <v>0</v>
      </c>
      <c r="N52" s="20" t="n">
        <v>0</v>
      </c>
      <c r="O52" s="18" t="n">
        <v>0</v>
      </c>
      <c r="P52" s="20" t="n">
        <v>0</v>
      </c>
      <c r="Q52" s="18" t="n">
        <v>4.23943686</v>
      </c>
      <c r="R52" s="20" t="n">
        <v>0.73235519</v>
      </c>
    </row>
    <row r="53" spans="1:18">
      <c r="A53" s="15" t="s">
        <v>612</v>
      </c>
      <c r="B53" s="17" t="n">
        <v>2474</v>
      </c>
      <c r="C53" s="18">
        <f>(1941.0/B53*100)</f>
        <v/>
      </c>
      <c r="D53" s="19" t="n">
        <v>533</v>
      </c>
      <c r="E53" s="18" t="n">
        <v>76.23485966</v>
      </c>
      <c r="F53" s="20" t="n">
        <v>2.4417988</v>
      </c>
      <c r="G53" s="18" t="n">
        <v>3.28052676</v>
      </c>
      <c r="H53" s="20" t="n">
        <v>0.79837704</v>
      </c>
      <c r="I53" s="18" t="n">
        <v>0</v>
      </c>
      <c r="J53" s="20" t="n">
        <v>0</v>
      </c>
      <c r="K53" s="18" t="n">
        <v>12.45253636</v>
      </c>
      <c r="L53" s="20" t="n">
        <v>1.54151751</v>
      </c>
      <c r="M53" s="18" t="n">
        <v>1.16452865</v>
      </c>
      <c r="N53" s="20" t="n">
        <v>0.94164457</v>
      </c>
      <c r="O53" s="18" t="n">
        <v>0</v>
      </c>
      <c r="P53" s="20" t="n">
        <v>0</v>
      </c>
      <c r="Q53" s="18" t="n">
        <v>6.86754857</v>
      </c>
      <c r="R53" s="20" t="n">
        <v>1.31532894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(2106.0/B55*100)</f>
        <v/>
      </c>
      <c r="D55" s="19" t="n">
        <v>569</v>
      </c>
      <c r="E55" s="18" t="n">
        <v>90.59180599</v>
      </c>
      <c r="F55" s="20" t="n">
        <v>1.0912017</v>
      </c>
      <c r="G55" s="18" t="n">
        <v>8.46779656</v>
      </c>
      <c r="H55" s="20" t="n">
        <v>1.08905837</v>
      </c>
      <c r="I55" s="18" t="n">
        <v>0</v>
      </c>
      <c r="J55" s="20" t="n">
        <v>0</v>
      </c>
      <c r="K55" s="18" t="n">
        <v>0.18885409</v>
      </c>
      <c r="L55" s="20" t="n">
        <v>0.18683579</v>
      </c>
      <c r="M55" s="18" t="n">
        <v>0</v>
      </c>
      <c r="N55" s="20" t="n">
        <v>0</v>
      </c>
      <c r="O55" s="18" t="n">
        <v>0</v>
      </c>
      <c r="P55" s="20" t="n">
        <v>0</v>
      </c>
      <c r="Q55" s="18" t="n">
        <v>0.75154336</v>
      </c>
      <c r="R55" s="20" t="n">
        <v>0.31531512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(2513.0/B61*100)</f>
        <v/>
      </c>
      <c r="D61" s="19" t="n">
        <v>688</v>
      </c>
      <c r="E61" s="18" t="n">
        <v>72.13502837999999</v>
      </c>
      <c r="F61" s="20" t="n">
        <v>1.92357467</v>
      </c>
      <c r="G61" s="18" t="n">
        <v>25.56561512</v>
      </c>
      <c r="H61" s="20" t="n">
        <v>1.91795771</v>
      </c>
      <c r="I61" s="18" t="n">
        <v>0</v>
      </c>
      <c r="J61" s="20" t="n">
        <v>0</v>
      </c>
      <c r="K61" s="18" t="n">
        <v>0.18463474</v>
      </c>
      <c r="L61" s="20" t="n">
        <v>0.19165807</v>
      </c>
      <c r="M61" s="18" t="n">
        <v>0.17340182</v>
      </c>
      <c r="N61" s="20" t="n">
        <v>0.17182552</v>
      </c>
      <c r="O61" s="18" t="n">
        <v>0</v>
      </c>
      <c r="P61" s="20" t="n">
        <v>0</v>
      </c>
      <c r="Q61" s="18" t="n">
        <v>1.94131994</v>
      </c>
      <c r="R61" s="20" t="n">
        <v>0.57842312</v>
      </c>
    </row>
    <row r="62" spans="1:18">
      <c r="A62" s="15" t="s">
        <v>622</v>
      </c>
      <c r="B62" s="17" t="n">
        <v>2230</v>
      </c>
      <c r="C62" s="18">
        <f>(1718.0/B62*100)</f>
        <v/>
      </c>
      <c r="D62" s="19" t="n">
        <v>512</v>
      </c>
      <c r="E62" s="18" t="n">
        <v>80.64979774</v>
      </c>
      <c r="F62" s="20" t="n">
        <v>1.7205834</v>
      </c>
      <c r="G62" s="18" t="n">
        <v>18.95382241</v>
      </c>
      <c r="H62" s="20" t="n">
        <v>1.67962636</v>
      </c>
      <c r="I62" s="18" t="n">
        <v>0</v>
      </c>
      <c r="J62" s="20" t="n">
        <v>0</v>
      </c>
      <c r="K62" s="18" t="n">
        <v>0</v>
      </c>
      <c r="L62" s="20" t="n">
        <v>0</v>
      </c>
      <c r="M62" s="18" t="n">
        <v>0</v>
      </c>
      <c r="N62" s="20" t="n">
        <v>0</v>
      </c>
      <c r="O62" s="18" t="n">
        <v>0</v>
      </c>
      <c r="P62" s="20" t="n">
        <v>0</v>
      </c>
      <c r="Q62" s="18" t="n">
        <v>0.39637984</v>
      </c>
      <c r="R62" s="20" t="n">
        <v>0.27916133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(2197.0/B67*100)</f>
        <v/>
      </c>
      <c r="D67" s="19" t="n">
        <v>574</v>
      </c>
      <c r="E67" s="18" t="n">
        <v>40.67952505</v>
      </c>
      <c r="F67" s="20" t="n">
        <v>2.31820764</v>
      </c>
      <c r="G67" s="18" t="n">
        <v>17.22717929</v>
      </c>
      <c r="H67" s="20" t="n">
        <v>1.61838818</v>
      </c>
      <c r="I67" s="18" t="n">
        <v>0</v>
      </c>
      <c r="J67" s="20" t="n">
        <v>0</v>
      </c>
      <c r="K67" s="18" t="n">
        <v>0.39331861</v>
      </c>
      <c r="L67" s="20" t="n">
        <v>0.2837233</v>
      </c>
      <c r="M67" s="18" t="n">
        <v>30.79118285</v>
      </c>
      <c r="N67" s="20" t="n">
        <v>2.07235095</v>
      </c>
      <c r="O67" s="18" t="n">
        <v>0</v>
      </c>
      <c r="P67" s="20" t="n">
        <v>0</v>
      </c>
      <c r="Q67" s="18" t="n">
        <v>10.9087942</v>
      </c>
      <c r="R67" s="20" t="n">
        <v>1.4309139</v>
      </c>
    </row>
    <row r="68" spans="1:18">
      <c r="A68" s="15" t="s">
        <v>628</v>
      </c>
      <c r="B68" s="17" t="n">
        <v>3460</v>
      </c>
      <c r="C68" s="18">
        <f>(2815.0/B68*100)</f>
        <v/>
      </c>
      <c r="D68" s="19" t="n">
        <v>645</v>
      </c>
      <c r="E68" s="18" t="n">
        <v>85.56580138</v>
      </c>
      <c r="F68" s="20" t="n">
        <v>1.36432576</v>
      </c>
      <c r="G68" s="18" t="n">
        <v>9.96192649</v>
      </c>
      <c r="H68" s="20" t="n">
        <v>1.18595233</v>
      </c>
      <c r="I68" s="18" t="n">
        <v>0</v>
      </c>
      <c r="J68" s="20" t="n">
        <v>0</v>
      </c>
      <c r="K68" s="18" t="n">
        <v>0.53042125</v>
      </c>
      <c r="L68" s="20" t="n">
        <v>0.30818173</v>
      </c>
      <c r="M68" s="18" t="n">
        <v>0.46025167</v>
      </c>
      <c r="N68" s="20" t="n">
        <v>0.26249409</v>
      </c>
      <c r="O68" s="18" t="n">
        <v>0</v>
      </c>
      <c r="P68" s="20" t="n">
        <v>0</v>
      </c>
      <c r="Q68" s="18" t="n">
        <v>3.48159921</v>
      </c>
      <c r="R68" s="20" t="n">
        <v>0.81287354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(4718.0/B70*100)</f>
        <v/>
      </c>
      <c r="D70" s="19" t="n">
        <v>1316</v>
      </c>
      <c r="E70" s="18" t="n">
        <v>73.10354079</v>
      </c>
      <c r="F70" s="20" t="n">
        <v>1.22527243</v>
      </c>
      <c r="G70" s="18" t="n">
        <v>20.46305824</v>
      </c>
      <c r="H70" s="20" t="n">
        <v>1.10605263</v>
      </c>
      <c r="I70" s="18" t="n">
        <v>0</v>
      </c>
      <c r="J70" s="20" t="n">
        <v>0</v>
      </c>
      <c r="K70" s="18" t="n">
        <v>1.83302471</v>
      </c>
      <c r="L70" s="20" t="n">
        <v>0.41130674</v>
      </c>
      <c r="M70" s="18" t="n">
        <v>0</v>
      </c>
      <c r="N70" s="20" t="n">
        <v>0</v>
      </c>
      <c r="O70" s="18" t="n">
        <v>0</v>
      </c>
      <c r="P70" s="20" t="n">
        <v>0</v>
      </c>
      <c r="Q70" s="18" t="n">
        <v>4.60037626</v>
      </c>
      <c r="R70" s="20" t="n">
        <v>0.58349589</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(2431.0/B72*100)</f>
        <v/>
      </c>
      <c r="D72" s="19" t="n">
        <v>676</v>
      </c>
      <c r="E72" s="18" t="n">
        <v>82.25457244</v>
      </c>
      <c r="F72" s="20" t="n">
        <v>1.76047867</v>
      </c>
      <c r="G72" s="18" t="n">
        <v>14.24354399</v>
      </c>
      <c r="H72" s="20" t="n">
        <v>1.45603898</v>
      </c>
      <c r="I72" s="18" t="n">
        <v>0</v>
      </c>
      <c r="J72" s="20" t="n">
        <v>0</v>
      </c>
      <c r="K72" s="18" t="n">
        <v>0.08110568999999999</v>
      </c>
      <c r="L72" s="20" t="n">
        <v>0.05765497</v>
      </c>
      <c r="M72" s="18" t="n">
        <v>0</v>
      </c>
      <c r="N72" s="20" t="n">
        <v>0</v>
      </c>
      <c r="O72" s="18" t="n">
        <v>0</v>
      </c>
      <c r="P72" s="20" t="n">
        <v>0</v>
      </c>
      <c r="Q72" s="18" t="n">
        <v>3.42077788</v>
      </c>
      <c r="R72" s="20" t="n">
        <v>0.86640262</v>
      </c>
    </row>
    <row r="73" spans="1:18">
      <c r="A73" s="15" t="s">
        <v>633</v>
      </c>
      <c r="B73" s="17" t="n">
        <v>2973</v>
      </c>
      <c r="C73" s="18">
        <f>(2300.0/B73*100)</f>
        <v/>
      </c>
      <c r="D73" s="19" t="n">
        <v>673</v>
      </c>
      <c r="E73" s="18" t="n">
        <v>74.79942603000001</v>
      </c>
      <c r="F73" s="20" t="n">
        <v>1.8151081</v>
      </c>
      <c r="G73" s="18" t="n">
        <v>24.02876257</v>
      </c>
      <c r="H73" s="20" t="n">
        <v>1.78029692</v>
      </c>
      <c r="I73" s="18" t="n">
        <v>0</v>
      </c>
      <c r="J73" s="20" t="n">
        <v>0</v>
      </c>
      <c r="K73" s="18" t="n">
        <v>0.46093602</v>
      </c>
      <c r="L73" s="20" t="n">
        <v>0.26761589</v>
      </c>
      <c r="M73" s="18" t="n">
        <v>0.2084922</v>
      </c>
      <c r="N73" s="20" t="n">
        <v>0.20886511</v>
      </c>
      <c r="O73" s="18" t="n">
        <v>0</v>
      </c>
      <c r="P73" s="20" t="n">
        <v>0</v>
      </c>
      <c r="Q73" s="18" t="n">
        <v>0.50238319</v>
      </c>
      <c r="R73" s="20" t="n">
        <v>0.25633976</v>
      </c>
    </row>
    <row r="74" spans="1:18">
      <c r="A74" s="15" t="s">
        <v>634</v>
      </c>
      <c r="B74" s="17" t="n">
        <v>3819</v>
      </c>
      <c r="C74" s="18">
        <f>(2940.0/B74*100)</f>
        <v/>
      </c>
      <c r="D74" s="19" t="n">
        <v>879</v>
      </c>
      <c r="E74" s="18" t="n">
        <v>85.94961619</v>
      </c>
      <c r="F74" s="20" t="n">
        <v>1.46740992</v>
      </c>
      <c r="G74" s="18" t="n">
        <v>13.29594483</v>
      </c>
      <c r="H74" s="20" t="n">
        <v>1.50012607</v>
      </c>
      <c r="I74" s="18" t="n">
        <v>0</v>
      </c>
      <c r="J74" s="20" t="n">
        <v>0</v>
      </c>
      <c r="K74" s="18" t="n">
        <v>0</v>
      </c>
      <c r="L74" s="20" t="n">
        <v>0</v>
      </c>
      <c r="M74" s="18" t="n">
        <v>0</v>
      </c>
      <c r="N74" s="20" t="n">
        <v>0</v>
      </c>
      <c r="O74" s="18" t="n">
        <v>0</v>
      </c>
      <c r="P74" s="20" t="n">
        <v>0</v>
      </c>
      <c r="Q74" s="18" t="n">
        <v>0.75443898</v>
      </c>
      <c r="R74" s="20" t="n">
        <v>0.31011748</v>
      </c>
    </row>
    <row r="75" spans="1:18">
      <c r="A75" s="15" t="s">
        <v>635</v>
      </c>
      <c r="B75" s="17" t="n">
        <v>4652</v>
      </c>
      <c r="C75" s="18">
        <f>(3654.0/B75*100)</f>
        <v/>
      </c>
      <c r="D75" s="19" t="n">
        <v>998</v>
      </c>
      <c r="E75" s="18" t="n">
        <v>86.61842459</v>
      </c>
      <c r="F75" s="20" t="n">
        <v>1.40732096</v>
      </c>
      <c r="G75" s="18" t="n">
        <v>10.03902121</v>
      </c>
      <c r="H75" s="20" t="n">
        <v>1.28625092</v>
      </c>
      <c r="I75" s="18" t="n">
        <v>0</v>
      </c>
      <c r="J75" s="20" t="n">
        <v>0</v>
      </c>
      <c r="K75" s="18" t="n">
        <v>0.27689459</v>
      </c>
      <c r="L75" s="20" t="n">
        <v>0.17159048</v>
      </c>
      <c r="M75" s="18" t="n">
        <v>0.64151955</v>
      </c>
      <c r="N75" s="20" t="n">
        <v>0.31952939</v>
      </c>
      <c r="O75" s="18" t="n">
        <v>0</v>
      </c>
      <c r="P75" s="20" t="n">
        <v>0</v>
      </c>
      <c r="Q75" s="18" t="n">
        <v>2.42414006</v>
      </c>
      <c r="R75" s="20" t="n">
        <v>0.68855172</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(2387.0/B77*100)</f>
        <v/>
      </c>
      <c r="D77" s="19" t="n">
        <v>582</v>
      </c>
      <c r="E77" s="18" t="n">
        <v>70.82734000000001</v>
      </c>
      <c r="F77" s="20" t="n">
        <v>1.71745838</v>
      </c>
      <c r="G77" s="18" t="n">
        <v>14.12055397</v>
      </c>
      <c r="H77" s="20" t="n">
        <v>1.45850669</v>
      </c>
      <c r="I77" s="18" t="n">
        <v>0</v>
      </c>
      <c r="J77" s="20" t="n">
        <v>0</v>
      </c>
      <c r="K77" s="18" t="n">
        <v>3.38607958</v>
      </c>
      <c r="L77" s="20" t="n">
        <v>0.82776794</v>
      </c>
      <c r="M77" s="18" t="n">
        <v>0.88146605</v>
      </c>
      <c r="N77" s="20" t="n">
        <v>0.37954796</v>
      </c>
      <c r="O77" s="18" t="n">
        <v>0</v>
      </c>
      <c r="P77" s="20" t="n">
        <v>0</v>
      </c>
      <c r="Q77" s="18" t="n">
        <v>10.78456039</v>
      </c>
      <c r="R77" s="20" t="n">
        <v>1.2404344</v>
      </c>
    </row>
    <row r="78" spans="1:18">
      <c r="A78" s="15" t="s">
        <v>638</v>
      </c>
      <c r="B78" s="17" t="n">
        <v>7115</v>
      </c>
      <c r="C78" s="18">
        <f>(5558.0/B78*100)</f>
        <v/>
      </c>
      <c r="D78" s="19" t="n">
        <v>1557</v>
      </c>
      <c r="E78" s="18" t="n">
        <v>76.75795909</v>
      </c>
      <c r="F78" s="20" t="n">
        <v>1.50800908</v>
      </c>
      <c r="G78" s="18" t="n">
        <v>20.85761997</v>
      </c>
      <c r="H78" s="20" t="n">
        <v>1.42370084</v>
      </c>
      <c r="I78" s="18" t="n">
        <v>0</v>
      </c>
      <c r="J78" s="20" t="n">
        <v>0</v>
      </c>
      <c r="K78" s="18" t="n">
        <v>0.27252239</v>
      </c>
      <c r="L78" s="20" t="n">
        <v>0.13989381</v>
      </c>
      <c r="M78" s="18" t="n">
        <v>0.1438648</v>
      </c>
      <c r="N78" s="20" t="n">
        <v>0.08949828999999999</v>
      </c>
      <c r="O78" s="18" t="n">
        <v>0</v>
      </c>
      <c r="P78" s="20" t="n">
        <v>0</v>
      </c>
      <c r="Q78" s="18" t="n">
        <v>1.96803375</v>
      </c>
      <c r="R78" s="20" t="n">
        <v>0.40184921</v>
      </c>
    </row>
    <row r="79" spans="1:18">
      <c r="A79" s="15" t="s">
        <v>639</v>
      </c>
      <c r="B79" s="17" t="n">
        <v>3154</v>
      </c>
      <c r="C79" s="18">
        <f>(2508.0/B79*100)</f>
        <v/>
      </c>
      <c r="D79" s="19" t="n">
        <v>646</v>
      </c>
      <c r="E79" s="18" t="n">
        <v>56.78851564</v>
      </c>
      <c r="F79" s="20" t="n">
        <v>2.22328738</v>
      </c>
      <c r="G79" s="18" t="n">
        <v>37.58002291</v>
      </c>
      <c r="H79" s="20" t="n">
        <v>1.96354624</v>
      </c>
      <c r="I79" s="18" t="n">
        <v>0</v>
      </c>
      <c r="J79" s="20" t="n">
        <v>0</v>
      </c>
      <c r="K79" s="18" t="n">
        <v>1.00257036</v>
      </c>
      <c r="L79" s="20" t="n">
        <v>0.44743363</v>
      </c>
      <c r="M79" s="18" t="n">
        <v>0</v>
      </c>
      <c r="N79" s="20" t="n">
        <v>0</v>
      </c>
      <c r="O79" s="18" t="n">
        <v>0</v>
      </c>
      <c r="P79" s="20" t="n">
        <v>0</v>
      </c>
      <c r="Q79" s="18" t="n">
        <v>4.62889109</v>
      </c>
      <c r="R79" s="20" t="n">
        <v>0.7355709499999999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(12458.0/B82*100)</f>
        <v/>
      </c>
      <c r="D82" s="19" t="n">
        <v>3503</v>
      </c>
      <c r="E82" s="18" t="n">
        <v>62.07128757</v>
      </c>
      <c r="F82" s="20" t="n">
        <v>1.25169806</v>
      </c>
      <c r="G82" s="18" t="n">
        <v>34.89232161</v>
      </c>
      <c r="H82" s="20" t="n">
        <v>1.30565974</v>
      </c>
      <c r="I82" s="18" t="n">
        <v>0</v>
      </c>
      <c r="J82" s="20" t="n">
        <v>0</v>
      </c>
      <c r="K82" s="18" t="n">
        <v>0.24729835</v>
      </c>
      <c r="L82" s="20" t="n">
        <v>0.13299918</v>
      </c>
      <c r="M82" s="18" t="n">
        <v>0.17967574</v>
      </c>
      <c r="N82" s="20" t="n">
        <v>0.12622601</v>
      </c>
      <c r="O82" s="18" t="n">
        <v>0</v>
      </c>
      <c r="P82" s="20" t="n">
        <v>0</v>
      </c>
      <c r="Q82" s="18" t="n">
        <v>2.60941673</v>
      </c>
      <c r="R82" s="20" t="n">
        <v>0.33510015</v>
      </c>
    </row>
    <row r="83" spans="1:18">
      <c r="A83" s="15" t="s">
        <v>643</v>
      </c>
      <c r="B83" s="17" t="n">
        <v>808</v>
      </c>
      <c r="C83" s="18">
        <f>(626.0/B83*100)</f>
        <v/>
      </c>
      <c r="D83" s="19" t="n">
        <v>182</v>
      </c>
      <c r="E83" s="18" t="n">
        <v>74.8689528</v>
      </c>
      <c r="F83" s="20" t="n">
        <v>3.06210736</v>
      </c>
      <c r="G83" s="18" t="n">
        <v>22.92556391</v>
      </c>
      <c r="H83" s="20" t="n">
        <v>2.73963046</v>
      </c>
      <c r="I83" s="18" t="n">
        <v>0</v>
      </c>
      <c r="J83" s="20" t="n">
        <v>0</v>
      </c>
      <c r="K83" s="18" t="n">
        <v>0</v>
      </c>
      <c r="L83" s="20" t="n">
        <v>0</v>
      </c>
      <c r="M83" s="18" t="n">
        <v>0</v>
      </c>
      <c r="N83" s="20" t="n">
        <v>0</v>
      </c>
      <c r="O83" s="18" t="n">
        <v>0</v>
      </c>
      <c r="P83" s="20" t="n">
        <v>0</v>
      </c>
      <c r="Q83" s="18" t="n">
        <v>2.20548329</v>
      </c>
      <c r="R83" s="20" t="n">
        <v>1.15585197</v>
      </c>
    </row>
    <row r="84" spans="1:18">
      <c r="A84" s="23" t="s">
        <v>644</v>
      </c>
      <c r="B84" s="24" t="n">
        <v>938</v>
      </c>
      <c r="C84" s="25">
        <f>(742.0/B84*100)</f>
        <v/>
      </c>
      <c r="D84" s="19" t="n">
        <v>196</v>
      </c>
      <c r="E84" s="18" t="n">
        <v>76.66760089</v>
      </c>
      <c r="F84" s="20" t="n">
        <v>3.08321641</v>
      </c>
      <c r="G84" s="18" t="n">
        <v>21.12891223</v>
      </c>
      <c r="H84" s="20" t="n">
        <v>2.97988939</v>
      </c>
      <c r="I84" s="18" t="n">
        <v>0</v>
      </c>
      <c r="J84" s="20" t="n">
        <v>0</v>
      </c>
      <c r="K84" s="18" t="n">
        <v>0</v>
      </c>
      <c r="L84" s="20" t="n">
        <v>0</v>
      </c>
      <c r="M84" s="18" t="n">
        <v>0</v>
      </c>
      <c r="N84" s="20" t="n">
        <v>0</v>
      </c>
      <c r="O84" s="18" t="n">
        <v>0</v>
      </c>
      <c r="P84" s="20" t="n">
        <v>0</v>
      </c>
      <c r="Q84" s="18" t="n">
        <v>2.20348688</v>
      </c>
      <c r="R84" s="20" t="n">
        <v>1.08026789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826</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(5663.0/B7*100)</f>
        <v/>
      </c>
      <c r="D7" s="19" t="n">
        <v>1500</v>
      </c>
      <c r="E7" s="18" t="n">
        <v>26.91620752</v>
      </c>
      <c r="F7" s="20" t="n">
        <v>1.42421183</v>
      </c>
      <c r="G7" s="18" t="n">
        <v>20.94745967</v>
      </c>
      <c r="H7" s="20" t="n">
        <v>1.18489666</v>
      </c>
      <c r="I7" s="18" t="n">
        <v>48.06136339</v>
      </c>
      <c r="J7" s="20" t="n">
        <v>1.60769145</v>
      </c>
      <c r="K7" s="18" t="n">
        <v>0</v>
      </c>
      <c r="L7" s="20" t="n">
        <v>0</v>
      </c>
      <c r="M7" s="18" t="n">
        <v>0.5557597</v>
      </c>
      <c r="N7" s="20" t="n">
        <v>0.23218244</v>
      </c>
      <c r="O7" s="18" t="n">
        <v>0.1809187</v>
      </c>
      <c r="P7" s="20" t="n">
        <v>0.15887196</v>
      </c>
      <c r="Q7" s="18" t="n">
        <v>0</v>
      </c>
      <c r="R7" s="20" t="n">
        <v>0</v>
      </c>
      <c r="S7" s="18" t="n">
        <v>3.33829103</v>
      </c>
      <c r="T7" s="20" t="n">
        <v>0.56587212</v>
      </c>
    </row>
    <row r="8" spans="1:20">
      <c r="A8" s="15" t="s">
        <v>566</v>
      </c>
      <c r="B8" s="17" t="n">
        <v>3443</v>
      </c>
      <c r="C8" s="18">
        <f>(2676.0/B8*100)</f>
        <v/>
      </c>
      <c r="D8" s="19" t="n">
        <v>767</v>
      </c>
      <c r="E8" s="18" t="n">
        <v>36.99700811</v>
      </c>
      <c r="F8" s="20" t="n">
        <v>1.9533241</v>
      </c>
      <c r="G8" s="18" t="n">
        <v>18.34482656</v>
      </c>
      <c r="H8" s="20" t="n">
        <v>1.48490052</v>
      </c>
      <c r="I8" s="18" t="n">
        <v>36.57142984</v>
      </c>
      <c r="J8" s="20" t="n">
        <v>1.69577299</v>
      </c>
      <c r="K8" s="18" t="n">
        <v>0</v>
      </c>
      <c r="L8" s="20" t="n">
        <v>0</v>
      </c>
      <c r="M8" s="18" t="n">
        <v>0.06758763</v>
      </c>
      <c r="N8" s="20" t="n">
        <v>0.04799022</v>
      </c>
      <c r="O8" s="18" t="n">
        <v>0</v>
      </c>
      <c r="P8" s="20" t="n">
        <v>0</v>
      </c>
      <c r="Q8" s="18" t="n">
        <v>0</v>
      </c>
      <c r="R8" s="20" t="n">
        <v>0</v>
      </c>
      <c r="S8" s="18" t="n">
        <v>8.01914786</v>
      </c>
      <c r="T8" s="20" t="n">
        <v>1.14753138</v>
      </c>
    </row>
    <row r="9" spans="1:20">
      <c r="A9" s="15" t="s">
        <v>567</v>
      </c>
      <c r="B9" s="17" t="n">
        <v>4752</v>
      </c>
      <c r="C9" s="18">
        <f>(3757.0/B9*100)</f>
        <v/>
      </c>
      <c r="D9" s="19" t="n">
        <v>995</v>
      </c>
      <c r="E9" s="18" t="n">
        <v>31.80379681</v>
      </c>
      <c r="F9" s="20" t="n">
        <v>1.89335432</v>
      </c>
      <c r="G9" s="18" t="n">
        <v>20.25306744</v>
      </c>
      <c r="H9" s="20" t="n">
        <v>1.34522284</v>
      </c>
      <c r="I9" s="18" t="n">
        <v>41.78283727</v>
      </c>
      <c r="J9" s="20" t="n">
        <v>1.97720197</v>
      </c>
      <c r="K9" s="18" t="n">
        <v>0</v>
      </c>
      <c r="L9" s="20" t="n">
        <v>0</v>
      </c>
      <c r="M9" s="18" t="n">
        <v>0.43185126</v>
      </c>
      <c r="N9" s="20" t="n">
        <v>0.21888555</v>
      </c>
      <c r="O9" s="18" t="n">
        <v>0.17263027</v>
      </c>
      <c r="P9" s="20" t="n">
        <v>0.14094585</v>
      </c>
      <c r="Q9" s="18" t="n">
        <v>0</v>
      </c>
      <c r="R9" s="20" t="n">
        <v>0</v>
      </c>
      <c r="S9" s="18" t="n">
        <v>5.55581696</v>
      </c>
      <c r="T9" s="20" t="n">
        <v>0.91006728</v>
      </c>
    </row>
    <row r="10" spans="1:20">
      <c r="A10" s="15" t="s">
        <v>568</v>
      </c>
      <c r="B10" s="17" t="n">
        <v>10022</v>
      </c>
      <c r="C10" s="18">
        <f>(7851.0/B10*100)</f>
        <v/>
      </c>
      <c r="D10" s="19" t="n">
        <v>2171</v>
      </c>
      <c r="E10" s="18" t="n">
        <v>18.60857965</v>
      </c>
      <c r="F10" s="20" t="n">
        <v>1.412011</v>
      </c>
      <c r="G10" s="18" t="n">
        <v>21.0448466</v>
      </c>
      <c r="H10" s="20" t="n">
        <v>1.32254254</v>
      </c>
      <c r="I10" s="18" t="n">
        <v>58.20164826</v>
      </c>
      <c r="J10" s="20" t="n">
        <v>1.89107199</v>
      </c>
      <c r="K10" s="18" t="n">
        <v>0</v>
      </c>
      <c r="L10" s="20" t="n">
        <v>0</v>
      </c>
      <c r="M10" s="18" t="n">
        <v>0.78733187</v>
      </c>
      <c r="N10" s="20" t="n">
        <v>0.30452971</v>
      </c>
      <c r="O10" s="18" t="n">
        <v>0</v>
      </c>
      <c r="P10" s="20" t="n">
        <v>0</v>
      </c>
      <c r="Q10" s="18" t="n">
        <v>0</v>
      </c>
      <c r="R10" s="20" t="n">
        <v>0</v>
      </c>
      <c r="S10" s="18" t="n">
        <v>1.35759363</v>
      </c>
      <c r="T10" s="20" t="n">
        <v>0.31756721</v>
      </c>
    </row>
    <row r="11" spans="1:20">
      <c r="A11" s="15" t="s">
        <v>569</v>
      </c>
      <c r="B11" s="17" t="n">
        <v>3500</v>
      </c>
      <c r="C11" s="18">
        <f>(2798.0/B11*100)</f>
        <v/>
      </c>
      <c r="D11" s="19" t="n">
        <v>702</v>
      </c>
      <c r="E11" s="18" t="n">
        <v>24.94027594</v>
      </c>
      <c r="F11" s="20" t="n">
        <v>1.67356381</v>
      </c>
      <c r="G11" s="18" t="n">
        <v>17.27998187</v>
      </c>
      <c r="H11" s="20" t="n">
        <v>1.3553157</v>
      </c>
      <c r="I11" s="18" t="n">
        <v>50.29107795</v>
      </c>
      <c r="J11" s="20" t="n">
        <v>2.06464128</v>
      </c>
      <c r="K11" s="18" t="n">
        <v>0</v>
      </c>
      <c r="L11" s="20" t="n">
        <v>0</v>
      </c>
      <c r="M11" s="18" t="n">
        <v>1.06730518</v>
      </c>
      <c r="N11" s="20" t="n">
        <v>0.38587803</v>
      </c>
      <c r="O11" s="18" t="n">
        <v>0.01532986</v>
      </c>
      <c r="P11" s="20" t="n">
        <v>0.0154703</v>
      </c>
      <c r="Q11" s="18" t="n">
        <v>0</v>
      </c>
      <c r="R11" s="20" t="n">
        <v>0</v>
      </c>
      <c r="S11" s="18" t="n">
        <v>6.40602921</v>
      </c>
      <c r="T11" s="20" t="n">
        <v>0.99131289</v>
      </c>
    </row>
    <row r="12" spans="1:20">
      <c r="A12" s="15" t="s">
        <v>570</v>
      </c>
      <c r="B12" s="17" t="n">
        <v>3422</v>
      </c>
      <c r="C12" s="18">
        <f>(2698.0/B12*100)</f>
        <v/>
      </c>
      <c r="D12" s="19" t="n">
        <v>724</v>
      </c>
      <c r="E12" s="18" t="n">
        <v>29.82971845</v>
      </c>
      <c r="F12" s="20" t="n">
        <v>1.73533268</v>
      </c>
      <c r="G12" s="18" t="n">
        <v>11.58499413</v>
      </c>
      <c r="H12" s="20" t="n">
        <v>1.24948897</v>
      </c>
      <c r="I12" s="18" t="n">
        <v>46.45514171</v>
      </c>
      <c r="J12" s="20" t="n">
        <v>2.25996682</v>
      </c>
      <c r="K12" s="18" t="n">
        <v>0</v>
      </c>
      <c r="L12" s="20" t="n">
        <v>0</v>
      </c>
      <c r="M12" s="18" t="n">
        <v>0.21363518</v>
      </c>
      <c r="N12" s="20" t="n">
        <v>0.16937166</v>
      </c>
      <c r="O12" s="18" t="n">
        <v>0.27346137</v>
      </c>
      <c r="P12" s="20" t="n">
        <v>0.28827008</v>
      </c>
      <c r="Q12" s="18" t="n">
        <v>0</v>
      </c>
      <c r="R12" s="20" t="n">
        <v>0</v>
      </c>
      <c r="S12" s="18" t="n">
        <v>11.64304916</v>
      </c>
      <c r="T12" s="20" t="n">
        <v>1.3311104</v>
      </c>
    </row>
    <row r="13" spans="1:20">
      <c r="A13" s="15" t="s">
        <v>571</v>
      </c>
      <c r="B13" s="17" t="n">
        <v>3602</v>
      </c>
      <c r="C13" s="18">
        <f>(2850.0/B13*100)</f>
        <v/>
      </c>
      <c r="D13" s="19" t="n">
        <v>752</v>
      </c>
      <c r="E13" s="18" t="n">
        <v>23.43363873</v>
      </c>
      <c r="F13" s="20" t="n">
        <v>1.77886098</v>
      </c>
      <c r="G13" s="18" t="n">
        <v>11.87481782</v>
      </c>
      <c r="H13" s="20" t="n">
        <v>1.42022409</v>
      </c>
      <c r="I13" s="18" t="n">
        <v>59.15489296</v>
      </c>
      <c r="J13" s="20" t="n">
        <v>2.45984807</v>
      </c>
      <c r="K13" s="18" t="n">
        <v>0</v>
      </c>
      <c r="L13" s="20" t="n">
        <v>0</v>
      </c>
      <c r="M13" s="18" t="n">
        <v>0.23142009</v>
      </c>
      <c r="N13" s="20" t="n">
        <v>0.26045422</v>
      </c>
      <c r="O13" s="18" t="n">
        <v>0</v>
      </c>
      <c r="P13" s="20" t="n">
        <v>0</v>
      </c>
      <c r="Q13" s="18" t="n">
        <v>0</v>
      </c>
      <c r="R13" s="20" t="n">
        <v>0</v>
      </c>
      <c r="S13" s="18" t="n">
        <v>5.3052304</v>
      </c>
      <c r="T13" s="20" t="n">
        <v>1.0282482</v>
      </c>
    </row>
    <row r="14" spans="1:20">
      <c r="A14" s="15" t="s">
        <v>572</v>
      </c>
      <c r="B14" s="17" t="n">
        <v>2788</v>
      </c>
      <c r="C14" s="18">
        <f>(2193.0/B14*100)</f>
        <v/>
      </c>
      <c r="D14" s="19" t="n">
        <v>595</v>
      </c>
      <c r="E14" s="18" t="n">
        <v>14.91077322</v>
      </c>
      <c r="F14" s="20" t="n">
        <v>1.54914182</v>
      </c>
      <c r="G14" s="18" t="n">
        <v>17.61205893</v>
      </c>
      <c r="H14" s="20" t="n">
        <v>1.79149627</v>
      </c>
      <c r="I14" s="18" t="n">
        <v>65.24735003000001</v>
      </c>
      <c r="J14" s="20" t="n">
        <v>2.06398756</v>
      </c>
      <c r="K14" s="18" t="n">
        <v>0</v>
      </c>
      <c r="L14" s="20" t="n">
        <v>0</v>
      </c>
      <c r="M14" s="18" t="n">
        <v>0.26651385</v>
      </c>
      <c r="N14" s="20" t="n">
        <v>0.1865132</v>
      </c>
      <c r="O14" s="18" t="n">
        <v>0</v>
      </c>
      <c r="P14" s="20" t="n">
        <v>0</v>
      </c>
      <c r="Q14" s="18" t="n">
        <v>0</v>
      </c>
      <c r="R14" s="20" t="n">
        <v>0</v>
      </c>
      <c r="S14" s="18" t="n">
        <v>1.96330396</v>
      </c>
      <c r="T14" s="20" t="n">
        <v>0.69971516</v>
      </c>
    </row>
    <row r="15" spans="1:20">
      <c r="A15" s="15" t="s">
        <v>573</v>
      </c>
      <c r="B15" s="17" t="n">
        <v>2863</v>
      </c>
      <c r="C15" s="18">
        <f>(2235.0/B15*100)</f>
        <v/>
      </c>
      <c r="D15" s="19" t="n">
        <v>628</v>
      </c>
      <c r="E15" s="18" t="n">
        <v>19.72579549</v>
      </c>
      <c r="F15" s="20" t="n">
        <v>1.61360235</v>
      </c>
      <c r="G15" s="18" t="n">
        <v>21.68483278</v>
      </c>
      <c r="H15" s="20" t="n">
        <v>1.61580863</v>
      </c>
      <c r="I15" s="18" t="n">
        <v>54.81204961</v>
      </c>
      <c r="J15" s="20" t="n">
        <v>2.11263865</v>
      </c>
      <c r="K15" s="18" t="n">
        <v>0</v>
      </c>
      <c r="L15" s="20" t="n">
        <v>0</v>
      </c>
      <c r="M15" s="18" t="n">
        <v>0.33173038</v>
      </c>
      <c r="N15" s="20" t="n">
        <v>0.2342717</v>
      </c>
      <c r="O15" s="18" t="n">
        <v>0</v>
      </c>
      <c r="P15" s="20" t="n">
        <v>0</v>
      </c>
      <c r="Q15" s="18" t="n">
        <v>0</v>
      </c>
      <c r="R15" s="20" t="n">
        <v>0</v>
      </c>
      <c r="S15" s="18" t="n">
        <v>3.44559174</v>
      </c>
      <c r="T15" s="20" t="n">
        <v>0.72084349</v>
      </c>
    </row>
    <row r="16" spans="1:20">
      <c r="A16" s="15" t="s">
        <v>574</v>
      </c>
      <c r="B16" s="17" t="n">
        <v>3111</v>
      </c>
      <c r="C16" s="18">
        <f>(2423.0/B16*100)</f>
        <v/>
      </c>
      <c r="D16" s="19" t="n">
        <v>688</v>
      </c>
      <c r="E16" s="18" t="n">
        <v>22.31074147</v>
      </c>
      <c r="F16" s="20" t="n">
        <v>1.56258567</v>
      </c>
      <c r="G16" s="18" t="n">
        <v>30.53406058</v>
      </c>
      <c r="H16" s="20" t="n">
        <v>1.73807423</v>
      </c>
      <c r="I16" s="18" t="n">
        <v>37.83466611</v>
      </c>
      <c r="J16" s="20" t="n">
        <v>1.90173078</v>
      </c>
      <c r="K16" s="18" t="n">
        <v>0</v>
      </c>
      <c r="L16" s="20" t="n">
        <v>0</v>
      </c>
      <c r="M16" s="18" t="n">
        <v>1.02798653</v>
      </c>
      <c r="N16" s="20" t="n">
        <v>0.54245017</v>
      </c>
      <c r="O16" s="18" t="n">
        <v>0</v>
      </c>
      <c r="P16" s="20" t="n">
        <v>0</v>
      </c>
      <c r="Q16" s="18" t="n">
        <v>0</v>
      </c>
      <c r="R16" s="20" t="n">
        <v>0</v>
      </c>
      <c r="S16" s="18" t="n">
        <v>8.29254531</v>
      </c>
      <c r="T16" s="20" t="n">
        <v>1.14048242</v>
      </c>
    </row>
    <row r="17" spans="1:20">
      <c r="A17" s="15" t="s">
        <v>575</v>
      </c>
      <c r="B17" s="17" t="n">
        <v>3197</v>
      </c>
      <c r="C17" s="18">
        <f>(2509.0/B17*100)</f>
        <v/>
      </c>
      <c r="D17" s="19" t="n">
        <v>688</v>
      </c>
      <c r="E17" s="18" t="n">
        <v>23.02208176</v>
      </c>
      <c r="F17" s="20" t="n">
        <v>1.62988725</v>
      </c>
      <c r="G17" s="18" t="n">
        <v>18.1899953</v>
      </c>
      <c r="H17" s="20" t="n">
        <v>1.41175445</v>
      </c>
      <c r="I17" s="18" t="n">
        <v>53.44688239</v>
      </c>
      <c r="J17" s="20" t="n">
        <v>1.9401976</v>
      </c>
      <c r="K17" s="18" t="n">
        <v>0</v>
      </c>
      <c r="L17" s="20" t="n">
        <v>0</v>
      </c>
      <c r="M17" s="18" t="n">
        <v>0.24522238</v>
      </c>
      <c r="N17" s="20" t="n">
        <v>0.18060911</v>
      </c>
      <c r="O17" s="18" t="n">
        <v>0</v>
      </c>
      <c r="P17" s="20" t="n">
        <v>0</v>
      </c>
      <c r="Q17" s="18" t="n">
        <v>0</v>
      </c>
      <c r="R17" s="20" t="n">
        <v>0</v>
      </c>
      <c r="S17" s="18" t="n">
        <v>5.09581817</v>
      </c>
      <c r="T17" s="20" t="n">
        <v>0.91810711</v>
      </c>
    </row>
    <row r="18" spans="1:20">
      <c r="A18" s="15" t="s">
        <v>576</v>
      </c>
      <c r="B18" s="17" t="n">
        <v>2706</v>
      </c>
      <c r="C18" s="18">
        <f>(2095.0/B18*100)</f>
        <v/>
      </c>
      <c r="D18" s="19" t="n">
        <v>611</v>
      </c>
      <c r="E18" s="18" t="n">
        <v>35.82685513</v>
      </c>
      <c r="F18" s="20" t="n">
        <v>2.5149707</v>
      </c>
      <c r="G18" s="18" t="n">
        <v>25.06355755</v>
      </c>
      <c r="H18" s="20" t="n">
        <v>1.93320211</v>
      </c>
      <c r="I18" s="18" t="n">
        <v>30.03040529</v>
      </c>
      <c r="J18" s="20" t="n">
        <v>2.08470489</v>
      </c>
      <c r="K18" s="18" t="n">
        <v>0</v>
      </c>
      <c r="L18" s="20" t="n">
        <v>0</v>
      </c>
      <c r="M18" s="18" t="n">
        <v>0.82112567</v>
      </c>
      <c r="N18" s="20" t="n">
        <v>0.39007908</v>
      </c>
      <c r="O18" s="18" t="n">
        <v>0</v>
      </c>
      <c r="P18" s="20" t="n">
        <v>0</v>
      </c>
      <c r="Q18" s="18" t="n">
        <v>0</v>
      </c>
      <c r="R18" s="20" t="n">
        <v>0</v>
      </c>
      <c r="S18" s="18" t="n">
        <v>8.258056359999999</v>
      </c>
      <c r="T18" s="20" t="n">
        <v>1.58142292</v>
      </c>
    </row>
    <row r="19" spans="1:20">
      <c r="A19" s="15" t="s">
        <v>577</v>
      </c>
      <c r="B19" s="17" t="n">
        <v>2850</v>
      </c>
      <c r="C19" s="18">
        <f>(2241.0/B19*100)</f>
        <v/>
      </c>
      <c r="D19" s="19" t="n">
        <v>609</v>
      </c>
      <c r="E19" s="18" t="n">
        <v>21.45072142</v>
      </c>
      <c r="F19" s="20" t="n">
        <v>2.0567913</v>
      </c>
      <c r="G19" s="18" t="n">
        <v>25.49950072</v>
      </c>
      <c r="H19" s="20" t="n">
        <v>1.78406635</v>
      </c>
      <c r="I19" s="18" t="n">
        <v>43.83873896</v>
      </c>
      <c r="J19" s="20" t="n">
        <v>2.04370721</v>
      </c>
      <c r="K19" s="18" t="n">
        <v>0</v>
      </c>
      <c r="L19" s="20" t="n">
        <v>0</v>
      </c>
      <c r="M19" s="18" t="n">
        <v>0</v>
      </c>
      <c r="N19" s="20" t="n">
        <v>0</v>
      </c>
      <c r="O19" s="18" t="n">
        <v>0</v>
      </c>
      <c r="P19" s="20" t="n">
        <v>0</v>
      </c>
      <c r="Q19" s="18" t="n">
        <v>0</v>
      </c>
      <c r="R19" s="20" t="n">
        <v>0</v>
      </c>
      <c r="S19" s="18" t="n">
        <v>9.2110389</v>
      </c>
      <c r="T19" s="20" t="n">
        <v>1.35106484</v>
      </c>
    </row>
    <row r="20" spans="1:20">
      <c r="A20" s="15" t="s">
        <v>578</v>
      </c>
      <c r="B20" s="17" t="n">
        <v>1741</v>
      </c>
      <c r="C20" s="18">
        <f>(1372.0/B20*100)</f>
        <v/>
      </c>
      <c r="D20" s="19" t="n">
        <v>369</v>
      </c>
      <c r="E20" s="18" t="n">
        <v>31.54453621</v>
      </c>
      <c r="F20" s="20" t="n">
        <v>2.62539374</v>
      </c>
      <c r="G20" s="18" t="n">
        <v>15.53695499</v>
      </c>
      <c r="H20" s="20" t="n">
        <v>1.79361107</v>
      </c>
      <c r="I20" s="18" t="n">
        <v>44.0301927</v>
      </c>
      <c r="J20" s="20" t="n">
        <v>2.48204538</v>
      </c>
      <c r="K20" s="18" t="n">
        <v>0</v>
      </c>
      <c r="L20" s="20" t="n">
        <v>0</v>
      </c>
      <c r="M20" s="18" t="n">
        <v>0.26770885</v>
      </c>
      <c r="N20" s="20" t="n">
        <v>0.27029953</v>
      </c>
      <c r="O20" s="18" t="n">
        <v>0.41518082</v>
      </c>
      <c r="P20" s="20" t="n">
        <v>0.41899249</v>
      </c>
      <c r="Q20" s="18" t="n">
        <v>0</v>
      </c>
      <c r="R20" s="20" t="n">
        <v>0</v>
      </c>
      <c r="S20" s="18" t="n">
        <v>8.205426429999999</v>
      </c>
      <c r="T20" s="20" t="n">
        <v>1.56994148</v>
      </c>
    </row>
    <row r="21" spans="1:20">
      <c r="A21" s="15" t="s">
        <v>579</v>
      </c>
      <c r="B21" s="17" t="n">
        <v>2833</v>
      </c>
      <c r="C21" s="18">
        <f>(2216.0/B21*100)</f>
        <v/>
      </c>
      <c r="D21" s="19" t="n">
        <v>617</v>
      </c>
      <c r="E21" s="18" t="n">
        <v>31.90923182</v>
      </c>
      <c r="F21" s="20" t="n">
        <v>1.67725175</v>
      </c>
      <c r="G21" s="18" t="n">
        <v>19.92044627</v>
      </c>
      <c r="H21" s="20" t="n">
        <v>1.26929123</v>
      </c>
      <c r="I21" s="18" t="n">
        <v>46.2703878</v>
      </c>
      <c r="J21" s="20" t="n">
        <v>1.79667707</v>
      </c>
      <c r="K21" s="18" t="n">
        <v>0</v>
      </c>
      <c r="L21" s="20" t="n">
        <v>0</v>
      </c>
      <c r="M21" s="18" t="n">
        <v>0.17520246</v>
      </c>
      <c r="N21" s="20" t="n">
        <v>0.1632223</v>
      </c>
      <c r="O21" s="18" t="n">
        <v>0</v>
      </c>
      <c r="P21" s="20" t="n">
        <v>0</v>
      </c>
      <c r="Q21" s="18" t="n">
        <v>0</v>
      </c>
      <c r="R21" s="20" t="n">
        <v>0</v>
      </c>
      <c r="S21" s="18" t="n">
        <v>1.72473165</v>
      </c>
      <c r="T21" s="20" t="n">
        <v>0.52173285</v>
      </c>
    </row>
    <row r="22" spans="1:20">
      <c r="A22" s="15" t="s">
        <v>580</v>
      </c>
      <c r="B22" s="17" t="n">
        <v>3667</v>
      </c>
      <c r="C22" s="18">
        <f>(2926.0/B22*100)</f>
        <v/>
      </c>
      <c r="D22" s="19" t="n">
        <v>741</v>
      </c>
      <c r="E22" s="18" t="n">
        <v>27.27296103</v>
      </c>
      <c r="F22" s="20" t="n">
        <v>1.60640195</v>
      </c>
      <c r="G22" s="18" t="n">
        <v>29.75508078</v>
      </c>
      <c r="H22" s="20" t="n">
        <v>1.5308121</v>
      </c>
      <c r="I22" s="18" t="n">
        <v>34.92321877</v>
      </c>
      <c r="J22" s="20" t="n">
        <v>2.0258134</v>
      </c>
      <c r="K22" s="18" t="n">
        <v>0</v>
      </c>
      <c r="L22" s="20" t="n">
        <v>0</v>
      </c>
      <c r="M22" s="18" t="n">
        <v>0.14635377</v>
      </c>
      <c r="N22" s="20" t="n">
        <v>0.15258848</v>
      </c>
      <c r="O22" s="18" t="n">
        <v>0</v>
      </c>
      <c r="P22" s="20" t="n">
        <v>0</v>
      </c>
      <c r="Q22" s="18" t="n">
        <v>0</v>
      </c>
      <c r="R22" s="20" t="n">
        <v>0</v>
      </c>
      <c r="S22" s="18" t="n">
        <v>7.90238565</v>
      </c>
      <c r="T22" s="20" t="n">
        <v>0.96778028</v>
      </c>
    </row>
    <row r="23" spans="1:20">
      <c r="A23" s="15" t="s">
        <v>581</v>
      </c>
      <c r="B23" s="17" t="n">
        <v>5792</v>
      </c>
      <c r="C23" s="18">
        <f>(4509.0/B23*100)</f>
        <v/>
      </c>
      <c r="D23" s="19" t="n">
        <v>1283</v>
      </c>
      <c r="E23" s="18" t="n">
        <v>36.2424172</v>
      </c>
      <c r="F23" s="20" t="n">
        <v>1.68452496</v>
      </c>
      <c r="G23" s="18" t="n">
        <v>22.55779022</v>
      </c>
      <c r="H23" s="20" t="n">
        <v>1.745955</v>
      </c>
      <c r="I23" s="18" t="n">
        <v>30.53590301</v>
      </c>
      <c r="J23" s="20" t="n">
        <v>1.96159198</v>
      </c>
      <c r="K23" s="18" t="n">
        <v>0</v>
      </c>
      <c r="L23" s="20" t="n">
        <v>0</v>
      </c>
      <c r="M23" s="18" t="n">
        <v>1.26187881</v>
      </c>
      <c r="N23" s="20" t="n">
        <v>0.55757967</v>
      </c>
      <c r="O23" s="18" t="n">
        <v>0</v>
      </c>
      <c r="P23" s="20" t="n">
        <v>0</v>
      </c>
      <c r="Q23" s="18" t="n">
        <v>0</v>
      </c>
      <c r="R23" s="20" t="n">
        <v>0</v>
      </c>
      <c r="S23" s="18" t="n">
        <v>9.402010750000001</v>
      </c>
      <c r="T23" s="20" t="n">
        <v>1.31254739</v>
      </c>
    </row>
    <row r="24" spans="1:20">
      <c r="A24" s="15" t="s">
        <v>582</v>
      </c>
      <c r="B24" s="17" t="n">
        <v>3309</v>
      </c>
      <c r="C24" s="18">
        <f>(2597.0/B24*100)</f>
        <v/>
      </c>
      <c r="D24" s="19" t="n">
        <v>712</v>
      </c>
      <c r="E24" s="18" t="n">
        <v>15.74338154</v>
      </c>
      <c r="F24" s="20" t="n">
        <v>1.34104365</v>
      </c>
      <c r="G24" s="18" t="n">
        <v>32.56900747</v>
      </c>
      <c r="H24" s="20" t="n">
        <v>2.11994396</v>
      </c>
      <c r="I24" s="18" t="n">
        <v>47.64962381</v>
      </c>
      <c r="J24" s="20" t="n">
        <v>1.93451889</v>
      </c>
      <c r="K24" s="18" t="n">
        <v>0</v>
      </c>
      <c r="L24" s="20" t="n">
        <v>0</v>
      </c>
      <c r="M24" s="18" t="n">
        <v>0.16789621</v>
      </c>
      <c r="N24" s="20" t="n">
        <v>0.15673453</v>
      </c>
      <c r="O24" s="18" t="n">
        <v>0</v>
      </c>
      <c r="P24" s="20" t="n">
        <v>0</v>
      </c>
      <c r="Q24" s="18" t="n">
        <v>0</v>
      </c>
      <c r="R24" s="20" t="n">
        <v>0</v>
      </c>
      <c r="S24" s="18" t="n">
        <v>3.87009097</v>
      </c>
      <c r="T24" s="20" t="n">
        <v>0.86636831</v>
      </c>
    </row>
    <row r="25" spans="1:20">
      <c r="A25" s="15" t="s">
        <v>583</v>
      </c>
      <c r="B25" s="17" t="n">
        <v>2669</v>
      </c>
      <c r="C25" s="18">
        <f>(2068.0/B25*100)</f>
        <v/>
      </c>
      <c r="D25" s="19" t="n">
        <v>601</v>
      </c>
      <c r="E25" s="18" t="n">
        <v>24.21874459</v>
      </c>
      <c r="F25" s="20" t="n">
        <v>1.67020778</v>
      </c>
      <c r="G25" s="18" t="n">
        <v>23.43641858</v>
      </c>
      <c r="H25" s="20" t="n">
        <v>1.63532931</v>
      </c>
      <c r="I25" s="18" t="n">
        <v>47.29471241</v>
      </c>
      <c r="J25" s="20" t="n">
        <v>2.06466494</v>
      </c>
      <c r="K25" s="18" t="n">
        <v>0</v>
      </c>
      <c r="L25" s="20" t="n">
        <v>0</v>
      </c>
      <c r="M25" s="18" t="n">
        <v>0.16470226</v>
      </c>
      <c r="N25" s="20" t="n">
        <v>0.1646375</v>
      </c>
      <c r="O25" s="18" t="n">
        <v>0</v>
      </c>
      <c r="P25" s="20" t="n">
        <v>0</v>
      </c>
      <c r="Q25" s="18" t="n">
        <v>0</v>
      </c>
      <c r="R25" s="20" t="n">
        <v>0</v>
      </c>
      <c r="S25" s="18" t="n">
        <v>4.88542216</v>
      </c>
      <c r="T25" s="20" t="n">
        <v>0.8884069</v>
      </c>
    </row>
    <row r="26" spans="1:20">
      <c r="A26" s="15" t="s">
        <v>584</v>
      </c>
      <c r="B26" s="17" t="n">
        <v>2419</v>
      </c>
      <c r="C26" s="18">
        <f>(1868.0/B26*100)</f>
        <v/>
      </c>
      <c r="D26" s="19" t="n">
        <v>551</v>
      </c>
      <c r="E26" s="18" t="n">
        <v>31.46889516</v>
      </c>
      <c r="F26" s="20" t="n">
        <v>2.47539725</v>
      </c>
      <c r="G26" s="18" t="n">
        <v>13.73749914</v>
      </c>
      <c r="H26" s="20" t="n">
        <v>1.49801364</v>
      </c>
      <c r="I26" s="18" t="n">
        <v>51.45041194</v>
      </c>
      <c r="J26" s="20" t="n">
        <v>2.72549685</v>
      </c>
      <c r="K26" s="18" t="n">
        <v>0</v>
      </c>
      <c r="L26" s="20" t="n">
        <v>0</v>
      </c>
      <c r="M26" s="18" t="n">
        <v>0.15153803</v>
      </c>
      <c r="N26" s="20" t="n">
        <v>0.15513322</v>
      </c>
      <c r="O26" s="18" t="n">
        <v>0.12450319</v>
      </c>
      <c r="P26" s="20" t="n">
        <v>0.12470881</v>
      </c>
      <c r="Q26" s="18" t="n">
        <v>0</v>
      </c>
      <c r="R26" s="20" t="n">
        <v>0</v>
      </c>
      <c r="S26" s="18" t="n">
        <v>3.06715255</v>
      </c>
      <c r="T26" s="20" t="n">
        <v>0.69545841</v>
      </c>
    </row>
    <row r="27" spans="1:20">
      <c r="A27" s="15" t="s">
        <v>585</v>
      </c>
      <c r="B27" s="17" t="n">
        <v>2683</v>
      </c>
      <c r="C27" s="18">
        <f>(2125.0/B27*100)</f>
        <v/>
      </c>
      <c r="D27" s="19" t="n">
        <v>558</v>
      </c>
      <c r="E27" s="18" t="n">
        <v>29.94354673</v>
      </c>
      <c r="F27" s="20" t="n">
        <v>2.10289412</v>
      </c>
      <c r="G27" s="18" t="n">
        <v>20.79633516</v>
      </c>
      <c r="H27" s="20" t="n">
        <v>1.57450388</v>
      </c>
      <c r="I27" s="18" t="n">
        <v>42.49253676</v>
      </c>
      <c r="J27" s="20" t="n">
        <v>2.19914119</v>
      </c>
      <c r="K27" s="18" t="n">
        <v>0</v>
      </c>
      <c r="L27" s="20" t="n">
        <v>0</v>
      </c>
      <c r="M27" s="18" t="n">
        <v>0.17750887</v>
      </c>
      <c r="N27" s="20" t="n">
        <v>0.17716979</v>
      </c>
      <c r="O27" s="18" t="n">
        <v>0</v>
      </c>
      <c r="P27" s="20" t="n">
        <v>0</v>
      </c>
      <c r="Q27" s="18" t="n">
        <v>0</v>
      </c>
      <c r="R27" s="20" t="n">
        <v>0</v>
      </c>
      <c r="S27" s="18" t="n">
        <v>6.59007247</v>
      </c>
      <c r="T27" s="20" t="n">
        <v>1.04664665</v>
      </c>
    </row>
    <row r="28" spans="1:20">
      <c r="A28" s="15" t="s">
        <v>586</v>
      </c>
      <c r="B28" s="17" t="n">
        <v>3803</v>
      </c>
      <c r="C28" s="18">
        <f>(3086.0/B28*100)</f>
        <v/>
      </c>
      <c r="D28" s="19" t="n">
        <v>717</v>
      </c>
      <c r="E28" s="18" t="n">
        <v>46.84341613</v>
      </c>
      <c r="F28" s="20" t="n">
        <v>2.2107142</v>
      </c>
      <c r="G28" s="18" t="n">
        <v>14.93798624</v>
      </c>
      <c r="H28" s="20" t="n">
        <v>1.53580206</v>
      </c>
      <c r="I28" s="18" t="n">
        <v>36.09089237</v>
      </c>
      <c r="J28" s="20" t="n">
        <v>2.25929136</v>
      </c>
      <c r="K28" s="18" t="n">
        <v>0</v>
      </c>
      <c r="L28" s="20" t="n">
        <v>0</v>
      </c>
      <c r="M28" s="18" t="n">
        <v>1.07369927</v>
      </c>
      <c r="N28" s="20" t="n">
        <v>0.52778626</v>
      </c>
      <c r="O28" s="18" t="n">
        <v>0.11797945</v>
      </c>
      <c r="P28" s="20" t="n">
        <v>0.11730288</v>
      </c>
      <c r="Q28" s="18" t="n">
        <v>0</v>
      </c>
      <c r="R28" s="20" t="n">
        <v>0</v>
      </c>
      <c r="S28" s="18" t="n">
        <v>0.93602654</v>
      </c>
      <c r="T28" s="20" t="n">
        <v>0.38939369</v>
      </c>
    </row>
    <row r="29" spans="1:20">
      <c r="A29" s="15" t="s">
        <v>587</v>
      </c>
      <c r="B29" s="17" t="n">
        <v>2700</v>
      </c>
      <c r="C29" s="18">
        <f>(2097.0/B29*100)</f>
        <v/>
      </c>
      <c r="D29" s="19" t="n">
        <v>603</v>
      </c>
      <c r="E29" s="18" t="n">
        <v>32.51748801</v>
      </c>
      <c r="F29" s="20" t="n">
        <v>2.49529936</v>
      </c>
      <c r="G29" s="18" t="n">
        <v>12.42145499</v>
      </c>
      <c r="H29" s="20" t="n">
        <v>1.15618161</v>
      </c>
      <c r="I29" s="18" t="n">
        <v>52.61199907</v>
      </c>
      <c r="J29" s="20" t="n">
        <v>2.45972683</v>
      </c>
      <c r="K29" s="18" t="n">
        <v>0</v>
      </c>
      <c r="L29" s="20" t="n">
        <v>0</v>
      </c>
      <c r="M29" s="18" t="n">
        <v>0.40089464</v>
      </c>
      <c r="N29" s="20" t="n">
        <v>0.23256382</v>
      </c>
      <c r="O29" s="18" t="n">
        <v>0</v>
      </c>
      <c r="P29" s="20" t="n">
        <v>0</v>
      </c>
      <c r="Q29" s="18" t="n">
        <v>0</v>
      </c>
      <c r="R29" s="20" t="n">
        <v>0</v>
      </c>
      <c r="S29" s="18" t="n">
        <v>2.0481633</v>
      </c>
      <c r="T29" s="20" t="n">
        <v>0.6180099</v>
      </c>
    </row>
    <row r="30" spans="1:20">
      <c r="A30" s="15" t="s">
        <v>588</v>
      </c>
      <c r="B30" s="17" t="n">
        <v>2257</v>
      </c>
      <c r="C30" s="18">
        <f>(1801.0/B30*100)</f>
        <v/>
      </c>
      <c r="D30" s="19" t="n">
        <v>456</v>
      </c>
      <c r="E30" s="18" t="n">
        <v>20.66396699</v>
      </c>
      <c r="F30" s="20" t="n">
        <v>1.80265879</v>
      </c>
      <c r="G30" s="18" t="n">
        <v>16.41327777</v>
      </c>
      <c r="H30" s="20" t="n">
        <v>1.92283775</v>
      </c>
      <c r="I30" s="18" t="n">
        <v>57.86543979</v>
      </c>
      <c r="J30" s="20" t="n">
        <v>2.43959379</v>
      </c>
      <c r="K30" s="18" t="n">
        <v>0</v>
      </c>
      <c r="L30" s="20" t="n">
        <v>0</v>
      </c>
      <c r="M30" s="18" t="n">
        <v>0.81867705</v>
      </c>
      <c r="N30" s="20" t="n">
        <v>0.45323226</v>
      </c>
      <c r="O30" s="18" t="n">
        <v>0.20334881</v>
      </c>
      <c r="P30" s="20" t="n">
        <v>0.20179642</v>
      </c>
      <c r="Q30" s="18" t="n">
        <v>0</v>
      </c>
      <c r="R30" s="20" t="n">
        <v>0</v>
      </c>
      <c r="S30" s="18" t="n">
        <v>4.0352896</v>
      </c>
      <c r="T30" s="20" t="n">
        <v>1.00260201</v>
      </c>
    </row>
    <row r="31" spans="1:20">
      <c r="A31" s="15" t="s">
        <v>589</v>
      </c>
      <c r="B31" s="17" t="n">
        <v>2706</v>
      </c>
      <c r="C31" s="18">
        <f>(2139.0/B31*100)</f>
        <v/>
      </c>
      <c r="D31" s="19" t="n">
        <v>567</v>
      </c>
      <c r="E31" s="18" t="n">
        <v>15.76120553</v>
      </c>
      <c r="F31" s="20" t="n">
        <v>1.5130781</v>
      </c>
      <c r="G31" s="18" t="n">
        <v>17.06099544</v>
      </c>
      <c r="H31" s="20" t="n">
        <v>1.33649961</v>
      </c>
      <c r="I31" s="18" t="n">
        <v>61.64130941</v>
      </c>
      <c r="J31" s="20" t="n">
        <v>1.9951922</v>
      </c>
      <c r="K31" s="18" t="n">
        <v>0</v>
      </c>
      <c r="L31" s="20" t="n">
        <v>0</v>
      </c>
      <c r="M31" s="18" t="n">
        <v>1.19590363</v>
      </c>
      <c r="N31" s="20" t="n">
        <v>0.45810486</v>
      </c>
      <c r="O31" s="18" t="n">
        <v>0.16272201</v>
      </c>
      <c r="P31" s="20" t="n">
        <v>0.16167131</v>
      </c>
      <c r="Q31" s="18" t="n">
        <v>0</v>
      </c>
      <c r="R31" s="20" t="n">
        <v>0</v>
      </c>
      <c r="S31" s="18" t="n">
        <v>4.17786398</v>
      </c>
      <c r="T31" s="20" t="n">
        <v>1.03847481</v>
      </c>
    </row>
    <row r="32" spans="1:20">
      <c r="A32" s="15" t="s">
        <v>590</v>
      </c>
      <c r="B32" s="17" t="n">
        <v>2209</v>
      </c>
      <c r="C32" s="18">
        <f>(1712.0/B32*100)</f>
        <v/>
      </c>
      <c r="D32" s="19" t="n">
        <v>497</v>
      </c>
      <c r="E32" s="18" t="n">
        <v>28.64467517</v>
      </c>
      <c r="F32" s="20" t="n">
        <v>2.0344351</v>
      </c>
      <c r="G32" s="18" t="n">
        <v>18.36435754</v>
      </c>
      <c r="H32" s="20" t="n">
        <v>2.18289249</v>
      </c>
      <c r="I32" s="18" t="n">
        <v>43.14280761</v>
      </c>
      <c r="J32" s="20" t="n">
        <v>2.33819032</v>
      </c>
      <c r="K32" s="18" t="n">
        <v>0</v>
      </c>
      <c r="L32" s="20" t="n">
        <v>0</v>
      </c>
      <c r="M32" s="18" t="n">
        <v>0.2003753</v>
      </c>
      <c r="N32" s="20" t="n">
        <v>0.21420698</v>
      </c>
      <c r="O32" s="18" t="n">
        <v>0.85917259</v>
      </c>
      <c r="P32" s="20" t="n">
        <v>0.91188302</v>
      </c>
      <c r="Q32" s="18" t="n">
        <v>0</v>
      </c>
      <c r="R32" s="20" t="n">
        <v>0</v>
      </c>
      <c r="S32" s="18" t="n">
        <v>8.788611789999999</v>
      </c>
      <c r="T32" s="20" t="n">
        <v>1.32076476</v>
      </c>
    </row>
    <row r="33" spans="1:20">
      <c r="A33" s="15" t="s">
        <v>591</v>
      </c>
      <c r="B33" s="17" t="n">
        <v>3651</v>
      </c>
      <c r="C33" s="18">
        <f>(2918.0/B33*100)</f>
        <v/>
      </c>
      <c r="D33" s="19" t="n">
        <v>733</v>
      </c>
      <c r="E33" s="18" t="n">
        <v>25.15938711</v>
      </c>
      <c r="F33" s="20" t="n">
        <v>1.926658</v>
      </c>
      <c r="G33" s="18" t="n">
        <v>21.67874978</v>
      </c>
      <c r="H33" s="20" t="n">
        <v>2.1474838</v>
      </c>
      <c r="I33" s="18" t="n">
        <v>45.20152081</v>
      </c>
      <c r="J33" s="20" t="n">
        <v>2.46620288</v>
      </c>
      <c r="K33" s="18" t="n">
        <v>0</v>
      </c>
      <c r="L33" s="20" t="n">
        <v>0</v>
      </c>
      <c r="M33" s="18" t="n">
        <v>1.03961378</v>
      </c>
      <c r="N33" s="20" t="n">
        <v>0.46892905</v>
      </c>
      <c r="O33" s="18" t="n">
        <v>0.39446372</v>
      </c>
      <c r="P33" s="20" t="n">
        <v>0.23051854</v>
      </c>
      <c r="Q33" s="18" t="n">
        <v>0</v>
      </c>
      <c r="R33" s="20" t="n">
        <v>0</v>
      </c>
      <c r="S33" s="18" t="n">
        <v>6.52626481</v>
      </c>
      <c r="T33" s="20" t="n">
        <v>1.13122181</v>
      </c>
    </row>
    <row r="34" spans="1:20">
      <c r="A34" s="15" t="s">
        <v>592</v>
      </c>
      <c r="B34" s="17" t="n">
        <v>3035</v>
      </c>
      <c r="C34" s="18">
        <f>(2389.0/B34*100)</f>
        <v/>
      </c>
      <c r="D34" s="19" t="n">
        <v>646</v>
      </c>
      <c r="E34" s="18" t="n">
        <v>39.38160578</v>
      </c>
      <c r="F34" s="20" t="n">
        <v>1.96733664</v>
      </c>
      <c r="G34" s="18" t="n">
        <v>13.50593819</v>
      </c>
      <c r="H34" s="20" t="n">
        <v>1.46530095</v>
      </c>
      <c r="I34" s="18" t="n">
        <v>35.51174566</v>
      </c>
      <c r="J34" s="20" t="n">
        <v>1.98091613</v>
      </c>
      <c r="K34" s="18" t="n">
        <v>0</v>
      </c>
      <c r="L34" s="20" t="n">
        <v>0</v>
      </c>
      <c r="M34" s="18" t="n">
        <v>0.60193728</v>
      </c>
      <c r="N34" s="20" t="n">
        <v>0.30906614</v>
      </c>
      <c r="O34" s="18" t="n">
        <v>0.4396846</v>
      </c>
      <c r="P34" s="20" t="n">
        <v>0.32461854</v>
      </c>
      <c r="Q34" s="18" t="n">
        <v>0</v>
      </c>
      <c r="R34" s="20" t="n">
        <v>0</v>
      </c>
      <c r="S34" s="18" t="n">
        <v>10.55908849</v>
      </c>
      <c r="T34" s="20" t="n">
        <v>1.51444585</v>
      </c>
    </row>
    <row r="35" spans="1:20">
      <c r="A35" s="15" t="s">
        <v>593</v>
      </c>
      <c r="B35" s="17" t="n">
        <v>2901</v>
      </c>
      <c r="C35" s="18">
        <f>(2252.0/B35*100)</f>
        <v/>
      </c>
      <c r="D35" s="19" t="n">
        <v>649</v>
      </c>
      <c r="E35" s="18" t="n">
        <v>28.03803908</v>
      </c>
      <c r="F35" s="20" t="n">
        <v>2.41887702</v>
      </c>
      <c r="G35" s="18" t="n">
        <v>21.64631954</v>
      </c>
      <c r="H35" s="20" t="n">
        <v>1.97991255</v>
      </c>
      <c r="I35" s="18" t="n">
        <v>45.39095274</v>
      </c>
      <c r="J35" s="20" t="n">
        <v>2.78640216</v>
      </c>
      <c r="K35" s="18" t="n">
        <v>0</v>
      </c>
      <c r="L35" s="20" t="n">
        <v>0</v>
      </c>
      <c r="M35" s="18" t="n">
        <v>0.08449207</v>
      </c>
      <c r="N35" s="20" t="n">
        <v>0.08461009999999999</v>
      </c>
      <c r="O35" s="18" t="n">
        <v>0</v>
      </c>
      <c r="P35" s="20" t="n">
        <v>0</v>
      </c>
      <c r="Q35" s="18" t="n">
        <v>0</v>
      </c>
      <c r="R35" s="20" t="n">
        <v>0</v>
      </c>
      <c r="S35" s="18" t="n">
        <v>4.84019657</v>
      </c>
      <c r="T35" s="20" t="n">
        <v>0.78555681</v>
      </c>
    </row>
    <row r="36" spans="1:20">
      <c r="A36" s="15" t="s">
        <v>594</v>
      </c>
      <c r="B36" s="17" t="n">
        <v>3404</v>
      </c>
      <c r="C36" s="18">
        <f>(2703.0/B36*100)</f>
        <v/>
      </c>
      <c r="D36" s="19" t="n">
        <v>701</v>
      </c>
      <c r="E36" s="18" t="n">
        <v>28.57959304</v>
      </c>
      <c r="F36" s="20" t="n">
        <v>1.58797584</v>
      </c>
      <c r="G36" s="18" t="n">
        <v>28.76405686</v>
      </c>
      <c r="H36" s="20" t="n">
        <v>1.64028361</v>
      </c>
      <c r="I36" s="18" t="n">
        <v>38.9069971</v>
      </c>
      <c r="J36" s="20" t="n">
        <v>1.92411091</v>
      </c>
      <c r="K36" s="18" t="n">
        <v>0</v>
      </c>
      <c r="L36" s="20" t="n">
        <v>0</v>
      </c>
      <c r="M36" s="18" t="n">
        <v>0.18271056</v>
      </c>
      <c r="N36" s="20" t="n">
        <v>0.15358148</v>
      </c>
      <c r="O36" s="18" t="n">
        <v>0.27977641</v>
      </c>
      <c r="P36" s="20" t="n">
        <v>0.19499223</v>
      </c>
      <c r="Q36" s="18" t="n">
        <v>0</v>
      </c>
      <c r="R36" s="20" t="n">
        <v>0</v>
      </c>
      <c r="S36" s="18" t="n">
        <v>3.28686604</v>
      </c>
      <c r="T36" s="20" t="n">
        <v>0.5860588</v>
      </c>
    </row>
    <row r="37" spans="1:20">
      <c r="A37" s="15" t="s">
        <v>595</v>
      </c>
      <c r="B37" s="17" t="n">
        <v>2731</v>
      </c>
      <c r="C37" s="18">
        <f>(2152.0/B37*100)</f>
        <v/>
      </c>
      <c r="D37" s="19" t="n">
        <v>579</v>
      </c>
      <c r="E37" s="18" t="n">
        <v>16.15360493</v>
      </c>
      <c r="F37" s="20" t="n">
        <v>1.77427272</v>
      </c>
      <c r="G37" s="18" t="n">
        <v>16.6623632</v>
      </c>
      <c r="H37" s="20" t="n">
        <v>1.6582695</v>
      </c>
      <c r="I37" s="18" t="n">
        <v>61.28866373</v>
      </c>
      <c r="J37" s="20" t="n">
        <v>2.7113035</v>
      </c>
      <c r="K37" s="18" t="n">
        <v>0</v>
      </c>
      <c r="L37" s="20" t="n">
        <v>0</v>
      </c>
      <c r="M37" s="18" t="n">
        <v>1.13984426</v>
      </c>
      <c r="N37" s="20" t="n">
        <v>0.47654921</v>
      </c>
      <c r="O37" s="18" t="n">
        <v>0</v>
      </c>
      <c r="P37" s="20" t="n">
        <v>0</v>
      </c>
      <c r="Q37" s="18" t="n">
        <v>0</v>
      </c>
      <c r="R37" s="20" t="n">
        <v>0</v>
      </c>
      <c r="S37" s="18" t="n">
        <v>4.75552388</v>
      </c>
      <c r="T37" s="20" t="n">
        <v>0.83830096</v>
      </c>
    </row>
    <row r="38" spans="1:20">
      <c r="A38" s="15" t="s">
        <v>596</v>
      </c>
      <c r="B38" s="17" t="n">
        <v>2807</v>
      </c>
      <c r="C38" s="18">
        <f>(2165.0/B38*100)</f>
        <v/>
      </c>
      <c r="D38" s="19" t="n">
        <v>642</v>
      </c>
      <c r="E38" s="18" t="n">
        <v>24.97153404</v>
      </c>
      <c r="F38" s="20" t="n">
        <v>1.84829377</v>
      </c>
      <c r="G38" s="18" t="n">
        <v>22.57583014</v>
      </c>
      <c r="H38" s="20" t="n">
        <v>2.17780211</v>
      </c>
      <c r="I38" s="18" t="n">
        <v>44.55183992</v>
      </c>
      <c r="J38" s="20" t="n">
        <v>2.46354835</v>
      </c>
      <c r="K38" s="18" t="n">
        <v>0</v>
      </c>
      <c r="L38" s="20" t="n">
        <v>0</v>
      </c>
      <c r="M38" s="18" t="n">
        <v>0.30723516</v>
      </c>
      <c r="N38" s="20" t="n">
        <v>0.21815325</v>
      </c>
      <c r="O38" s="18" t="n">
        <v>1.6990169</v>
      </c>
      <c r="P38" s="20" t="n">
        <v>0.51743399</v>
      </c>
      <c r="Q38" s="18" t="n">
        <v>0</v>
      </c>
      <c r="R38" s="20" t="n">
        <v>0</v>
      </c>
      <c r="S38" s="18" t="n">
        <v>5.89454385</v>
      </c>
      <c r="T38" s="20" t="n">
        <v>0.9680376000000001</v>
      </c>
    </row>
    <row r="39" spans="1:20">
      <c r="A39" s="15" t="s">
        <v>597</v>
      </c>
      <c r="B39" s="17" t="n">
        <v>2938</v>
      </c>
      <c r="C39" s="18">
        <f>(2289.0/B39*100)</f>
        <v/>
      </c>
      <c r="D39" s="19" t="n">
        <v>649</v>
      </c>
      <c r="E39" s="18" t="n">
        <v>37.34939116</v>
      </c>
      <c r="F39" s="20" t="n">
        <v>1.78476994</v>
      </c>
      <c r="G39" s="18" t="n">
        <v>27.00969628</v>
      </c>
      <c r="H39" s="20" t="n">
        <v>1.55652149</v>
      </c>
      <c r="I39" s="18" t="n">
        <v>31.57548902</v>
      </c>
      <c r="J39" s="20" t="n">
        <v>1.97829364</v>
      </c>
      <c r="K39" s="18" t="n">
        <v>0</v>
      </c>
      <c r="L39" s="20" t="n">
        <v>0</v>
      </c>
      <c r="M39" s="18" t="n">
        <v>0.14501143</v>
      </c>
      <c r="N39" s="20" t="n">
        <v>0.14469868</v>
      </c>
      <c r="O39" s="18" t="n">
        <v>0</v>
      </c>
      <c r="P39" s="20" t="n">
        <v>0</v>
      </c>
      <c r="Q39" s="18" t="n">
        <v>0</v>
      </c>
      <c r="R39" s="20" t="n">
        <v>0</v>
      </c>
      <c r="S39" s="18" t="n">
        <v>3.92041211</v>
      </c>
      <c r="T39" s="20" t="n">
        <v>0.79572365</v>
      </c>
    </row>
    <row r="40" spans="1:20">
      <c r="A40" s="15" t="s">
        <v>598</v>
      </c>
      <c r="B40" s="17" t="n">
        <v>6922</v>
      </c>
      <c r="C40" s="18">
        <f>(5377.0/B40*100)</f>
        <v/>
      </c>
      <c r="D40" s="19" t="n">
        <v>1545</v>
      </c>
      <c r="E40" s="18" t="n">
        <v>32.3401527</v>
      </c>
      <c r="F40" s="20" t="n">
        <v>1.83369387</v>
      </c>
      <c r="G40" s="18" t="n">
        <v>16.26714995</v>
      </c>
      <c r="H40" s="20" t="n">
        <v>1.39037071</v>
      </c>
      <c r="I40" s="18" t="n">
        <v>47.98928167</v>
      </c>
      <c r="J40" s="20" t="n">
        <v>1.85972121</v>
      </c>
      <c r="K40" s="18" t="n">
        <v>0</v>
      </c>
      <c r="L40" s="20" t="n">
        <v>0</v>
      </c>
      <c r="M40" s="18" t="n">
        <v>0.05376879</v>
      </c>
      <c r="N40" s="20" t="n">
        <v>0.03005241</v>
      </c>
      <c r="O40" s="18" t="n">
        <v>0</v>
      </c>
      <c r="P40" s="20" t="n">
        <v>0</v>
      </c>
      <c r="Q40" s="18" t="n">
        <v>0</v>
      </c>
      <c r="R40" s="20" t="n">
        <v>0</v>
      </c>
      <c r="S40" s="18" t="n">
        <v>3.34964688</v>
      </c>
      <c r="T40" s="20" t="n">
        <v>0.69891232</v>
      </c>
    </row>
    <row r="41" spans="1:20">
      <c r="A41" s="15" t="s">
        <v>599</v>
      </c>
      <c r="B41" s="17" t="n">
        <v>2854</v>
      </c>
      <c r="C41" s="18">
        <f>(2267.0/B41*100)</f>
        <v/>
      </c>
      <c r="D41" s="19" t="n">
        <v>587</v>
      </c>
      <c r="E41" s="18" t="n">
        <v>34.21498924</v>
      </c>
      <c r="F41" s="20" t="n">
        <v>2.43008851</v>
      </c>
      <c r="G41" s="18" t="n">
        <v>20.31068858</v>
      </c>
      <c r="H41" s="20" t="n">
        <v>1.94462623</v>
      </c>
      <c r="I41" s="18" t="n">
        <v>43.26794856</v>
      </c>
      <c r="J41" s="20" t="n">
        <v>2.33192637</v>
      </c>
      <c r="K41" s="18" t="n">
        <v>0</v>
      </c>
      <c r="L41" s="20" t="n">
        <v>0</v>
      </c>
      <c r="M41" s="18" t="n">
        <v>0.22932592</v>
      </c>
      <c r="N41" s="20" t="n">
        <v>0.24632199</v>
      </c>
      <c r="O41" s="18" t="n">
        <v>0</v>
      </c>
      <c r="P41" s="20" t="n">
        <v>0</v>
      </c>
      <c r="Q41" s="18" t="n">
        <v>0</v>
      </c>
      <c r="R41" s="20" t="n">
        <v>0</v>
      </c>
      <c r="S41" s="18" t="n">
        <v>1.9770477</v>
      </c>
      <c r="T41" s="20" t="n">
        <v>0.55917902</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12073</v>
      </c>
      <c r="C46" s="18">
        <f>(10180.0/B46*100)</f>
        <v/>
      </c>
      <c r="D46" s="19" t="n">
        <v>1893</v>
      </c>
      <c r="E46" s="18" t="n">
        <v>43.89473967</v>
      </c>
      <c r="F46" s="20" t="n">
        <v>1.75420749</v>
      </c>
      <c r="G46" s="18" t="n">
        <v>13.56320036</v>
      </c>
      <c r="H46" s="20" t="n">
        <v>1.21394976</v>
      </c>
      <c r="I46" s="18" t="n">
        <v>26.66823441</v>
      </c>
      <c r="J46" s="20" t="n">
        <v>1.41569003</v>
      </c>
      <c r="K46" s="18" t="n">
        <v>0</v>
      </c>
      <c r="L46" s="20" t="n">
        <v>0</v>
      </c>
      <c r="M46" s="18" t="n">
        <v>1.90678271</v>
      </c>
      <c r="N46" s="20" t="n">
        <v>0.3775891</v>
      </c>
      <c r="O46" s="18" t="n">
        <v>0.31464568</v>
      </c>
      <c r="P46" s="20" t="n">
        <v>0.17047496</v>
      </c>
      <c r="Q46" s="18" t="n">
        <v>0</v>
      </c>
      <c r="R46" s="20" t="n">
        <v>0</v>
      </c>
      <c r="S46" s="18" t="n">
        <v>13.65239716</v>
      </c>
      <c r="T46" s="20" t="n">
        <v>1.23369779</v>
      </c>
    </row>
    <row r="47" spans="1:20">
      <c r="A47" s="15" t="s">
        <v>606</v>
      </c>
      <c r="B47" s="17" t="n">
        <v>2823</v>
      </c>
      <c r="C47" s="18">
        <f>(2239.0/B47*100)</f>
        <v/>
      </c>
      <c r="D47" s="19" t="n">
        <v>584</v>
      </c>
      <c r="E47" s="18" t="n">
        <v>24.73689629</v>
      </c>
      <c r="F47" s="20" t="n">
        <v>1.86903766</v>
      </c>
      <c r="G47" s="18" t="n">
        <v>24.72608798</v>
      </c>
      <c r="H47" s="20" t="n">
        <v>1.97157306</v>
      </c>
      <c r="I47" s="18" t="n">
        <v>30.66593837</v>
      </c>
      <c r="J47" s="20" t="n">
        <v>2.19772582</v>
      </c>
      <c r="K47" s="18" t="n">
        <v>0</v>
      </c>
      <c r="L47" s="20" t="n">
        <v>0</v>
      </c>
      <c r="M47" s="18" t="n">
        <v>1.36954099</v>
      </c>
      <c r="N47" s="20" t="n">
        <v>0.58039338</v>
      </c>
      <c r="O47" s="18" t="n">
        <v>0.34173125</v>
      </c>
      <c r="P47" s="20" t="n">
        <v>0.23765745</v>
      </c>
      <c r="Q47" s="18" t="n">
        <v>0</v>
      </c>
      <c r="R47" s="20" t="n">
        <v>0</v>
      </c>
      <c r="S47" s="18" t="n">
        <v>18.15980512</v>
      </c>
      <c r="T47" s="20" t="n">
        <v>1.85410967</v>
      </c>
    </row>
    <row r="48" spans="1:20">
      <c r="A48" s="15" t="s">
        <v>607</v>
      </c>
      <c r="B48" s="17" t="n">
        <v>4682</v>
      </c>
      <c r="C48" s="18">
        <f>(3620.0/B48*100)</f>
        <v/>
      </c>
      <c r="D48" s="19" t="n">
        <v>1062</v>
      </c>
      <c r="E48" s="18" t="n">
        <v>18.16048394</v>
      </c>
      <c r="F48" s="20" t="n">
        <v>1.6346793</v>
      </c>
      <c r="G48" s="18" t="n">
        <v>27.10827225</v>
      </c>
      <c r="H48" s="20" t="n">
        <v>1.77513163</v>
      </c>
      <c r="I48" s="18" t="n">
        <v>48.24315777</v>
      </c>
      <c r="J48" s="20" t="n">
        <v>2.45320126</v>
      </c>
      <c r="K48" s="18" t="n">
        <v>0</v>
      </c>
      <c r="L48" s="20" t="n">
        <v>0</v>
      </c>
      <c r="M48" s="18" t="n">
        <v>0.6000932</v>
      </c>
      <c r="N48" s="20" t="n">
        <v>0.38504599</v>
      </c>
      <c r="O48" s="18" t="n">
        <v>0</v>
      </c>
      <c r="P48" s="20" t="n">
        <v>0</v>
      </c>
      <c r="Q48" s="18" t="n">
        <v>0</v>
      </c>
      <c r="R48" s="20" t="n">
        <v>0</v>
      </c>
      <c r="S48" s="18" t="n">
        <v>5.88799284</v>
      </c>
      <c r="T48" s="20" t="n">
        <v>1.02763178</v>
      </c>
    </row>
    <row r="49" spans="1:20">
      <c r="A49" s="15" t="s">
        <v>608</v>
      </c>
      <c r="B49" s="17" t="n">
        <v>6158</v>
      </c>
      <c r="C49" s="18">
        <f>(4894.0/B49*100)</f>
        <v/>
      </c>
      <c r="D49" s="19" t="n">
        <v>1264</v>
      </c>
      <c r="E49" s="18" t="n">
        <v>34.70252417</v>
      </c>
      <c r="F49" s="20" t="n">
        <v>1.75932262</v>
      </c>
      <c r="G49" s="18" t="n">
        <v>17.26489273</v>
      </c>
      <c r="H49" s="20" t="n">
        <v>1.58250598</v>
      </c>
      <c r="I49" s="18" t="n">
        <v>41.15464721</v>
      </c>
      <c r="J49" s="20" t="n">
        <v>2.01327576</v>
      </c>
      <c r="K49" s="18" t="n">
        <v>0</v>
      </c>
      <c r="L49" s="20" t="n">
        <v>0</v>
      </c>
      <c r="M49" s="18" t="n">
        <v>3.1031514</v>
      </c>
      <c r="N49" s="20" t="n">
        <v>0.67768857</v>
      </c>
      <c r="O49" s="18" t="n">
        <v>0.04174956</v>
      </c>
      <c r="P49" s="20" t="n">
        <v>0.02975615</v>
      </c>
      <c r="Q49" s="18" t="n">
        <v>0</v>
      </c>
      <c r="R49" s="20" t="n">
        <v>0</v>
      </c>
      <c r="S49" s="18" t="n">
        <v>3.73303494</v>
      </c>
      <c r="T49" s="20" t="n">
        <v>0.62275232</v>
      </c>
    </row>
    <row r="50" spans="1:20">
      <c r="A50" s="15" t="s">
        <v>609</v>
      </c>
      <c r="B50" s="17" t="n">
        <v>3494</v>
      </c>
      <c r="C50" s="18">
        <f>(2891.0/B50*100)</f>
        <v/>
      </c>
      <c r="D50" s="19" t="n">
        <v>603</v>
      </c>
      <c r="E50" s="18" t="n">
        <v>25.15057269</v>
      </c>
      <c r="F50" s="20" t="n">
        <v>1.58749322</v>
      </c>
      <c r="G50" s="18" t="n">
        <v>32.4240917</v>
      </c>
      <c r="H50" s="20" t="n">
        <v>2.01356896</v>
      </c>
      <c r="I50" s="18" t="n">
        <v>37.65286935</v>
      </c>
      <c r="J50" s="20" t="n">
        <v>2.27240833</v>
      </c>
      <c r="K50" s="18" t="n">
        <v>0</v>
      </c>
      <c r="L50" s="20" t="n">
        <v>0</v>
      </c>
      <c r="M50" s="18" t="n">
        <v>1.14000274</v>
      </c>
      <c r="N50" s="20" t="n">
        <v>0.51728356</v>
      </c>
      <c r="O50" s="18" t="n">
        <v>0</v>
      </c>
      <c r="P50" s="20" t="n">
        <v>0</v>
      </c>
      <c r="Q50" s="18" t="n">
        <v>0</v>
      </c>
      <c r="R50" s="20" t="n">
        <v>0</v>
      </c>
      <c r="S50" s="18" t="n">
        <v>3.63246351</v>
      </c>
      <c r="T50" s="20" t="n">
        <v>0.87459432</v>
      </c>
    </row>
    <row r="51" spans="1:20">
      <c r="A51" s="15" t="s">
        <v>610</v>
      </c>
      <c r="B51" s="17" t="n">
        <v>3013</v>
      </c>
      <c r="C51" s="18">
        <f>(2363.0/B51*100)</f>
        <v/>
      </c>
      <c r="D51" s="19" t="n">
        <v>650</v>
      </c>
      <c r="E51" s="18" t="n">
        <v>25.59972351</v>
      </c>
      <c r="F51" s="20" t="n">
        <v>1.96890205</v>
      </c>
      <c r="G51" s="18" t="n">
        <v>21.10169223</v>
      </c>
      <c r="H51" s="20" t="n">
        <v>1.47102693</v>
      </c>
      <c r="I51" s="18" t="n">
        <v>44.91747032</v>
      </c>
      <c r="J51" s="20" t="n">
        <v>2.15396979</v>
      </c>
      <c r="K51" s="18" t="n">
        <v>0</v>
      </c>
      <c r="L51" s="20" t="n">
        <v>0</v>
      </c>
      <c r="M51" s="18" t="n">
        <v>0</v>
      </c>
      <c r="N51" s="20" t="n">
        <v>0</v>
      </c>
      <c r="O51" s="18" t="n">
        <v>0</v>
      </c>
      <c r="P51" s="20" t="n">
        <v>0</v>
      </c>
      <c r="Q51" s="18" t="n">
        <v>0</v>
      </c>
      <c r="R51" s="20" t="n">
        <v>0</v>
      </c>
      <c r="S51" s="18" t="n">
        <v>8.38111395</v>
      </c>
      <c r="T51" s="20" t="n">
        <v>1.09024059</v>
      </c>
    </row>
    <row r="52" spans="1:20">
      <c r="A52" s="15" t="s">
        <v>611</v>
      </c>
      <c r="B52" s="17" t="n">
        <v>2760</v>
      </c>
      <c r="C52" s="18">
        <f>(2188.0/B52*100)</f>
        <v/>
      </c>
      <c r="D52" s="19" t="n">
        <v>572</v>
      </c>
      <c r="E52" s="18" t="n">
        <v>35.0368898</v>
      </c>
      <c r="F52" s="20" t="n">
        <v>2.29618154</v>
      </c>
      <c r="G52" s="18" t="n">
        <v>31.22711147</v>
      </c>
      <c r="H52" s="20" t="n">
        <v>2.1055499</v>
      </c>
      <c r="I52" s="18" t="n">
        <v>21.76462048</v>
      </c>
      <c r="J52" s="20" t="n">
        <v>1.63107422</v>
      </c>
      <c r="K52" s="18" t="n">
        <v>0</v>
      </c>
      <c r="L52" s="20" t="n">
        <v>0</v>
      </c>
      <c r="M52" s="18" t="n">
        <v>0.42990843</v>
      </c>
      <c r="N52" s="20" t="n">
        <v>0.33280963</v>
      </c>
      <c r="O52" s="18" t="n">
        <v>0</v>
      </c>
      <c r="P52" s="20" t="n">
        <v>0</v>
      </c>
      <c r="Q52" s="18" t="n">
        <v>0</v>
      </c>
      <c r="R52" s="20" t="n">
        <v>0</v>
      </c>
      <c r="S52" s="18" t="n">
        <v>11.54146982</v>
      </c>
      <c r="T52" s="20" t="n">
        <v>1.35434856</v>
      </c>
    </row>
    <row r="53" spans="1:20">
      <c r="A53" s="15" t="s">
        <v>612</v>
      </c>
      <c r="B53" s="17" t="n">
        <v>2474</v>
      </c>
      <c r="C53" s="18">
        <f>(1945.0/B53*100)</f>
        <v/>
      </c>
      <c r="D53" s="19" t="n">
        <v>529</v>
      </c>
      <c r="E53" s="18" t="n">
        <v>45.1325099</v>
      </c>
      <c r="F53" s="20" t="n">
        <v>2.5496582</v>
      </c>
      <c r="G53" s="18" t="n">
        <v>8.6458405</v>
      </c>
      <c r="H53" s="20" t="n">
        <v>1.25913606</v>
      </c>
      <c r="I53" s="18" t="n">
        <v>19.44201298</v>
      </c>
      <c r="J53" s="20" t="n">
        <v>1.67119859</v>
      </c>
      <c r="K53" s="18" t="n">
        <v>0</v>
      </c>
      <c r="L53" s="20" t="n">
        <v>0</v>
      </c>
      <c r="M53" s="18" t="n">
        <v>14.69951019</v>
      </c>
      <c r="N53" s="20" t="n">
        <v>1.67403307</v>
      </c>
      <c r="O53" s="18" t="n">
        <v>1.1743113</v>
      </c>
      <c r="P53" s="20" t="n">
        <v>0.94965694</v>
      </c>
      <c r="Q53" s="18" t="n">
        <v>0</v>
      </c>
      <c r="R53" s="20" t="n">
        <v>0</v>
      </c>
      <c r="S53" s="18" t="n">
        <v>10.90581512</v>
      </c>
      <c r="T53" s="20" t="n">
        <v>1.45884358</v>
      </c>
    </row>
    <row r="54" spans="1:20">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2675</v>
      </c>
      <c r="C55" s="18">
        <f>(2109.0/B55*100)</f>
        <v/>
      </c>
      <c r="D55" s="19" t="n">
        <v>566</v>
      </c>
      <c r="E55" s="18" t="n">
        <v>19.73287682</v>
      </c>
      <c r="F55" s="20" t="n">
        <v>1.43986384</v>
      </c>
      <c r="G55" s="18" t="n">
        <v>24.32733295</v>
      </c>
      <c r="H55" s="20" t="n">
        <v>1.7605249</v>
      </c>
      <c r="I55" s="18" t="n">
        <v>51.32376073</v>
      </c>
      <c r="J55" s="20" t="n">
        <v>2.31706952</v>
      </c>
      <c r="K55" s="18" t="n">
        <v>0</v>
      </c>
      <c r="L55" s="20" t="n">
        <v>0</v>
      </c>
      <c r="M55" s="18" t="n">
        <v>0.18964467</v>
      </c>
      <c r="N55" s="20" t="n">
        <v>0.18760759</v>
      </c>
      <c r="O55" s="18" t="n">
        <v>0</v>
      </c>
      <c r="P55" s="20" t="n">
        <v>0</v>
      </c>
      <c r="Q55" s="18" t="n">
        <v>0</v>
      </c>
      <c r="R55" s="20" t="n">
        <v>0</v>
      </c>
      <c r="S55" s="18" t="n">
        <v>4.42638482</v>
      </c>
      <c r="T55" s="20" t="n">
        <v>0.77369174</v>
      </c>
    </row>
    <row r="56" spans="1:20">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3201</v>
      </c>
      <c r="C61" s="18">
        <f>(2516.0/B61*100)</f>
        <v/>
      </c>
      <c r="D61" s="19" t="n">
        <v>685</v>
      </c>
      <c r="E61" s="18" t="n">
        <v>39.17683751</v>
      </c>
      <c r="F61" s="20" t="n">
        <v>2.21182904</v>
      </c>
      <c r="G61" s="18" t="n">
        <v>18.90500821</v>
      </c>
      <c r="H61" s="20" t="n">
        <v>1.3874882</v>
      </c>
      <c r="I61" s="18" t="n">
        <v>34.02779072</v>
      </c>
      <c r="J61" s="20" t="n">
        <v>1.93956838</v>
      </c>
      <c r="K61" s="18" t="n">
        <v>0</v>
      </c>
      <c r="L61" s="20" t="n">
        <v>0</v>
      </c>
      <c r="M61" s="18" t="n">
        <v>0.18551943</v>
      </c>
      <c r="N61" s="20" t="n">
        <v>0.19253177</v>
      </c>
      <c r="O61" s="18" t="n">
        <v>0.17423269</v>
      </c>
      <c r="P61" s="20" t="n">
        <v>0.17260347</v>
      </c>
      <c r="Q61" s="18" t="n">
        <v>0</v>
      </c>
      <c r="R61" s="20" t="n">
        <v>0</v>
      </c>
      <c r="S61" s="18" t="n">
        <v>7.53061143</v>
      </c>
      <c r="T61" s="20" t="n">
        <v>1.05447686</v>
      </c>
    </row>
    <row r="62" spans="1:20">
      <c r="A62" s="15" t="s">
        <v>622</v>
      </c>
      <c r="B62" s="17" t="n">
        <v>2230</v>
      </c>
      <c r="C62" s="18">
        <f>(1731.0/B62*100)</f>
        <v/>
      </c>
      <c r="D62" s="19" t="n">
        <v>499</v>
      </c>
      <c r="E62" s="18" t="n">
        <v>23.08936302</v>
      </c>
      <c r="F62" s="20" t="n">
        <v>1.78349916</v>
      </c>
      <c r="G62" s="18" t="n">
        <v>23.03721055</v>
      </c>
      <c r="H62" s="20" t="n">
        <v>1.81671226</v>
      </c>
      <c r="I62" s="18" t="n">
        <v>52.87837815</v>
      </c>
      <c r="J62" s="20" t="n">
        <v>2.33789703</v>
      </c>
      <c r="K62" s="18" t="n">
        <v>0</v>
      </c>
      <c r="L62" s="20" t="n">
        <v>0</v>
      </c>
      <c r="M62" s="18" t="n">
        <v>0</v>
      </c>
      <c r="N62" s="20" t="n">
        <v>0</v>
      </c>
      <c r="O62" s="18" t="n">
        <v>0</v>
      </c>
      <c r="P62" s="20" t="n">
        <v>0</v>
      </c>
      <c r="Q62" s="18" t="n">
        <v>0</v>
      </c>
      <c r="R62" s="20" t="n">
        <v>0</v>
      </c>
      <c r="S62" s="18" t="n">
        <v>0.99504828</v>
      </c>
      <c r="T62" s="20" t="n">
        <v>0.34667471</v>
      </c>
    </row>
    <row r="63" spans="1:20">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2771</v>
      </c>
      <c r="C67" s="18">
        <f>(2209.0/B67*100)</f>
        <v/>
      </c>
      <c r="D67" s="19" t="n">
        <v>562</v>
      </c>
      <c r="E67" s="18" t="n">
        <v>21.58923943</v>
      </c>
      <c r="F67" s="20" t="n">
        <v>1.83606756</v>
      </c>
      <c r="G67" s="18" t="n">
        <v>20.5047317</v>
      </c>
      <c r="H67" s="20" t="n">
        <v>1.78095317</v>
      </c>
      <c r="I67" s="18" t="n">
        <v>36.04236165</v>
      </c>
      <c r="J67" s="20" t="n">
        <v>2.04793729</v>
      </c>
      <c r="K67" s="18" t="n">
        <v>0</v>
      </c>
      <c r="L67" s="20" t="n">
        <v>0</v>
      </c>
      <c r="M67" s="18" t="n">
        <v>0.9420638</v>
      </c>
      <c r="N67" s="20" t="n">
        <v>0.42823551</v>
      </c>
      <c r="O67" s="18" t="n">
        <v>0.3496773</v>
      </c>
      <c r="P67" s="20" t="n">
        <v>0.24975498</v>
      </c>
      <c r="Q67" s="18" t="n">
        <v>0</v>
      </c>
      <c r="R67" s="20" t="n">
        <v>0</v>
      </c>
      <c r="S67" s="18" t="n">
        <v>20.57192613</v>
      </c>
      <c r="T67" s="20" t="n">
        <v>1.71957318</v>
      </c>
    </row>
    <row r="68" spans="1:20">
      <c r="A68" s="15" t="s">
        <v>628</v>
      </c>
      <c r="B68" s="17" t="n">
        <v>3460</v>
      </c>
      <c r="C68" s="18">
        <f>(2868.0/B68*100)</f>
        <v/>
      </c>
      <c r="D68" s="19" t="n">
        <v>592</v>
      </c>
      <c r="E68" s="18" t="n">
        <v>52.90403769</v>
      </c>
      <c r="F68" s="20" t="n">
        <v>2.21000777</v>
      </c>
      <c r="G68" s="18" t="n">
        <v>11.81990657</v>
      </c>
      <c r="H68" s="20" t="n">
        <v>1.45979748</v>
      </c>
      <c r="I68" s="18" t="n">
        <v>30.64765217</v>
      </c>
      <c r="J68" s="20" t="n">
        <v>1.69103514</v>
      </c>
      <c r="K68" s="18" t="n">
        <v>0</v>
      </c>
      <c r="L68" s="20" t="n">
        <v>0</v>
      </c>
      <c r="M68" s="18" t="n">
        <v>0.72656972</v>
      </c>
      <c r="N68" s="20" t="n">
        <v>0.36596338</v>
      </c>
      <c r="O68" s="18" t="n">
        <v>0.5025771999999999</v>
      </c>
      <c r="P68" s="20" t="n">
        <v>0.28755448</v>
      </c>
      <c r="Q68" s="18" t="n">
        <v>0</v>
      </c>
      <c r="R68" s="20" t="n">
        <v>0</v>
      </c>
      <c r="S68" s="18" t="n">
        <v>3.39925665</v>
      </c>
      <c r="T68" s="20" t="n">
        <v>0.78784273</v>
      </c>
    </row>
    <row r="69" spans="1:20">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6034</v>
      </c>
      <c r="C70" s="18">
        <f>(4719.0/B70*100)</f>
        <v/>
      </c>
      <c r="D70" s="19" t="n">
        <v>1315</v>
      </c>
      <c r="E70" s="18" t="n">
        <v>55.99218443</v>
      </c>
      <c r="F70" s="20" t="n">
        <v>1.34324603</v>
      </c>
      <c r="G70" s="18" t="n">
        <v>15.49350009</v>
      </c>
      <c r="H70" s="20" t="n">
        <v>1.15807066</v>
      </c>
      <c r="I70" s="18" t="n">
        <v>19.757171</v>
      </c>
      <c r="J70" s="20" t="n">
        <v>1.0855628</v>
      </c>
      <c r="K70" s="18" t="n">
        <v>0</v>
      </c>
      <c r="L70" s="20" t="n">
        <v>0</v>
      </c>
      <c r="M70" s="18" t="n">
        <v>2.55324633</v>
      </c>
      <c r="N70" s="20" t="n">
        <v>0.45094008</v>
      </c>
      <c r="O70" s="18" t="n">
        <v>0</v>
      </c>
      <c r="P70" s="20" t="n">
        <v>0</v>
      </c>
      <c r="Q70" s="18" t="n">
        <v>0</v>
      </c>
      <c r="R70" s="20" t="n">
        <v>0</v>
      </c>
      <c r="S70" s="18" t="n">
        <v>6.20389816</v>
      </c>
      <c r="T70" s="20" t="n">
        <v>0.66596229</v>
      </c>
    </row>
    <row r="71" spans="1:20">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3107</v>
      </c>
      <c r="C72" s="18">
        <f>(2455.0/B72*100)</f>
        <v/>
      </c>
      <c r="D72" s="19" t="n">
        <v>652</v>
      </c>
      <c r="E72" s="18" t="n">
        <v>24.90022477</v>
      </c>
      <c r="F72" s="20" t="n">
        <v>2.25544734</v>
      </c>
      <c r="G72" s="18" t="n">
        <v>18.43144638</v>
      </c>
      <c r="H72" s="20" t="n">
        <v>2.23008768</v>
      </c>
      <c r="I72" s="18" t="n">
        <v>48.44323128</v>
      </c>
      <c r="J72" s="20" t="n">
        <v>2.57772406</v>
      </c>
      <c r="K72" s="18" t="n">
        <v>0</v>
      </c>
      <c r="L72" s="20" t="n">
        <v>0</v>
      </c>
      <c r="M72" s="18" t="n">
        <v>0.7928557000000001</v>
      </c>
      <c r="N72" s="20" t="n">
        <v>0.46452361</v>
      </c>
      <c r="O72" s="18" t="n">
        <v>0</v>
      </c>
      <c r="P72" s="20" t="n">
        <v>0</v>
      </c>
      <c r="Q72" s="18" t="n">
        <v>0</v>
      </c>
      <c r="R72" s="20" t="n">
        <v>0</v>
      </c>
      <c r="S72" s="18" t="n">
        <v>7.43224186</v>
      </c>
      <c r="T72" s="20" t="n">
        <v>1.1331751</v>
      </c>
    </row>
    <row r="73" spans="1:20">
      <c r="A73" s="15" t="s">
        <v>633</v>
      </c>
      <c r="B73" s="17" t="n">
        <v>2973</v>
      </c>
      <c r="C73" s="18">
        <f>(2302.0/B73*100)</f>
        <v/>
      </c>
      <c r="D73" s="19" t="n">
        <v>671</v>
      </c>
      <c r="E73" s="18" t="n">
        <v>22.52214643</v>
      </c>
      <c r="F73" s="20" t="n">
        <v>1.86823254</v>
      </c>
      <c r="G73" s="18" t="n">
        <v>14.59375225</v>
      </c>
      <c r="H73" s="20" t="n">
        <v>1.40765195</v>
      </c>
      <c r="I73" s="18" t="n">
        <v>61.31805328</v>
      </c>
      <c r="J73" s="20" t="n">
        <v>2.0514719</v>
      </c>
      <c r="K73" s="18" t="n">
        <v>0</v>
      </c>
      <c r="L73" s="20" t="n">
        <v>0</v>
      </c>
      <c r="M73" s="18" t="n">
        <v>0.46240959</v>
      </c>
      <c r="N73" s="20" t="n">
        <v>0.26815632</v>
      </c>
      <c r="O73" s="18" t="n">
        <v>0</v>
      </c>
      <c r="P73" s="20" t="n">
        <v>0</v>
      </c>
      <c r="Q73" s="18" t="n">
        <v>0</v>
      </c>
      <c r="R73" s="20" t="n">
        <v>0</v>
      </c>
      <c r="S73" s="18" t="n">
        <v>1.10363845</v>
      </c>
      <c r="T73" s="20" t="n">
        <v>0.39574827</v>
      </c>
    </row>
    <row r="74" spans="1:20">
      <c r="A74" s="15" t="s">
        <v>634</v>
      </c>
      <c r="B74" s="17" t="n">
        <v>3819</v>
      </c>
      <c r="C74" s="18">
        <f>(2940.0/B74*100)</f>
        <v/>
      </c>
      <c r="D74" s="19" t="n">
        <v>879</v>
      </c>
      <c r="E74" s="18" t="n">
        <v>23.26325029</v>
      </c>
      <c r="F74" s="20" t="n">
        <v>1.6962292</v>
      </c>
      <c r="G74" s="18" t="n">
        <v>19.51925985</v>
      </c>
      <c r="H74" s="20" t="n">
        <v>1.71983771</v>
      </c>
      <c r="I74" s="18" t="n">
        <v>52.17635621</v>
      </c>
      <c r="J74" s="20" t="n">
        <v>1.95260625</v>
      </c>
      <c r="K74" s="18" t="n">
        <v>0</v>
      </c>
      <c r="L74" s="20" t="n">
        <v>0</v>
      </c>
      <c r="M74" s="18" t="n">
        <v>0.08732912</v>
      </c>
      <c r="N74" s="20" t="n">
        <v>0.08834295</v>
      </c>
      <c r="O74" s="18" t="n">
        <v>0</v>
      </c>
      <c r="P74" s="20" t="n">
        <v>0</v>
      </c>
      <c r="Q74" s="18" t="n">
        <v>0</v>
      </c>
      <c r="R74" s="20" t="n">
        <v>0</v>
      </c>
      <c r="S74" s="18" t="n">
        <v>4.95380454</v>
      </c>
      <c r="T74" s="20" t="n">
        <v>0.84873474</v>
      </c>
    </row>
    <row r="75" spans="1:20">
      <c r="A75" s="15" t="s">
        <v>635</v>
      </c>
      <c r="B75" s="17" t="n">
        <v>4652</v>
      </c>
      <c r="C75" s="18">
        <f>(3685.0/B75*100)</f>
        <v/>
      </c>
      <c r="D75" s="19" t="n">
        <v>967</v>
      </c>
      <c r="E75" s="18" t="n">
        <v>51.80331725</v>
      </c>
      <c r="F75" s="20" t="n">
        <v>1.98710964</v>
      </c>
      <c r="G75" s="18" t="n">
        <v>17.34231503</v>
      </c>
      <c r="H75" s="20" t="n">
        <v>1.57005544</v>
      </c>
      <c r="I75" s="18" t="n">
        <v>28.63244695</v>
      </c>
      <c r="J75" s="20" t="n">
        <v>1.96858592</v>
      </c>
      <c r="K75" s="18" t="n">
        <v>0</v>
      </c>
      <c r="L75" s="20" t="n">
        <v>0</v>
      </c>
      <c r="M75" s="18" t="n">
        <v>0.29094425</v>
      </c>
      <c r="N75" s="20" t="n">
        <v>0.17718526</v>
      </c>
      <c r="O75" s="18" t="n">
        <v>0.36394449</v>
      </c>
      <c r="P75" s="20" t="n">
        <v>0.2566153</v>
      </c>
      <c r="Q75" s="18" t="n">
        <v>0</v>
      </c>
      <c r="R75" s="20" t="n">
        <v>0</v>
      </c>
      <c r="S75" s="18" t="n">
        <v>1.56703202</v>
      </c>
      <c r="T75" s="20" t="n">
        <v>0.44997752</v>
      </c>
    </row>
    <row r="76" spans="1:20">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2969</v>
      </c>
      <c r="C77" s="18">
        <f>(2410.0/B77*100)</f>
        <v/>
      </c>
      <c r="D77" s="19" t="n">
        <v>559</v>
      </c>
      <c r="E77" s="18" t="n">
        <v>56.84348439</v>
      </c>
      <c r="F77" s="20" t="n">
        <v>2.21912127</v>
      </c>
      <c r="G77" s="18" t="n">
        <v>12.45013623</v>
      </c>
      <c r="H77" s="20" t="n">
        <v>1.40468748</v>
      </c>
      <c r="I77" s="18" t="n">
        <v>5.87331521</v>
      </c>
      <c r="J77" s="20" t="n">
        <v>1.06984656</v>
      </c>
      <c r="K77" s="18" t="n">
        <v>0</v>
      </c>
      <c r="L77" s="20" t="n">
        <v>0</v>
      </c>
      <c r="M77" s="18" t="n">
        <v>4.80987265</v>
      </c>
      <c r="N77" s="20" t="n">
        <v>1.02826145</v>
      </c>
      <c r="O77" s="18" t="n">
        <v>0.68773184</v>
      </c>
      <c r="P77" s="20" t="n">
        <v>0.35181075</v>
      </c>
      <c r="Q77" s="18" t="n">
        <v>0</v>
      </c>
      <c r="R77" s="20" t="n">
        <v>0</v>
      </c>
      <c r="S77" s="18" t="n">
        <v>19.33545968</v>
      </c>
      <c r="T77" s="20" t="n">
        <v>1.87960636</v>
      </c>
    </row>
    <row r="78" spans="1:20">
      <c r="A78" s="15" t="s">
        <v>638</v>
      </c>
      <c r="B78" s="17" t="n">
        <v>7115</v>
      </c>
      <c r="C78" s="18">
        <f>(5569.0/B78*100)</f>
        <v/>
      </c>
      <c r="D78" s="19" t="n">
        <v>1546</v>
      </c>
      <c r="E78" s="18" t="n">
        <v>48.66594055</v>
      </c>
      <c r="F78" s="20" t="n">
        <v>2.08562899</v>
      </c>
      <c r="G78" s="18" t="n">
        <v>16.11248753</v>
      </c>
      <c r="H78" s="20" t="n">
        <v>1.5103193</v>
      </c>
      <c r="I78" s="18" t="n">
        <v>32.29590179</v>
      </c>
      <c r="J78" s="20" t="n">
        <v>1.60936774</v>
      </c>
      <c r="K78" s="18" t="n">
        <v>0</v>
      </c>
      <c r="L78" s="20" t="n">
        <v>0</v>
      </c>
      <c r="M78" s="18" t="n">
        <v>0.55027838</v>
      </c>
      <c r="N78" s="20" t="n">
        <v>0.24368236</v>
      </c>
      <c r="O78" s="18" t="n">
        <v>0.14456418</v>
      </c>
      <c r="P78" s="20" t="n">
        <v>0.08981456</v>
      </c>
      <c r="Q78" s="18" t="n">
        <v>0</v>
      </c>
      <c r="R78" s="20" t="n">
        <v>0</v>
      </c>
      <c r="S78" s="18" t="n">
        <v>2.23082757</v>
      </c>
      <c r="T78" s="20" t="n">
        <v>0.49821492</v>
      </c>
    </row>
    <row r="79" spans="1:20">
      <c r="A79" s="15" t="s">
        <v>639</v>
      </c>
      <c r="B79" s="17" t="n">
        <v>3154</v>
      </c>
      <c r="C79" s="18">
        <f>(2532.0/B79*100)</f>
        <v/>
      </c>
      <c r="D79" s="19" t="n">
        <v>622</v>
      </c>
      <c r="E79" s="18" t="n">
        <v>16.52777964</v>
      </c>
      <c r="F79" s="20" t="n">
        <v>1.61917944</v>
      </c>
      <c r="G79" s="18" t="n">
        <v>22.07158246</v>
      </c>
      <c r="H79" s="20" t="n">
        <v>1.77149492</v>
      </c>
      <c r="I79" s="18" t="n">
        <v>48.88101397</v>
      </c>
      <c r="J79" s="20" t="n">
        <v>2.09583745</v>
      </c>
      <c r="K79" s="18" t="n">
        <v>0</v>
      </c>
      <c r="L79" s="20" t="n">
        <v>0</v>
      </c>
      <c r="M79" s="18" t="n">
        <v>1.27212518</v>
      </c>
      <c r="N79" s="20" t="n">
        <v>0.49374577</v>
      </c>
      <c r="O79" s="18" t="n">
        <v>0</v>
      </c>
      <c r="P79" s="20" t="n">
        <v>0</v>
      </c>
      <c r="Q79" s="18" t="n">
        <v>0</v>
      </c>
      <c r="R79" s="20" t="n">
        <v>0</v>
      </c>
      <c r="S79" s="18" t="n">
        <v>11.24749875</v>
      </c>
      <c r="T79" s="20" t="n">
        <v>1.37498471</v>
      </c>
    </row>
    <row r="80" spans="1:20">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15961</v>
      </c>
      <c r="C82" s="18">
        <f>(12525.0/B82*100)</f>
        <v/>
      </c>
      <c r="D82" s="19" t="n">
        <v>3436</v>
      </c>
      <c r="E82" s="18" t="n">
        <v>27.68371417</v>
      </c>
      <c r="F82" s="20" t="n">
        <v>1.09770191</v>
      </c>
      <c r="G82" s="18" t="n">
        <v>28.13557437</v>
      </c>
      <c r="H82" s="20" t="n">
        <v>1.21131839</v>
      </c>
      <c r="I82" s="18" t="n">
        <v>40.77141949</v>
      </c>
      <c r="J82" s="20" t="n">
        <v>1.41990683</v>
      </c>
      <c r="K82" s="18" t="n">
        <v>0</v>
      </c>
      <c r="L82" s="20" t="n">
        <v>0</v>
      </c>
      <c r="M82" s="18" t="n">
        <v>0.33646437</v>
      </c>
      <c r="N82" s="20" t="n">
        <v>0.14220411</v>
      </c>
      <c r="O82" s="18" t="n">
        <v>0.18417369</v>
      </c>
      <c r="P82" s="20" t="n">
        <v>0.12940773</v>
      </c>
      <c r="Q82" s="18" t="n">
        <v>0</v>
      </c>
      <c r="R82" s="20" t="n">
        <v>0</v>
      </c>
      <c r="S82" s="18" t="n">
        <v>2.88865391</v>
      </c>
      <c r="T82" s="20" t="n">
        <v>0.36170365</v>
      </c>
    </row>
    <row r="83" spans="1:20">
      <c r="A83" s="15" t="s">
        <v>643</v>
      </c>
      <c r="B83" s="17" t="n">
        <v>808</v>
      </c>
      <c r="C83" s="18">
        <f>(630.0/B83*100)</f>
        <v/>
      </c>
      <c r="D83" s="19" t="n">
        <v>178</v>
      </c>
      <c r="E83" s="18" t="n">
        <v>34.14130564</v>
      </c>
      <c r="F83" s="20" t="n">
        <v>3.7893359</v>
      </c>
      <c r="G83" s="18" t="n">
        <v>15.78568112</v>
      </c>
      <c r="H83" s="20" t="n">
        <v>2.63426758</v>
      </c>
      <c r="I83" s="18" t="n">
        <v>48.76766575</v>
      </c>
      <c r="J83" s="20" t="n">
        <v>3.68228512</v>
      </c>
      <c r="K83" s="18" t="n">
        <v>0</v>
      </c>
      <c r="L83" s="20" t="n">
        <v>0</v>
      </c>
      <c r="M83" s="18" t="n">
        <v>0</v>
      </c>
      <c r="N83" s="20" t="n">
        <v>0</v>
      </c>
      <c r="O83" s="18" t="n">
        <v>0</v>
      </c>
      <c r="P83" s="20" t="n">
        <v>0</v>
      </c>
      <c r="Q83" s="18" t="n">
        <v>0</v>
      </c>
      <c r="R83" s="20" t="n">
        <v>0</v>
      </c>
      <c r="S83" s="18" t="n">
        <v>1.30534748</v>
      </c>
      <c r="T83" s="20" t="n">
        <v>0.78933215</v>
      </c>
    </row>
    <row r="84" spans="1:20">
      <c r="A84" s="23" t="s">
        <v>644</v>
      </c>
      <c r="B84" s="24" t="n">
        <v>938</v>
      </c>
      <c r="C84" s="25">
        <f>(746.0/B84*100)</f>
        <v/>
      </c>
      <c r="D84" s="19" t="n">
        <v>192</v>
      </c>
      <c r="E84" s="18" t="n">
        <v>36.50611098</v>
      </c>
      <c r="F84" s="20" t="n">
        <v>3.31769959</v>
      </c>
      <c r="G84" s="18" t="n">
        <v>20.34260744</v>
      </c>
      <c r="H84" s="20" t="n">
        <v>2.57886306</v>
      </c>
      <c r="I84" s="18" t="n">
        <v>41.47654024</v>
      </c>
      <c r="J84" s="20" t="n">
        <v>3.46767647</v>
      </c>
      <c r="K84" s="18" t="n">
        <v>0</v>
      </c>
      <c r="L84" s="20" t="n">
        <v>0</v>
      </c>
      <c r="M84" s="18" t="n">
        <v>0</v>
      </c>
      <c r="N84" s="20" t="n">
        <v>0</v>
      </c>
      <c r="O84" s="18" t="n">
        <v>0</v>
      </c>
      <c r="P84" s="20" t="n">
        <v>0</v>
      </c>
      <c r="Q84" s="18" t="n">
        <v>0</v>
      </c>
      <c r="R84" s="20" t="n">
        <v>0</v>
      </c>
      <c r="S84" s="18" t="n">
        <v>1.67474134</v>
      </c>
      <c r="T84" s="20" t="n">
        <v>0.94409554</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(5642.0/B7*100)</f>
        <v/>
      </c>
      <c r="D7" s="19" t="n">
        <v>1521</v>
      </c>
      <c r="E7" s="18" t="n">
        <v>59.82785916</v>
      </c>
      <c r="F7" s="20" t="n">
        <v>1.51117526</v>
      </c>
      <c r="G7" s="18" t="n">
        <v>39.03256803</v>
      </c>
      <c r="H7" s="20" t="n">
        <v>1.52176274</v>
      </c>
      <c r="I7" s="18" t="n">
        <v>0</v>
      </c>
      <c r="J7" s="20" t="n">
        <v>0</v>
      </c>
      <c r="K7" s="18" t="n">
        <v>0.54813203</v>
      </c>
      <c r="L7" s="20" t="n">
        <v>0.22946297</v>
      </c>
      <c r="M7" s="18" t="n">
        <v>0</v>
      </c>
      <c r="N7" s="20" t="n">
        <v>0</v>
      </c>
      <c r="O7" s="18" t="n">
        <v>0</v>
      </c>
      <c r="P7" s="20" t="n">
        <v>0</v>
      </c>
      <c r="Q7" s="18" t="n">
        <v>0.5914407699999999</v>
      </c>
      <c r="R7" s="20" t="n">
        <v>0.19977519</v>
      </c>
    </row>
    <row r="8" spans="1:18">
      <c r="A8" s="15" t="s">
        <v>566</v>
      </c>
      <c r="B8" s="17" t="n">
        <v>3443</v>
      </c>
      <c r="C8" s="18">
        <f>(2675.0/B8*100)</f>
        <v/>
      </c>
      <c r="D8" s="19" t="n">
        <v>768</v>
      </c>
      <c r="E8" s="18" t="n">
        <v>60.44913455</v>
      </c>
      <c r="F8" s="20" t="n">
        <v>1.93007594</v>
      </c>
      <c r="G8" s="18" t="n">
        <v>39.32216056</v>
      </c>
      <c r="H8" s="20" t="n">
        <v>1.94607447</v>
      </c>
      <c r="I8" s="18" t="n">
        <v>0</v>
      </c>
      <c r="J8" s="20" t="n">
        <v>0</v>
      </c>
      <c r="K8" s="18" t="n">
        <v>0.06746921</v>
      </c>
      <c r="L8" s="20" t="n">
        <v>0.04790777</v>
      </c>
      <c r="M8" s="18" t="n">
        <v>0</v>
      </c>
      <c r="N8" s="20" t="n">
        <v>0</v>
      </c>
      <c r="O8" s="18" t="n">
        <v>0</v>
      </c>
      <c r="P8" s="20" t="n">
        <v>0</v>
      </c>
      <c r="Q8" s="18" t="n">
        <v>0.16123568</v>
      </c>
      <c r="R8" s="20" t="n">
        <v>0.13347859</v>
      </c>
    </row>
    <row r="9" spans="1:18">
      <c r="A9" s="15" t="s">
        <v>567</v>
      </c>
      <c r="B9" s="17" t="n">
        <v>4752</v>
      </c>
      <c r="C9" s="18">
        <f>(3747.0/B9*100)</f>
        <v/>
      </c>
      <c r="D9" s="19" t="n">
        <v>1005</v>
      </c>
      <c r="E9" s="18" t="n">
        <v>63.23781394</v>
      </c>
      <c r="F9" s="20" t="n">
        <v>1.62308116</v>
      </c>
      <c r="G9" s="18" t="n">
        <v>35.65148271</v>
      </c>
      <c r="H9" s="20" t="n">
        <v>1.63337454</v>
      </c>
      <c r="I9" s="18" t="n">
        <v>0</v>
      </c>
      <c r="J9" s="20" t="n">
        <v>0</v>
      </c>
      <c r="K9" s="18" t="n">
        <v>0.54071179</v>
      </c>
      <c r="L9" s="20" t="n">
        <v>0.18449739</v>
      </c>
      <c r="M9" s="18" t="n">
        <v>0</v>
      </c>
      <c r="N9" s="20" t="n">
        <v>0</v>
      </c>
      <c r="O9" s="18" t="n">
        <v>0</v>
      </c>
      <c r="P9" s="20" t="n">
        <v>0</v>
      </c>
      <c r="Q9" s="18" t="n">
        <v>0.56999156</v>
      </c>
      <c r="R9" s="20" t="n">
        <v>0.16105788</v>
      </c>
    </row>
    <row r="10" spans="1:18">
      <c r="A10" s="15" t="s">
        <v>568</v>
      </c>
      <c r="B10" s="17" t="n">
        <v>10022</v>
      </c>
      <c r="C10" s="18">
        <f>(7840.0/B10*100)</f>
        <v/>
      </c>
      <c r="D10" s="19" t="n">
        <v>2182</v>
      </c>
      <c r="E10" s="18" t="n">
        <v>58.96240366</v>
      </c>
      <c r="F10" s="20" t="n">
        <v>1.51999689</v>
      </c>
      <c r="G10" s="18" t="n">
        <v>39.8925854</v>
      </c>
      <c r="H10" s="20" t="n">
        <v>1.59052872</v>
      </c>
      <c r="I10" s="18" t="n">
        <v>0</v>
      </c>
      <c r="J10" s="20" t="n">
        <v>0</v>
      </c>
      <c r="K10" s="18" t="n">
        <v>0.99419541</v>
      </c>
      <c r="L10" s="20" t="n">
        <v>0.32740751</v>
      </c>
      <c r="M10" s="18" t="n">
        <v>0</v>
      </c>
      <c r="N10" s="20" t="n">
        <v>0</v>
      </c>
      <c r="O10" s="18" t="n">
        <v>0</v>
      </c>
      <c r="P10" s="20" t="n">
        <v>0</v>
      </c>
      <c r="Q10" s="18" t="n">
        <v>0.15081554</v>
      </c>
      <c r="R10" s="20" t="n">
        <v>0.09643558000000001</v>
      </c>
    </row>
    <row r="11" spans="1:18">
      <c r="A11" s="15" t="s">
        <v>569</v>
      </c>
      <c r="B11" s="17" t="n">
        <v>3500</v>
      </c>
      <c r="C11" s="18">
        <f>(2789.0/B11*100)</f>
        <v/>
      </c>
      <c r="D11" s="19" t="n">
        <v>711</v>
      </c>
      <c r="E11" s="18" t="n">
        <v>72.58106384</v>
      </c>
      <c r="F11" s="20" t="n">
        <v>2.24770842</v>
      </c>
      <c r="G11" s="18" t="n">
        <v>25.75830017</v>
      </c>
      <c r="H11" s="20" t="n">
        <v>2.25299885</v>
      </c>
      <c r="I11" s="18" t="n">
        <v>0</v>
      </c>
      <c r="J11" s="20" t="n">
        <v>0</v>
      </c>
      <c r="K11" s="18" t="n">
        <v>1.05254731</v>
      </c>
      <c r="L11" s="20" t="n">
        <v>0.38195612</v>
      </c>
      <c r="M11" s="18" t="n">
        <v>0</v>
      </c>
      <c r="N11" s="20" t="n">
        <v>0</v>
      </c>
      <c r="O11" s="18" t="n">
        <v>0</v>
      </c>
      <c r="P11" s="20" t="n">
        <v>0</v>
      </c>
      <c r="Q11" s="18" t="n">
        <v>0.60808868</v>
      </c>
      <c r="R11" s="20" t="n">
        <v>0.4116412</v>
      </c>
    </row>
    <row r="12" spans="1:18">
      <c r="A12" s="15" t="s">
        <v>570</v>
      </c>
      <c r="B12" s="17" t="n">
        <v>3422</v>
      </c>
      <c r="C12" s="18">
        <f>(2692.0/B12*100)</f>
        <v/>
      </c>
      <c r="D12" s="19" t="n">
        <v>730</v>
      </c>
      <c r="E12" s="18" t="n">
        <v>60.77301428</v>
      </c>
      <c r="F12" s="20" t="n">
        <v>2.2843427</v>
      </c>
      <c r="G12" s="18" t="n">
        <v>38.82173327</v>
      </c>
      <c r="H12" s="20" t="n">
        <v>2.27120461</v>
      </c>
      <c r="I12" s="18" t="n">
        <v>0</v>
      </c>
      <c r="J12" s="20" t="n">
        <v>0</v>
      </c>
      <c r="K12" s="18" t="n">
        <v>0.26893766</v>
      </c>
      <c r="L12" s="20" t="n">
        <v>0.17569874</v>
      </c>
      <c r="M12" s="18" t="n">
        <v>0</v>
      </c>
      <c r="N12" s="20" t="n">
        <v>0</v>
      </c>
      <c r="O12" s="18" t="n">
        <v>0</v>
      </c>
      <c r="P12" s="20" t="n">
        <v>0</v>
      </c>
      <c r="Q12" s="18" t="n">
        <v>0.13631479</v>
      </c>
      <c r="R12" s="20" t="n">
        <v>0.13608795</v>
      </c>
    </row>
    <row r="13" spans="1:18">
      <c r="A13" s="15" t="s">
        <v>571</v>
      </c>
      <c r="B13" s="17" t="n">
        <v>3602</v>
      </c>
      <c r="C13" s="18">
        <f>(2844.0/B13*100)</f>
        <v/>
      </c>
      <c r="D13" s="19" t="n">
        <v>758</v>
      </c>
      <c r="E13" s="18" t="n">
        <v>58.49011601</v>
      </c>
      <c r="F13" s="20" t="n">
        <v>2.71602103</v>
      </c>
      <c r="G13" s="18" t="n">
        <v>41.15140062</v>
      </c>
      <c r="H13" s="20" t="n">
        <v>2.63080802</v>
      </c>
      <c r="I13" s="18" t="n">
        <v>0</v>
      </c>
      <c r="J13" s="20" t="n">
        <v>0</v>
      </c>
      <c r="K13" s="18" t="n">
        <v>0.23037883</v>
      </c>
      <c r="L13" s="20" t="n">
        <v>0.25922111</v>
      </c>
      <c r="M13" s="18" t="n">
        <v>0</v>
      </c>
      <c r="N13" s="20" t="n">
        <v>0</v>
      </c>
      <c r="O13" s="18" t="n">
        <v>0</v>
      </c>
      <c r="P13" s="20" t="n">
        <v>0</v>
      </c>
      <c r="Q13" s="18" t="n">
        <v>0.12810454</v>
      </c>
      <c r="R13" s="20" t="n">
        <v>0.07595104</v>
      </c>
    </row>
    <row r="14" spans="1:18">
      <c r="A14" s="15" t="s">
        <v>572</v>
      </c>
      <c r="B14" s="17" t="n">
        <v>2788</v>
      </c>
      <c r="C14" s="18">
        <f>(2189.0/B14*100)</f>
        <v/>
      </c>
      <c r="D14" s="19" t="n">
        <v>599</v>
      </c>
      <c r="E14" s="18" t="n">
        <v>50.11765533</v>
      </c>
      <c r="F14" s="20" t="n">
        <v>2.51755682</v>
      </c>
      <c r="G14" s="18" t="n">
        <v>49.4918715</v>
      </c>
      <c r="H14" s="20" t="n">
        <v>2.4942515</v>
      </c>
      <c r="I14" s="18" t="n">
        <v>0</v>
      </c>
      <c r="J14" s="20" t="n">
        <v>0</v>
      </c>
      <c r="K14" s="18" t="n">
        <v>0.39047317</v>
      </c>
      <c r="L14" s="20" t="n">
        <v>0.2231627</v>
      </c>
      <c r="M14" s="18" t="n">
        <v>0</v>
      </c>
      <c r="N14" s="20" t="n">
        <v>0</v>
      </c>
      <c r="O14" s="18" t="n">
        <v>0</v>
      </c>
      <c r="P14" s="20" t="n">
        <v>0</v>
      </c>
      <c r="Q14" s="18" t="n">
        <v>0</v>
      </c>
      <c r="R14" s="20" t="n">
        <v>0</v>
      </c>
    </row>
    <row r="15" spans="1:18">
      <c r="A15" s="15" t="s">
        <v>573</v>
      </c>
      <c r="B15" s="17" t="n">
        <v>2863</v>
      </c>
      <c r="C15" s="18">
        <f>(2231.0/B15*100)</f>
        <v/>
      </c>
      <c r="D15" s="19" t="n">
        <v>632</v>
      </c>
      <c r="E15" s="18" t="n">
        <v>55.31208676</v>
      </c>
      <c r="F15" s="20" t="n">
        <v>1.95315119</v>
      </c>
      <c r="G15" s="18" t="n">
        <v>44.35826498</v>
      </c>
      <c r="H15" s="20" t="n">
        <v>1.9512657</v>
      </c>
      <c r="I15" s="18" t="n">
        <v>0</v>
      </c>
      <c r="J15" s="20" t="n">
        <v>0</v>
      </c>
      <c r="K15" s="18" t="n">
        <v>0.32964826</v>
      </c>
      <c r="L15" s="20" t="n">
        <v>0.23284231</v>
      </c>
      <c r="M15" s="18" t="n">
        <v>0</v>
      </c>
      <c r="N15" s="20" t="n">
        <v>0</v>
      </c>
      <c r="O15" s="18" t="n">
        <v>0</v>
      </c>
      <c r="P15" s="20" t="n">
        <v>0</v>
      </c>
      <c r="Q15" s="18" t="n">
        <v>0</v>
      </c>
      <c r="R15" s="20" t="n">
        <v>0</v>
      </c>
    </row>
    <row r="16" spans="1:18">
      <c r="A16" s="15" t="s">
        <v>574</v>
      </c>
      <c r="B16" s="17" t="n">
        <v>3111</v>
      </c>
      <c r="C16" s="18">
        <f>(2418.0/B16*100)</f>
        <v/>
      </c>
      <c r="D16" s="19" t="n">
        <v>693</v>
      </c>
      <c r="E16" s="18" t="n">
        <v>71.40415461000001</v>
      </c>
      <c r="F16" s="20" t="n">
        <v>1.657094</v>
      </c>
      <c r="G16" s="18" t="n">
        <v>26.98274793</v>
      </c>
      <c r="H16" s="20" t="n">
        <v>1.57542951</v>
      </c>
      <c r="I16" s="18" t="n">
        <v>0</v>
      </c>
      <c r="J16" s="20" t="n">
        <v>0</v>
      </c>
      <c r="K16" s="18" t="n">
        <v>1.28487161</v>
      </c>
      <c r="L16" s="20" t="n">
        <v>0.5692779</v>
      </c>
      <c r="M16" s="18" t="n">
        <v>0</v>
      </c>
      <c r="N16" s="20" t="n">
        <v>0</v>
      </c>
      <c r="O16" s="18" t="n">
        <v>0</v>
      </c>
      <c r="P16" s="20" t="n">
        <v>0</v>
      </c>
      <c r="Q16" s="18" t="n">
        <v>0.32822585</v>
      </c>
      <c r="R16" s="20" t="n">
        <v>0.24472107</v>
      </c>
    </row>
    <row r="17" spans="1:18">
      <c r="A17" s="15" t="s">
        <v>575</v>
      </c>
      <c r="B17" s="17" t="n">
        <v>3197</v>
      </c>
      <c r="C17" s="18">
        <f>(2505.0/B17*100)</f>
        <v/>
      </c>
      <c r="D17" s="19" t="n">
        <v>692</v>
      </c>
      <c r="E17" s="18" t="n">
        <v>55.99372091</v>
      </c>
      <c r="F17" s="20" t="n">
        <v>2.14914219</v>
      </c>
      <c r="G17" s="18" t="n">
        <v>43.3851451</v>
      </c>
      <c r="H17" s="20" t="n">
        <v>2.11040182</v>
      </c>
      <c r="I17" s="18" t="n">
        <v>0</v>
      </c>
      <c r="J17" s="20" t="n">
        <v>0</v>
      </c>
      <c r="K17" s="18" t="n">
        <v>0.36139041</v>
      </c>
      <c r="L17" s="20" t="n">
        <v>0.21570775</v>
      </c>
      <c r="M17" s="18" t="n">
        <v>0</v>
      </c>
      <c r="N17" s="20" t="n">
        <v>0</v>
      </c>
      <c r="O17" s="18" t="n">
        <v>0</v>
      </c>
      <c r="P17" s="20" t="n">
        <v>0</v>
      </c>
      <c r="Q17" s="18" t="n">
        <v>0.25974358</v>
      </c>
      <c r="R17" s="20" t="n">
        <v>0.18025999</v>
      </c>
    </row>
    <row r="18" spans="1:18">
      <c r="A18" s="15" t="s">
        <v>576</v>
      </c>
      <c r="B18" s="17" t="n">
        <v>2706</v>
      </c>
      <c r="C18" s="18">
        <f>(2092.0/B18*100)</f>
        <v/>
      </c>
      <c r="D18" s="19" t="n">
        <v>614</v>
      </c>
      <c r="E18" s="18" t="n">
        <v>66.72496938</v>
      </c>
      <c r="F18" s="20" t="n">
        <v>1.88825581</v>
      </c>
      <c r="G18" s="18" t="n">
        <v>32.00855263</v>
      </c>
      <c r="H18" s="20" t="n">
        <v>1.89489276</v>
      </c>
      <c r="I18" s="18" t="n">
        <v>0</v>
      </c>
      <c r="J18" s="20" t="n">
        <v>0</v>
      </c>
      <c r="K18" s="18" t="n">
        <v>0.8175234300000001</v>
      </c>
      <c r="L18" s="20" t="n">
        <v>0.38844983</v>
      </c>
      <c r="M18" s="18" t="n">
        <v>0</v>
      </c>
      <c r="N18" s="20" t="n">
        <v>0</v>
      </c>
      <c r="O18" s="18" t="n">
        <v>0</v>
      </c>
      <c r="P18" s="20" t="n">
        <v>0</v>
      </c>
      <c r="Q18" s="18" t="n">
        <v>0.44895456</v>
      </c>
      <c r="R18" s="20" t="n">
        <v>0.25404213</v>
      </c>
    </row>
    <row r="19" spans="1:18">
      <c r="A19" s="15" t="s">
        <v>577</v>
      </c>
      <c r="B19" s="17" t="n">
        <v>2850</v>
      </c>
      <c r="C19" s="18">
        <f>(2232.0/B19*100)</f>
        <v/>
      </c>
      <c r="D19" s="19" t="n">
        <v>618</v>
      </c>
      <c r="E19" s="18" t="n">
        <v>62.99392437</v>
      </c>
      <c r="F19" s="20" t="n">
        <v>2.2014578</v>
      </c>
      <c r="G19" s="18" t="n">
        <v>36.85789452</v>
      </c>
      <c r="H19" s="20" t="n">
        <v>2.21645192</v>
      </c>
      <c r="I19" s="18" t="n">
        <v>0</v>
      </c>
      <c r="J19" s="20" t="n">
        <v>0</v>
      </c>
      <c r="K19" s="18" t="n">
        <v>0</v>
      </c>
      <c r="L19" s="20" t="n">
        <v>0</v>
      </c>
      <c r="M19" s="18" t="n">
        <v>0</v>
      </c>
      <c r="N19" s="20" t="n">
        <v>0</v>
      </c>
      <c r="O19" s="18" t="n">
        <v>0</v>
      </c>
      <c r="P19" s="20" t="n">
        <v>0</v>
      </c>
      <c r="Q19" s="18" t="n">
        <v>0.14818111</v>
      </c>
      <c r="R19" s="20" t="n">
        <v>0.12498117</v>
      </c>
    </row>
    <row r="20" spans="1:18">
      <c r="A20" s="15" t="s">
        <v>578</v>
      </c>
      <c r="B20" s="17" t="n">
        <v>1741</v>
      </c>
      <c r="C20" s="18">
        <f>(1368.0/B20*100)</f>
        <v/>
      </c>
      <c r="D20" s="19" t="n">
        <v>373</v>
      </c>
      <c r="E20" s="18" t="n">
        <v>73.86437366</v>
      </c>
      <c r="F20" s="20" t="n">
        <v>2.64672611</v>
      </c>
      <c r="G20" s="18" t="n">
        <v>25.06423076</v>
      </c>
      <c r="H20" s="20" t="n">
        <v>2.63840426</v>
      </c>
      <c r="I20" s="18" t="n">
        <v>0</v>
      </c>
      <c r="J20" s="20" t="n">
        <v>0</v>
      </c>
      <c r="K20" s="18" t="n">
        <v>0.26459552</v>
      </c>
      <c r="L20" s="20" t="n">
        <v>0.26712394</v>
      </c>
      <c r="M20" s="18" t="n">
        <v>0</v>
      </c>
      <c r="N20" s="20" t="n">
        <v>0</v>
      </c>
      <c r="O20" s="18" t="n">
        <v>0</v>
      </c>
      <c r="P20" s="20" t="n">
        <v>0</v>
      </c>
      <c r="Q20" s="18" t="n">
        <v>0.80680007</v>
      </c>
      <c r="R20" s="20" t="n">
        <v>0.46516598</v>
      </c>
    </row>
    <row r="21" spans="1:18">
      <c r="A21" s="15" t="s">
        <v>579</v>
      </c>
      <c r="B21" s="17" t="n">
        <v>2833</v>
      </c>
      <c r="C21" s="18">
        <f>(2215.0/B21*100)</f>
        <v/>
      </c>
      <c r="D21" s="19" t="n">
        <v>618</v>
      </c>
      <c r="E21" s="18" t="n">
        <v>66.51296797000001</v>
      </c>
      <c r="F21" s="20" t="n">
        <v>2.06428587</v>
      </c>
      <c r="G21" s="18" t="n">
        <v>33.1684843</v>
      </c>
      <c r="H21" s="20" t="n">
        <v>2.1323244</v>
      </c>
      <c r="I21" s="18" t="n">
        <v>0</v>
      </c>
      <c r="J21" s="20" t="n">
        <v>0</v>
      </c>
      <c r="K21" s="18" t="n">
        <v>0.31854772</v>
      </c>
      <c r="L21" s="20" t="n">
        <v>0.21665283</v>
      </c>
      <c r="M21" s="18" t="n">
        <v>0</v>
      </c>
      <c r="N21" s="20" t="n">
        <v>0</v>
      </c>
      <c r="O21" s="18" t="n">
        <v>0</v>
      </c>
      <c r="P21" s="20" t="n">
        <v>0</v>
      </c>
      <c r="Q21" s="18" t="n">
        <v>0</v>
      </c>
      <c r="R21" s="20" t="n">
        <v>0</v>
      </c>
    </row>
    <row r="22" spans="1:18">
      <c r="A22" s="15" t="s">
        <v>580</v>
      </c>
      <c r="B22" s="17" t="n">
        <v>3667</v>
      </c>
      <c r="C22" s="18">
        <f>(2916.0/B22*100)</f>
        <v/>
      </c>
      <c r="D22" s="19" t="n">
        <v>751</v>
      </c>
      <c r="E22" s="18" t="n">
        <v>60.29748935</v>
      </c>
      <c r="F22" s="20" t="n">
        <v>1.79404019</v>
      </c>
      <c r="G22" s="18" t="n">
        <v>38.12642361</v>
      </c>
      <c r="H22" s="20" t="n">
        <v>1.79674567</v>
      </c>
      <c r="I22" s="18" t="n">
        <v>0</v>
      </c>
      <c r="J22" s="20" t="n">
        <v>0</v>
      </c>
      <c r="K22" s="18" t="n">
        <v>0.14402904</v>
      </c>
      <c r="L22" s="20" t="n">
        <v>0.15017961</v>
      </c>
      <c r="M22" s="18" t="n">
        <v>0</v>
      </c>
      <c r="N22" s="20" t="n">
        <v>0</v>
      </c>
      <c r="O22" s="18" t="n">
        <v>0</v>
      </c>
      <c r="P22" s="20" t="n">
        <v>0</v>
      </c>
      <c r="Q22" s="18" t="n">
        <v>1.432058</v>
      </c>
      <c r="R22" s="20" t="n">
        <v>0.32759519</v>
      </c>
    </row>
    <row r="23" spans="1:18">
      <c r="A23" s="15" t="s">
        <v>581</v>
      </c>
      <c r="B23" s="17" t="n">
        <v>5792</v>
      </c>
      <c r="C23" s="18">
        <f>(4501.0/B23*100)</f>
        <v/>
      </c>
      <c r="D23" s="19" t="n">
        <v>1291</v>
      </c>
      <c r="E23" s="18" t="n">
        <v>68.72723593000001</v>
      </c>
      <c r="F23" s="20" t="n">
        <v>1.90111081</v>
      </c>
      <c r="G23" s="18" t="n">
        <v>28.57753207</v>
      </c>
      <c r="H23" s="20" t="n">
        <v>1.94766307</v>
      </c>
      <c r="I23" s="18" t="n">
        <v>0</v>
      </c>
      <c r="J23" s="20" t="n">
        <v>0</v>
      </c>
      <c r="K23" s="18" t="n">
        <v>1.42786785</v>
      </c>
      <c r="L23" s="20" t="n">
        <v>0.57196186</v>
      </c>
      <c r="M23" s="18" t="n">
        <v>0</v>
      </c>
      <c r="N23" s="20" t="n">
        <v>0</v>
      </c>
      <c r="O23" s="18" t="n">
        <v>0</v>
      </c>
      <c r="P23" s="20" t="n">
        <v>0</v>
      </c>
      <c r="Q23" s="18" t="n">
        <v>1.26736415</v>
      </c>
      <c r="R23" s="20" t="n">
        <v>0.46056037</v>
      </c>
    </row>
    <row r="24" spans="1:18">
      <c r="A24" s="15" t="s">
        <v>582</v>
      </c>
      <c r="B24" s="17" t="n">
        <v>3309</v>
      </c>
      <c r="C24" s="18">
        <f>(2593.0/B24*100)</f>
        <v/>
      </c>
      <c r="D24" s="19" t="n">
        <v>716</v>
      </c>
      <c r="E24" s="18" t="n">
        <v>46.06972726</v>
      </c>
      <c r="F24" s="20" t="n">
        <v>2.08127967</v>
      </c>
      <c r="G24" s="18" t="n">
        <v>53.36158029</v>
      </c>
      <c r="H24" s="20" t="n">
        <v>2.06675006</v>
      </c>
      <c r="I24" s="18" t="n">
        <v>0</v>
      </c>
      <c r="J24" s="20" t="n">
        <v>0</v>
      </c>
      <c r="K24" s="18" t="n">
        <v>0.29840882</v>
      </c>
      <c r="L24" s="20" t="n">
        <v>0.20607787</v>
      </c>
      <c r="M24" s="18" t="n">
        <v>0</v>
      </c>
      <c r="N24" s="20" t="n">
        <v>0</v>
      </c>
      <c r="O24" s="18" t="n">
        <v>0</v>
      </c>
      <c r="P24" s="20" t="n">
        <v>0</v>
      </c>
      <c r="Q24" s="18" t="n">
        <v>0.27028363</v>
      </c>
      <c r="R24" s="20" t="n">
        <v>0.27112785</v>
      </c>
    </row>
    <row r="25" spans="1:18">
      <c r="A25" s="15" t="s">
        <v>583</v>
      </c>
      <c r="B25" s="17" t="n">
        <v>2669</v>
      </c>
      <c r="C25" s="18">
        <f>(2069.0/B25*100)</f>
        <v/>
      </c>
      <c r="D25" s="19" t="n">
        <v>600</v>
      </c>
      <c r="E25" s="18" t="n">
        <v>49.62723055</v>
      </c>
      <c r="F25" s="20" t="n">
        <v>1.8550796</v>
      </c>
      <c r="G25" s="18" t="n">
        <v>49.92087874</v>
      </c>
      <c r="H25" s="20" t="n">
        <v>1.87101423</v>
      </c>
      <c r="I25" s="18" t="n">
        <v>0</v>
      </c>
      <c r="J25" s="20" t="n">
        <v>0</v>
      </c>
      <c r="K25" s="18" t="n">
        <v>0.29682438</v>
      </c>
      <c r="L25" s="20" t="n">
        <v>0.18970463</v>
      </c>
      <c r="M25" s="18" t="n">
        <v>0</v>
      </c>
      <c r="N25" s="20" t="n">
        <v>0</v>
      </c>
      <c r="O25" s="18" t="n">
        <v>0</v>
      </c>
      <c r="P25" s="20" t="n">
        <v>0</v>
      </c>
      <c r="Q25" s="18" t="n">
        <v>0.15506633</v>
      </c>
      <c r="R25" s="20" t="n">
        <v>0.15430969</v>
      </c>
    </row>
    <row r="26" spans="1:18">
      <c r="A26" s="15" t="s">
        <v>584</v>
      </c>
      <c r="B26" s="17" t="n">
        <v>2419</v>
      </c>
      <c r="C26" s="18">
        <f>(1866.0/B26*100)</f>
        <v/>
      </c>
      <c r="D26" s="19" t="n">
        <v>553</v>
      </c>
      <c r="E26" s="18" t="n">
        <v>61.52623447</v>
      </c>
      <c r="F26" s="20" t="n">
        <v>2.43711882</v>
      </c>
      <c r="G26" s="18" t="n">
        <v>38.32264487</v>
      </c>
      <c r="H26" s="20" t="n">
        <v>2.4360172</v>
      </c>
      <c r="I26" s="18" t="n">
        <v>0</v>
      </c>
      <c r="J26" s="20" t="n">
        <v>0</v>
      </c>
      <c r="K26" s="18" t="n">
        <v>0.15112066</v>
      </c>
      <c r="L26" s="20" t="n">
        <v>0.15469993</v>
      </c>
      <c r="M26" s="18" t="n">
        <v>0</v>
      </c>
      <c r="N26" s="20" t="n">
        <v>0</v>
      </c>
      <c r="O26" s="18" t="n">
        <v>0</v>
      </c>
      <c r="P26" s="20" t="n">
        <v>0</v>
      </c>
      <c r="Q26" s="18" t="n">
        <v>0</v>
      </c>
      <c r="R26" s="20" t="n">
        <v>0</v>
      </c>
    </row>
    <row r="27" spans="1:18">
      <c r="A27" s="15" t="s">
        <v>585</v>
      </c>
      <c r="B27" s="17" t="n">
        <v>2683</v>
      </c>
      <c r="C27" s="18">
        <f>(2113.0/B27*100)</f>
        <v/>
      </c>
      <c r="D27" s="19" t="n">
        <v>570</v>
      </c>
      <c r="E27" s="18" t="n">
        <v>66.72747301</v>
      </c>
      <c r="F27" s="20" t="n">
        <v>1.80985063</v>
      </c>
      <c r="G27" s="18" t="n">
        <v>32.57573144</v>
      </c>
      <c r="H27" s="20" t="n">
        <v>1.83162263</v>
      </c>
      <c r="I27" s="18" t="n">
        <v>0</v>
      </c>
      <c r="J27" s="20" t="n">
        <v>0</v>
      </c>
      <c r="K27" s="18" t="n">
        <v>0.17375409</v>
      </c>
      <c r="L27" s="20" t="n">
        <v>0.17373954</v>
      </c>
      <c r="M27" s="18" t="n">
        <v>0</v>
      </c>
      <c r="N27" s="20" t="n">
        <v>0</v>
      </c>
      <c r="O27" s="18" t="n">
        <v>0</v>
      </c>
      <c r="P27" s="20" t="n">
        <v>0</v>
      </c>
      <c r="Q27" s="18" t="n">
        <v>0.52304147</v>
      </c>
      <c r="R27" s="20" t="n">
        <v>0.30549568</v>
      </c>
    </row>
    <row r="28" spans="1:18">
      <c r="A28" s="15" t="s">
        <v>586</v>
      </c>
      <c r="B28" s="17" t="n">
        <v>3803</v>
      </c>
      <c r="C28" s="18">
        <f>(3072.0/B28*100)</f>
        <v/>
      </c>
      <c r="D28" s="19" t="n">
        <v>731</v>
      </c>
      <c r="E28" s="18" t="n">
        <v>86.26740309</v>
      </c>
      <c r="F28" s="20" t="n">
        <v>1.27764284</v>
      </c>
      <c r="G28" s="18" t="n">
        <v>12.52412687</v>
      </c>
      <c r="H28" s="20" t="n">
        <v>1.18241951</v>
      </c>
      <c r="I28" s="18" t="n">
        <v>0</v>
      </c>
      <c r="J28" s="20" t="n">
        <v>0</v>
      </c>
      <c r="K28" s="18" t="n">
        <v>1.20847004</v>
      </c>
      <c r="L28" s="20" t="n">
        <v>0.53893389</v>
      </c>
      <c r="M28" s="18" t="n">
        <v>0</v>
      </c>
      <c r="N28" s="20" t="n">
        <v>0</v>
      </c>
      <c r="O28" s="18" t="n">
        <v>0</v>
      </c>
      <c r="P28" s="20" t="n">
        <v>0</v>
      </c>
      <c r="Q28" s="18" t="n">
        <v>0</v>
      </c>
      <c r="R28" s="20" t="n">
        <v>0</v>
      </c>
    </row>
    <row r="29" spans="1:18">
      <c r="A29" s="15" t="s">
        <v>587</v>
      </c>
      <c r="B29" s="17" t="n">
        <v>2700</v>
      </c>
      <c r="C29" s="18">
        <f>(2097.0/B29*100)</f>
        <v/>
      </c>
      <c r="D29" s="19" t="n">
        <v>603</v>
      </c>
      <c r="E29" s="18" t="n">
        <v>59.83095543</v>
      </c>
      <c r="F29" s="20" t="n">
        <v>1.98631981</v>
      </c>
      <c r="G29" s="18" t="n">
        <v>39.43575371</v>
      </c>
      <c r="H29" s="20" t="n">
        <v>2.00138435</v>
      </c>
      <c r="I29" s="18" t="n">
        <v>0</v>
      </c>
      <c r="J29" s="20" t="n">
        <v>0</v>
      </c>
      <c r="K29" s="18" t="n">
        <v>0.40089464</v>
      </c>
      <c r="L29" s="20" t="n">
        <v>0.23256382</v>
      </c>
      <c r="M29" s="18" t="n">
        <v>0</v>
      </c>
      <c r="N29" s="20" t="n">
        <v>0</v>
      </c>
      <c r="O29" s="18" t="n">
        <v>0</v>
      </c>
      <c r="P29" s="20" t="n">
        <v>0</v>
      </c>
      <c r="Q29" s="18" t="n">
        <v>0.33239622</v>
      </c>
      <c r="R29" s="20" t="n">
        <v>0.26287122</v>
      </c>
    </row>
    <row r="30" spans="1:18">
      <c r="A30" s="15" t="s">
        <v>588</v>
      </c>
      <c r="B30" s="17" t="n">
        <v>2257</v>
      </c>
      <c r="C30" s="18">
        <f>(1795.0/B30*100)</f>
        <v/>
      </c>
      <c r="D30" s="19" t="n">
        <v>462</v>
      </c>
      <c r="E30" s="18" t="n">
        <v>57.34364595</v>
      </c>
      <c r="F30" s="20" t="n">
        <v>1.92384042</v>
      </c>
      <c r="G30" s="18" t="n">
        <v>41.09592374</v>
      </c>
      <c r="H30" s="20" t="n">
        <v>1.84609551</v>
      </c>
      <c r="I30" s="18" t="n">
        <v>0</v>
      </c>
      <c r="J30" s="20" t="n">
        <v>0</v>
      </c>
      <c r="K30" s="18" t="n">
        <v>1.03763255</v>
      </c>
      <c r="L30" s="20" t="n">
        <v>0.49710689</v>
      </c>
      <c r="M30" s="18" t="n">
        <v>0</v>
      </c>
      <c r="N30" s="20" t="n">
        <v>0</v>
      </c>
      <c r="O30" s="18" t="n">
        <v>0</v>
      </c>
      <c r="P30" s="20" t="n">
        <v>0</v>
      </c>
      <c r="Q30" s="18" t="n">
        <v>0.52279776</v>
      </c>
      <c r="R30" s="20" t="n">
        <v>0.36281187</v>
      </c>
    </row>
    <row r="31" spans="1:18">
      <c r="A31" s="15" t="s">
        <v>589</v>
      </c>
      <c r="B31" s="17" t="n">
        <v>2706</v>
      </c>
      <c r="C31" s="18">
        <f>(2132.0/B31*100)</f>
        <v/>
      </c>
      <c r="D31" s="19" t="n">
        <v>574</v>
      </c>
      <c r="E31" s="18" t="n">
        <v>57.51911435</v>
      </c>
      <c r="F31" s="20" t="n">
        <v>2.09707058</v>
      </c>
      <c r="G31" s="18" t="n">
        <v>40.6091456</v>
      </c>
      <c r="H31" s="20" t="n">
        <v>2.03854644</v>
      </c>
      <c r="I31" s="18" t="n">
        <v>0</v>
      </c>
      <c r="J31" s="20" t="n">
        <v>0</v>
      </c>
      <c r="K31" s="18" t="n">
        <v>1.35880821</v>
      </c>
      <c r="L31" s="20" t="n">
        <v>0.48174144</v>
      </c>
      <c r="M31" s="18" t="n">
        <v>0</v>
      </c>
      <c r="N31" s="20" t="n">
        <v>0</v>
      </c>
      <c r="O31" s="18" t="n">
        <v>0</v>
      </c>
      <c r="P31" s="20" t="n">
        <v>0</v>
      </c>
      <c r="Q31" s="18" t="n">
        <v>0.51293184</v>
      </c>
      <c r="R31" s="20" t="n">
        <v>0.31118206</v>
      </c>
    </row>
    <row r="32" spans="1:18">
      <c r="A32" s="15" t="s">
        <v>590</v>
      </c>
      <c r="B32" s="17" t="n">
        <v>2209</v>
      </c>
      <c r="C32" s="18">
        <f>(1710.0/B32*100)</f>
        <v/>
      </c>
      <c r="D32" s="19" t="n">
        <v>499</v>
      </c>
      <c r="E32" s="18" t="n">
        <v>61.08540219</v>
      </c>
      <c r="F32" s="20" t="n">
        <v>2.08864958</v>
      </c>
      <c r="G32" s="18" t="n">
        <v>38.71495131</v>
      </c>
      <c r="H32" s="20" t="n">
        <v>2.09807128</v>
      </c>
      <c r="I32" s="18" t="n">
        <v>0</v>
      </c>
      <c r="J32" s="20" t="n">
        <v>0</v>
      </c>
      <c r="K32" s="18" t="n">
        <v>0.1996465</v>
      </c>
      <c r="L32" s="20" t="n">
        <v>0.21343404</v>
      </c>
      <c r="M32" s="18" t="n">
        <v>0</v>
      </c>
      <c r="N32" s="20" t="n">
        <v>0</v>
      </c>
      <c r="O32" s="18" t="n">
        <v>0</v>
      </c>
      <c r="P32" s="20" t="n">
        <v>0</v>
      </c>
      <c r="Q32" s="18" t="n">
        <v>0</v>
      </c>
      <c r="R32" s="20" t="n">
        <v>0</v>
      </c>
    </row>
    <row r="33" spans="1:18">
      <c r="A33" s="15" t="s">
        <v>591</v>
      </c>
      <c r="B33" s="17" t="n">
        <v>3651</v>
      </c>
      <c r="C33" s="18">
        <f>(2902.0/B33*100)</f>
        <v/>
      </c>
      <c r="D33" s="19" t="n">
        <v>749</v>
      </c>
      <c r="E33" s="18" t="n">
        <v>64.41333026</v>
      </c>
      <c r="F33" s="20" t="n">
        <v>2.01888046</v>
      </c>
      <c r="G33" s="18" t="n">
        <v>34.18903217</v>
      </c>
      <c r="H33" s="20" t="n">
        <v>1.87546866</v>
      </c>
      <c r="I33" s="18" t="n">
        <v>0</v>
      </c>
      <c r="J33" s="20" t="n">
        <v>0</v>
      </c>
      <c r="K33" s="18" t="n">
        <v>1.01549743</v>
      </c>
      <c r="L33" s="20" t="n">
        <v>0.45836202</v>
      </c>
      <c r="M33" s="18" t="n">
        <v>0</v>
      </c>
      <c r="N33" s="20" t="n">
        <v>0</v>
      </c>
      <c r="O33" s="18" t="n">
        <v>0</v>
      </c>
      <c r="P33" s="20" t="n">
        <v>0</v>
      </c>
      <c r="Q33" s="18" t="n">
        <v>0.38214014</v>
      </c>
      <c r="R33" s="20" t="n">
        <v>0.25935008</v>
      </c>
    </row>
    <row r="34" spans="1:18">
      <c r="A34" s="15" t="s">
        <v>592</v>
      </c>
      <c r="B34" s="17" t="n">
        <v>3035</v>
      </c>
      <c r="C34" s="18">
        <f>(2383.0/B34*100)</f>
        <v/>
      </c>
      <c r="D34" s="19" t="n">
        <v>652</v>
      </c>
      <c r="E34" s="18" t="n">
        <v>62.4098583</v>
      </c>
      <c r="F34" s="20" t="n">
        <v>2.02144481</v>
      </c>
      <c r="G34" s="18" t="n">
        <v>36.1206617</v>
      </c>
      <c r="H34" s="20" t="n">
        <v>1.97287195</v>
      </c>
      <c r="I34" s="18" t="n">
        <v>0</v>
      </c>
      <c r="J34" s="20" t="n">
        <v>0</v>
      </c>
      <c r="K34" s="18" t="n">
        <v>0.59505094</v>
      </c>
      <c r="L34" s="20" t="n">
        <v>0.30569408</v>
      </c>
      <c r="M34" s="18" t="n">
        <v>0</v>
      </c>
      <c r="N34" s="20" t="n">
        <v>0</v>
      </c>
      <c r="O34" s="18" t="n">
        <v>0</v>
      </c>
      <c r="P34" s="20" t="n">
        <v>0</v>
      </c>
      <c r="Q34" s="18" t="n">
        <v>0.87442906</v>
      </c>
      <c r="R34" s="20" t="n">
        <v>0.40759771</v>
      </c>
    </row>
    <row r="35" spans="1:18">
      <c r="A35" s="15" t="s">
        <v>593</v>
      </c>
      <c r="B35" s="17" t="n">
        <v>2901</v>
      </c>
      <c r="C35" s="18">
        <f>(2253.0/B35*100)</f>
        <v/>
      </c>
      <c r="D35" s="19" t="n">
        <v>648</v>
      </c>
      <c r="E35" s="18" t="n">
        <v>53.65271235</v>
      </c>
      <c r="F35" s="20" t="n">
        <v>2.7825751</v>
      </c>
      <c r="G35" s="18" t="n">
        <v>46.19041702</v>
      </c>
      <c r="H35" s="20" t="n">
        <v>2.77539974</v>
      </c>
      <c r="I35" s="18" t="n">
        <v>0</v>
      </c>
      <c r="J35" s="20" t="n">
        <v>0</v>
      </c>
      <c r="K35" s="18" t="n">
        <v>0.08453865000000001</v>
      </c>
      <c r="L35" s="20" t="n">
        <v>0.08465619000000001</v>
      </c>
      <c r="M35" s="18" t="n">
        <v>0</v>
      </c>
      <c r="N35" s="20" t="n">
        <v>0</v>
      </c>
      <c r="O35" s="18" t="n">
        <v>0</v>
      </c>
      <c r="P35" s="20" t="n">
        <v>0</v>
      </c>
      <c r="Q35" s="18" t="n">
        <v>0.07233198</v>
      </c>
      <c r="R35" s="20" t="n">
        <v>0.10227671</v>
      </c>
    </row>
    <row r="36" spans="1:18">
      <c r="A36" s="15" t="s">
        <v>594</v>
      </c>
      <c r="B36" s="17" t="n">
        <v>3404</v>
      </c>
      <c r="C36" s="18">
        <f>(2695.0/B36*100)</f>
        <v/>
      </c>
      <c r="D36" s="19" t="n">
        <v>709</v>
      </c>
      <c r="E36" s="18" t="n">
        <v>66.81422781000001</v>
      </c>
      <c r="F36" s="20" t="n">
        <v>1.98649616</v>
      </c>
      <c r="G36" s="18" t="n">
        <v>32.68164803</v>
      </c>
      <c r="H36" s="20" t="n">
        <v>1.993233</v>
      </c>
      <c r="I36" s="18" t="n">
        <v>0</v>
      </c>
      <c r="J36" s="20" t="n">
        <v>0</v>
      </c>
      <c r="K36" s="18" t="n">
        <v>0.18073825</v>
      </c>
      <c r="L36" s="20" t="n">
        <v>0.15189555</v>
      </c>
      <c r="M36" s="18" t="n">
        <v>0</v>
      </c>
      <c r="N36" s="20" t="n">
        <v>0</v>
      </c>
      <c r="O36" s="18" t="n">
        <v>0</v>
      </c>
      <c r="P36" s="20" t="n">
        <v>0</v>
      </c>
      <c r="Q36" s="18" t="n">
        <v>0.32338591</v>
      </c>
      <c r="R36" s="20" t="n">
        <v>0.2015382</v>
      </c>
    </row>
    <row r="37" spans="1:18">
      <c r="A37" s="15" t="s">
        <v>595</v>
      </c>
      <c r="B37" s="17" t="n">
        <v>2731</v>
      </c>
      <c r="C37" s="18">
        <f>(2143.0/B37*100)</f>
        <v/>
      </c>
      <c r="D37" s="19" t="n">
        <v>588</v>
      </c>
      <c r="E37" s="18" t="n">
        <v>59.62821946</v>
      </c>
      <c r="F37" s="20" t="n">
        <v>1.90432243</v>
      </c>
      <c r="G37" s="18" t="n">
        <v>37.82768277</v>
      </c>
      <c r="H37" s="20" t="n">
        <v>2.02010653</v>
      </c>
      <c r="I37" s="18" t="n">
        <v>0</v>
      </c>
      <c r="J37" s="20" t="n">
        <v>0</v>
      </c>
      <c r="K37" s="18" t="n">
        <v>1.59756795</v>
      </c>
      <c r="L37" s="20" t="n">
        <v>0.55230886</v>
      </c>
      <c r="M37" s="18" t="n">
        <v>0</v>
      </c>
      <c r="N37" s="20" t="n">
        <v>0</v>
      </c>
      <c r="O37" s="18" t="n">
        <v>0</v>
      </c>
      <c r="P37" s="20" t="n">
        <v>0</v>
      </c>
      <c r="Q37" s="18" t="n">
        <v>0.94652983</v>
      </c>
      <c r="R37" s="20" t="n">
        <v>0.38718826</v>
      </c>
    </row>
    <row r="38" spans="1:18">
      <c r="A38" s="15" t="s">
        <v>596</v>
      </c>
      <c r="B38" s="17" t="n">
        <v>2807</v>
      </c>
      <c r="C38" s="18">
        <f>(2158.0/B38*100)</f>
        <v/>
      </c>
      <c r="D38" s="19" t="n">
        <v>649</v>
      </c>
      <c r="E38" s="18" t="n">
        <v>64.43827709999999</v>
      </c>
      <c r="F38" s="20" t="n">
        <v>2.28811588</v>
      </c>
      <c r="G38" s="18" t="n">
        <v>34.57165917</v>
      </c>
      <c r="H38" s="20" t="n">
        <v>2.23644461</v>
      </c>
      <c r="I38" s="18" t="n">
        <v>0</v>
      </c>
      <c r="J38" s="20" t="n">
        <v>0</v>
      </c>
      <c r="K38" s="18" t="n">
        <v>0.47601333</v>
      </c>
      <c r="L38" s="20" t="n">
        <v>0.27781432</v>
      </c>
      <c r="M38" s="18" t="n">
        <v>0</v>
      </c>
      <c r="N38" s="20" t="n">
        <v>0</v>
      </c>
      <c r="O38" s="18" t="n">
        <v>0</v>
      </c>
      <c r="P38" s="20" t="n">
        <v>0</v>
      </c>
      <c r="Q38" s="18" t="n">
        <v>0.5140504</v>
      </c>
      <c r="R38" s="20" t="n">
        <v>0.30149747</v>
      </c>
    </row>
    <row r="39" spans="1:18">
      <c r="A39" s="15" t="s">
        <v>597</v>
      </c>
      <c r="B39" s="17" t="n">
        <v>2938</v>
      </c>
      <c r="C39" s="18">
        <f>(2288.0/B39*100)</f>
        <v/>
      </c>
      <c r="D39" s="19" t="n">
        <v>650</v>
      </c>
      <c r="E39" s="18" t="n">
        <v>65.96591166</v>
      </c>
      <c r="F39" s="20" t="n">
        <v>2.32315474</v>
      </c>
      <c r="G39" s="18" t="n">
        <v>33.78346221</v>
      </c>
      <c r="H39" s="20" t="n">
        <v>2.32637759</v>
      </c>
      <c r="I39" s="18" t="n">
        <v>0</v>
      </c>
      <c r="J39" s="20" t="n">
        <v>0</v>
      </c>
      <c r="K39" s="18" t="n">
        <v>0.14466618</v>
      </c>
      <c r="L39" s="20" t="n">
        <v>0.1443615</v>
      </c>
      <c r="M39" s="18" t="n">
        <v>0</v>
      </c>
      <c r="N39" s="20" t="n">
        <v>0</v>
      </c>
      <c r="O39" s="18" t="n">
        <v>0</v>
      </c>
      <c r="P39" s="20" t="n">
        <v>0</v>
      </c>
      <c r="Q39" s="18" t="n">
        <v>0.10595995</v>
      </c>
      <c r="R39" s="20" t="n">
        <v>0.10464851</v>
      </c>
    </row>
    <row r="40" spans="1:18">
      <c r="A40" s="15" t="s">
        <v>598</v>
      </c>
      <c r="B40" s="17" t="n">
        <v>6922</v>
      </c>
      <c r="C40" s="18">
        <f>(5374.0/B40*100)</f>
        <v/>
      </c>
      <c r="D40" s="19" t="n">
        <v>1548</v>
      </c>
      <c r="E40" s="18" t="n">
        <v>62.36002619</v>
      </c>
      <c r="F40" s="20" t="n">
        <v>2.00381221</v>
      </c>
      <c r="G40" s="18" t="n">
        <v>36.52783392</v>
      </c>
      <c r="H40" s="20" t="n">
        <v>2.10131956</v>
      </c>
      <c r="I40" s="18" t="n">
        <v>0</v>
      </c>
      <c r="J40" s="20" t="n">
        <v>0</v>
      </c>
      <c r="K40" s="18" t="n">
        <v>0.05366038</v>
      </c>
      <c r="L40" s="20" t="n">
        <v>0.029996</v>
      </c>
      <c r="M40" s="18" t="n">
        <v>0</v>
      </c>
      <c r="N40" s="20" t="n">
        <v>0</v>
      </c>
      <c r="O40" s="18" t="n">
        <v>0</v>
      </c>
      <c r="P40" s="20" t="n">
        <v>0</v>
      </c>
      <c r="Q40" s="18" t="n">
        <v>1.0584795</v>
      </c>
      <c r="R40" s="20" t="n">
        <v>0.46994274</v>
      </c>
    </row>
    <row r="41" spans="1:18">
      <c r="A41" s="15" t="s">
        <v>599</v>
      </c>
      <c r="B41" s="17" t="n">
        <v>2854</v>
      </c>
      <c r="C41" s="18">
        <f>(2257.0/B41*100)</f>
        <v/>
      </c>
      <c r="D41" s="19" t="n">
        <v>597</v>
      </c>
      <c r="E41" s="18" t="n">
        <v>63.82234351</v>
      </c>
      <c r="F41" s="20" t="n">
        <v>2.26008604</v>
      </c>
      <c r="G41" s="18" t="n">
        <v>35.05406334</v>
      </c>
      <c r="H41" s="20" t="n">
        <v>2.16536168</v>
      </c>
      <c r="I41" s="18" t="n">
        <v>0</v>
      </c>
      <c r="J41" s="20" t="n">
        <v>0</v>
      </c>
      <c r="K41" s="18" t="n">
        <v>0.22576705</v>
      </c>
      <c r="L41" s="20" t="n">
        <v>0.24262891</v>
      </c>
      <c r="M41" s="18" t="n">
        <v>0</v>
      </c>
      <c r="N41" s="20" t="n">
        <v>0</v>
      </c>
      <c r="O41" s="18" t="n">
        <v>0</v>
      </c>
      <c r="P41" s="20" t="n">
        <v>0</v>
      </c>
      <c r="Q41" s="18" t="n">
        <v>0.89782611</v>
      </c>
      <c r="R41" s="20" t="n">
        <v>0.39281622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(10089.0/B46*100)</f>
        <v/>
      </c>
      <c r="D46" s="19" t="n">
        <v>1984</v>
      </c>
      <c r="E46" s="18" t="n">
        <v>82.20844135</v>
      </c>
      <c r="F46" s="20" t="n">
        <v>1.36871775</v>
      </c>
      <c r="G46" s="18" t="n">
        <v>14.447956</v>
      </c>
      <c r="H46" s="20" t="n">
        <v>1.25671504</v>
      </c>
      <c r="I46" s="18" t="n">
        <v>0</v>
      </c>
      <c r="J46" s="20" t="n">
        <v>0</v>
      </c>
      <c r="K46" s="18" t="n">
        <v>1.90154971</v>
      </c>
      <c r="L46" s="20" t="n">
        <v>0.37290485</v>
      </c>
      <c r="M46" s="18" t="n">
        <v>0</v>
      </c>
      <c r="N46" s="20" t="n">
        <v>0</v>
      </c>
      <c r="O46" s="18" t="n">
        <v>0</v>
      </c>
      <c r="P46" s="20" t="n">
        <v>0</v>
      </c>
      <c r="Q46" s="18" t="n">
        <v>1.44205294</v>
      </c>
      <c r="R46" s="20" t="n">
        <v>0.31193719</v>
      </c>
    </row>
    <row r="47" spans="1:18">
      <c r="A47" s="15" t="s">
        <v>606</v>
      </c>
      <c r="B47" s="17" t="n">
        <v>2823</v>
      </c>
      <c r="C47" s="18">
        <f>(2230.0/B47*100)</f>
        <v/>
      </c>
      <c r="D47" s="19" t="n">
        <v>593</v>
      </c>
      <c r="E47" s="18" t="n">
        <v>60.70382827</v>
      </c>
      <c r="F47" s="20" t="n">
        <v>2.06568403</v>
      </c>
      <c r="G47" s="18" t="n">
        <v>36.78946373</v>
      </c>
      <c r="H47" s="20" t="n">
        <v>2.10494379</v>
      </c>
      <c r="I47" s="18" t="n">
        <v>0</v>
      </c>
      <c r="J47" s="20" t="n">
        <v>0</v>
      </c>
      <c r="K47" s="18" t="n">
        <v>1.86073478</v>
      </c>
      <c r="L47" s="20" t="n">
        <v>0.64139557</v>
      </c>
      <c r="M47" s="18" t="n">
        <v>0</v>
      </c>
      <c r="N47" s="20" t="n">
        <v>0</v>
      </c>
      <c r="O47" s="18" t="n">
        <v>0</v>
      </c>
      <c r="P47" s="20" t="n">
        <v>0</v>
      </c>
      <c r="Q47" s="18" t="n">
        <v>0.64597321</v>
      </c>
      <c r="R47" s="20" t="n">
        <v>0.33116696</v>
      </c>
    </row>
    <row r="48" spans="1:18">
      <c r="A48" s="15" t="s">
        <v>607</v>
      </c>
      <c r="B48" s="17" t="n">
        <v>4682</v>
      </c>
      <c r="C48" s="18">
        <f>(3615.0/B48*100)</f>
        <v/>
      </c>
      <c r="D48" s="19" t="n">
        <v>1067</v>
      </c>
      <c r="E48" s="18" t="n">
        <v>60.35455743</v>
      </c>
      <c r="F48" s="20" t="n">
        <v>2.13004884</v>
      </c>
      <c r="G48" s="18" t="n">
        <v>38.69823392</v>
      </c>
      <c r="H48" s="20" t="n">
        <v>2.05756118</v>
      </c>
      <c r="I48" s="18" t="n">
        <v>0</v>
      </c>
      <c r="J48" s="20" t="n">
        <v>0</v>
      </c>
      <c r="K48" s="18" t="n">
        <v>0.59845722</v>
      </c>
      <c r="L48" s="20" t="n">
        <v>0.38408284</v>
      </c>
      <c r="M48" s="18" t="n">
        <v>0</v>
      </c>
      <c r="N48" s="20" t="n">
        <v>0</v>
      </c>
      <c r="O48" s="18" t="n">
        <v>0</v>
      </c>
      <c r="P48" s="20" t="n">
        <v>0</v>
      </c>
      <c r="Q48" s="18" t="n">
        <v>0.34875143</v>
      </c>
      <c r="R48" s="20" t="n">
        <v>0.21836161</v>
      </c>
    </row>
    <row r="49" spans="1:18">
      <c r="A49" s="15" t="s">
        <v>608</v>
      </c>
      <c r="B49" s="17" t="n">
        <v>6158</v>
      </c>
      <c r="C49" s="18">
        <f>(4882.0/B49*100)</f>
        <v/>
      </c>
      <c r="D49" s="19" t="n">
        <v>1276</v>
      </c>
      <c r="E49" s="18" t="n">
        <v>86.51500742</v>
      </c>
      <c r="F49" s="20" t="n">
        <v>1.22045338</v>
      </c>
      <c r="G49" s="18" t="n">
        <v>8.81626659</v>
      </c>
      <c r="H49" s="20" t="n">
        <v>0.959149</v>
      </c>
      <c r="I49" s="18" t="n">
        <v>0</v>
      </c>
      <c r="J49" s="20" t="n">
        <v>0</v>
      </c>
      <c r="K49" s="18" t="n">
        <v>3.52577195</v>
      </c>
      <c r="L49" s="20" t="n">
        <v>0.69801961</v>
      </c>
      <c r="M49" s="18" t="n">
        <v>0</v>
      </c>
      <c r="N49" s="20" t="n">
        <v>0</v>
      </c>
      <c r="O49" s="18" t="n">
        <v>0</v>
      </c>
      <c r="P49" s="20" t="n">
        <v>0</v>
      </c>
      <c r="Q49" s="18" t="n">
        <v>1.14295405</v>
      </c>
      <c r="R49" s="20" t="n">
        <v>0.32703456</v>
      </c>
    </row>
    <row r="50" spans="1:18">
      <c r="A50" s="15" t="s">
        <v>609</v>
      </c>
      <c r="B50" s="17" t="n">
        <v>3494</v>
      </c>
      <c r="C50" s="18">
        <f>(2873.0/B50*100)</f>
        <v/>
      </c>
      <c r="D50" s="19" t="n">
        <v>621</v>
      </c>
      <c r="E50" s="18" t="n">
        <v>87.25244207</v>
      </c>
      <c r="F50" s="20" t="n">
        <v>1.34143037</v>
      </c>
      <c r="G50" s="18" t="n">
        <v>11.25954699</v>
      </c>
      <c r="H50" s="20" t="n">
        <v>1.18801552</v>
      </c>
      <c r="I50" s="18" t="n">
        <v>0</v>
      </c>
      <c r="J50" s="20" t="n">
        <v>0</v>
      </c>
      <c r="K50" s="18" t="n">
        <v>1.26414804</v>
      </c>
      <c r="L50" s="20" t="n">
        <v>0.51517591</v>
      </c>
      <c r="M50" s="18" t="n">
        <v>0</v>
      </c>
      <c r="N50" s="20" t="n">
        <v>0</v>
      </c>
      <c r="O50" s="18" t="n">
        <v>0</v>
      </c>
      <c r="P50" s="20" t="n">
        <v>0</v>
      </c>
      <c r="Q50" s="18" t="n">
        <v>0.2238629</v>
      </c>
      <c r="R50" s="20" t="n">
        <v>0.12828575</v>
      </c>
    </row>
    <row r="51" spans="1:18">
      <c r="A51" s="15" t="s">
        <v>610</v>
      </c>
      <c r="B51" s="17" t="n">
        <v>3013</v>
      </c>
      <c r="C51" s="18">
        <f>(2357.0/B51*100)</f>
        <v/>
      </c>
      <c r="D51" s="19" t="n">
        <v>656</v>
      </c>
      <c r="E51" s="18" t="n">
        <v>67.78102957</v>
      </c>
      <c r="F51" s="20" t="n">
        <v>1.55990489</v>
      </c>
      <c r="G51" s="18" t="n">
        <v>31.89294903</v>
      </c>
      <c r="H51" s="20" t="n">
        <v>1.54824785</v>
      </c>
      <c r="I51" s="18" t="n">
        <v>0</v>
      </c>
      <c r="J51" s="20" t="n">
        <v>0</v>
      </c>
      <c r="K51" s="18" t="n">
        <v>0</v>
      </c>
      <c r="L51" s="20" t="n">
        <v>0</v>
      </c>
      <c r="M51" s="18" t="n">
        <v>0</v>
      </c>
      <c r="N51" s="20" t="n">
        <v>0</v>
      </c>
      <c r="O51" s="18" t="n">
        <v>0</v>
      </c>
      <c r="P51" s="20" t="n">
        <v>0</v>
      </c>
      <c r="Q51" s="18" t="n">
        <v>0.3260214</v>
      </c>
      <c r="R51" s="20" t="n">
        <v>0.2292427</v>
      </c>
    </row>
    <row r="52" spans="1:18">
      <c r="A52" s="15" t="s">
        <v>611</v>
      </c>
      <c r="B52" s="17" t="n">
        <v>2760</v>
      </c>
      <c r="C52" s="18">
        <f>(2181.0/B52*100)</f>
        <v/>
      </c>
      <c r="D52" s="19" t="n">
        <v>579</v>
      </c>
      <c r="E52" s="18" t="n">
        <v>77.50709935</v>
      </c>
      <c r="F52" s="20" t="n">
        <v>1.64781782</v>
      </c>
      <c r="G52" s="18" t="n">
        <v>20.52473384</v>
      </c>
      <c r="H52" s="20" t="n">
        <v>1.6570856</v>
      </c>
      <c r="I52" s="18" t="n">
        <v>0</v>
      </c>
      <c r="J52" s="20" t="n">
        <v>0</v>
      </c>
      <c r="K52" s="18" t="n">
        <v>0.5481675</v>
      </c>
      <c r="L52" s="20" t="n">
        <v>0.35082614</v>
      </c>
      <c r="M52" s="18" t="n">
        <v>0</v>
      </c>
      <c r="N52" s="20" t="n">
        <v>0</v>
      </c>
      <c r="O52" s="18" t="n">
        <v>0</v>
      </c>
      <c r="P52" s="20" t="n">
        <v>0</v>
      </c>
      <c r="Q52" s="18" t="n">
        <v>1.4199993</v>
      </c>
      <c r="R52" s="20" t="n">
        <v>0.54387946</v>
      </c>
    </row>
    <row r="53" spans="1:18">
      <c r="A53" s="15" t="s">
        <v>612</v>
      </c>
      <c r="B53" s="17" t="n">
        <v>2474</v>
      </c>
      <c r="C53" s="18">
        <f>(1943.0/B53*100)</f>
        <v/>
      </c>
      <c r="D53" s="19" t="n">
        <v>531</v>
      </c>
      <c r="E53" s="18" t="n">
        <v>77.5088634</v>
      </c>
      <c r="F53" s="20" t="n">
        <v>2.13443675</v>
      </c>
      <c r="G53" s="18" t="n">
        <v>3.1165647</v>
      </c>
      <c r="H53" s="20" t="n">
        <v>0.72782654</v>
      </c>
      <c r="I53" s="18" t="n">
        <v>0</v>
      </c>
      <c r="J53" s="20" t="n">
        <v>0</v>
      </c>
      <c r="K53" s="18" t="n">
        <v>15.82862666</v>
      </c>
      <c r="L53" s="20" t="n">
        <v>1.69185255</v>
      </c>
      <c r="M53" s="18" t="n">
        <v>0</v>
      </c>
      <c r="N53" s="20" t="n">
        <v>0</v>
      </c>
      <c r="O53" s="18" t="n">
        <v>0</v>
      </c>
      <c r="P53" s="20" t="n">
        <v>0</v>
      </c>
      <c r="Q53" s="18" t="n">
        <v>3.54594523</v>
      </c>
      <c r="R53" s="20" t="n">
        <v>1.08833179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(2109.0/B55*100)</f>
        <v/>
      </c>
      <c r="D55" s="19" t="n">
        <v>566</v>
      </c>
      <c r="E55" s="18" t="n">
        <v>49.79793914</v>
      </c>
      <c r="F55" s="20" t="n">
        <v>2.07493193</v>
      </c>
      <c r="G55" s="18" t="n">
        <v>49.82172156</v>
      </c>
      <c r="H55" s="20" t="n">
        <v>2.09740331</v>
      </c>
      <c r="I55" s="18" t="n">
        <v>0</v>
      </c>
      <c r="J55" s="20" t="n">
        <v>0</v>
      </c>
      <c r="K55" s="18" t="n">
        <v>0.18964944</v>
      </c>
      <c r="L55" s="20" t="n">
        <v>0.18760921</v>
      </c>
      <c r="M55" s="18" t="n">
        <v>0</v>
      </c>
      <c r="N55" s="20" t="n">
        <v>0</v>
      </c>
      <c r="O55" s="18" t="n">
        <v>0</v>
      </c>
      <c r="P55" s="20" t="n">
        <v>0</v>
      </c>
      <c r="Q55" s="18" t="n">
        <v>0.19068986</v>
      </c>
      <c r="R55" s="20" t="n">
        <v>0.18946313</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(2516.0/B61*100)</f>
        <v/>
      </c>
      <c r="D61" s="19" t="n">
        <v>685</v>
      </c>
      <c r="E61" s="18" t="n">
        <v>59.81092928</v>
      </c>
      <c r="F61" s="20" t="n">
        <v>1.944599</v>
      </c>
      <c r="G61" s="18" t="n">
        <v>39.46688547</v>
      </c>
      <c r="H61" s="20" t="n">
        <v>1.86395119</v>
      </c>
      <c r="I61" s="18" t="n">
        <v>0</v>
      </c>
      <c r="J61" s="20" t="n">
        <v>0</v>
      </c>
      <c r="K61" s="18" t="n">
        <v>0.18551943</v>
      </c>
      <c r="L61" s="20" t="n">
        <v>0.19253177</v>
      </c>
      <c r="M61" s="18" t="n">
        <v>0</v>
      </c>
      <c r="N61" s="20" t="n">
        <v>0</v>
      </c>
      <c r="O61" s="18" t="n">
        <v>0</v>
      </c>
      <c r="P61" s="20" t="n">
        <v>0</v>
      </c>
      <c r="Q61" s="18" t="n">
        <v>0.53666582</v>
      </c>
      <c r="R61" s="20" t="n">
        <v>0.31619338</v>
      </c>
    </row>
    <row r="62" spans="1:18">
      <c r="A62" s="15" t="s">
        <v>622</v>
      </c>
      <c r="B62" s="17" t="n">
        <v>2230</v>
      </c>
      <c r="C62" s="18">
        <f>(1725.0/B62*100)</f>
        <v/>
      </c>
      <c r="D62" s="19" t="n">
        <v>505</v>
      </c>
      <c r="E62" s="18" t="n">
        <v>54.64589757</v>
      </c>
      <c r="F62" s="20" t="n">
        <v>2.34561494</v>
      </c>
      <c r="G62" s="18" t="n">
        <v>45.35410243</v>
      </c>
      <c r="H62" s="20" t="n">
        <v>2.34561494</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(2205.0/B67*100)</f>
        <v/>
      </c>
      <c r="D67" s="19" t="n">
        <v>566</v>
      </c>
      <c r="E67" s="18" t="n">
        <v>77.32913572</v>
      </c>
      <c r="F67" s="20" t="n">
        <v>1.81054153</v>
      </c>
      <c r="G67" s="18" t="n">
        <v>18.62896158</v>
      </c>
      <c r="H67" s="20" t="n">
        <v>1.80076361</v>
      </c>
      <c r="I67" s="18" t="n">
        <v>0</v>
      </c>
      <c r="J67" s="20" t="n">
        <v>0</v>
      </c>
      <c r="K67" s="18" t="n">
        <v>1.25370332</v>
      </c>
      <c r="L67" s="20" t="n">
        <v>0.47861803</v>
      </c>
      <c r="M67" s="18" t="n">
        <v>0</v>
      </c>
      <c r="N67" s="20" t="n">
        <v>0</v>
      </c>
      <c r="O67" s="18" t="n">
        <v>0</v>
      </c>
      <c r="P67" s="20" t="n">
        <v>0</v>
      </c>
      <c r="Q67" s="18" t="n">
        <v>2.78819938</v>
      </c>
      <c r="R67" s="20" t="n">
        <v>0.63325193</v>
      </c>
    </row>
    <row r="68" spans="1:18">
      <c r="A68" s="15" t="s">
        <v>628</v>
      </c>
      <c r="B68" s="17" t="n">
        <v>3460</v>
      </c>
      <c r="C68" s="18">
        <f>(2850.0/B68*100)</f>
        <v/>
      </c>
      <c r="D68" s="19" t="n">
        <v>610</v>
      </c>
      <c r="E68" s="18" t="n">
        <v>87.5639293</v>
      </c>
      <c r="F68" s="20" t="n">
        <v>1.59108946</v>
      </c>
      <c r="G68" s="18" t="n">
        <v>11.26882216</v>
      </c>
      <c r="H68" s="20" t="n">
        <v>1.54356494</v>
      </c>
      <c r="I68" s="18" t="n">
        <v>0</v>
      </c>
      <c r="J68" s="20" t="n">
        <v>0</v>
      </c>
      <c r="K68" s="18" t="n">
        <v>0.86094718</v>
      </c>
      <c r="L68" s="20" t="n">
        <v>0.39001183</v>
      </c>
      <c r="M68" s="18" t="n">
        <v>0</v>
      </c>
      <c r="N68" s="20" t="n">
        <v>0</v>
      </c>
      <c r="O68" s="18" t="n">
        <v>0</v>
      </c>
      <c r="P68" s="20" t="n">
        <v>0</v>
      </c>
      <c r="Q68" s="18" t="n">
        <v>0.30630136</v>
      </c>
      <c r="R68" s="20" t="n">
        <v>0.21823329</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(4717.0/B70*100)</f>
        <v/>
      </c>
      <c r="D70" s="19" t="n">
        <v>1317</v>
      </c>
      <c r="E70" s="18" t="n">
        <v>65.37399112999999</v>
      </c>
      <c r="F70" s="20" t="n">
        <v>1.41204092</v>
      </c>
      <c r="G70" s="18" t="n">
        <v>30.86584541</v>
      </c>
      <c r="H70" s="20" t="n">
        <v>1.32948858</v>
      </c>
      <c r="I70" s="18" t="n">
        <v>0</v>
      </c>
      <c r="J70" s="20" t="n">
        <v>0</v>
      </c>
      <c r="K70" s="18" t="n">
        <v>3.07243931</v>
      </c>
      <c r="L70" s="20" t="n">
        <v>0.50107291</v>
      </c>
      <c r="M70" s="18" t="n">
        <v>0</v>
      </c>
      <c r="N70" s="20" t="n">
        <v>0</v>
      </c>
      <c r="O70" s="18" t="n">
        <v>0</v>
      </c>
      <c r="P70" s="20" t="n">
        <v>0</v>
      </c>
      <c r="Q70" s="18" t="n">
        <v>0.68772415</v>
      </c>
      <c r="R70" s="20" t="n">
        <v>0.22684317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(2450.0/B72*100)</f>
        <v/>
      </c>
      <c r="D72" s="19" t="n">
        <v>657</v>
      </c>
      <c r="E72" s="18" t="n">
        <v>57.51515675</v>
      </c>
      <c r="F72" s="20" t="n">
        <v>2.1845803</v>
      </c>
      <c r="G72" s="18" t="n">
        <v>41.20085789</v>
      </c>
      <c r="H72" s="20" t="n">
        <v>2.12388842</v>
      </c>
      <c r="I72" s="18" t="n">
        <v>0</v>
      </c>
      <c r="J72" s="20" t="n">
        <v>0</v>
      </c>
      <c r="K72" s="18" t="n">
        <v>0.78915713</v>
      </c>
      <c r="L72" s="20" t="n">
        <v>0.46263526</v>
      </c>
      <c r="M72" s="18" t="n">
        <v>0</v>
      </c>
      <c r="N72" s="20" t="n">
        <v>0</v>
      </c>
      <c r="O72" s="18" t="n">
        <v>0</v>
      </c>
      <c r="P72" s="20" t="n">
        <v>0</v>
      </c>
      <c r="Q72" s="18" t="n">
        <v>0.49482824</v>
      </c>
      <c r="R72" s="20" t="n">
        <v>0.26804886</v>
      </c>
    </row>
    <row r="73" spans="1:18">
      <c r="A73" s="15" t="s">
        <v>633</v>
      </c>
      <c r="B73" s="17" t="n">
        <v>2973</v>
      </c>
      <c r="C73" s="18">
        <f>(2302.0/B73*100)</f>
        <v/>
      </c>
      <c r="D73" s="19" t="n">
        <v>671</v>
      </c>
      <c r="E73" s="18" t="n">
        <v>52.03954449</v>
      </c>
      <c r="F73" s="20" t="n">
        <v>1.87672613</v>
      </c>
      <c r="G73" s="18" t="n">
        <v>47.33862564</v>
      </c>
      <c r="H73" s="20" t="n">
        <v>1.95134011</v>
      </c>
      <c r="I73" s="18" t="n">
        <v>0</v>
      </c>
      <c r="J73" s="20" t="n">
        <v>0</v>
      </c>
      <c r="K73" s="18" t="n">
        <v>0.62182987</v>
      </c>
      <c r="L73" s="20" t="n">
        <v>0.31339976</v>
      </c>
      <c r="M73" s="18" t="n">
        <v>0</v>
      </c>
      <c r="N73" s="20" t="n">
        <v>0</v>
      </c>
      <c r="O73" s="18" t="n">
        <v>0</v>
      </c>
      <c r="P73" s="20" t="n">
        <v>0</v>
      </c>
      <c r="Q73" s="18" t="n">
        <v>0</v>
      </c>
      <c r="R73" s="20" t="n">
        <v>0</v>
      </c>
    </row>
    <row r="74" spans="1:18">
      <c r="A74" s="15" t="s">
        <v>634</v>
      </c>
      <c r="B74" s="17" t="n">
        <v>3819</v>
      </c>
      <c r="C74" s="18">
        <f>(2940.0/B74*100)</f>
        <v/>
      </c>
      <c r="D74" s="19" t="n">
        <v>879</v>
      </c>
      <c r="E74" s="18" t="n">
        <v>47.81043194</v>
      </c>
      <c r="F74" s="20" t="n">
        <v>1.67546538</v>
      </c>
      <c r="G74" s="18" t="n">
        <v>51.87662552</v>
      </c>
      <c r="H74" s="20" t="n">
        <v>1.68139075</v>
      </c>
      <c r="I74" s="18" t="n">
        <v>0</v>
      </c>
      <c r="J74" s="20" t="n">
        <v>0</v>
      </c>
      <c r="K74" s="18" t="n">
        <v>0.08732912</v>
      </c>
      <c r="L74" s="20" t="n">
        <v>0.08834295</v>
      </c>
      <c r="M74" s="18" t="n">
        <v>0</v>
      </c>
      <c r="N74" s="20" t="n">
        <v>0</v>
      </c>
      <c r="O74" s="18" t="n">
        <v>0</v>
      </c>
      <c r="P74" s="20" t="n">
        <v>0</v>
      </c>
      <c r="Q74" s="18" t="n">
        <v>0.22561342</v>
      </c>
      <c r="R74" s="20" t="n">
        <v>0.1613785</v>
      </c>
    </row>
    <row r="75" spans="1:18">
      <c r="A75" s="15" t="s">
        <v>635</v>
      </c>
      <c r="B75" s="17" t="n">
        <v>4652</v>
      </c>
      <c r="C75" s="18">
        <f>(3667.0/B75*100)</f>
        <v/>
      </c>
      <c r="D75" s="19" t="n">
        <v>985</v>
      </c>
      <c r="E75" s="18" t="n">
        <v>77.36199735</v>
      </c>
      <c r="F75" s="20" t="n">
        <v>1.86651759</v>
      </c>
      <c r="G75" s="18" t="n">
        <v>22.3104695</v>
      </c>
      <c r="H75" s="20" t="n">
        <v>1.83221662</v>
      </c>
      <c r="I75" s="18" t="n">
        <v>0</v>
      </c>
      <c r="J75" s="20" t="n">
        <v>0</v>
      </c>
      <c r="K75" s="18" t="n">
        <v>0.28499562</v>
      </c>
      <c r="L75" s="20" t="n">
        <v>0.17376368</v>
      </c>
      <c r="M75" s="18" t="n">
        <v>0</v>
      </c>
      <c r="N75" s="20" t="n">
        <v>0</v>
      </c>
      <c r="O75" s="18" t="n">
        <v>0</v>
      </c>
      <c r="P75" s="20" t="n">
        <v>0</v>
      </c>
      <c r="Q75" s="18" t="n">
        <v>0.04253752</v>
      </c>
      <c r="R75" s="20" t="n">
        <v>0.04205053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(2396.0/B77*100)</f>
        <v/>
      </c>
      <c r="D77" s="19" t="n">
        <v>573</v>
      </c>
      <c r="E77" s="18" t="n">
        <v>79.67386767000001</v>
      </c>
      <c r="F77" s="20" t="n">
        <v>1.79746808</v>
      </c>
      <c r="G77" s="18" t="n">
        <v>12.89773802</v>
      </c>
      <c r="H77" s="20" t="n">
        <v>1.53493444</v>
      </c>
      <c r="I77" s="18" t="n">
        <v>0</v>
      </c>
      <c r="J77" s="20" t="n">
        <v>0</v>
      </c>
      <c r="K77" s="18" t="n">
        <v>5.52913547</v>
      </c>
      <c r="L77" s="20" t="n">
        <v>1.10253009</v>
      </c>
      <c r="M77" s="18" t="n">
        <v>0</v>
      </c>
      <c r="N77" s="20" t="n">
        <v>0</v>
      </c>
      <c r="O77" s="18" t="n">
        <v>0</v>
      </c>
      <c r="P77" s="20" t="n">
        <v>0</v>
      </c>
      <c r="Q77" s="18" t="n">
        <v>1.89925883</v>
      </c>
      <c r="R77" s="20" t="n">
        <v>0.48516052</v>
      </c>
    </row>
    <row r="78" spans="1:18">
      <c r="A78" s="15" t="s">
        <v>638</v>
      </c>
      <c r="B78" s="17" t="n">
        <v>7115</v>
      </c>
      <c r="C78" s="18">
        <f>(5565.0/B78*100)</f>
        <v/>
      </c>
      <c r="D78" s="19" t="n">
        <v>1550</v>
      </c>
      <c r="E78" s="18" t="n">
        <v>67.9459698</v>
      </c>
      <c r="F78" s="20" t="n">
        <v>1.45404826</v>
      </c>
      <c r="G78" s="18" t="n">
        <v>30.87290803</v>
      </c>
      <c r="H78" s="20" t="n">
        <v>1.42364655</v>
      </c>
      <c r="I78" s="18" t="n">
        <v>0</v>
      </c>
      <c r="J78" s="20" t="n">
        <v>0</v>
      </c>
      <c r="K78" s="18" t="n">
        <v>0.63000469</v>
      </c>
      <c r="L78" s="20" t="n">
        <v>0.24735178</v>
      </c>
      <c r="M78" s="18" t="n">
        <v>0</v>
      </c>
      <c r="N78" s="20" t="n">
        <v>0</v>
      </c>
      <c r="O78" s="18" t="n">
        <v>0</v>
      </c>
      <c r="P78" s="20" t="n">
        <v>0</v>
      </c>
      <c r="Q78" s="18" t="n">
        <v>0.55111747</v>
      </c>
      <c r="R78" s="20" t="n">
        <v>0.22255768</v>
      </c>
    </row>
    <row r="79" spans="1:18">
      <c r="A79" s="15" t="s">
        <v>639</v>
      </c>
      <c r="B79" s="17" t="n">
        <v>3154</v>
      </c>
      <c r="C79" s="18">
        <f>(2519.0/B79*100)</f>
        <v/>
      </c>
      <c r="D79" s="19" t="n">
        <v>635</v>
      </c>
      <c r="E79" s="18" t="n">
        <v>78.53729367</v>
      </c>
      <c r="F79" s="20" t="n">
        <v>1.61472813</v>
      </c>
      <c r="G79" s="18" t="n">
        <v>18.6503497</v>
      </c>
      <c r="H79" s="20" t="n">
        <v>1.45272126</v>
      </c>
      <c r="I79" s="18" t="n">
        <v>0</v>
      </c>
      <c r="J79" s="20" t="n">
        <v>0</v>
      </c>
      <c r="K79" s="18" t="n">
        <v>1.38945004</v>
      </c>
      <c r="L79" s="20" t="n">
        <v>0.50505487</v>
      </c>
      <c r="M79" s="18" t="n">
        <v>0</v>
      </c>
      <c r="N79" s="20" t="n">
        <v>0</v>
      </c>
      <c r="O79" s="18" t="n">
        <v>0</v>
      </c>
      <c r="P79" s="20" t="n">
        <v>0</v>
      </c>
      <c r="Q79" s="18" t="n">
        <v>1.42290659</v>
      </c>
      <c r="R79" s="20" t="n">
        <v>0.5481773599999999</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(12498.0/B82*100)</f>
        <v/>
      </c>
      <c r="D82" s="19" t="n">
        <v>3463</v>
      </c>
      <c r="E82" s="18" t="n">
        <v>65.42486780999999</v>
      </c>
      <c r="F82" s="20" t="n">
        <v>1.34549388</v>
      </c>
      <c r="G82" s="18" t="n">
        <v>33.80715961</v>
      </c>
      <c r="H82" s="20" t="n">
        <v>1.35470982</v>
      </c>
      <c r="I82" s="18" t="n">
        <v>0</v>
      </c>
      <c r="J82" s="20" t="n">
        <v>0</v>
      </c>
      <c r="K82" s="18" t="n">
        <v>0.35084424</v>
      </c>
      <c r="L82" s="20" t="n">
        <v>0.14138441</v>
      </c>
      <c r="M82" s="18" t="n">
        <v>0</v>
      </c>
      <c r="N82" s="20" t="n">
        <v>0</v>
      </c>
      <c r="O82" s="18" t="n">
        <v>0</v>
      </c>
      <c r="P82" s="20" t="n">
        <v>0</v>
      </c>
      <c r="Q82" s="18" t="n">
        <v>0.41712834</v>
      </c>
      <c r="R82" s="20" t="n">
        <v>0.09166668</v>
      </c>
    </row>
    <row r="83" spans="1:18">
      <c r="A83" s="15" t="s">
        <v>643</v>
      </c>
      <c r="B83" s="17" t="n">
        <v>808</v>
      </c>
      <c r="C83" s="18">
        <f>(627.0/B83*100)</f>
        <v/>
      </c>
      <c r="D83" s="19" t="n">
        <v>181</v>
      </c>
      <c r="E83" s="18" t="n">
        <v>57.00449442</v>
      </c>
      <c r="F83" s="20" t="n">
        <v>3.27095918</v>
      </c>
      <c r="G83" s="18" t="n">
        <v>42.38958279</v>
      </c>
      <c r="H83" s="20" t="n">
        <v>3.30540148</v>
      </c>
      <c r="I83" s="18" t="n">
        <v>0</v>
      </c>
      <c r="J83" s="20" t="n">
        <v>0</v>
      </c>
      <c r="K83" s="18" t="n">
        <v>0</v>
      </c>
      <c r="L83" s="20" t="n">
        <v>0</v>
      </c>
      <c r="M83" s="18" t="n">
        <v>0</v>
      </c>
      <c r="N83" s="20" t="n">
        <v>0</v>
      </c>
      <c r="O83" s="18" t="n">
        <v>0</v>
      </c>
      <c r="P83" s="20" t="n">
        <v>0</v>
      </c>
      <c r="Q83" s="18" t="n">
        <v>0.60592279</v>
      </c>
      <c r="R83" s="20" t="n">
        <v>0.5769888</v>
      </c>
    </row>
    <row r="84" spans="1:18">
      <c r="A84" s="23" t="s">
        <v>644</v>
      </c>
      <c r="B84" s="24" t="n">
        <v>938</v>
      </c>
      <c r="C84" s="25">
        <f>(742.0/B84*100)</f>
        <v/>
      </c>
      <c r="D84" s="19" t="n">
        <v>196</v>
      </c>
      <c r="E84" s="18" t="n">
        <v>60.7030782</v>
      </c>
      <c r="F84" s="20" t="n">
        <v>3.62966691</v>
      </c>
      <c r="G84" s="18" t="n">
        <v>39.2969218</v>
      </c>
      <c r="H84" s="20" t="n">
        <v>3.62966691</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(5662.0/B7*100)</f>
        <v/>
      </c>
      <c r="D7" s="19" t="n">
        <v>1501</v>
      </c>
      <c r="E7" s="18" t="n">
        <v>34.23261568</v>
      </c>
      <c r="F7" s="20" t="n">
        <v>1.4798316</v>
      </c>
      <c r="G7" s="18" t="n">
        <v>64.03424226999999</v>
      </c>
      <c r="H7" s="20" t="n">
        <v>1.5838824</v>
      </c>
      <c r="I7" s="18" t="n">
        <v>0</v>
      </c>
      <c r="J7" s="20" t="n">
        <v>0</v>
      </c>
      <c r="K7" s="18" t="n">
        <v>0.56972665</v>
      </c>
      <c r="L7" s="20" t="n">
        <v>0.23254192</v>
      </c>
      <c r="M7" s="18" t="n">
        <v>0.18088667</v>
      </c>
      <c r="N7" s="20" t="n">
        <v>0.15884618</v>
      </c>
      <c r="O7" s="18" t="n">
        <v>0</v>
      </c>
      <c r="P7" s="20" t="n">
        <v>0</v>
      </c>
      <c r="Q7" s="18" t="n">
        <v>0.98252874</v>
      </c>
      <c r="R7" s="20" t="n">
        <v>0.2632814</v>
      </c>
    </row>
    <row r="8" spans="1:18">
      <c r="A8" s="15" t="s">
        <v>566</v>
      </c>
      <c r="B8" s="17" t="n">
        <v>3443</v>
      </c>
      <c r="C8" s="18">
        <f>(2677.0/B8*100)</f>
        <v/>
      </c>
      <c r="D8" s="19" t="n">
        <v>766</v>
      </c>
      <c r="E8" s="18" t="n">
        <v>48.49329041</v>
      </c>
      <c r="F8" s="20" t="n">
        <v>2.17066768</v>
      </c>
      <c r="G8" s="18" t="n">
        <v>50.06722826</v>
      </c>
      <c r="H8" s="20" t="n">
        <v>2.28582968</v>
      </c>
      <c r="I8" s="18" t="n">
        <v>0</v>
      </c>
      <c r="J8" s="20" t="n">
        <v>0</v>
      </c>
      <c r="K8" s="18" t="n">
        <v>0.06761942</v>
      </c>
      <c r="L8" s="20" t="n">
        <v>0.0480135</v>
      </c>
      <c r="M8" s="18" t="n">
        <v>0</v>
      </c>
      <c r="N8" s="20" t="n">
        <v>0</v>
      </c>
      <c r="O8" s="18" t="n">
        <v>0</v>
      </c>
      <c r="P8" s="20" t="n">
        <v>0</v>
      </c>
      <c r="Q8" s="18" t="n">
        <v>1.3718619</v>
      </c>
      <c r="R8" s="20" t="n">
        <v>0.40648321</v>
      </c>
    </row>
    <row r="9" spans="1:18">
      <c r="A9" s="15" t="s">
        <v>567</v>
      </c>
      <c r="B9" s="17" t="n">
        <v>4752</v>
      </c>
      <c r="C9" s="18">
        <f>(3756.0/B9*100)</f>
        <v/>
      </c>
      <c r="D9" s="19" t="n">
        <v>996</v>
      </c>
      <c r="E9" s="18" t="n">
        <v>37.14863331</v>
      </c>
      <c r="F9" s="20" t="n">
        <v>1.61689848</v>
      </c>
      <c r="G9" s="18" t="n">
        <v>60.29916136</v>
      </c>
      <c r="H9" s="20" t="n">
        <v>1.7684692</v>
      </c>
      <c r="I9" s="18" t="n">
        <v>0</v>
      </c>
      <c r="J9" s="20" t="n">
        <v>0</v>
      </c>
      <c r="K9" s="18" t="n">
        <v>0.88363497</v>
      </c>
      <c r="L9" s="20" t="n">
        <v>0.26970004</v>
      </c>
      <c r="M9" s="18" t="n">
        <v>0.17243452</v>
      </c>
      <c r="N9" s="20" t="n">
        <v>0.14078617</v>
      </c>
      <c r="O9" s="18" t="n">
        <v>0</v>
      </c>
      <c r="P9" s="20" t="n">
        <v>0</v>
      </c>
      <c r="Q9" s="18" t="n">
        <v>1.49613585</v>
      </c>
      <c r="R9" s="20" t="n">
        <v>0.40691668</v>
      </c>
    </row>
    <row r="10" spans="1:18">
      <c r="A10" s="15" t="s">
        <v>568</v>
      </c>
      <c r="B10" s="17" t="n">
        <v>10022</v>
      </c>
      <c r="C10" s="18">
        <f>(7850.0/B10*100)</f>
        <v/>
      </c>
      <c r="D10" s="19" t="n">
        <v>2172</v>
      </c>
      <c r="E10" s="18" t="n">
        <v>32.4870771</v>
      </c>
      <c r="F10" s="20" t="n">
        <v>1.3286797</v>
      </c>
      <c r="G10" s="18" t="n">
        <v>65.56519658000001</v>
      </c>
      <c r="H10" s="20" t="n">
        <v>1.3541914</v>
      </c>
      <c r="I10" s="18" t="n">
        <v>0</v>
      </c>
      <c r="J10" s="20" t="n">
        <v>0</v>
      </c>
      <c r="K10" s="18" t="n">
        <v>1.32686866</v>
      </c>
      <c r="L10" s="20" t="n">
        <v>0.3795257</v>
      </c>
      <c r="M10" s="18" t="n">
        <v>0</v>
      </c>
      <c r="N10" s="20" t="n">
        <v>0</v>
      </c>
      <c r="O10" s="18" t="n">
        <v>0</v>
      </c>
      <c r="P10" s="20" t="n">
        <v>0</v>
      </c>
      <c r="Q10" s="18" t="n">
        <v>0.62085765</v>
      </c>
      <c r="R10" s="20" t="n">
        <v>0.20760339</v>
      </c>
    </row>
    <row r="11" spans="1:18">
      <c r="A11" s="15" t="s">
        <v>569</v>
      </c>
      <c r="B11" s="17" t="n">
        <v>3500</v>
      </c>
      <c r="C11" s="18">
        <f>(2799.0/B11*100)</f>
        <v/>
      </c>
      <c r="D11" s="19" t="n">
        <v>701</v>
      </c>
      <c r="E11" s="18" t="n">
        <v>57.87150977</v>
      </c>
      <c r="F11" s="20" t="n">
        <v>1.89038392</v>
      </c>
      <c r="G11" s="18" t="n">
        <v>37.8669901</v>
      </c>
      <c r="H11" s="20" t="n">
        <v>1.88702259</v>
      </c>
      <c r="I11" s="18" t="n">
        <v>0</v>
      </c>
      <c r="J11" s="20" t="n">
        <v>0</v>
      </c>
      <c r="K11" s="18" t="n">
        <v>1.76364206</v>
      </c>
      <c r="L11" s="20" t="n">
        <v>0.56680747</v>
      </c>
      <c r="M11" s="18" t="n">
        <v>0.01535612</v>
      </c>
      <c r="N11" s="20" t="n">
        <v>0.01549671</v>
      </c>
      <c r="O11" s="18" t="n">
        <v>0</v>
      </c>
      <c r="P11" s="20" t="n">
        <v>0</v>
      </c>
      <c r="Q11" s="18" t="n">
        <v>2.48250195</v>
      </c>
      <c r="R11" s="20" t="n">
        <v>0.74288026</v>
      </c>
    </row>
    <row r="12" spans="1:18">
      <c r="A12" s="15" t="s">
        <v>570</v>
      </c>
      <c r="B12" s="17" t="n">
        <v>3422</v>
      </c>
      <c r="C12" s="18">
        <f>(2698.0/B12*100)</f>
        <v/>
      </c>
      <c r="D12" s="19" t="n">
        <v>724</v>
      </c>
      <c r="E12" s="18" t="n">
        <v>47.75488435</v>
      </c>
      <c r="F12" s="20" t="n">
        <v>1.84736127</v>
      </c>
      <c r="G12" s="18" t="n">
        <v>50.79605183</v>
      </c>
      <c r="H12" s="20" t="n">
        <v>1.83708448</v>
      </c>
      <c r="I12" s="18" t="n">
        <v>0</v>
      </c>
      <c r="J12" s="20" t="n">
        <v>0</v>
      </c>
      <c r="K12" s="18" t="n">
        <v>0.27131808</v>
      </c>
      <c r="L12" s="20" t="n">
        <v>0.17728869</v>
      </c>
      <c r="M12" s="18" t="n">
        <v>0</v>
      </c>
      <c r="N12" s="20" t="n">
        <v>0</v>
      </c>
      <c r="O12" s="18" t="n">
        <v>0</v>
      </c>
      <c r="P12" s="20" t="n">
        <v>0</v>
      </c>
      <c r="Q12" s="18" t="n">
        <v>1.17774575</v>
      </c>
      <c r="R12" s="20" t="n">
        <v>0.48342947</v>
      </c>
    </row>
    <row r="13" spans="1:18">
      <c r="A13" s="15" t="s">
        <v>571</v>
      </c>
      <c r="B13" s="17" t="n">
        <v>3602</v>
      </c>
      <c r="C13" s="18">
        <f>(2850.0/B13*100)</f>
        <v/>
      </c>
      <c r="D13" s="19" t="n">
        <v>752</v>
      </c>
      <c r="E13" s="18" t="n">
        <v>37.64016611</v>
      </c>
      <c r="F13" s="20" t="n">
        <v>2.16885183</v>
      </c>
      <c r="G13" s="18" t="n">
        <v>61.69956054</v>
      </c>
      <c r="H13" s="20" t="n">
        <v>2.23660242</v>
      </c>
      <c r="I13" s="18" t="n">
        <v>0</v>
      </c>
      <c r="J13" s="20" t="n">
        <v>0</v>
      </c>
      <c r="K13" s="18" t="n">
        <v>0.39401009</v>
      </c>
      <c r="L13" s="20" t="n">
        <v>0.2837182</v>
      </c>
      <c r="M13" s="18" t="n">
        <v>0</v>
      </c>
      <c r="N13" s="20" t="n">
        <v>0</v>
      </c>
      <c r="O13" s="18" t="n">
        <v>0</v>
      </c>
      <c r="P13" s="20" t="n">
        <v>0</v>
      </c>
      <c r="Q13" s="18" t="n">
        <v>0.26626326</v>
      </c>
      <c r="R13" s="20" t="n">
        <v>0.10859648</v>
      </c>
    </row>
    <row r="14" spans="1:18">
      <c r="A14" s="15" t="s">
        <v>572</v>
      </c>
      <c r="B14" s="17" t="n">
        <v>2788</v>
      </c>
      <c r="C14" s="18">
        <f>(2193.0/B14*100)</f>
        <v/>
      </c>
      <c r="D14" s="19" t="n">
        <v>595</v>
      </c>
      <c r="E14" s="18" t="n">
        <v>25.10383199</v>
      </c>
      <c r="F14" s="20" t="n">
        <v>1.80813002</v>
      </c>
      <c r="G14" s="18" t="n">
        <v>73.61871082</v>
      </c>
      <c r="H14" s="20" t="n">
        <v>1.88407429</v>
      </c>
      <c r="I14" s="18" t="n">
        <v>0</v>
      </c>
      <c r="J14" s="20" t="n">
        <v>0</v>
      </c>
      <c r="K14" s="18" t="n">
        <v>0.39271549</v>
      </c>
      <c r="L14" s="20" t="n">
        <v>0.22444418</v>
      </c>
      <c r="M14" s="18" t="n">
        <v>0</v>
      </c>
      <c r="N14" s="20" t="n">
        <v>0</v>
      </c>
      <c r="O14" s="18" t="n">
        <v>0</v>
      </c>
      <c r="P14" s="20" t="n">
        <v>0</v>
      </c>
      <c r="Q14" s="18" t="n">
        <v>0.8847417</v>
      </c>
      <c r="R14" s="20" t="n">
        <v>0.44480511</v>
      </c>
    </row>
    <row r="15" spans="1:18">
      <c r="A15" s="15" t="s">
        <v>573</v>
      </c>
      <c r="B15" s="17" t="n">
        <v>2863</v>
      </c>
      <c r="C15" s="18">
        <f>(2235.0/B15*100)</f>
        <v/>
      </c>
      <c r="D15" s="19" t="n">
        <v>628</v>
      </c>
      <c r="E15" s="18" t="n">
        <v>25.38739696</v>
      </c>
      <c r="F15" s="20" t="n">
        <v>1.72322279</v>
      </c>
      <c r="G15" s="18" t="n">
        <v>73.96752703999999</v>
      </c>
      <c r="H15" s="20" t="n">
        <v>1.79754314</v>
      </c>
      <c r="I15" s="18" t="n">
        <v>0</v>
      </c>
      <c r="J15" s="20" t="n">
        <v>0</v>
      </c>
      <c r="K15" s="18" t="n">
        <v>0.33173038</v>
      </c>
      <c r="L15" s="20" t="n">
        <v>0.2342717</v>
      </c>
      <c r="M15" s="18" t="n">
        <v>0</v>
      </c>
      <c r="N15" s="20" t="n">
        <v>0</v>
      </c>
      <c r="O15" s="18" t="n">
        <v>0</v>
      </c>
      <c r="P15" s="20" t="n">
        <v>0</v>
      </c>
      <c r="Q15" s="18" t="n">
        <v>0.31334561</v>
      </c>
      <c r="R15" s="20" t="n">
        <v>0.06091429</v>
      </c>
    </row>
    <row r="16" spans="1:18">
      <c r="A16" s="15" t="s">
        <v>574</v>
      </c>
      <c r="B16" s="17" t="n">
        <v>3111</v>
      </c>
      <c r="C16" s="18">
        <f>(2423.0/B16*100)</f>
        <v/>
      </c>
      <c r="D16" s="19" t="n">
        <v>688</v>
      </c>
      <c r="E16" s="18" t="n">
        <v>36.21839434</v>
      </c>
      <c r="F16" s="20" t="n">
        <v>1.60743975</v>
      </c>
      <c r="G16" s="18" t="n">
        <v>59.62863479</v>
      </c>
      <c r="H16" s="20" t="n">
        <v>1.73100551</v>
      </c>
      <c r="I16" s="18" t="n">
        <v>0</v>
      </c>
      <c r="J16" s="20" t="n">
        <v>0</v>
      </c>
      <c r="K16" s="18" t="n">
        <v>1.58881992</v>
      </c>
      <c r="L16" s="20" t="n">
        <v>0.63154093</v>
      </c>
      <c r="M16" s="18" t="n">
        <v>0</v>
      </c>
      <c r="N16" s="20" t="n">
        <v>0</v>
      </c>
      <c r="O16" s="18" t="n">
        <v>0</v>
      </c>
      <c r="P16" s="20" t="n">
        <v>0</v>
      </c>
      <c r="Q16" s="18" t="n">
        <v>2.56415094</v>
      </c>
      <c r="R16" s="20" t="n">
        <v>0.67555153</v>
      </c>
    </row>
    <row r="17" spans="1:18">
      <c r="A17" s="15" t="s">
        <v>575</v>
      </c>
      <c r="B17" s="17" t="n">
        <v>3197</v>
      </c>
      <c r="C17" s="18">
        <f>(2509.0/B17*100)</f>
        <v/>
      </c>
      <c r="D17" s="19" t="n">
        <v>688</v>
      </c>
      <c r="E17" s="18" t="n">
        <v>34.5664525</v>
      </c>
      <c r="F17" s="20" t="n">
        <v>1.99044303</v>
      </c>
      <c r="G17" s="18" t="n">
        <v>62.81465895</v>
      </c>
      <c r="H17" s="20" t="n">
        <v>2.12179748</v>
      </c>
      <c r="I17" s="18" t="n">
        <v>0</v>
      </c>
      <c r="J17" s="20" t="n">
        <v>0</v>
      </c>
      <c r="K17" s="18" t="n">
        <v>0.36350688</v>
      </c>
      <c r="L17" s="20" t="n">
        <v>0.21694109</v>
      </c>
      <c r="M17" s="18" t="n">
        <v>0</v>
      </c>
      <c r="N17" s="20" t="n">
        <v>0</v>
      </c>
      <c r="O17" s="18" t="n">
        <v>0</v>
      </c>
      <c r="P17" s="20" t="n">
        <v>0</v>
      </c>
      <c r="Q17" s="18" t="n">
        <v>2.25538168</v>
      </c>
      <c r="R17" s="20" t="n">
        <v>0.74052094</v>
      </c>
    </row>
    <row r="18" spans="1:18">
      <c r="A18" s="15" t="s">
        <v>576</v>
      </c>
      <c r="B18" s="17" t="n">
        <v>2706</v>
      </c>
      <c r="C18" s="18">
        <f>(2095.0/B18*100)</f>
        <v/>
      </c>
      <c r="D18" s="19" t="n">
        <v>611</v>
      </c>
      <c r="E18" s="18" t="n">
        <v>39.98488017</v>
      </c>
      <c r="F18" s="20" t="n">
        <v>2.1342225</v>
      </c>
      <c r="G18" s="18" t="n">
        <v>57.08979547</v>
      </c>
      <c r="H18" s="20" t="n">
        <v>2.32857305</v>
      </c>
      <c r="I18" s="18" t="n">
        <v>0</v>
      </c>
      <c r="J18" s="20" t="n">
        <v>0</v>
      </c>
      <c r="K18" s="18" t="n">
        <v>0.82112567</v>
      </c>
      <c r="L18" s="20" t="n">
        <v>0.39007908</v>
      </c>
      <c r="M18" s="18" t="n">
        <v>0</v>
      </c>
      <c r="N18" s="20" t="n">
        <v>0</v>
      </c>
      <c r="O18" s="18" t="n">
        <v>0</v>
      </c>
      <c r="P18" s="20" t="n">
        <v>0</v>
      </c>
      <c r="Q18" s="18" t="n">
        <v>2.10419868</v>
      </c>
      <c r="R18" s="20" t="n">
        <v>0.5852976600000001</v>
      </c>
    </row>
    <row r="19" spans="1:18">
      <c r="A19" s="15" t="s">
        <v>577</v>
      </c>
      <c r="B19" s="17" t="n">
        <v>2850</v>
      </c>
      <c r="C19" s="18">
        <f>(2242.0/B19*100)</f>
        <v/>
      </c>
      <c r="D19" s="19" t="n">
        <v>608</v>
      </c>
      <c r="E19" s="18" t="n">
        <v>41.92287563</v>
      </c>
      <c r="F19" s="20" t="n">
        <v>2.32446752</v>
      </c>
      <c r="G19" s="18" t="n">
        <v>57.03900209</v>
      </c>
      <c r="H19" s="20" t="n">
        <v>2.26235267</v>
      </c>
      <c r="I19" s="18" t="n">
        <v>0</v>
      </c>
      <c r="J19" s="20" t="n">
        <v>0</v>
      </c>
      <c r="K19" s="18" t="n">
        <v>0</v>
      </c>
      <c r="L19" s="20" t="n">
        <v>0</v>
      </c>
      <c r="M19" s="18" t="n">
        <v>0</v>
      </c>
      <c r="N19" s="20" t="n">
        <v>0</v>
      </c>
      <c r="O19" s="18" t="n">
        <v>0</v>
      </c>
      <c r="P19" s="20" t="n">
        <v>0</v>
      </c>
      <c r="Q19" s="18" t="n">
        <v>1.03812228</v>
      </c>
      <c r="R19" s="20" t="n">
        <v>0.47229192</v>
      </c>
    </row>
    <row r="20" spans="1:18">
      <c r="A20" s="15" t="s">
        <v>578</v>
      </c>
      <c r="B20" s="17" t="n">
        <v>1741</v>
      </c>
      <c r="C20" s="18">
        <f>(1372.0/B20*100)</f>
        <v/>
      </c>
      <c r="D20" s="19" t="n">
        <v>369</v>
      </c>
      <c r="E20" s="18" t="n">
        <v>54.19394354</v>
      </c>
      <c r="F20" s="20" t="n">
        <v>2.9868918</v>
      </c>
      <c r="G20" s="18" t="n">
        <v>43.7181881</v>
      </c>
      <c r="H20" s="20" t="n">
        <v>2.96706629</v>
      </c>
      <c r="I20" s="18" t="n">
        <v>0</v>
      </c>
      <c r="J20" s="20" t="n">
        <v>0</v>
      </c>
      <c r="K20" s="18" t="n">
        <v>0.26770885</v>
      </c>
      <c r="L20" s="20" t="n">
        <v>0.27029953</v>
      </c>
      <c r="M20" s="18" t="n">
        <v>0.41518082</v>
      </c>
      <c r="N20" s="20" t="n">
        <v>0.41899249</v>
      </c>
      <c r="O20" s="18" t="n">
        <v>0</v>
      </c>
      <c r="P20" s="20" t="n">
        <v>0</v>
      </c>
      <c r="Q20" s="18" t="n">
        <v>1.40497869</v>
      </c>
      <c r="R20" s="20" t="n">
        <v>0.62788658</v>
      </c>
    </row>
    <row r="21" spans="1:18">
      <c r="A21" s="15" t="s">
        <v>579</v>
      </c>
      <c r="B21" s="17" t="n">
        <v>2833</v>
      </c>
      <c r="C21" s="18">
        <f>(2216.0/B21*100)</f>
        <v/>
      </c>
      <c r="D21" s="19" t="n">
        <v>617</v>
      </c>
      <c r="E21" s="18" t="n">
        <v>27.57476944</v>
      </c>
      <c r="F21" s="20" t="n">
        <v>1.8951573</v>
      </c>
      <c r="G21" s="18" t="n">
        <v>71.93096955</v>
      </c>
      <c r="H21" s="20" t="n">
        <v>1.88737532</v>
      </c>
      <c r="I21" s="18" t="n">
        <v>0</v>
      </c>
      <c r="J21" s="20" t="n">
        <v>0</v>
      </c>
      <c r="K21" s="18" t="n">
        <v>0.31905856</v>
      </c>
      <c r="L21" s="20" t="n">
        <v>0.2170011</v>
      </c>
      <c r="M21" s="18" t="n">
        <v>0</v>
      </c>
      <c r="N21" s="20" t="n">
        <v>0</v>
      </c>
      <c r="O21" s="18" t="n">
        <v>0</v>
      </c>
      <c r="P21" s="20" t="n">
        <v>0</v>
      </c>
      <c r="Q21" s="18" t="n">
        <v>0.17520246</v>
      </c>
      <c r="R21" s="20" t="n">
        <v>0.1632223</v>
      </c>
    </row>
    <row r="22" spans="1:18">
      <c r="A22" s="15" t="s">
        <v>580</v>
      </c>
      <c r="B22" s="17" t="n">
        <v>3667</v>
      </c>
      <c r="C22" s="18">
        <f>(2925.0/B22*100)</f>
        <v/>
      </c>
      <c r="D22" s="19" t="n">
        <v>742</v>
      </c>
      <c r="E22" s="18" t="n">
        <v>48.0230275</v>
      </c>
      <c r="F22" s="20" t="n">
        <v>1.91455844</v>
      </c>
      <c r="G22" s="18" t="n">
        <v>49.35873178</v>
      </c>
      <c r="H22" s="20" t="n">
        <v>2.01121042</v>
      </c>
      <c r="I22" s="18" t="n">
        <v>0</v>
      </c>
      <c r="J22" s="20" t="n">
        <v>0</v>
      </c>
      <c r="K22" s="18" t="n">
        <v>0.41111228</v>
      </c>
      <c r="L22" s="20" t="n">
        <v>0.3155731</v>
      </c>
      <c r="M22" s="18" t="n">
        <v>0</v>
      </c>
      <c r="N22" s="20" t="n">
        <v>0</v>
      </c>
      <c r="O22" s="18" t="n">
        <v>0</v>
      </c>
      <c r="P22" s="20" t="n">
        <v>0</v>
      </c>
      <c r="Q22" s="18" t="n">
        <v>2.20712845</v>
      </c>
      <c r="R22" s="20" t="n">
        <v>0.41823208</v>
      </c>
    </row>
    <row r="23" spans="1:18">
      <c r="A23" s="15" t="s">
        <v>581</v>
      </c>
      <c r="B23" s="17" t="n">
        <v>5792</v>
      </c>
      <c r="C23" s="18">
        <f>(4508.0/B23*100)</f>
        <v/>
      </c>
      <c r="D23" s="19" t="n">
        <v>1284</v>
      </c>
      <c r="E23" s="18" t="n">
        <v>46.12753499</v>
      </c>
      <c r="F23" s="20" t="n">
        <v>2.14913404</v>
      </c>
      <c r="G23" s="18" t="n">
        <v>49.5392626</v>
      </c>
      <c r="H23" s="20" t="n">
        <v>2.30342818</v>
      </c>
      <c r="I23" s="18" t="n">
        <v>0</v>
      </c>
      <c r="J23" s="20" t="n">
        <v>0</v>
      </c>
      <c r="K23" s="18" t="n">
        <v>1.60521435</v>
      </c>
      <c r="L23" s="20" t="n">
        <v>0.59573669</v>
      </c>
      <c r="M23" s="18" t="n">
        <v>0</v>
      </c>
      <c r="N23" s="20" t="n">
        <v>0</v>
      </c>
      <c r="O23" s="18" t="n">
        <v>0</v>
      </c>
      <c r="P23" s="20" t="n">
        <v>0</v>
      </c>
      <c r="Q23" s="18" t="n">
        <v>2.72798807</v>
      </c>
      <c r="R23" s="20" t="n">
        <v>0.72797236</v>
      </c>
    </row>
    <row r="24" spans="1:18">
      <c r="A24" s="15" t="s">
        <v>582</v>
      </c>
      <c r="B24" s="17" t="n">
        <v>3309</v>
      </c>
      <c r="C24" s="18">
        <f>(2597.0/B24*100)</f>
        <v/>
      </c>
      <c r="D24" s="19" t="n">
        <v>712</v>
      </c>
      <c r="E24" s="18" t="n">
        <v>30.4660896</v>
      </c>
      <c r="F24" s="20" t="n">
        <v>1.79772725</v>
      </c>
      <c r="G24" s="18" t="n">
        <v>67.34374440000001</v>
      </c>
      <c r="H24" s="20" t="n">
        <v>1.74486163</v>
      </c>
      <c r="I24" s="18" t="n">
        <v>0</v>
      </c>
      <c r="J24" s="20" t="n">
        <v>0</v>
      </c>
      <c r="K24" s="18" t="n">
        <v>0.29997178</v>
      </c>
      <c r="L24" s="20" t="n">
        <v>0.20716064</v>
      </c>
      <c r="M24" s="18" t="n">
        <v>0</v>
      </c>
      <c r="N24" s="20" t="n">
        <v>0</v>
      </c>
      <c r="O24" s="18" t="n">
        <v>0</v>
      </c>
      <c r="P24" s="20" t="n">
        <v>0</v>
      </c>
      <c r="Q24" s="18" t="n">
        <v>1.89019423</v>
      </c>
      <c r="R24" s="20" t="n">
        <v>0.51452319</v>
      </c>
    </row>
    <row r="25" spans="1:18">
      <c r="A25" s="15" t="s">
        <v>583</v>
      </c>
      <c r="B25" s="17" t="n">
        <v>2669</v>
      </c>
      <c r="C25" s="18">
        <f>(2068.0/B25*100)</f>
        <v/>
      </c>
      <c r="D25" s="19" t="n">
        <v>601</v>
      </c>
      <c r="E25" s="18" t="n">
        <v>26.32099292</v>
      </c>
      <c r="F25" s="20" t="n">
        <v>1.7237195</v>
      </c>
      <c r="G25" s="18" t="n">
        <v>73.22784638</v>
      </c>
      <c r="H25" s="20" t="n">
        <v>1.7210078</v>
      </c>
      <c r="I25" s="18" t="n">
        <v>0</v>
      </c>
      <c r="J25" s="20" t="n">
        <v>0</v>
      </c>
      <c r="K25" s="18" t="n">
        <v>0.29634487</v>
      </c>
      <c r="L25" s="20" t="n">
        <v>0.18936436</v>
      </c>
      <c r="M25" s="18" t="n">
        <v>0</v>
      </c>
      <c r="N25" s="20" t="n">
        <v>0</v>
      </c>
      <c r="O25" s="18" t="n">
        <v>0</v>
      </c>
      <c r="P25" s="20" t="n">
        <v>0</v>
      </c>
      <c r="Q25" s="18" t="n">
        <v>0.15481583</v>
      </c>
      <c r="R25" s="20" t="n">
        <v>0.1540649</v>
      </c>
    </row>
    <row r="26" spans="1:18">
      <c r="A26" s="15" t="s">
        <v>584</v>
      </c>
      <c r="B26" s="17" t="n">
        <v>2419</v>
      </c>
      <c r="C26" s="18">
        <f>(1868.0/B26*100)</f>
        <v/>
      </c>
      <c r="D26" s="19" t="n">
        <v>551</v>
      </c>
      <c r="E26" s="18" t="n">
        <v>41.04918743</v>
      </c>
      <c r="F26" s="20" t="n">
        <v>2.22295475</v>
      </c>
      <c r="G26" s="18" t="n">
        <v>58.67477136</v>
      </c>
      <c r="H26" s="20" t="n">
        <v>2.22907392</v>
      </c>
      <c r="I26" s="18" t="n">
        <v>0</v>
      </c>
      <c r="J26" s="20" t="n">
        <v>0</v>
      </c>
      <c r="K26" s="18" t="n">
        <v>0.15153803</v>
      </c>
      <c r="L26" s="20" t="n">
        <v>0.15513322</v>
      </c>
      <c r="M26" s="18" t="n">
        <v>0.12450319</v>
      </c>
      <c r="N26" s="20" t="n">
        <v>0.12470881</v>
      </c>
      <c r="O26" s="18" t="n">
        <v>0</v>
      </c>
      <c r="P26" s="20" t="n">
        <v>0</v>
      </c>
      <c r="Q26" s="18" t="n">
        <v>0</v>
      </c>
      <c r="R26" s="20" t="n">
        <v>0</v>
      </c>
    </row>
    <row r="27" spans="1:18">
      <c r="A27" s="15" t="s">
        <v>585</v>
      </c>
      <c r="B27" s="17" t="n">
        <v>2683</v>
      </c>
      <c r="C27" s="18">
        <f>(2125.0/B27*100)</f>
        <v/>
      </c>
      <c r="D27" s="19" t="n">
        <v>558</v>
      </c>
      <c r="E27" s="18" t="n">
        <v>46.09439389</v>
      </c>
      <c r="F27" s="20" t="n">
        <v>2.16075269</v>
      </c>
      <c r="G27" s="18" t="n">
        <v>51.74027525</v>
      </c>
      <c r="H27" s="20" t="n">
        <v>2.18298564</v>
      </c>
      <c r="I27" s="18" t="n">
        <v>0</v>
      </c>
      <c r="J27" s="20" t="n">
        <v>0</v>
      </c>
      <c r="K27" s="18" t="n">
        <v>0.17750887</v>
      </c>
      <c r="L27" s="20" t="n">
        <v>0.17716979</v>
      </c>
      <c r="M27" s="18" t="n">
        <v>0</v>
      </c>
      <c r="N27" s="20" t="n">
        <v>0</v>
      </c>
      <c r="O27" s="18" t="n">
        <v>0</v>
      </c>
      <c r="P27" s="20" t="n">
        <v>0</v>
      </c>
      <c r="Q27" s="18" t="n">
        <v>1.98782199</v>
      </c>
      <c r="R27" s="20" t="n">
        <v>0.6327741</v>
      </c>
    </row>
    <row r="28" spans="1:18">
      <c r="A28" s="15" t="s">
        <v>586</v>
      </c>
      <c r="B28" s="17" t="n">
        <v>3803</v>
      </c>
      <c r="C28" s="18">
        <f>(3086.0/B28*100)</f>
        <v/>
      </c>
      <c r="D28" s="19" t="n">
        <v>717</v>
      </c>
      <c r="E28" s="18" t="n">
        <v>62.636797</v>
      </c>
      <c r="F28" s="20" t="n">
        <v>2.27452233</v>
      </c>
      <c r="G28" s="18" t="n">
        <v>35.4335892</v>
      </c>
      <c r="H28" s="20" t="n">
        <v>2.22691829</v>
      </c>
      <c r="I28" s="18" t="n">
        <v>0</v>
      </c>
      <c r="J28" s="20" t="n">
        <v>0</v>
      </c>
      <c r="K28" s="18" t="n">
        <v>1.41852335</v>
      </c>
      <c r="L28" s="20" t="n">
        <v>0.57662955</v>
      </c>
      <c r="M28" s="18" t="n">
        <v>0.11797945</v>
      </c>
      <c r="N28" s="20" t="n">
        <v>0.11730288</v>
      </c>
      <c r="O28" s="18" t="n">
        <v>0</v>
      </c>
      <c r="P28" s="20" t="n">
        <v>0</v>
      </c>
      <c r="Q28" s="18" t="n">
        <v>0.39311099</v>
      </c>
      <c r="R28" s="20" t="n">
        <v>0.20969571</v>
      </c>
    </row>
    <row r="29" spans="1:18">
      <c r="A29" s="15" t="s">
        <v>587</v>
      </c>
      <c r="B29" s="17" t="n">
        <v>2700</v>
      </c>
      <c r="C29" s="18">
        <f>(2097.0/B29*100)</f>
        <v/>
      </c>
      <c r="D29" s="19" t="n">
        <v>603</v>
      </c>
      <c r="E29" s="18" t="n">
        <v>34.73467682</v>
      </c>
      <c r="F29" s="20" t="n">
        <v>2.3523856</v>
      </c>
      <c r="G29" s="18" t="n">
        <v>64.71186061</v>
      </c>
      <c r="H29" s="20" t="n">
        <v>2.36715115</v>
      </c>
      <c r="I29" s="18" t="n">
        <v>0</v>
      </c>
      <c r="J29" s="20" t="n">
        <v>0</v>
      </c>
      <c r="K29" s="18" t="n">
        <v>0.40089464</v>
      </c>
      <c r="L29" s="20" t="n">
        <v>0.23256382</v>
      </c>
      <c r="M29" s="18" t="n">
        <v>0</v>
      </c>
      <c r="N29" s="20" t="n">
        <v>0</v>
      </c>
      <c r="O29" s="18" t="n">
        <v>0</v>
      </c>
      <c r="P29" s="20" t="n">
        <v>0</v>
      </c>
      <c r="Q29" s="18" t="n">
        <v>0.15256793</v>
      </c>
      <c r="R29" s="20" t="n">
        <v>0.17387394</v>
      </c>
    </row>
    <row r="30" spans="1:18">
      <c r="A30" s="15" t="s">
        <v>588</v>
      </c>
      <c r="B30" s="17" t="n">
        <v>2257</v>
      </c>
      <c r="C30" s="18">
        <f>(1800.0/B30*100)</f>
        <v/>
      </c>
      <c r="D30" s="19" t="n">
        <v>457</v>
      </c>
      <c r="E30" s="18" t="n">
        <v>31.42993951</v>
      </c>
      <c r="F30" s="20" t="n">
        <v>2.35388248</v>
      </c>
      <c r="G30" s="18" t="n">
        <v>65.87015537000001</v>
      </c>
      <c r="H30" s="20" t="n">
        <v>2.26661066</v>
      </c>
      <c r="I30" s="18" t="n">
        <v>0</v>
      </c>
      <c r="J30" s="20" t="n">
        <v>0</v>
      </c>
      <c r="K30" s="18" t="n">
        <v>1.04869197</v>
      </c>
      <c r="L30" s="20" t="n">
        <v>0.50230875</v>
      </c>
      <c r="M30" s="18" t="n">
        <v>0.20287721</v>
      </c>
      <c r="N30" s="20" t="n">
        <v>0.20133033</v>
      </c>
      <c r="O30" s="18" t="n">
        <v>0</v>
      </c>
      <c r="P30" s="20" t="n">
        <v>0</v>
      </c>
      <c r="Q30" s="18" t="n">
        <v>1.44833593</v>
      </c>
      <c r="R30" s="20" t="n">
        <v>0.56662259</v>
      </c>
    </row>
    <row r="31" spans="1:18">
      <c r="A31" s="15" t="s">
        <v>589</v>
      </c>
      <c r="B31" s="17" t="n">
        <v>2706</v>
      </c>
      <c r="C31" s="18">
        <f>(2138.0/B31*100)</f>
        <v/>
      </c>
      <c r="D31" s="19" t="n">
        <v>568</v>
      </c>
      <c r="E31" s="18" t="n">
        <v>38.29840604</v>
      </c>
      <c r="F31" s="20" t="n">
        <v>2.16574066</v>
      </c>
      <c r="G31" s="18" t="n">
        <v>58.91848734</v>
      </c>
      <c r="H31" s="20" t="n">
        <v>2.2573757</v>
      </c>
      <c r="I31" s="18" t="n">
        <v>0</v>
      </c>
      <c r="J31" s="20" t="n">
        <v>0</v>
      </c>
      <c r="K31" s="18" t="n">
        <v>1.37397595</v>
      </c>
      <c r="L31" s="20" t="n">
        <v>0.48729386</v>
      </c>
      <c r="M31" s="18" t="n">
        <v>0.16242874</v>
      </c>
      <c r="N31" s="20" t="n">
        <v>0.16138823</v>
      </c>
      <c r="O31" s="18" t="n">
        <v>0</v>
      </c>
      <c r="P31" s="20" t="n">
        <v>0</v>
      </c>
      <c r="Q31" s="18" t="n">
        <v>1.24670193</v>
      </c>
      <c r="R31" s="20" t="n">
        <v>0.48598489</v>
      </c>
    </row>
    <row r="32" spans="1:18">
      <c r="A32" s="15" t="s">
        <v>590</v>
      </c>
      <c r="B32" s="17" t="n">
        <v>2209</v>
      </c>
      <c r="C32" s="18">
        <f>(1712.0/B32*100)</f>
        <v/>
      </c>
      <c r="D32" s="19" t="n">
        <v>497</v>
      </c>
      <c r="E32" s="18" t="n">
        <v>47.75842361</v>
      </c>
      <c r="F32" s="20" t="n">
        <v>2.38651955</v>
      </c>
      <c r="G32" s="18" t="n">
        <v>50.70181328</v>
      </c>
      <c r="H32" s="20" t="n">
        <v>2.42723835</v>
      </c>
      <c r="I32" s="18" t="n">
        <v>0</v>
      </c>
      <c r="J32" s="20" t="n">
        <v>0</v>
      </c>
      <c r="K32" s="18" t="n">
        <v>0.2003753</v>
      </c>
      <c r="L32" s="20" t="n">
        <v>0.21420698</v>
      </c>
      <c r="M32" s="18" t="n">
        <v>0.85917259</v>
      </c>
      <c r="N32" s="20" t="n">
        <v>0.91188302</v>
      </c>
      <c r="O32" s="18" t="n">
        <v>0</v>
      </c>
      <c r="P32" s="20" t="n">
        <v>0</v>
      </c>
      <c r="Q32" s="18" t="n">
        <v>0.48021522</v>
      </c>
      <c r="R32" s="20" t="n">
        <v>0.34772364</v>
      </c>
    </row>
    <row r="33" spans="1:18">
      <c r="A33" s="15" t="s">
        <v>591</v>
      </c>
      <c r="B33" s="17" t="n">
        <v>3651</v>
      </c>
      <c r="C33" s="18">
        <f>(2919.0/B33*100)</f>
        <v/>
      </c>
      <c r="D33" s="19" t="n">
        <v>732</v>
      </c>
      <c r="E33" s="18" t="n">
        <v>44.00562876</v>
      </c>
      <c r="F33" s="20" t="n">
        <v>1.81040295</v>
      </c>
      <c r="G33" s="18" t="n">
        <v>53.45380872</v>
      </c>
      <c r="H33" s="20" t="n">
        <v>1.83203453</v>
      </c>
      <c r="I33" s="18" t="n">
        <v>0</v>
      </c>
      <c r="J33" s="20" t="n">
        <v>0</v>
      </c>
      <c r="K33" s="18" t="n">
        <v>1.04161986</v>
      </c>
      <c r="L33" s="20" t="n">
        <v>0.46976473</v>
      </c>
      <c r="M33" s="18" t="n">
        <v>0.39522489</v>
      </c>
      <c r="N33" s="20" t="n">
        <v>0.2309487</v>
      </c>
      <c r="O33" s="18" t="n">
        <v>0</v>
      </c>
      <c r="P33" s="20" t="n">
        <v>0</v>
      </c>
      <c r="Q33" s="18" t="n">
        <v>1.10371777</v>
      </c>
      <c r="R33" s="20" t="n">
        <v>0.44438786</v>
      </c>
    </row>
    <row r="34" spans="1:18">
      <c r="A34" s="15" t="s">
        <v>592</v>
      </c>
      <c r="B34" s="17" t="n">
        <v>3035</v>
      </c>
      <c r="C34" s="18">
        <f>(2389.0/B34*100)</f>
        <v/>
      </c>
      <c r="D34" s="19" t="n">
        <v>646</v>
      </c>
      <c r="E34" s="18" t="n">
        <v>53.42769965</v>
      </c>
      <c r="F34" s="20" t="n">
        <v>1.94773677</v>
      </c>
      <c r="G34" s="18" t="n">
        <v>43.91395927</v>
      </c>
      <c r="H34" s="20" t="n">
        <v>1.97153371</v>
      </c>
      <c r="I34" s="18" t="n">
        <v>0</v>
      </c>
      <c r="J34" s="20" t="n">
        <v>0</v>
      </c>
      <c r="K34" s="18" t="n">
        <v>0.60193728</v>
      </c>
      <c r="L34" s="20" t="n">
        <v>0.30906614</v>
      </c>
      <c r="M34" s="18" t="n">
        <v>0.4396846</v>
      </c>
      <c r="N34" s="20" t="n">
        <v>0.32461854</v>
      </c>
      <c r="O34" s="18" t="n">
        <v>0</v>
      </c>
      <c r="P34" s="20" t="n">
        <v>0</v>
      </c>
      <c r="Q34" s="18" t="n">
        <v>1.6167192</v>
      </c>
      <c r="R34" s="20" t="n">
        <v>0.46318324</v>
      </c>
    </row>
    <row r="35" spans="1:18">
      <c r="A35" s="15" t="s">
        <v>593</v>
      </c>
      <c r="B35" s="17" t="n">
        <v>2901</v>
      </c>
      <c r="C35" s="18">
        <f>(2252.0/B35*100)</f>
        <v/>
      </c>
      <c r="D35" s="19" t="n">
        <v>649</v>
      </c>
      <c r="E35" s="18" t="n">
        <v>40.50742267</v>
      </c>
      <c r="F35" s="20" t="n">
        <v>2.46615146</v>
      </c>
      <c r="G35" s="18" t="n">
        <v>58.80699158</v>
      </c>
      <c r="H35" s="20" t="n">
        <v>2.45703378</v>
      </c>
      <c r="I35" s="18" t="n">
        <v>0</v>
      </c>
      <c r="J35" s="20" t="n">
        <v>0</v>
      </c>
      <c r="K35" s="18" t="n">
        <v>0.08449207</v>
      </c>
      <c r="L35" s="20" t="n">
        <v>0.08461009999999999</v>
      </c>
      <c r="M35" s="18" t="n">
        <v>0</v>
      </c>
      <c r="N35" s="20" t="n">
        <v>0</v>
      </c>
      <c r="O35" s="18" t="n">
        <v>0</v>
      </c>
      <c r="P35" s="20" t="n">
        <v>0</v>
      </c>
      <c r="Q35" s="18" t="n">
        <v>0.60109368</v>
      </c>
      <c r="R35" s="20" t="n">
        <v>0.24154246</v>
      </c>
    </row>
    <row r="36" spans="1:18">
      <c r="A36" s="15" t="s">
        <v>594</v>
      </c>
      <c r="B36" s="17" t="n">
        <v>3404</v>
      </c>
      <c r="C36" s="18">
        <f>(2703.0/B36*100)</f>
        <v/>
      </c>
      <c r="D36" s="19" t="n">
        <v>701</v>
      </c>
      <c r="E36" s="18" t="n">
        <v>36.01065453</v>
      </c>
      <c r="F36" s="20" t="n">
        <v>2.05490723</v>
      </c>
      <c r="G36" s="18" t="n">
        <v>63.10331561</v>
      </c>
      <c r="H36" s="20" t="n">
        <v>2.12942469</v>
      </c>
      <c r="I36" s="18" t="n">
        <v>0</v>
      </c>
      <c r="J36" s="20" t="n">
        <v>0</v>
      </c>
      <c r="K36" s="18" t="n">
        <v>0.18271056</v>
      </c>
      <c r="L36" s="20" t="n">
        <v>0.15358148</v>
      </c>
      <c r="M36" s="18" t="n">
        <v>0.27977641</v>
      </c>
      <c r="N36" s="20" t="n">
        <v>0.19499223</v>
      </c>
      <c r="O36" s="18" t="n">
        <v>0</v>
      </c>
      <c r="P36" s="20" t="n">
        <v>0</v>
      </c>
      <c r="Q36" s="18" t="n">
        <v>0.42354289</v>
      </c>
      <c r="R36" s="20" t="n">
        <v>0.27504197</v>
      </c>
    </row>
    <row r="37" spans="1:18">
      <c r="A37" s="15" t="s">
        <v>595</v>
      </c>
      <c r="B37" s="17" t="n">
        <v>2731</v>
      </c>
      <c r="C37" s="18">
        <f>(2152.0/B37*100)</f>
        <v/>
      </c>
      <c r="D37" s="19" t="n">
        <v>579</v>
      </c>
      <c r="E37" s="18" t="n">
        <v>31.16923326</v>
      </c>
      <c r="F37" s="20" t="n">
        <v>2.20723854</v>
      </c>
      <c r="G37" s="18" t="n">
        <v>65.39764953</v>
      </c>
      <c r="H37" s="20" t="n">
        <v>2.32774257</v>
      </c>
      <c r="I37" s="18" t="n">
        <v>0</v>
      </c>
      <c r="J37" s="20" t="n">
        <v>0</v>
      </c>
      <c r="K37" s="18" t="n">
        <v>1.62063921</v>
      </c>
      <c r="L37" s="20" t="n">
        <v>0.55880513</v>
      </c>
      <c r="M37" s="18" t="n">
        <v>0</v>
      </c>
      <c r="N37" s="20" t="n">
        <v>0</v>
      </c>
      <c r="O37" s="18" t="n">
        <v>0</v>
      </c>
      <c r="P37" s="20" t="n">
        <v>0</v>
      </c>
      <c r="Q37" s="18" t="n">
        <v>1.812478</v>
      </c>
      <c r="R37" s="20" t="n">
        <v>0.5817099</v>
      </c>
    </row>
    <row r="38" spans="1:18">
      <c r="A38" s="15" t="s">
        <v>596</v>
      </c>
      <c r="B38" s="17" t="n">
        <v>2807</v>
      </c>
      <c r="C38" s="18">
        <f>(2165.0/B38*100)</f>
        <v/>
      </c>
      <c r="D38" s="19" t="n">
        <v>642</v>
      </c>
      <c r="E38" s="18" t="n">
        <v>33.64200087</v>
      </c>
      <c r="F38" s="20" t="n">
        <v>2.02071473</v>
      </c>
      <c r="G38" s="18" t="n">
        <v>60.61790515</v>
      </c>
      <c r="H38" s="20" t="n">
        <v>2.1366331</v>
      </c>
      <c r="I38" s="18" t="n">
        <v>0</v>
      </c>
      <c r="J38" s="20" t="n">
        <v>0</v>
      </c>
      <c r="K38" s="18" t="n">
        <v>0.48086115</v>
      </c>
      <c r="L38" s="20" t="n">
        <v>0.28060781</v>
      </c>
      <c r="M38" s="18" t="n">
        <v>3.6637383</v>
      </c>
      <c r="N38" s="20" t="n">
        <v>0.90586396</v>
      </c>
      <c r="O38" s="18" t="n">
        <v>0</v>
      </c>
      <c r="P38" s="20" t="n">
        <v>0</v>
      </c>
      <c r="Q38" s="18" t="n">
        <v>1.59549454</v>
      </c>
      <c r="R38" s="20" t="n">
        <v>0.60909879</v>
      </c>
    </row>
    <row r="39" spans="1:18">
      <c r="A39" s="15" t="s">
        <v>597</v>
      </c>
      <c r="B39" s="17" t="n">
        <v>2938</v>
      </c>
      <c r="C39" s="18">
        <f>(2289.0/B39*100)</f>
        <v/>
      </c>
      <c r="D39" s="19" t="n">
        <v>649</v>
      </c>
      <c r="E39" s="18" t="n">
        <v>60.12934699</v>
      </c>
      <c r="F39" s="20" t="n">
        <v>1.99185247</v>
      </c>
      <c r="G39" s="18" t="n">
        <v>37.28251695</v>
      </c>
      <c r="H39" s="20" t="n">
        <v>2.05847256</v>
      </c>
      <c r="I39" s="18" t="n">
        <v>0</v>
      </c>
      <c r="J39" s="20" t="n">
        <v>0</v>
      </c>
      <c r="K39" s="18" t="n">
        <v>0.14501143</v>
      </c>
      <c r="L39" s="20" t="n">
        <v>0.14469868</v>
      </c>
      <c r="M39" s="18" t="n">
        <v>0</v>
      </c>
      <c r="N39" s="20" t="n">
        <v>0</v>
      </c>
      <c r="O39" s="18" t="n">
        <v>0</v>
      </c>
      <c r="P39" s="20" t="n">
        <v>0</v>
      </c>
      <c r="Q39" s="18" t="n">
        <v>2.44312462</v>
      </c>
      <c r="R39" s="20" t="n">
        <v>0.6259732</v>
      </c>
    </row>
    <row r="40" spans="1:18">
      <c r="A40" s="15" t="s">
        <v>598</v>
      </c>
      <c r="B40" s="17" t="n">
        <v>6922</v>
      </c>
      <c r="C40" s="18">
        <f>(5377.0/B40*100)</f>
        <v/>
      </c>
      <c r="D40" s="19" t="n">
        <v>1545</v>
      </c>
      <c r="E40" s="18" t="n">
        <v>34.3873653</v>
      </c>
      <c r="F40" s="20" t="n">
        <v>1.93960961</v>
      </c>
      <c r="G40" s="18" t="n">
        <v>63.14378814</v>
      </c>
      <c r="H40" s="20" t="n">
        <v>2.05760457</v>
      </c>
      <c r="I40" s="18" t="n">
        <v>0</v>
      </c>
      <c r="J40" s="20" t="n">
        <v>0</v>
      </c>
      <c r="K40" s="18" t="n">
        <v>0.24861753</v>
      </c>
      <c r="L40" s="20" t="n">
        <v>0.16306053</v>
      </c>
      <c r="M40" s="18" t="n">
        <v>0</v>
      </c>
      <c r="N40" s="20" t="n">
        <v>0</v>
      </c>
      <c r="O40" s="18" t="n">
        <v>0</v>
      </c>
      <c r="P40" s="20" t="n">
        <v>0</v>
      </c>
      <c r="Q40" s="18" t="n">
        <v>2.22022903</v>
      </c>
      <c r="R40" s="20" t="n">
        <v>0.62412155</v>
      </c>
    </row>
    <row r="41" spans="1:18">
      <c r="A41" s="15" t="s">
        <v>599</v>
      </c>
      <c r="B41" s="17" t="n">
        <v>2854</v>
      </c>
      <c r="C41" s="18">
        <f>(2267.0/B41*100)</f>
        <v/>
      </c>
      <c r="D41" s="19" t="n">
        <v>587</v>
      </c>
      <c r="E41" s="18" t="n">
        <v>46.42558885</v>
      </c>
      <c r="F41" s="20" t="n">
        <v>2.22095002</v>
      </c>
      <c r="G41" s="18" t="n">
        <v>51.91919382</v>
      </c>
      <c r="H41" s="20" t="n">
        <v>2.26877192</v>
      </c>
      <c r="I41" s="18" t="n">
        <v>0</v>
      </c>
      <c r="J41" s="20" t="n">
        <v>0</v>
      </c>
      <c r="K41" s="18" t="n">
        <v>0.22932592</v>
      </c>
      <c r="L41" s="20" t="n">
        <v>0.24632199</v>
      </c>
      <c r="M41" s="18" t="n">
        <v>0</v>
      </c>
      <c r="N41" s="20" t="n">
        <v>0</v>
      </c>
      <c r="O41" s="18" t="n">
        <v>0</v>
      </c>
      <c r="P41" s="20" t="n">
        <v>0</v>
      </c>
      <c r="Q41" s="18" t="n">
        <v>1.42589141</v>
      </c>
      <c r="R41" s="20" t="n">
        <v>0.62197133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(10179.0/B46*100)</f>
        <v/>
      </c>
      <c r="D46" s="19" t="n">
        <v>1894</v>
      </c>
      <c r="E46" s="18" t="n">
        <v>66.35897301</v>
      </c>
      <c r="F46" s="20" t="n">
        <v>1.52753871</v>
      </c>
      <c r="G46" s="18" t="n">
        <v>25.44920612</v>
      </c>
      <c r="H46" s="20" t="n">
        <v>1.46791137</v>
      </c>
      <c r="I46" s="18" t="n">
        <v>0</v>
      </c>
      <c r="J46" s="20" t="n">
        <v>0</v>
      </c>
      <c r="K46" s="18" t="n">
        <v>2.50184337</v>
      </c>
      <c r="L46" s="20" t="n">
        <v>0.42832268</v>
      </c>
      <c r="M46" s="18" t="n">
        <v>0.31407321</v>
      </c>
      <c r="N46" s="20" t="n">
        <v>0.17016709</v>
      </c>
      <c r="O46" s="18" t="n">
        <v>0</v>
      </c>
      <c r="P46" s="20" t="n">
        <v>0</v>
      </c>
      <c r="Q46" s="18" t="n">
        <v>5.37590429</v>
      </c>
      <c r="R46" s="20" t="n">
        <v>0.66338584</v>
      </c>
    </row>
    <row r="47" spans="1:18">
      <c r="A47" s="15" t="s">
        <v>606</v>
      </c>
      <c r="B47" s="17" t="n">
        <v>2823</v>
      </c>
      <c r="C47" s="18">
        <f>(2238.0/B47*100)</f>
        <v/>
      </c>
      <c r="D47" s="19" t="n">
        <v>585</v>
      </c>
      <c r="E47" s="18" t="n">
        <v>58.20667896</v>
      </c>
      <c r="F47" s="20" t="n">
        <v>2.22041043</v>
      </c>
      <c r="G47" s="18" t="n">
        <v>37.53248336</v>
      </c>
      <c r="H47" s="20" t="n">
        <v>2.18156285</v>
      </c>
      <c r="I47" s="18" t="n">
        <v>0</v>
      </c>
      <c r="J47" s="20" t="n">
        <v>0</v>
      </c>
      <c r="K47" s="18" t="n">
        <v>1.88592624</v>
      </c>
      <c r="L47" s="20" t="n">
        <v>0.65041282</v>
      </c>
      <c r="M47" s="18" t="n">
        <v>0.34114276</v>
      </c>
      <c r="N47" s="20" t="n">
        <v>0.23724681</v>
      </c>
      <c r="O47" s="18" t="n">
        <v>0</v>
      </c>
      <c r="P47" s="20" t="n">
        <v>0</v>
      </c>
      <c r="Q47" s="18" t="n">
        <v>2.03376868</v>
      </c>
      <c r="R47" s="20" t="n">
        <v>0.60545498</v>
      </c>
    </row>
    <row r="48" spans="1:18">
      <c r="A48" s="15" t="s">
        <v>607</v>
      </c>
      <c r="B48" s="17" t="n">
        <v>4682</v>
      </c>
      <c r="C48" s="18">
        <f>(3619.0/B48*100)</f>
        <v/>
      </c>
      <c r="D48" s="19" t="n">
        <v>1063</v>
      </c>
      <c r="E48" s="18" t="n">
        <v>48.70457872</v>
      </c>
      <c r="F48" s="20" t="n">
        <v>1.929967</v>
      </c>
      <c r="G48" s="18" t="n">
        <v>48.70388473</v>
      </c>
      <c r="H48" s="20" t="n">
        <v>1.91313687</v>
      </c>
      <c r="I48" s="18" t="n">
        <v>0</v>
      </c>
      <c r="J48" s="20" t="n">
        <v>0</v>
      </c>
      <c r="K48" s="18" t="n">
        <v>0.60007092</v>
      </c>
      <c r="L48" s="20" t="n">
        <v>0.38503232</v>
      </c>
      <c r="M48" s="18" t="n">
        <v>0</v>
      </c>
      <c r="N48" s="20" t="n">
        <v>0</v>
      </c>
      <c r="O48" s="18" t="n">
        <v>0</v>
      </c>
      <c r="P48" s="20" t="n">
        <v>0</v>
      </c>
      <c r="Q48" s="18" t="n">
        <v>1.99146564</v>
      </c>
      <c r="R48" s="20" t="n">
        <v>0.6096356000000001</v>
      </c>
    </row>
    <row r="49" spans="1:18">
      <c r="A49" s="15" t="s">
        <v>608</v>
      </c>
      <c r="B49" s="17" t="n">
        <v>6158</v>
      </c>
      <c r="C49" s="18">
        <f>(4895.0/B49*100)</f>
        <v/>
      </c>
      <c r="D49" s="19" t="n">
        <v>1263</v>
      </c>
      <c r="E49" s="18" t="n">
        <v>61.58321835</v>
      </c>
      <c r="F49" s="20" t="n">
        <v>1.74907738</v>
      </c>
      <c r="G49" s="18" t="n">
        <v>31.77461699</v>
      </c>
      <c r="H49" s="20" t="n">
        <v>1.66961674</v>
      </c>
      <c r="I49" s="18" t="n">
        <v>0</v>
      </c>
      <c r="J49" s="20" t="n">
        <v>0</v>
      </c>
      <c r="K49" s="18" t="n">
        <v>4.48318427</v>
      </c>
      <c r="L49" s="20" t="n">
        <v>0.81098</v>
      </c>
      <c r="M49" s="18" t="n">
        <v>0.04178469</v>
      </c>
      <c r="N49" s="20" t="n">
        <v>0.02977941</v>
      </c>
      <c r="O49" s="18" t="n">
        <v>0</v>
      </c>
      <c r="P49" s="20" t="n">
        <v>0</v>
      </c>
      <c r="Q49" s="18" t="n">
        <v>2.11719571</v>
      </c>
      <c r="R49" s="20" t="n">
        <v>0.52583866</v>
      </c>
    </row>
    <row r="50" spans="1:18">
      <c r="A50" s="15" t="s">
        <v>609</v>
      </c>
      <c r="B50" s="17" t="n">
        <v>3494</v>
      </c>
      <c r="C50" s="18">
        <f>(2891.0/B50*100)</f>
        <v/>
      </c>
      <c r="D50" s="19" t="n">
        <v>603</v>
      </c>
      <c r="E50" s="18" t="n">
        <v>66.69119748999999</v>
      </c>
      <c r="F50" s="20" t="n">
        <v>2.32809268</v>
      </c>
      <c r="G50" s="18" t="n">
        <v>28.78495247</v>
      </c>
      <c r="H50" s="20" t="n">
        <v>2.03495302</v>
      </c>
      <c r="I50" s="18" t="n">
        <v>0</v>
      </c>
      <c r="J50" s="20" t="n">
        <v>0</v>
      </c>
      <c r="K50" s="18" t="n">
        <v>1.46583189</v>
      </c>
      <c r="L50" s="20" t="n">
        <v>0.55364115</v>
      </c>
      <c r="M50" s="18" t="n">
        <v>0</v>
      </c>
      <c r="N50" s="20" t="n">
        <v>0</v>
      </c>
      <c r="O50" s="18" t="n">
        <v>0</v>
      </c>
      <c r="P50" s="20" t="n">
        <v>0</v>
      </c>
      <c r="Q50" s="18" t="n">
        <v>3.05801815</v>
      </c>
      <c r="R50" s="20" t="n">
        <v>0.85935485</v>
      </c>
    </row>
    <row r="51" spans="1:18">
      <c r="A51" s="15" t="s">
        <v>610</v>
      </c>
      <c r="B51" s="17" t="n">
        <v>3013</v>
      </c>
      <c r="C51" s="18">
        <f>(2363.0/B51*100)</f>
        <v/>
      </c>
      <c r="D51" s="19" t="n">
        <v>650</v>
      </c>
      <c r="E51" s="18" t="n">
        <v>37.36263052</v>
      </c>
      <c r="F51" s="20" t="n">
        <v>2.08619092</v>
      </c>
      <c r="G51" s="18" t="n">
        <v>59.97883659</v>
      </c>
      <c r="H51" s="20" t="n">
        <v>2.12350373</v>
      </c>
      <c r="I51" s="18" t="n">
        <v>0</v>
      </c>
      <c r="J51" s="20" t="n">
        <v>0</v>
      </c>
      <c r="K51" s="18" t="n">
        <v>0</v>
      </c>
      <c r="L51" s="20" t="n">
        <v>0</v>
      </c>
      <c r="M51" s="18" t="n">
        <v>0</v>
      </c>
      <c r="N51" s="20" t="n">
        <v>0</v>
      </c>
      <c r="O51" s="18" t="n">
        <v>0</v>
      </c>
      <c r="P51" s="20" t="n">
        <v>0</v>
      </c>
      <c r="Q51" s="18" t="n">
        <v>2.65853289</v>
      </c>
      <c r="R51" s="20" t="n">
        <v>0.62664208</v>
      </c>
    </row>
    <row r="52" spans="1:18">
      <c r="A52" s="15" t="s">
        <v>611</v>
      </c>
      <c r="B52" s="17" t="n">
        <v>2760</v>
      </c>
      <c r="C52" s="18">
        <f>(2188.0/B52*100)</f>
        <v/>
      </c>
      <c r="D52" s="19" t="n">
        <v>572</v>
      </c>
      <c r="E52" s="18" t="n">
        <v>60.78127741</v>
      </c>
      <c r="F52" s="20" t="n">
        <v>2.13125144</v>
      </c>
      <c r="G52" s="18" t="n">
        <v>35.28799094</v>
      </c>
      <c r="H52" s="20" t="n">
        <v>2.13391414</v>
      </c>
      <c r="I52" s="18" t="n">
        <v>0</v>
      </c>
      <c r="J52" s="20" t="n">
        <v>0</v>
      </c>
      <c r="K52" s="18" t="n">
        <v>0.7873922</v>
      </c>
      <c r="L52" s="20" t="n">
        <v>0.39036001</v>
      </c>
      <c r="M52" s="18" t="n">
        <v>0</v>
      </c>
      <c r="N52" s="20" t="n">
        <v>0</v>
      </c>
      <c r="O52" s="18" t="n">
        <v>0</v>
      </c>
      <c r="P52" s="20" t="n">
        <v>0</v>
      </c>
      <c r="Q52" s="18" t="n">
        <v>3.14333945</v>
      </c>
      <c r="R52" s="20" t="n">
        <v>0.74577771</v>
      </c>
    </row>
    <row r="53" spans="1:18">
      <c r="A53" s="15" t="s">
        <v>612</v>
      </c>
      <c r="B53" s="17" t="n">
        <v>2474</v>
      </c>
      <c r="C53" s="18">
        <f>(1945.0/B53*100)</f>
        <v/>
      </c>
      <c r="D53" s="19" t="n">
        <v>529</v>
      </c>
      <c r="E53" s="18" t="n">
        <v>59.02987128</v>
      </c>
      <c r="F53" s="20" t="n">
        <v>2.62086796</v>
      </c>
      <c r="G53" s="18" t="n">
        <v>15.77555143</v>
      </c>
      <c r="H53" s="20" t="n">
        <v>1.81029635</v>
      </c>
      <c r="I53" s="18" t="n">
        <v>0</v>
      </c>
      <c r="J53" s="20" t="n">
        <v>0</v>
      </c>
      <c r="K53" s="18" t="n">
        <v>17.4263608</v>
      </c>
      <c r="L53" s="20" t="n">
        <v>1.88966654</v>
      </c>
      <c r="M53" s="18" t="n">
        <v>1.1743113</v>
      </c>
      <c r="N53" s="20" t="n">
        <v>0.94965694</v>
      </c>
      <c r="O53" s="18" t="n">
        <v>0</v>
      </c>
      <c r="P53" s="20" t="n">
        <v>0</v>
      </c>
      <c r="Q53" s="18" t="n">
        <v>6.59390518</v>
      </c>
      <c r="R53" s="20" t="n">
        <v>1.27528142</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(2109.0/B55*100)</f>
        <v/>
      </c>
      <c r="D55" s="19" t="n">
        <v>566</v>
      </c>
      <c r="E55" s="18" t="n">
        <v>30.68998299</v>
      </c>
      <c r="F55" s="20" t="n">
        <v>2.13295549</v>
      </c>
      <c r="G55" s="18" t="n">
        <v>67.50441128999999</v>
      </c>
      <c r="H55" s="20" t="n">
        <v>2.10510768</v>
      </c>
      <c r="I55" s="18" t="n">
        <v>0</v>
      </c>
      <c r="J55" s="20" t="n">
        <v>0</v>
      </c>
      <c r="K55" s="18" t="n">
        <v>0.18964467</v>
      </c>
      <c r="L55" s="20" t="n">
        <v>0.18760759</v>
      </c>
      <c r="M55" s="18" t="n">
        <v>0</v>
      </c>
      <c r="N55" s="20" t="n">
        <v>0</v>
      </c>
      <c r="O55" s="18" t="n">
        <v>0</v>
      </c>
      <c r="P55" s="20" t="n">
        <v>0</v>
      </c>
      <c r="Q55" s="18" t="n">
        <v>1.61596105</v>
      </c>
      <c r="R55" s="20" t="n">
        <v>0.41892354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(2516.0/B61*100)</f>
        <v/>
      </c>
      <c r="D61" s="19" t="n">
        <v>685</v>
      </c>
      <c r="E61" s="18" t="n">
        <v>40.35297242</v>
      </c>
      <c r="F61" s="20" t="n">
        <v>2.26169946</v>
      </c>
      <c r="G61" s="18" t="n">
        <v>58.25052333</v>
      </c>
      <c r="H61" s="20" t="n">
        <v>2.26579202</v>
      </c>
      <c r="I61" s="18" t="n">
        <v>0</v>
      </c>
      <c r="J61" s="20" t="n">
        <v>0</v>
      </c>
      <c r="K61" s="18" t="n">
        <v>0.18551943</v>
      </c>
      <c r="L61" s="20" t="n">
        <v>0.19253177</v>
      </c>
      <c r="M61" s="18" t="n">
        <v>0.17423269</v>
      </c>
      <c r="N61" s="20" t="n">
        <v>0.17260347</v>
      </c>
      <c r="O61" s="18" t="n">
        <v>0</v>
      </c>
      <c r="P61" s="20" t="n">
        <v>0</v>
      </c>
      <c r="Q61" s="18" t="n">
        <v>1.03675212</v>
      </c>
      <c r="R61" s="20" t="n">
        <v>0.41342893</v>
      </c>
    </row>
    <row r="62" spans="1:18">
      <c r="A62" s="15" t="s">
        <v>622</v>
      </c>
      <c r="B62" s="17" t="n">
        <v>2230</v>
      </c>
      <c r="C62" s="18">
        <f>(1731.0/B62*100)</f>
        <v/>
      </c>
      <c r="D62" s="19" t="n">
        <v>499</v>
      </c>
      <c r="E62" s="18" t="n">
        <v>23.45689206</v>
      </c>
      <c r="F62" s="20" t="n">
        <v>1.70812348</v>
      </c>
      <c r="G62" s="18" t="n">
        <v>76.14508863</v>
      </c>
      <c r="H62" s="20" t="n">
        <v>1.73100048</v>
      </c>
      <c r="I62" s="18" t="n">
        <v>0</v>
      </c>
      <c r="J62" s="20" t="n">
        <v>0</v>
      </c>
      <c r="K62" s="18" t="n">
        <v>0</v>
      </c>
      <c r="L62" s="20" t="n">
        <v>0</v>
      </c>
      <c r="M62" s="18" t="n">
        <v>0</v>
      </c>
      <c r="N62" s="20" t="n">
        <v>0</v>
      </c>
      <c r="O62" s="18" t="n">
        <v>0</v>
      </c>
      <c r="P62" s="20" t="n">
        <v>0</v>
      </c>
      <c r="Q62" s="18" t="n">
        <v>0.39801931</v>
      </c>
      <c r="R62" s="20" t="n">
        <v>0.39946381</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(2209.0/B67*100)</f>
        <v/>
      </c>
      <c r="D67" s="19" t="n">
        <v>562</v>
      </c>
      <c r="E67" s="18" t="n">
        <v>51.79519917</v>
      </c>
      <c r="F67" s="20" t="n">
        <v>2.11588291</v>
      </c>
      <c r="G67" s="18" t="n">
        <v>39.26470385</v>
      </c>
      <c r="H67" s="20" t="n">
        <v>1.99374558</v>
      </c>
      <c r="I67" s="18" t="n">
        <v>0</v>
      </c>
      <c r="J67" s="20" t="n">
        <v>0</v>
      </c>
      <c r="K67" s="18" t="n">
        <v>1.65706131</v>
      </c>
      <c r="L67" s="20" t="n">
        <v>0.60978998</v>
      </c>
      <c r="M67" s="18" t="n">
        <v>0.3496773</v>
      </c>
      <c r="N67" s="20" t="n">
        <v>0.24975498</v>
      </c>
      <c r="O67" s="18" t="n">
        <v>0</v>
      </c>
      <c r="P67" s="20" t="n">
        <v>0</v>
      </c>
      <c r="Q67" s="18" t="n">
        <v>6.93335837</v>
      </c>
      <c r="R67" s="20" t="n">
        <v>0.9328534000000001</v>
      </c>
    </row>
    <row r="68" spans="1:18">
      <c r="A68" s="15" t="s">
        <v>628</v>
      </c>
      <c r="B68" s="17" t="n">
        <v>3460</v>
      </c>
      <c r="C68" s="18">
        <f>(2868.0/B68*100)</f>
        <v/>
      </c>
      <c r="D68" s="19" t="n">
        <v>592</v>
      </c>
      <c r="E68" s="18" t="n">
        <v>68.46320411000001</v>
      </c>
      <c r="F68" s="20" t="n">
        <v>2.0329353</v>
      </c>
      <c r="G68" s="18" t="n">
        <v>26.37192691</v>
      </c>
      <c r="H68" s="20" t="n">
        <v>2.1028011</v>
      </c>
      <c r="I68" s="18" t="n">
        <v>0</v>
      </c>
      <c r="J68" s="20" t="n">
        <v>0</v>
      </c>
      <c r="K68" s="18" t="n">
        <v>1.04617328</v>
      </c>
      <c r="L68" s="20" t="n">
        <v>0.42811545</v>
      </c>
      <c r="M68" s="18" t="n">
        <v>0.5025771999999999</v>
      </c>
      <c r="N68" s="20" t="n">
        <v>0.28755448</v>
      </c>
      <c r="O68" s="18" t="n">
        <v>0</v>
      </c>
      <c r="P68" s="20" t="n">
        <v>0</v>
      </c>
      <c r="Q68" s="18" t="n">
        <v>3.6161185</v>
      </c>
      <c r="R68" s="20" t="n">
        <v>0.83054857</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(4719.0/B70*100)</f>
        <v/>
      </c>
      <c r="D70" s="19" t="n">
        <v>1315</v>
      </c>
      <c r="E70" s="18" t="n">
        <v>58.39485394</v>
      </c>
      <c r="F70" s="20" t="n">
        <v>1.34582449</v>
      </c>
      <c r="G70" s="18" t="n">
        <v>34.48773836</v>
      </c>
      <c r="H70" s="20" t="n">
        <v>1.29524177</v>
      </c>
      <c r="I70" s="18" t="n">
        <v>0</v>
      </c>
      <c r="J70" s="20" t="n">
        <v>0</v>
      </c>
      <c r="K70" s="18" t="n">
        <v>3.83563808</v>
      </c>
      <c r="L70" s="20" t="n">
        <v>0.58324198</v>
      </c>
      <c r="M70" s="18" t="n">
        <v>0</v>
      </c>
      <c r="N70" s="20" t="n">
        <v>0</v>
      </c>
      <c r="O70" s="18" t="n">
        <v>0</v>
      </c>
      <c r="P70" s="20" t="n">
        <v>0</v>
      </c>
      <c r="Q70" s="18" t="n">
        <v>3.28176962</v>
      </c>
      <c r="R70" s="20" t="n">
        <v>0.46899245</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(2455.0/B72*100)</f>
        <v/>
      </c>
      <c r="D72" s="19" t="n">
        <v>652</v>
      </c>
      <c r="E72" s="18" t="n">
        <v>60.54338826</v>
      </c>
      <c r="F72" s="20" t="n">
        <v>3.12598968</v>
      </c>
      <c r="G72" s="18" t="n">
        <v>36.34410157</v>
      </c>
      <c r="H72" s="20" t="n">
        <v>2.96863219</v>
      </c>
      <c r="I72" s="18" t="n">
        <v>0</v>
      </c>
      <c r="J72" s="20" t="n">
        <v>0</v>
      </c>
      <c r="K72" s="18" t="n">
        <v>0.7928557000000001</v>
      </c>
      <c r="L72" s="20" t="n">
        <v>0.46452361</v>
      </c>
      <c r="M72" s="18" t="n">
        <v>0</v>
      </c>
      <c r="N72" s="20" t="n">
        <v>0</v>
      </c>
      <c r="O72" s="18" t="n">
        <v>0</v>
      </c>
      <c r="P72" s="20" t="n">
        <v>0</v>
      </c>
      <c r="Q72" s="18" t="n">
        <v>2.31965446</v>
      </c>
      <c r="R72" s="20" t="n">
        <v>0.64302189</v>
      </c>
    </row>
    <row r="73" spans="1:18">
      <c r="A73" s="15" t="s">
        <v>633</v>
      </c>
      <c r="B73" s="17" t="n">
        <v>2973</v>
      </c>
      <c r="C73" s="18">
        <f>(2302.0/B73*100)</f>
        <v/>
      </c>
      <c r="D73" s="19" t="n">
        <v>671</v>
      </c>
      <c r="E73" s="18" t="n">
        <v>30.57730787</v>
      </c>
      <c r="F73" s="20" t="n">
        <v>1.69639521</v>
      </c>
      <c r="G73" s="18" t="n">
        <v>68.56152925000001</v>
      </c>
      <c r="H73" s="20" t="n">
        <v>1.76528331</v>
      </c>
      <c r="I73" s="18" t="n">
        <v>0</v>
      </c>
      <c r="J73" s="20" t="n">
        <v>0</v>
      </c>
      <c r="K73" s="18" t="n">
        <v>0.62182987</v>
      </c>
      <c r="L73" s="20" t="n">
        <v>0.31339976</v>
      </c>
      <c r="M73" s="18" t="n">
        <v>0</v>
      </c>
      <c r="N73" s="20" t="n">
        <v>0</v>
      </c>
      <c r="O73" s="18" t="n">
        <v>0</v>
      </c>
      <c r="P73" s="20" t="n">
        <v>0</v>
      </c>
      <c r="Q73" s="18" t="n">
        <v>0.23933301</v>
      </c>
      <c r="R73" s="20" t="n">
        <v>0.17050995</v>
      </c>
    </row>
    <row r="74" spans="1:18">
      <c r="A74" s="15" t="s">
        <v>634</v>
      </c>
      <c r="B74" s="17" t="n">
        <v>3819</v>
      </c>
      <c r="C74" s="18">
        <f>(2940.0/B74*100)</f>
        <v/>
      </c>
      <c r="D74" s="19" t="n">
        <v>879</v>
      </c>
      <c r="E74" s="18" t="n">
        <v>38.33791272</v>
      </c>
      <c r="F74" s="20" t="n">
        <v>1.58849752</v>
      </c>
      <c r="G74" s="18" t="n">
        <v>60.67690141</v>
      </c>
      <c r="H74" s="20" t="n">
        <v>1.63600276</v>
      </c>
      <c r="I74" s="18" t="n">
        <v>0</v>
      </c>
      <c r="J74" s="20" t="n">
        <v>0</v>
      </c>
      <c r="K74" s="18" t="n">
        <v>0.15990646</v>
      </c>
      <c r="L74" s="20" t="n">
        <v>0.11603865</v>
      </c>
      <c r="M74" s="18" t="n">
        <v>0</v>
      </c>
      <c r="N74" s="20" t="n">
        <v>0</v>
      </c>
      <c r="O74" s="18" t="n">
        <v>0</v>
      </c>
      <c r="P74" s="20" t="n">
        <v>0</v>
      </c>
      <c r="Q74" s="18" t="n">
        <v>0.8252794</v>
      </c>
      <c r="R74" s="20" t="n">
        <v>0.31468545</v>
      </c>
    </row>
    <row r="75" spans="1:18">
      <c r="A75" s="15" t="s">
        <v>635</v>
      </c>
      <c r="B75" s="17" t="n">
        <v>4652</v>
      </c>
      <c r="C75" s="18">
        <f>(3685.0/B75*100)</f>
        <v/>
      </c>
      <c r="D75" s="19" t="n">
        <v>967</v>
      </c>
      <c r="E75" s="18" t="n">
        <v>61.88860792</v>
      </c>
      <c r="F75" s="20" t="n">
        <v>1.99444425</v>
      </c>
      <c r="G75" s="18" t="n">
        <v>35.93406946</v>
      </c>
      <c r="H75" s="20" t="n">
        <v>2.05076615</v>
      </c>
      <c r="I75" s="18" t="n">
        <v>0</v>
      </c>
      <c r="J75" s="20" t="n">
        <v>0</v>
      </c>
      <c r="K75" s="18" t="n">
        <v>0.29094425</v>
      </c>
      <c r="L75" s="20" t="n">
        <v>0.17718526</v>
      </c>
      <c r="M75" s="18" t="n">
        <v>1.01872242</v>
      </c>
      <c r="N75" s="20" t="n">
        <v>0.39953444</v>
      </c>
      <c r="O75" s="18" t="n">
        <v>0</v>
      </c>
      <c r="P75" s="20" t="n">
        <v>0</v>
      </c>
      <c r="Q75" s="18" t="n">
        <v>0.86765595</v>
      </c>
      <c r="R75" s="20" t="n">
        <v>0.34257013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(2409.0/B77*100)</f>
        <v/>
      </c>
      <c r="D77" s="19" t="n">
        <v>560</v>
      </c>
      <c r="E77" s="18" t="n">
        <v>76.52238672</v>
      </c>
      <c r="F77" s="20" t="n">
        <v>1.73955154</v>
      </c>
      <c r="G77" s="18" t="n">
        <v>8.53391968</v>
      </c>
      <c r="H77" s="20" t="n">
        <v>1.22924231</v>
      </c>
      <c r="I77" s="18" t="n">
        <v>0</v>
      </c>
      <c r="J77" s="20" t="n">
        <v>0</v>
      </c>
      <c r="K77" s="18" t="n">
        <v>6.28252001</v>
      </c>
      <c r="L77" s="20" t="n">
        <v>1.0851489</v>
      </c>
      <c r="M77" s="18" t="n">
        <v>0.68670398</v>
      </c>
      <c r="N77" s="20" t="n">
        <v>0.3512307</v>
      </c>
      <c r="O77" s="18" t="n">
        <v>0</v>
      </c>
      <c r="P77" s="20" t="n">
        <v>0</v>
      </c>
      <c r="Q77" s="18" t="n">
        <v>7.97446961</v>
      </c>
      <c r="R77" s="20" t="n">
        <v>1.41171899</v>
      </c>
    </row>
    <row r="78" spans="1:18">
      <c r="A78" s="15" t="s">
        <v>638</v>
      </c>
      <c r="B78" s="17" t="n">
        <v>7115</v>
      </c>
      <c r="C78" s="18">
        <f>(5567.0/B78*100)</f>
        <v/>
      </c>
      <c r="D78" s="19" t="n">
        <v>1548</v>
      </c>
      <c r="E78" s="18" t="n">
        <v>54.6085781</v>
      </c>
      <c r="F78" s="20" t="n">
        <v>1.72813089</v>
      </c>
      <c r="G78" s="18" t="n">
        <v>42.8642216</v>
      </c>
      <c r="H78" s="20" t="n">
        <v>1.74113218</v>
      </c>
      <c r="I78" s="18" t="n">
        <v>0</v>
      </c>
      <c r="J78" s="20" t="n">
        <v>0</v>
      </c>
      <c r="K78" s="18" t="n">
        <v>0.7813767</v>
      </c>
      <c r="L78" s="20" t="n">
        <v>0.2011647</v>
      </c>
      <c r="M78" s="18" t="n">
        <v>0.14444699</v>
      </c>
      <c r="N78" s="20" t="n">
        <v>0.08974438</v>
      </c>
      <c r="O78" s="18" t="n">
        <v>0</v>
      </c>
      <c r="P78" s="20" t="n">
        <v>0</v>
      </c>
      <c r="Q78" s="18" t="n">
        <v>1.60137661</v>
      </c>
      <c r="R78" s="20" t="n">
        <v>0.36884283</v>
      </c>
    </row>
    <row r="79" spans="1:18">
      <c r="A79" s="15" t="s">
        <v>639</v>
      </c>
      <c r="B79" s="17" t="n">
        <v>3154</v>
      </c>
      <c r="C79" s="18">
        <f>(2531.0/B79*100)</f>
        <v/>
      </c>
      <c r="D79" s="19" t="n">
        <v>623</v>
      </c>
      <c r="E79" s="18" t="n">
        <v>50.2921736</v>
      </c>
      <c r="F79" s="20" t="n">
        <v>2.11262208</v>
      </c>
      <c r="G79" s="18" t="n">
        <v>44.26070496</v>
      </c>
      <c r="H79" s="20" t="n">
        <v>2.05037515</v>
      </c>
      <c r="I79" s="18" t="n">
        <v>0</v>
      </c>
      <c r="J79" s="20" t="n">
        <v>0</v>
      </c>
      <c r="K79" s="18" t="n">
        <v>1.93057859</v>
      </c>
      <c r="L79" s="20" t="n">
        <v>0.5718181</v>
      </c>
      <c r="M79" s="18" t="n">
        <v>0</v>
      </c>
      <c r="N79" s="20" t="n">
        <v>0</v>
      </c>
      <c r="O79" s="18" t="n">
        <v>0</v>
      </c>
      <c r="P79" s="20" t="n">
        <v>0</v>
      </c>
      <c r="Q79" s="18" t="n">
        <v>3.51654285</v>
      </c>
      <c r="R79" s="20" t="n">
        <v>0.84029071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(12524.0/B82*100)</f>
        <v/>
      </c>
      <c r="D82" s="19" t="n">
        <v>3437</v>
      </c>
      <c r="E82" s="18" t="n">
        <v>34.69343696</v>
      </c>
      <c r="F82" s="20" t="n">
        <v>1.16816643</v>
      </c>
      <c r="G82" s="18" t="n">
        <v>63.91161041</v>
      </c>
      <c r="H82" s="20" t="n">
        <v>1.22480527</v>
      </c>
      <c r="I82" s="18" t="n">
        <v>0</v>
      </c>
      <c r="J82" s="20" t="n">
        <v>0</v>
      </c>
      <c r="K82" s="18" t="n">
        <v>0.36677161</v>
      </c>
      <c r="L82" s="20" t="n">
        <v>0.14253351</v>
      </c>
      <c r="M82" s="18" t="n">
        <v>0.18415053</v>
      </c>
      <c r="N82" s="20" t="n">
        <v>0.12939159</v>
      </c>
      <c r="O82" s="18" t="n">
        <v>0</v>
      </c>
      <c r="P82" s="20" t="n">
        <v>0</v>
      </c>
      <c r="Q82" s="18" t="n">
        <v>0.84403049</v>
      </c>
      <c r="R82" s="20" t="n">
        <v>0.26110359</v>
      </c>
    </row>
    <row r="83" spans="1:18">
      <c r="A83" s="15" t="s">
        <v>643</v>
      </c>
      <c r="B83" s="17" t="n">
        <v>808</v>
      </c>
      <c r="C83" s="18">
        <f>(630.0/B83*100)</f>
        <v/>
      </c>
      <c r="D83" s="19" t="n">
        <v>178</v>
      </c>
      <c r="E83" s="18" t="n">
        <v>42.34757867</v>
      </c>
      <c r="F83" s="20" t="n">
        <v>4.37275866</v>
      </c>
      <c r="G83" s="18" t="n">
        <v>56.70498859</v>
      </c>
      <c r="H83" s="20" t="n">
        <v>4.38467838</v>
      </c>
      <c r="I83" s="18" t="n">
        <v>0</v>
      </c>
      <c r="J83" s="20" t="n">
        <v>0</v>
      </c>
      <c r="K83" s="18" t="n">
        <v>0</v>
      </c>
      <c r="L83" s="20" t="n">
        <v>0</v>
      </c>
      <c r="M83" s="18" t="n">
        <v>0</v>
      </c>
      <c r="N83" s="20" t="n">
        <v>0</v>
      </c>
      <c r="O83" s="18" t="n">
        <v>0</v>
      </c>
      <c r="P83" s="20" t="n">
        <v>0</v>
      </c>
      <c r="Q83" s="18" t="n">
        <v>0.94743274</v>
      </c>
      <c r="R83" s="20" t="n">
        <v>0.6615713600000001</v>
      </c>
    </row>
    <row r="84" spans="1:18">
      <c r="A84" s="23" t="s">
        <v>644</v>
      </c>
      <c r="B84" s="24" t="n">
        <v>938</v>
      </c>
      <c r="C84" s="25">
        <f>(746.0/B84*100)</f>
        <v/>
      </c>
      <c r="D84" s="19" t="n">
        <v>192</v>
      </c>
      <c r="E84" s="18" t="n">
        <v>37.42173669</v>
      </c>
      <c r="F84" s="20" t="n">
        <v>4.31465618</v>
      </c>
      <c r="G84" s="18" t="n">
        <v>62.57826331</v>
      </c>
      <c r="H84" s="20" t="n">
        <v>4.31465618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(5664.0/B7*100)</f>
        <v/>
      </c>
      <c r="D7" s="19" t="n">
        <v>1499</v>
      </c>
      <c r="E7" s="18" t="n">
        <v>32.83339018</v>
      </c>
      <c r="F7" s="20" t="n">
        <v>1.50076016</v>
      </c>
      <c r="G7" s="18" t="n">
        <v>65.9083218</v>
      </c>
      <c r="H7" s="20" t="n">
        <v>1.49988094</v>
      </c>
      <c r="I7" s="18" t="n">
        <v>0</v>
      </c>
      <c r="J7" s="20" t="n">
        <v>0</v>
      </c>
      <c r="K7" s="18" t="n">
        <v>0.70019338</v>
      </c>
      <c r="L7" s="20" t="n">
        <v>0.2549678</v>
      </c>
      <c r="M7" s="18" t="n">
        <v>0</v>
      </c>
      <c r="N7" s="20" t="n">
        <v>0</v>
      </c>
      <c r="O7" s="18" t="n">
        <v>0</v>
      </c>
      <c r="P7" s="20" t="n">
        <v>0</v>
      </c>
      <c r="Q7" s="18" t="n">
        <v>0.55809465</v>
      </c>
      <c r="R7" s="20" t="n">
        <v>0.21287836</v>
      </c>
    </row>
    <row r="8" spans="1:18">
      <c r="A8" s="15" t="s">
        <v>566</v>
      </c>
      <c r="B8" s="17" t="n">
        <v>3443</v>
      </c>
      <c r="C8" s="18">
        <f>(2676.0/B8*100)</f>
        <v/>
      </c>
      <c r="D8" s="19" t="n">
        <v>767</v>
      </c>
      <c r="E8" s="18" t="n">
        <v>46.87439112</v>
      </c>
      <c r="F8" s="20" t="n">
        <v>1.86635086</v>
      </c>
      <c r="G8" s="18" t="n">
        <v>52.72089791</v>
      </c>
      <c r="H8" s="20" t="n">
        <v>1.90239392</v>
      </c>
      <c r="I8" s="18" t="n">
        <v>0</v>
      </c>
      <c r="J8" s="20" t="n">
        <v>0</v>
      </c>
      <c r="K8" s="18" t="n">
        <v>0.328287</v>
      </c>
      <c r="L8" s="20" t="n">
        <v>0.1761158</v>
      </c>
      <c r="M8" s="18" t="n">
        <v>0</v>
      </c>
      <c r="N8" s="20" t="n">
        <v>0</v>
      </c>
      <c r="O8" s="18" t="n">
        <v>0</v>
      </c>
      <c r="P8" s="20" t="n">
        <v>0</v>
      </c>
      <c r="Q8" s="18" t="n">
        <v>0.07642396999999999</v>
      </c>
      <c r="R8" s="20" t="n">
        <v>0.07675379</v>
      </c>
    </row>
    <row r="9" spans="1:18">
      <c r="A9" s="15" t="s">
        <v>567</v>
      </c>
      <c r="B9" s="17" t="n">
        <v>4752</v>
      </c>
      <c r="C9" s="18">
        <f>(3756.0/B9*100)</f>
        <v/>
      </c>
      <c r="D9" s="19" t="n">
        <v>996</v>
      </c>
      <c r="E9" s="18" t="n">
        <v>38.99001393</v>
      </c>
      <c r="F9" s="20" t="n">
        <v>1.46422036</v>
      </c>
      <c r="G9" s="18" t="n">
        <v>59.18417484</v>
      </c>
      <c r="H9" s="20" t="n">
        <v>1.43965313</v>
      </c>
      <c r="I9" s="18" t="n">
        <v>0</v>
      </c>
      <c r="J9" s="20" t="n">
        <v>0</v>
      </c>
      <c r="K9" s="18" t="n">
        <v>1.14163288</v>
      </c>
      <c r="L9" s="20" t="n">
        <v>0.37903502</v>
      </c>
      <c r="M9" s="18" t="n">
        <v>0</v>
      </c>
      <c r="N9" s="20" t="n">
        <v>0</v>
      </c>
      <c r="O9" s="18" t="n">
        <v>0</v>
      </c>
      <c r="P9" s="20" t="n">
        <v>0</v>
      </c>
      <c r="Q9" s="18" t="n">
        <v>0.68417836</v>
      </c>
      <c r="R9" s="20" t="n">
        <v>0.29100103</v>
      </c>
    </row>
    <row r="10" spans="1:18">
      <c r="A10" s="15" t="s">
        <v>568</v>
      </c>
      <c r="B10" s="17" t="n">
        <v>10022</v>
      </c>
      <c r="C10" s="18">
        <f>(7850.0/B10*100)</f>
        <v/>
      </c>
      <c r="D10" s="19" t="n">
        <v>2172</v>
      </c>
      <c r="E10" s="18" t="n">
        <v>35.12246889</v>
      </c>
      <c r="F10" s="20" t="n">
        <v>1.45017019</v>
      </c>
      <c r="G10" s="18" t="n">
        <v>63.02531284</v>
      </c>
      <c r="H10" s="20" t="n">
        <v>1.35607745</v>
      </c>
      <c r="I10" s="18" t="n">
        <v>0</v>
      </c>
      <c r="J10" s="20" t="n">
        <v>0</v>
      </c>
      <c r="K10" s="18" t="n">
        <v>1.52487336</v>
      </c>
      <c r="L10" s="20" t="n">
        <v>0.38507606</v>
      </c>
      <c r="M10" s="18" t="n">
        <v>0</v>
      </c>
      <c r="N10" s="20" t="n">
        <v>0</v>
      </c>
      <c r="O10" s="18" t="n">
        <v>0</v>
      </c>
      <c r="P10" s="20" t="n">
        <v>0</v>
      </c>
      <c r="Q10" s="18" t="n">
        <v>0.32734492</v>
      </c>
      <c r="R10" s="20" t="n">
        <v>0.14994178</v>
      </c>
    </row>
    <row r="11" spans="1:18">
      <c r="A11" s="15" t="s">
        <v>569</v>
      </c>
      <c r="B11" s="17" t="n">
        <v>3500</v>
      </c>
      <c r="C11" s="18">
        <f>(2798.0/B11*100)</f>
        <v/>
      </c>
      <c r="D11" s="19" t="n">
        <v>702</v>
      </c>
      <c r="E11" s="18" t="n">
        <v>51.86981059</v>
      </c>
      <c r="F11" s="20" t="n">
        <v>2.48786692</v>
      </c>
      <c r="G11" s="18" t="n">
        <v>44.80151517</v>
      </c>
      <c r="H11" s="20" t="n">
        <v>2.40108962</v>
      </c>
      <c r="I11" s="18" t="n">
        <v>0</v>
      </c>
      <c r="J11" s="20" t="n">
        <v>0</v>
      </c>
      <c r="K11" s="18" t="n">
        <v>2.72749775</v>
      </c>
      <c r="L11" s="20" t="n">
        <v>0.69257687</v>
      </c>
      <c r="M11" s="18" t="n">
        <v>0</v>
      </c>
      <c r="N11" s="20" t="n">
        <v>0</v>
      </c>
      <c r="O11" s="18" t="n">
        <v>0</v>
      </c>
      <c r="P11" s="20" t="n">
        <v>0</v>
      </c>
      <c r="Q11" s="18" t="n">
        <v>0.60117649</v>
      </c>
      <c r="R11" s="20" t="n">
        <v>0.40548932</v>
      </c>
    </row>
    <row r="12" spans="1:18">
      <c r="A12" s="15" t="s">
        <v>570</v>
      </c>
      <c r="B12" s="17" t="n">
        <v>3422</v>
      </c>
      <c r="C12" s="18">
        <f>(2698.0/B12*100)</f>
        <v/>
      </c>
      <c r="D12" s="19" t="n">
        <v>724</v>
      </c>
      <c r="E12" s="18" t="n">
        <v>55.72842151</v>
      </c>
      <c r="F12" s="20" t="n">
        <v>1.86198931</v>
      </c>
      <c r="G12" s="18" t="n">
        <v>43.59235819</v>
      </c>
      <c r="H12" s="20" t="n">
        <v>1.8504998</v>
      </c>
      <c r="I12" s="18" t="n">
        <v>0</v>
      </c>
      <c r="J12" s="20" t="n">
        <v>0</v>
      </c>
      <c r="K12" s="18" t="n">
        <v>0.27131808</v>
      </c>
      <c r="L12" s="20" t="n">
        <v>0.17728869</v>
      </c>
      <c r="M12" s="18" t="n">
        <v>0</v>
      </c>
      <c r="N12" s="20" t="n">
        <v>0</v>
      </c>
      <c r="O12" s="18" t="n">
        <v>0</v>
      </c>
      <c r="P12" s="20" t="n">
        <v>0</v>
      </c>
      <c r="Q12" s="18" t="n">
        <v>0.40790223</v>
      </c>
      <c r="R12" s="20" t="n">
        <v>0.30290768</v>
      </c>
    </row>
    <row r="13" spans="1:18">
      <c r="A13" s="15" t="s">
        <v>571</v>
      </c>
      <c r="B13" s="17" t="n">
        <v>3602</v>
      </c>
      <c r="C13" s="18">
        <f>(2850.0/B13*100)</f>
        <v/>
      </c>
      <c r="D13" s="19" t="n">
        <v>752</v>
      </c>
      <c r="E13" s="18" t="n">
        <v>32.14668208</v>
      </c>
      <c r="F13" s="20" t="n">
        <v>2.14589886</v>
      </c>
      <c r="G13" s="18" t="n">
        <v>67.099192</v>
      </c>
      <c r="H13" s="20" t="n">
        <v>2.11228547</v>
      </c>
      <c r="I13" s="18" t="n">
        <v>0</v>
      </c>
      <c r="J13" s="20" t="n">
        <v>0</v>
      </c>
      <c r="K13" s="18" t="n">
        <v>0.44453283</v>
      </c>
      <c r="L13" s="20" t="n">
        <v>0.28513176</v>
      </c>
      <c r="M13" s="18" t="n">
        <v>0</v>
      </c>
      <c r="N13" s="20" t="n">
        <v>0</v>
      </c>
      <c r="O13" s="18" t="n">
        <v>0</v>
      </c>
      <c r="P13" s="20" t="n">
        <v>0</v>
      </c>
      <c r="Q13" s="18" t="n">
        <v>0.30959309</v>
      </c>
      <c r="R13" s="20" t="n">
        <v>0.17007047</v>
      </c>
    </row>
    <row r="14" spans="1:18">
      <c r="A14" s="15" t="s">
        <v>572</v>
      </c>
      <c r="B14" s="17" t="n">
        <v>2788</v>
      </c>
      <c r="C14" s="18">
        <f>(2193.0/B14*100)</f>
        <v/>
      </c>
      <c r="D14" s="19" t="n">
        <v>595</v>
      </c>
      <c r="E14" s="18" t="n">
        <v>40.49640053</v>
      </c>
      <c r="F14" s="20" t="n">
        <v>2.28115734</v>
      </c>
      <c r="G14" s="18" t="n">
        <v>58.97893397</v>
      </c>
      <c r="H14" s="20" t="n">
        <v>2.27292338</v>
      </c>
      <c r="I14" s="18" t="n">
        <v>0</v>
      </c>
      <c r="J14" s="20" t="n">
        <v>0</v>
      </c>
      <c r="K14" s="18" t="n">
        <v>0.39271549</v>
      </c>
      <c r="L14" s="20" t="n">
        <v>0.22444418</v>
      </c>
      <c r="M14" s="18" t="n">
        <v>0</v>
      </c>
      <c r="N14" s="20" t="n">
        <v>0</v>
      </c>
      <c r="O14" s="18" t="n">
        <v>0</v>
      </c>
      <c r="P14" s="20" t="n">
        <v>0</v>
      </c>
      <c r="Q14" s="18" t="n">
        <v>0.13195001</v>
      </c>
      <c r="R14" s="20" t="n">
        <v>0.13276594</v>
      </c>
    </row>
    <row r="15" spans="1:18">
      <c r="A15" s="15" t="s">
        <v>573</v>
      </c>
      <c r="B15" s="17" t="n">
        <v>2863</v>
      </c>
      <c r="C15" s="18">
        <f>(2234.0/B15*100)</f>
        <v/>
      </c>
      <c r="D15" s="19" t="n">
        <v>629</v>
      </c>
      <c r="E15" s="18" t="n">
        <v>33.89181457</v>
      </c>
      <c r="F15" s="20" t="n">
        <v>1.91344374</v>
      </c>
      <c r="G15" s="18" t="n">
        <v>65.26990797000001</v>
      </c>
      <c r="H15" s="20" t="n">
        <v>1.95301716</v>
      </c>
      <c r="I15" s="18" t="n">
        <v>0</v>
      </c>
      <c r="J15" s="20" t="n">
        <v>0</v>
      </c>
      <c r="K15" s="18" t="n">
        <v>0.47327045</v>
      </c>
      <c r="L15" s="20" t="n">
        <v>0.27077328</v>
      </c>
      <c r="M15" s="18" t="n">
        <v>0</v>
      </c>
      <c r="N15" s="20" t="n">
        <v>0</v>
      </c>
      <c r="O15" s="18" t="n">
        <v>0</v>
      </c>
      <c r="P15" s="20" t="n">
        <v>0</v>
      </c>
      <c r="Q15" s="18" t="n">
        <v>0.36500701</v>
      </c>
      <c r="R15" s="20" t="n">
        <v>0.24736341</v>
      </c>
    </row>
    <row r="16" spans="1:18">
      <c r="A16" s="15" t="s">
        <v>574</v>
      </c>
      <c r="B16" s="17" t="n">
        <v>3111</v>
      </c>
      <c r="C16" s="18">
        <f>(2422.0/B16*100)</f>
        <v/>
      </c>
      <c r="D16" s="19" t="n">
        <v>689</v>
      </c>
      <c r="E16" s="18" t="n">
        <v>47.27519385</v>
      </c>
      <c r="F16" s="20" t="n">
        <v>1.97435067</v>
      </c>
      <c r="G16" s="18" t="n">
        <v>50.10873556</v>
      </c>
      <c r="H16" s="20" t="n">
        <v>1.91819943</v>
      </c>
      <c r="I16" s="18" t="n">
        <v>0</v>
      </c>
      <c r="J16" s="20" t="n">
        <v>0</v>
      </c>
      <c r="K16" s="18" t="n">
        <v>2.01235646</v>
      </c>
      <c r="L16" s="20" t="n">
        <v>0.68399194</v>
      </c>
      <c r="M16" s="18" t="n">
        <v>0</v>
      </c>
      <c r="N16" s="20" t="n">
        <v>0</v>
      </c>
      <c r="O16" s="18" t="n">
        <v>0</v>
      </c>
      <c r="P16" s="20" t="n">
        <v>0</v>
      </c>
      <c r="Q16" s="18" t="n">
        <v>0.60371414</v>
      </c>
      <c r="R16" s="20" t="n">
        <v>0.26953751</v>
      </c>
    </row>
    <row r="17" spans="1:18">
      <c r="A17" s="15" t="s">
        <v>575</v>
      </c>
      <c r="B17" s="17" t="n">
        <v>3197</v>
      </c>
      <c r="C17" s="18">
        <f>(2509.0/B17*100)</f>
        <v/>
      </c>
      <c r="D17" s="19" t="n">
        <v>688</v>
      </c>
      <c r="E17" s="18" t="n">
        <v>40.65194272</v>
      </c>
      <c r="F17" s="20" t="n">
        <v>1.9398378</v>
      </c>
      <c r="G17" s="18" t="n">
        <v>58.42050437</v>
      </c>
      <c r="H17" s="20" t="n">
        <v>1.97198238</v>
      </c>
      <c r="I17" s="18" t="n">
        <v>0</v>
      </c>
      <c r="J17" s="20" t="n">
        <v>0</v>
      </c>
      <c r="K17" s="18" t="n">
        <v>0.6822064799999999</v>
      </c>
      <c r="L17" s="20" t="n">
        <v>0.31898645</v>
      </c>
      <c r="M17" s="18" t="n">
        <v>0</v>
      </c>
      <c r="N17" s="20" t="n">
        <v>0</v>
      </c>
      <c r="O17" s="18" t="n">
        <v>0</v>
      </c>
      <c r="P17" s="20" t="n">
        <v>0</v>
      </c>
      <c r="Q17" s="18" t="n">
        <v>0.24534643</v>
      </c>
      <c r="R17" s="20" t="n">
        <v>0.23016955</v>
      </c>
    </row>
    <row r="18" spans="1:18">
      <c r="A18" s="15" t="s">
        <v>576</v>
      </c>
      <c r="B18" s="17" t="n">
        <v>2706</v>
      </c>
      <c r="C18" s="18">
        <f>(2095.0/B18*100)</f>
        <v/>
      </c>
      <c r="D18" s="19" t="n">
        <v>611</v>
      </c>
      <c r="E18" s="18" t="n">
        <v>49.88075912</v>
      </c>
      <c r="F18" s="20" t="n">
        <v>2.14046185</v>
      </c>
      <c r="G18" s="18" t="n">
        <v>48.98555183</v>
      </c>
      <c r="H18" s="20" t="n">
        <v>2.14044848</v>
      </c>
      <c r="I18" s="18" t="n">
        <v>0</v>
      </c>
      <c r="J18" s="20" t="n">
        <v>0</v>
      </c>
      <c r="K18" s="18" t="n">
        <v>0.82112567</v>
      </c>
      <c r="L18" s="20" t="n">
        <v>0.39007908</v>
      </c>
      <c r="M18" s="18" t="n">
        <v>0</v>
      </c>
      <c r="N18" s="20" t="n">
        <v>0</v>
      </c>
      <c r="O18" s="18" t="n">
        <v>0</v>
      </c>
      <c r="P18" s="20" t="n">
        <v>0</v>
      </c>
      <c r="Q18" s="18" t="n">
        <v>0.31256337</v>
      </c>
      <c r="R18" s="20" t="n">
        <v>0.21492413</v>
      </c>
    </row>
    <row r="19" spans="1:18">
      <c r="A19" s="15" t="s">
        <v>577</v>
      </c>
      <c r="B19" s="17" t="n">
        <v>2850</v>
      </c>
      <c r="C19" s="18">
        <f>(2241.0/B19*100)</f>
        <v/>
      </c>
      <c r="D19" s="19" t="n">
        <v>609</v>
      </c>
      <c r="E19" s="18" t="n">
        <v>46.01984407</v>
      </c>
      <c r="F19" s="20" t="n">
        <v>2.1353291</v>
      </c>
      <c r="G19" s="18" t="n">
        <v>53.98015593</v>
      </c>
      <c r="H19" s="20" t="n">
        <v>2.1353291</v>
      </c>
      <c r="I19" s="18" t="n">
        <v>0</v>
      </c>
      <c r="J19" s="20" t="n">
        <v>0</v>
      </c>
      <c r="K19" s="18" t="n">
        <v>0</v>
      </c>
      <c r="L19" s="20" t="n">
        <v>0</v>
      </c>
      <c r="M19" s="18" t="n">
        <v>0</v>
      </c>
      <c r="N19" s="20" t="n">
        <v>0</v>
      </c>
      <c r="O19" s="18" t="n">
        <v>0</v>
      </c>
      <c r="P19" s="20" t="n">
        <v>0</v>
      </c>
      <c r="Q19" s="18" t="n">
        <v>0</v>
      </c>
      <c r="R19" s="20" t="n">
        <v>0</v>
      </c>
    </row>
    <row r="20" spans="1:18">
      <c r="A20" s="15" t="s">
        <v>578</v>
      </c>
      <c r="B20" s="17" t="n">
        <v>1741</v>
      </c>
      <c r="C20" s="18">
        <f>(1372.0/B20*100)</f>
        <v/>
      </c>
      <c r="D20" s="19" t="n">
        <v>369</v>
      </c>
      <c r="E20" s="18" t="n">
        <v>47.41635042</v>
      </c>
      <c r="F20" s="20" t="n">
        <v>2.75660687</v>
      </c>
      <c r="G20" s="18" t="n">
        <v>51.81967419</v>
      </c>
      <c r="H20" s="20" t="n">
        <v>2.78337084</v>
      </c>
      <c r="I20" s="18" t="n">
        <v>0</v>
      </c>
      <c r="J20" s="20" t="n">
        <v>0</v>
      </c>
      <c r="K20" s="18" t="n">
        <v>0.26770885</v>
      </c>
      <c r="L20" s="20" t="n">
        <v>0.27029953</v>
      </c>
      <c r="M20" s="18" t="n">
        <v>0</v>
      </c>
      <c r="N20" s="20" t="n">
        <v>0</v>
      </c>
      <c r="O20" s="18" t="n">
        <v>0</v>
      </c>
      <c r="P20" s="20" t="n">
        <v>0</v>
      </c>
      <c r="Q20" s="18" t="n">
        <v>0.49626654</v>
      </c>
      <c r="R20" s="20" t="n">
        <v>0.34686765</v>
      </c>
    </row>
    <row r="21" spans="1:18">
      <c r="A21" s="15" t="s">
        <v>579</v>
      </c>
      <c r="B21" s="17" t="n">
        <v>2833</v>
      </c>
      <c r="C21" s="18">
        <f>(2216.0/B21*100)</f>
        <v/>
      </c>
      <c r="D21" s="19" t="n">
        <v>617</v>
      </c>
      <c r="E21" s="18" t="n">
        <v>40.08385744</v>
      </c>
      <c r="F21" s="20" t="n">
        <v>2.09073517</v>
      </c>
      <c r="G21" s="18" t="n">
        <v>59.597084</v>
      </c>
      <c r="H21" s="20" t="n">
        <v>2.14270852</v>
      </c>
      <c r="I21" s="18" t="n">
        <v>0</v>
      </c>
      <c r="J21" s="20" t="n">
        <v>0</v>
      </c>
      <c r="K21" s="18" t="n">
        <v>0.31905856</v>
      </c>
      <c r="L21" s="20" t="n">
        <v>0.2170011</v>
      </c>
      <c r="M21" s="18" t="n">
        <v>0</v>
      </c>
      <c r="N21" s="20" t="n">
        <v>0</v>
      </c>
      <c r="O21" s="18" t="n">
        <v>0</v>
      </c>
      <c r="P21" s="20" t="n">
        <v>0</v>
      </c>
      <c r="Q21" s="18" t="n">
        <v>0</v>
      </c>
      <c r="R21" s="20" t="n">
        <v>0</v>
      </c>
    </row>
    <row r="22" spans="1:18">
      <c r="A22" s="15" t="s">
        <v>580</v>
      </c>
      <c r="B22" s="17" t="n">
        <v>3667</v>
      </c>
      <c r="C22" s="18">
        <f>(2924.0/B22*100)</f>
        <v/>
      </c>
      <c r="D22" s="19" t="n">
        <v>743</v>
      </c>
      <c r="E22" s="18" t="n">
        <v>44.51709661</v>
      </c>
      <c r="F22" s="20" t="n">
        <v>1.61684691</v>
      </c>
      <c r="G22" s="18" t="n">
        <v>53.46215932</v>
      </c>
      <c r="H22" s="20" t="n">
        <v>1.60377916</v>
      </c>
      <c r="I22" s="18" t="n">
        <v>0</v>
      </c>
      <c r="J22" s="20" t="n">
        <v>0</v>
      </c>
      <c r="K22" s="18" t="n">
        <v>0.54314289</v>
      </c>
      <c r="L22" s="20" t="n">
        <v>0.34524095</v>
      </c>
      <c r="M22" s="18" t="n">
        <v>0</v>
      </c>
      <c r="N22" s="20" t="n">
        <v>0</v>
      </c>
      <c r="O22" s="18" t="n">
        <v>0</v>
      </c>
      <c r="P22" s="20" t="n">
        <v>0</v>
      </c>
      <c r="Q22" s="18" t="n">
        <v>1.47760118</v>
      </c>
      <c r="R22" s="20" t="n">
        <v>0.29033634</v>
      </c>
    </row>
    <row r="23" spans="1:18">
      <c r="A23" s="15" t="s">
        <v>581</v>
      </c>
      <c r="B23" s="17" t="n">
        <v>5792</v>
      </c>
      <c r="C23" s="18">
        <f>(4509.0/B23*100)</f>
        <v/>
      </c>
      <c r="D23" s="19" t="n">
        <v>1283</v>
      </c>
      <c r="E23" s="18" t="n">
        <v>46.56434735</v>
      </c>
      <c r="F23" s="20" t="n">
        <v>1.83534588</v>
      </c>
      <c r="G23" s="18" t="n">
        <v>49.96803349</v>
      </c>
      <c r="H23" s="20" t="n">
        <v>1.84325266</v>
      </c>
      <c r="I23" s="18" t="n">
        <v>0</v>
      </c>
      <c r="J23" s="20" t="n">
        <v>0</v>
      </c>
      <c r="K23" s="18" t="n">
        <v>1.67412068</v>
      </c>
      <c r="L23" s="20" t="n">
        <v>0.59818905</v>
      </c>
      <c r="M23" s="18" t="n">
        <v>0</v>
      </c>
      <c r="N23" s="20" t="n">
        <v>0</v>
      </c>
      <c r="O23" s="18" t="n">
        <v>0</v>
      </c>
      <c r="P23" s="20" t="n">
        <v>0</v>
      </c>
      <c r="Q23" s="18" t="n">
        <v>1.79349848</v>
      </c>
      <c r="R23" s="20" t="n">
        <v>0.52459742</v>
      </c>
    </row>
    <row r="24" spans="1:18">
      <c r="A24" s="15" t="s">
        <v>582</v>
      </c>
      <c r="B24" s="17" t="n">
        <v>3309</v>
      </c>
      <c r="C24" s="18">
        <f>(2597.0/B24*100)</f>
        <v/>
      </c>
      <c r="D24" s="19" t="n">
        <v>712</v>
      </c>
      <c r="E24" s="18" t="n">
        <v>35.71874944</v>
      </c>
      <c r="F24" s="20" t="n">
        <v>1.67097046</v>
      </c>
      <c r="G24" s="18" t="n">
        <v>63.57642596</v>
      </c>
      <c r="H24" s="20" t="n">
        <v>1.68505819</v>
      </c>
      <c r="I24" s="18" t="n">
        <v>0</v>
      </c>
      <c r="J24" s="20" t="n">
        <v>0</v>
      </c>
      <c r="K24" s="18" t="n">
        <v>0.29997178</v>
      </c>
      <c r="L24" s="20" t="n">
        <v>0.20716064</v>
      </c>
      <c r="M24" s="18" t="n">
        <v>0</v>
      </c>
      <c r="N24" s="20" t="n">
        <v>0</v>
      </c>
      <c r="O24" s="18" t="n">
        <v>0</v>
      </c>
      <c r="P24" s="20" t="n">
        <v>0</v>
      </c>
      <c r="Q24" s="18" t="n">
        <v>0.40485283</v>
      </c>
      <c r="R24" s="20" t="n">
        <v>0.23439868</v>
      </c>
    </row>
    <row r="25" spans="1:18">
      <c r="A25" s="15" t="s">
        <v>583</v>
      </c>
      <c r="B25" s="17" t="n">
        <v>2669</v>
      </c>
      <c r="C25" s="18">
        <f>(2069.0/B25*100)</f>
        <v/>
      </c>
      <c r="D25" s="19" t="n">
        <v>600</v>
      </c>
      <c r="E25" s="18" t="n">
        <v>48.39607381</v>
      </c>
      <c r="F25" s="20" t="n">
        <v>2.59393561</v>
      </c>
      <c r="G25" s="18" t="n">
        <v>50.99791853</v>
      </c>
      <c r="H25" s="20" t="n">
        <v>2.59739244</v>
      </c>
      <c r="I25" s="18" t="n">
        <v>0</v>
      </c>
      <c r="J25" s="20" t="n">
        <v>0</v>
      </c>
      <c r="K25" s="18" t="n">
        <v>0.29682438</v>
      </c>
      <c r="L25" s="20" t="n">
        <v>0.18970463</v>
      </c>
      <c r="M25" s="18" t="n">
        <v>0</v>
      </c>
      <c r="N25" s="20" t="n">
        <v>0</v>
      </c>
      <c r="O25" s="18" t="n">
        <v>0</v>
      </c>
      <c r="P25" s="20" t="n">
        <v>0</v>
      </c>
      <c r="Q25" s="18" t="n">
        <v>0.30918328</v>
      </c>
      <c r="R25" s="20" t="n">
        <v>0.26706099</v>
      </c>
    </row>
    <row r="26" spans="1:18">
      <c r="A26" s="15" t="s">
        <v>584</v>
      </c>
      <c r="B26" s="17" t="n">
        <v>2419</v>
      </c>
      <c r="C26" s="18">
        <f>(1868.0/B26*100)</f>
        <v/>
      </c>
      <c r="D26" s="19" t="n">
        <v>551</v>
      </c>
      <c r="E26" s="18" t="n">
        <v>47.43858145</v>
      </c>
      <c r="F26" s="20" t="n">
        <v>2.08595209</v>
      </c>
      <c r="G26" s="18" t="n">
        <v>52.24667672</v>
      </c>
      <c r="H26" s="20" t="n">
        <v>2.10863303</v>
      </c>
      <c r="I26" s="18" t="n">
        <v>0</v>
      </c>
      <c r="J26" s="20" t="n">
        <v>0</v>
      </c>
      <c r="K26" s="18" t="n">
        <v>0.15153803</v>
      </c>
      <c r="L26" s="20" t="n">
        <v>0.15513322</v>
      </c>
      <c r="M26" s="18" t="n">
        <v>0</v>
      </c>
      <c r="N26" s="20" t="n">
        <v>0</v>
      </c>
      <c r="O26" s="18" t="n">
        <v>0</v>
      </c>
      <c r="P26" s="20" t="n">
        <v>0</v>
      </c>
      <c r="Q26" s="18" t="n">
        <v>0.16320379</v>
      </c>
      <c r="R26" s="20" t="n">
        <v>0.15787796</v>
      </c>
    </row>
    <row r="27" spans="1:18">
      <c r="A27" s="15" t="s">
        <v>585</v>
      </c>
      <c r="B27" s="17" t="n">
        <v>2683</v>
      </c>
      <c r="C27" s="18">
        <f>(2125.0/B27*100)</f>
        <v/>
      </c>
      <c r="D27" s="19" t="n">
        <v>558</v>
      </c>
      <c r="E27" s="18" t="n">
        <v>48.54914364</v>
      </c>
      <c r="F27" s="20" t="n">
        <v>2.08498287</v>
      </c>
      <c r="G27" s="18" t="n">
        <v>50.36709776</v>
      </c>
      <c r="H27" s="20" t="n">
        <v>2.12084276</v>
      </c>
      <c r="I27" s="18" t="n">
        <v>0</v>
      </c>
      <c r="J27" s="20" t="n">
        <v>0</v>
      </c>
      <c r="K27" s="18" t="n">
        <v>0.3590269</v>
      </c>
      <c r="L27" s="20" t="n">
        <v>0.25305506</v>
      </c>
      <c r="M27" s="18" t="n">
        <v>0</v>
      </c>
      <c r="N27" s="20" t="n">
        <v>0</v>
      </c>
      <c r="O27" s="18" t="n">
        <v>0</v>
      </c>
      <c r="P27" s="20" t="n">
        <v>0</v>
      </c>
      <c r="Q27" s="18" t="n">
        <v>0.7247317</v>
      </c>
      <c r="R27" s="20" t="n">
        <v>0.36071083</v>
      </c>
    </row>
    <row r="28" spans="1:18">
      <c r="A28" s="15" t="s">
        <v>586</v>
      </c>
      <c r="B28" s="17" t="n">
        <v>3803</v>
      </c>
      <c r="C28" s="18">
        <f>(3086.0/B28*100)</f>
        <v/>
      </c>
      <c r="D28" s="19" t="n">
        <v>717</v>
      </c>
      <c r="E28" s="18" t="n">
        <v>50.80321351</v>
      </c>
      <c r="F28" s="20" t="n">
        <v>2.31770141</v>
      </c>
      <c r="G28" s="18" t="n">
        <v>47.37976744</v>
      </c>
      <c r="H28" s="20" t="n">
        <v>2.38272187</v>
      </c>
      <c r="I28" s="18" t="n">
        <v>0</v>
      </c>
      <c r="J28" s="20" t="n">
        <v>0</v>
      </c>
      <c r="K28" s="18" t="n">
        <v>1.72652965</v>
      </c>
      <c r="L28" s="20" t="n">
        <v>0.57730702</v>
      </c>
      <c r="M28" s="18" t="n">
        <v>0</v>
      </c>
      <c r="N28" s="20" t="n">
        <v>0</v>
      </c>
      <c r="O28" s="18" t="n">
        <v>0</v>
      </c>
      <c r="P28" s="20" t="n">
        <v>0</v>
      </c>
      <c r="Q28" s="18" t="n">
        <v>0.0904894</v>
      </c>
      <c r="R28" s="20" t="n">
        <v>0.09050291000000001</v>
      </c>
    </row>
    <row r="29" spans="1:18">
      <c r="A29" s="15" t="s">
        <v>587</v>
      </c>
      <c r="B29" s="17" t="n">
        <v>2700</v>
      </c>
      <c r="C29" s="18">
        <f>(2097.0/B29*100)</f>
        <v/>
      </c>
      <c r="D29" s="19" t="n">
        <v>603</v>
      </c>
      <c r="E29" s="18" t="n">
        <v>33.83054881</v>
      </c>
      <c r="F29" s="20" t="n">
        <v>1.98530261</v>
      </c>
      <c r="G29" s="18" t="n">
        <v>65.76855655</v>
      </c>
      <c r="H29" s="20" t="n">
        <v>1.99336386</v>
      </c>
      <c r="I29" s="18" t="n">
        <v>0</v>
      </c>
      <c r="J29" s="20" t="n">
        <v>0</v>
      </c>
      <c r="K29" s="18" t="n">
        <v>0.40089464</v>
      </c>
      <c r="L29" s="20" t="n">
        <v>0.23256382</v>
      </c>
      <c r="M29" s="18" t="n">
        <v>0</v>
      </c>
      <c r="N29" s="20" t="n">
        <v>0</v>
      </c>
      <c r="O29" s="18" t="n">
        <v>0</v>
      </c>
      <c r="P29" s="20" t="n">
        <v>0</v>
      </c>
      <c r="Q29" s="18" t="n">
        <v>0</v>
      </c>
      <c r="R29" s="20" t="n">
        <v>0</v>
      </c>
    </row>
    <row r="30" spans="1:18">
      <c r="A30" s="15" t="s">
        <v>588</v>
      </c>
      <c r="B30" s="17" t="n">
        <v>2257</v>
      </c>
      <c r="C30" s="18">
        <f>(1800.0/B30*100)</f>
        <v/>
      </c>
      <c r="D30" s="19" t="n">
        <v>457</v>
      </c>
      <c r="E30" s="18" t="n">
        <v>38.85684826</v>
      </c>
      <c r="F30" s="20" t="n">
        <v>2.30604429</v>
      </c>
      <c r="G30" s="18" t="n">
        <v>59.09283134</v>
      </c>
      <c r="H30" s="20" t="n">
        <v>2.36237715</v>
      </c>
      <c r="I30" s="18" t="n">
        <v>0</v>
      </c>
      <c r="J30" s="20" t="n">
        <v>0</v>
      </c>
      <c r="K30" s="18" t="n">
        <v>1.3359362</v>
      </c>
      <c r="L30" s="20" t="n">
        <v>0.57625195</v>
      </c>
      <c r="M30" s="18" t="n">
        <v>0</v>
      </c>
      <c r="N30" s="20" t="n">
        <v>0</v>
      </c>
      <c r="O30" s="18" t="n">
        <v>0</v>
      </c>
      <c r="P30" s="20" t="n">
        <v>0</v>
      </c>
      <c r="Q30" s="18" t="n">
        <v>0.7143842</v>
      </c>
      <c r="R30" s="20" t="n">
        <v>0.49234124</v>
      </c>
    </row>
    <row r="31" spans="1:18">
      <c r="A31" s="15" t="s">
        <v>589</v>
      </c>
      <c r="B31" s="17" t="n">
        <v>2706</v>
      </c>
      <c r="C31" s="18">
        <f>(2136.0/B31*100)</f>
        <v/>
      </c>
      <c r="D31" s="19" t="n">
        <v>570</v>
      </c>
      <c r="E31" s="18" t="n">
        <v>41.00704627</v>
      </c>
      <c r="F31" s="20" t="n">
        <v>2.3533579</v>
      </c>
      <c r="G31" s="18" t="n">
        <v>56.60801543</v>
      </c>
      <c r="H31" s="20" t="n">
        <v>2.32195615</v>
      </c>
      <c r="I31" s="18" t="n">
        <v>0</v>
      </c>
      <c r="J31" s="20" t="n">
        <v>0</v>
      </c>
      <c r="K31" s="18" t="n">
        <v>1.70295141</v>
      </c>
      <c r="L31" s="20" t="n">
        <v>0.53476031</v>
      </c>
      <c r="M31" s="18" t="n">
        <v>0</v>
      </c>
      <c r="N31" s="20" t="n">
        <v>0</v>
      </c>
      <c r="O31" s="18" t="n">
        <v>0</v>
      </c>
      <c r="P31" s="20" t="n">
        <v>0</v>
      </c>
      <c r="Q31" s="18" t="n">
        <v>0.68198688</v>
      </c>
      <c r="R31" s="20" t="n">
        <v>0.26343707</v>
      </c>
    </row>
    <row r="32" spans="1:18">
      <c r="A32" s="15" t="s">
        <v>590</v>
      </c>
      <c r="B32" s="17" t="n">
        <v>2209</v>
      </c>
      <c r="C32" s="18">
        <f>(1712.0/B32*100)</f>
        <v/>
      </c>
      <c r="D32" s="19" t="n">
        <v>497</v>
      </c>
      <c r="E32" s="18" t="n">
        <v>34.03755518</v>
      </c>
      <c r="F32" s="20" t="n">
        <v>2.17644899</v>
      </c>
      <c r="G32" s="18" t="n">
        <v>65.56326382</v>
      </c>
      <c r="H32" s="20" t="n">
        <v>2.12717164</v>
      </c>
      <c r="I32" s="18" t="n">
        <v>0</v>
      </c>
      <c r="J32" s="20" t="n">
        <v>0</v>
      </c>
      <c r="K32" s="18" t="n">
        <v>0.399181</v>
      </c>
      <c r="L32" s="20" t="n">
        <v>0.28812033</v>
      </c>
      <c r="M32" s="18" t="n">
        <v>0</v>
      </c>
      <c r="N32" s="20" t="n">
        <v>0</v>
      </c>
      <c r="O32" s="18" t="n">
        <v>0</v>
      </c>
      <c r="P32" s="20" t="n">
        <v>0</v>
      </c>
      <c r="Q32" s="18" t="n">
        <v>0</v>
      </c>
      <c r="R32" s="20" t="n">
        <v>0</v>
      </c>
    </row>
    <row r="33" spans="1:18">
      <c r="A33" s="15" t="s">
        <v>591</v>
      </c>
      <c r="B33" s="17" t="n">
        <v>3651</v>
      </c>
      <c r="C33" s="18">
        <f>(2918.0/B33*100)</f>
        <v/>
      </c>
      <c r="D33" s="19" t="n">
        <v>733</v>
      </c>
      <c r="E33" s="18" t="n">
        <v>43.65175169</v>
      </c>
      <c r="F33" s="20" t="n">
        <v>2.11274155</v>
      </c>
      <c r="G33" s="18" t="n">
        <v>53.94519644</v>
      </c>
      <c r="H33" s="20" t="n">
        <v>2.11452719</v>
      </c>
      <c r="I33" s="18" t="n">
        <v>0</v>
      </c>
      <c r="J33" s="20" t="n">
        <v>0</v>
      </c>
      <c r="K33" s="18" t="n">
        <v>1.21019891</v>
      </c>
      <c r="L33" s="20" t="n">
        <v>0.481098</v>
      </c>
      <c r="M33" s="18" t="n">
        <v>0</v>
      </c>
      <c r="N33" s="20" t="n">
        <v>0</v>
      </c>
      <c r="O33" s="18" t="n">
        <v>0</v>
      </c>
      <c r="P33" s="20" t="n">
        <v>0</v>
      </c>
      <c r="Q33" s="18" t="n">
        <v>1.19285296</v>
      </c>
      <c r="R33" s="20" t="n">
        <v>0.43378878</v>
      </c>
    </row>
    <row r="34" spans="1:18">
      <c r="A34" s="15" t="s">
        <v>592</v>
      </c>
      <c r="B34" s="17" t="n">
        <v>3035</v>
      </c>
      <c r="C34" s="18">
        <f>(2389.0/B34*100)</f>
        <v/>
      </c>
      <c r="D34" s="19" t="n">
        <v>646</v>
      </c>
      <c r="E34" s="18" t="n">
        <v>51.74641353</v>
      </c>
      <c r="F34" s="20" t="n">
        <v>1.867759</v>
      </c>
      <c r="G34" s="18" t="n">
        <v>47.24732547</v>
      </c>
      <c r="H34" s="20" t="n">
        <v>1.87036321</v>
      </c>
      <c r="I34" s="18" t="n">
        <v>0</v>
      </c>
      <c r="J34" s="20" t="n">
        <v>0</v>
      </c>
      <c r="K34" s="18" t="n">
        <v>0.60193728</v>
      </c>
      <c r="L34" s="20" t="n">
        <v>0.30906614</v>
      </c>
      <c r="M34" s="18" t="n">
        <v>0</v>
      </c>
      <c r="N34" s="20" t="n">
        <v>0</v>
      </c>
      <c r="O34" s="18" t="n">
        <v>0</v>
      </c>
      <c r="P34" s="20" t="n">
        <v>0</v>
      </c>
      <c r="Q34" s="18" t="n">
        <v>0.40432372</v>
      </c>
      <c r="R34" s="20" t="n">
        <v>0.24553118</v>
      </c>
    </row>
    <row r="35" spans="1:18">
      <c r="A35" s="15" t="s">
        <v>593</v>
      </c>
      <c r="B35" s="17" t="n">
        <v>2901</v>
      </c>
      <c r="C35" s="18">
        <f>(2253.0/B35*100)</f>
        <v/>
      </c>
      <c r="D35" s="19" t="n">
        <v>648</v>
      </c>
      <c r="E35" s="18" t="n">
        <v>35.56989482</v>
      </c>
      <c r="F35" s="20" t="n">
        <v>2.4811607</v>
      </c>
      <c r="G35" s="18" t="n">
        <v>64.10361802</v>
      </c>
      <c r="H35" s="20" t="n">
        <v>2.46912417</v>
      </c>
      <c r="I35" s="18" t="n">
        <v>0</v>
      </c>
      <c r="J35" s="20" t="n">
        <v>0</v>
      </c>
      <c r="K35" s="18" t="n">
        <v>0.08453865000000001</v>
      </c>
      <c r="L35" s="20" t="n">
        <v>0.08465619000000001</v>
      </c>
      <c r="M35" s="18" t="n">
        <v>0</v>
      </c>
      <c r="N35" s="20" t="n">
        <v>0</v>
      </c>
      <c r="O35" s="18" t="n">
        <v>0</v>
      </c>
      <c r="P35" s="20" t="n">
        <v>0</v>
      </c>
      <c r="Q35" s="18" t="n">
        <v>0.2419485</v>
      </c>
      <c r="R35" s="20" t="n">
        <v>0.19608853</v>
      </c>
    </row>
    <row r="36" spans="1:18">
      <c r="A36" s="15" t="s">
        <v>594</v>
      </c>
      <c r="B36" s="17" t="n">
        <v>3404</v>
      </c>
      <c r="C36" s="18">
        <f>(2703.0/B36*100)</f>
        <v/>
      </c>
      <c r="D36" s="19" t="n">
        <v>701</v>
      </c>
      <c r="E36" s="18" t="n">
        <v>47.27311421</v>
      </c>
      <c r="F36" s="20" t="n">
        <v>2.15013905</v>
      </c>
      <c r="G36" s="18" t="n">
        <v>52.11620178</v>
      </c>
      <c r="H36" s="20" t="n">
        <v>2.10272718</v>
      </c>
      <c r="I36" s="18" t="n">
        <v>0</v>
      </c>
      <c r="J36" s="20" t="n">
        <v>0</v>
      </c>
      <c r="K36" s="18" t="n">
        <v>0.18271056</v>
      </c>
      <c r="L36" s="20" t="n">
        <v>0.15358148</v>
      </c>
      <c r="M36" s="18" t="n">
        <v>0</v>
      </c>
      <c r="N36" s="20" t="n">
        <v>0</v>
      </c>
      <c r="O36" s="18" t="n">
        <v>0</v>
      </c>
      <c r="P36" s="20" t="n">
        <v>0</v>
      </c>
      <c r="Q36" s="18" t="n">
        <v>0.42797345</v>
      </c>
      <c r="R36" s="20" t="n">
        <v>0.19308367</v>
      </c>
    </row>
    <row r="37" spans="1:18">
      <c r="A37" s="15" t="s">
        <v>595</v>
      </c>
      <c r="B37" s="17" t="n">
        <v>2731</v>
      </c>
      <c r="C37" s="18">
        <f>(2152.0/B37*100)</f>
        <v/>
      </c>
      <c r="D37" s="19" t="n">
        <v>579</v>
      </c>
      <c r="E37" s="18" t="n">
        <v>39.01437617</v>
      </c>
      <c r="F37" s="20" t="n">
        <v>2.24412296</v>
      </c>
      <c r="G37" s="18" t="n">
        <v>57.44774647</v>
      </c>
      <c r="H37" s="20" t="n">
        <v>2.30540597</v>
      </c>
      <c r="I37" s="18" t="n">
        <v>0</v>
      </c>
      <c r="J37" s="20" t="n">
        <v>0</v>
      </c>
      <c r="K37" s="18" t="n">
        <v>2.29295213</v>
      </c>
      <c r="L37" s="20" t="n">
        <v>0.63933939</v>
      </c>
      <c r="M37" s="18" t="n">
        <v>0</v>
      </c>
      <c r="N37" s="20" t="n">
        <v>0</v>
      </c>
      <c r="O37" s="18" t="n">
        <v>0</v>
      </c>
      <c r="P37" s="20" t="n">
        <v>0</v>
      </c>
      <c r="Q37" s="18" t="n">
        <v>1.24492524</v>
      </c>
      <c r="R37" s="20" t="n">
        <v>0.56302629</v>
      </c>
    </row>
    <row r="38" spans="1:18">
      <c r="A38" s="15" t="s">
        <v>596</v>
      </c>
      <c r="B38" s="17" t="n">
        <v>2807</v>
      </c>
      <c r="C38" s="18">
        <f>(2164.0/B38*100)</f>
        <v/>
      </c>
      <c r="D38" s="19" t="n">
        <v>643</v>
      </c>
      <c r="E38" s="18" t="n">
        <v>44.20260424</v>
      </c>
      <c r="F38" s="20" t="n">
        <v>2.22941891</v>
      </c>
      <c r="G38" s="18" t="n">
        <v>54.79869065</v>
      </c>
      <c r="H38" s="20" t="n">
        <v>2.20310453</v>
      </c>
      <c r="I38" s="18" t="n">
        <v>0</v>
      </c>
      <c r="J38" s="20" t="n">
        <v>0</v>
      </c>
      <c r="K38" s="18" t="n">
        <v>0.48016803</v>
      </c>
      <c r="L38" s="20" t="n">
        <v>0.28022273</v>
      </c>
      <c r="M38" s="18" t="n">
        <v>0</v>
      </c>
      <c r="N38" s="20" t="n">
        <v>0</v>
      </c>
      <c r="O38" s="18" t="n">
        <v>0</v>
      </c>
      <c r="P38" s="20" t="n">
        <v>0</v>
      </c>
      <c r="Q38" s="18" t="n">
        <v>0.51853709</v>
      </c>
      <c r="R38" s="20" t="n">
        <v>0.30409819</v>
      </c>
    </row>
    <row r="39" spans="1:18">
      <c r="A39" s="15" t="s">
        <v>597</v>
      </c>
      <c r="B39" s="17" t="n">
        <v>2938</v>
      </c>
      <c r="C39" s="18">
        <f>(2289.0/B39*100)</f>
        <v/>
      </c>
      <c r="D39" s="19" t="n">
        <v>649</v>
      </c>
      <c r="E39" s="18" t="n">
        <v>59.47149781</v>
      </c>
      <c r="F39" s="20" t="n">
        <v>2.15094167</v>
      </c>
      <c r="G39" s="18" t="n">
        <v>40.14227955</v>
      </c>
      <c r="H39" s="20" t="n">
        <v>2.17311908</v>
      </c>
      <c r="I39" s="18" t="n">
        <v>0</v>
      </c>
      <c r="J39" s="20" t="n">
        <v>0</v>
      </c>
      <c r="K39" s="18" t="n">
        <v>0.21354608</v>
      </c>
      <c r="L39" s="20" t="n">
        <v>0.16143718</v>
      </c>
      <c r="M39" s="18" t="n">
        <v>0</v>
      </c>
      <c r="N39" s="20" t="n">
        <v>0</v>
      </c>
      <c r="O39" s="18" t="n">
        <v>0</v>
      </c>
      <c r="P39" s="20" t="n">
        <v>0</v>
      </c>
      <c r="Q39" s="18" t="n">
        <v>0.17267656</v>
      </c>
      <c r="R39" s="20" t="n">
        <v>0.16940698</v>
      </c>
    </row>
    <row r="40" spans="1:18">
      <c r="A40" s="15" t="s">
        <v>598</v>
      </c>
      <c r="B40" s="17" t="n">
        <v>6922</v>
      </c>
      <c r="C40" s="18">
        <f>(5376.0/B40*100)</f>
        <v/>
      </c>
      <c r="D40" s="19" t="n">
        <v>1546</v>
      </c>
      <c r="E40" s="18" t="n">
        <v>34.92429166</v>
      </c>
      <c r="F40" s="20" t="n">
        <v>2.10757536</v>
      </c>
      <c r="G40" s="18" t="n">
        <v>64.00355436</v>
      </c>
      <c r="H40" s="20" t="n">
        <v>2.14628981</v>
      </c>
      <c r="I40" s="18" t="n">
        <v>0</v>
      </c>
      <c r="J40" s="20" t="n">
        <v>0</v>
      </c>
      <c r="K40" s="18" t="n">
        <v>0.24859126</v>
      </c>
      <c r="L40" s="20" t="n">
        <v>0.16304319</v>
      </c>
      <c r="M40" s="18" t="n">
        <v>0</v>
      </c>
      <c r="N40" s="20" t="n">
        <v>0</v>
      </c>
      <c r="O40" s="18" t="n">
        <v>0</v>
      </c>
      <c r="P40" s="20" t="n">
        <v>0</v>
      </c>
      <c r="Q40" s="18" t="n">
        <v>0.82356273</v>
      </c>
      <c r="R40" s="20" t="n">
        <v>0.42260386</v>
      </c>
    </row>
    <row r="41" spans="1:18">
      <c r="A41" s="15" t="s">
        <v>599</v>
      </c>
      <c r="B41" s="17" t="n">
        <v>2854</v>
      </c>
      <c r="C41" s="18">
        <f>(2267.0/B41*100)</f>
        <v/>
      </c>
      <c r="D41" s="19" t="n">
        <v>587</v>
      </c>
      <c r="E41" s="18" t="n">
        <v>33.35649696</v>
      </c>
      <c r="F41" s="20" t="n">
        <v>2.29955126</v>
      </c>
      <c r="G41" s="18" t="n">
        <v>65.93902799999999</v>
      </c>
      <c r="H41" s="20" t="n">
        <v>2.31119966</v>
      </c>
      <c r="I41" s="18" t="n">
        <v>0</v>
      </c>
      <c r="J41" s="20" t="n">
        <v>0</v>
      </c>
      <c r="K41" s="18" t="n">
        <v>0.48898905</v>
      </c>
      <c r="L41" s="20" t="n">
        <v>0.31933226</v>
      </c>
      <c r="M41" s="18" t="n">
        <v>0</v>
      </c>
      <c r="N41" s="20" t="n">
        <v>0</v>
      </c>
      <c r="O41" s="18" t="n">
        <v>0</v>
      </c>
      <c r="P41" s="20" t="n">
        <v>0</v>
      </c>
      <c r="Q41" s="18" t="n">
        <v>0.21548599</v>
      </c>
      <c r="R41" s="20" t="n">
        <v>0.19312305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(10177.0/B46*100)</f>
        <v/>
      </c>
      <c r="D46" s="19" t="n">
        <v>1896</v>
      </c>
      <c r="E46" s="18" t="n">
        <v>59.30595648</v>
      </c>
      <c r="F46" s="20" t="n">
        <v>1.51053182</v>
      </c>
      <c r="G46" s="18" t="n">
        <v>36.31205952</v>
      </c>
      <c r="H46" s="20" t="n">
        <v>1.51636484</v>
      </c>
      <c r="I46" s="18" t="n">
        <v>0</v>
      </c>
      <c r="J46" s="20" t="n">
        <v>0</v>
      </c>
      <c r="K46" s="18" t="n">
        <v>2.89357144</v>
      </c>
      <c r="L46" s="20" t="n">
        <v>0.45501672</v>
      </c>
      <c r="M46" s="18" t="n">
        <v>0</v>
      </c>
      <c r="N46" s="20" t="n">
        <v>0</v>
      </c>
      <c r="O46" s="18" t="n">
        <v>0</v>
      </c>
      <c r="P46" s="20" t="n">
        <v>0</v>
      </c>
      <c r="Q46" s="18" t="n">
        <v>1.48841255</v>
      </c>
      <c r="R46" s="20" t="n">
        <v>0.31731749</v>
      </c>
    </row>
    <row r="47" spans="1:18">
      <c r="A47" s="15" t="s">
        <v>606</v>
      </c>
      <c r="B47" s="17" t="n">
        <v>2823</v>
      </c>
      <c r="C47" s="18">
        <f>(2238.0/B47*100)</f>
        <v/>
      </c>
      <c r="D47" s="19" t="n">
        <v>585</v>
      </c>
      <c r="E47" s="18" t="n">
        <v>52.28297274</v>
      </c>
      <c r="F47" s="20" t="n">
        <v>2.21251917</v>
      </c>
      <c r="G47" s="18" t="n">
        <v>44.81586425</v>
      </c>
      <c r="H47" s="20" t="n">
        <v>2.26455948</v>
      </c>
      <c r="I47" s="18" t="n">
        <v>0</v>
      </c>
      <c r="J47" s="20" t="n">
        <v>0</v>
      </c>
      <c r="K47" s="18" t="n">
        <v>2.05993832</v>
      </c>
      <c r="L47" s="20" t="n">
        <v>0.6707740800000001</v>
      </c>
      <c r="M47" s="18" t="n">
        <v>0</v>
      </c>
      <c r="N47" s="20" t="n">
        <v>0</v>
      </c>
      <c r="O47" s="18" t="n">
        <v>0</v>
      </c>
      <c r="P47" s="20" t="n">
        <v>0</v>
      </c>
      <c r="Q47" s="18" t="n">
        <v>0.84122469</v>
      </c>
      <c r="R47" s="20" t="n">
        <v>0.38938721</v>
      </c>
    </row>
    <row r="48" spans="1:18">
      <c r="A48" s="15" t="s">
        <v>607</v>
      </c>
      <c r="B48" s="17" t="n">
        <v>4682</v>
      </c>
      <c r="C48" s="18">
        <f>(3620.0/B48*100)</f>
        <v/>
      </c>
      <c r="D48" s="19" t="n">
        <v>1062</v>
      </c>
      <c r="E48" s="18" t="n">
        <v>55.07892488</v>
      </c>
      <c r="F48" s="20" t="n">
        <v>1.93331061</v>
      </c>
      <c r="G48" s="18" t="n">
        <v>44.21602056</v>
      </c>
      <c r="H48" s="20" t="n">
        <v>1.94652066</v>
      </c>
      <c r="I48" s="18" t="n">
        <v>0</v>
      </c>
      <c r="J48" s="20" t="n">
        <v>0</v>
      </c>
      <c r="K48" s="18" t="n">
        <v>0.62136337</v>
      </c>
      <c r="L48" s="20" t="n">
        <v>0.38565366</v>
      </c>
      <c r="M48" s="18" t="n">
        <v>0</v>
      </c>
      <c r="N48" s="20" t="n">
        <v>0</v>
      </c>
      <c r="O48" s="18" t="n">
        <v>0</v>
      </c>
      <c r="P48" s="20" t="n">
        <v>0</v>
      </c>
      <c r="Q48" s="18" t="n">
        <v>0.08369119</v>
      </c>
      <c r="R48" s="20" t="n">
        <v>0.07314284</v>
      </c>
    </row>
    <row r="49" spans="1:18">
      <c r="A49" s="15" t="s">
        <v>608</v>
      </c>
      <c r="B49" s="17" t="n">
        <v>6158</v>
      </c>
      <c r="C49" s="18">
        <f>(4895.0/B49*100)</f>
        <v/>
      </c>
      <c r="D49" s="19" t="n">
        <v>1263</v>
      </c>
      <c r="E49" s="18" t="n">
        <v>47.87227466</v>
      </c>
      <c r="F49" s="20" t="n">
        <v>1.66367665</v>
      </c>
      <c r="G49" s="18" t="n">
        <v>46.1909602</v>
      </c>
      <c r="H49" s="20" t="n">
        <v>1.53316957</v>
      </c>
      <c r="I49" s="18" t="n">
        <v>0</v>
      </c>
      <c r="J49" s="20" t="n">
        <v>0</v>
      </c>
      <c r="K49" s="18" t="n">
        <v>4.97846192</v>
      </c>
      <c r="L49" s="20" t="n">
        <v>0.87501396</v>
      </c>
      <c r="M49" s="18" t="n">
        <v>0</v>
      </c>
      <c r="N49" s="20" t="n">
        <v>0</v>
      </c>
      <c r="O49" s="18" t="n">
        <v>0</v>
      </c>
      <c r="P49" s="20" t="n">
        <v>0</v>
      </c>
      <c r="Q49" s="18" t="n">
        <v>0.95830321</v>
      </c>
      <c r="R49" s="20" t="n">
        <v>0.29839861</v>
      </c>
    </row>
    <row r="50" spans="1:18">
      <c r="A50" s="15" t="s">
        <v>609</v>
      </c>
      <c r="B50" s="17" t="n">
        <v>3494</v>
      </c>
      <c r="C50" s="18">
        <f>(2890.0/B50*100)</f>
        <v/>
      </c>
      <c r="D50" s="19" t="n">
        <v>604</v>
      </c>
      <c r="E50" s="18" t="n">
        <v>58.74035484</v>
      </c>
      <c r="F50" s="20" t="n">
        <v>2.1786692</v>
      </c>
      <c r="G50" s="18" t="n">
        <v>39.06502926</v>
      </c>
      <c r="H50" s="20" t="n">
        <v>2.10686791</v>
      </c>
      <c r="I50" s="18" t="n">
        <v>0</v>
      </c>
      <c r="J50" s="20" t="n">
        <v>0</v>
      </c>
      <c r="K50" s="18" t="n">
        <v>1.64700044</v>
      </c>
      <c r="L50" s="20" t="n">
        <v>0.58505118</v>
      </c>
      <c r="M50" s="18" t="n">
        <v>0</v>
      </c>
      <c r="N50" s="20" t="n">
        <v>0</v>
      </c>
      <c r="O50" s="18" t="n">
        <v>0</v>
      </c>
      <c r="P50" s="20" t="n">
        <v>0</v>
      </c>
      <c r="Q50" s="18" t="n">
        <v>0.5476154600000001</v>
      </c>
      <c r="R50" s="20" t="n">
        <v>0.23571683</v>
      </c>
    </row>
    <row r="51" spans="1:18">
      <c r="A51" s="15" t="s">
        <v>610</v>
      </c>
      <c r="B51" s="17" t="n">
        <v>3013</v>
      </c>
      <c r="C51" s="18">
        <f>(2363.0/B51*100)</f>
        <v/>
      </c>
      <c r="D51" s="19" t="n">
        <v>650</v>
      </c>
      <c r="E51" s="18" t="n">
        <v>57.94824531</v>
      </c>
      <c r="F51" s="20" t="n">
        <v>2.0173789</v>
      </c>
      <c r="G51" s="18" t="n">
        <v>41.75062651</v>
      </c>
      <c r="H51" s="20" t="n">
        <v>1.97909073</v>
      </c>
      <c r="I51" s="18" t="n">
        <v>0</v>
      </c>
      <c r="J51" s="20" t="n">
        <v>0</v>
      </c>
      <c r="K51" s="18" t="n">
        <v>0</v>
      </c>
      <c r="L51" s="20" t="n">
        <v>0</v>
      </c>
      <c r="M51" s="18" t="n">
        <v>0</v>
      </c>
      <c r="N51" s="20" t="n">
        <v>0</v>
      </c>
      <c r="O51" s="18" t="n">
        <v>0</v>
      </c>
      <c r="P51" s="20" t="n">
        <v>0</v>
      </c>
      <c r="Q51" s="18" t="n">
        <v>0.30112818</v>
      </c>
      <c r="R51" s="20" t="n">
        <v>0.20538564</v>
      </c>
    </row>
    <row r="52" spans="1:18">
      <c r="A52" s="15" t="s">
        <v>611</v>
      </c>
      <c r="B52" s="17" t="n">
        <v>2760</v>
      </c>
      <c r="C52" s="18">
        <f>(2188.0/B52*100)</f>
        <v/>
      </c>
      <c r="D52" s="19" t="n">
        <v>572</v>
      </c>
      <c r="E52" s="18" t="n">
        <v>58.61072742</v>
      </c>
      <c r="F52" s="20" t="n">
        <v>2.19433769</v>
      </c>
      <c r="G52" s="18" t="n">
        <v>40.14484692</v>
      </c>
      <c r="H52" s="20" t="n">
        <v>2.16328172</v>
      </c>
      <c r="I52" s="18" t="n">
        <v>0</v>
      </c>
      <c r="J52" s="20" t="n">
        <v>0</v>
      </c>
      <c r="K52" s="18" t="n">
        <v>0.7873922</v>
      </c>
      <c r="L52" s="20" t="n">
        <v>0.39036001</v>
      </c>
      <c r="M52" s="18" t="n">
        <v>0</v>
      </c>
      <c r="N52" s="20" t="n">
        <v>0</v>
      </c>
      <c r="O52" s="18" t="n">
        <v>0</v>
      </c>
      <c r="P52" s="20" t="n">
        <v>0</v>
      </c>
      <c r="Q52" s="18" t="n">
        <v>0.45703346</v>
      </c>
      <c r="R52" s="20" t="n">
        <v>0.32475051</v>
      </c>
    </row>
    <row r="53" spans="1:18">
      <c r="A53" s="15" t="s">
        <v>612</v>
      </c>
      <c r="B53" s="17" t="n">
        <v>2474</v>
      </c>
      <c r="C53" s="18">
        <f>(1945.0/B53*100)</f>
        <v/>
      </c>
      <c r="D53" s="19" t="n">
        <v>529</v>
      </c>
      <c r="E53" s="18" t="n">
        <v>62.00855943</v>
      </c>
      <c r="F53" s="20" t="n">
        <v>2.38924734</v>
      </c>
      <c r="G53" s="18" t="n">
        <v>17.44305123</v>
      </c>
      <c r="H53" s="20" t="n">
        <v>1.80578976</v>
      </c>
      <c r="I53" s="18" t="n">
        <v>0</v>
      </c>
      <c r="J53" s="20" t="n">
        <v>0</v>
      </c>
      <c r="K53" s="18" t="n">
        <v>18.90910881</v>
      </c>
      <c r="L53" s="20" t="n">
        <v>1.87532075</v>
      </c>
      <c r="M53" s="18" t="n">
        <v>0</v>
      </c>
      <c r="N53" s="20" t="n">
        <v>0</v>
      </c>
      <c r="O53" s="18" t="n">
        <v>0</v>
      </c>
      <c r="P53" s="20" t="n">
        <v>0</v>
      </c>
      <c r="Q53" s="18" t="n">
        <v>1.63928052</v>
      </c>
      <c r="R53" s="20" t="n">
        <v>0.72371354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(2111.0/B55*100)</f>
        <v/>
      </c>
      <c r="D55" s="19" t="n">
        <v>564</v>
      </c>
      <c r="E55" s="18" t="n">
        <v>44.48864876</v>
      </c>
      <c r="F55" s="20" t="n">
        <v>2.07597113</v>
      </c>
      <c r="G55" s="18" t="n">
        <v>54.92513049</v>
      </c>
      <c r="H55" s="20" t="n">
        <v>2.00136024</v>
      </c>
      <c r="I55" s="18" t="n">
        <v>0</v>
      </c>
      <c r="J55" s="20" t="n">
        <v>0</v>
      </c>
      <c r="K55" s="18" t="n">
        <v>0.19028027</v>
      </c>
      <c r="L55" s="20" t="n">
        <v>0.18823266</v>
      </c>
      <c r="M55" s="18" t="n">
        <v>0</v>
      </c>
      <c r="N55" s="20" t="n">
        <v>0</v>
      </c>
      <c r="O55" s="18" t="n">
        <v>0</v>
      </c>
      <c r="P55" s="20" t="n">
        <v>0</v>
      </c>
      <c r="Q55" s="18" t="n">
        <v>0.39594048</v>
      </c>
      <c r="R55" s="20" t="n">
        <v>0.23173522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(2516.0/B61*100)</f>
        <v/>
      </c>
      <c r="D61" s="19" t="n">
        <v>685</v>
      </c>
      <c r="E61" s="18" t="n">
        <v>43.50984688</v>
      </c>
      <c r="F61" s="20" t="n">
        <v>2.21515319</v>
      </c>
      <c r="G61" s="18" t="n">
        <v>55.91742007</v>
      </c>
      <c r="H61" s="20" t="n">
        <v>2.2102933</v>
      </c>
      <c r="I61" s="18" t="n">
        <v>0</v>
      </c>
      <c r="J61" s="20" t="n">
        <v>0</v>
      </c>
      <c r="K61" s="18" t="n">
        <v>0.18551943</v>
      </c>
      <c r="L61" s="20" t="n">
        <v>0.19253177</v>
      </c>
      <c r="M61" s="18" t="n">
        <v>0</v>
      </c>
      <c r="N61" s="20" t="n">
        <v>0</v>
      </c>
      <c r="O61" s="18" t="n">
        <v>0</v>
      </c>
      <c r="P61" s="20" t="n">
        <v>0</v>
      </c>
      <c r="Q61" s="18" t="n">
        <v>0.38721363</v>
      </c>
      <c r="R61" s="20" t="n">
        <v>0.25905051</v>
      </c>
    </row>
    <row r="62" spans="1:18">
      <c r="A62" s="15" t="s">
        <v>622</v>
      </c>
      <c r="B62" s="17" t="n">
        <v>2230</v>
      </c>
      <c r="C62" s="18">
        <f>(1731.0/B62*100)</f>
        <v/>
      </c>
      <c r="D62" s="19" t="n">
        <v>499</v>
      </c>
      <c r="E62" s="18" t="n">
        <v>34.26290943</v>
      </c>
      <c r="F62" s="20" t="n">
        <v>2.32745924</v>
      </c>
      <c r="G62" s="18" t="n">
        <v>65.53808092</v>
      </c>
      <c r="H62" s="20" t="n">
        <v>2.31322512</v>
      </c>
      <c r="I62" s="18" t="n">
        <v>0</v>
      </c>
      <c r="J62" s="20" t="n">
        <v>0</v>
      </c>
      <c r="K62" s="18" t="n">
        <v>0</v>
      </c>
      <c r="L62" s="20" t="n">
        <v>0</v>
      </c>
      <c r="M62" s="18" t="n">
        <v>0</v>
      </c>
      <c r="N62" s="20" t="n">
        <v>0</v>
      </c>
      <c r="O62" s="18" t="n">
        <v>0</v>
      </c>
      <c r="P62" s="20" t="n">
        <v>0</v>
      </c>
      <c r="Q62" s="18" t="n">
        <v>0.19900966</v>
      </c>
      <c r="R62" s="20" t="n">
        <v>0.19973191</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(2209.0/B67*100)</f>
        <v/>
      </c>
      <c r="D67" s="19" t="n">
        <v>562</v>
      </c>
      <c r="E67" s="18" t="n">
        <v>59.12223446</v>
      </c>
      <c r="F67" s="20" t="n">
        <v>1.88931695</v>
      </c>
      <c r="G67" s="18" t="n">
        <v>37.55510116</v>
      </c>
      <c r="H67" s="20" t="n">
        <v>1.82397337</v>
      </c>
      <c r="I67" s="18" t="n">
        <v>0</v>
      </c>
      <c r="J67" s="20" t="n">
        <v>0</v>
      </c>
      <c r="K67" s="18" t="n">
        <v>2.02619866</v>
      </c>
      <c r="L67" s="20" t="n">
        <v>0.6638739</v>
      </c>
      <c r="M67" s="18" t="n">
        <v>0</v>
      </c>
      <c r="N67" s="20" t="n">
        <v>0</v>
      </c>
      <c r="O67" s="18" t="n">
        <v>0</v>
      </c>
      <c r="P67" s="20" t="n">
        <v>0</v>
      </c>
      <c r="Q67" s="18" t="n">
        <v>1.29646572</v>
      </c>
      <c r="R67" s="20" t="n">
        <v>0.46515554</v>
      </c>
    </row>
    <row r="68" spans="1:18">
      <c r="A68" s="15" t="s">
        <v>628</v>
      </c>
      <c r="B68" s="17" t="n">
        <v>3460</v>
      </c>
      <c r="C68" s="18">
        <f>(2869.0/B68*100)</f>
        <v/>
      </c>
      <c r="D68" s="19" t="n">
        <v>591</v>
      </c>
      <c r="E68" s="18" t="n">
        <v>65.44111061</v>
      </c>
      <c r="F68" s="20" t="n">
        <v>2.2229555</v>
      </c>
      <c r="G68" s="18" t="n">
        <v>32.68088576</v>
      </c>
      <c r="H68" s="20" t="n">
        <v>2.18751343</v>
      </c>
      <c r="I68" s="18" t="n">
        <v>0</v>
      </c>
      <c r="J68" s="20" t="n">
        <v>0</v>
      </c>
      <c r="K68" s="18" t="n">
        <v>1.40611478</v>
      </c>
      <c r="L68" s="20" t="n">
        <v>0.5849285</v>
      </c>
      <c r="M68" s="18" t="n">
        <v>0</v>
      </c>
      <c r="N68" s="20" t="n">
        <v>0</v>
      </c>
      <c r="O68" s="18" t="n">
        <v>0</v>
      </c>
      <c r="P68" s="20" t="n">
        <v>0</v>
      </c>
      <c r="Q68" s="18" t="n">
        <v>0.47188885</v>
      </c>
      <c r="R68" s="20" t="n">
        <v>0.27504057</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(4718.0/B70*100)</f>
        <v/>
      </c>
      <c r="D70" s="19" t="n">
        <v>1316</v>
      </c>
      <c r="E70" s="18" t="n">
        <v>56.01583187</v>
      </c>
      <c r="F70" s="20" t="n">
        <v>1.32188387</v>
      </c>
      <c r="G70" s="18" t="n">
        <v>38.93380947</v>
      </c>
      <c r="H70" s="20" t="n">
        <v>1.25922884</v>
      </c>
      <c r="I70" s="18" t="n">
        <v>0</v>
      </c>
      <c r="J70" s="20" t="n">
        <v>0</v>
      </c>
      <c r="K70" s="18" t="n">
        <v>4.2783285</v>
      </c>
      <c r="L70" s="20" t="n">
        <v>0.57434645</v>
      </c>
      <c r="M70" s="18" t="n">
        <v>0</v>
      </c>
      <c r="N70" s="20" t="n">
        <v>0</v>
      </c>
      <c r="O70" s="18" t="n">
        <v>0</v>
      </c>
      <c r="P70" s="20" t="n">
        <v>0</v>
      </c>
      <c r="Q70" s="18" t="n">
        <v>0.77203016</v>
      </c>
      <c r="R70" s="20" t="n">
        <v>0.21952701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(2455.0/B72*100)</f>
        <v/>
      </c>
      <c r="D72" s="19" t="n">
        <v>652</v>
      </c>
      <c r="E72" s="18" t="n">
        <v>56.61774442</v>
      </c>
      <c r="F72" s="20" t="n">
        <v>2.46447464</v>
      </c>
      <c r="G72" s="18" t="n">
        <v>41.83252536</v>
      </c>
      <c r="H72" s="20" t="n">
        <v>2.50475363</v>
      </c>
      <c r="I72" s="18" t="n">
        <v>0</v>
      </c>
      <c r="J72" s="20" t="n">
        <v>0</v>
      </c>
      <c r="K72" s="18" t="n">
        <v>0.88987534</v>
      </c>
      <c r="L72" s="20" t="n">
        <v>0.47737286</v>
      </c>
      <c r="M72" s="18" t="n">
        <v>0</v>
      </c>
      <c r="N72" s="20" t="n">
        <v>0</v>
      </c>
      <c r="O72" s="18" t="n">
        <v>0</v>
      </c>
      <c r="P72" s="20" t="n">
        <v>0</v>
      </c>
      <c r="Q72" s="18" t="n">
        <v>0.65985488</v>
      </c>
      <c r="R72" s="20" t="n">
        <v>0.39663015</v>
      </c>
    </row>
    <row r="73" spans="1:18">
      <c r="A73" s="15" t="s">
        <v>633</v>
      </c>
      <c r="B73" s="17" t="n">
        <v>2973</v>
      </c>
      <c r="C73" s="18">
        <f>(2302.0/B73*100)</f>
        <v/>
      </c>
      <c r="D73" s="19" t="n">
        <v>671</v>
      </c>
      <c r="E73" s="18" t="n">
        <v>36.17037245</v>
      </c>
      <c r="F73" s="20" t="n">
        <v>1.9764797</v>
      </c>
      <c r="G73" s="18" t="n">
        <v>63.20779769</v>
      </c>
      <c r="H73" s="20" t="n">
        <v>1.96381652</v>
      </c>
      <c r="I73" s="18" t="n">
        <v>0</v>
      </c>
      <c r="J73" s="20" t="n">
        <v>0</v>
      </c>
      <c r="K73" s="18" t="n">
        <v>0.62182987</v>
      </c>
      <c r="L73" s="20" t="n">
        <v>0.31339976</v>
      </c>
      <c r="M73" s="18" t="n">
        <v>0</v>
      </c>
      <c r="N73" s="20" t="n">
        <v>0</v>
      </c>
      <c r="O73" s="18" t="n">
        <v>0</v>
      </c>
      <c r="P73" s="20" t="n">
        <v>0</v>
      </c>
      <c r="Q73" s="18" t="n">
        <v>0</v>
      </c>
      <c r="R73" s="20" t="n">
        <v>0</v>
      </c>
    </row>
    <row r="74" spans="1:18">
      <c r="A74" s="15" t="s">
        <v>634</v>
      </c>
      <c r="B74" s="17" t="n">
        <v>3819</v>
      </c>
      <c r="C74" s="18">
        <f>(2940.0/B74*100)</f>
        <v/>
      </c>
      <c r="D74" s="19" t="n">
        <v>879</v>
      </c>
      <c r="E74" s="18" t="n">
        <v>46.58288824</v>
      </c>
      <c r="F74" s="20" t="n">
        <v>2.06505056</v>
      </c>
      <c r="G74" s="18" t="n">
        <v>52.67527528</v>
      </c>
      <c r="H74" s="20" t="n">
        <v>2.01370019</v>
      </c>
      <c r="I74" s="18" t="n">
        <v>0</v>
      </c>
      <c r="J74" s="20" t="n">
        <v>0</v>
      </c>
      <c r="K74" s="18" t="n">
        <v>0.24110814</v>
      </c>
      <c r="L74" s="20" t="n">
        <v>0.0894142</v>
      </c>
      <c r="M74" s="18" t="n">
        <v>0</v>
      </c>
      <c r="N74" s="20" t="n">
        <v>0</v>
      </c>
      <c r="O74" s="18" t="n">
        <v>0</v>
      </c>
      <c r="P74" s="20" t="n">
        <v>0</v>
      </c>
      <c r="Q74" s="18" t="n">
        <v>0.50072834</v>
      </c>
      <c r="R74" s="20" t="n">
        <v>0.25473442</v>
      </c>
    </row>
    <row r="75" spans="1:18">
      <c r="A75" s="15" t="s">
        <v>635</v>
      </c>
      <c r="B75" s="17" t="n">
        <v>4652</v>
      </c>
      <c r="C75" s="18">
        <f>(3685.0/B75*100)</f>
        <v/>
      </c>
      <c r="D75" s="19" t="n">
        <v>967</v>
      </c>
      <c r="E75" s="18" t="n">
        <v>55.2033934</v>
      </c>
      <c r="F75" s="20" t="n">
        <v>2.04507179</v>
      </c>
      <c r="G75" s="18" t="n">
        <v>44.15375483</v>
      </c>
      <c r="H75" s="20" t="n">
        <v>2.06518755</v>
      </c>
      <c r="I75" s="18" t="n">
        <v>0</v>
      </c>
      <c r="J75" s="20" t="n">
        <v>0</v>
      </c>
      <c r="K75" s="18" t="n">
        <v>0.29547946</v>
      </c>
      <c r="L75" s="20" t="n">
        <v>0.17732514</v>
      </c>
      <c r="M75" s="18" t="n">
        <v>0</v>
      </c>
      <c r="N75" s="20" t="n">
        <v>0</v>
      </c>
      <c r="O75" s="18" t="n">
        <v>0</v>
      </c>
      <c r="P75" s="20" t="n">
        <v>0</v>
      </c>
      <c r="Q75" s="18" t="n">
        <v>0.34737231</v>
      </c>
      <c r="R75" s="20" t="n">
        <v>0.20883139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(2408.0/B77*100)</f>
        <v/>
      </c>
      <c r="D77" s="19" t="n">
        <v>561</v>
      </c>
      <c r="E77" s="18" t="n">
        <v>70.69384328</v>
      </c>
      <c r="F77" s="20" t="n">
        <v>2.05502717</v>
      </c>
      <c r="G77" s="18" t="n">
        <v>20.15388712</v>
      </c>
      <c r="H77" s="20" t="n">
        <v>1.7268202</v>
      </c>
      <c r="I77" s="18" t="n">
        <v>0</v>
      </c>
      <c r="J77" s="20" t="n">
        <v>0</v>
      </c>
      <c r="K77" s="18" t="n">
        <v>7.35156571</v>
      </c>
      <c r="L77" s="20" t="n">
        <v>1.17959439</v>
      </c>
      <c r="M77" s="18" t="n">
        <v>0</v>
      </c>
      <c r="N77" s="20" t="n">
        <v>0</v>
      </c>
      <c r="O77" s="18" t="n">
        <v>0</v>
      </c>
      <c r="P77" s="20" t="n">
        <v>0</v>
      </c>
      <c r="Q77" s="18" t="n">
        <v>1.80070389</v>
      </c>
      <c r="R77" s="20" t="n">
        <v>0.62932436</v>
      </c>
    </row>
    <row r="78" spans="1:18">
      <c r="A78" s="15" t="s">
        <v>638</v>
      </c>
      <c r="B78" s="17" t="n">
        <v>7115</v>
      </c>
      <c r="C78" s="18">
        <f>(5569.0/B78*100)</f>
        <v/>
      </c>
      <c r="D78" s="19" t="n">
        <v>1546</v>
      </c>
      <c r="E78" s="18" t="n">
        <v>53.31178918</v>
      </c>
      <c r="F78" s="20" t="n">
        <v>1.72627392</v>
      </c>
      <c r="G78" s="18" t="n">
        <v>45.1484855</v>
      </c>
      <c r="H78" s="20" t="n">
        <v>1.73719448</v>
      </c>
      <c r="I78" s="18" t="n">
        <v>0</v>
      </c>
      <c r="J78" s="20" t="n">
        <v>0</v>
      </c>
      <c r="K78" s="18" t="n">
        <v>1.13441575</v>
      </c>
      <c r="L78" s="20" t="n">
        <v>0.25952416</v>
      </c>
      <c r="M78" s="18" t="n">
        <v>0</v>
      </c>
      <c r="N78" s="20" t="n">
        <v>0</v>
      </c>
      <c r="O78" s="18" t="n">
        <v>0</v>
      </c>
      <c r="P78" s="20" t="n">
        <v>0</v>
      </c>
      <c r="Q78" s="18" t="n">
        <v>0.40530958</v>
      </c>
      <c r="R78" s="20" t="n">
        <v>0.18560705</v>
      </c>
    </row>
    <row r="79" spans="1:18">
      <c r="A79" s="15" t="s">
        <v>639</v>
      </c>
      <c r="B79" s="17" t="n">
        <v>3154</v>
      </c>
      <c r="C79" s="18">
        <f>(2531.0/B79*100)</f>
        <v/>
      </c>
      <c r="D79" s="19" t="n">
        <v>623</v>
      </c>
      <c r="E79" s="18" t="n">
        <v>51.07878286</v>
      </c>
      <c r="F79" s="20" t="n">
        <v>2.34603362</v>
      </c>
      <c r="G79" s="18" t="n">
        <v>44.68027841</v>
      </c>
      <c r="H79" s="20" t="n">
        <v>2.33439903</v>
      </c>
      <c r="I79" s="18" t="n">
        <v>0</v>
      </c>
      <c r="J79" s="20" t="n">
        <v>0</v>
      </c>
      <c r="K79" s="18" t="n">
        <v>2.96207592</v>
      </c>
      <c r="L79" s="20" t="n">
        <v>0.63898113</v>
      </c>
      <c r="M79" s="18" t="n">
        <v>0</v>
      </c>
      <c r="N79" s="20" t="n">
        <v>0</v>
      </c>
      <c r="O79" s="18" t="n">
        <v>0</v>
      </c>
      <c r="P79" s="20" t="n">
        <v>0</v>
      </c>
      <c r="Q79" s="18" t="n">
        <v>1.27886281</v>
      </c>
      <c r="R79" s="20" t="n">
        <v>0.48067362</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(12524.0/B82*100)</f>
        <v/>
      </c>
      <c r="D82" s="19" t="n">
        <v>3437</v>
      </c>
      <c r="E82" s="18" t="n">
        <v>44.39529671</v>
      </c>
      <c r="F82" s="20" t="n">
        <v>1.20881142</v>
      </c>
      <c r="G82" s="18" t="n">
        <v>54.87929305</v>
      </c>
      <c r="H82" s="20" t="n">
        <v>1.22303811</v>
      </c>
      <c r="I82" s="18" t="n">
        <v>0</v>
      </c>
      <c r="J82" s="20" t="n">
        <v>0</v>
      </c>
      <c r="K82" s="18" t="n">
        <v>0.43796777</v>
      </c>
      <c r="L82" s="20" t="n">
        <v>0.15217174</v>
      </c>
      <c r="M82" s="18" t="n">
        <v>0</v>
      </c>
      <c r="N82" s="20" t="n">
        <v>0</v>
      </c>
      <c r="O82" s="18" t="n">
        <v>0</v>
      </c>
      <c r="P82" s="20" t="n">
        <v>0</v>
      </c>
      <c r="Q82" s="18" t="n">
        <v>0.28744246</v>
      </c>
      <c r="R82" s="20" t="n">
        <v>0.10732641</v>
      </c>
    </row>
    <row r="83" spans="1:18">
      <c r="A83" s="15" t="s">
        <v>643</v>
      </c>
      <c r="B83" s="17" t="n">
        <v>808</v>
      </c>
      <c r="C83" s="18">
        <f>(630.0/B83*100)</f>
        <v/>
      </c>
      <c r="D83" s="19" t="n">
        <v>178</v>
      </c>
      <c r="E83" s="18" t="n">
        <v>27.71668669</v>
      </c>
      <c r="F83" s="20" t="n">
        <v>3.78686056</v>
      </c>
      <c r="G83" s="18" t="n">
        <v>71.88212258999999</v>
      </c>
      <c r="H83" s="20" t="n">
        <v>3.74840029</v>
      </c>
      <c r="I83" s="18" t="n">
        <v>0</v>
      </c>
      <c r="J83" s="20" t="n">
        <v>0</v>
      </c>
      <c r="K83" s="18" t="n">
        <v>0</v>
      </c>
      <c r="L83" s="20" t="n">
        <v>0</v>
      </c>
      <c r="M83" s="18" t="n">
        <v>0</v>
      </c>
      <c r="N83" s="20" t="n">
        <v>0</v>
      </c>
      <c r="O83" s="18" t="n">
        <v>0</v>
      </c>
      <c r="P83" s="20" t="n">
        <v>0</v>
      </c>
      <c r="Q83" s="18" t="n">
        <v>0.40119072</v>
      </c>
      <c r="R83" s="20" t="n">
        <v>0.40507861</v>
      </c>
    </row>
    <row r="84" spans="1:18">
      <c r="A84" s="23" t="s">
        <v>644</v>
      </c>
      <c r="B84" s="24" t="n">
        <v>938</v>
      </c>
      <c r="C84" s="25">
        <f>(746.0/B84*100)</f>
        <v/>
      </c>
      <c r="D84" s="19" t="n">
        <v>192</v>
      </c>
      <c r="E84" s="18" t="n">
        <v>30.78549449</v>
      </c>
      <c r="F84" s="20" t="n">
        <v>3.62175928</v>
      </c>
      <c r="G84" s="18" t="n">
        <v>69.21450551</v>
      </c>
      <c r="H84" s="20" t="n">
        <v>3.62175928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(5732.0/B7*100)</f>
        <v/>
      </c>
      <c r="D7" s="19" t="n">
        <v>1431</v>
      </c>
      <c r="E7" s="18" t="n">
        <v>49.6731938</v>
      </c>
      <c r="F7" s="20" t="n">
        <v>1.72449659</v>
      </c>
      <c r="G7" s="18" t="n">
        <v>46.10666619</v>
      </c>
      <c r="H7" s="20" t="n">
        <v>1.79017098</v>
      </c>
      <c r="I7" s="18" t="n">
        <v>0</v>
      </c>
      <c r="J7" s="20" t="n">
        <v>0</v>
      </c>
      <c r="K7" s="18" t="n">
        <v>1.69891249</v>
      </c>
      <c r="L7" s="20" t="n">
        <v>0.42576355</v>
      </c>
      <c r="M7" s="18" t="n">
        <v>0.1896629</v>
      </c>
      <c r="N7" s="20" t="n">
        <v>0.16678121</v>
      </c>
      <c r="O7" s="18" t="n">
        <v>0</v>
      </c>
      <c r="P7" s="20" t="n">
        <v>0</v>
      </c>
      <c r="Q7" s="18" t="n">
        <v>2.33156461</v>
      </c>
      <c r="R7" s="20" t="n">
        <v>0.48683419</v>
      </c>
    </row>
    <row r="8" spans="1:18">
      <c r="A8" s="15" t="s">
        <v>566</v>
      </c>
      <c r="B8" s="17" t="n">
        <v>3443</v>
      </c>
      <c r="C8" s="18">
        <f>(2698.0/B8*100)</f>
        <v/>
      </c>
      <c r="D8" s="19" t="n">
        <v>745</v>
      </c>
      <c r="E8" s="18" t="n">
        <v>74.31501806</v>
      </c>
      <c r="F8" s="20" t="n">
        <v>1.63559843</v>
      </c>
      <c r="G8" s="18" t="n">
        <v>23.86182197</v>
      </c>
      <c r="H8" s="20" t="n">
        <v>1.63882024</v>
      </c>
      <c r="I8" s="18" t="n">
        <v>0</v>
      </c>
      <c r="J8" s="20" t="n">
        <v>0</v>
      </c>
      <c r="K8" s="18" t="n">
        <v>0.44922372</v>
      </c>
      <c r="L8" s="20" t="n">
        <v>0.22502011</v>
      </c>
      <c r="M8" s="18" t="n">
        <v>0</v>
      </c>
      <c r="N8" s="20" t="n">
        <v>0</v>
      </c>
      <c r="O8" s="18" t="n">
        <v>0</v>
      </c>
      <c r="P8" s="20" t="n">
        <v>0</v>
      </c>
      <c r="Q8" s="18" t="n">
        <v>1.37393625</v>
      </c>
      <c r="R8" s="20" t="n">
        <v>0.53966836</v>
      </c>
    </row>
    <row r="9" spans="1:18">
      <c r="A9" s="15" t="s">
        <v>567</v>
      </c>
      <c r="B9" s="17" t="n">
        <v>4752</v>
      </c>
      <c r="C9" s="18">
        <f>(3812.0/B9*100)</f>
        <v/>
      </c>
      <c r="D9" s="19" t="n">
        <v>940</v>
      </c>
      <c r="E9" s="18" t="n">
        <v>59.79909453</v>
      </c>
      <c r="F9" s="20" t="n">
        <v>1.79654549</v>
      </c>
      <c r="G9" s="18" t="n">
        <v>34.99388442</v>
      </c>
      <c r="H9" s="20" t="n">
        <v>1.67739574</v>
      </c>
      <c r="I9" s="18" t="n">
        <v>0</v>
      </c>
      <c r="J9" s="20" t="n">
        <v>0</v>
      </c>
      <c r="K9" s="18" t="n">
        <v>2.03177679</v>
      </c>
      <c r="L9" s="20" t="n">
        <v>0.5052745199999999</v>
      </c>
      <c r="M9" s="18" t="n">
        <v>0.19749211</v>
      </c>
      <c r="N9" s="20" t="n">
        <v>0.14142271</v>
      </c>
      <c r="O9" s="18" t="n">
        <v>0</v>
      </c>
      <c r="P9" s="20" t="n">
        <v>0</v>
      </c>
      <c r="Q9" s="18" t="n">
        <v>2.97775215</v>
      </c>
      <c r="R9" s="20" t="n">
        <v>0.54647953</v>
      </c>
    </row>
    <row r="10" spans="1:18">
      <c r="A10" s="15" t="s">
        <v>568</v>
      </c>
      <c r="B10" s="17" t="n">
        <v>10022</v>
      </c>
      <c r="C10" s="18">
        <f>(7897.0/B10*100)</f>
        <v/>
      </c>
      <c r="D10" s="19" t="n">
        <v>2125</v>
      </c>
      <c r="E10" s="18" t="n">
        <v>46.53123463</v>
      </c>
      <c r="F10" s="20" t="n">
        <v>1.6882825</v>
      </c>
      <c r="G10" s="18" t="n">
        <v>49.61365938</v>
      </c>
      <c r="H10" s="20" t="n">
        <v>1.6740338</v>
      </c>
      <c r="I10" s="18" t="n">
        <v>0</v>
      </c>
      <c r="J10" s="20" t="n">
        <v>0</v>
      </c>
      <c r="K10" s="18" t="n">
        <v>1.91198876</v>
      </c>
      <c r="L10" s="20" t="n">
        <v>0.48860693</v>
      </c>
      <c r="M10" s="18" t="n">
        <v>0</v>
      </c>
      <c r="N10" s="20" t="n">
        <v>0</v>
      </c>
      <c r="O10" s="18" t="n">
        <v>0</v>
      </c>
      <c r="P10" s="20" t="n">
        <v>0</v>
      </c>
      <c r="Q10" s="18" t="n">
        <v>1.94311722</v>
      </c>
      <c r="R10" s="20" t="n">
        <v>0.51719811</v>
      </c>
    </row>
    <row r="11" spans="1:18">
      <c r="A11" s="15" t="s">
        <v>569</v>
      </c>
      <c r="B11" s="17" t="n">
        <v>3500</v>
      </c>
      <c r="C11" s="18">
        <f>(2835.0/B11*100)</f>
        <v/>
      </c>
      <c r="D11" s="19" t="n">
        <v>665</v>
      </c>
      <c r="E11" s="18" t="n">
        <v>70.72320112</v>
      </c>
      <c r="F11" s="20" t="n">
        <v>1.58934229</v>
      </c>
      <c r="G11" s="18" t="n">
        <v>21.63173094</v>
      </c>
      <c r="H11" s="20" t="n">
        <v>1.59782464</v>
      </c>
      <c r="I11" s="18" t="n">
        <v>0</v>
      </c>
      <c r="J11" s="20" t="n">
        <v>0</v>
      </c>
      <c r="K11" s="18" t="n">
        <v>4.64916908</v>
      </c>
      <c r="L11" s="20" t="n">
        <v>0.79089613</v>
      </c>
      <c r="M11" s="18" t="n">
        <v>0.01621337</v>
      </c>
      <c r="N11" s="20" t="n">
        <v>0.01634154</v>
      </c>
      <c r="O11" s="18" t="n">
        <v>0</v>
      </c>
      <c r="P11" s="20" t="n">
        <v>0</v>
      </c>
      <c r="Q11" s="18" t="n">
        <v>2.97968548</v>
      </c>
      <c r="R11" s="20" t="n">
        <v>0.8102165099999999</v>
      </c>
    </row>
    <row r="12" spans="1:18">
      <c r="A12" s="15" t="s">
        <v>570</v>
      </c>
      <c r="B12" s="17" t="n">
        <v>3422</v>
      </c>
      <c r="C12" s="18">
        <f>(2717.0/B12*100)</f>
        <v/>
      </c>
      <c r="D12" s="19" t="n">
        <v>705</v>
      </c>
      <c r="E12" s="18" t="n">
        <v>74.41289619</v>
      </c>
      <c r="F12" s="20" t="n">
        <v>1.59055979</v>
      </c>
      <c r="G12" s="18" t="n">
        <v>23.10323464</v>
      </c>
      <c r="H12" s="20" t="n">
        <v>1.56971727</v>
      </c>
      <c r="I12" s="18" t="n">
        <v>0</v>
      </c>
      <c r="J12" s="20" t="n">
        <v>0</v>
      </c>
      <c r="K12" s="18" t="n">
        <v>0.81568053</v>
      </c>
      <c r="L12" s="20" t="n">
        <v>0.32267954</v>
      </c>
      <c r="M12" s="18" t="n">
        <v>0</v>
      </c>
      <c r="N12" s="20" t="n">
        <v>0</v>
      </c>
      <c r="O12" s="18" t="n">
        <v>0</v>
      </c>
      <c r="P12" s="20" t="n">
        <v>0</v>
      </c>
      <c r="Q12" s="18" t="n">
        <v>1.66818865</v>
      </c>
      <c r="R12" s="20" t="n">
        <v>0.52288918</v>
      </c>
    </row>
    <row r="13" spans="1:18">
      <c r="A13" s="15" t="s">
        <v>571</v>
      </c>
      <c r="B13" s="17" t="n">
        <v>3602</v>
      </c>
      <c r="C13" s="18">
        <f>(2874.0/B13*100)</f>
        <v/>
      </c>
      <c r="D13" s="19" t="n">
        <v>728</v>
      </c>
      <c r="E13" s="18" t="n">
        <v>69.12431607000001</v>
      </c>
      <c r="F13" s="20" t="n">
        <v>2.22845011</v>
      </c>
      <c r="G13" s="18" t="n">
        <v>27.42713054</v>
      </c>
      <c r="H13" s="20" t="n">
        <v>2.28599813</v>
      </c>
      <c r="I13" s="18" t="n">
        <v>0</v>
      </c>
      <c r="J13" s="20" t="n">
        <v>0</v>
      </c>
      <c r="K13" s="18" t="n">
        <v>1.06797111</v>
      </c>
      <c r="L13" s="20" t="n">
        <v>0.50276907</v>
      </c>
      <c r="M13" s="18" t="n">
        <v>0</v>
      </c>
      <c r="N13" s="20" t="n">
        <v>0</v>
      </c>
      <c r="O13" s="18" t="n">
        <v>0</v>
      </c>
      <c r="P13" s="20" t="n">
        <v>0</v>
      </c>
      <c r="Q13" s="18" t="n">
        <v>2.38058227</v>
      </c>
      <c r="R13" s="20" t="n">
        <v>0.80109457</v>
      </c>
    </row>
    <row r="14" spans="1:18">
      <c r="A14" s="15" t="s">
        <v>572</v>
      </c>
      <c r="B14" s="17" t="n">
        <v>2788</v>
      </c>
      <c r="C14" s="18">
        <f>(2200.0/B14*100)</f>
        <v/>
      </c>
      <c r="D14" s="19" t="n">
        <v>588</v>
      </c>
      <c r="E14" s="18" t="n">
        <v>42.135563</v>
      </c>
      <c r="F14" s="20" t="n">
        <v>2.31187625</v>
      </c>
      <c r="G14" s="18" t="n">
        <v>55.64859312</v>
      </c>
      <c r="H14" s="20" t="n">
        <v>2.30177429</v>
      </c>
      <c r="I14" s="18" t="n">
        <v>0</v>
      </c>
      <c r="J14" s="20" t="n">
        <v>0</v>
      </c>
      <c r="K14" s="18" t="n">
        <v>1.07564626</v>
      </c>
      <c r="L14" s="20" t="n">
        <v>0.41200274</v>
      </c>
      <c r="M14" s="18" t="n">
        <v>0</v>
      </c>
      <c r="N14" s="20" t="n">
        <v>0</v>
      </c>
      <c r="O14" s="18" t="n">
        <v>0</v>
      </c>
      <c r="P14" s="20" t="n">
        <v>0</v>
      </c>
      <c r="Q14" s="18" t="n">
        <v>1.14019762</v>
      </c>
      <c r="R14" s="20" t="n">
        <v>0.40480412</v>
      </c>
    </row>
    <row r="15" spans="1:18">
      <c r="A15" s="15" t="s">
        <v>573</v>
      </c>
      <c r="B15" s="17" t="n">
        <v>2863</v>
      </c>
      <c r="C15" s="18">
        <f>(2261.0/B15*100)</f>
        <v/>
      </c>
      <c r="D15" s="19" t="n">
        <v>602</v>
      </c>
      <c r="E15" s="18" t="n">
        <v>51.69361364</v>
      </c>
      <c r="F15" s="20" t="n">
        <v>2.12637832</v>
      </c>
      <c r="G15" s="18" t="n">
        <v>46.32569912</v>
      </c>
      <c r="H15" s="20" t="n">
        <v>2.21668461</v>
      </c>
      <c r="I15" s="18" t="n">
        <v>0</v>
      </c>
      <c r="J15" s="20" t="n">
        <v>0</v>
      </c>
      <c r="K15" s="18" t="n">
        <v>1.01461385</v>
      </c>
      <c r="L15" s="20" t="n">
        <v>0.41995342</v>
      </c>
      <c r="M15" s="18" t="n">
        <v>0</v>
      </c>
      <c r="N15" s="20" t="n">
        <v>0</v>
      </c>
      <c r="O15" s="18" t="n">
        <v>0</v>
      </c>
      <c r="P15" s="20" t="n">
        <v>0</v>
      </c>
      <c r="Q15" s="18" t="n">
        <v>0.96607338</v>
      </c>
      <c r="R15" s="20" t="n">
        <v>0.39875103</v>
      </c>
    </row>
    <row r="16" spans="1:18">
      <c r="A16" s="15" t="s">
        <v>574</v>
      </c>
      <c r="B16" s="17" t="n">
        <v>3111</v>
      </c>
      <c r="C16" s="18">
        <f>(2440.0/B16*100)</f>
        <v/>
      </c>
      <c r="D16" s="19" t="n">
        <v>671</v>
      </c>
      <c r="E16" s="18" t="n">
        <v>55.76148439</v>
      </c>
      <c r="F16" s="20" t="n">
        <v>2.0594395</v>
      </c>
      <c r="G16" s="18" t="n">
        <v>36.68777922</v>
      </c>
      <c r="H16" s="20" t="n">
        <v>1.77035469</v>
      </c>
      <c r="I16" s="18" t="n">
        <v>0</v>
      </c>
      <c r="J16" s="20" t="n">
        <v>0</v>
      </c>
      <c r="K16" s="18" t="n">
        <v>3.458335</v>
      </c>
      <c r="L16" s="20" t="n">
        <v>0.85707878</v>
      </c>
      <c r="M16" s="18" t="n">
        <v>0</v>
      </c>
      <c r="N16" s="20" t="n">
        <v>0</v>
      </c>
      <c r="O16" s="18" t="n">
        <v>0</v>
      </c>
      <c r="P16" s="20" t="n">
        <v>0</v>
      </c>
      <c r="Q16" s="18" t="n">
        <v>4.09240139</v>
      </c>
      <c r="R16" s="20" t="n">
        <v>0.82157736</v>
      </c>
    </row>
    <row r="17" spans="1:18">
      <c r="A17" s="15" t="s">
        <v>575</v>
      </c>
      <c r="B17" s="17" t="n">
        <v>3197</v>
      </c>
      <c r="C17" s="18">
        <f>(2539.0/B17*100)</f>
        <v/>
      </c>
      <c r="D17" s="19" t="n">
        <v>658</v>
      </c>
      <c r="E17" s="18" t="n">
        <v>64.58300448999999</v>
      </c>
      <c r="F17" s="20" t="n">
        <v>1.85345152</v>
      </c>
      <c r="G17" s="18" t="n">
        <v>33.12353259</v>
      </c>
      <c r="H17" s="20" t="n">
        <v>1.75331253</v>
      </c>
      <c r="I17" s="18" t="n">
        <v>0</v>
      </c>
      <c r="J17" s="20" t="n">
        <v>0</v>
      </c>
      <c r="K17" s="18" t="n">
        <v>0.98913251</v>
      </c>
      <c r="L17" s="20" t="n">
        <v>0.38563644</v>
      </c>
      <c r="M17" s="18" t="n">
        <v>0</v>
      </c>
      <c r="N17" s="20" t="n">
        <v>0</v>
      </c>
      <c r="O17" s="18" t="n">
        <v>0</v>
      </c>
      <c r="P17" s="20" t="n">
        <v>0</v>
      </c>
      <c r="Q17" s="18" t="n">
        <v>1.30433041</v>
      </c>
      <c r="R17" s="20" t="n">
        <v>0.460825</v>
      </c>
    </row>
    <row r="18" spans="1:18">
      <c r="A18" s="15" t="s">
        <v>576</v>
      </c>
      <c r="B18" s="17" t="n">
        <v>2706</v>
      </c>
      <c r="C18" s="18">
        <f>(2104.0/B18*100)</f>
        <v/>
      </c>
      <c r="D18" s="19" t="n">
        <v>602</v>
      </c>
      <c r="E18" s="18" t="n">
        <v>67.00126536</v>
      </c>
      <c r="F18" s="20" t="n">
        <v>2.06356605</v>
      </c>
      <c r="G18" s="18" t="n">
        <v>28.47773224</v>
      </c>
      <c r="H18" s="20" t="n">
        <v>2.06315468</v>
      </c>
      <c r="I18" s="18" t="n">
        <v>0</v>
      </c>
      <c r="J18" s="20" t="n">
        <v>0</v>
      </c>
      <c r="K18" s="18" t="n">
        <v>2.02451189</v>
      </c>
      <c r="L18" s="20" t="n">
        <v>0.59948715</v>
      </c>
      <c r="M18" s="18" t="n">
        <v>0</v>
      </c>
      <c r="N18" s="20" t="n">
        <v>0</v>
      </c>
      <c r="O18" s="18" t="n">
        <v>0</v>
      </c>
      <c r="P18" s="20" t="n">
        <v>0</v>
      </c>
      <c r="Q18" s="18" t="n">
        <v>2.49649051</v>
      </c>
      <c r="R18" s="20" t="n">
        <v>0.7352869400000001</v>
      </c>
    </row>
    <row r="19" spans="1:18">
      <c r="A19" s="15" t="s">
        <v>577</v>
      </c>
      <c r="B19" s="17" t="n">
        <v>2850</v>
      </c>
      <c r="C19" s="18">
        <f>(2260.0/B19*100)</f>
        <v/>
      </c>
      <c r="D19" s="19" t="n">
        <v>590</v>
      </c>
      <c r="E19" s="18" t="n">
        <v>65.93301937</v>
      </c>
      <c r="F19" s="20" t="n">
        <v>2.31481048</v>
      </c>
      <c r="G19" s="18" t="n">
        <v>31.6863293</v>
      </c>
      <c r="H19" s="20" t="n">
        <v>2.50479874</v>
      </c>
      <c r="I19" s="18" t="n">
        <v>0</v>
      </c>
      <c r="J19" s="20" t="n">
        <v>0</v>
      </c>
      <c r="K19" s="18" t="n">
        <v>0.31463316</v>
      </c>
      <c r="L19" s="20" t="n">
        <v>0.20958914</v>
      </c>
      <c r="M19" s="18" t="n">
        <v>0</v>
      </c>
      <c r="N19" s="20" t="n">
        <v>0</v>
      </c>
      <c r="O19" s="18" t="n">
        <v>0</v>
      </c>
      <c r="P19" s="20" t="n">
        <v>0</v>
      </c>
      <c r="Q19" s="18" t="n">
        <v>2.06601817</v>
      </c>
      <c r="R19" s="20" t="n">
        <v>0.67937115</v>
      </c>
    </row>
    <row r="20" spans="1:18">
      <c r="A20" s="15" t="s">
        <v>578</v>
      </c>
      <c r="B20" s="17" t="n">
        <v>1741</v>
      </c>
      <c r="C20" s="18">
        <f>(1387.0/B20*100)</f>
        <v/>
      </c>
      <c r="D20" s="19" t="n">
        <v>354</v>
      </c>
      <c r="E20" s="18" t="n">
        <v>76.53765627999999</v>
      </c>
      <c r="F20" s="20" t="n">
        <v>2.24673398</v>
      </c>
      <c r="G20" s="18" t="n">
        <v>20.14699456</v>
      </c>
      <c r="H20" s="20" t="n">
        <v>2.07869464</v>
      </c>
      <c r="I20" s="18" t="n">
        <v>0</v>
      </c>
      <c r="J20" s="20" t="n">
        <v>0</v>
      </c>
      <c r="K20" s="18" t="n">
        <v>1.10953315</v>
      </c>
      <c r="L20" s="20" t="n">
        <v>0.56763054</v>
      </c>
      <c r="M20" s="18" t="n">
        <v>0.43197109</v>
      </c>
      <c r="N20" s="20" t="n">
        <v>0.43583311</v>
      </c>
      <c r="O20" s="18" t="n">
        <v>0</v>
      </c>
      <c r="P20" s="20" t="n">
        <v>0</v>
      </c>
      <c r="Q20" s="18" t="n">
        <v>1.77384492</v>
      </c>
      <c r="R20" s="20" t="n">
        <v>0.71623192</v>
      </c>
    </row>
    <row r="21" spans="1:18">
      <c r="A21" s="15" t="s">
        <v>579</v>
      </c>
      <c r="B21" s="17" t="n">
        <v>2833</v>
      </c>
      <c r="C21" s="18">
        <f>(2228.0/B21*100)</f>
        <v/>
      </c>
      <c r="D21" s="19" t="n">
        <v>605</v>
      </c>
      <c r="E21" s="18" t="n">
        <v>55.42379664</v>
      </c>
      <c r="F21" s="20" t="n">
        <v>2.23097742</v>
      </c>
      <c r="G21" s="18" t="n">
        <v>43.21859931</v>
      </c>
      <c r="H21" s="20" t="n">
        <v>2.22112182</v>
      </c>
      <c r="I21" s="18" t="n">
        <v>0</v>
      </c>
      <c r="J21" s="20" t="n">
        <v>0</v>
      </c>
      <c r="K21" s="18" t="n">
        <v>0.76774669</v>
      </c>
      <c r="L21" s="20" t="n">
        <v>0.41194158</v>
      </c>
      <c r="M21" s="18" t="n">
        <v>0</v>
      </c>
      <c r="N21" s="20" t="n">
        <v>0</v>
      </c>
      <c r="O21" s="18" t="n">
        <v>0</v>
      </c>
      <c r="P21" s="20" t="n">
        <v>0</v>
      </c>
      <c r="Q21" s="18" t="n">
        <v>0.58985736</v>
      </c>
      <c r="R21" s="20" t="n">
        <v>0.30758903</v>
      </c>
    </row>
    <row r="22" spans="1:18">
      <c r="A22" s="15" t="s">
        <v>580</v>
      </c>
      <c r="B22" s="17" t="n">
        <v>3667</v>
      </c>
      <c r="C22" s="18">
        <f>(3044.0/B22*100)</f>
        <v/>
      </c>
      <c r="D22" s="19" t="n">
        <v>623</v>
      </c>
      <c r="E22" s="18" t="n">
        <v>61.10902974</v>
      </c>
      <c r="F22" s="20" t="n">
        <v>1.92252597</v>
      </c>
      <c r="G22" s="18" t="n">
        <v>33.95863738</v>
      </c>
      <c r="H22" s="20" t="n">
        <v>2.06429401</v>
      </c>
      <c r="I22" s="18" t="n">
        <v>0</v>
      </c>
      <c r="J22" s="20" t="n">
        <v>0</v>
      </c>
      <c r="K22" s="18" t="n">
        <v>1.81539618</v>
      </c>
      <c r="L22" s="20" t="n">
        <v>0.53997113</v>
      </c>
      <c r="M22" s="18" t="n">
        <v>0</v>
      </c>
      <c r="N22" s="20" t="n">
        <v>0</v>
      </c>
      <c r="O22" s="18" t="n">
        <v>0</v>
      </c>
      <c r="P22" s="20" t="n">
        <v>0</v>
      </c>
      <c r="Q22" s="18" t="n">
        <v>3.1169367</v>
      </c>
      <c r="R22" s="20" t="n">
        <v>0.73057408</v>
      </c>
    </row>
    <row r="23" spans="1:18">
      <c r="A23" s="15" t="s">
        <v>581</v>
      </c>
      <c r="B23" s="17" t="n">
        <v>5792</v>
      </c>
      <c r="C23" s="18">
        <f>(4554.0/B23*100)</f>
        <v/>
      </c>
      <c r="D23" s="19" t="n">
        <v>1238</v>
      </c>
      <c r="E23" s="18" t="n">
        <v>68.17512441</v>
      </c>
      <c r="F23" s="20" t="n">
        <v>1.90960402</v>
      </c>
      <c r="G23" s="18" t="n">
        <v>25.16776529</v>
      </c>
      <c r="H23" s="20" t="n">
        <v>1.96598716</v>
      </c>
      <c r="I23" s="18" t="n">
        <v>0</v>
      </c>
      <c r="J23" s="20" t="n">
        <v>0</v>
      </c>
      <c r="K23" s="18" t="n">
        <v>2.12340326</v>
      </c>
      <c r="L23" s="20" t="n">
        <v>0.73191618</v>
      </c>
      <c r="M23" s="18" t="n">
        <v>0</v>
      </c>
      <c r="N23" s="20" t="n">
        <v>0</v>
      </c>
      <c r="O23" s="18" t="n">
        <v>0</v>
      </c>
      <c r="P23" s="20" t="n">
        <v>0</v>
      </c>
      <c r="Q23" s="18" t="n">
        <v>4.53370703</v>
      </c>
      <c r="R23" s="20" t="n">
        <v>1.13828658</v>
      </c>
    </row>
    <row r="24" spans="1:18">
      <c r="A24" s="15" t="s">
        <v>582</v>
      </c>
      <c r="B24" s="17" t="n">
        <v>3309</v>
      </c>
      <c r="C24" s="18">
        <f>(2630.0/B24*100)</f>
        <v/>
      </c>
      <c r="D24" s="19" t="n">
        <v>679</v>
      </c>
      <c r="E24" s="18" t="n">
        <v>52.59369525</v>
      </c>
      <c r="F24" s="20" t="n">
        <v>2.00622899</v>
      </c>
      <c r="G24" s="18" t="n">
        <v>44.18374562</v>
      </c>
      <c r="H24" s="20" t="n">
        <v>2.08556583</v>
      </c>
      <c r="I24" s="18" t="n">
        <v>0</v>
      </c>
      <c r="J24" s="20" t="n">
        <v>0</v>
      </c>
      <c r="K24" s="18" t="n">
        <v>0.7451036</v>
      </c>
      <c r="L24" s="20" t="n">
        <v>0.33218113</v>
      </c>
      <c r="M24" s="18" t="n">
        <v>0</v>
      </c>
      <c r="N24" s="20" t="n">
        <v>0</v>
      </c>
      <c r="O24" s="18" t="n">
        <v>0</v>
      </c>
      <c r="P24" s="20" t="n">
        <v>0</v>
      </c>
      <c r="Q24" s="18" t="n">
        <v>2.47745553</v>
      </c>
      <c r="R24" s="20" t="n">
        <v>0.5376095400000001</v>
      </c>
    </row>
    <row r="25" spans="1:18">
      <c r="A25" s="15" t="s">
        <v>583</v>
      </c>
      <c r="B25" s="17" t="n">
        <v>2669</v>
      </c>
      <c r="C25" s="18">
        <f>(2069.0/B25*100)</f>
        <v/>
      </c>
      <c r="D25" s="19" t="n">
        <v>600</v>
      </c>
      <c r="E25" s="18" t="n">
        <v>47.68417339</v>
      </c>
      <c r="F25" s="20" t="n">
        <v>2.38775069</v>
      </c>
      <c r="G25" s="18" t="n">
        <v>50.30563649</v>
      </c>
      <c r="H25" s="20" t="n">
        <v>2.4917275</v>
      </c>
      <c r="I25" s="18" t="n">
        <v>0</v>
      </c>
      <c r="J25" s="20" t="n">
        <v>0</v>
      </c>
      <c r="K25" s="18" t="n">
        <v>0.46925876</v>
      </c>
      <c r="L25" s="20" t="n">
        <v>0.2566177</v>
      </c>
      <c r="M25" s="18" t="n">
        <v>0</v>
      </c>
      <c r="N25" s="20" t="n">
        <v>0</v>
      </c>
      <c r="O25" s="18" t="n">
        <v>0</v>
      </c>
      <c r="P25" s="20" t="n">
        <v>0</v>
      </c>
      <c r="Q25" s="18" t="n">
        <v>1.54093136</v>
      </c>
      <c r="R25" s="20" t="n">
        <v>0.55823322</v>
      </c>
    </row>
    <row r="26" spans="1:18">
      <c r="A26" s="15" t="s">
        <v>584</v>
      </c>
      <c r="B26" s="17" t="n">
        <v>2419</v>
      </c>
      <c r="C26" s="18">
        <f>(1878.0/B26*100)</f>
        <v/>
      </c>
      <c r="D26" s="19" t="n">
        <v>541</v>
      </c>
      <c r="E26" s="18" t="n">
        <v>53.53910119</v>
      </c>
      <c r="F26" s="20" t="n">
        <v>2.52361464</v>
      </c>
      <c r="G26" s="18" t="n">
        <v>45.06858622</v>
      </c>
      <c r="H26" s="20" t="n">
        <v>2.36769784</v>
      </c>
      <c r="I26" s="18" t="n">
        <v>0</v>
      </c>
      <c r="J26" s="20" t="n">
        <v>0</v>
      </c>
      <c r="K26" s="18" t="n">
        <v>0.34072743</v>
      </c>
      <c r="L26" s="20" t="n">
        <v>0.24466441</v>
      </c>
      <c r="M26" s="18" t="n">
        <v>0.12714143</v>
      </c>
      <c r="N26" s="20" t="n">
        <v>0.1273541</v>
      </c>
      <c r="O26" s="18" t="n">
        <v>0</v>
      </c>
      <c r="P26" s="20" t="n">
        <v>0</v>
      </c>
      <c r="Q26" s="18" t="n">
        <v>0.92444372</v>
      </c>
      <c r="R26" s="20" t="n">
        <v>0.49262272</v>
      </c>
    </row>
    <row r="27" spans="1:18">
      <c r="A27" s="15" t="s">
        <v>585</v>
      </c>
      <c r="B27" s="17" t="n">
        <v>2683</v>
      </c>
      <c r="C27" s="18">
        <f>(2159.0/B27*100)</f>
        <v/>
      </c>
      <c r="D27" s="19" t="n">
        <v>524</v>
      </c>
      <c r="E27" s="18" t="n">
        <v>69.91070815</v>
      </c>
      <c r="F27" s="20" t="n">
        <v>2.10507163</v>
      </c>
      <c r="G27" s="18" t="n">
        <v>26.84609462</v>
      </c>
      <c r="H27" s="20" t="n">
        <v>2.1310565</v>
      </c>
      <c r="I27" s="18" t="n">
        <v>0</v>
      </c>
      <c r="J27" s="20" t="n">
        <v>0</v>
      </c>
      <c r="K27" s="18" t="n">
        <v>0.93794919</v>
      </c>
      <c r="L27" s="20" t="n">
        <v>0.4169982</v>
      </c>
      <c r="M27" s="18" t="n">
        <v>0</v>
      </c>
      <c r="N27" s="20" t="n">
        <v>0</v>
      </c>
      <c r="O27" s="18" t="n">
        <v>0</v>
      </c>
      <c r="P27" s="20" t="n">
        <v>0</v>
      </c>
      <c r="Q27" s="18" t="n">
        <v>2.30524804</v>
      </c>
      <c r="R27" s="20" t="n">
        <v>0.64399558</v>
      </c>
    </row>
    <row r="28" spans="1:18">
      <c r="A28" s="15" t="s">
        <v>586</v>
      </c>
      <c r="B28" s="17" t="n">
        <v>3803</v>
      </c>
      <c r="C28" s="18">
        <f>(3137.0/B28*100)</f>
        <v/>
      </c>
      <c r="D28" s="19" t="n">
        <v>666</v>
      </c>
      <c r="E28" s="18" t="n">
        <v>74.58248489</v>
      </c>
      <c r="F28" s="20" t="n">
        <v>2.1200456</v>
      </c>
      <c r="G28" s="18" t="n">
        <v>20.90979218</v>
      </c>
      <c r="H28" s="20" t="n">
        <v>2.11771563</v>
      </c>
      <c r="I28" s="18" t="n">
        <v>0</v>
      </c>
      <c r="J28" s="20" t="n">
        <v>0</v>
      </c>
      <c r="K28" s="18" t="n">
        <v>2.41296071</v>
      </c>
      <c r="L28" s="20" t="n">
        <v>0.69371802</v>
      </c>
      <c r="M28" s="18" t="n">
        <v>0.12780439</v>
      </c>
      <c r="N28" s="20" t="n">
        <v>0.12720871</v>
      </c>
      <c r="O28" s="18" t="n">
        <v>0</v>
      </c>
      <c r="P28" s="20" t="n">
        <v>0</v>
      </c>
      <c r="Q28" s="18" t="n">
        <v>1.96695784</v>
      </c>
      <c r="R28" s="20" t="n">
        <v>0.85080769</v>
      </c>
    </row>
    <row r="29" spans="1:18">
      <c r="A29" s="15" t="s">
        <v>587</v>
      </c>
      <c r="B29" s="17" t="n">
        <v>2700</v>
      </c>
      <c r="C29" s="18">
        <f>(2097.0/B29*100)</f>
        <v/>
      </c>
      <c r="D29" s="19" t="n">
        <v>603</v>
      </c>
      <c r="E29" s="18" t="n">
        <v>60.49774206</v>
      </c>
      <c r="F29" s="20" t="n">
        <v>2.35199056</v>
      </c>
      <c r="G29" s="18" t="n">
        <v>38.65191975</v>
      </c>
      <c r="H29" s="20" t="n">
        <v>2.39995119</v>
      </c>
      <c r="I29" s="18" t="n">
        <v>0</v>
      </c>
      <c r="J29" s="20" t="n">
        <v>0</v>
      </c>
      <c r="K29" s="18" t="n">
        <v>0.55251678</v>
      </c>
      <c r="L29" s="20" t="n">
        <v>0.28758808</v>
      </c>
      <c r="M29" s="18" t="n">
        <v>0</v>
      </c>
      <c r="N29" s="20" t="n">
        <v>0</v>
      </c>
      <c r="O29" s="18" t="n">
        <v>0</v>
      </c>
      <c r="P29" s="20" t="n">
        <v>0</v>
      </c>
      <c r="Q29" s="18" t="n">
        <v>0.29782141</v>
      </c>
      <c r="R29" s="20" t="n">
        <v>0.24097866</v>
      </c>
    </row>
    <row r="30" spans="1:18">
      <c r="A30" s="15" t="s">
        <v>588</v>
      </c>
      <c r="B30" s="17" t="n">
        <v>2257</v>
      </c>
      <c r="C30" s="18">
        <f>(1822.0/B30*100)</f>
        <v/>
      </c>
      <c r="D30" s="19" t="n">
        <v>435</v>
      </c>
      <c r="E30" s="18" t="n">
        <v>51.09788158</v>
      </c>
      <c r="F30" s="20" t="n">
        <v>2.77894207</v>
      </c>
      <c r="G30" s="18" t="n">
        <v>43.47863067</v>
      </c>
      <c r="H30" s="20" t="n">
        <v>2.57668419</v>
      </c>
      <c r="I30" s="18" t="n">
        <v>0</v>
      </c>
      <c r="J30" s="20" t="n">
        <v>0</v>
      </c>
      <c r="K30" s="18" t="n">
        <v>2.86683176</v>
      </c>
      <c r="L30" s="20" t="n">
        <v>0.86944638</v>
      </c>
      <c r="M30" s="18" t="n">
        <v>0</v>
      </c>
      <c r="N30" s="20" t="n">
        <v>0</v>
      </c>
      <c r="O30" s="18" t="n">
        <v>0</v>
      </c>
      <c r="P30" s="20" t="n">
        <v>0</v>
      </c>
      <c r="Q30" s="18" t="n">
        <v>2.55665599</v>
      </c>
      <c r="R30" s="20" t="n">
        <v>0.91324914</v>
      </c>
    </row>
    <row r="31" spans="1:18">
      <c r="A31" s="15" t="s">
        <v>589</v>
      </c>
      <c r="B31" s="17" t="n">
        <v>2706</v>
      </c>
      <c r="C31" s="18">
        <f>(2152.0/B31*100)</f>
        <v/>
      </c>
      <c r="D31" s="19" t="n">
        <v>554</v>
      </c>
      <c r="E31" s="18" t="n">
        <v>63.56230464</v>
      </c>
      <c r="F31" s="20" t="n">
        <v>2.03981514</v>
      </c>
      <c r="G31" s="18" t="n">
        <v>31.35678773</v>
      </c>
      <c r="H31" s="20" t="n">
        <v>2.07626882</v>
      </c>
      <c r="I31" s="18" t="n">
        <v>0</v>
      </c>
      <c r="J31" s="20" t="n">
        <v>0</v>
      </c>
      <c r="K31" s="18" t="n">
        <v>3.46419019</v>
      </c>
      <c r="L31" s="20" t="n">
        <v>0.74582226</v>
      </c>
      <c r="M31" s="18" t="n">
        <v>0</v>
      </c>
      <c r="N31" s="20" t="n">
        <v>0</v>
      </c>
      <c r="O31" s="18" t="n">
        <v>0</v>
      </c>
      <c r="P31" s="20" t="n">
        <v>0</v>
      </c>
      <c r="Q31" s="18" t="n">
        <v>1.61671744</v>
      </c>
      <c r="R31" s="20" t="n">
        <v>0.47515657</v>
      </c>
    </row>
    <row r="32" spans="1:18">
      <c r="A32" s="15" t="s">
        <v>590</v>
      </c>
      <c r="B32" s="17" t="n">
        <v>2209</v>
      </c>
      <c r="C32" s="18">
        <f>(1724.0/B32*100)</f>
        <v/>
      </c>
      <c r="D32" s="19" t="n">
        <v>485</v>
      </c>
      <c r="E32" s="18" t="n">
        <v>59.05305742</v>
      </c>
      <c r="F32" s="20" t="n">
        <v>2.5098055</v>
      </c>
      <c r="G32" s="18" t="n">
        <v>39.0745019</v>
      </c>
      <c r="H32" s="20" t="n">
        <v>2.4487385</v>
      </c>
      <c r="I32" s="18" t="n">
        <v>0</v>
      </c>
      <c r="J32" s="20" t="n">
        <v>0</v>
      </c>
      <c r="K32" s="18" t="n">
        <v>0.5936435799999999</v>
      </c>
      <c r="L32" s="20" t="n">
        <v>0.34778874</v>
      </c>
      <c r="M32" s="18" t="n">
        <v>0.87905789</v>
      </c>
      <c r="N32" s="20" t="n">
        <v>0.93290882</v>
      </c>
      <c r="O32" s="18" t="n">
        <v>0</v>
      </c>
      <c r="P32" s="20" t="n">
        <v>0</v>
      </c>
      <c r="Q32" s="18" t="n">
        <v>0.3997392</v>
      </c>
      <c r="R32" s="20" t="n">
        <v>0.27046466</v>
      </c>
    </row>
    <row r="33" spans="1:18">
      <c r="A33" s="15" t="s">
        <v>591</v>
      </c>
      <c r="B33" s="17" t="n">
        <v>3651</v>
      </c>
      <c r="C33" s="18">
        <f>(2975.0/B33*100)</f>
        <v/>
      </c>
      <c r="D33" s="19" t="n">
        <v>676</v>
      </c>
      <c r="E33" s="18" t="n">
        <v>48.04106974</v>
      </c>
      <c r="F33" s="20" t="n">
        <v>2.68604685</v>
      </c>
      <c r="G33" s="18" t="n">
        <v>48.94662447</v>
      </c>
      <c r="H33" s="20" t="n">
        <v>2.72792338</v>
      </c>
      <c r="I33" s="18" t="n">
        <v>0</v>
      </c>
      <c r="J33" s="20" t="n">
        <v>0</v>
      </c>
      <c r="K33" s="18" t="n">
        <v>1.55420313</v>
      </c>
      <c r="L33" s="20" t="n">
        <v>0.5615905</v>
      </c>
      <c r="M33" s="18" t="n">
        <v>0.43336283</v>
      </c>
      <c r="N33" s="20" t="n">
        <v>0.2549701</v>
      </c>
      <c r="O33" s="18" t="n">
        <v>0</v>
      </c>
      <c r="P33" s="20" t="n">
        <v>0</v>
      </c>
      <c r="Q33" s="18" t="n">
        <v>1.02473983</v>
      </c>
      <c r="R33" s="20" t="n">
        <v>0.43329717</v>
      </c>
    </row>
    <row r="34" spans="1:18">
      <c r="A34" s="15" t="s">
        <v>592</v>
      </c>
      <c r="B34" s="17" t="n">
        <v>3035</v>
      </c>
      <c r="C34" s="18">
        <f>(2412.0/B34*100)</f>
        <v/>
      </c>
      <c r="D34" s="19" t="n">
        <v>623</v>
      </c>
      <c r="E34" s="18" t="n">
        <v>79.40554889000001</v>
      </c>
      <c r="F34" s="20" t="n">
        <v>1.7418017</v>
      </c>
      <c r="G34" s="18" t="n">
        <v>17.13292961</v>
      </c>
      <c r="H34" s="20" t="n">
        <v>1.54491469</v>
      </c>
      <c r="I34" s="18" t="n">
        <v>0</v>
      </c>
      <c r="J34" s="20" t="n">
        <v>0</v>
      </c>
      <c r="K34" s="18" t="n">
        <v>1.87195559</v>
      </c>
      <c r="L34" s="20" t="n">
        <v>0.60994497</v>
      </c>
      <c r="M34" s="18" t="n">
        <v>0</v>
      </c>
      <c r="N34" s="20" t="n">
        <v>0</v>
      </c>
      <c r="O34" s="18" t="n">
        <v>0</v>
      </c>
      <c r="P34" s="20" t="n">
        <v>0</v>
      </c>
      <c r="Q34" s="18" t="n">
        <v>1.58956591</v>
      </c>
      <c r="R34" s="20" t="n">
        <v>0.6378030099999999</v>
      </c>
    </row>
    <row r="35" spans="1:18">
      <c r="A35" s="15" t="s">
        <v>593</v>
      </c>
      <c r="B35" s="17" t="n">
        <v>2901</v>
      </c>
      <c r="C35" s="18">
        <f>(2258.0/B35*100)</f>
        <v/>
      </c>
      <c r="D35" s="19" t="n">
        <v>643</v>
      </c>
      <c r="E35" s="18" t="n">
        <v>60.13720229</v>
      </c>
      <c r="F35" s="20" t="n">
        <v>2.55896082</v>
      </c>
      <c r="G35" s="18" t="n">
        <v>39.1515491</v>
      </c>
      <c r="H35" s="20" t="n">
        <v>2.56653774</v>
      </c>
      <c r="I35" s="18" t="n">
        <v>0</v>
      </c>
      <c r="J35" s="20" t="n">
        <v>0</v>
      </c>
      <c r="K35" s="18" t="n">
        <v>0.22540391</v>
      </c>
      <c r="L35" s="20" t="n">
        <v>0.16449703</v>
      </c>
      <c r="M35" s="18" t="n">
        <v>0</v>
      </c>
      <c r="N35" s="20" t="n">
        <v>0</v>
      </c>
      <c r="O35" s="18" t="n">
        <v>0</v>
      </c>
      <c r="P35" s="20" t="n">
        <v>0</v>
      </c>
      <c r="Q35" s="18" t="n">
        <v>0.48584471</v>
      </c>
      <c r="R35" s="20" t="n">
        <v>0.23412512</v>
      </c>
    </row>
    <row r="36" spans="1:18">
      <c r="A36" s="15" t="s">
        <v>594</v>
      </c>
      <c r="B36" s="17" t="n">
        <v>3404</v>
      </c>
      <c r="C36" s="18">
        <f>(2736.0/B36*100)</f>
        <v/>
      </c>
      <c r="D36" s="19" t="n">
        <v>668</v>
      </c>
      <c r="E36" s="18" t="n">
        <v>58.74833782</v>
      </c>
      <c r="F36" s="20" t="n">
        <v>1.98436949</v>
      </c>
      <c r="G36" s="18" t="n">
        <v>37.91542849</v>
      </c>
      <c r="H36" s="20" t="n">
        <v>1.91993909</v>
      </c>
      <c r="I36" s="18" t="n">
        <v>0</v>
      </c>
      <c r="J36" s="20" t="n">
        <v>0</v>
      </c>
      <c r="K36" s="18" t="n">
        <v>0.32250595</v>
      </c>
      <c r="L36" s="20" t="n">
        <v>0.20821007</v>
      </c>
      <c r="M36" s="18" t="n">
        <v>0.15092992</v>
      </c>
      <c r="N36" s="20" t="n">
        <v>0.14558134</v>
      </c>
      <c r="O36" s="18" t="n">
        <v>0</v>
      </c>
      <c r="P36" s="20" t="n">
        <v>0</v>
      </c>
      <c r="Q36" s="18" t="n">
        <v>2.86279782</v>
      </c>
      <c r="R36" s="20" t="n">
        <v>0.72578362</v>
      </c>
    </row>
    <row r="37" spans="1:18">
      <c r="A37" s="15" t="s">
        <v>595</v>
      </c>
      <c r="B37" s="17" t="n">
        <v>2731</v>
      </c>
      <c r="C37" s="18">
        <f>(2177.0/B37*100)</f>
        <v/>
      </c>
      <c r="D37" s="19" t="n">
        <v>554</v>
      </c>
      <c r="E37" s="18" t="n">
        <v>61.89548204</v>
      </c>
      <c r="F37" s="20" t="n">
        <v>2.27489293</v>
      </c>
      <c r="G37" s="18" t="n">
        <v>32.90310571</v>
      </c>
      <c r="H37" s="20" t="n">
        <v>2.25850074</v>
      </c>
      <c r="I37" s="18" t="n">
        <v>0</v>
      </c>
      <c r="J37" s="20" t="n">
        <v>0</v>
      </c>
      <c r="K37" s="18" t="n">
        <v>4.18952472</v>
      </c>
      <c r="L37" s="20" t="n">
        <v>0.94727627</v>
      </c>
      <c r="M37" s="18" t="n">
        <v>0</v>
      </c>
      <c r="N37" s="20" t="n">
        <v>0</v>
      </c>
      <c r="O37" s="18" t="n">
        <v>0</v>
      </c>
      <c r="P37" s="20" t="n">
        <v>0</v>
      </c>
      <c r="Q37" s="18" t="n">
        <v>1.01188753</v>
      </c>
      <c r="R37" s="20" t="n">
        <v>0.43921232</v>
      </c>
    </row>
    <row r="38" spans="1:18">
      <c r="A38" s="15" t="s">
        <v>596</v>
      </c>
      <c r="B38" s="17" t="n">
        <v>2807</v>
      </c>
      <c r="C38" s="18">
        <f>(2191.0/B38*100)</f>
        <v/>
      </c>
      <c r="D38" s="19" t="n">
        <v>616</v>
      </c>
      <c r="E38" s="18" t="n">
        <v>65.25908097</v>
      </c>
      <c r="F38" s="20" t="n">
        <v>2.04484849</v>
      </c>
      <c r="G38" s="18" t="n">
        <v>29.42304836</v>
      </c>
      <c r="H38" s="20" t="n">
        <v>2.0419882</v>
      </c>
      <c r="I38" s="18" t="n">
        <v>0</v>
      </c>
      <c r="J38" s="20" t="n">
        <v>0</v>
      </c>
      <c r="K38" s="18" t="n">
        <v>1.29883177</v>
      </c>
      <c r="L38" s="20" t="n">
        <v>0.49450786</v>
      </c>
      <c r="M38" s="18" t="n">
        <v>2.58382129</v>
      </c>
      <c r="N38" s="20" t="n">
        <v>0.74694447</v>
      </c>
      <c r="O38" s="18" t="n">
        <v>0</v>
      </c>
      <c r="P38" s="20" t="n">
        <v>0</v>
      </c>
      <c r="Q38" s="18" t="n">
        <v>1.43521763</v>
      </c>
      <c r="R38" s="20" t="n">
        <v>0.58317284</v>
      </c>
    </row>
    <row r="39" spans="1:18">
      <c r="A39" s="15" t="s">
        <v>597</v>
      </c>
      <c r="B39" s="17" t="n">
        <v>2938</v>
      </c>
      <c r="C39" s="18">
        <f>(2291.0/B39*100)</f>
        <v/>
      </c>
      <c r="D39" s="19" t="n">
        <v>647</v>
      </c>
      <c r="E39" s="18" t="n">
        <v>82.80581934999999</v>
      </c>
      <c r="F39" s="20" t="n">
        <v>1.96515795</v>
      </c>
      <c r="G39" s="18" t="n">
        <v>12.60739105</v>
      </c>
      <c r="H39" s="20" t="n">
        <v>1.8861969</v>
      </c>
      <c r="I39" s="18" t="n">
        <v>0</v>
      </c>
      <c r="J39" s="20" t="n">
        <v>0</v>
      </c>
      <c r="K39" s="18" t="n">
        <v>0.9257660599999999</v>
      </c>
      <c r="L39" s="20" t="n">
        <v>0.30717749</v>
      </c>
      <c r="M39" s="18" t="n">
        <v>0</v>
      </c>
      <c r="N39" s="20" t="n">
        <v>0</v>
      </c>
      <c r="O39" s="18" t="n">
        <v>0</v>
      </c>
      <c r="P39" s="20" t="n">
        <v>0</v>
      </c>
      <c r="Q39" s="18" t="n">
        <v>3.66102354</v>
      </c>
      <c r="R39" s="20" t="n">
        <v>0.82786702</v>
      </c>
    </row>
    <row r="40" spans="1:18">
      <c r="A40" s="15" t="s">
        <v>598</v>
      </c>
      <c r="B40" s="17" t="n">
        <v>6922</v>
      </c>
      <c r="C40" s="18">
        <f>(5388.0/B40*100)</f>
        <v/>
      </c>
      <c r="D40" s="19" t="n">
        <v>1534</v>
      </c>
      <c r="E40" s="18" t="n">
        <v>43.6250627</v>
      </c>
      <c r="F40" s="20" t="n">
        <v>2.29491588</v>
      </c>
      <c r="G40" s="18" t="n">
        <v>53.83689112</v>
      </c>
      <c r="H40" s="20" t="n">
        <v>2.28302298</v>
      </c>
      <c r="I40" s="18" t="n">
        <v>0</v>
      </c>
      <c r="J40" s="20" t="n">
        <v>0</v>
      </c>
      <c r="K40" s="18" t="n">
        <v>1.03936121</v>
      </c>
      <c r="L40" s="20" t="n">
        <v>0.39083446</v>
      </c>
      <c r="M40" s="18" t="n">
        <v>0</v>
      </c>
      <c r="N40" s="20" t="n">
        <v>0</v>
      </c>
      <c r="O40" s="18" t="n">
        <v>0</v>
      </c>
      <c r="P40" s="20" t="n">
        <v>0</v>
      </c>
      <c r="Q40" s="18" t="n">
        <v>1.49868497</v>
      </c>
      <c r="R40" s="20" t="n">
        <v>0.37634652</v>
      </c>
    </row>
    <row r="41" spans="1:18">
      <c r="A41" s="15" t="s">
        <v>599</v>
      </c>
      <c r="B41" s="17" t="n">
        <v>2854</v>
      </c>
      <c r="C41" s="18">
        <f>(2284.0/B41*100)</f>
        <v/>
      </c>
      <c r="D41" s="19" t="n">
        <v>570</v>
      </c>
      <c r="E41" s="18" t="n">
        <v>51.9722716</v>
      </c>
      <c r="F41" s="20" t="n">
        <v>2.505309</v>
      </c>
      <c r="G41" s="18" t="n">
        <v>46.12376346</v>
      </c>
      <c r="H41" s="20" t="n">
        <v>2.67679911</v>
      </c>
      <c r="I41" s="18" t="n">
        <v>0</v>
      </c>
      <c r="J41" s="20" t="n">
        <v>0</v>
      </c>
      <c r="K41" s="18" t="n">
        <v>1.04114712</v>
      </c>
      <c r="L41" s="20" t="n">
        <v>0.45798278</v>
      </c>
      <c r="M41" s="18" t="n">
        <v>0</v>
      </c>
      <c r="N41" s="20" t="n">
        <v>0</v>
      </c>
      <c r="O41" s="18" t="n">
        <v>0</v>
      </c>
      <c r="P41" s="20" t="n">
        <v>0</v>
      </c>
      <c r="Q41" s="18" t="n">
        <v>0.86281782</v>
      </c>
      <c r="R41" s="20" t="n">
        <v>0.45057518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(10457.0/B46*100)</f>
        <v/>
      </c>
      <c r="D46" s="19" t="n">
        <v>1616</v>
      </c>
      <c r="E46" s="18" t="n">
        <v>58.94502175</v>
      </c>
      <c r="F46" s="20" t="n">
        <v>1.65399004</v>
      </c>
      <c r="G46" s="18" t="n">
        <v>27.45041709</v>
      </c>
      <c r="H46" s="20" t="n">
        <v>1.67328998</v>
      </c>
      <c r="I46" s="18" t="n">
        <v>0</v>
      </c>
      <c r="J46" s="20" t="n">
        <v>0</v>
      </c>
      <c r="K46" s="18" t="n">
        <v>6.10450945</v>
      </c>
      <c r="L46" s="20" t="n">
        <v>0.83043252</v>
      </c>
      <c r="M46" s="18" t="n">
        <v>0.23802905</v>
      </c>
      <c r="N46" s="20" t="n">
        <v>0.16918949</v>
      </c>
      <c r="O46" s="18" t="n">
        <v>0</v>
      </c>
      <c r="P46" s="20" t="n">
        <v>0</v>
      </c>
      <c r="Q46" s="18" t="n">
        <v>7.26202267</v>
      </c>
      <c r="R46" s="20" t="n">
        <v>0.7192741499999999</v>
      </c>
    </row>
    <row r="47" spans="1:18">
      <c r="A47" s="15" t="s">
        <v>606</v>
      </c>
      <c r="B47" s="17" t="n">
        <v>2823</v>
      </c>
      <c r="C47" s="18">
        <f>(2261.0/B47*100)</f>
        <v/>
      </c>
      <c r="D47" s="19" t="n">
        <v>562</v>
      </c>
      <c r="E47" s="18" t="n">
        <v>62.80015555</v>
      </c>
      <c r="F47" s="20" t="n">
        <v>2.21275863</v>
      </c>
      <c r="G47" s="18" t="n">
        <v>31.45726618</v>
      </c>
      <c r="H47" s="20" t="n">
        <v>2.19504347</v>
      </c>
      <c r="I47" s="18" t="n">
        <v>0</v>
      </c>
      <c r="J47" s="20" t="n">
        <v>0</v>
      </c>
      <c r="K47" s="18" t="n">
        <v>2.64180373</v>
      </c>
      <c r="L47" s="20" t="n">
        <v>0.76761834</v>
      </c>
      <c r="M47" s="18" t="n">
        <v>0.17909361</v>
      </c>
      <c r="N47" s="20" t="n">
        <v>0.17323775</v>
      </c>
      <c r="O47" s="18" t="n">
        <v>0</v>
      </c>
      <c r="P47" s="20" t="n">
        <v>0</v>
      </c>
      <c r="Q47" s="18" t="n">
        <v>2.92168093</v>
      </c>
      <c r="R47" s="20" t="n">
        <v>0.73692376</v>
      </c>
    </row>
    <row r="48" spans="1:18">
      <c r="A48" s="15" t="s">
        <v>607</v>
      </c>
      <c r="B48" s="17" t="n">
        <v>4682</v>
      </c>
      <c r="C48" s="18">
        <f>(3637.0/B48*100)</f>
        <v/>
      </c>
      <c r="D48" s="19" t="n">
        <v>1045</v>
      </c>
      <c r="E48" s="18" t="n">
        <v>51.23715226</v>
      </c>
      <c r="F48" s="20" t="n">
        <v>2.71081918</v>
      </c>
      <c r="G48" s="18" t="n">
        <v>44.94169025</v>
      </c>
      <c r="H48" s="20" t="n">
        <v>2.83028875</v>
      </c>
      <c r="I48" s="18" t="n">
        <v>0</v>
      </c>
      <c r="J48" s="20" t="n">
        <v>0</v>
      </c>
      <c r="K48" s="18" t="n">
        <v>1.12595967</v>
      </c>
      <c r="L48" s="20" t="n">
        <v>0.48419802</v>
      </c>
      <c r="M48" s="18" t="n">
        <v>0</v>
      </c>
      <c r="N48" s="20" t="n">
        <v>0</v>
      </c>
      <c r="O48" s="18" t="n">
        <v>0</v>
      </c>
      <c r="P48" s="20" t="n">
        <v>0</v>
      </c>
      <c r="Q48" s="18" t="n">
        <v>2.69519782</v>
      </c>
      <c r="R48" s="20" t="n">
        <v>0.73467835</v>
      </c>
    </row>
    <row r="49" spans="1:18">
      <c r="A49" s="15" t="s">
        <v>608</v>
      </c>
      <c r="B49" s="17" t="n">
        <v>6158</v>
      </c>
      <c r="C49" s="18">
        <f>(4942.0/B49*100)</f>
        <v/>
      </c>
      <c r="D49" s="19" t="n">
        <v>1216</v>
      </c>
      <c r="E49" s="18" t="n">
        <v>74.80701182</v>
      </c>
      <c r="F49" s="20" t="n">
        <v>1.67033185</v>
      </c>
      <c r="G49" s="18" t="n">
        <v>15.69374479</v>
      </c>
      <c r="H49" s="20" t="n">
        <v>1.39137609</v>
      </c>
      <c r="I49" s="18" t="n">
        <v>0</v>
      </c>
      <c r="J49" s="20" t="n">
        <v>0</v>
      </c>
      <c r="K49" s="18" t="n">
        <v>6.85322932</v>
      </c>
      <c r="L49" s="20" t="n">
        <v>1.06323046</v>
      </c>
      <c r="M49" s="18" t="n">
        <v>0.03688424</v>
      </c>
      <c r="N49" s="20" t="n">
        <v>0.02975542</v>
      </c>
      <c r="O49" s="18" t="n">
        <v>0</v>
      </c>
      <c r="P49" s="20" t="n">
        <v>0</v>
      </c>
      <c r="Q49" s="18" t="n">
        <v>2.60912983</v>
      </c>
      <c r="R49" s="20" t="n">
        <v>0.56882097</v>
      </c>
    </row>
    <row r="50" spans="1:18">
      <c r="A50" s="15" t="s">
        <v>609</v>
      </c>
      <c r="B50" s="17" t="n">
        <v>3494</v>
      </c>
      <c r="C50" s="18">
        <f>(2923.0/B50*100)</f>
        <v/>
      </c>
      <c r="D50" s="19" t="n">
        <v>571</v>
      </c>
      <c r="E50" s="18" t="n">
        <v>79.42828856</v>
      </c>
      <c r="F50" s="20" t="n">
        <v>1.62110379</v>
      </c>
      <c r="G50" s="18" t="n">
        <v>14.57328751</v>
      </c>
      <c r="H50" s="20" t="n">
        <v>1.66457263</v>
      </c>
      <c r="I50" s="18" t="n">
        <v>0</v>
      </c>
      <c r="J50" s="20" t="n">
        <v>0</v>
      </c>
      <c r="K50" s="18" t="n">
        <v>3.58948948</v>
      </c>
      <c r="L50" s="20" t="n">
        <v>0.8759872399999999</v>
      </c>
      <c r="M50" s="18" t="n">
        <v>0</v>
      </c>
      <c r="N50" s="20" t="n">
        <v>0</v>
      </c>
      <c r="O50" s="18" t="n">
        <v>0</v>
      </c>
      <c r="P50" s="20" t="n">
        <v>0</v>
      </c>
      <c r="Q50" s="18" t="n">
        <v>2.40893444</v>
      </c>
      <c r="R50" s="20" t="n">
        <v>0.7295704</v>
      </c>
    </row>
    <row r="51" spans="1:18">
      <c r="A51" s="15" t="s">
        <v>610</v>
      </c>
      <c r="B51" s="17" t="n">
        <v>3013</v>
      </c>
      <c r="C51" s="18">
        <f>(2394.0/B51*100)</f>
        <v/>
      </c>
      <c r="D51" s="19" t="n">
        <v>619</v>
      </c>
      <c r="E51" s="18" t="n">
        <v>67.5821814</v>
      </c>
      <c r="F51" s="20" t="n">
        <v>1.70033128</v>
      </c>
      <c r="G51" s="18" t="n">
        <v>30.10513191</v>
      </c>
      <c r="H51" s="20" t="n">
        <v>1.72770951</v>
      </c>
      <c r="I51" s="18" t="n">
        <v>0</v>
      </c>
      <c r="J51" s="20" t="n">
        <v>0</v>
      </c>
      <c r="K51" s="18" t="n">
        <v>0.84791286</v>
      </c>
      <c r="L51" s="20" t="n">
        <v>0.40008317</v>
      </c>
      <c r="M51" s="18" t="n">
        <v>0</v>
      </c>
      <c r="N51" s="20" t="n">
        <v>0</v>
      </c>
      <c r="O51" s="18" t="n">
        <v>0</v>
      </c>
      <c r="P51" s="20" t="n">
        <v>0</v>
      </c>
      <c r="Q51" s="18" t="n">
        <v>1.46477383</v>
      </c>
      <c r="R51" s="20" t="n">
        <v>0.52424086</v>
      </c>
    </row>
    <row r="52" spans="1:18">
      <c r="A52" s="15" t="s">
        <v>611</v>
      </c>
      <c r="B52" s="17" t="n">
        <v>2760</v>
      </c>
      <c r="C52" s="18">
        <f>(2203.0/B52*100)</f>
        <v/>
      </c>
      <c r="D52" s="19" t="n">
        <v>557</v>
      </c>
      <c r="E52" s="18" t="n">
        <v>71.82312485</v>
      </c>
      <c r="F52" s="20" t="n">
        <v>2.06883148</v>
      </c>
      <c r="G52" s="18" t="n">
        <v>22.15169829</v>
      </c>
      <c r="H52" s="20" t="n">
        <v>1.89838475</v>
      </c>
      <c r="I52" s="18" t="n">
        <v>0</v>
      </c>
      <c r="J52" s="20" t="n">
        <v>0</v>
      </c>
      <c r="K52" s="18" t="n">
        <v>1.44065922</v>
      </c>
      <c r="L52" s="20" t="n">
        <v>0.52000941</v>
      </c>
      <c r="M52" s="18" t="n">
        <v>0</v>
      </c>
      <c r="N52" s="20" t="n">
        <v>0</v>
      </c>
      <c r="O52" s="18" t="n">
        <v>0</v>
      </c>
      <c r="P52" s="20" t="n">
        <v>0</v>
      </c>
      <c r="Q52" s="18" t="n">
        <v>4.58451764</v>
      </c>
      <c r="R52" s="20" t="n">
        <v>0.81700443</v>
      </c>
    </row>
    <row r="53" spans="1:18">
      <c r="A53" s="15" t="s">
        <v>612</v>
      </c>
      <c r="B53" s="17" t="n">
        <v>2474</v>
      </c>
      <c r="C53" s="18">
        <f>(1946.0/B53*100)</f>
        <v/>
      </c>
      <c r="D53" s="19" t="n">
        <v>528</v>
      </c>
      <c r="E53" s="18" t="n">
        <v>57.37813534</v>
      </c>
      <c r="F53" s="20" t="n">
        <v>2.77279325</v>
      </c>
      <c r="G53" s="18" t="n">
        <v>3.04443584</v>
      </c>
      <c r="H53" s="20" t="n">
        <v>1.02203987</v>
      </c>
      <c r="I53" s="18" t="n">
        <v>0</v>
      </c>
      <c r="J53" s="20" t="n">
        <v>0</v>
      </c>
      <c r="K53" s="18" t="n">
        <v>26.56736365</v>
      </c>
      <c r="L53" s="20" t="n">
        <v>2.30934648</v>
      </c>
      <c r="M53" s="18" t="n">
        <v>1.17671288</v>
      </c>
      <c r="N53" s="20" t="n">
        <v>0.94945373</v>
      </c>
      <c r="O53" s="18" t="n">
        <v>0</v>
      </c>
      <c r="P53" s="20" t="n">
        <v>0</v>
      </c>
      <c r="Q53" s="18" t="n">
        <v>11.83335229</v>
      </c>
      <c r="R53" s="20" t="n">
        <v>1.51379701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(2121.0/B55*100)</f>
        <v/>
      </c>
      <c r="D55" s="19" t="n">
        <v>554</v>
      </c>
      <c r="E55" s="18" t="n">
        <v>48.32610618</v>
      </c>
      <c r="F55" s="20" t="n">
        <v>2.21765359</v>
      </c>
      <c r="G55" s="18" t="n">
        <v>50.18775997</v>
      </c>
      <c r="H55" s="20" t="n">
        <v>2.24652792</v>
      </c>
      <c r="I55" s="18" t="n">
        <v>0</v>
      </c>
      <c r="J55" s="20" t="n">
        <v>0</v>
      </c>
      <c r="K55" s="18" t="n">
        <v>0.38254148</v>
      </c>
      <c r="L55" s="20" t="n">
        <v>0.26412889</v>
      </c>
      <c r="M55" s="18" t="n">
        <v>0</v>
      </c>
      <c r="N55" s="20" t="n">
        <v>0</v>
      </c>
      <c r="O55" s="18" t="n">
        <v>0</v>
      </c>
      <c r="P55" s="20" t="n">
        <v>0</v>
      </c>
      <c r="Q55" s="18" t="n">
        <v>1.10359237</v>
      </c>
      <c r="R55" s="20" t="n">
        <v>0.41039114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(2529.0/B61*100)</f>
        <v/>
      </c>
      <c r="D61" s="19" t="n">
        <v>672</v>
      </c>
      <c r="E61" s="18" t="n">
        <v>67.16071696</v>
      </c>
      <c r="F61" s="20" t="n">
        <v>2.19481599</v>
      </c>
      <c r="G61" s="18" t="n">
        <v>29.37641151</v>
      </c>
      <c r="H61" s="20" t="n">
        <v>2.06042817</v>
      </c>
      <c r="I61" s="18" t="n">
        <v>0</v>
      </c>
      <c r="J61" s="20" t="n">
        <v>0</v>
      </c>
      <c r="K61" s="18" t="n">
        <v>1.02891079</v>
      </c>
      <c r="L61" s="20" t="n">
        <v>0.43054151</v>
      </c>
      <c r="M61" s="18" t="n">
        <v>0.17797643</v>
      </c>
      <c r="N61" s="20" t="n">
        <v>0.17633724</v>
      </c>
      <c r="O61" s="18" t="n">
        <v>0</v>
      </c>
      <c r="P61" s="20" t="n">
        <v>0</v>
      </c>
      <c r="Q61" s="18" t="n">
        <v>2.25598431</v>
      </c>
      <c r="R61" s="20" t="n">
        <v>0.68722388</v>
      </c>
    </row>
    <row r="62" spans="1:18">
      <c r="A62" s="15" t="s">
        <v>622</v>
      </c>
      <c r="B62" s="17" t="n">
        <v>2230</v>
      </c>
      <c r="C62" s="18">
        <f>(1785.0/B62*100)</f>
        <v/>
      </c>
      <c r="D62" s="19" t="n">
        <v>445</v>
      </c>
      <c r="E62" s="18" t="n">
        <v>50.68181145</v>
      </c>
      <c r="F62" s="20" t="n">
        <v>2.44837045</v>
      </c>
      <c r="G62" s="18" t="n">
        <v>49.09499727</v>
      </c>
      <c r="H62" s="20" t="n">
        <v>2.45957263</v>
      </c>
      <c r="I62" s="18" t="n">
        <v>0</v>
      </c>
      <c r="J62" s="20" t="n">
        <v>0</v>
      </c>
      <c r="K62" s="18" t="n">
        <v>0</v>
      </c>
      <c r="L62" s="20" t="n">
        <v>0</v>
      </c>
      <c r="M62" s="18" t="n">
        <v>0</v>
      </c>
      <c r="N62" s="20" t="n">
        <v>0</v>
      </c>
      <c r="O62" s="18" t="n">
        <v>0</v>
      </c>
      <c r="P62" s="20" t="n">
        <v>0</v>
      </c>
      <c r="Q62" s="18" t="n">
        <v>0.22319129</v>
      </c>
      <c r="R62" s="20" t="n">
        <v>0.22314967</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(2226.0/B67*100)</f>
        <v/>
      </c>
      <c r="D67" s="19" t="n">
        <v>545</v>
      </c>
      <c r="E67" s="18" t="n">
        <v>74.05234565000001</v>
      </c>
      <c r="F67" s="20" t="n">
        <v>2.01323123</v>
      </c>
      <c r="G67" s="18" t="n">
        <v>14.48259304</v>
      </c>
      <c r="H67" s="20" t="n">
        <v>1.60815901</v>
      </c>
      <c r="I67" s="18" t="n">
        <v>0</v>
      </c>
      <c r="J67" s="20" t="n">
        <v>0</v>
      </c>
      <c r="K67" s="18" t="n">
        <v>5.6639647</v>
      </c>
      <c r="L67" s="20" t="n">
        <v>1.0402144</v>
      </c>
      <c r="M67" s="18" t="n">
        <v>0.36135259</v>
      </c>
      <c r="N67" s="20" t="n">
        <v>0.258196</v>
      </c>
      <c r="O67" s="18" t="n">
        <v>0</v>
      </c>
      <c r="P67" s="20" t="n">
        <v>0</v>
      </c>
      <c r="Q67" s="18" t="n">
        <v>5.43974402</v>
      </c>
      <c r="R67" s="20" t="n">
        <v>0.87942964</v>
      </c>
    </row>
    <row r="68" spans="1:18">
      <c r="A68" s="15" t="s">
        <v>628</v>
      </c>
      <c r="B68" s="17" t="n">
        <v>3460</v>
      </c>
      <c r="C68" s="18">
        <f>(2959.0/B68*100)</f>
        <v/>
      </c>
      <c r="D68" s="19" t="n">
        <v>501</v>
      </c>
      <c r="E68" s="18" t="n">
        <v>83.06596774</v>
      </c>
      <c r="F68" s="20" t="n">
        <v>1.67955522</v>
      </c>
      <c r="G68" s="18" t="n">
        <v>8.57290366</v>
      </c>
      <c r="H68" s="20" t="n">
        <v>1.35461478</v>
      </c>
      <c r="I68" s="18" t="n">
        <v>0</v>
      </c>
      <c r="J68" s="20" t="n">
        <v>0</v>
      </c>
      <c r="K68" s="18" t="n">
        <v>3.45345082</v>
      </c>
      <c r="L68" s="20" t="n">
        <v>1.03613472</v>
      </c>
      <c r="M68" s="18" t="n">
        <v>0.16025909</v>
      </c>
      <c r="N68" s="20" t="n">
        <v>0.16039203</v>
      </c>
      <c r="O68" s="18" t="n">
        <v>0</v>
      </c>
      <c r="P68" s="20" t="n">
        <v>0</v>
      </c>
      <c r="Q68" s="18" t="n">
        <v>4.74741869</v>
      </c>
      <c r="R68" s="20" t="n">
        <v>0.9434665800000001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(4719.0/B70*100)</f>
        <v/>
      </c>
      <c r="D70" s="19" t="n">
        <v>1315</v>
      </c>
      <c r="E70" s="18" t="n">
        <v>66.52534615</v>
      </c>
      <c r="F70" s="20" t="n">
        <v>1.26238265</v>
      </c>
      <c r="G70" s="18" t="n">
        <v>23.88162629</v>
      </c>
      <c r="H70" s="20" t="n">
        <v>1.00662675</v>
      </c>
      <c r="I70" s="18" t="n">
        <v>0</v>
      </c>
      <c r="J70" s="20" t="n">
        <v>0</v>
      </c>
      <c r="K70" s="18" t="n">
        <v>6.90969383</v>
      </c>
      <c r="L70" s="20" t="n">
        <v>0.74680675</v>
      </c>
      <c r="M70" s="18" t="n">
        <v>0</v>
      </c>
      <c r="N70" s="20" t="n">
        <v>0</v>
      </c>
      <c r="O70" s="18" t="n">
        <v>0</v>
      </c>
      <c r="P70" s="20" t="n">
        <v>0</v>
      </c>
      <c r="Q70" s="18" t="n">
        <v>2.68333374</v>
      </c>
      <c r="R70" s="20" t="n">
        <v>0.42999363</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(2470.0/B72*100)</f>
        <v/>
      </c>
      <c r="D72" s="19" t="n">
        <v>637</v>
      </c>
      <c r="E72" s="18" t="n">
        <v>55.88697327</v>
      </c>
      <c r="F72" s="20" t="n">
        <v>2.27891936</v>
      </c>
      <c r="G72" s="18" t="n">
        <v>39.0821721</v>
      </c>
      <c r="H72" s="20" t="n">
        <v>2.23305253</v>
      </c>
      <c r="I72" s="18" t="n">
        <v>0</v>
      </c>
      <c r="J72" s="20" t="n">
        <v>0</v>
      </c>
      <c r="K72" s="18" t="n">
        <v>1.89503894</v>
      </c>
      <c r="L72" s="20" t="n">
        <v>0.57708072</v>
      </c>
      <c r="M72" s="18" t="n">
        <v>0</v>
      </c>
      <c r="N72" s="20" t="n">
        <v>0</v>
      </c>
      <c r="O72" s="18" t="n">
        <v>0</v>
      </c>
      <c r="P72" s="20" t="n">
        <v>0</v>
      </c>
      <c r="Q72" s="18" t="n">
        <v>3.13581568</v>
      </c>
      <c r="R72" s="20" t="n">
        <v>0.86213976</v>
      </c>
    </row>
    <row r="73" spans="1:18">
      <c r="A73" s="15" t="s">
        <v>633</v>
      </c>
      <c r="B73" s="17" t="n">
        <v>2973</v>
      </c>
      <c r="C73" s="18">
        <f>(2310.0/B73*100)</f>
        <v/>
      </c>
      <c r="D73" s="19" t="n">
        <v>663</v>
      </c>
      <c r="E73" s="18" t="n">
        <v>35.39256955</v>
      </c>
      <c r="F73" s="20" t="n">
        <v>1.66988481</v>
      </c>
      <c r="G73" s="18" t="n">
        <v>62.72823653</v>
      </c>
      <c r="H73" s="20" t="n">
        <v>1.7113688</v>
      </c>
      <c r="I73" s="18" t="n">
        <v>0</v>
      </c>
      <c r="J73" s="20" t="n">
        <v>0</v>
      </c>
      <c r="K73" s="18" t="n">
        <v>0.79122287</v>
      </c>
      <c r="L73" s="20" t="n">
        <v>0.35195354</v>
      </c>
      <c r="M73" s="18" t="n">
        <v>0</v>
      </c>
      <c r="N73" s="20" t="n">
        <v>0</v>
      </c>
      <c r="O73" s="18" t="n">
        <v>0</v>
      </c>
      <c r="P73" s="20" t="n">
        <v>0</v>
      </c>
      <c r="Q73" s="18" t="n">
        <v>1.08797105</v>
      </c>
      <c r="R73" s="20" t="n">
        <v>0.38686434</v>
      </c>
    </row>
    <row r="74" spans="1:18">
      <c r="A74" s="15" t="s">
        <v>634</v>
      </c>
      <c r="B74" s="17" t="n">
        <v>3819</v>
      </c>
      <c r="C74" s="18">
        <f>(2942.0/B74*100)</f>
        <v/>
      </c>
      <c r="D74" s="19" t="n">
        <v>877</v>
      </c>
      <c r="E74" s="18" t="n">
        <v>45.0163377</v>
      </c>
      <c r="F74" s="20" t="n">
        <v>2.05048991</v>
      </c>
      <c r="G74" s="18" t="n">
        <v>54.15320139</v>
      </c>
      <c r="H74" s="20" t="n">
        <v>2.06715726</v>
      </c>
      <c r="I74" s="18" t="n">
        <v>0</v>
      </c>
      <c r="J74" s="20" t="n">
        <v>0</v>
      </c>
      <c r="K74" s="18" t="n">
        <v>0.46028667</v>
      </c>
      <c r="L74" s="20" t="n">
        <v>0.1853056</v>
      </c>
      <c r="M74" s="18" t="n">
        <v>0</v>
      </c>
      <c r="N74" s="20" t="n">
        <v>0</v>
      </c>
      <c r="O74" s="18" t="n">
        <v>0</v>
      </c>
      <c r="P74" s="20" t="n">
        <v>0</v>
      </c>
      <c r="Q74" s="18" t="n">
        <v>0.37017424</v>
      </c>
      <c r="R74" s="20" t="n">
        <v>0.18843219</v>
      </c>
    </row>
    <row r="75" spans="1:18">
      <c r="A75" s="15" t="s">
        <v>635</v>
      </c>
      <c r="B75" s="17" t="n">
        <v>4652</v>
      </c>
      <c r="C75" s="18">
        <f>(3746.0/B75*100)</f>
        <v/>
      </c>
      <c r="D75" s="19" t="n">
        <v>906</v>
      </c>
      <c r="E75" s="18" t="n">
        <v>79.61789913</v>
      </c>
      <c r="F75" s="20" t="n">
        <v>1.54834903</v>
      </c>
      <c r="G75" s="18" t="n">
        <v>18.38527402</v>
      </c>
      <c r="H75" s="20" t="n">
        <v>1.56816996</v>
      </c>
      <c r="I75" s="18" t="n">
        <v>0</v>
      </c>
      <c r="J75" s="20" t="n">
        <v>0</v>
      </c>
      <c r="K75" s="18" t="n">
        <v>0.66768984</v>
      </c>
      <c r="L75" s="20" t="n">
        <v>0.28566269</v>
      </c>
      <c r="M75" s="18" t="n">
        <v>0.47770719</v>
      </c>
      <c r="N75" s="20" t="n">
        <v>0.25227357</v>
      </c>
      <c r="O75" s="18" t="n">
        <v>0</v>
      </c>
      <c r="P75" s="20" t="n">
        <v>0</v>
      </c>
      <c r="Q75" s="18" t="n">
        <v>0.8514298300000001</v>
      </c>
      <c r="R75" s="20" t="n">
        <v>0.41813287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(2431.0/B77*100)</f>
        <v/>
      </c>
      <c r="D77" s="19" t="n">
        <v>538</v>
      </c>
      <c r="E77" s="18" t="n">
        <v>80.19119773</v>
      </c>
      <c r="F77" s="20" t="n">
        <v>1.82598374</v>
      </c>
      <c r="G77" s="18" t="n">
        <v>2.03171984</v>
      </c>
      <c r="H77" s="20" t="n">
        <v>0.58358962</v>
      </c>
      <c r="I77" s="18" t="n">
        <v>0</v>
      </c>
      <c r="J77" s="20" t="n">
        <v>0</v>
      </c>
      <c r="K77" s="18" t="n">
        <v>9.43204474</v>
      </c>
      <c r="L77" s="20" t="n">
        <v>1.45486765</v>
      </c>
      <c r="M77" s="18" t="n">
        <v>0.70861615</v>
      </c>
      <c r="N77" s="20" t="n">
        <v>0.36189738</v>
      </c>
      <c r="O77" s="18" t="n">
        <v>0</v>
      </c>
      <c r="P77" s="20" t="n">
        <v>0</v>
      </c>
      <c r="Q77" s="18" t="n">
        <v>7.63642154</v>
      </c>
      <c r="R77" s="20" t="n">
        <v>1.15071846</v>
      </c>
    </row>
    <row r="78" spans="1:18">
      <c r="A78" s="15" t="s">
        <v>638</v>
      </c>
      <c r="B78" s="17" t="n">
        <v>7115</v>
      </c>
      <c r="C78" s="18">
        <f>(5582.0/B78*100)</f>
        <v/>
      </c>
      <c r="D78" s="19" t="n">
        <v>1533</v>
      </c>
      <c r="E78" s="18" t="n">
        <v>63.58080972</v>
      </c>
      <c r="F78" s="20" t="n">
        <v>1.51580875</v>
      </c>
      <c r="G78" s="18" t="n">
        <v>33.52451047</v>
      </c>
      <c r="H78" s="20" t="n">
        <v>1.35278118</v>
      </c>
      <c r="I78" s="18" t="n">
        <v>0</v>
      </c>
      <c r="J78" s="20" t="n">
        <v>0</v>
      </c>
      <c r="K78" s="18" t="n">
        <v>1.65746221</v>
      </c>
      <c r="L78" s="20" t="n">
        <v>0.34611162</v>
      </c>
      <c r="M78" s="18" t="n">
        <v>0.0618989</v>
      </c>
      <c r="N78" s="20" t="n">
        <v>0.04572236</v>
      </c>
      <c r="O78" s="18" t="n">
        <v>0</v>
      </c>
      <c r="P78" s="20" t="n">
        <v>0</v>
      </c>
      <c r="Q78" s="18" t="n">
        <v>1.17531869</v>
      </c>
      <c r="R78" s="20" t="n">
        <v>0.31893336</v>
      </c>
    </row>
    <row r="79" spans="1:18">
      <c r="A79" s="15" t="s">
        <v>639</v>
      </c>
      <c r="B79" s="17" t="n">
        <v>3154</v>
      </c>
      <c r="C79" s="18">
        <f>(2558.0/B79*100)</f>
        <v/>
      </c>
      <c r="D79" s="19" t="n">
        <v>596</v>
      </c>
      <c r="E79" s="18" t="n">
        <v>73.36086027</v>
      </c>
      <c r="F79" s="20" t="n">
        <v>1.84640934</v>
      </c>
      <c r="G79" s="18" t="n">
        <v>17.01916768</v>
      </c>
      <c r="H79" s="20" t="n">
        <v>1.62735555</v>
      </c>
      <c r="I79" s="18" t="n">
        <v>0</v>
      </c>
      <c r="J79" s="20" t="n">
        <v>0</v>
      </c>
      <c r="K79" s="18" t="n">
        <v>5.07703661</v>
      </c>
      <c r="L79" s="20" t="n">
        <v>0.9420531</v>
      </c>
      <c r="M79" s="18" t="n">
        <v>0</v>
      </c>
      <c r="N79" s="20" t="n">
        <v>0</v>
      </c>
      <c r="O79" s="18" t="n">
        <v>0</v>
      </c>
      <c r="P79" s="20" t="n">
        <v>0</v>
      </c>
      <c r="Q79" s="18" t="n">
        <v>4.54293544</v>
      </c>
      <c r="R79" s="20" t="n">
        <v>0.91443242</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(12677.0/B82*100)</f>
        <v/>
      </c>
      <c r="D82" s="19" t="n">
        <v>3284</v>
      </c>
      <c r="E82" s="18" t="n">
        <v>58.81639046</v>
      </c>
      <c r="F82" s="20" t="n">
        <v>1.34474907</v>
      </c>
      <c r="G82" s="18" t="n">
        <v>37.86720975</v>
      </c>
      <c r="H82" s="20" t="n">
        <v>1.27889346</v>
      </c>
      <c r="I82" s="18" t="n">
        <v>0</v>
      </c>
      <c r="J82" s="20" t="n">
        <v>0</v>
      </c>
      <c r="K82" s="18" t="n">
        <v>0.80739002</v>
      </c>
      <c r="L82" s="20" t="n">
        <v>0.19176064</v>
      </c>
      <c r="M82" s="18" t="n">
        <v>0.10584582</v>
      </c>
      <c r="N82" s="20" t="n">
        <v>0.09373877999999999</v>
      </c>
      <c r="O82" s="18" t="n">
        <v>0</v>
      </c>
      <c r="P82" s="20" t="n">
        <v>0</v>
      </c>
      <c r="Q82" s="18" t="n">
        <v>2.40316396</v>
      </c>
      <c r="R82" s="20" t="n">
        <v>0.57645084</v>
      </c>
    </row>
    <row r="83" spans="1:18">
      <c r="A83" s="15" t="s">
        <v>643</v>
      </c>
      <c r="B83" s="17" t="n">
        <v>808</v>
      </c>
      <c r="C83" s="18">
        <f>(636.0/B83*100)</f>
        <v/>
      </c>
      <c r="D83" s="19" t="n">
        <v>172</v>
      </c>
      <c r="E83" s="18" t="n">
        <v>34.46396799</v>
      </c>
      <c r="F83" s="20" t="n">
        <v>4.05399602</v>
      </c>
      <c r="G83" s="18" t="n">
        <v>64.97008498</v>
      </c>
      <c r="H83" s="20" t="n">
        <v>3.93865741</v>
      </c>
      <c r="I83" s="18" t="n">
        <v>0</v>
      </c>
      <c r="J83" s="20" t="n">
        <v>0</v>
      </c>
      <c r="K83" s="18" t="n">
        <v>0.56594703</v>
      </c>
      <c r="L83" s="20" t="n">
        <v>0.57275782</v>
      </c>
      <c r="M83" s="18" t="n">
        <v>0</v>
      </c>
      <c r="N83" s="20" t="n">
        <v>0</v>
      </c>
      <c r="O83" s="18" t="n">
        <v>0</v>
      </c>
      <c r="P83" s="20" t="n">
        <v>0</v>
      </c>
      <c r="Q83" s="18" t="n">
        <v>0</v>
      </c>
      <c r="R83" s="20" t="n">
        <v>0</v>
      </c>
    </row>
    <row r="84" spans="1:18">
      <c r="A84" s="23" t="s">
        <v>644</v>
      </c>
      <c r="B84" s="24" t="n">
        <v>938</v>
      </c>
      <c r="C84" s="25">
        <f>(752.0/B84*100)</f>
        <v/>
      </c>
      <c r="D84" s="19" t="n">
        <v>186</v>
      </c>
      <c r="E84" s="18" t="n">
        <v>50.13730378</v>
      </c>
      <c r="F84" s="20" t="n">
        <v>4.01844054</v>
      </c>
      <c r="G84" s="18" t="n">
        <v>49.86269622</v>
      </c>
      <c r="H84" s="20" t="n">
        <v>4.01844054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(5680.0/B7*100)</f>
        <v/>
      </c>
      <c r="D7" s="19" t="n">
        <v>1483</v>
      </c>
      <c r="E7" s="18" t="n">
        <v>56.49263623</v>
      </c>
      <c r="F7" s="20" t="n">
        <v>1.47691211</v>
      </c>
      <c r="G7" s="18" t="n">
        <v>38.55267467</v>
      </c>
      <c r="H7" s="20" t="n">
        <v>1.61030472</v>
      </c>
      <c r="I7" s="18" t="n">
        <v>0</v>
      </c>
      <c r="J7" s="20" t="n">
        <v>0</v>
      </c>
      <c r="K7" s="18" t="n">
        <v>2.09739113</v>
      </c>
      <c r="L7" s="20" t="n">
        <v>0.47633647</v>
      </c>
      <c r="M7" s="18" t="n">
        <v>0</v>
      </c>
      <c r="N7" s="20" t="n">
        <v>0</v>
      </c>
      <c r="O7" s="18" t="n">
        <v>0</v>
      </c>
      <c r="P7" s="20" t="n">
        <v>0</v>
      </c>
      <c r="Q7" s="18" t="n">
        <v>2.85729797</v>
      </c>
      <c r="R7" s="20" t="n">
        <v>0.52203476</v>
      </c>
    </row>
    <row r="8" spans="1:18">
      <c r="A8" s="15" t="s">
        <v>566</v>
      </c>
      <c r="B8" s="17" t="n">
        <v>3443</v>
      </c>
      <c r="C8" s="18">
        <f>(2683.0/B8*100)</f>
        <v/>
      </c>
      <c r="D8" s="19" t="n">
        <v>760</v>
      </c>
      <c r="E8" s="18" t="n">
        <v>62.85639338</v>
      </c>
      <c r="F8" s="20" t="n">
        <v>1.75647474</v>
      </c>
      <c r="G8" s="18" t="n">
        <v>34.14377706</v>
      </c>
      <c r="H8" s="20" t="n">
        <v>1.73372729</v>
      </c>
      <c r="I8" s="18" t="n">
        <v>0</v>
      </c>
      <c r="J8" s="20" t="n">
        <v>0</v>
      </c>
      <c r="K8" s="18" t="n">
        <v>0.76057729</v>
      </c>
      <c r="L8" s="20" t="n">
        <v>0.35964955</v>
      </c>
      <c r="M8" s="18" t="n">
        <v>0</v>
      </c>
      <c r="N8" s="20" t="n">
        <v>0</v>
      </c>
      <c r="O8" s="18" t="n">
        <v>0</v>
      </c>
      <c r="P8" s="20" t="n">
        <v>0</v>
      </c>
      <c r="Q8" s="18" t="n">
        <v>2.23925227</v>
      </c>
      <c r="R8" s="20" t="n">
        <v>0.72025325</v>
      </c>
    </row>
    <row r="9" spans="1:18">
      <c r="A9" s="15" t="s">
        <v>567</v>
      </c>
      <c r="B9" s="17" t="n">
        <v>4752</v>
      </c>
      <c r="C9" s="18">
        <f>(3778.0/B9*100)</f>
        <v/>
      </c>
      <c r="D9" s="19" t="n">
        <v>974</v>
      </c>
      <c r="E9" s="18" t="n">
        <v>53.23148844</v>
      </c>
      <c r="F9" s="20" t="n">
        <v>1.65119284</v>
      </c>
      <c r="G9" s="18" t="n">
        <v>40.78526095</v>
      </c>
      <c r="H9" s="20" t="n">
        <v>1.56084341</v>
      </c>
      <c r="I9" s="18" t="n">
        <v>0</v>
      </c>
      <c r="J9" s="20" t="n">
        <v>0</v>
      </c>
      <c r="K9" s="18" t="n">
        <v>3.33526985</v>
      </c>
      <c r="L9" s="20" t="n">
        <v>0.63850856</v>
      </c>
      <c r="M9" s="18" t="n">
        <v>0</v>
      </c>
      <c r="N9" s="20" t="n">
        <v>0</v>
      </c>
      <c r="O9" s="18" t="n">
        <v>0</v>
      </c>
      <c r="P9" s="20" t="n">
        <v>0</v>
      </c>
      <c r="Q9" s="18" t="n">
        <v>2.64798076</v>
      </c>
      <c r="R9" s="20" t="n">
        <v>0.53243746</v>
      </c>
    </row>
    <row r="10" spans="1:18">
      <c r="A10" s="15" t="s">
        <v>568</v>
      </c>
      <c r="B10" s="17" t="n">
        <v>10022</v>
      </c>
      <c r="C10" s="18">
        <f>(7861.0/B10*100)</f>
        <v/>
      </c>
      <c r="D10" s="19" t="n">
        <v>2161</v>
      </c>
      <c r="E10" s="18" t="n">
        <v>52.02534559</v>
      </c>
      <c r="F10" s="20" t="n">
        <v>1.22256316</v>
      </c>
      <c r="G10" s="18" t="n">
        <v>44.10860234</v>
      </c>
      <c r="H10" s="20" t="n">
        <v>1.31383236</v>
      </c>
      <c r="I10" s="18" t="n">
        <v>0</v>
      </c>
      <c r="J10" s="20" t="n">
        <v>0</v>
      </c>
      <c r="K10" s="18" t="n">
        <v>2.24488053</v>
      </c>
      <c r="L10" s="20" t="n">
        <v>0.60053742</v>
      </c>
      <c r="M10" s="18" t="n">
        <v>0</v>
      </c>
      <c r="N10" s="20" t="n">
        <v>0</v>
      </c>
      <c r="O10" s="18" t="n">
        <v>0</v>
      </c>
      <c r="P10" s="20" t="n">
        <v>0</v>
      </c>
      <c r="Q10" s="18" t="n">
        <v>1.62117153</v>
      </c>
      <c r="R10" s="20" t="n">
        <v>0.47953989</v>
      </c>
    </row>
    <row r="11" spans="1:18">
      <c r="A11" s="15" t="s">
        <v>569</v>
      </c>
      <c r="B11" s="17" t="n">
        <v>3500</v>
      </c>
      <c r="C11" s="18">
        <f>(2808.0/B11*100)</f>
        <v/>
      </c>
      <c r="D11" s="19" t="n">
        <v>692</v>
      </c>
      <c r="E11" s="18" t="n">
        <v>54.05108602</v>
      </c>
      <c r="F11" s="20" t="n">
        <v>2.09934903</v>
      </c>
      <c r="G11" s="18" t="n">
        <v>37.77994431</v>
      </c>
      <c r="H11" s="20" t="n">
        <v>2.20913835</v>
      </c>
      <c r="I11" s="18" t="n">
        <v>0</v>
      </c>
      <c r="J11" s="20" t="n">
        <v>0</v>
      </c>
      <c r="K11" s="18" t="n">
        <v>5.60528178</v>
      </c>
      <c r="L11" s="20" t="n">
        <v>0.84360405</v>
      </c>
      <c r="M11" s="18" t="n">
        <v>0</v>
      </c>
      <c r="N11" s="20" t="n">
        <v>0</v>
      </c>
      <c r="O11" s="18" t="n">
        <v>0</v>
      </c>
      <c r="P11" s="20" t="n">
        <v>0</v>
      </c>
      <c r="Q11" s="18" t="n">
        <v>2.56368789</v>
      </c>
      <c r="R11" s="20" t="n">
        <v>0.6039339</v>
      </c>
    </row>
    <row r="12" spans="1:18">
      <c r="A12" s="15" t="s">
        <v>570</v>
      </c>
      <c r="B12" s="17" t="n">
        <v>3422</v>
      </c>
      <c r="C12" s="18">
        <f>(2704.0/B12*100)</f>
        <v/>
      </c>
      <c r="D12" s="19" t="n">
        <v>718</v>
      </c>
      <c r="E12" s="18" t="n">
        <v>53.8522099</v>
      </c>
      <c r="F12" s="20" t="n">
        <v>1.93883837</v>
      </c>
      <c r="G12" s="18" t="n">
        <v>42.63049938</v>
      </c>
      <c r="H12" s="20" t="n">
        <v>1.93780812</v>
      </c>
      <c r="I12" s="18" t="n">
        <v>0</v>
      </c>
      <c r="J12" s="20" t="n">
        <v>0</v>
      </c>
      <c r="K12" s="18" t="n">
        <v>1.66227569</v>
      </c>
      <c r="L12" s="20" t="n">
        <v>0.78237249</v>
      </c>
      <c r="M12" s="18" t="n">
        <v>0</v>
      </c>
      <c r="N12" s="20" t="n">
        <v>0</v>
      </c>
      <c r="O12" s="18" t="n">
        <v>0</v>
      </c>
      <c r="P12" s="20" t="n">
        <v>0</v>
      </c>
      <c r="Q12" s="18" t="n">
        <v>1.85501503</v>
      </c>
      <c r="R12" s="20" t="n">
        <v>0.53374909</v>
      </c>
    </row>
    <row r="13" spans="1:18">
      <c r="A13" s="15" t="s">
        <v>571</v>
      </c>
      <c r="B13" s="17" t="n">
        <v>3602</v>
      </c>
      <c r="C13" s="18">
        <f>(2857.0/B13*100)</f>
        <v/>
      </c>
      <c r="D13" s="19" t="n">
        <v>745</v>
      </c>
      <c r="E13" s="18" t="n">
        <v>70.00864187000001</v>
      </c>
      <c r="F13" s="20" t="n">
        <v>2.30671633</v>
      </c>
      <c r="G13" s="18" t="n">
        <v>27.02309992</v>
      </c>
      <c r="H13" s="20" t="n">
        <v>2.10217592</v>
      </c>
      <c r="I13" s="18" t="n">
        <v>0</v>
      </c>
      <c r="J13" s="20" t="n">
        <v>0</v>
      </c>
      <c r="K13" s="18" t="n">
        <v>1.51747113</v>
      </c>
      <c r="L13" s="20" t="n">
        <v>0.55652037</v>
      </c>
      <c r="M13" s="18" t="n">
        <v>0</v>
      </c>
      <c r="N13" s="20" t="n">
        <v>0</v>
      </c>
      <c r="O13" s="18" t="n">
        <v>0</v>
      </c>
      <c r="P13" s="20" t="n">
        <v>0</v>
      </c>
      <c r="Q13" s="18" t="n">
        <v>1.45078707</v>
      </c>
      <c r="R13" s="20" t="n">
        <v>0.52590553</v>
      </c>
    </row>
    <row r="14" spans="1:18">
      <c r="A14" s="15" t="s">
        <v>572</v>
      </c>
      <c r="B14" s="17" t="n">
        <v>2788</v>
      </c>
      <c r="C14" s="18">
        <f>(2196.0/B14*100)</f>
        <v/>
      </c>
      <c r="D14" s="19" t="n">
        <v>592</v>
      </c>
      <c r="E14" s="18" t="n">
        <v>61.81710659</v>
      </c>
      <c r="F14" s="20" t="n">
        <v>2.08495293</v>
      </c>
      <c r="G14" s="18" t="n">
        <v>35.95725788</v>
      </c>
      <c r="H14" s="20" t="n">
        <v>2.05060337</v>
      </c>
      <c r="I14" s="18" t="n">
        <v>0</v>
      </c>
      <c r="J14" s="20" t="n">
        <v>0</v>
      </c>
      <c r="K14" s="18" t="n">
        <v>1.1969197</v>
      </c>
      <c r="L14" s="20" t="n">
        <v>0.42503452</v>
      </c>
      <c r="M14" s="18" t="n">
        <v>0</v>
      </c>
      <c r="N14" s="20" t="n">
        <v>0</v>
      </c>
      <c r="O14" s="18" t="n">
        <v>0</v>
      </c>
      <c r="P14" s="20" t="n">
        <v>0</v>
      </c>
      <c r="Q14" s="18" t="n">
        <v>1.02871583</v>
      </c>
      <c r="R14" s="20" t="n">
        <v>0.31407248</v>
      </c>
    </row>
    <row r="15" spans="1:18">
      <c r="A15" s="15" t="s">
        <v>573</v>
      </c>
      <c r="B15" s="17" t="n">
        <v>2863</v>
      </c>
      <c r="C15" s="18">
        <f>(2242.0/B15*100)</f>
        <v/>
      </c>
      <c r="D15" s="19" t="n">
        <v>621</v>
      </c>
      <c r="E15" s="18" t="n">
        <v>62.75212938</v>
      </c>
      <c r="F15" s="20" t="n">
        <v>2.02141707</v>
      </c>
      <c r="G15" s="18" t="n">
        <v>34.90036236</v>
      </c>
      <c r="H15" s="20" t="n">
        <v>2.0058668</v>
      </c>
      <c r="I15" s="18" t="n">
        <v>0</v>
      </c>
      <c r="J15" s="20" t="n">
        <v>0</v>
      </c>
      <c r="K15" s="18" t="n">
        <v>1.45376279</v>
      </c>
      <c r="L15" s="20" t="n">
        <v>0.51886739</v>
      </c>
      <c r="M15" s="18" t="n">
        <v>0</v>
      </c>
      <c r="N15" s="20" t="n">
        <v>0</v>
      </c>
      <c r="O15" s="18" t="n">
        <v>0</v>
      </c>
      <c r="P15" s="20" t="n">
        <v>0</v>
      </c>
      <c r="Q15" s="18" t="n">
        <v>0.89374547</v>
      </c>
      <c r="R15" s="20" t="n">
        <v>0.36787033</v>
      </c>
    </row>
    <row r="16" spans="1:18">
      <c r="A16" s="15" t="s">
        <v>574</v>
      </c>
      <c r="B16" s="17" t="n">
        <v>3111</v>
      </c>
      <c r="C16" s="18">
        <f>(2427.0/B16*100)</f>
        <v/>
      </c>
      <c r="D16" s="19" t="n">
        <v>684</v>
      </c>
      <c r="E16" s="18" t="n">
        <v>48.96363643</v>
      </c>
      <c r="F16" s="20" t="n">
        <v>1.92880502</v>
      </c>
      <c r="G16" s="18" t="n">
        <v>44.02287513</v>
      </c>
      <c r="H16" s="20" t="n">
        <v>1.63314876</v>
      </c>
      <c r="I16" s="18" t="n">
        <v>0</v>
      </c>
      <c r="J16" s="20" t="n">
        <v>0</v>
      </c>
      <c r="K16" s="18" t="n">
        <v>4.08855056</v>
      </c>
      <c r="L16" s="20" t="n">
        <v>0.93257661</v>
      </c>
      <c r="M16" s="18" t="n">
        <v>0</v>
      </c>
      <c r="N16" s="20" t="n">
        <v>0</v>
      </c>
      <c r="O16" s="18" t="n">
        <v>0</v>
      </c>
      <c r="P16" s="20" t="n">
        <v>0</v>
      </c>
      <c r="Q16" s="18" t="n">
        <v>2.92493788</v>
      </c>
      <c r="R16" s="20" t="n">
        <v>0.64718995</v>
      </c>
    </row>
    <row r="17" spans="1:18">
      <c r="A17" s="15" t="s">
        <v>575</v>
      </c>
      <c r="B17" s="17" t="n">
        <v>3197</v>
      </c>
      <c r="C17" s="18">
        <f>(2522.0/B17*100)</f>
        <v/>
      </c>
      <c r="D17" s="19" t="n">
        <v>675</v>
      </c>
      <c r="E17" s="18" t="n">
        <v>61.22353388</v>
      </c>
      <c r="F17" s="20" t="n">
        <v>1.98662054</v>
      </c>
      <c r="G17" s="18" t="n">
        <v>35.2361231</v>
      </c>
      <c r="H17" s="20" t="n">
        <v>2.09246282</v>
      </c>
      <c r="I17" s="18" t="n">
        <v>0</v>
      </c>
      <c r="J17" s="20" t="n">
        <v>0</v>
      </c>
      <c r="K17" s="18" t="n">
        <v>1.59789851</v>
      </c>
      <c r="L17" s="20" t="n">
        <v>0.43558952</v>
      </c>
      <c r="M17" s="18" t="n">
        <v>0</v>
      </c>
      <c r="N17" s="20" t="n">
        <v>0</v>
      </c>
      <c r="O17" s="18" t="n">
        <v>0</v>
      </c>
      <c r="P17" s="20" t="n">
        <v>0</v>
      </c>
      <c r="Q17" s="18" t="n">
        <v>1.94244451</v>
      </c>
      <c r="R17" s="20" t="n">
        <v>0.49812731</v>
      </c>
    </row>
    <row r="18" spans="1:18">
      <c r="A18" s="15" t="s">
        <v>576</v>
      </c>
      <c r="B18" s="17" t="n">
        <v>2706</v>
      </c>
      <c r="C18" s="18">
        <f>(2103.0/B18*100)</f>
        <v/>
      </c>
      <c r="D18" s="19" t="n">
        <v>603</v>
      </c>
      <c r="E18" s="18" t="n">
        <v>77.61053024</v>
      </c>
      <c r="F18" s="20" t="n">
        <v>1.58637619</v>
      </c>
      <c r="G18" s="18" t="n">
        <v>18.59347862</v>
      </c>
      <c r="H18" s="20" t="n">
        <v>1.4124619</v>
      </c>
      <c r="I18" s="18" t="n">
        <v>0</v>
      </c>
      <c r="J18" s="20" t="n">
        <v>0</v>
      </c>
      <c r="K18" s="18" t="n">
        <v>2.24938214</v>
      </c>
      <c r="L18" s="20" t="n">
        <v>0.59956422</v>
      </c>
      <c r="M18" s="18" t="n">
        <v>0</v>
      </c>
      <c r="N18" s="20" t="n">
        <v>0</v>
      </c>
      <c r="O18" s="18" t="n">
        <v>0</v>
      </c>
      <c r="P18" s="20" t="n">
        <v>0</v>
      </c>
      <c r="Q18" s="18" t="n">
        <v>1.546609</v>
      </c>
      <c r="R18" s="20" t="n">
        <v>0.53336101</v>
      </c>
    </row>
    <row r="19" spans="1:18">
      <c r="A19" s="15" t="s">
        <v>577</v>
      </c>
      <c r="B19" s="17" t="n">
        <v>2850</v>
      </c>
      <c r="C19" s="18">
        <f>(2247.0/B19*100)</f>
        <v/>
      </c>
      <c r="D19" s="19" t="n">
        <v>603</v>
      </c>
      <c r="E19" s="18" t="n">
        <v>65.436509</v>
      </c>
      <c r="F19" s="20" t="n">
        <v>2.31507087</v>
      </c>
      <c r="G19" s="18" t="n">
        <v>30.84440524</v>
      </c>
      <c r="H19" s="20" t="n">
        <v>2.07389746</v>
      </c>
      <c r="I19" s="18" t="n">
        <v>0</v>
      </c>
      <c r="J19" s="20" t="n">
        <v>0</v>
      </c>
      <c r="K19" s="18" t="n">
        <v>0.63312743</v>
      </c>
      <c r="L19" s="20" t="n">
        <v>0.3064173</v>
      </c>
      <c r="M19" s="18" t="n">
        <v>0</v>
      </c>
      <c r="N19" s="20" t="n">
        <v>0</v>
      </c>
      <c r="O19" s="18" t="n">
        <v>0</v>
      </c>
      <c r="P19" s="20" t="n">
        <v>0</v>
      </c>
      <c r="Q19" s="18" t="n">
        <v>3.08595834</v>
      </c>
      <c r="R19" s="20" t="n">
        <v>0.9226647100000001</v>
      </c>
    </row>
    <row r="20" spans="1:18">
      <c r="A20" s="15" t="s">
        <v>578</v>
      </c>
      <c r="B20" s="17" t="n">
        <v>1741</v>
      </c>
      <c r="C20" s="18">
        <f>(1378.0/B20*100)</f>
        <v/>
      </c>
      <c r="D20" s="19" t="n">
        <v>363</v>
      </c>
      <c r="E20" s="18" t="n">
        <v>64.79265343</v>
      </c>
      <c r="F20" s="20" t="n">
        <v>2.76563883</v>
      </c>
      <c r="G20" s="18" t="n">
        <v>32.78807354</v>
      </c>
      <c r="H20" s="20" t="n">
        <v>2.77041869</v>
      </c>
      <c r="I20" s="18" t="n">
        <v>0</v>
      </c>
      <c r="J20" s="20" t="n">
        <v>0</v>
      </c>
      <c r="K20" s="18" t="n">
        <v>1.32843959</v>
      </c>
      <c r="L20" s="20" t="n">
        <v>0.60722015</v>
      </c>
      <c r="M20" s="18" t="n">
        <v>0</v>
      </c>
      <c r="N20" s="20" t="n">
        <v>0</v>
      </c>
      <c r="O20" s="18" t="n">
        <v>0</v>
      </c>
      <c r="P20" s="20" t="n">
        <v>0</v>
      </c>
      <c r="Q20" s="18" t="n">
        <v>1.09083344</v>
      </c>
      <c r="R20" s="20" t="n">
        <v>0.53836922</v>
      </c>
    </row>
    <row r="21" spans="1:18">
      <c r="A21" s="15" t="s">
        <v>579</v>
      </c>
      <c r="B21" s="17" t="n">
        <v>2833</v>
      </c>
      <c r="C21" s="18">
        <f>(2219.0/B21*100)</f>
        <v/>
      </c>
      <c r="D21" s="19" t="n">
        <v>614</v>
      </c>
      <c r="E21" s="18" t="n">
        <v>68.81430023999999</v>
      </c>
      <c r="F21" s="20" t="n">
        <v>1.7483263</v>
      </c>
      <c r="G21" s="18" t="n">
        <v>28.67600383</v>
      </c>
      <c r="H21" s="20" t="n">
        <v>1.72609723</v>
      </c>
      <c r="I21" s="18" t="n">
        <v>0</v>
      </c>
      <c r="J21" s="20" t="n">
        <v>0</v>
      </c>
      <c r="K21" s="18" t="n">
        <v>1.01354389</v>
      </c>
      <c r="L21" s="20" t="n">
        <v>0.44438326</v>
      </c>
      <c r="M21" s="18" t="n">
        <v>0</v>
      </c>
      <c r="N21" s="20" t="n">
        <v>0</v>
      </c>
      <c r="O21" s="18" t="n">
        <v>0</v>
      </c>
      <c r="P21" s="20" t="n">
        <v>0</v>
      </c>
      <c r="Q21" s="18" t="n">
        <v>1.49615203</v>
      </c>
      <c r="R21" s="20" t="n">
        <v>0.50832574</v>
      </c>
    </row>
    <row r="22" spans="1:18">
      <c r="A22" s="15" t="s">
        <v>580</v>
      </c>
      <c r="B22" s="17" t="n">
        <v>3667</v>
      </c>
      <c r="C22" s="18">
        <f>(3037.0/B22*100)</f>
        <v/>
      </c>
      <c r="D22" s="19" t="n">
        <v>630</v>
      </c>
      <c r="E22" s="18" t="n">
        <v>69.81688142</v>
      </c>
      <c r="F22" s="20" t="n">
        <v>2.03764826</v>
      </c>
      <c r="G22" s="18" t="n">
        <v>25.04899059</v>
      </c>
      <c r="H22" s="20" t="n">
        <v>2.06916176</v>
      </c>
      <c r="I22" s="18" t="n">
        <v>0</v>
      </c>
      <c r="J22" s="20" t="n">
        <v>0</v>
      </c>
      <c r="K22" s="18" t="n">
        <v>2.25298556</v>
      </c>
      <c r="L22" s="20" t="n">
        <v>0.55189763</v>
      </c>
      <c r="M22" s="18" t="n">
        <v>0</v>
      </c>
      <c r="N22" s="20" t="n">
        <v>0</v>
      </c>
      <c r="O22" s="18" t="n">
        <v>0</v>
      </c>
      <c r="P22" s="20" t="n">
        <v>0</v>
      </c>
      <c r="Q22" s="18" t="n">
        <v>2.88114244</v>
      </c>
      <c r="R22" s="20" t="n">
        <v>0.76893826</v>
      </c>
    </row>
    <row r="23" spans="1:18">
      <c r="A23" s="15" t="s">
        <v>581</v>
      </c>
      <c r="B23" s="17" t="n">
        <v>5792</v>
      </c>
      <c r="C23" s="18">
        <f>(4533.0/B23*100)</f>
        <v/>
      </c>
      <c r="D23" s="19" t="n">
        <v>1259</v>
      </c>
      <c r="E23" s="18" t="n">
        <v>65.41826776000001</v>
      </c>
      <c r="F23" s="20" t="n">
        <v>1.86991318</v>
      </c>
      <c r="G23" s="18" t="n">
        <v>29.93202584</v>
      </c>
      <c r="H23" s="20" t="n">
        <v>2.0281586</v>
      </c>
      <c r="I23" s="18" t="n">
        <v>0</v>
      </c>
      <c r="J23" s="20" t="n">
        <v>0</v>
      </c>
      <c r="K23" s="18" t="n">
        <v>2.50719111</v>
      </c>
      <c r="L23" s="20" t="n">
        <v>0.74784458</v>
      </c>
      <c r="M23" s="18" t="n">
        <v>0</v>
      </c>
      <c r="N23" s="20" t="n">
        <v>0</v>
      </c>
      <c r="O23" s="18" t="n">
        <v>0</v>
      </c>
      <c r="P23" s="20" t="n">
        <v>0</v>
      </c>
      <c r="Q23" s="18" t="n">
        <v>2.1425153</v>
      </c>
      <c r="R23" s="20" t="n">
        <v>0.69684431</v>
      </c>
    </row>
    <row r="24" spans="1:18">
      <c r="A24" s="15" t="s">
        <v>582</v>
      </c>
      <c r="B24" s="17" t="n">
        <v>3309</v>
      </c>
      <c r="C24" s="18">
        <f>(2609.0/B24*100)</f>
        <v/>
      </c>
      <c r="D24" s="19" t="n">
        <v>700</v>
      </c>
      <c r="E24" s="18" t="n">
        <v>50.06582566</v>
      </c>
      <c r="F24" s="20" t="n">
        <v>2.08070554</v>
      </c>
      <c r="G24" s="18" t="n">
        <v>47.06518257</v>
      </c>
      <c r="H24" s="20" t="n">
        <v>2.06764894</v>
      </c>
      <c r="I24" s="18" t="n">
        <v>0</v>
      </c>
      <c r="J24" s="20" t="n">
        <v>0</v>
      </c>
      <c r="K24" s="18" t="n">
        <v>1.2630416</v>
      </c>
      <c r="L24" s="20" t="n">
        <v>0.46689938</v>
      </c>
      <c r="M24" s="18" t="n">
        <v>0</v>
      </c>
      <c r="N24" s="20" t="n">
        <v>0</v>
      </c>
      <c r="O24" s="18" t="n">
        <v>0</v>
      </c>
      <c r="P24" s="20" t="n">
        <v>0</v>
      </c>
      <c r="Q24" s="18" t="n">
        <v>1.60595017</v>
      </c>
      <c r="R24" s="20" t="n">
        <v>0.53292065</v>
      </c>
    </row>
    <row r="25" spans="1:18">
      <c r="A25" s="15" t="s">
        <v>583</v>
      </c>
      <c r="B25" s="17" t="n">
        <v>2669</v>
      </c>
      <c r="C25" s="18">
        <f>(2068.0/B25*100)</f>
        <v/>
      </c>
      <c r="D25" s="19" t="n">
        <v>601</v>
      </c>
      <c r="E25" s="18" t="n">
        <v>50.81803598</v>
      </c>
      <c r="F25" s="20" t="n">
        <v>1.96649913</v>
      </c>
      <c r="G25" s="18" t="n">
        <v>48.52540566</v>
      </c>
      <c r="H25" s="20" t="n">
        <v>2.0725713</v>
      </c>
      <c r="I25" s="18" t="n">
        <v>0</v>
      </c>
      <c r="J25" s="20" t="n">
        <v>0</v>
      </c>
      <c r="K25" s="18" t="n">
        <v>0.46849877</v>
      </c>
      <c r="L25" s="20" t="n">
        <v>0.2562008</v>
      </c>
      <c r="M25" s="18" t="n">
        <v>0</v>
      </c>
      <c r="N25" s="20" t="n">
        <v>0</v>
      </c>
      <c r="O25" s="18" t="n">
        <v>0</v>
      </c>
      <c r="P25" s="20" t="n">
        <v>0</v>
      </c>
      <c r="Q25" s="18" t="n">
        <v>0.1880596</v>
      </c>
      <c r="R25" s="20" t="n">
        <v>0.18571483</v>
      </c>
    </row>
    <row r="26" spans="1:18">
      <c r="A26" s="15" t="s">
        <v>584</v>
      </c>
      <c r="B26" s="17" t="n">
        <v>2419</v>
      </c>
      <c r="C26" s="18">
        <f>(1872.0/B26*100)</f>
        <v/>
      </c>
      <c r="D26" s="19" t="n">
        <v>547</v>
      </c>
      <c r="E26" s="18" t="n">
        <v>63.81255973</v>
      </c>
      <c r="F26" s="20" t="n">
        <v>1.9884865</v>
      </c>
      <c r="G26" s="18" t="n">
        <v>33.75828759</v>
      </c>
      <c r="H26" s="20" t="n">
        <v>1.91523336</v>
      </c>
      <c r="I26" s="18" t="n">
        <v>0</v>
      </c>
      <c r="J26" s="20" t="n">
        <v>0</v>
      </c>
      <c r="K26" s="18" t="n">
        <v>1.05245773</v>
      </c>
      <c r="L26" s="20" t="n">
        <v>0.47131581</v>
      </c>
      <c r="M26" s="18" t="n">
        <v>0</v>
      </c>
      <c r="N26" s="20" t="n">
        <v>0</v>
      </c>
      <c r="O26" s="18" t="n">
        <v>0</v>
      </c>
      <c r="P26" s="20" t="n">
        <v>0</v>
      </c>
      <c r="Q26" s="18" t="n">
        <v>1.37669494</v>
      </c>
      <c r="R26" s="20" t="n">
        <v>0.7401014</v>
      </c>
    </row>
    <row r="27" spans="1:18">
      <c r="A27" s="15" t="s">
        <v>585</v>
      </c>
      <c r="B27" s="17" t="n">
        <v>2683</v>
      </c>
      <c r="C27" s="18">
        <f>(2138.0/B27*100)</f>
        <v/>
      </c>
      <c r="D27" s="19" t="n">
        <v>545</v>
      </c>
      <c r="E27" s="18" t="n">
        <v>62.95296384</v>
      </c>
      <c r="F27" s="20" t="n">
        <v>1.84736861</v>
      </c>
      <c r="G27" s="18" t="n">
        <v>32.59862453</v>
      </c>
      <c r="H27" s="20" t="n">
        <v>1.83083635</v>
      </c>
      <c r="I27" s="18" t="n">
        <v>0</v>
      </c>
      <c r="J27" s="20" t="n">
        <v>0</v>
      </c>
      <c r="K27" s="18" t="n">
        <v>1.0900496</v>
      </c>
      <c r="L27" s="20" t="n">
        <v>0.44467666</v>
      </c>
      <c r="M27" s="18" t="n">
        <v>0</v>
      </c>
      <c r="N27" s="20" t="n">
        <v>0</v>
      </c>
      <c r="O27" s="18" t="n">
        <v>0</v>
      </c>
      <c r="P27" s="20" t="n">
        <v>0</v>
      </c>
      <c r="Q27" s="18" t="n">
        <v>3.35836203</v>
      </c>
      <c r="R27" s="20" t="n">
        <v>0.77435729</v>
      </c>
    </row>
    <row r="28" spans="1:18">
      <c r="A28" s="15" t="s">
        <v>586</v>
      </c>
      <c r="B28" s="17" t="n">
        <v>3803</v>
      </c>
      <c r="C28" s="18">
        <f>(3106.0/B28*100)</f>
        <v/>
      </c>
      <c r="D28" s="19" t="n">
        <v>697</v>
      </c>
      <c r="E28" s="18" t="n">
        <v>67.51695933000001</v>
      </c>
      <c r="F28" s="20" t="n">
        <v>1.85475144</v>
      </c>
      <c r="G28" s="18" t="n">
        <v>26.80291629</v>
      </c>
      <c r="H28" s="20" t="n">
        <v>1.8015544</v>
      </c>
      <c r="I28" s="18" t="n">
        <v>0</v>
      </c>
      <c r="J28" s="20" t="n">
        <v>0</v>
      </c>
      <c r="K28" s="18" t="n">
        <v>2.99621983</v>
      </c>
      <c r="L28" s="20" t="n">
        <v>0.80426209</v>
      </c>
      <c r="M28" s="18" t="n">
        <v>0</v>
      </c>
      <c r="N28" s="20" t="n">
        <v>0</v>
      </c>
      <c r="O28" s="18" t="n">
        <v>0</v>
      </c>
      <c r="P28" s="20" t="n">
        <v>0</v>
      </c>
      <c r="Q28" s="18" t="n">
        <v>2.68390455</v>
      </c>
      <c r="R28" s="20" t="n">
        <v>0.66646991</v>
      </c>
    </row>
    <row r="29" spans="1:18">
      <c r="A29" s="15" t="s">
        <v>587</v>
      </c>
      <c r="B29" s="17" t="n">
        <v>2700</v>
      </c>
      <c r="C29" s="18">
        <f>(2097.0/B29*100)</f>
        <v/>
      </c>
      <c r="D29" s="19" t="n">
        <v>603</v>
      </c>
      <c r="E29" s="18" t="n">
        <v>49.88964502</v>
      </c>
      <c r="F29" s="20" t="n">
        <v>2.20901652</v>
      </c>
      <c r="G29" s="18" t="n">
        <v>49.06145589</v>
      </c>
      <c r="H29" s="20" t="n">
        <v>2.22020581</v>
      </c>
      <c r="I29" s="18" t="n">
        <v>0</v>
      </c>
      <c r="J29" s="20" t="n">
        <v>0</v>
      </c>
      <c r="K29" s="18" t="n">
        <v>0.73993388</v>
      </c>
      <c r="L29" s="20" t="n">
        <v>0.3518916</v>
      </c>
      <c r="M29" s="18" t="n">
        <v>0</v>
      </c>
      <c r="N29" s="20" t="n">
        <v>0</v>
      </c>
      <c r="O29" s="18" t="n">
        <v>0</v>
      </c>
      <c r="P29" s="20" t="n">
        <v>0</v>
      </c>
      <c r="Q29" s="18" t="n">
        <v>0.30896521</v>
      </c>
      <c r="R29" s="20" t="n">
        <v>0.20647228</v>
      </c>
    </row>
    <row r="30" spans="1:18">
      <c r="A30" s="15" t="s">
        <v>588</v>
      </c>
      <c r="B30" s="17" t="n">
        <v>2257</v>
      </c>
      <c r="C30" s="18">
        <f>(1808.0/B30*100)</f>
        <v/>
      </c>
      <c r="D30" s="19" t="n">
        <v>449</v>
      </c>
      <c r="E30" s="18" t="n">
        <v>54.7875877</v>
      </c>
      <c r="F30" s="20" t="n">
        <v>2.21622431</v>
      </c>
      <c r="G30" s="18" t="n">
        <v>39.72261882</v>
      </c>
      <c r="H30" s="20" t="n">
        <v>2.0119169</v>
      </c>
      <c r="I30" s="18" t="n">
        <v>0</v>
      </c>
      <c r="J30" s="20" t="n">
        <v>0</v>
      </c>
      <c r="K30" s="18" t="n">
        <v>3.33148622</v>
      </c>
      <c r="L30" s="20" t="n">
        <v>0.97947761</v>
      </c>
      <c r="M30" s="18" t="n">
        <v>0</v>
      </c>
      <c r="N30" s="20" t="n">
        <v>0</v>
      </c>
      <c r="O30" s="18" t="n">
        <v>0</v>
      </c>
      <c r="P30" s="20" t="n">
        <v>0</v>
      </c>
      <c r="Q30" s="18" t="n">
        <v>2.15830726</v>
      </c>
      <c r="R30" s="20" t="n">
        <v>0.80479136</v>
      </c>
    </row>
    <row r="31" spans="1:18">
      <c r="A31" s="15" t="s">
        <v>589</v>
      </c>
      <c r="B31" s="17" t="n">
        <v>2706</v>
      </c>
      <c r="C31" s="18">
        <f>(2145.0/B31*100)</f>
        <v/>
      </c>
      <c r="D31" s="19" t="n">
        <v>561</v>
      </c>
      <c r="E31" s="18" t="n">
        <v>60.2540481</v>
      </c>
      <c r="F31" s="20" t="n">
        <v>2.13077636</v>
      </c>
      <c r="G31" s="18" t="n">
        <v>34.05769438</v>
      </c>
      <c r="H31" s="20" t="n">
        <v>1.94955099</v>
      </c>
      <c r="I31" s="18" t="n">
        <v>0</v>
      </c>
      <c r="J31" s="20" t="n">
        <v>0</v>
      </c>
      <c r="K31" s="18" t="n">
        <v>3.78200318</v>
      </c>
      <c r="L31" s="20" t="n">
        <v>0.76683426</v>
      </c>
      <c r="M31" s="18" t="n">
        <v>0</v>
      </c>
      <c r="N31" s="20" t="n">
        <v>0</v>
      </c>
      <c r="O31" s="18" t="n">
        <v>0</v>
      </c>
      <c r="P31" s="20" t="n">
        <v>0</v>
      </c>
      <c r="Q31" s="18" t="n">
        <v>1.90625434</v>
      </c>
      <c r="R31" s="20" t="n">
        <v>0.57961864</v>
      </c>
    </row>
    <row r="32" spans="1:18">
      <c r="A32" s="15" t="s">
        <v>590</v>
      </c>
      <c r="B32" s="17" t="n">
        <v>2209</v>
      </c>
      <c r="C32" s="18">
        <f>(1716.0/B32*100)</f>
        <v/>
      </c>
      <c r="D32" s="19" t="n">
        <v>493</v>
      </c>
      <c r="E32" s="18" t="n">
        <v>64.12029010000001</v>
      </c>
      <c r="F32" s="20" t="n">
        <v>2.36862578</v>
      </c>
      <c r="G32" s="18" t="n">
        <v>34.10061519</v>
      </c>
      <c r="H32" s="20" t="n">
        <v>2.34111188</v>
      </c>
      <c r="I32" s="18" t="n">
        <v>0</v>
      </c>
      <c r="J32" s="20" t="n">
        <v>0</v>
      </c>
      <c r="K32" s="18" t="n">
        <v>0.98085598</v>
      </c>
      <c r="L32" s="20" t="n">
        <v>0.35123227</v>
      </c>
      <c r="M32" s="18" t="n">
        <v>0</v>
      </c>
      <c r="N32" s="20" t="n">
        <v>0</v>
      </c>
      <c r="O32" s="18" t="n">
        <v>0</v>
      </c>
      <c r="P32" s="20" t="n">
        <v>0</v>
      </c>
      <c r="Q32" s="18" t="n">
        <v>0.79823873</v>
      </c>
      <c r="R32" s="20" t="n">
        <v>0.40743971</v>
      </c>
    </row>
    <row r="33" spans="1:18">
      <c r="A33" s="15" t="s">
        <v>591</v>
      </c>
      <c r="B33" s="17" t="n">
        <v>3651</v>
      </c>
      <c r="C33" s="18">
        <f>(2937.0/B33*100)</f>
        <v/>
      </c>
      <c r="D33" s="19" t="n">
        <v>714</v>
      </c>
      <c r="E33" s="18" t="n">
        <v>38.22420153</v>
      </c>
      <c r="F33" s="20" t="n">
        <v>2.10802791</v>
      </c>
      <c r="G33" s="18" t="n">
        <v>57.27417963</v>
      </c>
      <c r="H33" s="20" t="n">
        <v>2.13400744</v>
      </c>
      <c r="I33" s="18" t="n">
        <v>0</v>
      </c>
      <c r="J33" s="20" t="n">
        <v>0</v>
      </c>
      <c r="K33" s="18" t="n">
        <v>2.15288208</v>
      </c>
      <c r="L33" s="20" t="n">
        <v>0.6184568</v>
      </c>
      <c r="M33" s="18" t="n">
        <v>0</v>
      </c>
      <c r="N33" s="20" t="n">
        <v>0</v>
      </c>
      <c r="O33" s="18" t="n">
        <v>0</v>
      </c>
      <c r="P33" s="20" t="n">
        <v>0</v>
      </c>
      <c r="Q33" s="18" t="n">
        <v>2.34873677</v>
      </c>
      <c r="R33" s="20" t="n">
        <v>0.63985161</v>
      </c>
    </row>
    <row r="34" spans="1:18">
      <c r="A34" s="15" t="s">
        <v>592</v>
      </c>
      <c r="B34" s="17" t="n">
        <v>3035</v>
      </c>
      <c r="C34" s="18">
        <f>(2398.0/B34*100)</f>
        <v/>
      </c>
      <c r="D34" s="19" t="n">
        <v>637</v>
      </c>
      <c r="E34" s="18" t="n">
        <v>70.41976061</v>
      </c>
      <c r="F34" s="20" t="n">
        <v>1.68642825</v>
      </c>
      <c r="G34" s="18" t="n">
        <v>25.02354556</v>
      </c>
      <c r="H34" s="20" t="n">
        <v>1.65193725</v>
      </c>
      <c r="I34" s="18" t="n">
        <v>0</v>
      </c>
      <c r="J34" s="20" t="n">
        <v>0</v>
      </c>
      <c r="K34" s="18" t="n">
        <v>2.88862417</v>
      </c>
      <c r="L34" s="20" t="n">
        <v>0.77303968</v>
      </c>
      <c r="M34" s="18" t="n">
        <v>0</v>
      </c>
      <c r="N34" s="20" t="n">
        <v>0</v>
      </c>
      <c r="O34" s="18" t="n">
        <v>0</v>
      </c>
      <c r="P34" s="20" t="n">
        <v>0</v>
      </c>
      <c r="Q34" s="18" t="n">
        <v>1.66806966</v>
      </c>
      <c r="R34" s="20" t="n">
        <v>0.51949061</v>
      </c>
    </row>
    <row r="35" spans="1:18">
      <c r="A35" s="15" t="s">
        <v>593</v>
      </c>
      <c r="B35" s="17" t="n">
        <v>2901</v>
      </c>
      <c r="C35" s="18">
        <f>(2253.0/B35*100)</f>
        <v/>
      </c>
      <c r="D35" s="19" t="n">
        <v>648</v>
      </c>
      <c r="E35" s="18" t="n">
        <v>60.37126072</v>
      </c>
      <c r="F35" s="20" t="n">
        <v>2.64076217</v>
      </c>
      <c r="G35" s="18" t="n">
        <v>37.33846144</v>
      </c>
      <c r="H35" s="20" t="n">
        <v>2.73482963</v>
      </c>
      <c r="I35" s="18" t="n">
        <v>0</v>
      </c>
      <c r="J35" s="20" t="n">
        <v>0</v>
      </c>
      <c r="K35" s="18" t="n">
        <v>0.6830008400000001</v>
      </c>
      <c r="L35" s="20" t="n">
        <v>0.485341</v>
      </c>
      <c r="M35" s="18" t="n">
        <v>0</v>
      </c>
      <c r="N35" s="20" t="n">
        <v>0</v>
      </c>
      <c r="O35" s="18" t="n">
        <v>0</v>
      </c>
      <c r="P35" s="20" t="n">
        <v>0</v>
      </c>
      <c r="Q35" s="18" t="n">
        <v>1.60727699</v>
      </c>
      <c r="R35" s="20" t="n">
        <v>0.54642663</v>
      </c>
    </row>
    <row r="36" spans="1:18">
      <c r="A36" s="15" t="s">
        <v>594</v>
      </c>
      <c r="B36" s="17" t="n">
        <v>3404</v>
      </c>
      <c r="C36" s="18">
        <f>(2711.0/B36*100)</f>
        <v/>
      </c>
      <c r="D36" s="19" t="n">
        <v>693</v>
      </c>
      <c r="E36" s="18" t="n">
        <v>51.64125275</v>
      </c>
      <c r="F36" s="20" t="n">
        <v>2.27740235</v>
      </c>
      <c r="G36" s="18" t="n">
        <v>45.1705748</v>
      </c>
      <c r="H36" s="20" t="n">
        <v>2.4288944</v>
      </c>
      <c r="I36" s="18" t="n">
        <v>0</v>
      </c>
      <c r="J36" s="20" t="n">
        <v>0</v>
      </c>
      <c r="K36" s="18" t="n">
        <v>0.88472152</v>
      </c>
      <c r="L36" s="20" t="n">
        <v>0.36825097</v>
      </c>
      <c r="M36" s="18" t="n">
        <v>0</v>
      </c>
      <c r="N36" s="20" t="n">
        <v>0</v>
      </c>
      <c r="O36" s="18" t="n">
        <v>0</v>
      </c>
      <c r="P36" s="20" t="n">
        <v>0</v>
      </c>
      <c r="Q36" s="18" t="n">
        <v>2.30345094</v>
      </c>
      <c r="R36" s="20" t="n">
        <v>0.59327032</v>
      </c>
    </row>
    <row r="37" spans="1:18">
      <c r="A37" s="15" t="s">
        <v>595</v>
      </c>
      <c r="B37" s="17" t="n">
        <v>2731</v>
      </c>
      <c r="C37" s="18">
        <f>(2160.0/B37*100)</f>
        <v/>
      </c>
      <c r="D37" s="19" t="n">
        <v>571</v>
      </c>
      <c r="E37" s="18" t="n">
        <v>55.77478544</v>
      </c>
      <c r="F37" s="20" t="n">
        <v>1.98840814</v>
      </c>
      <c r="G37" s="18" t="n">
        <v>35.88869388</v>
      </c>
      <c r="H37" s="20" t="n">
        <v>2.09573314</v>
      </c>
      <c r="I37" s="18" t="n">
        <v>0</v>
      </c>
      <c r="J37" s="20" t="n">
        <v>0</v>
      </c>
      <c r="K37" s="18" t="n">
        <v>5.97917788</v>
      </c>
      <c r="L37" s="20" t="n">
        <v>1.21528119</v>
      </c>
      <c r="M37" s="18" t="n">
        <v>0</v>
      </c>
      <c r="N37" s="20" t="n">
        <v>0</v>
      </c>
      <c r="O37" s="18" t="n">
        <v>0</v>
      </c>
      <c r="P37" s="20" t="n">
        <v>0</v>
      </c>
      <c r="Q37" s="18" t="n">
        <v>2.35734281</v>
      </c>
      <c r="R37" s="20" t="n">
        <v>0.63807952</v>
      </c>
    </row>
    <row r="38" spans="1:18">
      <c r="A38" s="15" t="s">
        <v>596</v>
      </c>
      <c r="B38" s="17" t="n">
        <v>2807</v>
      </c>
      <c r="C38" s="18">
        <f>(2172.0/B38*100)</f>
        <v/>
      </c>
      <c r="D38" s="19" t="n">
        <v>635</v>
      </c>
      <c r="E38" s="18" t="n">
        <v>59.09691156</v>
      </c>
      <c r="F38" s="20" t="n">
        <v>2.24361077</v>
      </c>
      <c r="G38" s="18" t="n">
        <v>37.081437</v>
      </c>
      <c r="H38" s="20" t="n">
        <v>2.1039855</v>
      </c>
      <c r="I38" s="18" t="n">
        <v>0</v>
      </c>
      <c r="J38" s="20" t="n">
        <v>0</v>
      </c>
      <c r="K38" s="18" t="n">
        <v>2.69748728</v>
      </c>
      <c r="L38" s="20" t="n">
        <v>0.83330528</v>
      </c>
      <c r="M38" s="18" t="n">
        <v>0</v>
      </c>
      <c r="N38" s="20" t="n">
        <v>0</v>
      </c>
      <c r="O38" s="18" t="n">
        <v>0</v>
      </c>
      <c r="P38" s="20" t="n">
        <v>0</v>
      </c>
      <c r="Q38" s="18" t="n">
        <v>1.12416416</v>
      </c>
      <c r="R38" s="20" t="n">
        <v>0.42398219</v>
      </c>
    </row>
    <row r="39" spans="1:18">
      <c r="A39" s="15" t="s">
        <v>597</v>
      </c>
      <c r="B39" s="17" t="n">
        <v>2938</v>
      </c>
      <c r="C39" s="18">
        <f>(2290.0/B39*100)</f>
        <v/>
      </c>
      <c r="D39" s="19" t="n">
        <v>648</v>
      </c>
      <c r="E39" s="18" t="n">
        <v>74.25474486</v>
      </c>
      <c r="F39" s="20" t="n">
        <v>1.90163621</v>
      </c>
      <c r="G39" s="18" t="n">
        <v>21.39814855</v>
      </c>
      <c r="H39" s="20" t="n">
        <v>1.66658845</v>
      </c>
      <c r="I39" s="18" t="n">
        <v>0</v>
      </c>
      <c r="J39" s="20" t="n">
        <v>0</v>
      </c>
      <c r="K39" s="18" t="n">
        <v>1.09242327</v>
      </c>
      <c r="L39" s="20" t="n">
        <v>0.25469849</v>
      </c>
      <c r="M39" s="18" t="n">
        <v>0</v>
      </c>
      <c r="N39" s="20" t="n">
        <v>0</v>
      </c>
      <c r="O39" s="18" t="n">
        <v>0</v>
      </c>
      <c r="P39" s="20" t="n">
        <v>0</v>
      </c>
      <c r="Q39" s="18" t="n">
        <v>3.25468332</v>
      </c>
      <c r="R39" s="20" t="n">
        <v>0.99830285</v>
      </c>
    </row>
    <row r="40" spans="1:18">
      <c r="A40" s="15" t="s">
        <v>598</v>
      </c>
      <c r="B40" s="17" t="n">
        <v>6922</v>
      </c>
      <c r="C40" s="18">
        <f>(5379.0/B40*100)</f>
        <v/>
      </c>
      <c r="D40" s="19" t="n">
        <v>1543</v>
      </c>
      <c r="E40" s="18" t="n">
        <v>54.24941234</v>
      </c>
      <c r="F40" s="20" t="n">
        <v>2.09115407</v>
      </c>
      <c r="G40" s="18" t="n">
        <v>43.15159973</v>
      </c>
      <c r="H40" s="20" t="n">
        <v>2.14565816</v>
      </c>
      <c r="I40" s="18" t="n">
        <v>0</v>
      </c>
      <c r="J40" s="20" t="n">
        <v>0</v>
      </c>
      <c r="K40" s="18" t="n">
        <v>1.82855548</v>
      </c>
      <c r="L40" s="20" t="n">
        <v>0.50493218</v>
      </c>
      <c r="M40" s="18" t="n">
        <v>0</v>
      </c>
      <c r="N40" s="20" t="n">
        <v>0</v>
      </c>
      <c r="O40" s="18" t="n">
        <v>0</v>
      </c>
      <c r="P40" s="20" t="n">
        <v>0</v>
      </c>
      <c r="Q40" s="18" t="n">
        <v>0.77043245</v>
      </c>
      <c r="R40" s="20" t="n">
        <v>0.26627079</v>
      </c>
    </row>
    <row r="41" spans="1:18">
      <c r="A41" s="15" t="s">
        <v>599</v>
      </c>
      <c r="B41" s="17" t="n">
        <v>2854</v>
      </c>
      <c r="C41" s="18">
        <f>(2269.0/B41*100)</f>
        <v/>
      </c>
      <c r="D41" s="19" t="n">
        <v>585</v>
      </c>
      <c r="E41" s="18" t="n">
        <v>57.43242741</v>
      </c>
      <c r="F41" s="20" t="n">
        <v>1.99256477</v>
      </c>
      <c r="G41" s="18" t="n">
        <v>40.04059194</v>
      </c>
      <c r="H41" s="20" t="n">
        <v>2.00812539</v>
      </c>
      <c r="I41" s="18" t="n">
        <v>0</v>
      </c>
      <c r="J41" s="20" t="n">
        <v>0</v>
      </c>
      <c r="K41" s="18" t="n">
        <v>1.37007273</v>
      </c>
      <c r="L41" s="20" t="n">
        <v>0.44618741</v>
      </c>
      <c r="M41" s="18" t="n">
        <v>0</v>
      </c>
      <c r="N41" s="20" t="n">
        <v>0</v>
      </c>
      <c r="O41" s="18" t="n">
        <v>0</v>
      </c>
      <c r="P41" s="20" t="n">
        <v>0</v>
      </c>
      <c r="Q41" s="18" t="n">
        <v>1.15690792</v>
      </c>
      <c r="R41" s="20" t="n">
        <v>0.38886867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(10306.0/B46*100)</f>
        <v/>
      </c>
      <c r="D46" s="19" t="n">
        <v>1767</v>
      </c>
      <c r="E46" s="18" t="n">
        <v>64.30012859</v>
      </c>
      <c r="F46" s="20" t="n">
        <v>1.67088035</v>
      </c>
      <c r="G46" s="18" t="n">
        <v>23.35167676</v>
      </c>
      <c r="H46" s="20" t="n">
        <v>1.5730734</v>
      </c>
      <c r="I46" s="18" t="n">
        <v>0</v>
      </c>
      <c r="J46" s="20" t="n">
        <v>0</v>
      </c>
      <c r="K46" s="18" t="n">
        <v>6.86888317</v>
      </c>
      <c r="L46" s="20" t="n">
        <v>0.8609528400000001</v>
      </c>
      <c r="M46" s="18" t="n">
        <v>0</v>
      </c>
      <c r="N46" s="20" t="n">
        <v>0</v>
      </c>
      <c r="O46" s="18" t="n">
        <v>0</v>
      </c>
      <c r="P46" s="20" t="n">
        <v>0</v>
      </c>
      <c r="Q46" s="18" t="n">
        <v>5.47931148</v>
      </c>
      <c r="R46" s="20" t="n">
        <v>0.66491827</v>
      </c>
    </row>
    <row r="47" spans="1:18">
      <c r="A47" s="15" t="s">
        <v>606</v>
      </c>
      <c r="B47" s="17" t="n">
        <v>2823</v>
      </c>
      <c r="C47" s="18">
        <f>(2244.0/B47*100)</f>
        <v/>
      </c>
      <c r="D47" s="19" t="n">
        <v>579</v>
      </c>
      <c r="E47" s="18" t="n">
        <v>57.87825146</v>
      </c>
      <c r="F47" s="20" t="n">
        <v>2.42450818</v>
      </c>
      <c r="G47" s="18" t="n">
        <v>37.56840454</v>
      </c>
      <c r="H47" s="20" t="n">
        <v>2.4274568</v>
      </c>
      <c r="I47" s="18" t="n">
        <v>0</v>
      </c>
      <c r="J47" s="20" t="n">
        <v>0</v>
      </c>
      <c r="K47" s="18" t="n">
        <v>3.55866692</v>
      </c>
      <c r="L47" s="20" t="n">
        <v>0.8481315699999999</v>
      </c>
      <c r="M47" s="18" t="n">
        <v>0</v>
      </c>
      <c r="N47" s="20" t="n">
        <v>0</v>
      </c>
      <c r="O47" s="18" t="n">
        <v>0</v>
      </c>
      <c r="P47" s="20" t="n">
        <v>0</v>
      </c>
      <c r="Q47" s="18" t="n">
        <v>0.9946770700000001</v>
      </c>
      <c r="R47" s="20" t="n">
        <v>0.3856166</v>
      </c>
    </row>
    <row r="48" spans="1:18">
      <c r="A48" s="15" t="s">
        <v>607</v>
      </c>
      <c r="B48" s="17" t="n">
        <v>4682</v>
      </c>
      <c r="C48" s="18">
        <f>(3625.0/B48*100)</f>
        <v/>
      </c>
      <c r="D48" s="19" t="n">
        <v>1057</v>
      </c>
      <c r="E48" s="18" t="n">
        <v>57.94731777</v>
      </c>
      <c r="F48" s="20" t="n">
        <v>2.00199102</v>
      </c>
      <c r="G48" s="18" t="n">
        <v>38.49042689</v>
      </c>
      <c r="H48" s="20" t="n">
        <v>2.15128976</v>
      </c>
      <c r="I48" s="18" t="n">
        <v>0</v>
      </c>
      <c r="J48" s="20" t="n">
        <v>0</v>
      </c>
      <c r="K48" s="18" t="n">
        <v>1.94068408</v>
      </c>
      <c r="L48" s="20" t="n">
        <v>0.71592522</v>
      </c>
      <c r="M48" s="18" t="n">
        <v>0</v>
      </c>
      <c r="N48" s="20" t="n">
        <v>0</v>
      </c>
      <c r="O48" s="18" t="n">
        <v>0</v>
      </c>
      <c r="P48" s="20" t="n">
        <v>0</v>
      </c>
      <c r="Q48" s="18" t="n">
        <v>1.62157127</v>
      </c>
      <c r="R48" s="20" t="n">
        <v>0.57045029</v>
      </c>
    </row>
    <row r="49" spans="1:18">
      <c r="A49" s="15" t="s">
        <v>608</v>
      </c>
      <c r="B49" s="17" t="n">
        <v>6158</v>
      </c>
      <c r="C49" s="18">
        <f>(4906.0/B49*100)</f>
        <v/>
      </c>
      <c r="D49" s="19" t="n">
        <v>1252</v>
      </c>
      <c r="E49" s="18" t="n">
        <v>65.18108047</v>
      </c>
      <c r="F49" s="20" t="n">
        <v>1.86901383</v>
      </c>
      <c r="G49" s="18" t="n">
        <v>24.02611217</v>
      </c>
      <c r="H49" s="20" t="n">
        <v>1.77828298</v>
      </c>
      <c r="I49" s="18" t="n">
        <v>0</v>
      </c>
      <c r="J49" s="20" t="n">
        <v>0</v>
      </c>
      <c r="K49" s="18" t="n">
        <v>7.28410744</v>
      </c>
      <c r="L49" s="20" t="n">
        <v>1.02544858</v>
      </c>
      <c r="M49" s="18" t="n">
        <v>0</v>
      </c>
      <c r="N49" s="20" t="n">
        <v>0</v>
      </c>
      <c r="O49" s="18" t="n">
        <v>0</v>
      </c>
      <c r="P49" s="20" t="n">
        <v>0</v>
      </c>
      <c r="Q49" s="18" t="n">
        <v>3.50869993</v>
      </c>
      <c r="R49" s="20" t="n">
        <v>0.79359705</v>
      </c>
    </row>
    <row r="50" spans="1:18">
      <c r="A50" s="15" t="s">
        <v>609</v>
      </c>
      <c r="B50" s="17" t="n">
        <v>3494</v>
      </c>
      <c r="C50" s="18">
        <f>(2897.0/B50*100)</f>
        <v/>
      </c>
      <c r="D50" s="19" t="n">
        <v>597</v>
      </c>
      <c r="E50" s="18" t="n">
        <v>66.64168266999999</v>
      </c>
      <c r="F50" s="20" t="n">
        <v>2.09562035</v>
      </c>
      <c r="G50" s="18" t="n">
        <v>26.13040682</v>
      </c>
      <c r="H50" s="20" t="n">
        <v>1.91532752</v>
      </c>
      <c r="I50" s="18" t="n">
        <v>0</v>
      </c>
      <c r="J50" s="20" t="n">
        <v>0</v>
      </c>
      <c r="K50" s="18" t="n">
        <v>4.0409302</v>
      </c>
      <c r="L50" s="20" t="n">
        <v>0.91720599</v>
      </c>
      <c r="M50" s="18" t="n">
        <v>0</v>
      </c>
      <c r="N50" s="20" t="n">
        <v>0</v>
      </c>
      <c r="O50" s="18" t="n">
        <v>0</v>
      </c>
      <c r="P50" s="20" t="n">
        <v>0</v>
      </c>
      <c r="Q50" s="18" t="n">
        <v>3.18698032</v>
      </c>
      <c r="R50" s="20" t="n">
        <v>0.73523242</v>
      </c>
    </row>
    <row r="51" spans="1:18">
      <c r="A51" s="15" t="s">
        <v>610</v>
      </c>
      <c r="B51" s="17" t="n">
        <v>3013</v>
      </c>
      <c r="C51" s="18">
        <f>(2372.0/B51*100)</f>
        <v/>
      </c>
      <c r="D51" s="19" t="n">
        <v>641</v>
      </c>
      <c r="E51" s="18" t="n">
        <v>68.53005879</v>
      </c>
      <c r="F51" s="20" t="n">
        <v>1.58145261</v>
      </c>
      <c r="G51" s="18" t="n">
        <v>28.07207023</v>
      </c>
      <c r="H51" s="20" t="n">
        <v>1.57030856</v>
      </c>
      <c r="I51" s="18" t="n">
        <v>0</v>
      </c>
      <c r="J51" s="20" t="n">
        <v>0</v>
      </c>
      <c r="K51" s="18" t="n">
        <v>0.91506245</v>
      </c>
      <c r="L51" s="20" t="n">
        <v>0.39900209</v>
      </c>
      <c r="M51" s="18" t="n">
        <v>0</v>
      </c>
      <c r="N51" s="20" t="n">
        <v>0</v>
      </c>
      <c r="O51" s="18" t="n">
        <v>0</v>
      </c>
      <c r="P51" s="20" t="n">
        <v>0</v>
      </c>
      <c r="Q51" s="18" t="n">
        <v>2.48280853</v>
      </c>
      <c r="R51" s="20" t="n">
        <v>0.63416879</v>
      </c>
    </row>
    <row r="52" spans="1:18">
      <c r="A52" s="15" t="s">
        <v>611</v>
      </c>
      <c r="B52" s="17" t="n">
        <v>2760</v>
      </c>
      <c r="C52" s="18">
        <f>(2194.0/B52*100)</f>
        <v/>
      </c>
      <c r="D52" s="19" t="n">
        <v>566</v>
      </c>
      <c r="E52" s="18" t="n">
        <v>73.1425874</v>
      </c>
      <c r="F52" s="20" t="n">
        <v>1.67623347</v>
      </c>
      <c r="G52" s="18" t="n">
        <v>23.3815873</v>
      </c>
      <c r="H52" s="20" t="n">
        <v>1.57734994</v>
      </c>
      <c r="I52" s="18" t="n">
        <v>0</v>
      </c>
      <c r="J52" s="20" t="n">
        <v>0</v>
      </c>
      <c r="K52" s="18" t="n">
        <v>1.77089955</v>
      </c>
      <c r="L52" s="20" t="n">
        <v>0.58105662</v>
      </c>
      <c r="M52" s="18" t="n">
        <v>0</v>
      </c>
      <c r="N52" s="20" t="n">
        <v>0</v>
      </c>
      <c r="O52" s="18" t="n">
        <v>0</v>
      </c>
      <c r="P52" s="20" t="n">
        <v>0</v>
      </c>
      <c r="Q52" s="18" t="n">
        <v>1.70492575</v>
      </c>
      <c r="R52" s="20" t="n">
        <v>0.6541944200000001</v>
      </c>
    </row>
    <row r="53" spans="1:18">
      <c r="A53" s="15" t="s">
        <v>612</v>
      </c>
      <c r="B53" s="17" t="n">
        <v>2474</v>
      </c>
      <c r="C53" s="18">
        <f>(1946.0/B53*100)</f>
        <v/>
      </c>
      <c r="D53" s="19" t="n">
        <v>528</v>
      </c>
      <c r="E53" s="18" t="n">
        <v>51.09593931</v>
      </c>
      <c r="F53" s="20" t="n">
        <v>2.64926747</v>
      </c>
      <c r="G53" s="18" t="n">
        <v>9.02693077</v>
      </c>
      <c r="H53" s="20" t="n">
        <v>1.22241703</v>
      </c>
      <c r="I53" s="18" t="n">
        <v>0</v>
      </c>
      <c r="J53" s="20" t="n">
        <v>0</v>
      </c>
      <c r="K53" s="18" t="n">
        <v>29.50014931</v>
      </c>
      <c r="L53" s="20" t="n">
        <v>2.2748672</v>
      </c>
      <c r="M53" s="18" t="n">
        <v>0</v>
      </c>
      <c r="N53" s="20" t="n">
        <v>0</v>
      </c>
      <c r="O53" s="18" t="n">
        <v>0</v>
      </c>
      <c r="P53" s="20" t="n">
        <v>0</v>
      </c>
      <c r="Q53" s="18" t="n">
        <v>10.37698061</v>
      </c>
      <c r="R53" s="20" t="n">
        <v>1.6407466</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(2116.0/B55*100)</f>
        <v/>
      </c>
      <c r="D55" s="19" t="n">
        <v>559</v>
      </c>
      <c r="E55" s="18" t="n">
        <v>66.48475501999999</v>
      </c>
      <c r="F55" s="20" t="n">
        <v>2.1430133</v>
      </c>
      <c r="G55" s="18" t="n">
        <v>32.04922779</v>
      </c>
      <c r="H55" s="20" t="n">
        <v>2.11975545</v>
      </c>
      <c r="I55" s="18" t="n">
        <v>0</v>
      </c>
      <c r="J55" s="20" t="n">
        <v>0</v>
      </c>
      <c r="K55" s="18" t="n">
        <v>0.54390715</v>
      </c>
      <c r="L55" s="20" t="n">
        <v>0.31476573</v>
      </c>
      <c r="M55" s="18" t="n">
        <v>0</v>
      </c>
      <c r="N55" s="20" t="n">
        <v>0</v>
      </c>
      <c r="O55" s="18" t="n">
        <v>0</v>
      </c>
      <c r="P55" s="20" t="n">
        <v>0</v>
      </c>
      <c r="Q55" s="18" t="n">
        <v>0.92211004</v>
      </c>
      <c r="R55" s="20" t="n">
        <v>0.41678939</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(2522.0/B61*100)</f>
        <v/>
      </c>
      <c r="D61" s="19" t="n">
        <v>679</v>
      </c>
      <c r="E61" s="18" t="n">
        <v>71.6634969</v>
      </c>
      <c r="F61" s="20" t="n">
        <v>2.05395427</v>
      </c>
      <c r="G61" s="18" t="n">
        <v>25.52981452</v>
      </c>
      <c r="H61" s="20" t="n">
        <v>1.92221941</v>
      </c>
      <c r="I61" s="18" t="n">
        <v>0</v>
      </c>
      <c r="J61" s="20" t="n">
        <v>0</v>
      </c>
      <c r="K61" s="18" t="n">
        <v>1.05447866</v>
      </c>
      <c r="L61" s="20" t="n">
        <v>0.42640453</v>
      </c>
      <c r="M61" s="18" t="n">
        <v>0</v>
      </c>
      <c r="N61" s="20" t="n">
        <v>0</v>
      </c>
      <c r="O61" s="18" t="n">
        <v>0</v>
      </c>
      <c r="P61" s="20" t="n">
        <v>0</v>
      </c>
      <c r="Q61" s="18" t="n">
        <v>1.75220992</v>
      </c>
      <c r="R61" s="20" t="n">
        <v>0.56349776</v>
      </c>
    </row>
    <row r="62" spans="1:18">
      <c r="A62" s="15" t="s">
        <v>622</v>
      </c>
      <c r="B62" s="17" t="n">
        <v>2230</v>
      </c>
      <c r="C62" s="18">
        <f>(1749.0/B62*100)</f>
        <v/>
      </c>
      <c r="D62" s="19" t="n">
        <v>481</v>
      </c>
      <c r="E62" s="18" t="n">
        <v>62.22200712</v>
      </c>
      <c r="F62" s="20" t="n">
        <v>2.08414877</v>
      </c>
      <c r="G62" s="18" t="n">
        <v>37.15855327</v>
      </c>
      <c r="H62" s="20" t="n">
        <v>2.08243598</v>
      </c>
      <c r="I62" s="18" t="n">
        <v>0</v>
      </c>
      <c r="J62" s="20" t="n">
        <v>0</v>
      </c>
      <c r="K62" s="18" t="n">
        <v>0</v>
      </c>
      <c r="L62" s="20" t="n">
        <v>0</v>
      </c>
      <c r="M62" s="18" t="n">
        <v>0</v>
      </c>
      <c r="N62" s="20" t="n">
        <v>0</v>
      </c>
      <c r="O62" s="18" t="n">
        <v>0</v>
      </c>
      <c r="P62" s="20" t="n">
        <v>0</v>
      </c>
      <c r="Q62" s="18" t="n">
        <v>0.61943961</v>
      </c>
      <c r="R62" s="20" t="n">
        <v>0.35612291</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(2217.0/B67*100)</f>
        <v/>
      </c>
      <c r="D67" s="19" t="n">
        <v>554</v>
      </c>
      <c r="E67" s="18" t="n">
        <v>64.85958865000001</v>
      </c>
      <c r="F67" s="20" t="n">
        <v>2.2686421</v>
      </c>
      <c r="G67" s="18" t="n">
        <v>23.56869544</v>
      </c>
      <c r="H67" s="20" t="n">
        <v>1.93086071</v>
      </c>
      <c r="I67" s="18" t="n">
        <v>0</v>
      </c>
      <c r="J67" s="20" t="n">
        <v>0</v>
      </c>
      <c r="K67" s="18" t="n">
        <v>6.6531618</v>
      </c>
      <c r="L67" s="20" t="n">
        <v>1.10731408</v>
      </c>
      <c r="M67" s="18" t="n">
        <v>0</v>
      </c>
      <c r="N67" s="20" t="n">
        <v>0</v>
      </c>
      <c r="O67" s="18" t="n">
        <v>0</v>
      </c>
      <c r="P67" s="20" t="n">
        <v>0</v>
      </c>
      <c r="Q67" s="18" t="n">
        <v>4.91855411</v>
      </c>
      <c r="R67" s="20" t="n">
        <v>0.75869248</v>
      </c>
    </row>
    <row r="68" spans="1:18">
      <c r="A68" s="15" t="s">
        <v>628</v>
      </c>
      <c r="B68" s="17" t="n">
        <v>3460</v>
      </c>
      <c r="C68" s="18">
        <f>(2909.0/B68*100)</f>
        <v/>
      </c>
      <c r="D68" s="19" t="n">
        <v>551</v>
      </c>
      <c r="E68" s="18" t="n">
        <v>63.23500586</v>
      </c>
      <c r="F68" s="20" t="n">
        <v>2.17172452</v>
      </c>
      <c r="G68" s="18" t="n">
        <v>25.96992708</v>
      </c>
      <c r="H68" s="20" t="n">
        <v>2.20407684</v>
      </c>
      <c r="I68" s="18" t="n">
        <v>0</v>
      </c>
      <c r="J68" s="20" t="n">
        <v>0</v>
      </c>
      <c r="K68" s="18" t="n">
        <v>3.85616563</v>
      </c>
      <c r="L68" s="20" t="n">
        <v>1.0034187</v>
      </c>
      <c r="M68" s="18" t="n">
        <v>0</v>
      </c>
      <c r="N68" s="20" t="n">
        <v>0</v>
      </c>
      <c r="O68" s="18" t="n">
        <v>0</v>
      </c>
      <c r="P68" s="20" t="n">
        <v>0</v>
      </c>
      <c r="Q68" s="18" t="n">
        <v>6.93890143</v>
      </c>
      <c r="R68" s="20" t="n">
        <v>1.09286128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(4719.0/B70*100)</f>
        <v/>
      </c>
      <c r="D70" s="19" t="n">
        <v>1315</v>
      </c>
      <c r="E70" s="18" t="n">
        <v>61.31937589</v>
      </c>
      <c r="F70" s="20" t="n">
        <v>1.32561943</v>
      </c>
      <c r="G70" s="18" t="n">
        <v>29.4072273</v>
      </c>
      <c r="H70" s="20" t="n">
        <v>1.34745156</v>
      </c>
      <c r="I70" s="18" t="n">
        <v>0</v>
      </c>
      <c r="J70" s="20" t="n">
        <v>0</v>
      </c>
      <c r="K70" s="18" t="n">
        <v>8.05046484</v>
      </c>
      <c r="L70" s="20" t="n">
        <v>0.77967864</v>
      </c>
      <c r="M70" s="18" t="n">
        <v>0</v>
      </c>
      <c r="N70" s="20" t="n">
        <v>0</v>
      </c>
      <c r="O70" s="18" t="n">
        <v>0</v>
      </c>
      <c r="P70" s="20" t="n">
        <v>0</v>
      </c>
      <c r="Q70" s="18" t="n">
        <v>1.22293198</v>
      </c>
      <c r="R70" s="20" t="n">
        <v>0.32082914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(2461.0/B72*100)</f>
        <v/>
      </c>
      <c r="D72" s="19" t="n">
        <v>646</v>
      </c>
      <c r="E72" s="18" t="n">
        <v>71.69989146</v>
      </c>
      <c r="F72" s="20" t="n">
        <v>2.61498696</v>
      </c>
      <c r="G72" s="18" t="n">
        <v>24.37041118</v>
      </c>
      <c r="H72" s="20" t="n">
        <v>2.500542</v>
      </c>
      <c r="I72" s="18" t="n">
        <v>0</v>
      </c>
      <c r="J72" s="20" t="n">
        <v>0</v>
      </c>
      <c r="K72" s="18" t="n">
        <v>1.9895897</v>
      </c>
      <c r="L72" s="20" t="n">
        <v>0.57710614</v>
      </c>
      <c r="M72" s="18" t="n">
        <v>0</v>
      </c>
      <c r="N72" s="20" t="n">
        <v>0</v>
      </c>
      <c r="O72" s="18" t="n">
        <v>0</v>
      </c>
      <c r="P72" s="20" t="n">
        <v>0</v>
      </c>
      <c r="Q72" s="18" t="n">
        <v>1.94010766</v>
      </c>
      <c r="R72" s="20" t="n">
        <v>0.54050021</v>
      </c>
    </row>
    <row r="73" spans="1:18">
      <c r="A73" s="15" t="s">
        <v>633</v>
      </c>
      <c r="B73" s="17" t="n">
        <v>2973</v>
      </c>
      <c r="C73" s="18">
        <f>(2304.0/B73*100)</f>
        <v/>
      </c>
      <c r="D73" s="19" t="n">
        <v>669</v>
      </c>
      <c r="E73" s="18" t="n">
        <v>40.30447967</v>
      </c>
      <c r="F73" s="20" t="n">
        <v>1.8841583</v>
      </c>
      <c r="G73" s="18" t="n">
        <v>57.59749732</v>
      </c>
      <c r="H73" s="20" t="n">
        <v>1.86726472</v>
      </c>
      <c r="I73" s="18" t="n">
        <v>0</v>
      </c>
      <c r="J73" s="20" t="n">
        <v>0</v>
      </c>
      <c r="K73" s="18" t="n">
        <v>1.23521907</v>
      </c>
      <c r="L73" s="20" t="n">
        <v>0.4377788</v>
      </c>
      <c r="M73" s="18" t="n">
        <v>0</v>
      </c>
      <c r="N73" s="20" t="n">
        <v>0</v>
      </c>
      <c r="O73" s="18" t="n">
        <v>0</v>
      </c>
      <c r="P73" s="20" t="n">
        <v>0</v>
      </c>
      <c r="Q73" s="18" t="n">
        <v>0.86280395</v>
      </c>
      <c r="R73" s="20" t="n">
        <v>0.35938129</v>
      </c>
    </row>
    <row r="74" spans="1:18">
      <c r="A74" s="15" t="s">
        <v>634</v>
      </c>
      <c r="B74" s="17" t="n">
        <v>3819</v>
      </c>
      <c r="C74" s="18">
        <f>(2942.0/B74*100)</f>
        <v/>
      </c>
      <c r="D74" s="19" t="n">
        <v>877</v>
      </c>
      <c r="E74" s="18" t="n">
        <v>54.9503246</v>
      </c>
      <c r="F74" s="20" t="n">
        <v>2.12728167</v>
      </c>
      <c r="G74" s="18" t="n">
        <v>44.12506936</v>
      </c>
      <c r="H74" s="20" t="n">
        <v>2.13991458</v>
      </c>
      <c r="I74" s="18" t="n">
        <v>0</v>
      </c>
      <c r="J74" s="20" t="n">
        <v>0</v>
      </c>
      <c r="K74" s="18" t="n">
        <v>0.68649901</v>
      </c>
      <c r="L74" s="20" t="n">
        <v>0.24159409</v>
      </c>
      <c r="M74" s="18" t="n">
        <v>0</v>
      </c>
      <c r="N74" s="20" t="n">
        <v>0</v>
      </c>
      <c r="O74" s="18" t="n">
        <v>0</v>
      </c>
      <c r="P74" s="20" t="n">
        <v>0</v>
      </c>
      <c r="Q74" s="18" t="n">
        <v>0.23810703</v>
      </c>
      <c r="R74" s="20" t="n">
        <v>0.17526563</v>
      </c>
    </row>
    <row r="75" spans="1:18">
      <c r="A75" s="15" t="s">
        <v>635</v>
      </c>
      <c r="B75" s="17" t="n">
        <v>4652</v>
      </c>
      <c r="C75" s="18">
        <f>(3708.0/B75*100)</f>
        <v/>
      </c>
      <c r="D75" s="19" t="n">
        <v>944</v>
      </c>
      <c r="E75" s="18" t="n">
        <v>70.54564231000001</v>
      </c>
      <c r="F75" s="20" t="n">
        <v>1.86203876</v>
      </c>
      <c r="G75" s="18" t="n">
        <v>27.55022216</v>
      </c>
      <c r="H75" s="20" t="n">
        <v>1.83179659</v>
      </c>
      <c r="I75" s="18" t="n">
        <v>0</v>
      </c>
      <c r="J75" s="20" t="n">
        <v>0</v>
      </c>
      <c r="K75" s="18" t="n">
        <v>0.64580857</v>
      </c>
      <c r="L75" s="20" t="n">
        <v>0.27732028</v>
      </c>
      <c r="M75" s="18" t="n">
        <v>0</v>
      </c>
      <c r="N75" s="20" t="n">
        <v>0</v>
      </c>
      <c r="O75" s="18" t="n">
        <v>0</v>
      </c>
      <c r="P75" s="20" t="n">
        <v>0</v>
      </c>
      <c r="Q75" s="18" t="n">
        <v>1.25832696</v>
      </c>
      <c r="R75" s="20" t="n">
        <v>0.50883387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(2424.0/B77*100)</f>
        <v/>
      </c>
      <c r="D77" s="19" t="n">
        <v>545</v>
      </c>
      <c r="E77" s="18" t="n">
        <v>71.61738574</v>
      </c>
      <c r="F77" s="20" t="n">
        <v>1.80064966</v>
      </c>
      <c r="G77" s="18" t="n">
        <v>13.89101407</v>
      </c>
      <c r="H77" s="20" t="n">
        <v>1.37169578</v>
      </c>
      <c r="I77" s="18" t="n">
        <v>0</v>
      </c>
      <c r="J77" s="20" t="n">
        <v>0</v>
      </c>
      <c r="K77" s="18" t="n">
        <v>10.58164777</v>
      </c>
      <c r="L77" s="20" t="n">
        <v>1.53053455</v>
      </c>
      <c r="M77" s="18" t="n">
        <v>0</v>
      </c>
      <c r="N77" s="20" t="n">
        <v>0</v>
      </c>
      <c r="O77" s="18" t="n">
        <v>0</v>
      </c>
      <c r="P77" s="20" t="n">
        <v>0</v>
      </c>
      <c r="Q77" s="18" t="n">
        <v>3.90995242</v>
      </c>
      <c r="R77" s="20" t="n">
        <v>0.83774498</v>
      </c>
    </row>
    <row r="78" spans="1:18">
      <c r="A78" s="15" t="s">
        <v>638</v>
      </c>
      <c r="B78" s="17" t="n">
        <v>7115</v>
      </c>
      <c r="C78" s="18">
        <f>(5575.0/B78*100)</f>
        <v/>
      </c>
      <c r="D78" s="19" t="n">
        <v>1540</v>
      </c>
      <c r="E78" s="18" t="n">
        <v>59.88670371</v>
      </c>
      <c r="F78" s="20" t="n">
        <v>1.59296562</v>
      </c>
      <c r="G78" s="18" t="n">
        <v>37.07395144</v>
      </c>
      <c r="H78" s="20" t="n">
        <v>1.60108859</v>
      </c>
      <c r="I78" s="18" t="n">
        <v>0</v>
      </c>
      <c r="J78" s="20" t="n">
        <v>0</v>
      </c>
      <c r="K78" s="18" t="n">
        <v>1.95355013</v>
      </c>
      <c r="L78" s="20" t="n">
        <v>0.38932224</v>
      </c>
      <c r="M78" s="18" t="n">
        <v>0</v>
      </c>
      <c r="N78" s="20" t="n">
        <v>0</v>
      </c>
      <c r="O78" s="18" t="n">
        <v>0</v>
      </c>
      <c r="P78" s="20" t="n">
        <v>0</v>
      </c>
      <c r="Q78" s="18" t="n">
        <v>1.08579472</v>
      </c>
      <c r="R78" s="20" t="n">
        <v>0.29216849</v>
      </c>
    </row>
    <row r="79" spans="1:18">
      <c r="A79" s="15" t="s">
        <v>639</v>
      </c>
      <c r="B79" s="17" t="n">
        <v>3154</v>
      </c>
      <c r="C79" s="18">
        <f>(2543.0/B79*100)</f>
        <v/>
      </c>
      <c r="D79" s="19" t="n">
        <v>611</v>
      </c>
      <c r="E79" s="18" t="n">
        <v>63.61838841</v>
      </c>
      <c r="F79" s="20" t="n">
        <v>1.91099849</v>
      </c>
      <c r="G79" s="18" t="n">
        <v>24.4042665</v>
      </c>
      <c r="H79" s="20" t="n">
        <v>1.94607679</v>
      </c>
      <c r="I79" s="18" t="n">
        <v>0</v>
      </c>
      <c r="J79" s="20" t="n">
        <v>0</v>
      </c>
      <c r="K79" s="18" t="n">
        <v>5.71152093</v>
      </c>
      <c r="L79" s="20" t="n">
        <v>0.9498626</v>
      </c>
      <c r="M79" s="18" t="n">
        <v>0</v>
      </c>
      <c r="N79" s="20" t="n">
        <v>0</v>
      </c>
      <c r="O79" s="18" t="n">
        <v>0</v>
      </c>
      <c r="P79" s="20" t="n">
        <v>0</v>
      </c>
      <c r="Q79" s="18" t="n">
        <v>6.26582416</v>
      </c>
      <c r="R79" s="20" t="n">
        <v>1.16749548</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(12568.0/B82*100)</f>
        <v/>
      </c>
      <c r="D82" s="19" t="n">
        <v>3393</v>
      </c>
      <c r="E82" s="18" t="n">
        <v>53.30022012</v>
      </c>
      <c r="F82" s="20" t="n">
        <v>1.53355759</v>
      </c>
      <c r="G82" s="18" t="n">
        <v>43.40660065</v>
      </c>
      <c r="H82" s="20" t="n">
        <v>1.60482949</v>
      </c>
      <c r="I82" s="18" t="n">
        <v>0</v>
      </c>
      <c r="J82" s="20" t="n">
        <v>0</v>
      </c>
      <c r="K82" s="18" t="n">
        <v>1.28740297</v>
      </c>
      <c r="L82" s="20" t="n">
        <v>0.26443848</v>
      </c>
      <c r="M82" s="18" t="n">
        <v>0</v>
      </c>
      <c r="N82" s="20" t="n">
        <v>0</v>
      </c>
      <c r="O82" s="18" t="n">
        <v>0</v>
      </c>
      <c r="P82" s="20" t="n">
        <v>0</v>
      </c>
      <c r="Q82" s="18" t="n">
        <v>2.00577626</v>
      </c>
      <c r="R82" s="20" t="n">
        <v>0.31949632</v>
      </c>
    </row>
    <row r="83" spans="1:18">
      <c r="A83" s="15" t="s">
        <v>643</v>
      </c>
      <c r="B83" s="17" t="n">
        <v>808</v>
      </c>
      <c r="C83" s="18">
        <f>(630.0/B83*100)</f>
        <v/>
      </c>
      <c r="D83" s="19" t="n">
        <v>178</v>
      </c>
      <c r="E83" s="18" t="n">
        <v>48.74689024</v>
      </c>
      <c r="F83" s="20" t="n">
        <v>3.86836864</v>
      </c>
      <c r="G83" s="18" t="n">
        <v>50.237877</v>
      </c>
      <c r="H83" s="20" t="n">
        <v>4.15920308</v>
      </c>
      <c r="I83" s="18" t="n">
        <v>0</v>
      </c>
      <c r="J83" s="20" t="n">
        <v>0</v>
      </c>
      <c r="K83" s="18" t="n">
        <v>0.5485416</v>
      </c>
      <c r="L83" s="20" t="n">
        <v>0.55437854</v>
      </c>
      <c r="M83" s="18" t="n">
        <v>0</v>
      </c>
      <c r="N83" s="20" t="n">
        <v>0</v>
      </c>
      <c r="O83" s="18" t="n">
        <v>0</v>
      </c>
      <c r="P83" s="20" t="n">
        <v>0</v>
      </c>
      <c r="Q83" s="18" t="n">
        <v>0.46669116</v>
      </c>
      <c r="R83" s="20" t="n">
        <v>0.47016409</v>
      </c>
    </row>
    <row r="84" spans="1:18">
      <c r="A84" s="23" t="s">
        <v>644</v>
      </c>
      <c r="B84" s="24" t="n">
        <v>938</v>
      </c>
      <c r="C84" s="25">
        <f>(749.0/B84*100)</f>
        <v/>
      </c>
      <c r="D84" s="19" t="n">
        <v>189</v>
      </c>
      <c r="E84" s="18" t="n">
        <v>53.63497852</v>
      </c>
      <c r="F84" s="20" t="n">
        <v>4.80745932</v>
      </c>
      <c r="G84" s="18" t="n">
        <v>46.36502148</v>
      </c>
      <c r="H84" s="20" t="n">
        <v>4.80745932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(5714.0/B7*100)</f>
        <v/>
      </c>
      <c r="D7" s="19" t="n">
        <v>1449</v>
      </c>
      <c r="E7" s="18" t="n">
        <v>35.34342901</v>
      </c>
      <c r="F7" s="20" t="n">
        <v>1.30357633</v>
      </c>
      <c r="G7" s="18" t="n">
        <v>61.252774</v>
      </c>
      <c r="H7" s="20" t="n">
        <v>1.39854077</v>
      </c>
      <c r="I7" s="18" t="n">
        <v>0</v>
      </c>
      <c r="J7" s="20" t="n">
        <v>0</v>
      </c>
      <c r="K7" s="18" t="n">
        <v>3.20327565</v>
      </c>
      <c r="L7" s="20" t="n">
        <v>0.57123597</v>
      </c>
      <c r="M7" s="18" t="n">
        <v>0</v>
      </c>
      <c r="N7" s="20" t="n">
        <v>0</v>
      </c>
      <c r="O7" s="18" t="n">
        <v>0</v>
      </c>
      <c r="P7" s="20" t="n">
        <v>0</v>
      </c>
      <c r="Q7" s="18" t="n">
        <v>0.20052134</v>
      </c>
      <c r="R7" s="20" t="n">
        <v>0.14102703</v>
      </c>
    </row>
    <row r="8" spans="1:18">
      <c r="A8" s="15" t="s">
        <v>566</v>
      </c>
      <c r="B8" s="17" t="n">
        <v>3443</v>
      </c>
      <c r="C8" s="18">
        <f>(2692.0/B8*100)</f>
        <v/>
      </c>
      <c r="D8" s="19" t="n">
        <v>751</v>
      </c>
      <c r="E8" s="18" t="n">
        <v>40.44113792</v>
      </c>
      <c r="F8" s="20" t="n">
        <v>2.17513007</v>
      </c>
      <c r="G8" s="18" t="n">
        <v>57.95929216</v>
      </c>
      <c r="H8" s="20" t="n">
        <v>2.10975136</v>
      </c>
      <c r="I8" s="18" t="n">
        <v>0</v>
      </c>
      <c r="J8" s="20" t="n">
        <v>0</v>
      </c>
      <c r="K8" s="18" t="n">
        <v>1.32224284</v>
      </c>
      <c r="L8" s="20" t="n">
        <v>0.47821768</v>
      </c>
      <c r="M8" s="18" t="n">
        <v>0</v>
      </c>
      <c r="N8" s="20" t="n">
        <v>0</v>
      </c>
      <c r="O8" s="18" t="n">
        <v>0</v>
      </c>
      <c r="P8" s="20" t="n">
        <v>0</v>
      </c>
      <c r="Q8" s="18" t="n">
        <v>0.27732708</v>
      </c>
      <c r="R8" s="20" t="n">
        <v>0.1647593</v>
      </c>
    </row>
    <row r="9" spans="1:18">
      <c r="A9" s="15" t="s">
        <v>567</v>
      </c>
      <c r="B9" s="17" t="n">
        <v>4752</v>
      </c>
      <c r="C9" s="18">
        <f>(3803.0/B9*100)</f>
        <v/>
      </c>
      <c r="D9" s="19" t="n">
        <v>949</v>
      </c>
      <c r="E9" s="18" t="n">
        <v>38.41663819</v>
      </c>
      <c r="F9" s="20" t="n">
        <v>1.60956753</v>
      </c>
      <c r="G9" s="18" t="n">
        <v>56.67320636</v>
      </c>
      <c r="H9" s="20" t="n">
        <v>1.5525139</v>
      </c>
      <c r="I9" s="18" t="n">
        <v>0</v>
      </c>
      <c r="J9" s="20" t="n">
        <v>0</v>
      </c>
      <c r="K9" s="18" t="n">
        <v>4.62956294</v>
      </c>
      <c r="L9" s="20" t="n">
        <v>0.83965835</v>
      </c>
      <c r="M9" s="18" t="n">
        <v>0</v>
      </c>
      <c r="N9" s="20" t="n">
        <v>0</v>
      </c>
      <c r="O9" s="18" t="n">
        <v>0</v>
      </c>
      <c r="P9" s="20" t="n">
        <v>0</v>
      </c>
      <c r="Q9" s="18" t="n">
        <v>0.28059251</v>
      </c>
      <c r="R9" s="20" t="n">
        <v>0.18416776</v>
      </c>
    </row>
    <row r="10" spans="1:18">
      <c r="A10" s="15" t="s">
        <v>568</v>
      </c>
      <c r="B10" s="17" t="n">
        <v>10022</v>
      </c>
      <c r="C10" s="18">
        <f>(7887.0/B10*100)</f>
        <v/>
      </c>
      <c r="D10" s="19" t="n">
        <v>2135</v>
      </c>
      <c r="E10" s="18" t="n">
        <v>37.58390708</v>
      </c>
      <c r="F10" s="20" t="n">
        <v>1.2454745</v>
      </c>
      <c r="G10" s="18" t="n">
        <v>58.96371719</v>
      </c>
      <c r="H10" s="20" t="n">
        <v>1.40113936</v>
      </c>
      <c r="I10" s="18" t="n">
        <v>0</v>
      </c>
      <c r="J10" s="20" t="n">
        <v>0</v>
      </c>
      <c r="K10" s="18" t="n">
        <v>2.98305664</v>
      </c>
      <c r="L10" s="20" t="n">
        <v>0.71091658</v>
      </c>
      <c r="M10" s="18" t="n">
        <v>0</v>
      </c>
      <c r="N10" s="20" t="n">
        <v>0</v>
      </c>
      <c r="O10" s="18" t="n">
        <v>0</v>
      </c>
      <c r="P10" s="20" t="n">
        <v>0</v>
      </c>
      <c r="Q10" s="18" t="n">
        <v>0.4693191</v>
      </c>
      <c r="R10" s="20" t="n">
        <v>0.17579909</v>
      </c>
    </row>
    <row r="11" spans="1:18">
      <c r="A11" s="15" t="s">
        <v>569</v>
      </c>
      <c r="B11" s="17" t="n">
        <v>3500</v>
      </c>
      <c r="C11" s="18">
        <f>(2827.0/B11*100)</f>
        <v/>
      </c>
      <c r="D11" s="19" t="n">
        <v>673</v>
      </c>
      <c r="E11" s="18" t="n">
        <v>34.27215588</v>
      </c>
      <c r="F11" s="20" t="n">
        <v>2.28839361</v>
      </c>
      <c r="G11" s="18" t="n">
        <v>56.97289313</v>
      </c>
      <c r="H11" s="20" t="n">
        <v>2.15261799</v>
      </c>
      <c r="I11" s="18" t="n">
        <v>0</v>
      </c>
      <c r="J11" s="20" t="n">
        <v>0</v>
      </c>
      <c r="K11" s="18" t="n">
        <v>7.72527167</v>
      </c>
      <c r="L11" s="20" t="n">
        <v>1.05848565</v>
      </c>
      <c r="M11" s="18" t="n">
        <v>0</v>
      </c>
      <c r="N11" s="20" t="n">
        <v>0</v>
      </c>
      <c r="O11" s="18" t="n">
        <v>0</v>
      </c>
      <c r="P11" s="20" t="n">
        <v>0</v>
      </c>
      <c r="Q11" s="18" t="n">
        <v>1.02967932</v>
      </c>
      <c r="R11" s="20" t="n">
        <v>0.4380884</v>
      </c>
    </row>
    <row r="12" spans="1:18">
      <c r="A12" s="15" t="s">
        <v>570</v>
      </c>
      <c r="B12" s="17" t="n">
        <v>3422</v>
      </c>
      <c r="C12" s="18">
        <f>(2711.0/B12*100)</f>
        <v/>
      </c>
      <c r="D12" s="19" t="n">
        <v>711</v>
      </c>
      <c r="E12" s="18" t="n">
        <v>47.33573825</v>
      </c>
      <c r="F12" s="20" t="n">
        <v>2.31734551</v>
      </c>
      <c r="G12" s="18" t="n">
        <v>50.23542963</v>
      </c>
      <c r="H12" s="20" t="n">
        <v>2.36368901</v>
      </c>
      <c r="I12" s="18" t="n">
        <v>0</v>
      </c>
      <c r="J12" s="20" t="n">
        <v>0</v>
      </c>
      <c r="K12" s="18" t="n">
        <v>2.28285691</v>
      </c>
      <c r="L12" s="20" t="n">
        <v>0.84066294</v>
      </c>
      <c r="M12" s="18" t="n">
        <v>0</v>
      </c>
      <c r="N12" s="20" t="n">
        <v>0</v>
      </c>
      <c r="O12" s="18" t="n">
        <v>0</v>
      </c>
      <c r="P12" s="20" t="n">
        <v>0</v>
      </c>
      <c r="Q12" s="18" t="n">
        <v>0.14597521</v>
      </c>
      <c r="R12" s="20" t="n">
        <v>0.09584613</v>
      </c>
    </row>
    <row r="13" spans="1:18">
      <c r="A13" s="15" t="s">
        <v>571</v>
      </c>
      <c r="B13" s="17" t="n">
        <v>3602</v>
      </c>
      <c r="C13" s="18">
        <f>(2868.0/B13*100)</f>
        <v/>
      </c>
      <c r="D13" s="19" t="n">
        <v>734</v>
      </c>
      <c r="E13" s="18" t="n">
        <v>46.74132523</v>
      </c>
      <c r="F13" s="20" t="n">
        <v>2.37423443</v>
      </c>
      <c r="G13" s="18" t="n">
        <v>50.82283365</v>
      </c>
      <c r="H13" s="20" t="n">
        <v>2.43865888</v>
      </c>
      <c r="I13" s="18" t="n">
        <v>0</v>
      </c>
      <c r="J13" s="20" t="n">
        <v>0</v>
      </c>
      <c r="K13" s="18" t="n">
        <v>2.21580352</v>
      </c>
      <c r="L13" s="20" t="n">
        <v>0.7645006600000001</v>
      </c>
      <c r="M13" s="18" t="n">
        <v>0</v>
      </c>
      <c r="N13" s="20" t="n">
        <v>0</v>
      </c>
      <c r="O13" s="18" t="n">
        <v>0</v>
      </c>
      <c r="P13" s="20" t="n">
        <v>0</v>
      </c>
      <c r="Q13" s="18" t="n">
        <v>0.2200376</v>
      </c>
      <c r="R13" s="20" t="n">
        <v>0.23206752</v>
      </c>
    </row>
    <row r="14" spans="1:18">
      <c r="A14" s="15" t="s">
        <v>572</v>
      </c>
      <c r="B14" s="17" t="n">
        <v>2788</v>
      </c>
      <c r="C14" s="18">
        <f>(2200.0/B14*100)</f>
        <v/>
      </c>
      <c r="D14" s="19" t="n">
        <v>588</v>
      </c>
      <c r="E14" s="18" t="n">
        <v>42.66695225</v>
      </c>
      <c r="F14" s="20" t="n">
        <v>2.44285721</v>
      </c>
      <c r="G14" s="18" t="n">
        <v>55.11814145</v>
      </c>
      <c r="H14" s="20" t="n">
        <v>2.45862825</v>
      </c>
      <c r="I14" s="18" t="n">
        <v>0</v>
      </c>
      <c r="J14" s="20" t="n">
        <v>0</v>
      </c>
      <c r="K14" s="18" t="n">
        <v>2.2149063</v>
      </c>
      <c r="L14" s="20" t="n">
        <v>0.62103945</v>
      </c>
      <c r="M14" s="18" t="n">
        <v>0</v>
      </c>
      <c r="N14" s="20" t="n">
        <v>0</v>
      </c>
      <c r="O14" s="18" t="n">
        <v>0</v>
      </c>
      <c r="P14" s="20" t="n">
        <v>0</v>
      </c>
      <c r="Q14" s="18" t="n">
        <v>0</v>
      </c>
      <c r="R14" s="20" t="n">
        <v>0</v>
      </c>
    </row>
    <row r="15" spans="1:18">
      <c r="A15" s="15" t="s">
        <v>573</v>
      </c>
      <c r="B15" s="17" t="n">
        <v>2863</v>
      </c>
      <c r="C15" s="18">
        <f>(2255.0/B15*100)</f>
        <v/>
      </c>
      <c r="D15" s="19" t="n">
        <v>608</v>
      </c>
      <c r="E15" s="18" t="n">
        <v>38.0261443</v>
      </c>
      <c r="F15" s="20" t="n">
        <v>2.18938257</v>
      </c>
      <c r="G15" s="18" t="n">
        <v>59.186022</v>
      </c>
      <c r="H15" s="20" t="n">
        <v>2.15385345</v>
      </c>
      <c r="I15" s="18" t="n">
        <v>0</v>
      </c>
      <c r="J15" s="20" t="n">
        <v>0</v>
      </c>
      <c r="K15" s="18" t="n">
        <v>1.98937234</v>
      </c>
      <c r="L15" s="20" t="n">
        <v>0.5531301199999999</v>
      </c>
      <c r="M15" s="18" t="n">
        <v>0</v>
      </c>
      <c r="N15" s="20" t="n">
        <v>0</v>
      </c>
      <c r="O15" s="18" t="n">
        <v>0</v>
      </c>
      <c r="P15" s="20" t="n">
        <v>0</v>
      </c>
      <c r="Q15" s="18" t="n">
        <v>0.79846135</v>
      </c>
      <c r="R15" s="20" t="n">
        <v>0.35937189</v>
      </c>
    </row>
    <row r="16" spans="1:18">
      <c r="A16" s="15" t="s">
        <v>574</v>
      </c>
      <c r="B16" s="17" t="n">
        <v>3111</v>
      </c>
      <c r="C16" s="18">
        <f>(2434.0/B16*100)</f>
        <v/>
      </c>
      <c r="D16" s="19" t="n">
        <v>677</v>
      </c>
      <c r="E16" s="18" t="n">
        <v>37.36533549</v>
      </c>
      <c r="F16" s="20" t="n">
        <v>2.07559121</v>
      </c>
      <c r="G16" s="18" t="n">
        <v>57.04764177</v>
      </c>
      <c r="H16" s="20" t="n">
        <v>2.14288402</v>
      </c>
      <c r="I16" s="18" t="n">
        <v>0</v>
      </c>
      <c r="J16" s="20" t="n">
        <v>0</v>
      </c>
      <c r="K16" s="18" t="n">
        <v>5.16142781</v>
      </c>
      <c r="L16" s="20" t="n">
        <v>1.01165917</v>
      </c>
      <c r="M16" s="18" t="n">
        <v>0</v>
      </c>
      <c r="N16" s="20" t="n">
        <v>0</v>
      </c>
      <c r="O16" s="18" t="n">
        <v>0</v>
      </c>
      <c r="P16" s="20" t="n">
        <v>0</v>
      </c>
      <c r="Q16" s="18" t="n">
        <v>0.42559493</v>
      </c>
      <c r="R16" s="20" t="n">
        <v>0.24202853</v>
      </c>
    </row>
    <row r="17" spans="1:18">
      <c r="A17" s="15" t="s">
        <v>575</v>
      </c>
      <c r="B17" s="17" t="n">
        <v>3197</v>
      </c>
      <c r="C17" s="18">
        <f>(2530.0/B17*100)</f>
        <v/>
      </c>
      <c r="D17" s="19" t="n">
        <v>667</v>
      </c>
      <c r="E17" s="18" t="n">
        <v>37.07363669</v>
      </c>
      <c r="F17" s="20" t="n">
        <v>1.98996394</v>
      </c>
      <c r="G17" s="18" t="n">
        <v>59.75413745</v>
      </c>
      <c r="H17" s="20" t="n">
        <v>1.9966282</v>
      </c>
      <c r="I17" s="18" t="n">
        <v>0</v>
      </c>
      <c r="J17" s="20" t="n">
        <v>0</v>
      </c>
      <c r="K17" s="18" t="n">
        <v>2.63030489</v>
      </c>
      <c r="L17" s="20" t="n">
        <v>0.66802704</v>
      </c>
      <c r="M17" s="18" t="n">
        <v>0</v>
      </c>
      <c r="N17" s="20" t="n">
        <v>0</v>
      </c>
      <c r="O17" s="18" t="n">
        <v>0</v>
      </c>
      <c r="P17" s="20" t="n">
        <v>0</v>
      </c>
      <c r="Q17" s="18" t="n">
        <v>0.5419209699999999</v>
      </c>
      <c r="R17" s="20" t="n">
        <v>0.29605137</v>
      </c>
    </row>
    <row r="18" spans="1:18">
      <c r="A18" s="15" t="s">
        <v>576</v>
      </c>
      <c r="B18" s="17" t="n">
        <v>2706</v>
      </c>
      <c r="C18" s="18">
        <f>(2105.0/B18*100)</f>
        <v/>
      </c>
      <c r="D18" s="19" t="n">
        <v>601</v>
      </c>
      <c r="E18" s="18" t="n">
        <v>45.473512</v>
      </c>
      <c r="F18" s="20" t="n">
        <v>2.06252761</v>
      </c>
      <c r="G18" s="18" t="n">
        <v>51.54083758</v>
      </c>
      <c r="H18" s="20" t="n">
        <v>1.96404408</v>
      </c>
      <c r="I18" s="18" t="n">
        <v>0</v>
      </c>
      <c r="J18" s="20" t="n">
        <v>0</v>
      </c>
      <c r="K18" s="18" t="n">
        <v>2.7245677</v>
      </c>
      <c r="L18" s="20" t="n">
        <v>0.65492949</v>
      </c>
      <c r="M18" s="18" t="n">
        <v>0</v>
      </c>
      <c r="N18" s="20" t="n">
        <v>0</v>
      </c>
      <c r="O18" s="18" t="n">
        <v>0</v>
      </c>
      <c r="P18" s="20" t="n">
        <v>0</v>
      </c>
      <c r="Q18" s="18" t="n">
        <v>0.26108273</v>
      </c>
      <c r="R18" s="20" t="n">
        <v>0.18725851</v>
      </c>
    </row>
    <row r="19" spans="1:18">
      <c r="A19" s="15" t="s">
        <v>577</v>
      </c>
      <c r="B19" s="17" t="n">
        <v>2850</v>
      </c>
      <c r="C19" s="18">
        <f>(2257.0/B19*100)</f>
        <v/>
      </c>
      <c r="D19" s="19" t="n">
        <v>593</v>
      </c>
      <c r="E19" s="18" t="n">
        <v>44.13939561</v>
      </c>
      <c r="F19" s="20" t="n">
        <v>2.27563596</v>
      </c>
      <c r="G19" s="18" t="n">
        <v>54.08105314</v>
      </c>
      <c r="H19" s="20" t="n">
        <v>2.24181129</v>
      </c>
      <c r="I19" s="18" t="n">
        <v>0</v>
      </c>
      <c r="J19" s="20" t="n">
        <v>0</v>
      </c>
      <c r="K19" s="18" t="n">
        <v>1.31894852</v>
      </c>
      <c r="L19" s="20" t="n">
        <v>0.49147083</v>
      </c>
      <c r="M19" s="18" t="n">
        <v>0</v>
      </c>
      <c r="N19" s="20" t="n">
        <v>0</v>
      </c>
      <c r="O19" s="18" t="n">
        <v>0</v>
      </c>
      <c r="P19" s="20" t="n">
        <v>0</v>
      </c>
      <c r="Q19" s="18" t="n">
        <v>0.46060273</v>
      </c>
      <c r="R19" s="20" t="n">
        <v>0.33397036</v>
      </c>
    </row>
    <row r="20" spans="1:18">
      <c r="A20" s="15" t="s">
        <v>578</v>
      </c>
      <c r="B20" s="17" t="n">
        <v>1741</v>
      </c>
      <c r="C20" s="18">
        <f>(1383.0/B20*100)</f>
        <v/>
      </c>
      <c r="D20" s="19" t="n">
        <v>358</v>
      </c>
      <c r="E20" s="18" t="n">
        <v>41.43948425</v>
      </c>
      <c r="F20" s="20" t="n">
        <v>2.46494676</v>
      </c>
      <c r="G20" s="18" t="n">
        <v>55.21480159</v>
      </c>
      <c r="H20" s="20" t="n">
        <v>2.54891922</v>
      </c>
      <c r="I20" s="18" t="n">
        <v>0</v>
      </c>
      <c r="J20" s="20" t="n">
        <v>0</v>
      </c>
      <c r="K20" s="18" t="n">
        <v>3.08347657</v>
      </c>
      <c r="L20" s="20" t="n">
        <v>0.93896871</v>
      </c>
      <c r="M20" s="18" t="n">
        <v>0</v>
      </c>
      <c r="N20" s="20" t="n">
        <v>0</v>
      </c>
      <c r="O20" s="18" t="n">
        <v>0</v>
      </c>
      <c r="P20" s="20" t="n">
        <v>0</v>
      </c>
      <c r="Q20" s="18" t="n">
        <v>0.26223759</v>
      </c>
      <c r="R20" s="20" t="n">
        <v>0.26411238</v>
      </c>
    </row>
    <row r="21" spans="1:18">
      <c r="A21" s="15" t="s">
        <v>579</v>
      </c>
      <c r="B21" s="17" t="n">
        <v>2833</v>
      </c>
      <c r="C21" s="18">
        <f>(2224.0/B21*100)</f>
        <v/>
      </c>
      <c r="D21" s="19" t="n">
        <v>609</v>
      </c>
      <c r="E21" s="18" t="n">
        <v>39.31345726</v>
      </c>
      <c r="F21" s="20" t="n">
        <v>2.25483755</v>
      </c>
      <c r="G21" s="18" t="n">
        <v>58.52211469</v>
      </c>
      <c r="H21" s="20" t="n">
        <v>2.20029813</v>
      </c>
      <c r="I21" s="18" t="n">
        <v>0</v>
      </c>
      <c r="J21" s="20" t="n">
        <v>0</v>
      </c>
      <c r="K21" s="18" t="n">
        <v>2.00543488</v>
      </c>
      <c r="L21" s="20" t="n">
        <v>0.59470219</v>
      </c>
      <c r="M21" s="18" t="n">
        <v>0</v>
      </c>
      <c r="N21" s="20" t="n">
        <v>0</v>
      </c>
      <c r="O21" s="18" t="n">
        <v>0</v>
      </c>
      <c r="P21" s="20" t="n">
        <v>0</v>
      </c>
      <c r="Q21" s="18" t="n">
        <v>0.15899317</v>
      </c>
      <c r="R21" s="20" t="n">
        <v>0.23852315</v>
      </c>
    </row>
    <row r="22" spans="1:18">
      <c r="A22" s="15" t="s">
        <v>580</v>
      </c>
      <c r="B22" s="17" t="n">
        <v>3667</v>
      </c>
      <c r="C22" s="18">
        <f>(3042.0/B22*100)</f>
        <v/>
      </c>
      <c r="D22" s="19" t="n">
        <v>625</v>
      </c>
      <c r="E22" s="18" t="n">
        <v>43.01032919</v>
      </c>
      <c r="F22" s="20" t="n">
        <v>1.96393116</v>
      </c>
      <c r="G22" s="18" t="n">
        <v>52.88230026</v>
      </c>
      <c r="H22" s="20" t="n">
        <v>1.98042101</v>
      </c>
      <c r="I22" s="18" t="n">
        <v>0</v>
      </c>
      <c r="J22" s="20" t="n">
        <v>0</v>
      </c>
      <c r="K22" s="18" t="n">
        <v>3.80420715</v>
      </c>
      <c r="L22" s="20" t="n">
        <v>0.74918208</v>
      </c>
      <c r="M22" s="18" t="n">
        <v>0</v>
      </c>
      <c r="N22" s="20" t="n">
        <v>0</v>
      </c>
      <c r="O22" s="18" t="n">
        <v>0</v>
      </c>
      <c r="P22" s="20" t="n">
        <v>0</v>
      </c>
      <c r="Q22" s="18" t="n">
        <v>0.3031634</v>
      </c>
      <c r="R22" s="20" t="n">
        <v>0.21620276</v>
      </c>
    </row>
    <row r="23" spans="1:18">
      <c r="A23" s="15" t="s">
        <v>581</v>
      </c>
      <c r="B23" s="17" t="n">
        <v>5792</v>
      </c>
      <c r="C23" s="18">
        <f>(4546.0/B23*100)</f>
        <v/>
      </c>
      <c r="D23" s="19" t="n">
        <v>1246</v>
      </c>
      <c r="E23" s="18" t="n">
        <v>42.08791196</v>
      </c>
      <c r="F23" s="20" t="n">
        <v>1.94931341</v>
      </c>
      <c r="G23" s="18" t="n">
        <v>53.66241485</v>
      </c>
      <c r="H23" s="20" t="n">
        <v>2.08265811</v>
      </c>
      <c r="I23" s="18" t="n">
        <v>0</v>
      </c>
      <c r="J23" s="20" t="n">
        <v>0</v>
      </c>
      <c r="K23" s="18" t="n">
        <v>3.91310517</v>
      </c>
      <c r="L23" s="20" t="n">
        <v>0.98901347</v>
      </c>
      <c r="M23" s="18" t="n">
        <v>0</v>
      </c>
      <c r="N23" s="20" t="n">
        <v>0</v>
      </c>
      <c r="O23" s="18" t="n">
        <v>0</v>
      </c>
      <c r="P23" s="20" t="n">
        <v>0</v>
      </c>
      <c r="Q23" s="18" t="n">
        <v>0.33656802</v>
      </c>
      <c r="R23" s="20" t="n">
        <v>0.2467315</v>
      </c>
    </row>
    <row r="24" spans="1:18">
      <c r="A24" s="15" t="s">
        <v>582</v>
      </c>
      <c r="B24" s="17" t="n">
        <v>3309</v>
      </c>
      <c r="C24" s="18">
        <f>(2619.0/B24*100)</f>
        <v/>
      </c>
      <c r="D24" s="19" t="n">
        <v>690</v>
      </c>
      <c r="E24" s="18" t="n">
        <v>55.83412726</v>
      </c>
      <c r="F24" s="20" t="n">
        <v>1.97302178</v>
      </c>
      <c r="G24" s="18" t="n">
        <v>42.3214855</v>
      </c>
      <c r="H24" s="20" t="n">
        <v>1.90608462</v>
      </c>
      <c r="I24" s="18" t="n">
        <v>0</v>
      </c>
      <c r="J24" s="20" t="n">
        <v>0</v>
      </c>
      <c r="K24" s="18" t="n">
        <v>1.59352184</v>
      </c>
      <c r="L24" s="20" t="n">
        <v>0.52553744</v>
      </c>
      <c r="M24" s="18" t="n">
        <v>0</v>
      </c>
      <c r="N24" s="20" t="n">
        <v>0</v>
      </c>
      <c r="O24" s="18" t="n">
        <v>0</v>
      </c>
      <c r="P24" s="20" t="n">
        <v>0</v>
      </c>
      <c r="Q24" s="18" t="n">
        <v>0.2508654</v>
      </c>
      <c r="R24" s="20" t="n">
        <v>0.17672228</v>
      </c>
    </row>
    <row r="25" spans="1:18">
      <c r="A25" s="15" t="s">
        <v>583</v>
      </c>
      <c r="B25" s="17" t="n">
        <v>2669</v>
      </c>
      <c r="C25" s="18">
        <f>(2069.0/B25*100)</f>
        <v/>
      </c>
      <c r="D25" s="19" t="n">
        <v>600</v>
      </c>
      <c r="E25" s="18" t="n">
        <v>51.62526323</v>
      </c>
      <c r="F25" s="20" t="n">
        <v>2.17695236</v>
      </c>
      <c r="G25" s="18" t="n">
        <v>47.60593185</v>
      </c>
      <c r="H25" s="20" t="n">
        <v>2.26085267</v>
      </c>
      <c r="I25" s="18" t="n">
        <v>0</v>
      </c>
      <c r="J25" s="20" t="n">
        <v>0</v>
      </c>
      <c r="K25" s="18" t="n">
        <v>0.63694931</v>
      </c>
      <c r="L25" s="20" t="n">
        <v>0.30576949</v>
      </c>
      <c r="M25" s="18" t="n">
        <v>0</v>
      </c>
      <c r="N25" s="20" t="n">
        <v>0</v>
      </c>
      <c r="O25" s="18" t="n">
        <v>0</v>
      </c>
      <c r="P25" s="20" t="n">
        <v>0</v>
      </c>
      <c r="Q25" s="18" t="n">
        <v>0.13185561</v>
      </c>
      <c r="R25" s="20" t="n">
        <v>0.09322605</v>
      </c>
    </row>
    <row r="26" spans="1:18">
      <c r="A26" s="15" t="s">
        <v>584</v>
      </c>
      <c r="B26" s="17" t="n">
        <v>2419</v>
      </c>
      <c r="C26" s="18">
        <f>(1877.0/B26*100)</f>
        <v/>
      </c>
      <c r="D26" s="19" t="n">
        <v>542</v>
      </c>
      <c r="E26" s="18" t="n">
        <v>31.63258241</v>
      </c>
      <c r="F26" s="20" t="n">
        <v>2.51528293</v>
      </c>
      <c r="G26" s="18" t="n">
        <v>67.01322266</v>
      </c>
      <c r="H26" s="20" t="n">
        <v>2.41540221</v>
      </c>
      <c r="I26" s="18" t="n">
        <v>0</v>
      </c>
      <c r="J26" s="20" t="n">
        <v>0</v>
      </c>
      <c r="K26" s="18" t="n">
        <v>1.21228913</v>
      </c>
      <c r="L26" s="20" t="n">
        <v>0.50400225</v>
      </c>
      <c r="M26" s="18" t="n">
        <v>0</v>
      </c>
      <c r="N26" s="20" t="n">
        <v>0</v>
      </c>
      <c r="O26" s="18" t="n">
        <v>0</v>
      </c>
      <c r="P26" s="20" t="n">
        <v>0</v>
      </c>
      <c r="Q26" s="18" t="n">
        <v>0.14190581</v>
      </c>
      <c r="R26" s="20" t="n">
        <v>0.14630793</v>
      </c>
    </row>
    <row r="27" spans="1:18">
      <c r="A27" s="15" t="s">
        <v>585</v>
      </c>
      <c r="B27" s="17" t="n">
        <v>2683</v>
      </c>
      <c r="C27" s="18">
        <f>(2152.0/B27*100)</f>
        <v/>
      </c>
      <c r="D27" s="19" t="n">
        <v>531</v>
      </c>
      <c r="E27" s="18" t="n">
        <v>40.5970585</v>
      </c>
      <c r="F27" s="20" t="n">
        <v>2.05554955</v>
      </c>
      <c r="G27" s="18" t="n">
        <v>57.14556297</v>
      </c>
      <c r="H27" s="20" t="n">
        <v>2.07244266</v>
      </c>
      <c r="I27" s="18" t="n">
        <v>0</v>
      </c>
      <c r="J27" s="20" t="n">
        <v>0</v>
      </c>
      <c r="K27" s="18" t="n">
        <v>1.66949452</v>
      </c>
      <c r="L27" s="20" t="n">
        <v>0.48329776</v>
      </c>
      <c r="M27" s="18" t="n">
        <v>0</v>
      </c>
      <c r="N27" s="20" t="n">
        <v>0</v>
      </c>
      <c r="O27" s="18" t="n">
        <v>0</v>
      </c>
      <c r="P27" s="20" t="n">
        <v>0</v>
      </c>
      <c r="Q27" s="18" t="n">
        <v>0.58788401</v>
      </c>
      <c r="R27" s="20" t="n">
        <v>0.34050264</v>
      </c>
    </row>
    <row r="28" spans="1:18">
      <c r="A28" s="15" t="s">
        <v>586</v>
      </c>
      <c r="B28" s="17" t="n">
        <v>3803</v>
      </c>
      <c r="C28" s="18">
        <f>(3120.0/B28*100)</f>
        <v/>
      </c>
      <c r="D28" s="19" t="n">
        <v>683</v>
      </c>
      <c r="E28" s="18" t="n">
        <v>40.10230786</v>
      </c>
      <c r="F28" s="20" t="n">
        <v>2.0339821</v>
      </c>
      <c r="G28" s="18" t="n">
        <v>54.81876241</v>
      </c>
      <c r="H28" s="20" t="n">
        <v>2.00594521</v>
      </c>
      <c r="I28" s="18" t="n">
        <v>0</v>
      </c>
      <c r="J28" s="20" t="n">
        <v>0</v>
      </c>
      <c r="K28" s="18" t="n">
        <v>3.66604672</v>
      </c>
      <c r="L28" s="20" t="n">
        <v>0.88923587</v>
      </c>
      <c r="M28" s="18" t="n">
        <v>0</v>
      </c>
      <c r="N28" s="20" t="n">
        <v>0</v>
      </c>
      <c r="O28" s="18" t="n">
        <v>0</v>
      </c>
      <c r="P28" s="20" t="n">
        <v>0</v>
      </c>
      <c r="Q28" s="18" t="n">
        <v>1.412883</v>
      </c>
      <c r="R28" s="20" t="n">
        <v>0.55716524</v>
      </c>
    </row>
    <row r="29" spans="1:18">
      <c r="A29" s="15" t="s">
        <v>587</v>
      </c>
      <c r="B29" s="17" t="n">
        <v>2700</v>
      </c>
      <c r="C29" s="18">
        <f>(2097.0/B29*100)</f>
        <v/>
      </c>
      <c r="D29" s="19" t="n">
        <v>603</v>
      </c>
      <c r="E29" s="18" t="n">
        <v>46.23357129</v>
      </c>
      <c r="F29" s="20" t="n">
        <v>2.24598447</v>
      </c>
      <c r="G29" s="18" t="n">
        <v>53.02649483</v>
      </c>
      <c r="H29" s="20" t="n">
        <v>2.1845511</v>
      </c>
      <c r="I29" s="18" t="n">
        <v>0</v>
      </c>
      <c r="J29" s="20" t="n">
        <v>0</v>
      </c>
      <c r="K29" s="18" t="n">
        <v>0.73993388</v>
      </c>
      <c r="L29" s="20" t="n">
        <v>0.3518916</v>
      </c>
      <c r="M29" s="18" t="n">
        <v>0</v>
      </c>
      <c r="N29" s="20" t="n">
        <v>0</v>
      </c>
      <c r="O29" s="18" t="n">
        <v>0</v>
      </c>
      <c r="P29" s="20" t="n">
        <v>0</v>
      </c>
      <c r="Q29" s="18" t="n">
        <v>0</v>
      </c>
      <c r="R29" s="20" t="n">
        <v>0</v>
      </c>
    </row>
    <row r="30" spans="1:18">
      <c r="A30" s="15" t="s">
        <v>588</v>
      </c>
      <c r="B30" s="17" t="n">
        <v>2257</v>
      </c>
      <c r="C30" s="18">
        <f>(1814.0/B30*100)</f>
        <v/>
      </c>
      <c r="D30" s="19" t="n">
        <v>443</v>
      </c>
      <c r="E30" s="18" t="n">
        <v>30.90880337</v>
      </c>
      <c r="F30" s="20" t="n">
        <v>2.33498142</v>
      </c>
      <c r="G30" s="18" t="n">
        <v>64.23240421</v>
      </c>
      <c r="H30" s="20" t="n">
        <v>2.52377693</v>
      </c>
      <c r="I30" s="18" t="n">
        <v>0</v>
      </c>
      <c r="J30" s="20" t="n">
        <v>0</v>
      </c>
      <c r="K30" s="18" t="n">
        <v>3.87212836</v>
      </c>
      <c r="L30" s="20" t="n">
        <v>1.01355896</v>
      </c>
      <c r="M30" s="18" t="n">
        <v>0</v>
      </c>
      <c r="N30" s="20" t="n">
        <v>0</v>
      </c>
      <c r="O30" s="18" t="n">
        <v>0</v>
      </c>
      <c r="P30" s="20" t="n">
        <v>0</v>
      </c>
      <c r="Q30" s="18" t="n">
        <v>0.98666407</v>
      </c>
      <c r="R30" s="20" t="n">
        <v>0.59551912</v>
      </c>
    </row>
    <row r="31" spans="1:18">
      <c r="A31" s="15" t="s">
        <v>589</v>
      </c>
      <c r="B31" s="17" t="n">
        <v>2706</v>
      </c>
      <c r="C31" s="18">
        <f>(2149.0/B31*100)</f>
        <v/>
      </c>
      <c r="D31" s="19" t="n">
        <v>557</v>
      </c>
      <c r="E31" s="18" t="n">
        <v>41.75582079</v>
      </c>
      <c r="F31" s="20" t="n">
        <v>1.97939854</v>
      </c>
      <c r="G31" s="18" t="n">
        <v>53.3572057</v>
      </c>
      <c r="H31" s="20" t="n">
        <v>2.18696995</v>
      </c>
      <c r="I31" s="18" t="n">
        <v>0</v>
      </c>
      <c r="J31" s="20" t="n">
        <v>0</v>
      </c>
      <c r="K31" s="18" t="n">
        <v>4.71628088</v>
      </c>
      <c r="L31" s="20" t="n">
        <v>0.83346194</v>
      </c>
      <c r="M31" s="18" t="n">
        <v>0</v>
      </c>
      <c r="N31" s="20" t="n">
        <v>0</v>
      </c>
      <c r="O31" s="18" t="n">
        <v>0</v>
      </c>
      <c r="P31" s="20" t="n">
        <v>0</v>
      </c>
      <c r="Q31" s="18" t="n">
        <v>0.17069263</v>
      </c>
      <c r="R31" s="20" t="n">
        <v>0.16588194</v>
      </c>
    </row>
    <row r="32" spans="1:18">
      <c r="A32" s="15" t="s">
        <v>590</v>
      </c>
      <c r="B32" s="17" t="n">
        <v>2209</v>
      </c>
      <c r="C32" s="18">
        <f>(1720.0/B32*100)</f>
        <v/>
      </c>
      <c r="D32" s="19" t="n">
        <v>489</v>
      </c>
      <c r="E32" s="18" t="n">
        <v>38.38977887</v>
      </c>
      <c r="F32" s="20" t="n">
        <v>2.4526419</v>
      </c>
      <c r="G32" s="18" t="n">
        <v>59.87008829</v>
      </c>
      <c r="H32" s="20" t="n">
        <v>2.49997816</v>
      </c>
      <c r="I32" s="18" t="n">
        <v>0</v>
      </c>
      <c r="J32" s="20" t="n">
        <v>0</v>
      </c>
      <c r="K32" s="18" t="n">
        <v>1.74013284</v>
      </c>
      <c r="L32" s="20" t="n">
        <v>0.51961322</v>
      </c>
      <c r="M32" s="18" t="n">
        <v>0</v>
      </c>
      <c r="N32" s="20" t="n">
        <v>0</v>
      </c>
      <c r="O32" s="18" t="n">
        <v>0</v>
      </c>
      <c r="P32" s="20" t="n">
        <v>0</v>
      </c>
      <c r="Q32" s="18" t="n">
        <v>0</v>
      </c>
      <c r="R32" s="20" t="n">
        <v>0</v>
      </c>
    </row>
    <row r="33" spans="1:18">
      <c r="A33" s="15" t="s">
        <v>591</v>
      </c>
      <c r="B33" s="17" t="n">
        <v>3651</v>
      </c>
      <c r="C33" s="18">
        <f>(2959.0/B33*100)</f>
        <v/>
      </c>
      <c r="D33" s="19" t="n">
        <v>692</v>
      </c>
      <c r="E33" s="18" t="n">
        <v>39.98055093</v>
      </c>
      <c r="F33" s="20" t="n">
        <v>2.19734082</v>
      </c>
      <c r="G33" s="18" t="n">
        <v>56.92766086</v>
      </c>
      <c r="H33" s="20" t="n">
        <v>2.09530618</v>
      </c>
      <c r="I33" s="18" t="n">
        <v>0</v>
      </c>
      <c r="J33" s="20" t="n">
        <v>0</v>
      </c>
      <c r="K33" s="18" t="n">
        <v>3.09178821</v>
      </c>
      <c r="L33" s="20" t="n">
        <v>0.75518182</v>
      </c>
      <c r="M33" s="18" t="n">
        <v>0</v>
      </c>
      <c r="N33" s="20" t="n">
        <v>0</v>
      </c>
      <c r="O33" s="18" t="n">
        <v>0</v>
      </c>
      <c r="P33" s="20" t="n">
        <v>0</v>
      </c>
      <c r="Q33" s="18" t="n">
        <v>0</v>
      </c>
      <c r="R33" s="20" t="n">
        <v>0</v>
      </c>
    </row>
    <row r="34" spans="1:18">
      <c r="A34" s="15" t="s">
        <v>592</v>
      </c>
      <c r="B34" s="17" t="n">
        <v>3035</v>
      </c>
      <c r="C34" s="18">
        <f>(2407.0/B34*100)</f>
        <v/>
      </c>
      <c r="D34" s="19" t="n">
        <v>628</v>
      </c>
      <c r="E34" s="18" t="n">
        <v>46.23046402</v>
      </c>
      <c r="F34" s="20" t="n">
        <v>1.74176456</v>
      </c>
      <c r="G34" s="18" t="n">
        <v>47.96021292</v>
      </c>
      <c r="H34" s="20" t="n">
        <v>1.8184953</v>
      </c>
      <c r="I34" s="18" t="n">
        <v>0</v>
      </c>
      <c r="J34" s="20" t="n">
        <v>0</v>
      </c>
      <c r="K34" s="18" t="n">
        <v>4.75430643</v>
      </c>
      <c r="L34" s="20" t="n">
        <v>1.04465957</v>
      </c>
      <c r="M34" s="18" t="n">
        <v>0</v>
      </c>
      <c r="N34" s="20" t="n">
        <v>0</v>
      </c>
      <c r="O34" s="18" t="n">
        <v>0</v>
      </c>
      <c r="P34" s="20" t="n">
        <v>0</v>
      </c>
      <c r="Q34" s="18" t="n">
        <v>1.05501664</v>
      </c>
      <c r="R34" s="20" t="n">
        <v>0.45845711</v>
      </c>
    </row>
    <row r="35" spans="1:18">
      <c r="A35" s="15" t="s">
        <v>593</v>
      </c>
      <c r="B35" s="17" t="n">
        <v>2901</v>
      </c>
      <c r="C35" s="18">
        <f>(2255.0/B35*100)</f>
        <v/>
      </c>
      <c r="D35" s="19" t="n">
        <v>646</v>
      </c>
      <c r="E35" s="18" t="n">
        <v>42.27436742</v>
      </c>
      <c r="F35" s="20" t="n">
        <v>2.62386773</v>
      </c>
      <c r="G35" s="18" t="n">
        <v>55.92171027</v>
      </c>
      <c r="H35" s="20" t="n">
        <v>2.58849219</v>
      </c>
      <c r="I35" s="18" t="n">
        <v>0</v>
      </c>
      <c r="J35" s="20" t="n">
        <v>0</v>
      </c>
      <c r="K35" s="18" t="n">
        <v>1.48517675</v>
      </c>
      <c r="L35" s="20" t="n">
        <v>0.63031728</v>
      </c>
      <c r="M35" s="18" t="n">
        <v>0</v>
      </c>
      <c r="N35" s="20" t="n">
        <v>0</v>
      </c>
      <c r="O35" s="18" t="n">
        <v>0</v>
      </c>
      <c r="P35" s="20" t="n">
        <v>0</v>
      </c>
      <c r="Q35" s="18" t="n">
        <v>0.31874557</v>
      </c>
      <c r="R35" s="20" t="n">
        <v>0.2355299</v>
      </c>
    </row>
    <row r="36" spans="1:18">
      <c r="A36" s="15" t="s">
        <v>594</v>
      </c>
      <c r="B36" s="17" t="n">
        <v>3404</v>
      </c>
      <c r="C36" s="18">
        <f>(2730.0/B36*100)</f>
        <v/>
      </c>
      <c r="D36" s="19" t="n">
        <v>674</v>
      </c>
      <c r="E36" s="18" t="n">
        <v>38.25460616</v>
      </c>
      <c r="F36" s="20" t="n">
        <v>2.10426862</v>
      </c>
      <c r="G36" s="18" t="n">
        <v>58.55002073</v>
      </c>
      <c r="H36" s="20" t="n">
        <v>2.08569465</v>
      </c>
      <c r="I36" s="18" t="n">
        <v>0</v>
      </c>
      <c r="J36" s="20" t="n">
        <v>0</v>
      </c>
      <c r="K36" s="18" t="n">
        <v>2.69620506</v>
      </c>
      <c r="L36" s="20" t="n">
        <v>0.76476076</v>
      </c>
      <c r="M36" s="18" t="n">
        <v>0</v>
      </c>
      <c r="N36" s="20" t="n">
        <v>0</v>
      </c>
      <c r="O36" s="18" t="n">
        <v>0</v>
      </c>
      <c r="P36" s="20" t="n">
        <v>0</v>
      </c>
      <c r="Q36" s="18" t="n">
        <v>0.49916805</v>
      </c>
      <c r="R36" s="20" t="n">
        <v>0.24896159</v>
      </c>
    </row>
    <row r="37" spans="1:18">
      <c r="A37" s="15" t="s">
        <v>595</v>
      </c>
      <c r="B37" s="17" t="n">
        <v>2731</v>
      </c>
      <c r="C37" s="18">
        <f>(2173.0/B37*100)</f>
        <v/>
      </c>
      <c r="D37" s="19" t="n">
        <v>558</v>
      </c>
      <c r="E37" s="18" t="n">
        <v>43.28526198</v>
      </c>
      <c r="F37" s="20" t="n">
        <v>2.09210212</v>
      </c>
      <c r="G37" s="18" t="n">
        <v>48.07162876</v>
      </c>
      <c r="H37" s="20" t="n">
        <v>2.30571752</v>
      </c>
      <c r="I37" s="18" t="n">
        <v>0</v>
      </c>
      <c r="J37" s="20" t="n">
        <v>0</v>
      </c>
      <c r="K37" s="18" t="n">
        <v>8.285494269999999</v>
      </c>
      <c r="L37" s="20" t="n">
        <v>1.27646209</v>
      </c>
      <c r="M37" s="18" t="n">
        <v>0</v>
      </c>
      <c r="N37" s="20" t="n">
        <v>0</v>
      </c>
      <c r="O37" s="18" t="n">
        <v>0</v>
      </c>
      <c r="P37" s="20" t="n">
        <v>0</v>
      </c>
      <c r="Q37" s="18" t="n">
        <v>0.35761499</v>
      </c>
      <c r="R37" s="20" t="n">
        <v>0.25278289</v>
      </c>
    </row>
    <row r="38" spans="1:18">
      <c r="A38" s="15" t="s">
        <v>596</v>
      </c>
      <c r="B38" s="17" t="n">
        <v>2807</v>
      </c>
      <c r="C38" s="18">
        <f>(2187.0/B38*100)</f>
        <v/>
      </c>
      <c r="D38" s="19" t="n">
        <v>620</v>
      </c>
      <c r="E38" s="18" t="n">
        <v>41.08288499</v>
      </c>
      <c r="F38" s="20" t="n">
        <v>2.20878298</v>
      </c>
      <c r="G38" s="18" t="n">
        <v>54.1269794</v>
      </c>
      <c r="H38" s="20" t="n">
        <v>2.27386494</v>
      </c>
      <c r="I38" s="18" t="n">
        <v>0</v>
      </c>
      <c r="J38" s="20" t="n">
        <v>0</v>
      </c>
      <c r="K38" s="18" t="n">
        <v>4.49712582</v>
      </c>
      <c r="L38" s="20" t="n">
        <v>0.90814756</v>
      </c>
      <c r="M38" s="18" t="n">
        <v>0</v>
      </c>
      <c r="N38" s="20" t="n">
        <v>0</v>
      </c>
      <c r="O38" s="18" t="n">
        <v>0</v>
      </c>
      <c r="P38" s="20" t="n">
        <v>0</v>
      </c>
      <c r="Q38" s="18" t="n">
        <v>0.29300979</v>
      </c>
      <c r="R38" s="20" t="n">
        <v>0.2862935</v>
      </c>
    </row>
    <row r="39" spans="1:18">
      <c r="A39" s="15" t="s">
        <v>597</v>
      </c>
      <c r="B39" s="17" t="n">
        <v>2938</v>
      </c>
      <c r="C39" s="18">
        <f>(2291.0/B39*100)</f>
        <v/>
      </c>
      <c r="D39" s="19" t="n">
        <v>647</v>
      </c>
      <c r="E39" s="18" t="n">
        <v>41.2986765</v>
      </c>
      <c r="F39" s="20" t="n">
        <v>2.22282643</v>
      </c>
      <c r="G39" s="18" t="n">
        <v>55.53532434</v>
      </c>
      <c r="H39" s="20" t="n">
        <v>2.18034002</v>
      </c>
      <c r="I39" s="18" t="n">
        <v>0</v>
      </c>
      <c r="J39" s="20" t="n">
        <v>0</v>
      </c>
      <c r="K39" s="18" t="n">
        <v>1.89346627</v>
      </c>
      <c r="L39" s="20" t="n">
        <v>0.45980761</v>
      </c>
      <c r="M39" s="18" t="n">
        <v>0</v>
      </c>
      <c r="N39" s="20" t="n">
        <v>0</v>
      </c>
      <c r="O39" s="18" t="n">
        <v>0</v>
      </c>
      <c r="P39" s="20" t="n">
        <v>0</v>
      </c>
      <c r="Q39" s="18" t="n">
        <v>1.27253289</v>
      </c>
      <c r="R39" s="20" t="n">
        <v>0.49625415</v>
      </c>
    </row>
    <row r="40" spans="1:18">
      <c r="A40" s="15" t="s">
        <v>598</v>
      </c>
      <c r="B40" s="17" t="n">
        <v>6922</v>
      </c>
      <c r="C40" s="18">
        <f>(5383.0/B40*100)</f>
        <v/>
      </c>
      <c r="D40" s="19" t="n">
        <v>1539</v>
      </c>
      <c r="E40" s="18" t="n">
        <v>35.44630751</v>
      </c>
      <c r="F40" s="20" t="n">
        <v>1.98357053</v>
      </c>
      <c r="G40" s="18" t="n">
        <v>61.81002627</v>
      </c>
      <c r="H40" s="20" t="n">
        <v>2.03811309</v>
      </c>
      <c r="I40" s="18" t="n">
        <v>0</v>
      </c>
      <c r="J40" s="20" t="n">
        <v>0</v>
      </c>
      <c r="K40" s="18" t="n">
        <v>2.69304045</v>
      </c>
      <c r="L40" s="20" t="n">
        <v>0.63828654</v>
      </c>
      <c r="M40" s="18" t="n">
        <v>0</v>
      </c>
      <c r="N40" s="20" t="n">
        <v>0</v>
      </c>
      <c r="O40" s="18" t="n">
        <v>0</v>
      </c>
      <c r="P40" s="20" t="n">
        <v>0</v>
      </c>
      <c r="Q40" s="18" t="n">
        <v>0.05062577</v>
      </c>
      <c r="R40" s="20" t="n">
        <v>0.03525717</v>
      </c>
    </row>
    <row r="41" spans="1:18">
      <c r="A41" s="15" t="s">
        <v>599</v>
      </c>
      <c r="B41" s="17" t="n">
        <v>2854</v>
      </c>
      <c r="C41" s="18">
        <f>(2280.0/B41*100)</f>
        <v/>
      </c>
      <c r="D41" s="19" t="n">
        <v>574</v>
      </c>
      <c r="E41" s="18" t="n">
        <v>31.83253654</v>
      </c>
      <c r="F41" s="20" t="n">
        <v>1.886087</v>
      </c>
      <c r="G41" s="18" t="n">
        <v>66.12191894999999</v>
      </c>
      <c r="H41" s="20" t="n">
        <v>1.91012256</v>
      </c>
      <c r="I41" s="18" t="n">
        <v>0</v>
      </c>
      <c r="J41" s="20" t="n">
        <v>0</v>
      </c>
      <c r="K41" s="18" t="n">
        <v>1.39594304</v>
      </c>
      <c r="L41" s="20" t="n">
        <v>0.45453506</v>
      </c>
      <c r="M41" s="18" t="n">
        <v>0</v>
      </c>
      <c r="N41" s="20" t="n">
        <v>0</v>
      </c>
      <c r="O41" s="18" t="n">
        <v>0</v>
      </c>
      <c r="P41" s="20" t="n">
        <v>0</v>
      </c>
      <c r="Q41" s="18" t="n">
        <v>0.64960147</v>
      </c>
      <c r="R41" s="20" t="n">
        <v>0.48645618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(10398.0/B46*100)</f>
        <v/>
      </c>
      <c r="D46" s="19" t="n">
        <v>1675</v>
      </c>
      <c r="E46" s="18" t="n">
        <v>38.10943597</v>
      </c>
      <c r="F46" s="20" t="n">
        <v>1.49838582</v>
      </c>
      <c r="G46" s="18" t="n">
        <v>46.12568075</v>
      </c>
      <c r="H46" s="20" t="n">
        <v>1.4952138</v>
      </c>
      <c r="I46" s="18" t="n">
        <v>0</v>
      </c>
      <c r="J46" s="20" t="n">
        <v>0</v>
      </c>
      <c r="K46" s="18" t="n">
        <v>11.8557737</v>
      </c>
      <c r="L46" s="20" t="n">
        <v>1.27502867</v>
      </c>
      <c r="M46" s="18" t="n">
        <v>0</v>
      </c>
      <c r="N46" s="20" t="n">
        <v>0</v>
      </c>
      <c r="O46" s="18" t="n">
        <v>0</v>
      </c>
      <c r="P46" s="20" t="n">
        <v>0</v>
      </c>
      <c r="Q46" s="18" t="n">
        <v>3.90910958</v>
      </c>
      <c r="R46" s="20" t="n">
        <v>0.6801412100000001</v>
      </c>
    </row>
    <row r="47" spans="1:18">
      <c r="A47" s="15" t="s">
        <v>606</v>
      </c>
      <c r="B47" s="17" t="n">
        <v>2823</v>
      </c>
      <c r="C47" s="18">
        <f>(2256.0/B47*100)</f>
        <v/>
      </c>
      <c r="D47" s="19" t="n">
        <v>567</v>
      </c>
      <c r="E47" s="18" t="n">
        <v>43.89579539</v>
      </c>
      <c r="F47" s="20" t="n">
        <v>2.0215326</v>
      </c>
      <c r="G47" s="18" t="n">
        <v>48.02686059</v>
      </c>
      <c r="H47" s="20" t="n">
        <v>2.24166497</v>
      </c>
      <c r="I47" s="18" t="n">
        <v>0</v>
      </c>
      <c r="J47" s="20" t="n">
        <v>0</v>
      </c>
      <c r="K47" s="18" t="n">
        <v>7.56359191</v>
      </c>
      <c r="L47" s="20" t="n">
        <v>1.29529075</v>
      </c>
      <c r="M47" s="18" t="n">
        <v>0</v>
      </c>
      <c r="N47" s="20" t="n">
        <v>0</v>
      </c>
      <c r="O47" s="18" t="n">
        <v>0</v>
      </c>
      <c r="P47" s="20" t="n">
        <v>0</v>
      </c>
      <c r="Q47" s="18" t="n">
        <v>0.51375211</v>
      </c>
      <c r="R47" s="20" t="n">
        <v>0.28345011</v>
      </c>
    </row>
    <row r="48" spans="1:18">
      <c r="A48" s="15" t="s">
        <v>607</v>
      </c>
      <c r="B48" s="17" t="n">
        <v>4682</v>
      </c>
      <c r="C48" s="18">
        <f>(3632.0/B48*100)</f>
        <v/>
      </c>
      <c r="D48" s="19" t="n">
        <v>1050</v>
      </c>
      <c r="E48" s="18" t="n">
        <v>47.2528447</v>
      </c>
      <c r="F48" s="20" t="n">
        <v>2.20672238</v>
      </c>
      <c r="G48" s="18" t="n">
        <v>48.17329588</v>
      </c>
      <c r="H48" s="20" t="n">
        <v>2.30251815</v>
      </c>
      <c r="I48" s="18" t="n">
        <v>0</v>
      </c>
      <c r="J48" s="20" t="n">
        <v>0</v>
      </c>
      <c r="K48" s="18" t="n">
        <v>3.22397322</v>
      </c>
      <c r="L48" s="20" t="n">
        <v>1.12593945</v>
      </c>
      <c r="M48" s="18" t="n">
        <v>0</v>
      </c>
      <c r="N48" s="20" t="n">
        <v>0</v>
      </c>
      <c r="O48" s="18" t="n">
        <v>0</v>
      </c>
      <c r="P48" s="20" t="n">
        <v>0</v>
      </c>
      <c r="Q48" s="18" t="n">
        <v>1.3498862</v>
      </c>
      <c r="R48" s="20" t="n">
        <v>0.61299649</v>
      </c>
    </row>
    <row r="49" spans="1:18">
      <c r="A49" s="15" t="s">
        <v>608</v>
      </c>
      <c r="B49" s="17" t="n">
        <v>6158</v>
      </c>
      <c r="C49" s="18">
        <f>(4933.0/B49*100)</f>
        <v/>
      </c>
      <c r="D49" s="19" t="n">
        <v>1225</v>
      </c>
      <c r="E49" s="18" t="n">
        <v>40.05071096</v>
      </c>
      <c r="F49" s="20" t="n">
        <v>1.7368605</v>
      </c>
      <c r="G49" s="18" t="n">
        <v>46.22072089</v>
      </c>
      <c r="H49" s="20" t="n">
        <v>1.72745785</v>
      </c>
      <c r="I49" s="18" t="n">
        <v>0</v>
      </c>
      <c r="J49" s="20" t="n">
        <v>0</v>
      </c>
      <c r="K49" s="18" t="n">
        <v>9.16749521</v>
      </c>
      <c r="L49" s="20" t="n">
        <v>1.14387981</v>
      </c>
      <c r="M49" s="18" t="n">
        <v>0</v>
      </c>
      <c r="N49" s="20" t="n">
        <v>0</v>
      </c>
      <c r="O49" s="18" t="n">
        <v>0</v>
      </c>
      <c r="P49" s="20" t="n">
        <v>0</v>
      </c>
      <c r="Q49" s="18" t="n">
        <v>4.56107294</v>
      </c>
      <c r="R49" s="20" t="n">
        <v>1.05840419</v>
      </c>
    </row>
    <row r="50" spans="1:18">
      <c r="A50" s="15" t="s">
        <v>609</v>
      </c>
      <c r="B50" s="17" t="n">
        <v>3494</v>
      </c>
      <c r="C50" s="18">
        <f>(2913.0/B50*100)</f>
        <v/>
      </c>
      <c r="D50" s="19" t="n">
        <v>581</v>
      </c>
      <c r="E50" s="18" t="n">
        <v>33.64466022</v>
      </c>
      <c r="F50" s="20" t="n">
        <v>2.24638659</v>
      </c>
      <c r="G50" s="18" t="n">
        <v>57.95008426</v>
      </c>
      <c r="H50" s="20" t="n">
        <v>2.24460597</v>
      </c>
      <c r="I50" s="18" t="n">
        <v>0</v>
      </c>
      <c r="J50" s="20" t="n">
        <v>0</v>
      </c>
      <c r="K50" s="18" t="n">
        <v>5.6928009</v>
      </c>
      <c r="L50" s="20" t="n">
        <v>1.03853357</v>
      </c>
      <c r="M50" s="18" t="n">
        <v>0</v>
      </c>
      <c r="N50" s="20" t="n">
        <v>0</v>
      </c>
      <c r="O50" s="18" t="n">
        <v>0</v>
      </c>
      <c r="P50" s="20" t="n">
        <v>0</v>
      </c>
      <c r="Q50" s="18" t="n">
        <v>2.71245462</v>
      </c>
      <c r="R50" s="20" t="n">
        <v>0.75803507</v>
      </c>
    </row>
    <row r="51" spans="1:18">
      <c r="A51" s="15" t="s">
        <v>610</v>
      </c>
      <c r="B51" s="17" t="n">
        <v>3013</v>
      </c>
      <c r="C51" s="18">
        <f>(2385.0/B51*100)</f>
        <v/>
      </c>
      <c r="D51" s="19" t="n">
        <v>628</v>
      </c>
      <c r="E51" s="18" t="n">
        <v>39.86305205</v>
      </c>
      <c r="F51" s="20" t="n">
        <v>1.79217119</v>
      </c>
      <c r="G51" s="18" t="n">
        <v>57.00701868</v>
      </c>
      <c r="H51" s="20" t="n">
        <v>1.72976182</v>
      </c>
      <c r="I51" s="18" t="n">
        <v>0</v>
      </c>
      <c r="J51" s="20" t="n">
        <v>0</v>
      </c>
      <c r="K51" s="18" t="n">
        <v>2.52464612</v>
      </c>
      <c r="L51" s="20" t="n">
        <v>0.5565604199999999</v>
      </c>
      <c r="M51" s="18" t="n">
        <v>0</v>
      </c>
      <c r="N51" s="20" t="n">
        <v>0</v>
      </c>
      <c r="O51" s="18" t="n">
        <v>0</v>
      </c>
      <c r="P51" s="20" t="n">
        <v>0</v>
      </c>
      <c r="Q51" s="18" t="n">
        <v>0.60528315</v>
      </c>
      <c r="R51" s="20" t="n">
        <v>0.3424087</v>
      </c>
    </row>
    <row r="52" spans="1:18">
      <c r="A52" s="15" t="s">
        <v>611</v>
      </c>
      <c r="B52" s="17" t="n">
        <v>2760</v>
      </c>
      <c r="C52" s="18">
        <f>(2200.0/B52*100)</f>
        <v/>
      </c>
      <c r="D52" s="19" t="n">
        <v>560</v>
      </c>
      <c r="E52" s="18" t="n">
        <v>46.75428032</v>
      </c>
      <c r="F52" s="20" t="n">
        <v>1.97590328</v>
      </c>
      <c r="G52" s="18" t="n">
        <v>50.07417988</v>
      </c>
      <c r="H52" s="20" t="n">
        <v>1.97191888</v>
      </c>
      <c r="I52" s="18" t="n">
        <v>0</v>
      </c>
      <c r="J52" s="20" t="n">
        <v>0</v>
      </c>
      <c r="K52" s="18" t="n">
        <v>2.74752389</v>
      </c>
      <c r="L52" s="20" t="n">
        <v>0.66444546</v>
      </c>
      <c r="M52" s="18" t="n">
        <v>0</v>
      </c>
      <c r="N52" s="20" t="n">
        <v>0</v>
      </c>
      <c r="O52" s="18" t="n">
        <v>0</v>
      </c>
      <c r="P52" s="20" t="n">
        <v>0</v>
      </c>
      <c r="Q52" s="18" t="n">
        <v>0.42401592</v>
      </c>
      <c r="R52" s="20" t="n">
        <v>0.24831067</v>
      </c>
    </row>
    <row r="53" spans="1:18">
      <c r="A53" s="15" t="s">
        <v>612</v>
      </c>
      <c r="B53" s="17" t="n">
        <v>2474</v>
      </c>
      <c r="C53" s="18">
        <f>(1951.0/B53*100)</f>
        <v/>
      </c>
      <c r="D53" s="19" t="n">
        <v>523</v>
      </c>
      <c r="E53" s="18" t="n">
        <v>27.25443248</v>
      </c>
      <c r="F53" s="20" t="n">
        <v>2.14062414</v>
      </c>
      <c r="G53" s="18" t="n">
        <v>24.60915311</v>
      </c>
      <c r="H53" s="20" t="n">
        <v>2.18062092</v>
      </c>
      <c r="I53" s="18" t="n">
        <v>0</v>
      </c>
      <c r="J53" s="20" t="n">
        <v>0</v>
      </c>
      <c r="K53" s="18" t="n">
        <v>36.21442396</v>
      </c>
      <c r="L53" s="20" t="n">
        <v>2.36817295</v>
      </c>
      <c r="M53" s="18" t="n">
        <v>0</v>
      </c>
      <c r="N53" s="20" t="n">
        <v>0</v>
      </c>
      <c r="O53" s="18" t="n">
        <v>0</v>
      </c>
      <c r="P53" s="20" t="n">
        <v>0</v>
      </c>
      <c r="Q53" s="18" t="n">
        <v>11.92199045</v>
      </c>
      <c r="R53" s="20" t="n">
        <v>1.73005665</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(2120.0/B55*100)</f>
        <v/>
      </c>
      <c r="D55" s="19" t="n">
        <v>555</v>
      </c>
      <c r="E55" s="18" t="n">
        <v>53.72019486</v>
      </c>
      <c r="F55" s="20" t="n">
        <v>2.0992076</v>
      </c>
      <c r="G55" s="18" t="n">
        <v>44.82702209</v>
      </c>
      <c r="H55" s="20" t="n">
        <v>2.12978075</v>
      </c>
      <c r="I55" s="18" t="n">
        <v>0</v>
      </c>
      <c r="J55" s="20" t="n">
        <v>0</v>
      </c>
      <c r="K55" s="18" t="n">
        <v>1.45278305</v>
      </c>
      <c r="L55" s="20" t="n">
        <v>0.50437804</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(2528.0/B61*100)</f>
        <v/>
      </c>
      <c r="D61" s="19" t="n">
        <v>673</v>
      </c>
      <c r="E61" s="18" t="n">
        <v>39.99087474</v>
      </c>
      <c r="F61" s="20" t="n">
        <v>2.3341594</v>
      </c>
      <c r="G61" s="18" t="n">
        <v>58.15894278</v>
      </c>
      <c r="H61" s="20" t="n">
        <v>2.28679434</v>
      </c>
      <c r="I61" s="18" t="n">
        <v>0</v>
      </c>
      <c r="J61" s="20" t="n">
        <v>0</v>
      </c>
      <c r="K61" s="18" t="n">
        <v>1.41473396</v>
      </c>
      <c r="L61" s="20" t="n">
        <v>0.46630104</v>
      </c>
      <c r="M61" s="18" t="n">
        <v>0</v>
      </c>
      <c r="N61" s="20" t="n">
        <v>0</v>
      </c>
      <c r="O61" s="18" t="n">
        <v>0</v>
      </c>
      <c r="P61" s="20" t="n">
        <v>0</v>
      </c>
      <c r="Q61" s="18" t="n">
        <v>0.43544852</v>
      </c>
      <c r="R61" s="20" t="n">
        <v>0.33276832</v>
      </c>
    </row>
    <row r="62" spans="1:18">
      <c r="A62" s="15" t="s">
        <v>622</v>
      </c>
      <c r="B62" s="17" t="n">
        <v>2230</v>
      </c>
      <c r="C62" s="18">
        <f>(1759.0/B62*100)</f>
        <v/>
      </c>
      <c r="D62" s="19" t="n">
        <v>471</v>
      </c>
      <c r="E62" s="18" t="n">
        <v>48.05079375</v>
      </c>
      <c r="F62" s="20" t="n">
        <v>2.15573122</v>
      </c>
      <c r="G62" s="18" t="n">
        <v>51.73837309</v>
      </c>
      <c r="H62" s="20" t="n">
        <v>2.17575639</v>
      </c>
      <c r="I62" s="18" t="n">
        <v>0</v>
      </c>
      <c r="J62" s="20" t="n">
        <v>0</v>
      </c>
      <c r="K62" s="18" t="n">
        <v>0.21083315</v>
      </c>
      <c r="L62" s="20" t="n">
        <v>0.2113609</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(2227.0/B67*100)</f>
        <v/>
      </c>
      <c r="D67" s="19" t="n">
        <v>544</v>
      </c>
      <c r="E67" s="18" t="n">
        <v>42.94359603</v>
      </c>
      <c r="F67" s="20" t="n">
        <v>2.10785283</v>
      </c>
      <c r="G67" s="18" t="n">
        <v>43.09002522</v>
      </c>
      <c r="H67" s="20" t="n">
        <v>2.13761898</v>
      </c>
      <c r="I67" s="18" t="n">
        <v>0</v>
      </c>
      <c r="J67" s="20" t="n">
        <v>0</v>
      </c>
      <c r="K67" s="18" t="n">
        <v>12.03824174</v>
      </c>
      <c r="L67" s="20" t="n">
        <v>1.38690042</v>
      </c>
      <c r="M67" s="18" t="n">
        <v>0</v>
      </c>
      <c r="N67" s="20" t="n">
        <v>0</v>
      </c>
      <c r="O67" s="18" t="n">
        <v>0</v>
      </c>
      <c r="P67" s="20" t="n">
        <v>0</v>
      </c>
      <c r="Q67" s="18" t="n">
        <v>1.92813701</v>
      </c>
      <c r="R67" s="20" t="n">
        <v>0.57860052</v>
      </c>
    </row>
    <row r="68" spans="1:18">
      <c r="A68" s="15" t="s">
        <v>628</v>
      </c>
      <c r="B68" s="17" t="n">
        <v>3460</v>
      </c>
      <c r="C68" s="18">
        <f>(2934.0/B68*100)</f>
        <v/>
      </c>
      <c r="D68" s="19" t="n">
        <v>526</v>
      </c>
      <c r="E68" s="18" t="n">
        <v>38.94537855</v>
      </c>
      <c r="F68" s="20" t="n">
        <v>2.29496943</v>
      </c>
      <c r="G68" s="18" t="n">
        <v>52.1514636</v>
      </c>
      <c r="H68" s="20" t="n">
        <v>2.41127343</v>
      </c>
      <c r="I68" s="18" t="n">
        <v>0</v>
      </c>
      <c r="J68" s="20" t="n">
        <v>0</v>
      </c>
      <c r="K68" s="18" t="n">
        <v>5.72373298</v>
      </c>
      <c r="L68" s="20" t="n">
        <v>1.19369831</v>
      </c>
      <c r="M68" s="18" t="n">
        <v>0</v>
      </c>
      <c r="N68" s="20" t="n">
        <v>0</v>
      </c>
      <c r="O68" s="18" t="n">
        <v>0</v>
      </c>
      <c r="P68" s="20" t="n">
        <v>0</v>
      </c>
      <c r="Q68" s="18" t="n">
        <v>3.17942486</v>
      </c>
      <c r="R68" s="20" t="n">
        <v>0.86187788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(4720.0/B70*100)</f>
        <v/>
      </c>
      <c r="D70" s="19" t="n">
        <v>1314</v>
      </c>
      <c r="E70" s="18" t="n">
        <v>39.30761714</v>
      </c>
      <c r="F70" s="20" t="n">
        <v>1.21379392</v>
      </c>
      <c r="G70" s="18" t="n">
        <v>49.73955171</v>
      </c>
      <c r="H70" s="20" t="n">
        <v>1.28771296</v>
      </c>
      <c r="I70" s="18" t="n">
        <v>0</v>
      </c>
      <c r="J70" s="20" t="n">
        <v>0</v>
      </c>
      <c r="K70" s="18" t="n">
        <v>10.12347065</v>
      </c>
      <c r="L70" s="20" t="n">
        <v>0.92515949</v>
      </c>
      <c r="M70" s="18" t="n">
        <v>0</v>
      </c>
      <c r="N70" s="20" t="n">
        <v>0</v>
      </c>
      <c r="O70" s="18" t="n">
        <v>0</v>
      </c>
      <c r="P70" s="20" t="n">
        <v>0</v>
      </c>
      <c r="Q70" s="18" t="n">
        <v>0.82936049</v>
      </c>
      <c r="R70" s="20" t="n">
        <v>0.27123427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(2466.0/B72*100)</f>
        <v/>
      </c>
      <c r="D72" s="19" t="n">
        <v>641</v>
      </c>
      <c r="E72" s="18" t="n">
        <v>33.74653502</v>
      </c>
      <c r="F72" s="20" t="n">
        <v>2.07208092</v>
      </c>
      <c r="G72" s="18" t="n">
        <v>62.84208375</v>
      </c>
      <c r="H72" s="20" t="n">
        <v>2.11571231</v>
      </c>
      <c r="I72" s="18" t="n">
        <v>0</v>
      </c>
      <c r="J72" s="20" t="n">
        <v>0</v>
      </c>
      <c r="K72" s="18" t="n">
        <v>3.03748189</v>
      </c>
      <c r="L72" s="20" t="n">
        <v>0.70957713</v>
      </c>
      <c r="M72" s="18" t="n">
        <v>0</v>
      </c>
      <c r="N72" s="20" t="n">
        <v>0</v>
      </c>
      <c r="O72" s="18" t="n">
        <v>0</v>
      </c>
      <c r="P72" s="20" t="n">
        <v>0</v>
      </c>
      <c r="Q72" s="18" t="n">
        <v>0.37389934</v>
      </c>
      <c r="R72" s="20" t="n">
        <v>0.2966979</v>
      </c>
    </row>
    <row r="73" spans="1:18">
      <c r="A73" s="15" t="s">
        <v>633</v>
      </c>
      <c r="B73" s="17" t="n">
        <v>2973</v>
      </c>
      <c r="C73" s="18">
        <f>(2308.0/B73*100)</f>
        <v/>
      </c>
      <c r="D73" s="19" t="n">
        <v>665</v>
      </c>
      <c r="E73" s="18" t="n">
        <v>38.99759078</v>
      </c>
      <c r="F73" s="20" t="n">
        <v>1.93542073</v>
      </c>
      <c r="G73" s="18" t="n">
        <v>59.3194066</v>
      </c>
      <c r="H73" s="20" t="n">
        <v>1.87085576</v>
      </c>
      <c r="I73" s="18" t="n">
        <v>0</v>
      </c>
      <c r="J73" s="20" t="n">
        <v>0</v>
      </c>
      <c r="K73" s="18" t="n">
        <v>1.68300261</v>
      </c>
      <c r="L73" s="20" t="n">
        <v>0.53079219</v>
      </c>
      <c r="M73" s="18" t="n">
        <v>0</v>
      </c>
      <c r="N73" s="20" t="n">
        <v>0</v>
      </c>
      <c r="O73" s="18" t="n">
        <v>0</v>
      </c>
      <c r="P73" s="20" t="n">
        <v>0</v>
      </c>
      <c r="Q73" s="18" t="n">
        <v>0</v>
      </c>
      <c r="R73" s="20" t="n">
        <v>0</v>
      </c>
    </row>
    <row r="74" spans="1:18">
      <c r="A74" s="15" t="s">
        <v>634</v>
      </c>
      <c r="B74" s="17" t="n">
        <v>3819</v>
      </c>
      <c r="C74" s="18">
        <f>(2943.0/B74*100)</f>
        <v/>
      </c>
      <c r="D74" s="19" t="n">
        <v>876</v>
      </c>
      <c r="E74" s="18" t="n">
        <v>51.58444297</v>
      </c>
      <c r="F74" s="20" t="n">
        <v>1.92280738</v>
      </c>
      <c r="G74" s="18" t="n">
        <v>47.22059535</v>
      </c>
      <c r="H74" s="20" t="n">
        <v>1.90081111</v>
      </c>
      <c r="I74" s="18" t="n">
        <v>0</v>
      </c>
      <c r="J74" s="20" t="n">
        <v>0</v>
      </c>
      <c r="K74" s="18" t="n">
        <v>0.9169159099999999</v>
      </c>
      <c r="L74" s="20" t="n">
        <v>0.2945552</v>
      </c>
      <c r="M74" s="18" t="n">
        <v>0</v>
      </c>
      <c r="N74" s="20" t="n">
        <v>0</v>
      </c>
      <c r="O74" s="18" t="n">
        <v>0</v>
      </c>
      <c r="P74" s="20" t="n">
        <v>0</v>
      </c>
      <c r="Q74" s="18" t="n">
        <v>0.27804577</v>
      </c>
      <c r="R74" s="20" t="n">
        <v>0.18068714</v>
      </c>
    </row>
    <row r="75" spans="1:18">
      <c r="A75" s="15" t="s">
        <v>635</v>
      </c>
      <c r="B75" s="17" t="n">
        <v>4652</v>
      </c>
      <c r="C75" s="18">
        <f>(3730.0/B75*100)</f>
        <v/>
      </c>
      <c r="D75" s="19" t="n">
        <v>922</v>
      </c>
      <c r="E75" s="18" t="n">
        <v>43.93670079</v>
      </c>
      <c r="F75" s="20" t="n">
        <v>1.97676865</v>
      </c>
      <c r="G75" s="18" t="n">
        <v>53.50827758</v>
      </c>
      <c r="H75" s="20" t="n">
        <v>2.03149918</v>
      </c>
      <c r="I75" s="18" t="n">
        <v>0</v>
      </c>
      <c r="J75" s="20" t="n">
        <v>0</v>
      </c>
      <c r="K75" s="18" t="n">
        <v>0.83218788</v>
      </c>
      <c r="L75" s="20" t="n">
        <v>0.32351087</v>
      </c>
      <c r="M75" s="18" t="n">
        <v>0</v>
      </c>
      <c r="N75" s="20" t="n">
        <v>0</v>
      </c>
      <c r="O75" s="18" t="n">
        <v>0</v>
      </c>
      <c r="P75" s="20" t="n">
        <v>0</v>
      </c>
      <c r="Q75" s="18" t="n">
        <v>1.72283375</v>
      </c>
      <c r="R75" s="20" t="n">
        <v>0.67411738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(2429.0/B77*100)</f>
        <v/>
      </c>
      <c r="D77" s="19" t="n">
        <v>540</v>
      </c>
      <c r="E77" s="18" t="n">
        <v>41.62208144</v>
      </c>
      <c r="F77" s="20" t="n">
        <v>2.05510085</v>
      </c>
      <c r="G77" s="18" t="n">
        <v>45.24516172</v>
      </c>
      <c r="H77" s="20" t="n">
        <v>2.14632525</v>
      </c>
      <c r="I77" s="18" t="n">
        <v>0</v>
      </c>
      <c r="J77" s="20" t="n">
        <v>0</v>
      </c>
      <c r="K77" s="18" t="n">
        <v>12.44917652</v>
      </c>
      <c r="L77" s="20" t="n">
        <v>1.71095603</v>
      </c>
      <c r="M77" s="18" t="n">
        <v>0</v>
      </c>
      <c r="N77" s="20" t="n">
        <v>0</v>
      </c>
      <c r="O77" s="18" t="n">
        <v>0</v>
      </c>
      <c r="P77" s="20" t="n">
        <v>0</v>
      </c>
      <c r="Q77" s="18" t="n">
        <v>0.68358032</v>
      </c>
      <c r="R77" s="20" t="n">
        <v>0.35080556</v>
      </c>
    </row>
    <row r="78" spans="1:18">
      <c r="A78" s="15" t="s">
        <v>638</v>
      </c>
      <c r="B78" s="17" t="n">
        <v>7115</v>
      </c>
      <c r="C78" s="18">
        <f>(5582.0/B78*100)</f>
        <v/>
      </c>
      <c r="D78" s="19" t="n">
        <v>1533</v>
      </c>
      <c r="E78" s="18" t="n">
        <v>41.31353081</v>
      </c>
      <c r="F78" s="20" t="n">
        <v>1.63327995</v>
      </c>
      <c r="G78" s="18" t="n">
        <v>54.81171615</v>
      </c>
      <c r="H78" s="20" t="n">
        <v>1.73958093</v>
      </c>
      <c r="I78" s="18" t="n">
        <v>0</v>
      </c>
      <c r="J78" s="20" t="n">
        <v>0</v>
      </c>
      <c r="K78" s="18" t="n">
        <v>2.78864002</v>
      </c>
      <c r="L78" s="20" t="n">
        <v>0.42614022</v>
      </c>
      <c r="M78" s="18" t="n">
        <v>0</v>
      </c>
      <c r="N78" s="20" t="n">
        <v>0</v>
      </c>
      <c r="O78" s="18" t="n">
        <v>0</v>
      </c>
      <c r="P78" s="20" t="n">
        <v>0</v>
      </c>
      <c r="Q78" s="18" t="n">
        <v>1.08611301</v>
      </c>
      <c r="R78" s="20" t="n">
        <v>0.33705964</v>
      </c>
    </row>
    <row r="79" spans="1:18">
      <c r="A79" s="15" t="s">
        <v>639</v>
      </c>
      <c r="B79" s="17" t="n">
        <v>3154</v>
      </c>
      <c r="C79" s="18">
        <f>(2554.0/B79*100)</f>
        <v/>
      </c>
      <c r="D79" s="19" t="n">
        <v>600</v>
      </c>
      <c r="E79" s="18" t="n">
        <v>41.60859174</v>
      </c>
      <c r="F79" s="20" t="n">
        <v>2.02126471</v>
      </c>
      <c r="G79" s="18" t="n">
        <v>48.71867448</v>
      </c>
      <c r="H79" s="20" t="n">
        <v>2.06981203</v>
      </c>
      <c r="I79" s="18" t="n">
        <v>0</v>
      </c>
      <c r="J79" s="20" t="n">
        <v>0</v>
      </c>
      <c r="K79" s="18" t="n">
        <v>8.76375453</v>
      </c>
      <c r="L79" s="20" t="n">
        <v>1.09689971</v>
      </c>
      <c r="M79" s="18" t="n">
        <v>0</v>
      </c>
      <c r="N79" s="20" t="n">
        <v>0</v>
      </c>
      <c r="O79" s="18" t="n">
        <v>0</v>
      </c>
      <c r="P79" s="20" t="n">
        <v>0</v>
      </c>
      <c r="Q79" s="18" t="n">
        <v>0.90897924</v>
      </c>
      <c r="R79" s="20" t="n">
        <v>0.42298647</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(12632.0/B82*100)</f>
        <v/>
      </c>
      <c r="D82" s="19" t="n">
        <v>3329</v>
      </c>
      <c r="E82" s="18" t="n">
        <v>37.1787525</v>
      </c>
      <c r="F82" s="20" t="n">
        <v>1.14523611</v>
      </c>
      <c r="G82" s="18" t="n">
        <v>60.12225295</v>
      </c>
      <c r="H82" s="20" t="n">
        <v>1.16414255</v>
      </c>
      <c r="I82" s="18" t="n">
        <v>0</v>
      </c>
      <c r="J82" s="20" t="n">
        <v>0</v>
      </c>
      <c r="K82" s="18" t="n">
        <v>2.34846963</v>
      </c>
      <c r="L82" s="20" t="n">
        <v>0.4395327</v>
      </c>
      <c r="M82" s="18" t="n">
        <v>0</v>
      </c>
      <c r="N82" s="20" t="n">
        <v>0</v>
      </c>
      <c r="O82" s="18" t="n">
        <v>0</v>
      </c>
      <c r="P82" s="20" t="n">
        <v>0</v>
      </c>
      <c r="Q82" s="18" t="n">
        <v>0.35052492</v>
      </c>
      <c r="R82" s="20" t="n">
        <v>0.15884834</v>
      </c>
    </row>
    <row r="83" spans="1:18">
      <c r="A83" s="15" t="s">
        <v>643</v>
      </c>
      <c r="B83" s="17" t="n">
        <v>808</v>
      </c>
      <c r="C83" s="18">
        <f>(632.0/B83*100)</f>
        <v/>
      </c>
      <c r="D83" s="19" t="n">
        <v>176</v>
      </c>
      <c r="E83" s="18" t="n">
        <v>27.80742973</v>
      </c>
      <c r="F83" s="20" t="n">
        <v>2.42406057</v>
      </c>
      <c r="G83" s="18" t="n">
        <v>70.06674631999999</v>
      </c>
      <c r="H83" s="20" t="n">
        <v>2.63444294</v>
      </c>
      <c r="I83" s="18" t="n">
        <v>0</v>
      </c>
      <c r="J83" s="20" t="n">
        <v>0</v>
      </c>
      <c r="K83" s="18" t="n">
        <v>1.67852685</v>
      </c>
      <c r="L83" s="20" t="n">
        <v>1.04780862</v>
      </c>
      <c r="M83" s="18" t="n">
        <v>0</v>
      </c>
      <c r="N83" s="20" t="n">
        <v>0</v>
      </c>
      <c r="O83" s="18" t="n">
        <v>0</v>
      </c>
      <c r="P83" s="20" t="n">
        <v>0</v>
      </c>
      <c r="Q83" s="18" t="n">
        <v>0.4472971</v>
      </c>
      <c r="R83" s="20" t="n">
        <v>0.45025699</v>
      </c>
    </row>
    <row r="84" spans="1:18">
      <c r="A84" s="23" t="s">
        <v>644</v>
      </c>
      <c r="B84" s="24" t="n">
        <v>938</v>
      </c>
      <c r="C84" s="25">
        <f>(752.0/B84*100)</f>
        <v/>
      </c>
      <c r="D84" s="19" t="n">
        <v>186</v>
      </c>
      <c r="E84" s="18" t="n">
        <v>37.82404391</v>
      </c>
      <c r="F84" s="20" t="n">
        <v>3.88265249</v>
      </c>
      <c r="G84" s="18" t="n">
        <v>62.17595609</v>
      </c>
      <c r="H84" s="20" t="n">
        <v>3.88265249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(5732.0/B7*100)</f>
        <v/>
      </c>
      <c r="D7" s="19" t="n">
        <v>1431</v>
      </c>
      <c r="E7" s="18" t="n">
        <v>48.16627639</v>
      </c>
      <c r="F7" s="20" t="n">
        <v>1.64730052</v>
      </c>
      <c r="G7" s="18" t="n">
        <v>31.14876473</v>
      </c>
      <c r="H7" s="20" t="n">
        <v>1.52087294</v>
      </c>
      <c r="I7" s="18" t="n">
        <v>0</v>
      </c>
      <c r="J7" s="20" t="n">
        <v>0</v>
      </c>
      <c r="K7" s="18" t="n">
        <v>20.49529598</v>
      </c>
      <c r="L7" s="20" t="n">
        <v>1.32015372</v>
      </c>
      <c r="M7" s="18" t="n">
        <v>0.1896629</v>
      </c>
      <c r="N7" s="20" t="n">
        <v>0.16678121</v>
      </c>
      <c r="O7" s="18" t="n">
        <v>0</v>
      </c>
      <c r="P7" s="20" t="n">
        <v>0</v>
      </c>
      <c r="Q7" s="18" t="n">
        <v>0</v>
      </c>
      <c r="R7" s="20" t="n">
        <v>0</v>
      </c>
    </row>
    <row r="8" spans="1:18">
      <c r="A8" s="15" t="s">
        <v>566</v>
      </c>
      <c r="B8" s="17" t="n">
        <v>3443</v>
      </c>
      <c r="C8" s="18">
        <f>(2698.0/B8*100)</f>
        <v/>
      </c>
      <c r="D8" s="19" t="n">
        <v>745</v>
      </c>
      <c r="E8" s="18" t="n">
        <v>36.18642698</v>
      </c>
      <c r="F8" s="20" t="n">
        <v>2.10297255</v>
      </c>
      <c r="G8" s="18" t="n">
        <v>29.72680314</v>
      </c>
      <c r="H8" s="20" t="n">
        <v>1.8297154</v>
      </c>
      <c r="I8" s="18" t="n">
        <v>0</v>
      </c>
      <c r="J8" s="20" t="n">
        <v>0</v>
      </c>
      <c r="K8" s="18" t="n">
        <v>34.08676988</v>
      </c>
      <c r="L8" s="20" t="n">
        <v>1.91306701</v>
      </c>
      <c r="M8" s="18" t="n">
        <v>0</v>
      </c>
      <c r="N8" s="20" t="n">
        <v>0</v>
      </c>
      <c r="O8" s="18" t="n">
        <v>0</v>
      </c>
      <c r="P8" s="20" t="n">
        <v>0</v>
      </c>
      <c r="Q8" s="18" t="n">
        <v>0</v>
      </c>
      <c r="R8" s="20" t="n">
        <v>0</v>
      </c>
    </row>
    <row r="9" spans="1:18">
      <c r="A9" s="15" t="s">
        <v>567</v>
      </c>
      <c r="B9" s="17" t="n">
        <v>4752</v>
      </c>
      <c r="C9" s="18">
        <f>(3812.0/B9*100)</f>
        <v/>
      </c>
      <c r="D9" s="19" t="n">
        <v>940</v>
      </c>
      <c r="E9" s="18" t="n">
        <v>43.75233048</v>
      </c>
      <c r="F9" s="20" t="n">
        <v>1.7358092</v>
      </c>
      <c r="G9" s="18" t="n">
        <v>29.53697058</v>
      </c>
      <c r="H9" s="20" t="n">
        <v>1.51403484</v>
      </c>
      <c r="I9" s="18" t="n">
        <v>0</v>
      </c>
      <c r="J9" s="20" t="n">
        <v>0</v>
      </c>
      <c r="K9" s="18" t="n">
        <v>26.51320683</v>
      </c>
      <c r="L9" s="20" t="n">
        <v>1.5130984</v>
      </c>
      <c r="M9" s="18" t="n">
        <v>0.19749211</v>
      </c>
      <c r="N9" s="20" t="n">
        <v>0.14142271</v>
      </c>
      <c r="O9" s="18" t="n">
        <v>0</v>
      </c>
      <c r="P9" s="20" t="n">
        <v>0</v>
      </c>
      <c r="Q9" s="18" t="n">
        <v>0</v>
      </c>
      <c r="R9" s="20" t="n">
        <v>0</v>
      </c>
    </row>
    <row r="10" spans="1:18">
      <c r="A10" s="15" t="s">
        <v>568</v>
      </c>
      <c r="B10" s="17" t="n">
        <v>10022</v>
      </c>
      <c r="C10" s="18">
        <f>(7897.0/B10*100)</f>
        <v/>
      </c>
      <c r="D10" s="19" t="n">
        <v>2125</v>
      </c>
      <c r="E10" s="18" t="n">
        <v>39.9298799</v>
      </c>
      <c r="F10" s="20" t="n">
        <v>1.63278712</v>
      </c>
      <c r="G10" s="18" t="n">
        <v>43.90079729</v>
      </c>
      <c r="H10" s="20" t="n">
        <v>1.60106464</v>
      </c>
      <c r="I10" s="18" t="n">
        <v>0</v>
      </c>
      <c r="J10" s="20" t="n">
        <v>0</v>
      </c>
      <c r="K10" s="18" t="n">
        <v>16.1660208</v>
      </c>
      <c r="L10" s="20" t="n">
        <v>1.30199916</v>
      </c>
      <c r="M10" s="18" t="n">
        <v>0.00330201</v>
      </c>
      <c r="N10" s="20" t="n">
        <v>0.00330909</v>
      </c>
      <c r="O10" s="18" t="n">
        <v>0</v>
      </c>
      <c r="P10" s="20" t="n">
        <v>0</v>
      </c>
      <c r="Q10" s="18" t="n">
        <v>0</v>
      </c>
      <c r="R10" s="20" t="n">
        <v>0</v>
      </c>
    </row>
    <row r="11" spans="1:18">
      <c r="A11" s="15" t="s">
        <v>569</v>
      </c>
      <c r="B11" s="17" t="n">
        <v>3500</v>
      </c>
      <c r="C11" s="18">
        <f>(2835.0/B11*100)</f>
        <v/>
      </c>
      <c r="D11" s="19" t="n">
        <v>665</v>
      </c>
      <c r="E11" s="18" t="n">
        <v>47.47369046</v>
      </c>
      <c r="F11" s="20" t="n">
        <v>2.47120421</v>
      </c>
      <c r="G11" s="18" t="n">
        <v>15.29763532</v>
      </c>
      <c r="H11" s="20" t="n">
        <v>1.79487959</v>
      </c>
      <c r="I11" s="18" t="n">
        <v>0</v>
      </c>
      <c r="J11" s="20" t="n">
        <v>0</v>
      </c>
      <c r="K11" s="18" t="n">
        <v>37.21246085</v>
      </c>
      <c r="L11" s="20" t="n">
        <v>2.33834267</v>
      </c>
      <c r="M11" s="18" t="n">
        <v>0.01621337</v>
      </c>
      <c r="N11" s="20" t="n">
        <v>0.01634154</v>
      </c>
      <c r="O11" s="18" t="n">
        <v>0</v>
      </c>
      <c r="P11" s="20" t="n">
        <v>0</v>
      </c>
      <c r="Q11" s="18" t="n">
        <v>0</v>
      </c>
      <c r="R11" s="20" t="n">
        <v>0</v>
      </c>
    </row>
    <row r="12" spans="1:18">
      <c r="A12" s="15" t="s">
        <v>570</v>
      </c>
      <c r="B12" s="17" t="n">
        <v>3422</v>
      </c>
      <c r="C12" s="18">
        <f>(2717.0/B12*100)</f>
        <v/>
      </c>
      <c r="D12" s="19" t="n">
        <v>705</v>
      </c>
      <c r="E12" s="18" t="n">
        <v>44.19480422</v>
      </c>
      <c r="F12" s="20" t="n">
        <v>2.32509877</v>
      </c>
      <c r="G12" s="18" t="n">
        <v>21.40971895</v>
      </c>
      <c r="H12" s="20" t="n">
        <v>1.67027425</v>
      </c>
      <c r="I12" s="18" t="n">
        <v>0</v>
      </c>
      <c r="J12" s="20" t="n">
        <v>0</v>
      </c>
      <c r="K12" s="18" t="n">
        <v>34.39547683</v>
      </c>
      <c r="L12" s="20" t="n">
        <v>1.98720241</v>
      </c>
      <c r="M12" s="18" t="n">
        <v>0</v>
      </c>
      <c r="N12" s="20" t="n">
        <v>0</v>
      </c>
      <c r="O12" s="18" t="n">
        <v>0</v>
      </c>
      <c r="P12" s="20" t="n">
        <v>0</v>
      </c>
      <c r="Q12" s="18" t="n">
        <v>0</v>
      </c>
      <c r="R12" s="20" t="n">
        <v>0</v>
      </c>
    </row>
    <row r="13" spans="1:18">
      <c r="A13" s="15" t="s">
        <v>571</v>
      </c>
      <c r="B13" s="17" t="n">
        <v>3602</v>
      </c>
      <c r="C13" s="18">
        <f>(2874.0/B13*100)</f>
        <v/>
      </c>
      <c r="D13" s="19" t="n">
        <v>728</v>
      </c>
      <c r="E13" s="18" t="n">
        <v>49.68202321</v>
      </c>
      <c r="F13" s="20" t="n">
        <v>2.09913275</v>
      </c>
      <c r="G13" s="18" t="n">
        <v>27.26712738</v>
      </c>
      <c r="H13" s="20" t="n">
        <v>1.92592749</v>
      </c>
      <c r="I13" s="18" t="n">
        <v>0</v>
      </c>
      <c r="J13" s="20" t="n">
        <v>0</v>
      </c>
      <c r="K13" s="18" t="n">
        <v>23.05084941</v>
      </c>
      <c r="L13" s="20" t="n">
        <v>1.88600698</v>
      </c>
      <c r="M13" s="18" t="n">
        <v>0</v>
      </c>
      <c r="N13" s="20" t="n">
        <v>0</v>
      </c>
      <c r="O13" s="18" t="n">
        <v>0</v>
      </c>
      <c r="P13" s="20" t="n">
        <v>0</v>
      </c>
      <c r="Q13" s="18" t="n">
        <v>0</v>
      </c>
      <c r="R13" s="20" t="n">
        <v>0</v>
      </c>
    </row>
    <row r="14" spans="1:18">
      <c r="A14" s="15" t="s">
        <v>572</v>
      </c>
      <c r="B14" s="17" t="n">
        <v>2788</v>
      </c>
      <c r="C14" s="18">
        <f>(2200.0/B14*100)</f>
        <v/>
      </c>
      <c r="D14" s="19" t="n">
        <v>588</v>
      </c>
      <c r="E14" s="18" t="n">
        <v>35.80031923</v>
      </c>
      <c r="F14" s="20" t="n">
        <v>2.17905977</v>
      </c>
      <c r="G14" s="18" t="n">
        <v>49.81763034</v>
      </c>
      <c r="H14" s="20" t="n">
        <v>2.16384305</v>
      </c>
      <c r="I14" s="18" t="n">
        <v>0</v>
      </c>
      <c r="J14" s="20" t="n">
        <v>0</v>
      </c>
      <c r="K14" s="18" t="n">
        <v>14.38205044</v>
      </c>
      <c r="L14" s="20" t="n">
        <v>1.55904457</v>
      </c>
      <c r="M14" s="18" t="n">
        <v>0</v>
      </c>
      <c r="N14" s="20" t="n">
        <v>0</v>
      </c>
      <c r="O14" s="18" t="n">
        <v>0</v>
      </c>
      <c r="P14" s="20" t="n">
        <v>0</v>
      </c>
      <c r="Q14" s="18" t="n">
        <v>0</v>
      </c>
      <c r="R14" s="20" t="n">
        <v>0</v>
      </c>
    </row>
    <row r="15" spans="1:18">
      <c r="A15" s="15" t="s">
        <v>573</v>
      </c>
      <c r="B15" s="17" t="n">
        <v>2863</v>
      </c>
      <c r="C15" s="18">
        <f>(2261.0/B15*100)</f>
        <v/>
      </c>
      <c r="D15" s="19" t="n">
        <v>602</v>
      </c>
      <c r="E15" s="18" t="n">
        <v>35.89987659</v>
      </c>
      <c r="F15" s="20" t="n">
        <v>2.08231502</v>
      </c>
      <c r="G15" s="18" t="n">
        <v>49.95931134</v>
      </c>
      <c r="H15" s="20" t="n">
        <v>2.02856894</v>
      </c>
      <c r="I15" s="18" t="n">
        <v>0</v>
      </c>
      <c r="J15" s="20" t="n">
        <v>0</v>
      </c>
      <c r="K15" s="18" t="n">
        <v>14.14081207</v>
      </c>
      <c r="L15" s="20" t="n">
        <v>1.39432928</v>
      </c>
      <c r="M15" s="18" t="n">
        <v>0</v>
      </c>
      <c r="N15" s="20" t="n">
        <v>0</v>
      </c>
      <c r="O15" s="18" t="n">
        <v>0</v>
      </c>
      <c r="P15" s="20" t="n">
        <v>0</v>
      </c>
      <c r="Q15" s="18" t="n">
        <v>0</v>
      </c>
      <c r="R15" s="20" t="n">
        <v>0</v>
      </c>
    </row>
    <row r="16" spans="1:18">
      <c r="A16" s="15" t="s">
        <v>574</v>
      </c>
      <c r="B16" s="17" t="n">
        <v>3111</v>
      </c>
      <c r="C16" s="18">
        <f>(2440.0/B16*100)</f>
        <v/>
      </c>
      <c r="D16" s="19" t="n">
        <v>671</v>
      </c>
      <c r="E16" s="18" t="n">
        <v>27.5333316</v>
      </c>
      <c r="F16" s="20" t="n">
        <v>1.91312597</v>
      </c>
      <c r="G16" s="18" t="n">
        <v>36.26078713</v>
      </c>
      <c r="H16" s="20" t="n">
        <v>1.67065113</v>
      </c>
      <c r="I16" s="18" t="n">
        <v>0</v>
      </c>
      <c r="J16" s="20" t="n">
        <v>0</v>
      </c>
      <c r="K16" s="18" t="n">
        <v>36.20588127</v>
      </c>
      <c r="L16" s="20" t="n">
        <v>2.11478493</v>
      </c>
      <c r="M16" s="18" t="n">
        <v>0</v>
      </c>
      <c r="N16" s="20" t="n">
        <v>0</v>
      </c>
      <c r="O16" s="18" t="n">
        <v>0</v>
      </c>
      <c r="P16" s="20" t="n">
        <v>0</v>
      </c>
      <c r="Q16" s="18" t="n">
        <v>0</v>
      </c>
      <c r="R16" s="20" t="n">
        <v>0</v>
      </c>
    </row>
    <row r="17" spans="1:18">
      <c r="A17" s="15" t="s">
        <v>575</v>
      </c>
      <c r="B17" s="17" t="n">
        <v>3197</v>
      </c>
      <c r="C17" s="18">
        <f>(2539.0/B17*100)</f>
        <v/>
      </c>
      <c r="D17" s="19" t="n">
        <v>658</v>
      </c>
      <c r="E17" s="18" t="n">
        <v>36.59135676</v>
      </c>
      <c r="F17" s="20" t="n">
        <v>2.23168378</v>
      </c>
      <c r="G17" s="18" t="n">
        <v>33.66574831</v>
      </c>
      <c r="H17" s="20" t="n">
        <v>2.24115304</v>
      </c>
      <c r="I17" s="18" t="n">
        <v>0</v>
      </c>
      <c r="J17" s="20" t="n">
        <v>0</v>
      </c>
      <c r="K17" s="18" t="n">
        <v>29.74289493</v>
      </c>
      <c r="L17" s="20" t="n">
        <v>1.72464726</v>
      </c>
      <c r="M17" s="18" t="n">
        <v>0</v>
      </c>
      <c r="N17" s="20" t="n">
        <v>0</v>
      </c>
      <c r="O17" s="18" t="n">
        <v>0</v>
      </c>
      <c r="P17" s="20" t="n">
        <v>0</v>
      </c>
      <c r="Q17" s="18" t="n">
        <v>0</v>
      </c>
      <c r="R17" s="20" t="n">
        <v>0</v>
      </c>
    </row>
    <row r="18" spans="1:18">
      <c r="A18" s="15" t="s">
        <v>576</v>
      </c>
      <c r="B18" s="17" t="n">
        <v>2706</v>
      </c>
      <c r="C18" s="18">
        <f>(2104.0/B18*100)</f>
        <v/>
      </c>
      <c r="D18" s="19" t="n">
        <v>602</v>
      </c>
      <c r="E18" s="18" t="n">
        <v>47.86052635</v>
      </c>
      <c r="F18" s="20" t="n">
        <v>2.21383059</v>
      </c>
      <c r="G18" s="18" t="n">
        <v>23.02561353</v>
      </c>
      <c r="H18" s="20" t="n">
        <v>1.42522798</v>
      </c>
      <c r="I18" s="18" t="n">
        <v>0</v>
      </c>
      <c r="J18" s="20" t="n">
        <v>0</v>
      </c>
      <c r="K18" s="18" t="n">
        <v>29.11386012</v>
      </c>
      <c r="L18" s="20" t="n">
        <v>1.99814642</v>
      </c>
      <c r="M18" s="18" t="n">
        <v>0</v>
      </c>
      <c r="N18" s="20" t="n">
        <v>0</v>
      </c>
      <c r="O18" s="18" t="n">
        <v>0</v>
      </c>
      <c r="P18" s="20" t="n">
        <v>0</v>
      </c>
      <c r="Q18" s="18" t="n">
        <v>0</v>
      </c>
      <c r="R18" s="20" t="n">
        <v>0</v>
      </c>
    </row>
    <row r="19" spans="1:18">
      <c r="A19" s="15" t="s">
        <v>577</v>
      </c>
      <c r="B19" s="17" t="n">
        <v>2850</v>
      </c>
      <c r="C19" s="18">
        <f>(2261.0/B19*100)</f>
        <v/>
      </c>
      <c r="D19" s="19" t="n">
        <v>589</v>
      </c>
      <c r="E19" s="18" t="n">
        <v>36.80106569</v>
      </c>
      <c r="F19" s="20" t="n">
        <v>2.06423111</v>
      </c>
      <c r="G19" s="18" t="n">
        <v>39.37847107</v>
      </c>
      <c r="H19" s="20" t="n">
        <v>2.09482173</v>
      </c>
      <c r="I19" s="18" t="n">
        <v>0</v>
      </c>
      <c r="J19" s="20" t="n">
        <v>0</v>
      </c>
      <c r="K19" s="18" t="n">
        <v>23.82046324</v>
      </c>
      <c r="L19" s="20" t="n">
        <v>1.70925559</v>
      </c>
      <c r="M19" s="18" t="n">
        <v>0</v>
      </c>
      <c r="N19" s="20" t="n">
        <v>0</v>
      </c>
      <c r="O19" s="18" t="n">
        <v>0</v>
      </c>
      <c r="P19" s="20" t="n">
        <v>0</v>
      </c>
      <c r="Q19" s="18" t="n">
        <v>0</v>
      </c>
      <c r="R19" s="20" t="n">
        <v>0</v>
      </c>
    </row>
    <row r="20" spans="1:18">
      <c r="A20" s="15" t="s">
        <v>578</v>
      </c>
      <c r="B20" s="17" t="n">
        <v>1741</v>
      </c>
      <c r="C20" s="18">
        <f>(1387.0/B20*100)</f>
        <v/>
      </c>
      <c r="D20" s="19" t="n">
        <v>354</v>
      </c>
      <c r="E20" s="18" t="n">
        <v>50.31650385</v>
      </c>
      <c r="F20" s="20" t="n">
        <v>2.67575327</v>
      </c>
      <c r="G20" s="18" t="n">
        <v>25.78553812</v>
      </c>
      <c r="H20" s="20" t="n">
        <v>2.23647603</v>
      </c>
      <c r="I20" s="18" t="n">
        <v>0</v>
      </c>
      <c r="J20" s="20" t="n">
        <v>0</v>
      </c>
      <c r="K20" s="18" t="n">
        <v>23.46598695</v>
      </c>
      <c r="L20" s="20" t="n">
        <v>2.00743391</v>
      </c>
      <c r="M20" s="18" t="n">
        <v>0.43197109</v>
      </c>
      <c r="N20" s="20" t="n">
        <v>0.43583311</v>
      </c>
      <c r="O20" s="18" t="n">
        <v>0</v>
      </c>
      <c r="P20" s="20" t="n">
        <v>0</v>
      </c>
      <c r="Q20" s="18" t="n">
        <v>0</v>
      </c>
      <c r="R20" s="20" t="n">
        <v>0</v>
      </c>
    </row>
    <row r="21" spans="1:18">
      <c r="A21" s="15" t="s">
        <v>579</v>
      </c>
      <c r="B21" s="17" t="n">
        <v>2833</v>
      </c>
      <c r="C21" s="18">
        <f>(2228.0/B21*100)</f>
        <v/>
      </c>
      <c r="D21" s="19" t="n">
        <v>605</v>
      </c>
      <c r="E21" s="18" t="n">
        <v>54.6386542</v>
      </c>
      <c r="F21" s="20" t="n">
        <v>2.21582177</v>
      </c>
      <c r="G21" s="18" t="n">
        <v>25.11614319</v>
      </c>
      <c r="H21" s="20" t="n">
        <v>1.88705532</v>
      </c>
      <c r="I21" s="18" t="n">
        <v>0</v>
      </c>
      <c r="J21" s="20" t="n">
        <v>0</v>
      </c>
      <c r="K21" s="18" t="n">
        <v>20.24520261</v>
      </c>
      <c r="L21" s="20" t="n">
        <v>1.8882775</v>
      </c>
      <c r="M21" s="18" t="n">
        <v>0</v>
      </c>
      <c r="N21" s="20" t="n">
        <v>0</v>
      </c>
      <c r="O21" s="18" t="n">
        <v>0</v>
      </c>
      <c r="P21" s="20" t="n">
        <v>0</v>
      </c>
      <c r="Q21" s="18" t="n">
        <v>0</v>
      </c>
      <c r="R21" s="20" t="n">
        <v>0</v>
      </c>
    </row>
    <row r="22" spans="1:18">
      <c r="A22" s="15" t="s">
        <v>580</v>
      </c>
      <c r="B22" s="17" t="n">
        <v>3667</v>
      </c>
      <c r="C22" s="18">
        <f>(3044.0/B22*100)</f>
        <v/>
      </c>
      <c r="D22" s="19" t="n">
        <v>623</v>
      </c>
      <c r="E22" s="18" t="n">
        <v>35.9622549</v>
      </c>
      <c r="F22" s="20" t="n">
        <v>1.85218375</v>
      </c>
      <c r="G22" s="18" t="n">
        <v>26.74382559</v>
      </c>
      <c r="H22" s="20" t="n">
        <v>1.77627969</v>
      </c>
      <c r="I22" s="18" t="n">
        <v>0</v>
      </c>
      <c r="J22" s="20" t="n">
        <v>0</v>
      </c>
      <c r="K22" s="18" t="n">
        <v>37.29391951</v>
      </c>
      <c r="L22" s="20" t="n">
        <v>2.19512087</v>
      </c>
      <c r="M22" s="18" t="n">
        <v>0</v>
      </c>
      <c r="N22" s="20" t="n">
        <v>0</v>
      </c>
      <c r="O22" s="18" t="n">
        <v>0</v>
      </c>
      <c r="P22" s="20" t="n">
        <v>0</v>
      </c>
      <c r="Q22" s="18" t="n">
        <v>0</v>
      </c>
      <c r="R22" s="20" t="n">
        <v>0</v>
      </c>
    </row>
    <row r="23" spans="1:18">
      <c r="A23" s="15" t="s">
        <v>581</v>
      </c>
      <c r="B23" s="17" t="n">
        <v>5792</v>
      </c>
      <c r="C23" s="18">
        <f>(4553.0/B23*100)</f>
        <v/>
      </c>
      <c r="D23" s="19" t="n">
        <v>1239</v>
      </c>
      <c r="E23" s="18" t="n">
        <v>41.55200527</v>
      </c>
      <c r="F23" s="20" t="n">
        <v>2.3723069</v>
      </c>
      <c r="G23" s="18" t="n">
        <v>18.1641161</v>
      </c>
      <c r="H23" s="20" t="n">
        <v>1.51018334</v>
      </c>
      <c r="I23" s="18" t="n">
        <v>0</v>
      </c>
      <c r="J23" s="20" t="n">
        <v>0</v>
      </c>
      <c r="K23" s="18" t="n">
        <v>40.28387862</v>
      </c>
      <c r="L23" s="20" t="n">
        <v>2.62569121</v>
      </c>
      <c r="M23" s="18" t="n">
        <v>0</v>
      </c>
      <c r="N23" s="20" t="n">
        <v>0</v>
      </c>
      <c r="O23" s="18" t="n">
        <v>0</v>
      </c>
      <c r="P23" s="20" t="n">
        <v>0</v>
      </c>
      <c r="Q23" s="18" t="n">
        <v>0</v>
      </c>
      <c r="R23" s="20" t="n">
        <v>0</v>
      </c>
    </row>
    <row r="24" spans="1:18">
      <c r="A24" s="15" t="s">
        <v>582</v>
      </c>
      <c r="B24" s="17" t="n">
        <v>3309</v>
      </c>
      <c r="C24" s="18">
        <f>(2630.0/B24*100)</f>
        <v/>
      </c>
      <c r="D24" s="19" t="n">
        <v>679</v>
      </c>
      <c r="E24" s="18" t="n">
        <v>36.51890157</v>
      </c>
      <c r="F24" s="20" t="n">
        <v>2.05544953</v>
      </c>
      <c r="G24" s="18" t="n">
        <v>29.42580615</v>
      </c>
      <c r="H24" s="20" t="n">
        <v>1.91766387</v>
      </c>
      <c r="I24" s="18" t="n">
        <v>0</v>
      </c>
      <c r="J24" s="20" t="n">
        <v>0</v>
      </c>
      <c r="K24" s="18" t="n">
        <v>34.05529228</v>
      </c>
      <c r="L24" s="20" t="n">
        <v>1.70902612</v>
      </c>
      <c r="M24" s="18" t="n">
        <v>0</v>
      </c>
      <c r="N24" s="20" t="n">
        <v>0</v>
      </c>
      <c r="O24" s="18" t="n">
        <v>0</v>
      </c>
      <c r="P24" s="20" t="n">
        <v>0</v>
      </c>
      <c r="Q24" s="18" t="n">
        <v>0</v>
      </c>
      <c r="R24" s="20" t="n">
        <v>0</v>
      </c>
    </row>
    <row r="25" spans="1:18">
      <c r="A25" s="15" t="s">
        <v>583</v>
      </c>
      <c r="B25" s="17" t="n">
        <v>2669</v>
      </c>
      <c r="C25" s="18">
        <f>(2069.0/B25*100)</f>
        <v/>
      </c>
      <c r="D25" s="19" t="n">
        <v>600</v>
      </c>
      <c r="E25" s="18" t="n">
        <v>34.92438534</v>
      </c>
      <c r="F25" s="20" t="n">
        <v>1.96019266</v>
      </c>
      <c r="G25" s="18" t="n">
        <v>46.21857264</v>
      </c>
      <c r="H25" s="20" t="n">
        <v>2.51017022</v>
      </c>
      <c r="I25" s="18" t="n">
        <v>0</v>
      </c>
      <c r="J25" s="20" t="n">
        <v>0</v>
      </c>
      <c r="K25" s="18" t="n">
        <v>18.85704202</v>
      </c>
      <c r="L25" s="20" t="n">
        <v>1.88743602</v>
      </c>
      <c r="M25" s="18" t="n">
        <v>0</v>
      </c>
      <c r="N25" s="20" t="n">
        <v>0</v>
      </c>
      <c r="O25" s="18" t="n">
        <v>0</v>
      </c>
      <c r="P25" s="20" t="n">
        <v>0</v>
      </c>
      <c r="Q25" s="18" t="n">
        <v>0</v>
      </c>
      <c r="R25" s="20" t="n">
        <v>0</v>
      </c>
    </row>
    <row r="26" spans="1:18">
      <c r="A26" s="15" t="s">
        <v>584</v>
      </c>
      <c r="B26" s="17" t="n">
        <v>2419</v>
      </c>
      <c r="C26" s="18">
        <f>(1878.0/B26*100)</f>
        <v/>
      </c>
      <c r="D26" s="19" t="n">
        <v>541</v>
      </c>
      <c r="E26" s="18" t="n">
        <v>50.69096269</v>
      </c>
      <c r="F26" s="20" t="n">
        <v>1.95685778</v>
      </c>
      <c r="G26" s="18" t="n">
        <v>34.27430804</v>
      </c>
      <c r="H26" s="20" t="n">
        <v>2.16137526</v>
      </c>
      <c r="I26" s="18" t="n">
        <v>0</v>
      </c>
      <c r="J26" s="20" t="n">
        <v>0</v>
      </c>
      <c r="K26" s="18" t="n">
        <v>14.90758784</v>
      </c>
      <c r="L26" s="20" t="n">
        <v>1.47640418</v>
      </c>
      <c r="M26" s="18" t="n">
        <v>0.12714143</v>
      </c>
      <c r="N26" s="20" t="n">
        <v>0.1273541</v>
      </c>
      <c r="O26" s="18" t="n">
        <v>0</v>
      </c>
      <c r="P26" s="20" t="n">
        <v>0</v>
      </c>
      <c r="Q26" s="18" t="n">
        <v>0</v>
      </c>
      <c r="R26" s="20" t="n">
        <v>0</v>
      </c>
    </row>
    <row r="27" spans="1:18">
      <c r="A27" s="15" t="s">
        <v>585</v>
      </c>
      <c r="B27" s="17" t="n">
        <v>2683</v>
      </c>
      <c r="C27" s="18">
        <f>(2159.0/B27*100)</f>
        <v/>
      </c>
      <c r="D27" s="19" t="n">
        <v>524</v>
      </c>
      <c r="E27" s="18" t="n">
        <v>46.35743201</v>
      </c>
      <c r="F27" s="20" t="n">
        <v>2.29679585</v>
      </c>
      <c r="G27" s="18" t="n">
        <v>21.81131078</v>
      </c>
      <c r="H27" s="20" t="n">
        <v>1.94797378</v>
      </c>
      <c r="I27" s="18" t="n">
        <v>0</v>
      </c>
      <c r="J27" s="20" t="n">
        <v>0</v>
      </c>
      <c r="K27" s="18" t="n">
        <v>31.83125722</v>
      </c>
      <c r="L27" s="20" t="n">
        <v>1.92780694</v>
      </c>
      <c r="M27" s="18" t="n">
        <v>0</v>
      </c>
      <c r="N27" s="20" t="n">
        <v>0</v>
      </c>
      <c r="O27" s="18" t="n">
        <v>0</v>
      </c>
      <c r="P27" s="20" t="n">
        <v>0</v>
      </c>
      <c r="Q27" s="18" t="n">
        <v>0</v>
      </c>
      <c r="R27" s="20" t="n">
        <v>0</v>
      </c>
    </row>
    <row r="28" spans="1:18">
      <c r="A28" s="15" t="s">
        <v>586</v>
      </c>
      <c r="B28" s="17" t="n">
        <v>3803</v>
      </c>
      <c r="C28" s="18">
        <f>(3137.0/B28*100)</f>
        <v/>
      </c>
      <c r="D28" s="19" t="n">
        <v>666</v>
      </c>
      <c r="E28" s="18" t="n">
        <v>74.45333314</v>
      </c>
      <c r="F28" s="20" t="n">
        <v>1.96230336</v>
      </c>
      <c r="G28" s="18" t="n">
        <v>12.62260131</v>
      </c>
      <c r="H28" s="20" t="n">
        <v>1.72428628</v>
      </c>
      <c r="I28" s="18" t="n">
        <v>0</v>
      </c>
      <c r="J28" s="20" t="n">
        <v>0</v>
      </c>
      <c r="K28" s="18" t="n">
        <v>12.79626115</v>
      </c>
      <c r="L28" s="20" t="n">
        <v>1.53175621</v>
      </c>
      <c r="M28" s="18" t="n">
        <v>0.12780439</v>
      </c>
      <c r="N28" s="20" t="n">
        <v>0.12720871</v>
      </c>
      <c r="O28" s="18" t="n">
        <v>0</v>
      </c>
      <c r="P28" s="20" t="n">
        <v>0</v>
      </c>
      <c r="Q28" s="18" t="n">
        <v>0</v>
      </c>
      <c r="R28" s="20" t="n">
        <v>0</v>
      </c>
    </row>
    <row r="29" spans="1:18">
      <c r="A29" s="15" t="s">
        <v>587</v>
      </c>
      <c r="B29" s="17" t="n">
        <v>2700</v>
      </c>
      <c r="C29" s="18">
        <f>(2097.0/B29*100)</f>
        <v/>
      </c>
      <c r="D29" s="19" t="n">
        <v>603</v>
      </c>
      <c r="E29" s="18" t="n">
        <v>54.24654408</v>
      </c>
      <c r="F29" s="20" t="n">
        <v>2.08839822</v>
      </c>
      <c r="G29" s="18" t="n">
        <v>35.62275882</v>
      </c>
      <c r="H29" s="20" t="n">
        <v>2.20648804</v>
      </c>
      <c r="I29" s="18" t="n">
        <v>0</v>
      </c>
      <c r="J29" s="20" t="n">
        <v>0</v>
      </c>
      <c r="K29" s="18" t="n">
        <v>10.1306971</v>
      </c>
      <c r="L29" s="20" t="n">
        <v>1.41605843</v>
      </c>
      <c r="M29" s="18" t="n">
        <v>0</v>
      </c>
      <c r="N29" s="20" t="n">
        <v>0</v>
      </c>
      <c r="O29" s="18" t="n">
        <v>0</v>
      </c>
      <c r="P29" s="20" t="n">
        <v>0</v>
      </c>
      <c r="Q29" s="18" t="n">
        <v>0</v>
      </c>
      <c r="R29" s="20" t="n">
        <v>0</v>
      </c>
    </row>
    <row r="30" spans="1:18">
      <c r="A30" s="15" t="s">
        <v>588</v>
      </c>
      <c r="B30" s="17" t="n">
        <v>2257</v>
      </c>
      <c r="C30" s="18">
        <f>(1822.0/B30*100)</f>
        <v/>
      </c>
      <c r="D30" s="19" t="n">
        <v>435</v>
      </c>
      <c r="E30" s="18" t="n">
        <v>47.78596189</v>
      </c>
      <c r="F30" s="20" t="n">
        <v>2.09440554</v>
      </c>
      <c r="G30" s="18" t="n">
        <v>20.76651824</v>
      </c>
      <c r="H30" s="20" t="n">
        <v>1.80695378</v>
      </c>
      <c r="I30" s="18" t="n">
        <v>0</v>
      </c>
      <c r="J30" s="20" t="n">
        <v>0</v>
      </c>
      <c r="K30" s="18" t="n">
        <v>31.44751987</v>
      </c>
      <c r="L30" s="20" t="n">
        <v>1.97560387</v>
      </c>
      <c r="M30" s="18" t="n">
        <v>0</v>
      </c>
      <c r="N30" s="20" t="n">
        <v>0</v>
      </c>
      <c r="O30" s="18" t="n">
        <v>0</v>
      </c>
      <c r="P30" s="20" t="n">
        <v>0</v>
      </c>
      <c r="Q30" s="18" t="n">
        <v>0</v>
      </c>
      <c r="R30" s="20" t="n">
        <v>0</v>
      </c>
    </row>
    <row r="31" spans="1:18">
      <c r="A31" s="15" t="s">
        <v>589</v>
      </c>
      <c r="B31" s="17" t="n">
        <v>2706</v>
      </c>
      <c r="C31" s="18">
        <f>(2152.0/B31*100)</f>
        <v/>
      </c>
      <c r="D31" s="19" t="n">
        <v>554</v>
      </c>
      <c r="E31" s="18" t="n">
        <v>46.22174216</v>
      </c>
      <c r="F31" s="20" t="n">
        <v>2.42673724</v>
      </c>
      <c r="G31" s="18" t="n">
        <v>28.38443879</v>
      </c>
      <c r="H31" s="20" t="n">
        <v>1.96602257</v>
      </c>
      <c r="I31" s="18" t="n">
        <v>0</v>
      </c>
      <c r="J31" s="20" t="n">
        <v>0</v>
      </c>
      <c r="K31" s="18" t="n">
        <v>25.39381904</v>
      </c>
      <c r="L31" s="20" t="n">
        <v>1.75679117</v>
      </c>
      <c r="M31" s="18" t="n">
        <v>0</v>
      </c>
      <c r="N31" s="20" t="n">
        <v>0</v>
      </c>
      <c r="O31" s="18" t="n">
        <v>0</v>
      </c>
      <c r="P31" s="20" t="n">
        <v>0</v>
      </c>
      <c r="Q31" s="18" t="n">
        <v>0</v>
      </c>
      <c r="R31" s="20" t="n">
        <v>0</v>
      </c>
    </row>
    <row r="32" spans="1:18">
      <c r="A32" s="15" t="s">
        <v>590</v>
      </c>
      <c r="B32" s="17" t="n">
        <v>2209</v>
      </c>
      <c r="C32" s="18">
        <f>(1724.0/B32*100)</f>
        <v/>
      </c>
      <c r="D32" s="19" t="n">
        <v>485</v>
      </c>
      <c r="E32" s="18" t="n">
        <v>42.89183551</v>
      </c>
      <c r="F32" s="20" t="n">
        <v>2.2391723</v>
      </c>
      <c r="G32" s="18" t="n">
        <v>28.24850852</v>
      </c>
      <c r="H32" s="20" t="n">
        <v>2.05954493</v>
      </c>
      <c r="I32" s="18" t="n">
        <v>0</v>
      </c>
      <c r="J32" s="20" t="n">
        <v>0</v>
      </c>
      <c r="K32" s="18" t="n">
        <v>27.98059808</v>
      </c>
      <c r="L32" s="20" t="n">
        <v>1.88835343</v>
      </c>
      <c r="M32" s="18" t="n">
        <v>0.87905789</v>
      </c>
      <c r="N32" s="20" t="n">
        <v>0.93290882</v>
      </c>
      <c r="O32" s="18" t="n">
        <v>0</v>
      </c>
      <c r="P32" s="20" t="n">
        <v>0</v>
      </c>
      <c r="Q32" s="18" t="n">
        <v>0</v>
      </c>
      <c r="R32" s="20" t="n">
        <v>0</v>
      </c>
    </row>
    <row r="33" spans="1:18">
      <c r="A33" s="15" t="s">
        <v>591</v>
      </c>
      <c r="B33" s="17" t="n">
        <v>3651</v>
      </c>
      <c r="C33" s="18">
        <f>(2975.0/B33*100)</f>
        <v/>
      </c>
      <c r="D33" s="19" t="n">
        <v>676</v>
      </c>
      <c r="E33" s="18" t="n">
        <v>34.47968128</v>
      </c>
      <c r="F33" s="20" t="n">
        <v>2.45844437</v>
      </c>
      <c r="G33" s="18" t="n">
        <v>35.76486329</v>
      </c>
      <c r="H33" s="20" t="n">
        <v>2.03611814</v>
      </c>
      <c r="I33" s="18" t="n">
        <v>0</v>
      </c>
      <c r="J33" s="20" t="n">
        <v>0</v>
      </c>
      <c r="K33" s="18" t="n">
        <v>29.3220926</v>
      </c>
      <c r="L33" s="20" t="n">
        <v>2.24433977</v>
      </c>
      <c r="M33" s="18" t="n">
        <v>0.43336283</v>
      </c>
      <c r="N33" s="20" t="n">
        <v>0.2549701</v>
      </c>
      <c r="O33" s="18" t="n">
        <v>0</v>
      </c>
      <c r="P33" s="20" t="n">
        <v>0</v>
      </c>
      <c r="Q33" s="18" t="n">
        <v>0</v>
      </c>
      <c r="R33" s="20" t="n">
        <v>0</v>
      </c>
    </row>
    <row r="34" spans="1:18">
      <c r="A34" s="15" t="s">
        <v>592</v>
      </c>
      <c r="B34" s="17" t="n">
        <v>3035</v>
      </c>
      <c r="C34" s="18">
        <f>(2413.0/B34*100)</f>
        <v/>
      </c>
      <c r="D34" s="19" t="n">
        <v>622</v>
      </c>
      <c r="E34" s="18" t="n">
        <v>43.98745791</v>
      </c>
      <c r="F34" s="20" t="n">
        <v>2.30962415</v>
      </c>
      <c r="G34" s="18" t="n">
        <v>20.1316023</v>
      </c>
      <c r="H34" s="20" t="n">
        <v>1.81861844</v>
      </c>
      <c r="I34" s="18" t="n">
        <v>0</v>
      </c>
      <c r="J34" s="20" t="n">
        <v>0</v>
      </c>
      <c r="K34" s="18" t="n">
        <v>35.8809398</v>
      </c>
      <c r="L34" s="20" t="n">
        <v>2.36733569</v>
      </c>
      <c r="M34" s="18" t="n">
        <v>0</v>
      </c>
      <c r="N34" s="20" t="n">
        <v>0</v>
      </c>
      <c r="O34" s="18" t="n">
        <v>0</v>
      </c>
      <c r="P34" s="20" t="n">
        <v>0</v>
      </c>
      <c r="Q34" s="18" t="n">
        <v>0</v>
      </c>
      <c r="R34" s="20" t="n">
        <v>0</v>
      </c>
    </row>
    <row r="35" spans="1:18">
      <c r="A35" s="15" t="s">
        <v>593</v>
      </c>
      <c r="B35" s="17" t="n">
        <v>2901</v>
      </c>
      <c r="C35" s="18">
        <f>(2258.0/B35*100)</f>
        <v/>
      </c>
      <c r="D35" s="19" t="n">
        <v>643</v>
      </c>
      <c r="E35" s="18" t="n">
        <v>54.9673629</v>
      </c>
      <c r="F35" s="20" t="n">
        <v>2.34138335</v>
      </c>
      <c r="G35" s="18" t="n">
        <v>27.08196961</v>
      </c>
      <c r="H35" s="20" t="n">
        <v>2.14850141</v>
      </c>
      <c r="I35" s="18" t="n">
        <v>0</v>
      </c>
      <c r="J35" s="20" t="n">
        <v>0</v>
      </c>
      <c r="K35" s="18" t="n">
        <v>17.95066749</v>
      </c>
      <c r="L35" s="20" t="n">
        <v>1.79209312</v>
      </c>
      <c r="M35" s="18" t="n">
        <v>0</v>
      </c>
      <c r="N35" s="20" t="n">
        <v>0</v>
      </c>
      <c r="O35" s="18" t="n">
        <v>0</v>
      </c>
      <c r="P35" s="20" t="n">
        <v>0</v>
      </c>
      <c r="Q35" s="18" t="n">
        <v>0</v>
      </c>
      <c r="R35" s="20" t="n">
        <v>0</v>
      </c>
    </row>
    <row r="36" spans="1:18">
      <c r="A36" s="15" t="s">
        <v>594</v>
      </c>
      <c r="B36" s="17" t="n">
        <v>3404</v>
      </c>
      <c r="C36" s="18">
        <f>(2736.0/B36*100)</f>
        <v/>
      </c>
      <c r="D36" s="19" t="n">
        <v>668</v>
      </c>
      <c r="E36" s="18" t="n">
        <v>42.41044766</v>
      </c>
      <c r="F36" s="20" t="n">
        <v>1.86950741</v>
      </c>
      <c r="G36" s="18" t="n">
        <v>32.33225651</v>
      </c>
      <c r="H36" s="20" t="n">
        <v>1.78187673</v>
      </c>
      <c r="I36" s="18" t="n">
        <v>0</v>
      </c>
      <c r="J36" s="20" t="n">
        <v>0</v>
      </c>
      <c r="K36" s="18" t="n">
        <v>25.10636591</v>
      </c>
      <c r="L36" s="20" t="n">
        <v>1.83748584</v>
      </c>
      <c r="M36" s="18" t="n">
        <v>0.15092992</v>
      </c>
      <c r="N36" s="20" t="n">
        <v>0.14558134</v>
      </c>
      <c r="O36" s="18" t="n">
        <v>0</v>
      </c>
      <c r="P36" s="20" t="n">
        <v>0</v>
      </c>
      <c r="Q36" s="18" t="n">
        <v>0</v>
      </c>
      <c r="R36" s="20" t="n">
        <v>0</v>
      </c>
    </row>
    <row r="37" spans="1:18">
      <c r="A37" s="15" t="s">
        <v>595</v>
      </c>
      <c r="B37" s="17" t="n">
        <v>2731</v>
      </c>
      <c r="C37" s="18">
        <f>(2177.0/B37*100)</f>
        <v/>
      </c>
      <c r="D37" s="19" t="n">
        <v>554</v>
      </c>
      <c r="E37" s="18" t="n">
        <v>34.69450866</v>
      </c>
      <c r="F37" s="20" t="n">
        <v>2.04884954</v>
      </c>
      <c r="G37" s="18" t="n">
        <v>36.84316537</v>
      </c>
      <c r="H37" s="20" t="n">
        <v>2.49620772</v>
      </c>
      <c r="I37" s="18" t="n">
        <v>0</v>
      </c>
      <c r="J37" s="20" t="n">
        <v>0</v>
      </c>
      <c r="K37" s="18" t="n">
        <v>28.46232597</v>
      </c>
      <c r="L37" s="20" t="n">
        <v>2.31147425</v>
      </c>
      <c r="M37" s="18" t="n">
        <v>0</v>
      </c>
      <c r="N37" s="20" t="n">
        <v>0</v>
      </c>
      <c r="O37" s="18" t="n">
        <v>0</v>
      </c>
      <c r="P37" s="20" t="n">
        <v>0</v>
      </c>
      <c r="Q37" s="18" t="n">
        <v>0</v>
      </c>
      <c r="R37" s="20" t="n">
        <v>0</v>
      </c>
    </row>
    <row r="38" spans="1:18">
      <c r="A38" s="15" t="s">
        <v>596</v>
      </c>
      <c r="B38" s="17" t="n">
        <v>2807</v>
      </c>
      <c r="C38" s="18">
        <f>(2191.0/B38*100)</f>
        <v/>
      </c>
      <c r="D38" s="19" t="n">
        <v>616</v>
      </c>
      <c r="E38" s="18" t="n">
        <v>49.95624337</v>
      </c>
      <c r="F38" s="20" t="n">
        <v>2.57332163</v>
      </c>
      <c r="G38" s="18" t="n">
        <v>21.32303796</v>
      </c>
      <c r="H38" s="20" t="n">
        <v>1.75728727</v>
      </c>
      <c r="I38" s="18" t="n">
        <v>0</v>
      </c>
      <c r="J38" s="20" t="n">
        <v>0</v>
      </c>
      <c r="K38" s="18" t="n">
        <v>26.54647552</v>
      </c>
      <c r="L38" s="20" t="n">
        <v>2.24141604</v>
      </c>
      <c r="M38" s="18" t="n">
        <v>2.17424315</v>
      </c>
      <c r="N38" s="20" t="n">
        <v>0.58885656</v>
      </c>
      <c r="O38" s="18" t="n">
        <v>0</v>
      </c>
      <c r="P38" s="20" t="n">
        <v>0</v>
      </c>
      <c r="Q38" s="18" t="n">
        <v>0</v>
      </c>
      <c r="R38" s="20" t="n">
        <v>0</v>
      </c>
    </row>
    <row r="39" spans="1:18">
      <c r="A39" s="15" t="s">
        <v>597</v>
      </c>
      <c r="B39" s="17" t="n">
        <v>2938</v>
      </c>
      <c r="C39" s="18">
        <f>(2291.0/B39*100)</f>
        <v/>
      </c>
      <c r="D39" s="19" t="n">
        <v>647</v>
      </c>
      <c r="E39" s="18" t="n">
        <v>60.18373679</v>
      </c>
      <c r="F39" s="20" t="n">
        <v>1.74820545</v>
      </c>
      <c r="G39" s="18" t="n">
        <v>10.72379677</v>
      </c>
      <c r="H39" s="20" t="n">
        <v>1.19389818</v>
      </c>
      <c r="I39" s="18" t="n">
        <v>0</v>
      </c>
      <c r="J39" s="20" t="n">
        <v>0</v>
      </c>
      <c r="K39" s="18" t="n">
        <v>29.09246644</v>
      </c>
      <c r="L39" s="20" t="n">
        <v>1.70128906</v>
      </c>
      <c r="M39" s="18" t="n">
        <v>0</v>
      </c>
      <c r="N39" s="20" t="n">
        <v>0</v>
      </c>
      <c r="O39" s="18" t="n">
        <v>0</v>
      </c>
      <c r="P39" s="20" t="n">
        <v>0</v>
      </c>
      <c r="Q39" s="18" t="n">
        <v>0</v>
      </c>
      <c r="R39" s="20" t="n">
        <v>0</v>
      </c>
    </row>
    <row r="40" spans="1:18">
      <c r="A40" s="15" t="s">
        <v>598</v>
      </c>
      <c r="B40" s="17" t="n">
        <v>6922</v>
      </c>
      <c r="C40" s="18">
        <f>(5388.0/B40*100)</f>
        <v/>
      </c>
      <c r="D40" s="19" t="n">
        <v>1534</v>
      </c>
      <c r="E40" s="18" t="n">
        <v>47.3954283</v>
      </c>
      <c r="F40" s="20" t="n">
        <v>2.14163379</v>
      </c>
      <c r="G40" s="18" t="n">
        <v>28.71828983</v>
      </c>
      <c r="H40" s="20" t="n">
        <v>1.78316618</v>
      </c>
      <c r="I40" s="18" t="n">
        <v>0</v>
      </c>
      <c r="J40" s="20" t="n">
        <v>0</v>
      </c>
      <c r="K40" s="18" t="n">
        <v>23.72726695</v>
      </c>
      <c r="L40" s="20" t="n">
        <v>1.73269462</v>
      </c>
      <c r="M40" s="18" t="n">
        <v>0.15901492</v>
      </c>
      <c r="N40" s="20" t="n">
        <v>0.16047893</v>
      </c>
      <c r="O40" s="18" t="n">
        <v>0</v>
      </c>
      <c r="P40" s="20" t="n">
        <v>0</v>
      </c>
      <c r="Q40" s="18" t="n">
        <v>0</v>
      </c>
      <c r="R40" s="20" t="n">
        <v>0</v>
      </c>
    </row>
    <row r="41" spans="1:18">
      <c r="A41" s="15" t="s">
        <v>599</v>
      </c>
      <c r="B41" s="17" t="n">
        <v>2854</v>
      </c>
      <c r="C41" s="18">
        <f>(2284.0/B41*100)</f>
        <v/>
      </c>
      <c r="D41" s="19" t="n">
        <v>570</v>
      </c>
      <c r="E41" s="18" t="n">
        <v>64.89304222</v>
      </c>
      <c r="F41" s="20" t="n">
        <v>2.15499546</v>
      </c>
      <c r="G41" s="18" t="n">
        <v>26.55070406</v>
      </c>
      <c r="H41" s="20" t="n">
        <v>2.08474819</v>
      </c>
      <c r="I41" s="18" t="n">
        <v>0</v>
      </c>
      <c r="J41" s="20" t="n">
        <v>0</v>
      </c>
      <c r="K41" s="18" t="n">
        <v>8.556253720000001</v>
      </c>
      <c r="L41" s="20" t="n">
        <v>0.8808052</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(10457.0/B46*100)</f>
        <v/>
      </c>
      <c r="D46" s="19" t="n">
        <v>1616</v>
      </c>
      <c r="E46" s="18" t="n">
        <v>50.17511266</v>
      </c>
      <c r="F46" s="20" t="n">
        <v>1.65381942</v>
      </c>
      <c r="G46" s="18" t="n">
        <v>5.74078346</v>
      </c>
      <c r="H46" s="20" t="n">
        <v>0.81910304</v>
      </c>
      <c r="I46" s="18" t="n">
        <v>0</v>
      </c>
      <c r="J46" s="20" t="n">
        <v>0</v>
      </c>
      <c r="K46" s="18" t="n">
        <v>43.84607483</v>
      </c>
      <c r="L46" s="20" t="n">
        <v>1.67833457</v>
      </c>
      <c r="M46" s="18" t="n">
        <v>0.23802905</v>
      </c>
      <c r="N46" s="20" t="n">
        <v>0.16918949</v>
      </c>
      <c r="O46" s="18" t="n">
        <v>0</v>
      </c>
      <c r="P46" s="20" t="n">
        <v>0</v>
      </c>
      <c r="Q46" s="18" t="n">
        <v>0</v>
      </c>
      <c r="R46" s="20" t="n">
        <v>0</v>
      </c>
    </row>
    <row r="47" spans="1:18">
      <c r="A47" s="15" t="s">
        <v>606</v>
      </c>
      <c r="B47" s="17" t="n">
        <v>2823</v>
      </c>
      <c r="C47" s="18">
        <f>(2263.0/B47*100)</f>
        <v/>
      </c>
      <c r="D47" s="19" t="n">
        <v>560</v>
      </c>
      <c r="E47" s="18" t="n">
        <v>32.2471158</v>
      </c>
      <c r="F47" s="20" t="n">
        <v>2.28843234</v>
      </c>
      <c r="G47" s="18" t="n">
        <v>25.01210952</v>
      </c>
      <c r="H47" s="20" t="n">
        <v>2.1548089</v>
      </c>
      <c r="I47" s="18" t="n">
        <v>0</v>
      </c>
      <c r="J47" s="20" t="n">
        <v>0</v>
      </c>
      <c r="K47" s="18" t="n">
        <v>42.56107014</v>
      </c>
      <c r="L47" s="20" t="n">
        <v>2.30634803</v>
      </c>
      <c r="M47" s="18" t="n">
        <v>0.17970454</v>
      </c>
      <c r="N47" s="20" t="n">
        <v>0.17382124</v>
      </c>
      <c r="O47" s="18" t="n">
        <v>0</v>
      </c>
      <c r="P47" s="20" t="n">
        <v>0</v>
      </c>
      <c r="Q47" s="18" t="n">
        <v>0</v>
      </c>
      <c r="R47" s="20" t="n">
        <v>0</v>
      </c>
    </row>
    <row r="48" spans="1:18">
      <c r="A48" s="15" t="s">
        <v>607</v>
      </c>
      <c r="B48" s="17" t="n">
        <v>4682</v>
      </c>
      <c r="C48" s="18">
        <f>(3637.0/B48*100)</f>
        <v/>
      </c>
      <c r="D48" s="19" t="n">
        <v>1045</v>
      </c>
      <c r="E48" s="18" t="n">
        <v>38.52290703</v>
      </c>
      <c r="F48" s="20" t="n">
        <v>2.15099609</v>
      </c>
      <c r="G48" s="18" t="n">
        <v>44.78201236</v>
      </c>
      <c r="H48" s="20" t="n">
        <v>2.5267536</v>
      </c>
      <c r="I48" s="18" t="n">
        <v>0</v>
      </c>
      <c r="J48" s="20" t="n">
        <v>0</v>
      </c>
      <c r="K48" s="18" t="n">
        <v>16.69508062</v>
      </c>
      <c r="L48" s="20" t="n">
        <v>1.96157199</v>
      </c>
      <c r="M48" s="18" t="n">
        <v>0</v>
      </c>
      <c r="N48" s="20" t="n">
        <v>0</v>
      </c>
      <c r="O48" s="18" t="n">
        <v>0</v>
      </c>
      <c r="P48" s="20" t="n">
        <v>0</v>
      </c>
      <c r="Q48" s="18" t="n">
        <v>0</v>
      </c>
      <c r="R48" s="20" t="n">
        <v>0</v>
      </c>
    </row>
    <row r="49" spans="1:18">
      <c r="A49" s="15" t="s">
        <v>608</v>
      </c>
      <c r="B49" s="17" t="n">
        <v>6158</v>
      </c>
      <c r="C49" s="18">
        <f>(4942.0/B49*100)</f>
        <v/>
      </c>
      <c r="D49" s="19" t="n">
        <v>1216</v>
      </c>
      <c r="E49" s="18" t="n">
        <v>66.5251244</v>
      </c>
      <c r="F49" s="20" t="n">
        <v>1.99789467</v>
      </c>
      <c r="G49" s="18" t="n">
        <v>12.22877081</v>
      </c>
      <c r="H49" s="20" t="n">
        <v>1.3985302</v>
      </c>
      <c r="I49" s="18" t="n">
        <v>0</v>
      </c>
      <c r="J49" s="20" t="n">
        <v>0</v>
      </c>
      <c r="K49" s="18" t="n">
        <v>21.20922055</v>
      </c>
      <c r="L49" s="20" t="n">
        <v>1.69058991</v>
      </c>
      <c r="M49" s="18" t="n">
        <v>0.03688424</v>
      </c>
      <c r="N49" s="20" t="n">
        <v>0.02975542</v>
      </c>
      <c r="O49" s="18" t="n">
        <v>0</v>
      </c>
      <c r="P49" s="20" t="n">
        <v>0</v>
      </c>
      <c r="Q49" s="18" t="n">
        <v>0</v>
      </c>
      <c r="R49" s="20" t="n">
        <v>0</v>
      </c>
    </row>
    <row r="50" spans="1:18">
      <c r="A50" s="15" t="s">
        <v>609</v>
      </c>
      <c r="B50" s="17" t="n">
        <v>3494</v>
      </c>
      <c r="C50" s="18">
        <f>(2923.0/B50*100)</f>
        <v/>
      </c>
      <c r="D50" s="19" t="n">
        <v>571</v>
      </c>
      <c r="E50" s="18" t="n">
        <v>65.12392102</v>
      </c>
      <c r="F50" s="20" t="n">
        <v>1.93279256</v>
      </c>
      <c r="G50" s="18" t="n">
        <v>13.53011026</v>
      </c>
      <c r="H50" s="20" t="n">
        <v>1.62499782</v>
      </c>
      <c r="I50" s="18" t="n">
        <v>0</v>
      </c>
      <c r="J50" s="20" t="n">
        <v>0</v>
      </c>
      <c r="K50" s="18" t="n">
        <v>21.34596872</v>
      </c>
      <c r="L50" s="20" t="n">
        <v>2.03986879</v>
      </c>
      <c r="M50" s="18" t="n">
        <v>0</v>
      </c>
      <c r="N50" s="20" t="n">
        <v>0</v>
      </c>
      <c r="O50" s="18" t="n">
        <v>0</v>
      </c>
      <c r="P50" s="20" t="n">
        <v>0</v>
      </c>
      <c r="Q50" s="18" t="n">
        <v>0</v>
      </c>
      <c r="R50" s="20" t="n">
        <v>0</v>
      </c>
    </row>
    <row r="51" spans="1:18">
      <c r="A51" s="15" t="s">
        <v>610</v>
      </c>
      <c r="B51" s="17" t="n">
        <v>3013</v>
      </c>
      <c r="C51" s="18">
        <f>(2393.0/B51*100)</f>
        <v/>
      </c>
      <c r="D51" s="19" t="n">
        <v>620</v>
      </c>
      <c r="E51" s="18" t="n">
        <v>46.81536932</v>
      </c>
      <c r="F51" s="20" t="n">
        <v>1.91653556</v>
      </c>
      <c r="G51" s="18" t="n">
        <v>22.89203443</v>
      </c>
      <c r="H51" s="20" t="n">
        <v>1.68235754</v>
      </c>
      <c r="I51" s="18" t="n">
        <v>0</v>
      </c>
      <c r="J51" s="20" t="n">
        <v>0</v>
      </c>
      <c r="K51" s="18" t="n">
        <v>30.29259626</v>
      </c>
      <c r="L51" s="20" t="n">
        <v>2.0172277</v>
      </c>
      <c r="M51" s="18" t="n">
        <v>0</v>
      </c>
      <c r="N51" s="20" t="n">
        <v>0</v>
      </c>
      <c r="O51" s="18" t="n">
        <v>0</v>
      </c>
      <c r="P51" s="20" t="n">
        <v>0</v>
      </c>
      <c r="Q51" s="18" t="n">
        <v>0</v>
      </c>
      <c r="R51" s="20" t="n">
        <v>0</v>
      </c>
    </row>
    <row r="52" spans="1:18">
      <c r="A52" s="15" t="s">
        <v>611</v>
      </c>
      <c r="B52" s="17" t="n">
        <v>2760</v>
      </c>
      <c r="C52" s="18">
        <f>(2203.0/B52*100)</f>
        <v/>
      </c>
      <c r="D52" s="19" t="n">
        <v>557</v>
      </c>
      <c r="E52" s="18" t="n">
        <v>45.5249895</v>
      </c>
      <c r="F52" s="20" t="n">
        <v>2.10984184</v>
      </c>
      <c r="G52" s="18" t="n">
        <v>15.68749137</v>
      </c>
      <c r="H52" s="20" t="n">
        <v>1.4793116</v>
      </c>
      <c r="I52" s="18" t="n">
        <v>0</v>
      </c>
      <c r="J52" s="20" t="n">
        <v>0</v>
      </c>
      <c r="K52" s="18" t="n">
        <v>38.78751913</v>
      </c>
      <c r="L52" s="20" t="n">
        <v>1.92466868</v>
      </c>
      <c r="M52" s="18" t="n">
        <v>0</v>
      </c>
      <c r="N52" s="20" t="n">
        <v>0</v>
      </c>
      <c r="O52" s="18" t="n">
        <v>0</v>
      </c>
      <c r="P52" s="20" t="n">
        <v>0</v>
      </c>
      <c r="Q52" s="18" t="n">
        <v>0</v>
      </c>
      <c r="R52" s="20" t="n">
        <v>0</v>
      </c>
    </row>
    <row r="53" spans="1:18">
      <c r="A53" s="15" t="s">
        <v>612</v>
      </c>
      <c r="B53" s="17" t="n">
        <v>2474</v>
      </c>
      <c r="C53" s="18">
        <f>(1947.0/B53*100)</f>
        <v/>
      </c>
      <c r="D53" s="19" t="n">
        <v>527</v>
      </c>
      <c r="E53" s="18" t="n">
        <v>41.11426433</v>
      </c>
      <c r="F53" s="20" t="n">
        <v>2.50774204</v>
      </c>
      <c r="G53" s="18" t="n">
        <v>4.76701452</v>
      </c>
      <c r="H53" s="20" t="n">
        <v>0.9365929200000001</v>
      </c>
      <c r="I53" s="18" t="n">
        <v>0</v>
      </c>
      <c r="J53" s="20" t="n">
        <v>0</v>
      </c>
      <c r="K53" s="18" t="n">
        <v>52.93976408</v>
      </c>
      <c r="L53" s="20" t="n">
        <v>2.54068996</v>
      </c>
      <c r="M53" s="18" t="n">
        <v>1.17895708</v>
      </c>
      <c r="N53" s="20" t="n">
        <v>0.9511939700000001</v>
      </c>
      <c r="O53" s="18" t="n">
        <v>0</v>
      </c>
      <c r="P53" s="20" t="n">
        <v>0</v>
      </c>
      <c r="Q53" s="18" t="n">
        <v>0</v>
      </c>
      <c r="R53" s="20" t="n">
        <v>0</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(2121.0/B55*100)</f>
        <v/>
      </c>
      <c r="D55" s="19" t="n">
        <v>554</v>
      </c>
      <c r="E55" s="18" t="n">
        <v>22.86767264</v>
      </c>
      <c r="F55" s="20" t="n">
        <v>2.16775449</v>
      </c>
      <c r="G55" s="18" t="n">
        <v>58.58592775</v>
      </c>
      <c r="H55" s="20" t="n">
        <v>2.25172181</v>
      </c>
      <c r="I55" s="18" t="n">
        <v>0</v>
      </c>
      <c r="J55" s="20" t="n">
        <v>0</v>
      </c>
      <c r="K55" s="18" t="n">
        <v>18.5463996</v>
      </c>
      <c r="L55" s="20" t="n">
        <v>1.55508534</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(2529.0/B61*100)</f>
        <v/>
      </c>
      <c r="D61" s="19" t="n">
        <v>672</v>
      </c>
      <c r="E61" s="18" t="n">
        <v>60.42216883</v>
      </c>
      <c r="F61" s="20" t="n">
        <v>1.92392419</v>
      </c>
      <c r="G61" s="18" t="n">
        <v>20.10272429</v>
      </c>
      <c r="H61" s="20" t="n">
        <v>1.58954082</v>
      </c>
      <c r="I61" s="18" t="n">
        <v>0</v>
      </c>
      <c r="J61" s="20" t="n">
        <v>0</v>
      </c>
      <c r="K61" s="18" t="n">
        <v>19.29713045</v>
      </c>
      <c r="L61" s="20" t="n">
        <v>1.56472373</v>
      </c>
      <c r="M61" s="18" t="n">
        <v>0.17797643</v>
      </c>
      <c r="N61" s="20" t="n">
        <v>0.17633724</v>
      </c>
      <c r="O61" s="18" t="n">
        <v>0</v>
      </c>
      <c r="P61" s="20" t="n">
        <v>0</v>
      </c>
      <c r="Q61" s="18" t="n">
        <v>0</v>
      </c>
      <c r="R61" s="20" t="n">
        <v>0</v>
      </c>
    </row>
    <row r="62" spans="1:18">
      <c r="A62" s="15" t="s">
        <v>622</v>
      </c>
      <c r="B62" s="17" t="n">
        <v>2230</v>
      </c>
      <c r="C62" s="18">
        <f>(1785.0/B62*100)</f>
        <v/>
      </c>
      <c r="D62" s="19" t="n">
        <v>445</v>
      </c>
      <c r="E62" s="18" t="n">
        <v>40.88226758</v>
      </c>
      <c r="F62" s="20" t="n">
        <v>2.35658202</v>
      </c>
      <c r="G62" s="18" t="n">
        <v>49.19142706</v>
      </c>
      <c r="H62" s="20" t="n">
        <v>2.32052324</v>
      </c>
      <c r="I62" s="18" t="n">
        <v>0</v>
      </c>
      <c r="J62" s="20" t="n">
        <v>0</v>
      </c>
      <c r="K62" s="18" t="n">
        <v>9.926305360000001</v>
      </c>
      <c r="L62" s="20" t="n">
        <v>1.44351311</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(2226.0/B67*100)</f>
        <v/>
      </c>
      <c r="D67" s="19" t="n">
        <v>545</v>
      </c>
      <c r="E67" s="18" t="n">
        <v>27.52917525</v>
      </c>
      <c r="F67" s="20" t="n">
        <v>1.85699393</v>
      </c>
      <c r="G67" s="18" t="n">
        <v>20.71028957</v>
      </c>
      <c r="H67" s="20" t="n">
        <v>1.54724144</v>
      </c>
      <c r="I67" s="18" t="n">
        <v>0</v>
      </c>
      <c r="J67" s="20" t="n">
        <v>0</v>
      </c>
      <c r="K67" s="18" t="n">
        <v>51.39918259</v>
      </c>
      <c r="L67" s="20" t="n">
        <v>1.91977154</v>
      </c>
      <c r="M67" s="18" t="n">
        <v>0.36135259</v>
      </c>
      <c r="N67" s="20" t="n">
        <v>0.258196</v>
      </c>
      <c r="O67" s="18" t="n">
        <v>0</v>
      </c>
      <c r="P67" s="20" t="n">
        <v>0</v>
      </c>
      <c r="Q67" s="18" t="n">
        <v>0</v>
      </c>
      <c r="R67" s="20" t="n">
        <v>0</v>
      </c>
    </row>
    <row r="68" spans="1:18">
      <c r="A68" s="15" t="s">
        <v>628</v>
      </c>
      <c r="B68" s="17" t="n">
        <v>3460</v>
      </c>
      <c r="C68" s="18">
        <f>(2959.0/B68*100)</f>
        <v/>
      </c>
      <c r="D68" s="19" t="n">
        <v>501</v>
      </c>
      <c r="E68" s="18" t="n">
        <v>67.98857149</v>
      </c>
      <c r="F68" s="20" t="n">
        <v>2.42234228</v>
      </c>
      <c r="G68" s="18" t="n">
        <v>8.72703916</v>
      </c>
      <c r="H68" s="20" t="n">
        <v>1.29839566</v>
      </c>
      <c r="I68" s="18" t="n">
        <v>0</v>
      </c>
      <c r="J68" s="20" t="n">
        <v>0</v>
      </c>
      <c r="K68" s="18" t="n">
        <v>23.12413026</v>
      </c>
      <c r="L68" s="20" t="n">
        <v>2.21161701</v>
      </c>
      <c r="M68" s="18" t="n">
        <v>0.16025909</v>
      </c>
      <c r="N68" s="20" t="n">
        <v>0.16039203</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(4719.0/B70*100)</f>
        <v/>
      </c>
      <c r="D70" s="19" t="n">
        <v>1315</v>
      </c>
      <c r="E70" s="18" t="n">
        <v>45.34779694</v>
      </c>
      <c r="F70" s="20" t="n">
        <v>1.49069087</v>
      </c>
      <c r="G70" s="18" t="n">
        <v>19.51400066</v>
      </c>
      <c r="H70" s="20" t="n">
        <v>1.26263722</v>
      </c>
      <c r="I70" s="18" t="n">
        <v>0</v>
      </c>
      <c r="J70" s="20" t="n">
        <v>0</v>
      </c>
      <c r="K70" s="18" t="n">
        <v>35.13820239</v>
      </c>
      <c r="L70" s="20" t="n">
        <v>1.34954094</v>
      </c>
      <c r="M70" s="18" t="n">
        <v>0</v>
      </c>
      <c r="N70" s="20" t="n">
        <v>0</v>
      </c>
      <c r="O70" s="18" t="n">
        <v>0</v>
      </c>
      <c r="P70" s="20" t="n">
        <v>0</v>
      </c>
      <c r="Q70" s="18" t="n">
        <v>0</v>
      </c>
      <c r="R70" s="20" t="n">
        <v>0</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(2470.0/B72*100)</f>
        <v/>
      </c>
      <c r="D72" s="19" t="n">
        <v>637</v>
      </c>
      <c r="E72" s="18" t="n">
        <v>39.32448768</v>
      </c>
      <c r="F72" s="20" t="n">
        <v>2.12704437</v>
      </c>
      <c r="G72" s="18" t="n">
        <v>30.65575165</v>
      </c>
      <c r="H72" s="20" t="n">
        <v>2.17791716</v>
      </c>
      <c r="I72" s="18" t="n">
        <v>0</v>
      </c>
      <c r="J72" s="20" t="n">
        <v>0</v>
      </c>
      <c r="K72" s="18" t="n">
        <v>30.01976067</v>
      </c>
      <c r="L72" s="20" t="n">
        <v>2.06488462</v>
      </c>
      <c r="M72" s="18" t="n">
        <v>0</v>
      </c>
      <c r="N72" s="20" t="n">
        <v>0</v>
      </c>
      <c r="O72" s="18" t="n">
        <v>0</v>
      </c>
      <c r="P72" s="20" t="n">
        <v>0</v>
      </c>
      <c r="Q72" s="18" t="n">
        <v>0</v>
      </c>
      <c r="R72" s="20" t="n">
        <v>0</v>
      </c>
    </row>
    <row r="73" spans="1:18">
      <c r="A73" s="15" t="s">
        <v>633</v>
      </c>
      <c r="B73" s="17" t="n">
        <v>2973</v>
      </c>
      <c r="C73" s="18">
        <f>(2310.0/B73*100)</f>
        <v/>
      </c>
      <c r="D73" s="19" t="n">
        <v>663</v>
      </c>
      <c r="E73" s="18" t="n">
        <v>50.51950927</v>
      </c>
      <c r="F73" s="20" t="n">
        <v>2.02412944</v>
      </c>
      <c r="G73" s="18" t="n">
        <v>39.25346677</v>
      </c>
      <c r="H73" s="20" t="n">
        <v>2.05913521</v>
      </c>
      <c r="I73" s="18" t="n">
        <v>0</v>
      </c>
      <c r="J73" s="20" t="n">
        <v>0</v>
      </c>
      <c r="K73" s="18" t="n">
        <v>10.22702396</v>
      </c>
      <c r="L73" s="20" t="n">
        <v>1.30177127</v>
      </c>
      <c r="M73" s="18" t="n">
        <v>0</v>
      </c>
      <c r="N73" s="20" t="n">
        <v>0</v>
      </c>
      <c r="O73" s="18" t="n">
        <v>0</v>
      </c>
      <c r="P73" s="20" t="n">
        <v>0</v>
      </c>
      <c r="Q73" s="18" t="n">
        <v>0</v>
      </c>
      <c r="R73" s="20" t="n">
        <v>0</v>
      </c>
    </row>
    <row r="74" spans="1:18">
      <c r="A74" s="15" t="s">
        <v>634</v>
      </c>
      <c r="B74" s="17" t="n">
        <v>3819</v>
      </c>
      <c r="C74" s="18">
        <f>(2942.0/B74*100)</f>
        <v/>
      </c>
      <c r="D74" s="19" t="n">
        <v>877</v>
      </c>
      <c r="E74" s="18" t="n">
        <v>29.24021183</v>
      </c>
      <c r="F74" s="20" t="n">
        <v>1.81650763</v>
      </c>
      <c r="G74" s="18" t="n">
        <v>58.08741273</v>
      </c>
      <c r="H74" s="20" t="n">
        <v>1.63731563</v>
      </c>
      <c r="I74" s="18" t="n">
        <v>0</v>
      </c>
      <c r="J74" s="20" t="n">
        <v>0</v>
      </c>
      <c r="K74" s="18" t="n">
        <v>12.67237544</v>
      </c>
      <c r="L74" s="20" t="n">
        <v>1.47079582</v>
      </c>
      <c r="M74" s="18" t="n">
        <v>0</v>
      </c>
      <c r="N74" s="20" t="n">
        <v>0</v>
      </c>
      <c r="O74" s="18" t="n">
        <v>0</v>
      </c>
      <c r="P74" s="20" t="n">
        <v>0</v>
      </c>
      <c r="Q74" s="18" t="n">
        <v>0</v>
      </c>
      <c r="R74" s="20" t="n">
        <v>0</v>
      </c>
    </row>
    <row r="75" spans="1:18">
      <c r="A75" s="15" t="s">
        <v>635</v>
      </c>
      <c r="B75" s="17" t="n">
        <v>4652</v>
      </c>
      <c r="C75" s="18">
        <f>(3746.0/B75*100)</f>
        <v/>
      </c>
      <c r="D75" s="19" t="n">
        <v>906</v>
      </c>
      <c r="E75" s="18" t="n">
        <v>85.96579831</v>
      </c>
      <c r="F75" s="20" t="n">
        <v>1.73161912</v>
      </c>
      <c r="G75" s="18" t="n">
        <v>6.86931015</v>
      </c>
      <c r="H75" s="20" t="n">
        <v>1.03483223</v>
      </c>
      <c r="I75" s="18" t="n">
        <v>0</v>
      </c>
      <c r="J75" s="20" t="n">
        <v>0</v>
      </c>
      <c r="K75" s="18" t="n">
        <v>6.84022451</v>
      </c>
      <c r="L75" s="20" t="n">
        <v>1.16341418</v>
      </c>
      <c r="M75" s="18" t="n">
        <v>0.32466703</v>
      </c>
      <c r="N75" s="20" t="n">
        <v>0.22834532</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(2431.0/B77*100)</f>
        <v/>
      </c>
      <c r="D77" s="19" t="n">
        <v>538</v>
      </c>
      <c r="E77" s="18" t="n">
        <v>37.87551891</v>
      </c>
      <c r="F77" s="20" t="n">
        <v>2.48019542</v>
      </c>
      <c r="G77" s="18" t="n">
        <v>1.48783547</v>
      </c>
      <c r="H77" s="20" t="n">
        <v>0.50328765</v>
      </c>
      <c r="I77" s="18" t="n">
        <v>0</v>
      </c>
      <c r="J77" s="20" t="n">
        <v>0</v>
      </c>
      <c r="K77" s="18" t="n">
        <v>59.92802947</v>
      </c>
      <c r="L77" s="20" t="n">
        <v>2.4211317</v>
      </c>
      <c r="M77" s="18" t="n">
        <v>0.70861615</v>
      </c>
      <c r="N77" s="20" t="n">
        <v>0.36189738</v>
      </c>
      <c r="O77" s="18" t="n">
        <v>0</v>
      </c>
      <c r="P77" s="20" t="n">
        <v>0</v>
      </c>
      <c r="Q77" s="18" t="n">
        <v>0</v>
      </c>
      <c r="R77" s="20" t="n">
        <v>0</v>
      </c>
    </row>
    <row r="78" spans="1:18">
      <c r="A78" s="15" t="s">
        <v>638</v>
      </c>
      <c r="B78" s="17" t="n">
        <v>7115</v>
      </c>
      <c r="C78" s="18">
        <f>(5582.0/B78*100)</f>
        <v/>
      </c>
      <c r="D78" s="19" t="n">
        <v>1533</v>
      </c>
      <c r="E78" s="18" t="n">
        <v>62.34797921</v>
      </c>
      <c r="F78" s="20" t="n">
        <v>1.45433182</v>
      </c>
      <c r="G78" s="18" t="n">
        <v>19.22215189</v>
      </c>
      <c r="H78" s="20" t="n">
        <v>1.16961696</v>
      </c>
      <c r="I78" s="18" t="n">
        <v>0</v>
      </c>
      <c r="J78" s="20" t="n">
        <v>0</v>
      </c>
      <c r="K78" s="18" t="n">
        <v>18.36797</v>
      </c>
      <c r="L78" s="20" t="n">
        <v>1.17966009</v>
      </c>
      <c r="M78" s="18" t="n">
        <v>0.0618989</v>
      </c>
      <c r="N78" s="20" t="n">
        <v>0.04572236</v>
      </c>
      <c r="O78" s="18" t="n">
        <v>0</v>
      </c>
      <c r="P78" s="20" t="n">
        <v>0</v>
      </c>
      <c r="Q78" s="18" t="n">
        <v>0</v>
      </c>
      <c r="R78" s="20" t="n">
        <v>0</v>
      </c>
    </row>
    <row r="79" spans="1:18">
      <c r="A79" s="15" t="s">
        <v>639</v>
      </c>
      <c r="B79" s="17" t="n">
        <v>3154</v>
      </c>
      <c r="C79" s="18">
        <f>(2558.0/B79*100)</f>
        <v/>
      </c>
      <c r="D79" s="19" t="n">
        <v>596</v>
      </c>
      <c r="E79" s="18" t="n">
        <v>37.19355692</v>
      </c>
      <c r="F79" s="20" t="n">
        <v>2.17278628</v>
      </c>
      <c r="G79" s="18" t="n">
        <v>14.60765255</v>
      </c>
      <c r="H79" s="20" t="n">
        <v>1.68038217</v>
      </c>
      <c r="I79" s="18" t="n">
        <v>0</v>
      </c>
      <c r="J79" s="20" t="n">
        <v>0</v>
      </c>
      <c r="K79" s="18" t="n">
        <v>48.19879053</v>
      </c>
      <c r="L79" s="20" t="n">
        <v>2.31658379</v>
      </c>
      <c r="M79" s="18" t="n">
        <v>0</v>
      </c>
      <c r="N79" s="20" t="n">
        <v>0</v>
      </c>
      <c r="O79" s="18" t="n">
        <v>0</v>
      </c>
      <c r="P79" s="20" t="n">
        <v>0</v>
      </c>
      <c r="Q79" s="18" t="n">
        <v>0</v>
      </c>
      <c r="R79" s="20" t="n">
        <v>0</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(12677.0/B82*100)</f>
        <v/>
      </c>
      <c r="D82" s="19" t="n">
        <v>3284</v>
      </c>
      <c r="E82" s="18" t="n">
        <v>38.98399333</v>
      </c>
      <c r="F82" s="20" t="n">
        <v>1.15815633</v>
      </c>
      <c r="G82" s="18" t="n">
        <v>35.08806191</v>
      </c>
      <c r="H82" s="20" t="n">
        <v>1.20346518</v>
      </c>
      <c r="I82" s="18" t="n">
        <v>0</v>
      </c>
      <c r="J82" s="20" t="n">
        <v>0</v>
      </c>
      <c r="K82" s="18" t="n">
        <v>25.82209895</v>
      </c>
      <c r="L82" s="20" t="n">
        <v>1.1690618</v>
      </c>
      <c r="M82" s="18" t="n">
        <v>0.10584582</v>
      </c>
      <c r="N82" s="20" t="n">
        <v>0.09373877999999999</v>
      </c>
      <c r="O82" s="18" t="n">
        <v>0</v>
      </c>
      <c r="P82" s="20" t="n">
        <v>0</v>
      </c>
      <c r="Q82" s="18" t="n">
        <v>0</v>
      </c>
      <c r="R82" s="20" t="n">
        <v>0</v>
      </c>
    </row>
    <row r="83" spans="1:18">
      <c r="A83" s="15" t="s">
        <v>643</v>
      </c>
      <c r="B83" s="17" t="n">
        <v>808</v>
      </c>
      <c r="C83" s="18">
        <f>(636.0/B83*100)</f>
        <v/>
      </c>
      <c r="D83" s="19" t="n">
        <v>172</v>
      </c>
      <c r="E83" s="18" t="n">
        <v>65.37115599000001</v>
      </c>
      <c r="F83" s="20" t="n">
        <v>3.11386585</v>
      </c>
      <c r="G83" s="18" t="n">
        <v>28.49121235</v>
      </c>
      <c r="H83" s="20" t="n">
        <v>2.93378437</v>
      </c>
      <c r="I83" s="18" t="n">
        <v>0</v>
      </c>
      <c r="J83" s="20" t="n">
        <v>0</v>
      </c>
      <c r="K83" s="18" t="n">
        <v>6.13763166</v>
      </c>
      <c r="L83" s="20" t="n">
        <v>1.76333741</v>
      </c>
      <c r="M83" s="18" t="n">
        <v>0</v>
      </c>
      <c r="N83" s="20" t="n">
        <v>0</v>
      </c>
      <c r="O83" s="18" t="n">
        <v>0</v>
      </c>
      <c r="P83" s="20" t="n">
        <v>0</v>
      </c>
      <c r="Q83" s="18" t="n">
        <v>0</v>
      </c>
      <c r="R83" s="20" t="n">
        <v>0</v>
      </c>
    </row>
    <row r="84" spans="1:18">
      <c r="A84" s="23" t="s">
        <v>644</v>
      </c>
      <c r="B84" s="24" t="n">
        <v>938</v>
      </c>
      <c r="C84" s="25">
        <f>(752.0/B84*100)</f>
        <v/>
      </c>
      <c r="D84" s="19" t="n">
        <v>186</v>
      </c>
      <c r="E84" s="18" t="n">
        <v>65.18428907000001</v>
      </c>
      <c r="F84" s="20" t="n">
        <v>4.18269397</v>
      </c>
      <c r="G84" s="18" t="n">
        <v>29.42114492</v>
      </c>
      <c r="H84" s="20" t="n">
        <v>4.13670295</v>
      </c>
      <c r="I84" s="18" t="n">
        <v>0</v>
      </c>
      <c r="J84" s="20" t="n">
        <v>0</v>
      </c>
      <c r="K84" s="18" t="n">
        <v>5.39456602</v>
      </c>
      <c r="L84" s="20" t="n">
        <v>1.51633281</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(5609.0/B7*100)</f>
        <v/>
      </c>
      <c r="D7" s="19" t="n">
        <v>1554</v>
      </c>
      <c r="E7" s="18" t="n">
        <v>65.20709186000001</v>
      </c>
      <c r="F7" s="20" t="n">
        <v>1.54256274</v>
      </c>
      <c r="G7" s="18" t="n">
        <v>33.937313</v>
      </c>
      <c r="H7" s="20" t="n">
        <v>1.47800789</v>
      </c>
      <c r="I7" s="18" t="n">
        <v>0</v>
      </c>
      <c r="J7" s="20" t="n">
        <v>0</v>
      </c>
      <c r="K7" s="18" t="n">
        <v>0.10559135</v>
      </c>
      <c r="L7" s="20" t="n">
        <v>0.11108653</v>
      </c>
      <c r="M7" s="18" t="n">
        <v>0</v>
      </c>
      <c r="N7" s="20" t="n">
        <v>0</v>
      </c>
      <c r="O7" s="18" t="n">
        <v>0</v>
      </c>
      <c r="P7" s="20" t="n">
        <v>0</v>
      </c>
      <c r="Q7" s="18" t="n">
        <v>0.75000378</v>
      </c>
      <c r="R7" s="20" t="n">
        <v>0.24859428</v>
      </c>
    </row>
    <row r="8" spans="1:18">
      <c r="A8" s="15" t="s">
        <v>566</v>
      </c>
      <c r="B8" s="17" t="n">
        <v>3443</v>
      </c>
      <c r="C8" s="18">
        <f>(2668.0/B8*100)</f>
        <v/>
      </c>
      <c r="D8" s="19" t="n">
        <v>775</v>
      </c>
      <c r="E8" s="18" t="n">
        <v>51.07778808</v>
      </c>
      <c r="F8" s="20" t="n">
        <v>2.0071731</v>
      </c>
      <c r="G8" s="18" t="n">
        <v>48.12350056</v>
      </c>
      <c r="H8" s="20" t="n">
        <v>2.0091917</v>
      </c>
      <c r="I8" s="18" t="n">
        <v>0</v>
      </c>
      <c r="J8" s="20" t="n">
        <v>0</v>
      </c>
      <c r="K8" s="18" t="n">
        <v>0</v>
      </c>
      <c r="L8" s="20" t="n">
        <v>0</v>
      </c>
      <c r="M8" s="18" t="n">
        <v>0</v>
      </c>
      <c r="N8" s="20" t="n">
        <v>0</v>
      </c>
      <c r="O8" s="18" t="n">
        <v>0</v>
      </c>
      <c r="P8" s="20" t="n">
        <v>0</v>
      </c>
      <c r="Q8" s="18" t="n">
        <v>0.79871136</v>
      </c>
      <c r="R8" s="20" t="n">
        <v>0.33973742</v>
      </c>
    </row>
    <row r="9" spans="1:18">
      <c r="A9" s="15" t="s">
        <v>567</v>
      </c>
      <c r="B9" s="17" t="n">
        <v>4752</v>
      </c>
      <c r="C9" s="18">
        <f>(3697.0/B9*100)</f>
        <v/>
      </c>
      <c r="D9" s="19" t="n">
        <v>1055</v>
      </c>
      <c r="E9" s="18" t="n">
        <v>41.022915</v>
      </c>
      <c r="F9" s="20" t="n">
        <v>1.50000857</v>
      </c>
      <c r="G9" s="18" t="n">
        <v>58.11895137</v>
      </c>
      <c r="H9" s="20" t="n">
        <v>1.51098515</v>
      </c>
      <c r="I9" s="18" t="n">
        <v>0</v>
      </c>
      <c r="J9" s="20" t="n">
        <v>0</v>
      </c>
      <c r="K9" s="18" t="n">
        <v>0.23482823</v>
      </c>
      <c r="L9" s="20" t="n">
        <v>0.17043462</v>
      </c>
      <c r="M9" s="18" t="n">
        <v>0</v>
      </c>
      <c r="N9" s="20" t="n">
        <v>0</v>
      </c>
      <c r="O9" s="18" t="n">
        <v>0</v>
      </c>
      <c r="P9" s="20" t="n">
        <v>0</v>
      </c>
      <c r="Q9" s="18" t="n">
        <v>0.62330539</v>
      </c>
      <c r="R9" s="20" t="n">
        <v>0.2013371</v>
      </c>
    </row>
    <row r="10" spans="1:18">
      <c r="A10" s="15" t="s">
        <v>568</v>
      </c>
      <c r="B10" s="17" t="n">
        <v>10022</v>
      </c>
      <c r="C10" s="18">
        <f>(7809.0/B10*100)</f>
        <v/>
      </c>
      <c r="D10" s="19" t="n">
        <v>2213</v>
      </c>
      <c r="E10" s="18" t="n">
        <v>53.00137334</v>
      </c>
      <c r="F10" s="20" t="n">
        <v>1.44636142</v>
      </c>
      <c r="G10" s="18" t="n">
        <v>46.59441818</v>
      </c>
      <c r="H10" s="20" t="n">
        <v>1.41653369</v>
      </c>
      <c r="I10" s="18" t="n">
        <v>0</v>
      </c>
      <c r="J10" s="20" t="n">
        <v>0</v>
      </c>
      <c r="K10" s="18" t="n">
        <v>0</v>
      </c>
      <c r="L10" s="20" t="n">
        <v>0</v>
      </c>
      <c r="M10" s="18" t="n">
        <v>0</v>
      </c>
      <c r="N10" s="20" t="n">
        <v>0</v>
      </c>
      <c r="O10" s="18" t="n">
        <v>0</v>
      </c>
      <c r="P10" s="20" t="n">
        <v>0</v>
      </c>
      <c r="Q10" s="18" t="n">
        <v>0.40420848</v>
      </c>
      <c r="R10" s="20" t="n">
        <v>0.17285551</v>
      </c>
    </row>
    <row r="11" spans="1:18">
      <c r="A11" s="15" t="s">
        <v>569</v>
      </c>
      <c r="B11" s="17" t="n">
        <v>3500</v>
      </c>
      <c r="C11" s="18">
        <f>(2713.0/B11*100)</f>
        <v/>
      </c>
      <c r="D11" s="19" t="n">
        <v>787</v>
      </c>
      <c r="E11" s="18" t="n">
        <v>39.40976094</v>
      </c>
      <c r="F11" s="20" t="n">
        <v>1.92554306</v>
      </c>
      <c r="G11" s="18" t="n">
        <v>59.65722047</v>
      </c>
      <c r="H11" s="20" t="n">
        <v>1.83405489</v>
      </c>
      <c r="I11" s="18" t="n">
        <v>0</v>
      </c>
      <c r="J11" s="20" t="n">
        <v>0</v>
      </c>
      <c r="K11" s="18" t="n">
        <v>0</v>
      </c>
      <c r="L11" s="20" t="n">
        <v>0</v>
      </c>
      <c r="M11" s="18" t="n">
        <v>0</v>
      </c>
      <c r="N11" s="20" t="n">
        <v>0</v>
      </c>
      <c r="O11" s="18" t="n">
        <v>0</v>
      </c>
      <c r="P11" s="20" t="n">
        <v>0</v>
      </c>
      <c r="Q11" s="18" t="n">
        <v>0.9330186</v>
      </c>
      <c r="R11" s="20" t="n">
        <v>0.52326353</v>
      </c>
    </row>
    <row r="12" spans="1:18">
      <c r="A12" s="15" t="s">
        <v>570</v>
      </c>
      <c r="B12" s="17" t="n">
        <v>3422</v>
      </c>
      <c r="C12" s="18">
        <f>(2703.0/B12*100)</f>
        <v/>
      </c>
      <c r="D12" s="19" t="n">
        <v>719</v>
      </c>
      <c r="E12" s="18" t="n">
        <v>36.52263259</v>
      </c>
      <c r="F12" s="20" t="n">
        <v>2.04401497</v>
      </c>
      <c r="G12" s="18" t="n">
        <v>63.03029598</v>
      </c>
      <c r="H12" s="20" t="n">
        <v>2.03082176</v>
      </c>
      <c r="I12" s="18" t="n">
        <v>0</v>
      </c>
      <c r="J12" s="20" t="n">
        <v>0</v>
      </c>
      <c r="K12" s="18" t="n">
        <v>0.12105401</v>
      </c>
      <c r="L12" s="20" t="n">
        <v>0.11476732</v>
      </c>
      <c r="M12" s="18" t="n">
        <v>0</v>
      </c>
      <c r="N12" s="20" t="n">
        <v>0</v>
      </c>
      <c r="O12" s="18" t="n">
        <v>0</v>
      </c>
      <c r="P12" s="20" t="n">
        <v>0</v>
      </c>
      <c r="Q12" s="18" t="n">
        <v>0.32601742</v>
      </c>
      <c r="R12" s="20" t="n">
        <v>0.23518516</v>
      </c>
    </row>
    <row r="13" spans="1:18">
      <c r="A13" s="15" t="s">
        <v>571</v>
      </c>
      <c r="B13" s="17" t="n">
        <v>3602</v>
      </c>
      <c r="C13" s="18">
        <f>(2896.0/B13*100)</f>
        <v/>
      </c>
      <c r="D13" s="19" t="n">
        <v>706</v>
      </c>
      <c r="E13" s="18" t="n">
        <v>49.08115146</v>
      </c>
      <c r="F13" s="20" t="n">
        <v>2.51321009</v>
      </c>
      <c r="G13" s="18" t="n">
        <v>50.50594615</v>
      </c>
      <c r="H13" s="20" t="n">
        <v>2.4965457</v>
      </c>
      <c r="I13" s="18" t="n">
        <v>0</v>
      </c>
      <c r="J13" s="20" t="n">
        <v>0</v>
      </c>
      <c r="K13" s="18" t="n">
        <v>0.22931311</v>
      </c>
      <c r="L13" s="20" t="n">
        <v>0.19918822</v>
      </c>
      <c r="M13" s="18" t="n">
        <v>0</v>
      </c>
      <c r="N13" s="20" t="n">
        <v>0</v>
      </c>
      <c r="O13" s="18" t="n">
        <v>0</v>
      </c>
      <c r="P13" s="20" t="n">
        <v>0</v>
      </c>
      <c r="Q13" s="18" t="n">
        <v>0.18358928</v>
      </c>
      <c r="R13" s="20" t="n">
        <v>0.15049369</v>
      </c>
    </row>
    <row r="14" spans="1:18">
      <c r="A14" s="15" t="s">
        <v>572</v>
      </c>
      <c r="B14" s="17" t="n">
        <v>2788</v>
      </c>
      <c r="C14" s="18">
        <f>(2148.0/B14*100)</f>
        <v/>
      </c>
      <c r="D14" s="19" t="n">
        <v>640</v>
      </c>
      <c r="E14" s="18" t="n">
        <v>22.83074608</v>
      </c>
      <c r="F14" s="20" t="n">
        <v>1.91196829</v>
      </c>
      <c r="G14" s="18" t="n">
        <v>77.16925392</v>
      </c>
      <c r="H14" s="20" t="n">
        <v>1.91196829</v>
      </c>
      <c r="I14" s="18" t="n">
        <v>0</v>
      </c>
      <c r="J14" s="20" t="n">
        <v>0</v>
      </c>
      <c r="K14" s="18" t="n">
        <v>0</v>
      </c>
      <c r="L14" s="20" t="n">
        <v>0</v>
      </c>
      <c r="M14" s="18" t="n">
        <v>0</v>
      </c>
      <c r="N14" s="20" t="n">
        <v>0</v>
      </c>
      <c r="O14" s="18" t="n">
        <v>0</v>
      </c>
      <c r="P14" s="20" t="n">
        <v>0</v>
      </c>
      <c r="Q14" s="18" t="n">
        <v>0</v>
      </c>
      <c r="R14" s="20" t="n">
        <v>0</v>
      </c>
    </row>
    <row r="15" spans="1:18">
      <c r="A15" s="15" t="s">
        <v>573</v>
      </c>
      <c r="B15" s="17" t="n">
        <v>2863</v>
      </c>
      <c r="C15" s="18">
        <f>(2224.0/B15*100)</f>
        <v/>
      </c>
      <c r="D15" s="19" t="n">
        <v>639</v>
      </c>
      <c r="E15" s="18" t="n">
        <v>21.67846217</v>
      </c>
      <c r="F15" s="20" t="n">
        <v>1.60996892</v>
      </c>
      <c r="G15" s="18" t="n">
        <v>78.16904047</v>
      </c>
      <c r="H15" s="20" t="n">
        <v>1.63778569</v>
      </c>
      <c r="I15" s="18" t="n">
        <v>0</v>
      </c>
      <c r="J15" s="20" t="n">
        <v>0</v>
      </c>
      <c r="K15" s="18" t="n">
        <v>0</v>
      </c>
      <c r="L15" s="20" t="n">
        <v>0</v>
      </c>
      <c r="M15" s="18" t="n">
        <v>0</v>
      </c>
      <c r="N15" s="20" t="n">
        <v>0</v>
      </c>
      <c r="O15" s="18" t="n">
        <v>0</v>
      </c>
      <c r="P15" s="20" t="n">
        <v>0</v>
      </c>
      <c r="Q15" s="18" t="n">
        <v>0.15249736</v>
      </c>
      <c r="R15" s="20" t="n">
        <v>0.15212488</v>
      </c>
    </row>
    <row r="16" spans="1:18">
      <c r="A16" s="15" t="s">
        <v>574</v>
      </c>
      <c r="B16" s="17" t="n">
        <v>3111</v>
      </c>
      <c r="C16" s="18">
        <f>(2433.0/B16*100)</f>
        <v/>
      </c>
      <c r="D16" s="19" t="n">
        <v>678</v>
      </c>
      <c r="E16" s="18" t="n">
        <v>25.1579207</v>
      </c>
      <c r="F16" s="20" t="n">
        <v>1.63968363</v>
      </c>
      <c r="G16" s="18" t="n">
        <v>73.88771642</v>
      </c>
      <c r="H16" s="20" t="n">
        <v>1.64572898</v>
      </c>
      <c r="I16" s="18" t="n">
        <v>0</v>
      </c>
      <c r="J16" s="20" t="n">
        <v>0</v>
      </c>
      <c r="K16" s="18" t="n">
        <v>0.47711424</v>
      </c>
      <c r="L16" s="20" t="n">
        <v>0.312193</v>
      </c>
      <c r="M16" s="18" t="n">
        <v>0</v>
      </c>
      <c r="N16" s="20" t="n">
        <v>0</v>
      </c>
      <c r="O16" s="18" t="n">
        <v>0</v>
      </c>
      <c r="P16" s="20" t="n">
        <v>0</v>
      </c>
      <c r="Q16" s="18" t="n">
        <v>0.47724865</v>
      </c>
      <c r="R16" s="20" t="n">
        <v>0.23052008</v>
      </c>
    </row>
    <row r="17" spans="1:18">
      <c r="A17" s="15" t="s">
        <v>575</v>
      </c>
      <c r="B17" s="17" t="n">
        <v>3197</v>
      </c>
      <c r="C17" s="18">
        <f>(2541.0/B17*100)</f>
        <v/>
      </c>
      <c r="D17" s="19" t="n">
        <v>656</v>
      </c>
      <c r="E17" s="18" t="n">
        <v>50.30554491</v>
      </c>
      <c r="F17" s="20" t="n">
        <v>1.95976976</v>
      </c>
      <c r="G17" s="18" t="n">
        <v>49.23609842</v>
      </c>
      <c r="H17" s="20" t="n">
        <v>1.94918325</v>
      </c>
      <c r="I17" s="18" t="n">
        <v>0</v>
      </c>
      <c r="J17" s="20" t="n">
        <v>0</v>
      </c>
      <c r="K17" s="18" t="n">
        <v>0.15010832</v>
      </c>
      <c r="L17" s="20" t="n">
        <v>0.15097165</v>
      </c>
      <c r="M17" s="18" t="n">
        <v>0</v>
      </c>
      <c r="N17" s="20" t="n">
        <v>0</v>
      </c>
      <c r="O17" s="18" t="n">
        <v>0</v>
      </c>
      <c r="P17" s="20" t="n">
        <v>0</v>
      </c>
      <c r="Q17" s="18" t="n">
        <v>0.30824834</v>
      </c>
      <c r="R17" s="20" t="n">
        <v>0.22808762</v>
      </c>
    </row>
    <row r="18" spans="1:18">
      <c r="A18" s="15" t="s">
        <v>576</v>
      </c>
      <c r="B18" s="17" t="n">
        <v>2706</v>
      </c>
      <c r="C18" s="18">
        <f>(2110.0/B18*100)</f>
        <v/>
      </c>
      <c r="D18" s="19" t="n">
        <v>596</v>
      </c>
      <c r="E18" s="18" t="n">
        <v>34.34999295</v>
      </c>
      <c r="F18" s="20" t="n">
        <v>2.50890805</v>
      </c>
      <c r="G18" s="18" t="n">
        <v>64.61248707</v>
      </c>
      <c r="H18" s="20" t="n">
        <v>2.52273635</v>
      </c>
      <c r="I18" s="18" t="n">
        <v>0</v>
      </c>
      <c r="J18" s="20" t="n">
        <v>0</v>
      </c>
      <c r="K18" s="18" t="n">
        <v>0.09156269</v>
      </c>
      <c r="L18" s="20" t="n">
        <v>0.09116771999999999</v>
      </c>
      <c r="M18" s="18" t="n">
        <v>0</v>
      </c>
      <c r="N18" s="20" t="n">
        <v>0</v>
      </c>
      <c r="O18" s="18" t="n">
        <v>0</v>
      </c>
      <c r="P18" s="20" t="n">
        <v>0</v>
      </c>
      <c r="Q18" s="18" t="n">
        <v>0.94595729</v>
      </c>
      <c r="R18" s="20" t="n">
        <v>0.31064461</v>
      </c>
    </row>
    <row r="19" spans="1:18">
      <c r="A19" s="15" t="s">
        <v>577</v>
      </c>
      <c r="B19" s="17" t="n">
        <v>2850</v>
      </c>
      <c r="C19" s="18">
        <f>(2189.0/B19*100)</f>
        <v/>
      </c>
      <c r="D19" s="19" t="n">
        <v>661</v>
      </c>
      <c r="E19" s="18" t="n">
        <v>35.99848292</v>
      </c>
      <c r="F19" s="20" t="n">
        <v>1.93584272</v>
      </c>
      <c r="G19" s="18" t="n">
        <v>62.6622185</v>
      </c>
      <c r="H19" s="20" t="n">
        <v>1.94467052</v>
      </c>
      <c r="I19" s="18" t="n">
        <v>0</v>
      </c>
      <c r="J19" s="20" t="n">
        <v>0</v>
      </c>
      <c r="K19" s="18" t="n">
        <v>0.13996378</v>
      </c>
      <c r="L19" s="20" t="n">
        <v>0.11913049</v>
      </c>
      <c r="M19" s="18" t="n">
        <v>0</v>
      </c>
      <c r="N19" s="20" t="n">
        <v>0</v>
      </c>
      <c r="O19" s="18" t="n">
        <v>0</v>
      </c>
      <c r="P19" s="20" t="n">
        <v>0</v>
      </c>
      <c r="Q19" s="18" t="n">
        <v>1.19933479</v>
      </c>
      <c r="R19" s="20" t="n">
        <v>0.48630274</v>
      </c>
    </row>
    <row r="20" spans="1:18">
      <c r="A20" s="15" t="s">
        <v>578</v>
      </c>
      <c r="B20" s="17" t="n">
        <v>1741</v>
      </c>
      <c r="C20" s="18">
        <f>(1365.0/B20*100)</f>
        <v/>
      </c>
      <c r="D20" s="19" t="n">
        <v>376</v>
      </c>
      <c r="E20" s="18" t="n">
        <v>28.63201389</v>
      </c>
      <c r="F20" s="20" t="n">
        <v>2.40499156</v>
      </c>
      <c r="G20" s="18" t="n">
        <v>71.36798611</v>
      </c>
      <c r="H20" s="20" t="n">
        <v>2.40499156</v>
      </c>
      <c r="I20" s="18" t="n">
        <v>0</v>
      </c>
      <c r="J20" s="20" t="n">
        <v>0</v>
      </c>
      <c r="K20" s="18" t="n">
        <v>0</v>
      </c>
      <c r="L20" s="20" t="n">
        <v>0</v>
      </c>
      <c r="M20" s="18" t="n">
        <v>0</v>
      </c>
      <c r="N20" s="20" t="n">
        <v>0</v>
      </c>
      <c r="O20" s="18" t="n">
        <v>0</v>
      </c>
      <c r="P20" s="20" t="n">
        <v>0</v>
      </c>
      <c r="Q20" s="18" t="n">
        <v>0</v>
      </c>
      <c r="R20" s="20" t="n">
        <v>0</v>
      </c>
    </row>
    <row r="21" spans="1:18">
      <c r="A21" s="15" t="s">
        <v>579</v>
      </c>
      <c r="B21" s="17" t="n">
        <v>2833</v>
      </c>
      <c r="C21" s="18">
        <f>(2232.0/B21*100)</f>
        <v/>
      </c>
      <c r="D21" s="19" t="n">
        <v>601</v>
      </c>
      <c r="E21" s="18" t="n">
        <v>65.54873576</v>
      </c>
      <c r="F21" s="20" t="n">
        <v>1.98056698</v>
      </c>
      <c r="G21" s="18" t="n">
        <v>34.13894262</v>
      </c>
      <c r="H21" s="20" t="n">
        <v>1.99356654</v>
      </c>
      <c r="I21" s="18" t="n">
        <v>0</v>
      </c>
      <c r="J21" s="20" t="n">
        <v>0</v>
      </c>
      <c r="K21" s="18" t="n">
        <v>0</v>
      </c>
      <c r="L21" s="20" t="n">
        <v>0</v>
      </c>
      <c r="M21" s="18" t="n">
        <v>0</v>
      </c>
      <c r="N21" s="20" t="n">
        <v>0</v>
      </c>
      <c r="O21" s="18" t="n">
        <v>0</v>
      </c>
      <c r="P21" s="20" t="n">
        <v>0</v>
      </c>
      <c r="Q21" s="18" t="n">
        <v>0.31232162</v>
      </c>
      <c r="R21" s="20" t="n">
        <v>0.19412032</v>
      </c>
    </row>
    <row r="22" spans="1:18">
      <c r="A22" s="15" t="s">
        <v>580</v>
      </c>
      <c r="B22" s="17" t="n">
        <v>3667</v>
      </c>
      <c r="C22" s="18">
        <f>(2859.0/B22*100)</f>
        <v/>
      </c>
      <c r="D22" s="19" t="n">
        <v>808</v>
      </c>
      <c r="E22" s="18" t="n">
        <v>46.40920353</v>
      </c>
      <c r="F22" s="20" t="n">
        <v>1.75153043</v>
      </c>
      <c r="G22" s="18" t="n">
        <v>51.50176971</v>
      </c>
      <c r="H22" s="20" t="n">
        <v>1.87320106</v>
      </c>
      <c r="I22" s="18" t="n">
        <v>0</v>
      </c>
      <c r="J22" s="20" t="n">
        <v>0</v>
      </c>
      <c r="K22" s="18" t="n">
        <v>0.35351304</v>
      </c>
      <c r="L22" s="20" t="n">
        <v>0.21285592</v>
      </c>
      <c r="M22" s="18" t="n">
        <v>0</v>
      </c>
      <c r="N22" s="20" t="n">
        <v>0</v>
      </c>
      <c r="O22" s="18" t="n">
        <v>0</v>
      </c>
      <c r="P22" s="20" t="n">
        <v>0</v>
      </c>
      <c r="Q22" s="18" t="n">
        <v>1.73551373</v>
      </c>
      <c r="R22" s="20" t="n">
        <v>0.49480619</v>
      </c>
    </row>
    <row r="23" spans="1:18">
      <c r="A23" s="15" t="s">
        <v>581</v>
      </c>
      <c r="B23" s="17" t="n">
        <v>5792</v>
      </c>
      <c r="C23" s="18">
        <f>(4476.0/B23*100)</f>
        <v/>
      </c>
      <c r="D23" s="19" t="n">
        <v>1316</v>
      </c>
      <c r="E23" s="18" t="n">
        <v>37.01560025</v>
      </c>
      <c r="F23" s="20" t="n">
        <v>2.01471956</v>
      </c>
      <c r="G23" s="18" t="n">
        <v>62.44535173</v>
      </c>
      <c r="H23" s="20" t="n">
        <v>2.04945469</v>
      </c>
      <c r="I23" s="18" t="n">
        <v>0</v>
      </c>
      <c r="J23" s="20" t="n">
        <v>0</v>
      </c>
      <c r="K23" s="18" t="n">
        <v>0.15404824</v>
      </c>
      <c r="L23" s="20" t="n">
        <v>0.16045682</v>
      </c>
      <c r="M23" s="18" t="n">
        <v>0</v>
      </c>
      <c r="N23" s="20" t="n">
        <v>0</v>
      </c>
      <c r="O23" s="18" t="n">
        <v>0</v>
      </c>
      <c r="P23" s="20" t="n">
        <v>0</v>
      </c>
      <c r="Q23" s="18" t="n">
        <v>0.38499978</v>
      </c>
      <c r="R23" s="20" t="n">
        <v>0.27656417</v>
      </c>
    </row>
    <row r="24" spans="1:18">
      <c r="A24" s="15" t="s">
        <v>582</v>
      </c>
      <c r="B24" s="17" t="n">
        <v>3309</v>
      </c>
      <c r="C24" s="18">
        <f>(2601.0/B24*100)</f>
        <v/>
      </c>
      <c r="D24" s="19" t="n">
        <v>708</v>
      </c>
      <c r="E24" s="18" t="n">
        <v>65.12333965000001</v>
      </c>
      <c r="F24" s="20" t="n">
        <v>2.1128435</v>
      </c>
      <c r="G24" s="18" t="n">
        <v>34.52441774</v>
      </c>
      <c r="H24" s="20" t="n">
        <v>2.13244339</v>
      </c>
      <c r="I24" s="18" t="n">
        <v>0</v>
      </c>
      <c r="J24" s="20" t="n">
        <v>0</v>
      </c>
      <c r="K24" s="18" t="n">
        <v>0</v>
      </c>
      <c r="L24" s="20" t="n">
        <v>0</v>
      </c>
      <c r="M24" s="18" t="n">
        <v>0</v>
      </c>
      <c r="N24" s="20" t="n">
        <v>0</v>
      </c>
      <c r="O24" s="18" t="n">
        <v>0</v>
      </c>
      <c r="P24" s="20" t="n">
        <v>0</v>
      </c>
      <c r="Q24" s="18" t="n">
        <v>0.3522426</v>
      </c>
      <c r="R24" s="20" t="n">
        <v>0.20745633</v>
      </c>
    </row>
    <row r="25" spans="1:18">
      <c r="A25" s="15" t="s">
        <v>583</v>
      </c>
      <c r="B25" s="17" t="n">
        <v>2669</v>
      </c>
      <c r="C25" s="18">
        <f>(2091.0/B25*100)</f>
        <v/>
      </c>
      <c r="D25" s="19" t="n">
        <v>578</v>
      </c>
      <c r="E25" s="18" t="n">
        <v>61.04689322</v>
      </c>
      <c r="F25" s="20" t="n">
        <v>2.05904074</v>
      </c>
      <c r="G25" s="18" t="n">
        <v>38.30897712</v>
      </c>
      <c r="H25" s="20" t="n">
        <v>2.07534582</v>
      </c>
      <c r="I25" s="18" t="n">
        <v>0</v>
      </c>
      <c r="J25" s="20" t="n">
        <v>0</v>
      </c>
      <c r="K25" s="18" t="n">
        <v>0</v>
      </c>
      <c r="L25" s="20" t="n">
        <v>0</v>
      </c>
      <c r="M25" s="18" t="n">
        <v>0</v>
      </c>
      <c r="N25" s="20" t="n">
        <v>0</v>
      </c>
      <c r="O25" s="18" t="n">
        <v>0</v>
      </c>
      <c r="P25" s="20" t="n">
        <v>0</v>
      </c>
      <c r="Q25" s="18" t="n">
        <v>0.64412967</v>
      </c>
      <c r="R25" s="20" t="n">
        <v>0.32704079</v>
      </c>
    </row>
    <row r="26" spans="1:18">
      <c r="A26" s="15" t="s">
        <v>584</v>
      </c>
      <c r="B26" s="17" t="n">
        <v>2419</v>
      </c>
      <c r="C26" s="18">
        <f>(1853.0/B26*100)</f>
        <v/>
      </c>
      <c r="D26" s="19" t="n">
        <v>566</v>
      </c>
      <c r="E26" s="18" t="n">
        <v>44.23645896</v>
      </c>
      <c r="F26" s="20" t="n">
        <v>2.27083264</v>
      </c>
      <c r="G26" s="18" t="n">
        <v>55.61286925</v>
      </c>
      <c r="H26" s="20" t="n">
        <v>2.24725936</v>
      </c>
      <c r="I26" s="18" t="n">
        <v>0</v>
      </c>
      <c r="J26" s="20" t="n">
        <v>0</v>
      </c>
      <c r="K26" s="18" t="n">
        <v>0</v>
      </c>
      <c r="L26" s="20" t="n">
        <v>0</v>
      </c>
      <c r="M26" s="18" t="n">
        <v>0</v>
      </c>
      <c r="N26" s="20" t="n">
        <v>0</v>
      </c>
      <c r="O26" s="18" t="n">
        <v>0</v>
      </c>
      <c r="P26" s="20" t="n">
        <v>0</v>
      </c>
      <c r="Q26" s="18" t="n">
        <v>0.15067179</v>
      </c>
      <c r="R26" s="20" t="n">
        <v>0.15482007</v>
      </c>
    </row>
    <row r="27" spans="1:18">
      <c r="A27" s="15" t="s">
        <v>585</v>
      </c>
      <c r="B27" s="17" t="n">
        <v>2683</v>
      </c>
      <c r="C27" s="18">
        <f>(2119.0/B27*100)</f>
        <v/>
      </c>
      <c r="D27" s="19" t="n">
        <v>564</v>
      </c>
      <c r="E27" s="18" t="n">
        <v>52.87674513</v>
      </c>
      <c r="F27" s="20" t="n">
        <v>2.12325087</v>
      </c>
      <c r="G27" s="18" t="n">
        <v>46.58833926</v>
      </c>
      <c r="H27" s="20" t="n">
        <v>2.05794548</v>
      </c>
      <c r="I27" s="18" t="n">
        <v>0</v>
      </c>
      <c r="J27" s="20" t="n">
        <v>0</v>
      </c>
      <c r="K27" s="18" t="n">
        <v>0</v>
      </c>
      <c r="L27" s="20" t="n">
        <v>0</v>
      </c>
      <c r="M27" s="18" t="n">
        <v>0</v>
      </c>
      <c r="N27" s="20" t="n">
        <v>0</v>
      </c>
      <c r="O27" s="18" t="n">
        <v>0</v>
      </c>
      <c r="P27" s="20" t="n">
        <v>0</v>
      </c>
      <c r="Q27" s="18" t="n">
        <v>0.5349156</v>
      </c>
      <c r="R27" s="20" t="n">
        <v>0.31736447</v>
      </c>
    </row>
    <row r="28" spans="1:18">
      <c r="A28" s="15" t="s">
        <v>586</v>
      </c>
      <c r="B28" s="17" t="n">
        <v>3803</v>
      </c>
      <c r="C28" s="18">
        <f>(2934.0/B28*100)</f>
        <v/>
      </c>
      <c r="D28" s="19" t="n">
        <v>869</v>
      </c>
      <c r="E28" s="18" t="n">
        <v>55.22354773</v>
      </c>
      <c r="F28" s="20" t="n">
        <v>1.9345414</v>
      </c>
      <c r="G28" s="18" t="n">
        <v>43.99388255</v>
      </c>
      <c r="H28" s="20" t="n">
        <v>1.93819449</v>
      </c>
      <c r="I28" s="18" t="n">
        <v>0</v>
      </c>
      <c r="J28" s="20" t="n">
        <v>0</v>
      </c>
      <c r="K28" s="18" t="n">
        <v>0.19774115</v>
      </c>
      <c r="L28" s="20" t="n">
        <v>0.19780487</v>
      </c>
      <c r="M28" s="18" t="n">
        <v>0</v>
      </c>
      <c r="N28" s="20" t="n">
        <v>0</v>
      </c>
      <c r="O28" s="18" t="n">
        <v>0</v>
      </c>
      <c r="P28" s="20" t="n">
        <v>0</v>
      </c>
      <c r="Q28" s="18" t="n">
        <v>0.58482857</v>
      </c>
      <c r="R28" s="20" t="n">
        <v>0.27590161</v>
      </c>
    </row>
    <row r="29" spans="1:18">
      <c r="A29" s="15" t="s">
        <v>587</v>
      </c>
      <c r="B29" s="17" t="n">
        <v>2700</v>
      </c>
      <c r="C29" s="18">
        <f>(2113.0/B29*100)</f>
        <v/>
      </c>
      <c r="D29" s="19" t="n">
        <v>587</v>
      </c>
      <c r="E29" s="18" t="n">
        <v>41.91460188</v>
      </c>
      <c r="F29" s="20" t="n">
        <v>1.99578329</v>
      </c>
      <c r="G29" s="18" t="n">
        <v>57.39533239</v>
      </c>
      <c r="H29" s="20" t="n">
        <v>2.03528142</v>
      </c>
      <c r="I29" s="18" t="n">
        <v>0</v>
      </c>
      <c r="J29" s="20" t="n">
        <v>0</v>
      </c>
      <c r="K29" s="18" t="n">
        <v>0.36541936</v>
      </c>
      <c r="L29" s="20" t="n">
        <v>0.22230841</v>
      </c>
      <c r="M29" s="18" t="n">
        <v>0</v>
      </c>
      <c r="N29" s="20" t="n">
        <v>0</v>
      </c>
      <c r="O29" s="18" t="n">
        <v>0</v>
      </c>
      <c r="P29" s="20" t="n">
        <v>0</v>
      </c>
      <c r="Q29" s="18" t="n">
        <v>0.32464637</v>
      </c>
      <c r="R29" s="20" t="n">
        <v>0.2347606</v>
      </c>
    </row>
    <row r="30" spans="1:18">
      <c r="A30" s="15" t="s">
        <v>588</v>
      </c>
      <c r="B30" s="17" t="n">
        <v>2257</v>
      </c>
      <c r="C30" s="18">
        <f>(1768.0/B30*100)</f>
        <v/>
      </c>
      <c r="D30" s="19" t="n">
        <v>489</v>
      </c>
      <c r="E30" s="18" t="n">
        <v>61.84463253</v>
      </c>
      <c r="F30" s="20" t="n">
        <v>2.13105853</v>
      </c>
      <c r="G30" s="18" t="n">
        <v>37.71913195</v>
      </c>
      <c r="H30" s="20" t="n">
        <v>2.12478747</v>
      </c>
      <c r="I30" s="18" t="n">
        <v>0</v>
      </c>
      <c r="J30" s="20" t="n">
        <v>0</v>
      </c>
      <c r="K30" s="18" t="n">
        <v>0.19647332</v>
      </c>
      <c r="L30" s="20" t="n">
        <v>0.17051619</v>
      </c>
      <c r="M30" s="18" t="n">
        <v>0</v>
      </c>
      <c r="N30" s="20" t="n">
        <v>0</v>
      </c>
      <c r="O30" s="18" t="n">
        <v>0</v>
      </c>
      <c r="P30" s="20" t="n">
        <v>0</v>
      </c>
      <c r="Q30" s="18" t="n">
        <v>0.23976219</v>
      </c>
      <c r="R30" s="20" t="n">
        <v>0.2277159</v>
      </c>
    </row>
    <row r="31" spans="1:18">
      <c r="A31" s="15" t="s">
        <v>589</v>
      </c>
      <c r="B31" s="17" t="n">
        <v>2706</v>
      </c>
      <c r="C31" s="18">
        <f>(2106.0/B31*100)</f>
        <v/>
      </c>
      <c r="D31" s="19" t="n">
        <v>600</v>
      </c>
      <c r="E31" s="18" t="n">
        <v>53.91613301</v>
      </c>
      <c r="F31" s="20" t="n">
        <v>2.44932424</v>
      </c>
      <c r="G31" s="18" t="n">
        <v>45.41880201</v>
      </c>
      <c r="H31" s="20" t="n">
        <v>2.39535135</v>
      </c>
      <c r="I31" s="18" t="n">
        <v>0</v>
      </c>
      <c r="J31" s="20" t="n">
        <v>0</v>
      </c>
      <c r="K31" s="18" t="n">
        <v>0.31821527</v>
      </c>
      <c r="L31" s="20" t="n">
        <v>0.22026542</v>
      </c>
      <c r="M31" s="18" t="n">
        <v>0</v>
      </c>
      <c r="N31" s="20" t="n">
        <v>0</v>
      </c>
      <c r="O31" s="18" t="n">
        <v>0</v>
      </c>
      <c r="P31" s="20" t="n">
        <v>0</v>
      </c>
      <c r="Q31" s="18" t="n">
        <v>0.34684971</v>
      </c>
      <c r="R31" s="20" t="n">
        <v>0.26123424</v>
      </c>
    </row>
    <row r="32" spans="1:18">
      <c r="A32" s="15" t="s">
        <v>590</v>
      </c>
      <c r="B32" s="17" t="n">
        <v>2209</v>
      </c>
      <c r="C32" s="18">
        <f>(1730.0/B32*100)</f>
        <v/>
      </c>
      <c r="D32" s="19" t="n">
        <v>479</v>
      </c>
      <c r="E32" s="18" t="n">
        <v>37.95864413</v>
      </c>
      <c r="F32" s="20" t="n">
        <v>2.01683361</v>
      </c>
      <c r="G32" s="18" t="n">
        <v>61.68570348</v>
      </c>
      <c r="H32" s="20" t="n">
        <v>2.03847832</v>
      </c>
      <c r="I32" s="18" t="n">
        <v>0</v>
      </c>
      <c r="J32" s="20" t="n">
        <v>0</v>
      </c>
      <c r="K32" s="18" t="n">
        <v>0</v>
      </c>
      <c r="L32" s="20" t="n">
        <v>0</v>
      </c>
      <c r="M32" s="18" t="n">
        <v>0</v>
      </c>
      <c r="N32" s="20" t="n">
        <v>0</v>
      </c>
      <c r="O32" s="18" t="n">
        <v>0</v>
      </c>
      <c r="P32" s="20" t="n">
        <v>0</v>
      </c>
      <c r="Q32" s="18" t="n">
        <v>0.35565239</v>
      </c>
      <c r="R32" s="20" t="n">
        <v>0.25095518</v>
      </c>
    </row>
    <row r="33" spans="1:18">
      <c r="A33" s="15" t="s">
        <v>591</v>
      </c>
      <c r="B33" s="17" t="n">
        <v>3651</v>
      </c>
      <c r="C33" s="18">
        <f>(2832.0/B33*100)</f>
        <v/>
      </c>
      <c r="D33" s="19" t="n">
        <v>819</v>
      </c>
      <c r="E33" s="18" t="n">
        <v>28.29547003</v>
      </c>
      <c r="F33" s="20" t="n">
        <v>1.77069124</v>
      </c>
      <c r="G33" s="18" t="n">
        <v>71.27096662</v>
      </c>
      <c r="H33" s="20" t="n">
        <v>1.7936479</v>
      </c>
      <c r="I33" s="18" t="n">
        <v>0</v>
      </c>
      <c r="J33" s="20" t="n">
        <v>0</v>
      </c>
      <c r="K33" s="18" t="n">
        <v>0</v>
      </c>
      <c r="L33" s="20" t="n">
        <v>0</v>
      </c>
      <c r="M33" s="18" t="n">
        <v>0</v>
      </c>
      <c r="N33" s="20" t="n">
        <v>0</v>
      </c>
      <c r="O33" s="18" t="n">
        <v>0</v>
      </c>
      <c r="P33" s="20" t="n">
        <v>0</v>
      </c>
      <c r="Q33" s="18" t="n">
        <v>0.43356336</v>
      </c>
      <c r="R33" s="20" t="n">
        <v>0.25995573</v>
      </c>
    </row>
    <row r="34" spans="1:18">
      <c r="A34" s="15" t="s">
        <v>592</v>
      </c>
      <c r="B34" s="17" t="n">
        <v>3035</v>
      </c>
      <c r="C34" s="18">
        <f>(2391.0/B34*100)</f>
        <v/>
      </c>
      <c r="D34" s="19" t="n">
        <v>644</v>
      </c>
      <c r="E34" s="18" t="n">
        <v>33.06725954</v>
      </c>
      <c r="F34" s="20" t="n">
        <v>2.19394272</v>
      </c>
      <c r="G34" s="18" t="n">
        <v>66.29753138</v>
      </c>
      <c r="H34" s="20" t="n">
        <v>2.2192422</v>
      </c>
      <c r="I34" s="18" t="n">
        <v>0</v>
      </c>
      <c r="J34" s="20" t="n">
        <v>0</v>
      </c>
      <c r="K34" s="18" t="n">
        <v>0</v>
      </c>
      <c r="L34" s="20" t="n">
        <v>0</v>
      </c>
      <c r="M34" s="18" t="n">
        <v>0</v>
      </c>
      <c r="N34" s="20" t="n">
        <v>0</v>
      </c>
      <c r="O34" s="18" t="n">
        <v>0</v>
      </c>
      <c r="P34" s="20" t="n">
        <v>0</v>
      </c>
      <c r="Q34" s="18" t="n">
        <v>0.63520908</v>
      </c>
      <c r="R34" s="20" t="n">
        <v>0.33214535</v>
      </c>
    </row>
    <row r="35" spans="1:18">
      <c r="A35" s="15" t="s">
        <v>593</v>
      </c>
      <c r="B35" s="17" t="n">
        <v>2901</v>
      </c>
      <c r="C35" s="18">
        <f>(2261.0/B35*100)</f>
        <v/>
      </c>
      <c r="D35" s="19" t="n">
        <v>640</v>
      </c>
      <c r="E35" s="18" t="n">
        <v>49.25399573</v>
      </c>
      <c r="F35" s="20" t="n">
        <v>2.47547449</v>
      </c>
      <c r="G35" s="18" t="n">
        <v>50.29361014</v>
      </c>
      <c r="H35" s="20" t="n">
        <v>2.44967793</v>
      </c>
      <c r="I35" s="18" t="n">
        <v>0</v>
      </c>
      <c r="J35" s="20" t="n">
        <v>0</v>
      </c>
      <c r="K35" s="18" t="n">
        <v>0</v>
      </c>
      <c r="L35" s="20" t="n">
        <v>0</v>
      </c>
      <c r="M35" s="18" t="n">
        <v>0</v>
      </c>
      <c r="N35" s="20" t="n">
        <v>0</v>
      </c>
      <c r="O35" s="18" t="n">
        <v>0</v>
      </c>
      <c r="P35" s="20" t="n">
        <v>0</v>
      </c>
      <c r="Q35" s="18" t="n">
        <v>0.45239413</v>
      </c>
      <c r="R35" s="20" t="n">
        <v>0.23676343</v>
      </c>
    </row>
    <row r="36" spans="1:18">
      <c r="A36" s="15" t="s">
        <v>594</v>
      </c>
      <c r="B36" s="17" t="n">
        <v>3404</v>
      </c>
      <c r="C36" s="18">
        <f>(2616.0/B36*100)</f>
        <v/>
      </c>
      <c r="D36" s="19" t="n">
        <v>788</v>
      </c>
      <c r="E36" s="18" t="n">
        <v>29.65786891</v>
      </c>
      <c r="F36" s="20" t="n">
        <v>1.78547421</v>
      </c>
      <c r="G36" s="18" t="n">
        <v>69.30442431</v>
      </c>
      <c r="H36" s="20" t="n">
        <v>1.84339025</v>
      </c>
      <c r="I36" s="18" t="n">
        <v>0</v>
      </c>
      <c r="J36" s="20" t="n">
        <v>0</v>
      </c>
      <c r="K36" s="18" t="n">
        <v>0</v>
      </c>
      <c r="L36" s="20" t="n">
        <v>0</v>
      </c>
      <c r="M36" s="18" t="n">
        <v>0</v>
      </c>
      <c r="N36" s="20" t="n">
        <v>0</v>
      </c>
      <c r="O36" s="18" t="n">
        <v>0</v>
      </c>
      <c r="P36" s="20" t="n">
        <v>0</v>
      </c>
      <c r="Q36" s="18" t="n">
        <v>1.03770679</v>
      </c>
      <c r="R36" s="20" t="n">
        <v>0.4024693</v>
      </c>
    </row>
    <row r="37" spans="1:18">
      <c r="A37" s="15" t="s">
        <v>595</v>
      </c>
      <c r="B37" s="17" t="n">
        <v>2731</v>
      </c>
      <c r="C37" s="18">
        <f>(2140.0/B37*100)</f>
        <v/>
      </c>
      <c r="D37" s="19" t="n">
        <v>591</v>
      </c>
      <c r="E37" s="18" t="n">
        <v>65.72503089</v>
      </c>
      <c r="F37" s="20" t="n">
        <v>2.25507276</v>
      </c>
      <c r="G37" s="18" t="n">
        <v>33.52291282</v>
      </c>
      <c r="H37" s="20" t="n">
        <v>2.26374149</v>
      </c>
      <c r="I37" s="18" t="n">
        <v>0</v>
      </c>
      <c r="J37" s="20" t="n">
        <v>0</v>
      </c>
      <c r="K37" s="18" t="n">
        <v>0.14240345</v>
      </c>
      <c r="L37" s="20" t="n">
        <v>0.14192737</v>
      </c>
      <c r="M37" s="18" t="n">
        <v>0</v>
      </c>
      <c r="N37" s="20" t="n">
        <v>0</v>
      </c>
      <c r="O37" s="18" t="n">
        <v>0</v>
      </c>
      <c r="P37" s="20" t="n">
        <v>0</v>
      </c>
      <c r="Q37" s="18" t="n">
        <v>0.60965284</v>
      </c>
      <c r="R37" s="20" t="n">
        <v>0.30234355</v>
      </c>
    </row>
    <row r="38" spans="1:18">
      <c r="A38" s="15" t="s">
        <v>596</v>
      </c>
      <c r="B38" s="17" t="n">
        <v>2807</v>
      </c>
      <c r="C38" s="18">
        <f>(2177.0/B38*100)</f>
        <v/>
      </c>
      <c r="D38" s="19" t="n">
        <v>630</v>
      </c>
      <c r="E38" s="18" t="n">
        <v>36.50482094</v>
      </c>
      <c r="F38" s="20" t="n">
        <v>2.13019004</v>
      </c>
      <c r="G38" s="18" t="n">
        <v>62.64356264</v>
      </c>
      <c r="H38" s="20" t="n">
        <v>2.1665023</v>
      </c>
      <c r="I38" s="18" t="n">
        <v>0</v>
      </c>
      <c r="J38" s="20" t="n">
        <v>0</v>
      </c>
      <c r="K38" s="18" t="n">
        <v>0</v>
      </c>
      <c r="L38" s="20" t="n">
        <v>0</v>
      </c>
      <c r="M38" s="18" t="n">
        <v>0</v>
      </c>
      <c r="N38" s="20" t="n">
        <v>0</v>
      </c>
      <c r="O38" s="18" t="n">
        <v>0</v>
      </c>
      <c r="P38" s="20" t="n">
        <v>0</v>
      </c>
      <c r="Q38" s="18" t="n">
        <v>0.85161643</v>
      </c>
      <c r="R38" s="20" t="n">
        <v>0.59920673</v>
      </c>
    </row>
    <row r="39" spans="1:18">
      <c r="A39" s="15" t="s">
        <v>597</v>
      </c>
      <c r="B39" s="17" t="n">
        <v>2938</v>
      </c>
      <c r="C39" s="18">
        <f>(2280.0/B39*100)</f>
        <v/>
      </c>
      <c r="D39" s="19" t="n">
        <v>658</v>
      </c>
      <c r="E39" s="18" t="n">
        <v>51.79086831</v>
      </c>
      <c r="F39" s="20" t="n">
        <v>2.15459129</v>
      </c>
      <c r="G39" s="18" t="n">
        <v>46.86126725</v>
      </c>
      <c r="H39" s="20" t="n">
        <v>2.11000229</v>
      </c>
      <c r="I39" s="18" t="n">
        <v>0</v>
      </c>
      <c r="J39" s="20" t="n">
        <v>0</v>
      </c>
      <c r="K39" s="18" t="n">
        <v>0.14297186</v>
      </c>
      <c r="L39" s="20" t="n">
        <v>0.14363385</v>
      </c>
      <c r="M39" s="18" t="n">
        <v>0</v>
      </c>
      <c r="N39" s="20" t="n">
        <v>0</v>
      </c>
      <c r="O39" s="18" t="n">
        <v>0</v>
      </c>
      <c r="P39" s="20" t="n">
        <v>0</v>
      </c>
      <c r="Q39" s="18" t="n">
        <v>1.20489258</v>
      </c>
      <c r="R39" s="20" t="n">
        <v>0.34440151</v>
      </c>
    </row>
    <row r="40" spans="1:18">
      <c r="A40" s="15" t="s">
        <v>598</v>
      </c>
      <c r="B40" s="17" t="n">
        <v>6922</v>
      </c>
      <c r="C40" s="18">
        <f>(5387.0/B40*100)</f>
        <v/>
      </c>
      <c r="D40" s="19" t="n">
        <v>1535</v>
      </c>
      <c r="E40" s="18" t="n">
        <v>62.83893176</v>
      </c>
      <c r="F40" s="20" t="n">
        <v>2.03099962</v>
      </c>
      <c r="G40" s="18" t="n">
        <v>36.33949467</v>
      </c>
      <c r="H40" s="20" t="n">
        <v>2.05299413</v>
      </c>
      <c r="I40" s="18" t="n">
        <v>0</v>
      </c>
      <c r="J40" s="20" t="n">
        <v>0</v>
      </c>
      <c r="K40" s="18" t="n">
        <v>0</v>
      </c>
      <c r="L40" s="20" t="n">
        <v>0</v>
      </c>
      <c r="M40" s="18" t="n">
        <v>0</v>
      </c>
      <c r="N40" s="20" t="n">
        <v>0</v>
      </c>
      <c r="O40" s="18" t="n">
        <v>0</v>
      </c>
      <c r="P40" s="20" t="n">
        <v>0</v>
      </c>
      <c r="Q40" s="18" t="n">
        <v>0.82157357</v>
      </c>
      <c r="R40" s="20" t="n">
        <v>0.34780738</v>
      </c>
    </row>
    <row r="41" spans="1:18">
      <c r="A41" s="15" t="s">
        <v>599</v>
      </c>
      <c r="B41" s="17" t="n">
        <v>2854</v>
      </c>
      <c r="C41" s="18">
        <f>(2245.0/B41*100)</f>
        <v/>
      </c>
      <c r="D41" s="19" t="n">
        <v>609</v>
      </c>
      <c r="E41" s="18" t="n">
        <v>60.32651998</v>
      </c>
      <c r="F41" s="20" t="n">
        <v>1.88626702</v>
      </c>
      <c r="G41" s="18" t="n">
        <v>38.91697984</v>
      </c>
      <c r="H41" s="20" t="n">
        <v>1.83264928</v>
      </c>
      <c r="I41" s="18" t="n">
        <v>0</v>
      </c>
      <c r="J41" s="20" t="n">
        <v>0</v>
      </c>
      <c r="K41" s="18" t="n">
        <v>0</v>
      </c>
      <c r="L41" s="20" t="n">
        <v>0</v>
      </c>
      <c r="M41" s="18" t="n">
        <v>0</v>
      </c>
      <c r="N41" s="20" t="n">
        <v>0</v>
      </c>
      <c r="O41" s="18" t="n">
        <v>0</v>
      </c>
      <c r="P41" s="20" t="n">
        <v>0</v>
      </c>
      <c r="Q41" s="18" t="n">
        <v>0.75650018</v>
      </c>
      <c r="R41" s="20" t="n">
        <v>0.36184018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(9589.0/B46*100)</f>
        <v/>
      </c>
      <c r="D46" s="19" t="n">
        <v>2484</v>
      </c>
      <c r="E46" s="18" t="n">
        <v>56.01346278</v>
      </c>
      <c r="F46" s="20" t="n">
        <v>1.62881882</v>
      </c>
      <c r="G46" s="18" t="n">
        <v>41.63144262</v>
      </c>
      <c r="H46" s="20" t="n">
        <v>1.64704605</v>
      </c>
      <c r="I46" s="18" t="n">
        <v>0</v>
      </c>
      <c r="J46" s="20" t="n">
        <v>0</v>
      </c>
      <c r="K46" s="18" t="n">
        <v>0.56283075</v>
      </c>
      <c r="L46" s="20" t="n">
        <v>0.22036413</v>
      </c>
      <c r="M46" s="18" t="n">
        <v>0</v>
      </c>
      <c r="N46" s="20" t="n">
        <v>0</v>
      </c>
      <c r="O46" s="18" t="n">
        <v>0</v>
      </c>
      <c r="P46" s="20" t="n">
        <v>0</v>
      </c>
      <c r="Q46" s="18" t="n">
        <v>1.79226385</v>
      </c>
      <c r="R46" s="20" t="n">
        <v>0.37205807</v>
      </c>
    </row>
    <row r="47" spans="1:18">
      <c r="A47" s="15" t="s">
        <v>606</v>
      </c>
      <c r="B47" s="17" t="n">
        <v>2823</v>
      </c>
      <c r="C47" s="18">
        <f>(2180.0/B47*100)</f>
        <v/>
      </c>
      <c r="D47" s="19" t="n">
        <v>643</v>
      </c>
      <c r="E47" s="18" t="n">
        <v>45.8086034</v>
      </c>
      <c r="F47" s="20" t="n">
        <v>1.88829985</v>
      </c>
      <c r="G47" s="18" t="n">
        <v>52.82861313</v>
      </c>
      <c r="H47" s="20" t="n">
        <v>1.91112135</v>
      </c>
      <c r="I47" s="18" t="n">
        <v>0</v>
      </c>
      <c r="J47" s="20" t="n">
        <v>0</v>
      </c>
      <c r="K47" s="18" t="n">
        <v>0.32379206</v>
      </c>
      <c r="L47" s="20" t="n">
        <v>0.2586629</v>
      </c>
      <c r="M47" s="18" t="n">
        <v>0</v>
      </c>
      <c r="N47" s="20" t="n">
        <v>0</v>
      </c>
      <c r="O47" s="18" t="n">
        <v>0</v>
      </c>
      <c r="P47" s="20" t="n">
        <v>0</v>
      </c>
      <c r="Q47" s="18" t="n">
        <v>1.03899141</v>
      </c>
      <c r="R47" s="20" t="n">
        <v>0.40458933</v>
      </c>
    </row>
    <row r="48" spans="1:18">
      <c r="A48" s="15" t="s">
        <v>607</v>
      </c>
      <c r="B48" s="17" t="n">
        <v>4682</v>
      </c>
      <c r="C48" s="18">
        <f>(3679.0/B48*100)</f>
        <v/>
      </c>
      <c r="D48" s="19" t="n">
        <v>1003</v>
      </c>
      <c r="E48" s="18" t="n">
        <v>64.846189</v>
      </c>
      <c r="F48" s="20" t="n">
        <v>2.11778878</v>
      </c>
      <c r="G48" s="18" t="n">
        <v>33.03050469</v>
      </c>
      <c r="H48" s="20" t="n">
        <v>2.18135784</v>
      </c>
      <c r="I48" s="18" t="n">
        <v>0</v>
      </c>
      <c r="J48" s="20" t="n">
        <v>0</v>
      </c>
      <c r="K48" s="18" t="n">
        <v>0.45261531</v>
      </c>
      <c r="L48" s="20" t="n">
        <v>0.27607767</v>
      </c>
      <c r="M48" s="18" t="n">
        <v>0</v>
      </c>
      <c r="N48" s="20" t="n">
        <v>0</v>
      </c>
      <c r="O48" s="18" t="n">
        <v>0</v>
      </c>
      <c r="P48" s="20" t="n">
        <v>0</v>
      </c>
      <c r="Q48" s="18" t="n">
        <v>1.670691</v>
      </c>
      <c r="R48" s="20" t="n">
        <v>0.44608865</v>
      </c>
    </row>
    <row r="49" spans="1:18">
      <c r="A49" s="15" t="s">
        <v>608</v>
      </c>
      <c r="B49" s="17" t="n">
        <v>6158</v>
      </c>
      <c r="C49" s="18">
        <f>(4788.0/B49*100)</f>
        <v/>
      </c>
      <c r="D49" s="19" t="n">
        <v>1370</v>
      </c>
      <c r="E49" s="18" t="n">
        <v>51.88528903</v>
      </c>
      <c r="F49" s="20" t="n">
        <v>1.74629593</v>
      </c>
      <c r="G49" s="18" t="n">
        <v>47.04183477</v>
      </c>
      <c r="H49" s="20" t="n">
        <v>1.78795166</v>
      </c>
      <c r="I49" s="18" t="n">
        <v>0</v>
      </c>
      <c r="J49" s="20" t="n">
        <v>0</v>
      </c>
      <c r="K49" s="18" t="n">
        <v>0.46227586</v>
      </c>
      <c r="L49" s="20" t="n">
        <v>0.24211415</v>
      </c>
      <c r="M49" s="18" t="n">
        <v>0</v>
      </c>
      <c r="N49" s="20" t="n">
        <v>0</v>
      </c>
      <c r="O49" s="18" t="n">
        <v>0</v>
      </c>
      <c r="P49" s="20" t="n">
        <v>0</v>
      </c>
      <c r="Q49" s="18" t="n">
        <v>0.61060034</v>
      </c>
      <c r="R49" s="20" t="n">
        <v>0.25187018</v>
      </c>
    </row>
    <row r="50" spans="1:18">
      <c r="A50" s="15" t="s">
        <v>609</v>
      </c>
      <c r="B50" s="17" t="n">
        <v>3494</v>
      </c>
      <c r="C50" s="18">
        <f>(2791.0/B50*100)</f>
        <v/>
      </c>
      <c r="D50" s="19" t="n">
        <v>703</v>
      </c>
      <c r="E50" s="18" t="n">
        <v>49.48295713</v>
      </c>
      <c r="F50" s="20" t="n">
        <v>2.08560005</v>
      </c>
      <c r="G50" s="18" t="n">
        <v>50.00106959</v>
      </c>
      <c r="H50" s="20" t="n">
        <v>2.10293634</v>
      </c>
      <c r="I50" s="18" t="n">
        <v>0</v>
      </c>
      <c r="J50" s="20" t="n">
        <v>0</v>
      </c>
      <c r="K50" s="18" t="n">
        <v>0.13906029</v>
      </c>
      <c r="L50" s="20" t="n">
        <v>0.14765665</v>
      </c>
      <c r="M50" s="18" t="n">
        <v>0</v>
      </c>
      <c r="N50" s="20" t="n">
        <v>0</v>
      </c>
      <c r="O50" s="18" t="n">
        <v>0</v>
      </c>
      <c r="P50" s="20" t="n">
        <v>0</v>
      </c>
      <c r="Q50" s="18" t="n">
        <v>0.37691298</v>
      </c>
      <c r="R50" s="20" t="n">
        <v>0.2274518</v>
      </c>
    </row>
    <row r="51" spans="1:18">
      <c r="A51" s="15" t="s">
        <v>610</v>
      </c>
      <c r="B51" s="17" t="n">
        <v>3013</v>
      </c>
      <c r="C51" s="18">
        <f>(2362.0/B51*100)</f>
        <v/>
      </c>
      <c r="D51" s="19" t="n">
        <v>651</v>
      </c>
      <c r="E51" s="18" t="n">
        <v>48.16569165</v>
      </c>
      <c r="F51" s="20" t="n">
        <v>1.6481818</v>
      </c>
      <c r="G51" s="18" t="n">
        <v>50.81558516</v>
      </c>
      <c r="H51" s="20" t="n">
        <v>1.6750738</v>
      </c>
      <c r="I51" s="18" t="n">
        <v>0</v>
      </c>
      <c r="J51" s="20" t="n">
        <v>0</v>
      </c>
      <c r="K51" s="18" t="n">
        <v>0</v>
      </c>
      <c r="L51" s="20" t="n">
        <v>0</v>
      </c>
      <c r="M51" s="18" t="n">
        <v>0</v>
      </c>
      <c r="N51" s="20" t="n">
        <v>0</v>
      </c>
      <c r="O51" s="18" t="n">
        <v>0</v>
      </c>
      <c r="P51" s="20" t="n">
        <v>0</v>
      </c>
      <c r="Q51" s="18" t="n">
        <v>1.01872319</v>
      </c>
      <c r="R51" s="20" t="n">
        <v>0.42404998</v>
      </c>
    </row>
    <row r="52" spans="1:18">
      <c r="A52" s="15" t="s">
        <v>611</v>
      </c>
      <c r="B52" s="17" t="n">
        <v>2760</v>
      </c>
      <c r="C52" s="18">
        <f>(2156.0/B52*100)</f>
        <v/>
      </c>
      <c r="D52" s="19" t="n">
        <v>604</v>
      </c>
      <c r="E52" s="18" t="n">
        <v>35.98460765</v>
      </c>
      <c r="F52" s="20" t="n">
        <v>2.03482099</v>
      </c>
      <c r="G52" s="18" t="n">
        <v>63.47092863</v>
      </c>
      <c r="H52" s="20" t="n">
        <v>2.02620024</v>
      </c>
      <c r="I52" s="18" t="n">
        <v>0</v>
      </c>
      <c r="J52" s="20" t="n">
        <v>0</v>
      </c>
      <c r="K52" s="18" t="n">
        <v>0</v>
      </c>
      <c r="L52" s="20" t="n">
        <v>0</v>
      </c>
      <c r="M52" s="18" t="n">
        <v>0</v>
      </c>
      <c r="N52" s="20" t="n">
        <v>0</v>
      </c>
      <c r="O52" s="18" t="n">
        <v>0</v>
      </c>
      <c r="P52" s="20" t="n">
        <v>0</v>
      </c>
      <c r="Q52" s="18" t="n">
        <v>0.54446372</v>
      </c>
      <c r="R52" s="20" t="n">
        <v>0.31959668</v>
      </c>
    </row>
    <row r="53" spans="1:18">
      <c r="A53" s="15" t="s">
        <v>612</v>
      </c>
      <c r="B53" s="17" t="n">
        <v>2474</v>
      </c>
      <c r="C53" s="18">
        <f>(1888.0/B53*100)</f>
        <v/>
      </c>
      <c r="D53" s="19" t="n">
        <v>586</v>
      </c>
      <c r="E53" s="18" t="n">
        <v>62.41074567</v>
      </c>
      <c r="F53" s="20" t="n">
        <v>2.33024498</v>
      </c>
      <c r="G53" s="18" t="n">
        <v>31.24463039</v>
      </c>
      <c r="H53" s="20" t="n">
        <v>2.19151805</v>
      </c>
      <c r="I53" s="18" t="n">
        <v>0</v>
      </c>
      <c r="J53" s="20" t="n">
        <v>0</v>
      </c>
      <c r="K53" s="18" t="n">
        <v>3.33706774</v>
      </c>
      <c r="L53" s="20" t="n">
        <v>0.80984388</v>
      </c>
      <c r="M53" s="18" t="n">
        <v>0</v>
      </c>
      <c r="N53" s="20" t="n">
        <v>0</v>
      </c>
      <c r="O53" s="18" t="n">
        <v>0</v>
      </c>
      <c r="P53" s="20" t="n">
        <v>0</v>
      </c>
      <c r="Q53" s="18" t="n">
        <v>3.0075562</v>
      </c>
      <c r="R53" s="20" t="n">
        <v>1.01157179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(2068.0/B55*100)</f>
        <v/>
      </c>
      <c r="D55" s="19" t="n">
        <v>607</v>
      </c>
      <c r="E55" s="18" t="n">
        <v>40.24948665</v>
      </c>
      <c r="F55" s="20" t="n">
        <v>2.31201925</v>
      </c>
      <c r="G55" s="18" t="n">
        <v>59.64037519</v>
      </c>
      <c r="H55" s="20" t="n">
        <v>2.30378256</v>
      </c>
      <c r="I55" s="18" t="n">
        <v>0</v>
      </c>
      <c r="J55" s="20" t="n">
        <v>0</v>
      </c>
      <c r="K55" s="18" t="n">
        <v>0</v>
      </c>
      <c r="L55" s="20" t="n">
        <v>0</v>
      </c>
      <c r="M55" s="18" t="n">
        <v>0</v>
      </c>
      <c r="N55" s="20" t="n">
        <v>0</v>
      </c>
      <c r="O55" s="18" t="n">
        <v>0</v>
      </c>
      <c r="P55" s="20" t="n">
        <v>0</v>
      </c>
      <c r="Q55" s="18" t="n">
        <v>0.11013816</v>
      </c>
      <c r="R55" s="20" t="n">
        <v>0.1110298</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(2489.0/B61*100)</f>
        <v/>
      </c>
      <c r="D61" s="19" t="n">
        <v>712</v>
      </c>
      <c r="E61" s="18" t="n">
        <v>59.87487957</v>
      </c>
      <c r="F61" s="20" t="n">
        <v>1.86205795</v>
      </c>
      <c r="G61" s="18" t="n">
        <v>38.89827512</v>
      </c>
      <c r="H61" s="20" t="n">
        <v>1.90226455</v>
      </c>
      <c r="I61" s="18" t="n">
        <v>0</v>
      </c>
      <c r="J61" s="20" t="n">
        <v>0</v>
      </c>
      <c r="K61" s="18" t="n">
        <v>0.55620916</v>
      </c>
      <c r="L61" s="20" t="n">
        <v>0.43032352</v>
      </c>
      <c r="M61" s="18" t="n">
        <v>0</v>
      </c>
      <c r="N61" s="20" t="n">
        <v>0</v>
      </c>
      <c r="O61" s="18" t="n">
        <v>0</v>
      </c>
      <c r="P61" s="20" t="n">
        <v>0</v>
      </c>
      <c r="Q61" s="18" t="n">
        <v>0.67063615</v>
      </c>
      <c r="R61" s="20" t="n">
        <v>0.34903768</v>
      </c>
    </row>
    <row r="62" spans="1:18">
      <c r="A62" s="15" t="s">
        <v>622</v>
      </c>
      <c r="B62" s="17" t="n">
        <v>2230</v>
      </c>
      <c r="C62" s="18">
        <f>(1742.0/B62*100)</f>
        <v/>
      </c>
      <c r="D62" s="19" t="n">
        <v>488</v>
      </c>
      <c r="E62" s="18" t="n">
        <v>52.88818132</v>
      </c>
      <c r="F62" s="20" t="n">
        <v>2.4935326</v>
      </c>
      <c r="G62" s="18" t="n">
        <v>46.90805526</v>
      </c>
      <c r="H62" s="20" t="n">
        <v>2.50870699</v>
      </c>
      <c r="I62" s="18" t="n">
        <v>0</v>
      </c>
      <c r="J62" s="20" t="n">
        <v>0</v>
      </c>
      <c r="K62" s="18" t="n">
        <v>0</v>
      </c>
      <c r="L62" s="20" t="n">
        <v>0</v>
      </c>
      <c r="M62" s="18" t="n">
        <v>0</v>
      </c>
      <c r="N62" s="20" t="n">
        <v>0</v>
      </c>
      <c r="O62" s="18" t="n">
        <v>0</v>
      </c>
      <c r="P62" s="20" t="n">
        <v>0</v>
      </c>
      <c r="Q62" s="18" t="n">
        <v>0.20376341</v>
      </c>
      <c r="R62" s="20" t="n">
        <v>0.20309861</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(2146.0/B67*100)</f>
        <v/>
      </c>
      <c r="D67" s="19" t="n">
        <v>625</v>
      </c>
      <c r="E67" s="18" t="n">
        <v>56.34199412</v>
      </c>
      <c r="F67" s="20" t="n">
        <v>1.9219555</v>
      </c>
      <c r="G67" s="18" t="n">
        <v>41.85571593</v>
      </c>
      <c r="H67" s="20" t="n">
        <v>1.87810513</v>
      </c>
      <c r="I67" s="18" t="n">
        <v>0</v>
      </c>
      <c r="J67" s="20" t="n">
        <v>0</v>
      </c>
      <c r="K67" s="18" t="n">
        <v>0.28252771</v>
      </c>
      <c r="L67" s="20" t="n">
        <v>0.20201376</v>
      </c>
      <c r="M67" s="18" t="n">
        <v>0</v>
      </c>
      <c r="N67" s="20" t="n">
        <v>0</v>
      </c>
      <c r="O67" s="18" t="n">
        <v>0</v>
      </c>
      <c r="P67" s="20" t="n">
        <v>0</v>
      </c>
      <c r="Q67" s="18" t="n">
        <v>1.51976224</v>
      </c>
      <c r="R67" s="20" t="n">
        <v>0.47602296</v>
      </c>
    </row>
    <row r="68" spans="1:18">
      <c r="A68" s="15" t="s">
        <v>628</v>
      </c>
      <c r="B68" s="17" t="n">
        <v>3460</v>
      </c>
      <c r="C68" s="18">
        <f>(2744.0/B68*100)</f>
        <v/>
      </c>
      <c r="D68" s="19" t="n">
        <v>716</v>
      </c>
      <c r="E68" s="18" t="n">
        <v>45.92308459</v>
      </c>
      <c r="F68" s="20" t="n">
        <v>2.31044058</v>
      </c>
      <c r="G68" s="18" t="n">
        <v>52.26437806</v>
      </c>
      <c r="H68" s="20" t="n">
        <v>2.14756995</v>
      </c>
      <c r="I68" s="18" t="n">
        <v>0</v>
      </c>
      <c r="J68" s="20" t="n">
        <v>0</v>
      </c>
      <c r="K68" s="18" t="n">
        <v>0</v>
      </c>
      <c r="L68" s="20" t="n">
        <v>0</v>
      </c>
      <c r="M68" s="18" t="n">
        <v>0</v>
      </c>
      <c r="N68" s="20" t="n">
        <v>0</v>
      </c>
      <c r="O68" s="18" t="n">
        <v>0</v>
      </c>
      <c r="P68" s="20" t="n">
        <v>0</v>
      </c>
      <c r="Q68" s="18" t="n">
        <v>1.81253734</v>
      </c>
      <c r="R68" s="20" t="n">
        <v>0.60677959</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(4676.0/B70*100)</f>
        <v/>
      </c>
      <c r="D70" s="19" t="n">
        <v>1358</v>
      </c>
      <c r="E70" s="18" t="n">
        <v>49.12797511</v>
      </c>
      <c r="F70" s="20" t="n">
        <v>1.28816901</v>
      </c>
      <c r="G70" s="18" t="n">
        <v>50.15035892</v>
      </c>
      <c r="H70" s="20" t="n">
        <v>1.33362828</v>
      </c>
      <c r="I70" s="18" t="n">
        <v>0</v>
      </c>
      <c r="J70" s="20" t="n">
        <v>0</v>
      </c>
      <c r="K70" s="18" t="n">
        <v>0.2860678</v>
      </c>
      <c r="L70" s="20" t="n">
        <v>0.14255197</v>
      </c>
      <c r="M70" s="18" t="n">
        <v>0</v>
      </c>
      <c r="N70" s="20" t="n">
        <v>0</v>
      </c>
      <c r="O70" s="18" t="n">
        <v>0</v>
      </c>
      <c r="P70" s="20" t="n">
        <v>0</v>
      </c>
      <c r="Q70" s="18" t="n">
        <v>0.43559817</v>
      </c>
      <c r="R70" s="20" t="n">
        <v>0.17605857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(2406.0/B72*100)</f>
        <v/>
      </c>
      <c r="D72" s="19" t="n">
        <v>701</v>
      </c>
      <c r="E72" s="18" t="n">
        <v>26.53163882</v>
      </c>
      <c r="F72" s="20" t="n">
        <v>2.05994314</v>
      </c>
      <c r="G72" s="18" t="n">
        <v>73.0355529</v>
      </c>
      <c r="H72" s="20" t="n">
        <v>1.96591874</v>
      </c>
      <c r="I72" s="18" t="n">
        <v>0</v>
      </c>
      <c r="J72" s="20" t="n">
        <v>0</v>
      </c>
      <c r="K72" s="18" t="n">
        <v>0</v>
      </c>
      <c r="L72" s="20" t="n">
        <v>0</v>
      </c>
      <c r="M72" s="18" t="n">
        <v>0</v>
      </c>
      <c r="N72" s="20" t="n">
        <v>0</v>
      </c>
      <c r="O72" s="18" t="n">
        <v>0</v>
      </c>
      <c r="P72" s="20" t="n">
        <v>0</v>
      </c>
      <c r="Q72" s="18" t="n">
        <v>0.43280828</v>
      </c>
      <c r="R72" s="20" t="n">
        <v>0.24549243</v>
      </c>
    </row>
    <row r="73" spans="1:18">
      <c r="A73" s="15" t="s">
        <v>633</v>
      </c>
      <c r="B73" s="17" t="n">
        <v>2973</v>
      </c>
      <c r="C73" s="18">
        <f>(2327.0/B73*100)</f>
        <v/>
      </c>
      <c r="D73" s="19" t="n">
        <v>646</v>
      </c>
      <c r="E73" s="18" t="n">
        <v>56.33401687</v>
      </c>
      <c r="F73" s="20" t="n">
        <v>1.78197257</v>
      </c>
      <c r="G73" s="18" t="n">
        <v>43.52717253</v>
      </c>
      <c r="H73" s="20" t="n">
        <v>1.76557051</v>
      </c>
      <c r="I73" s="18" t="n">
        <v>0</v>
      </c>
      <c r="J73" s="20" t="n">
        <v>0</v>
      </c>
      <c r="K73" s="18" t="n">
        <v>0</v>
      </c>
      <c r="L73" s="20" t="n">
        <v>0</v>
      </c>
      <c r="M73" s="18" t="n">
        <v>0</v>
      </c>
      <c r="N73" s="20" t="n">
        <v>0</v>
      </c>
      <c r="O73" s="18" t="n">
        <v>0</v>
      </c>
      <c r="P73" s="20" t="n">
        <v>0</v>
      </c>
      <c r="Q73" s="18" t="n">
        <v>0.13881059</v>
      </c>
      <c r="R73" s="20" t="n">
        <v>0.14007675</v>
      </c>
    </row>
    <row r="74" spans="1:18">
      <c r="A74" s="15" t="s">
        <v>634</v>
      </c>
      <c r="B74" s="17" t="n">
        <v>3819</v>
      </c>
      <c r="C74" s="18">
        <f>(3013.0/B74*100)</f>
        <v/>
      </c>
      <c r="D74" s="19" t="n">
        <v>806</v>
      </c>
      <c r="E74" s="18" t="n">
        <v>37.49509634</v>
      </c>
      <c r="F74" s="20" t="n">
        <v>2.25710272</v>
      </c>
      <c r="G74" s="18" t="n">
        <v>61.83539334</v>
      </c>
      <c r="H74" s="20" t="n">
        <v>2.26687066</v>
      </c>
      <c r="I74" s="18" t="n">
        <v>0</v>
      </c>
      <c r="J74" s="20" t="n">
        <v>0</v>
      </c>
      <c r="K74" s="18" t="n">
        <v>0</v>
      </c>
      <c r="L74" s="20" t="n">
        <v>0</v>
      </c>
      <c r="M74" s="18" t="n">
        <v>0</v>
      </c>
      <c r="N74" s="20" t="n">
        <v>0</v>
      </c>
      <c r="O74" s="18" t="n">
        <v>0</v>
      </c>
      <c r="P74" s="20" t="n">
        <v>0</v>
      </c>
      <c r="Q74" s="18" t="n">
        <v>0.66951032</v>
      </c>
      <c r="R74" s="20" t="n">
        <v>0.35727269</v>
      </c>
    </row>
    <row r="75" spans="1:18">
      <c r="A75" s="15" t="s">
        <v>635</v>
      </c>
      <c r="B75" s="17" t="n">
        <v>4652</v>
      </c>
      <c r="C75" s="18">
        <f>(3629.0/B75*100)</f>
        <v/>
      </c>
      <c r="D75" s="19" t="n">
        <v>1023</v>
      </c>
      <c r="E75" s="18" t="n">
        <v>50.03649756</v>
      </c>
      <c r="F75" s="20" t="n">
        <v>2.25566287</v>
      </c>
      <c r="G75" s="18" t="n">
        <v>49.24638877</v>
      </c>
      <c r="H75" s="20" t="n">
        <v>2.26961683</v>
      </c>
      <c r="I75" s="18" t="n">
        <v>0</v>
      </c>
      <c r="J75" s="20" t="n">
        <v>0</v>
      </c>
      <c r="K75" s="18" t="n">
        <v>0.14114556</v>
      </c>
      <c r="L75" s="20" t="n">
        <v>0.14078726</v>
      </c>
      <c r="M75" s="18" t="n">
        <v>0</v>
      </c>
      <c r="N75" s="20" t="n">
        <v>0</v>
      </c>
      <c r="O75" s="18" t="n">
        <v>0</v>
      </c>
      <c r="P75" s="20" t="n">
        <v>0</v>
      </c>
      <c r="Q75" s="18" t="n">
        <v>0.57596811</v>
      </c>
      <c r="R75" s="20" t="n">
        <v>0.28587085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(2342.0/B77*100)</f>
        <v/>
      </c>
      <c r="D77" s="19" t="n">
        <v>627</v>
      </c>
      <c r="E77" s="18" t="n">
        <v>66.67029261</v>
      </c>
      <c r="F77" s="20" t="n">
        <v>1.86261467</v>
      </c>
      <c r="G77" s="18" t="n">
        <v>31.02091388</v>
      </c>
      <c r="H77" s="20" t="n">
        <v>1.76871306</v>
      </c>
      <c r="I77" s="18" t="n">
        <v>0</v>
      </c>
      <c r="J77" s="20" t="n">
        <v>0</v>
      </c>
      <c r="K77" s="18" t="n">
        <v>0.58684622</v>
      </c>
      <c r="L77" s="20" t="n">
        <v>0.3671893</v>
      </c>
      <c r="M77" s="18" t="n">
        <v>0</v>
      </c>
      <c r="N77" s="20" t="n">
        <v>0</v>
      </c>
      <c r="O77" s="18" t="n">
        <v>0</v>
      </c>
      <c r="P77" s="20" t="n">
        <v>0</v>
      </c>
      <c r="Q77" s="18" t="n">
        <v>1.72194729</v>
      </c>
      <c r="R77" s="20" t="n">
        <v>0.6459207300000001</v>
      </c>
    </row>
    <row r="78" spans="1:18">
      <c r="A78" s="15" t="s">
        <v>638</v>
      </c>
      <c r="B78" s="17" t="n">
        <v>7115</v>
      </c>
      <c r="C78" s="18">
        <f>(5530.0/B78*100)</f>
        <v/>
      </c>
      <c r="D78" s="19" t="n">
        <v>1585</v>
      </c>
      <c r="E78" s="18" t="n">
        <v>55.44181448</v>
      </c>
      <c r="F78" s="20" t="n">
        <v>1.51464493</v>
      </c>
      <c r="G78" s="18" t="n">
        <v>44.06373542</v>
      </c>
      <c r="H78" s="20" t="n">
        <v>1.51800614</v>
      </c>
      <c r="I78" s="18" t="n">
        <v>0</v>
      </c>
      <c r="J78" s="20" t="n">
        <v>0</v>
      </c>
      <c r="K78" s="18" t="n">
        <v>0.19046996</v>
      </c>
      <c r="L78" s="20" t="n">
        <v>0.02196401</v>
      </c>
      <c r="M78" s="18" t="n">
        <v>0</v>
      </c>
      <c r="N78" s="20" t="n">
        <v>0</v>
      </c>
      <c r="O78" s="18" t="n">
        <v>0</v>
      </c>
      <c r="P78" s="20" t="n">
        <v>0</v>
      </c>
      <c r="Q78" s="18" t="n">
        <v>0.30398014</v>
      </c>
      <c r="R78" s="20" t="n">
        <v>0.1651024</v>
      </c>
    </row>
    <row r="79" spans="1:18">
      <c r="A79" s="15" t="s">
        <v>639</v>
      </c>
      <c r="B79" s="17" t="n">
        <v>3154</v>
      </c>
      <c r="C79" s="18">
        <f>(2426.0/B79*100)</f>
        <v/>
      </c>
      <c r="D79" s="19" t="n">
        <v>728</v>
      </c>
      <c r="E79" s="18" t="n">
        <v>44.53335291</v>
      </c>
      <c r="F79" s="20" t="n">
        <v>2.02950068</v>
      </c>
      <c r="G79" s="18" t="n">
        <v>54.25164601</v>
      </c>
      <c r="H79" s="20" t="n">
        <v>2.02820853</v>
      </c>
      <c r="I79" s="18" t="n">
        <v>0</v>
      </c>
      <c r="J79" s="20" t="n">
        <v>0</v>
      </c>
      <c r="K79" s="18" t="n">
        <v>0.21160475</v>
      </c>
      <c r="L79" s="20" t="n">
        <v>0.22988324</v>
      </c>
      <c r="M79" s="18" t="n">
        <v>0</v>
      </c>
      <c r="N79" s="20" t="n">
        <v>0</v>
      </c>
      <c r="O79" s="18" t="n">
        <v>0</v>
      </c>
      <c r="P79" s="20" t="n">
        <v>0</v>
      </c>
      <c r="Q79" s="18" t="n">
        <v>1.00339632</v>
      </c>
      <c r="R79" s="20" t="n">
        <v>0.46842926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(12391.0/B82*100)</f>
        <v/>
      </c>
      <c r="D82" s="19" t="n">
        <v>3570</v>
      </c>
      <c r="E82" s="18" t="n">
        <v>28.07735438</v>
      </c>
      <c r="F82" s="20" t="n">
        <v>1.05320005</v>
      </c>
      <c r="G82" s="18" t="n">
        <v>71.28027784</v>
      </c>
      <c r="H82" s="20" t="n">
        <v>1.07915389</v>
      </c>
      <c r="I82" s="18" t="n">
        <v>0</v>
      </c>
      <c r="J82" s="20" t="n">
        <v>0</v>
      </c>
      <c r="K82" s="18" t="n">
        <v>0.12385126</v>
      </c>
      <c r="L82" s="20" t="n">
        <v>0.0522296</v>
      </c>
      <c r="M82" s="18" t="n">
        <v>0</v>
      </c>
      <c r="N82" s="20" t="n">
        <v>0</v>
      </c>
      <c r="O82" s="18" t="n">
        <v>0</v>
      </c>
      <c r="P82" s="20" t="n">
        <v>0</v>
      </c>
      <c r="Q82" s="18" t="n">
        <v>0.51851652</v>
      </c>
      <c r="R82" s="20" t="n">
        <v>0.2035516</v>
      </c>
    </row>
    <row r="83" spans="1:18">
      <c r="A83" s="15" t="s">
        <v>643</v>
      </c>
      <c r="B83" s="17" t="n">
        <v>808</v>
      </c>
      <c r="C83" s="18">
        <f>(619.0/B83*100)</f>
        <v/>
      </c>
      <c r="D83" s="19" t="n">
        <v>189</v>
      </c>
      <c r="E83" s="18" t="n">
        <v>55.65632049</v>
      </c>
      <c r="F83" s="20" t="n">
        <v>4.36294821</v>
      </c>
      <c r="G83" s="18" t="n">
        <v>44.34367951</v>
      </c>
      <c r="H83" s="20" t="n">
        <v>4.36294821</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(714.0/B84*100)</f>
        <v/>
      </c>
      <c r="D84" s="19" t="n">
        <v>224</v>
      </c>
      <c r="E84" s="18" t="n">
        <v>62.83164447</v>
      </c>
      <c r="F84" s="20" t="n">
        <v>3.93446045</v>
      </c>
      <c r="G84" s="18" t="n">
        <v>37.16835553</v>
      </c>
      <c r="H84" s="20" t="n">
        <v>3.93446045</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(5609.0/B7*100)</f>
        <v/>
      </c>
      <c r="D7" s="19" t="n">
        <v>1554</v>
      </c>
      <c r="E7" s="18" t="n">
        <v>36.75429709</v>
      </c>
      <c r="F7" s="20" t="n">
        <v>1.3650954</v>
      </c>
      <c r="G7" s="18" t="n">
        <v>62.61647364</v>
      </c>
      <c r="H7" s="20" t="n">
        <v>1.37191701</v>
      </c>
      <c r="I7" s="18" t="n">
        <v>0</v>
      </c>
      <c r="J7" s="20" t="n">
        <v>0</v>
      </c>
      <c r="K7" s="18" t="n">
        <v>0.11946869</v>
      </c>
      <c r="L7" s="20" t="n">
        <v>0.11184439</v>
      </c>
      <c r="M7" s="18" t="n">
        <v>0</v>
      </c>
      <c r="N7" s="20" t="n">
        <v>0</v>
      </c>
      <c r="O7" s="18" t="n">
        <v>0</v>
      </c>
      <c r="P7" s="20" t="n">
        <v>0</v>
      </c>
      <c r="Q7" s="18" t="n">
        <v>0.50976058</v>
      </c>
      <c r="R7" s="20" t="n">
        <v>0.24975776</v>
      </c>
    </row>
    <row r="8" spans="1:18">
      <c r="A8" s="15" t="s">
        <v>566</v>
      </c>
      <c r="B8" s="17" t="n">
        <v>3443</v>
      </c>
      <c r="C8" s="18">
        <f>(2668.0/B8*100)</f>
        <v/>
      </c>
      <c r="D8" s="19" t="n">
        <v>775</v>
      </c>
      <c r="E8" s="18" t="n">
        <v>34.0043907</v>
      </c>
      <c r="F8" s="20" t="n">
        <v>1.66129817</v>
      </c>
      <c r="G8" s="18" t="n">
        <v>65.46266088</v>
      </c>
      <c r="H8" s="20" t="n">
        <v>1.75207295</v>
      </c>
      <c r="I8" s="18" t="n">
        <v>0</v>
      </c>
      <c r="J8" s="20" t="n">
        <v>0</v>
      </c>
      <c r="K8" s="18" t="n">
        <v>0</v>
      </c>
      <c r="L8" s="20" t="n">
        <v>0</v>
      </c>
      <c r="M8" s="18" t="n">
        <v>0</v>
      </c>
      <c r="N8" s="20" t="n">
        <v>0</v>
      </c>
      <c r="O8" s="18" t="n">
        <v>0</v>
      </c>
      <c r="P8" s="20" t="n">
        <v>0</v>
      </c>
      <c r="Q8" s="18" t="n">
        <v>0.53294842</v>
      </c>
      <c r="R8" s="20" t="n">
        <v>0.27630362</v>
      </c>
    </row>
    <row r="9" spans="1:18">
      <c r="A9" s="15" t="s">
        <v>567</v>
      </c>
      <c r="B9" s="17" t="n">
        <v>4752</v>
      </c>
      <c r="C9" s="18">
        <f>(3697.0/B9*100)</f>
        <v/>
      </c>
      <c r="D9" s="19" t="n">
        <v>1055</v>
      </c>
      <c r="E9" s="18" t="n">
        <v>47.40058223</v>
      </c>
      <c r="F9" s="20" t="n">
        <v>1.57269805</v>
      </c>
      <c r="G9" s="18" t="n">
        <v>51.6709224</v>
      </c>
      <c r="H9" s="20" t="n">
        <v>1.57433711</v>
      </c>
      <c r="I9" s="18" t="n">
        <v>0</v>
      </c>
      <c r="J9" s="20" t="n">
        <v>0</v>
      </c>
      <c r="K9" s="18" t="n">
        <v>0.23482823</v>
      </c>
      <c r="L9" s="20" t="n">
        <v>0.17043462</v>
      </c>
      <c r="M9" s="18" t="n">
        <v>0</v>
      </c>
      <c r="N9" s="20" t="n">
        <v>0</v>
      </c>
      <c r="O9" s="18" t="n">
        <v>0</v>
      </c>
      <c r="P9" s="20" t="n">
        <v>0</v>
      </c>
      <c r="Q9" s="18" t="n">
        <v>0.69366713</v>
      </c>
      <c r="R9" s="20" t="n">
        <v>0.22430454</v>
      </c>
    </row>
    <row r="10" spans="1:18">
      <c r="A10" s="15" t="s">
        <v>568</v>
      </c>
      <c r="B10" s="17" t="n">
        <v>10022</v>
      </c>
      <c r="C10" s="18">
        <f>(7805.0/B10*100)</f>
        <v/>
      </c>
      <c r="D10" s="19" t="n">
        <v>2217</v>
      </c>
      <c r="E10" s="18" t="n">
        <v>32.89475386</v>
      </c>
      <c r="F10" s="20" t="n">
        <v>1.50226568</v>
      </c>
      <c r="G10" s="18" t="n">
        <v>66.79071166999999</v>
      </c>
      <c r="H10" s="20" t="n">
        <v>1.50862428</v>
      </c>
      <c r="I10" s="18" t="n">
        <v>0</v>
      </c>
      <c r="J10" s="20" t="n">
        <v>0</v>
      </c>
      <c r="K10" s="18" t="n">
        <v>0</v>
      </c>
      <c r="L10" s="20" t="n">
        <v>0</v>
      </c>
      <c r="M10" s="18" t="n">
        <v>0</v>
      </c>
      <c r="N10" s="20" t="n">
        <v>0</v>
      </c>
      <c r="O10" s="18" t="n">
        <v>0</v>
      </c>
      <c r="P10" s="20" t="n">
        <v>0</v>
      </c>
      <c r="Q10" s="18" t="n">
        <v>0.31453448</v>
      </c>
      <c r="R10" s="20" t="n">
        <v>0.08800167</v>
      </c>
    </row>
    <row r="11" spans="1:18">
      <c r="A11" s="15" t="s">
        <v>569</v>
      </c>
      <c r="B11" s="17" t="n">
        <v>3500</v>
      </c>
      <c r="C11" s="18">
        <f>(2711.0/B11*100)</f>
        <v/>
      </c>
      <c r="D11" s="19" t="n">
        <v>789</v>
      </c>
      <c r="E11" s="18" t="n">
        <v>41.91874064</v>
      </c>
      <c r="F11" s="20" t="n">
        <v>1.77120583</v>
      </c>
      <c r="G11" s="18" t="n">
        <v>56.82488142</v>
      </c>
      <c r="H11" s="20" t="n">
        <v>1.77415751</v>
      </c>
      <c r="I11" s="18" t="n">
        <v>0</v>
      </c>
      <c r="J11" s="20" t="n">
        <v>0</v>
      </c>
      <c r="K11" s="18" t="n">
        <v>0.16735728</v>
      </c>
      <c r="L11" s="20" t="n">
        <v>0.1654325</v>
      </c>
      <c r="M11" s="18" t="n">
        <v>0</v>
      </c>
      <c r="N11" s="20" t="n">
        <v>0</v>
      </c>
      <c r="O11" s="18" t="n">
        <v>0</v>
      </c>
      <c r="P11" s="20" t="n">
        <v>0</v>
      </c>
      <c r="Q11" s="18" t="n">
        <v>1.08902066</v>
      </c>
      <c r="R11" s="20" t="n">
        <v>0.36410772</v>
      </c>
    </row>
    <row r="12" spans="1:18">
      <c r="A12" s="15" t="s">
        <v>570</v>
      </c>
      <c r="B12" s="17" t="n">
        <v>3422</v>
      </c>
      <c r="C12" s="18">
        <f>(2703.0/B12*100)</f>
        <v/>
      </c>
      <c r="D12" s="19" t="n">
        <v>719</v>
      </c>
      <c r="E12" s="18" t="n">
        <v>27.28485674</v>
      </c>
      <c r="F12" s="20" t="n">
        <v>2.05948678</v>
      </c>
      <c r="G12" s="18" t="n">
        <v>72.43811623000001</v>
      </c>
      <c r="H12" s="20" t="n">
        <v>2.06203206</v>
      </c>
      <c r="I12" s="18" t="n">
        <v>0</v>
      </c>
      <c r="J12" s="20" t="n">
        <v>0</v>
      </c>
      <c r="K12" s="18" t="n">
        <v>0.12105401</v>
      </c>
      <c r="L12" s="20" t="n">
        <v>0.11476732</v>
      </c>
      <c r="M12" s="18" t="n">
        <v>0</v>
      </c>
      <c r="N12" s="20" t="n">
        <v>0</v>
      </c>
      <c r="O12" s="18" t="n">
        <v>0</v>
      </c>
      <c r="P12" s="20" t="n">
        <v>0</v>
      </c>
      <c r="Q12" s="18" t="n">
        <v>0.15597302</v>
      </c>
      <c r="R12" s="20" t="n">
        <v>0.14304355</v>
      </c>
    </row>
    <row r="13" spans="1:18">
      <c r="A13" s="15" t="s">
        <v>571</v>
      </c>
      <c r="B13" s="17" t="n">
        <v>3602</v>
      </c>
      <c r="C13" s="18">
        <f>(2895.0/B13*100)</f>
        <v/>
      </c>
      <c r="D13" s="19" t="n">
        <v>707</v>
      </c>
      <c r="E13" s="18" t="n">
        <v>18.25284224</v>
      </c>
      <c r="F13" s="20" t="n">
        <v>1.6479399</v>
      </c>
      <c r="G13" s="18" t="n">
        <v>81.34555596</v>
      </c>
      <c r="H13" s="20" t="n">
        <v>1.62089168</v>
      </c>
      <c r="I13" s="18" t="n">
        <v>0</v>
      </c>
      <c r="J13" s="20" t="n">
        <v>0</v>
      </c>
      <c r="K13" s="18" t="n">
        <v>0.22920189</v>
      </c>
      <c r="L13" s="20" t="n">
        <v>0.19909145</v>
      </c>
      <c r="M13" s="18" t="n">
        <v>0</v>
      </c>
      <c r="N13" s="20" t="n">
        <v>0</v>
      </c>
      <c r="O13" s="18" t="n">
        <v>0</v>
      </c>
      <c r="P13" s="20" t="n">
        <v>0</v>
      </c>
      <c r="Q13" s="18" t="n">
        <v>0.17239991</v>
      </c>
      <c r="R13" s="20" t="n">
        <v>0.10319087</v>
      </c>
    </row>
    <row r="14" spans="1:18">
      <c r="A14" s="15" t="s">
        <v>572</v>
      </c>
      <c r="B14" s="17" t="n">
        <v>2788</v>
      </c>
      <c r="C14" s="18">
        <f>(2148.0/B14*100)</f>
        <v/>
      </c>
      <c r="D14" s="19" t="n">
        <v>640</v>
      </c>
      <c r="E14" s="18" t="n">
        <v>17.384711</v>
      </c>
      <c r="F14" s="20" t="n">
        <v>1.74175148</v>
      </c>
      <c r="G14" s="18" t="n">
        <v>82.48120661999999</v>
      </c>
      <c r="H14" s="20" t="n">
        <v>1.74393094</v>
      </c>
      <c r="I14" s="18" t="n">
        <v>0</v>
      </c>
      <c r="J14" s="20" t="n">
        <v>0</v>
      </c>
      <c r="K14" s="18" t="n">
        <v>0</v>
      </c>
      <c r="L14" s="20" t="n">
        <v>0</v>
      </c>
      <c r="M14" s="18" t="n">
        <v>0</v>
      </c>
      <c r="N14" s="20" t="n">
        <v>0</v>
      </c>
      <c r="O14" s="18" t="n">
        <v>0</v>
      </c>
      <c r="P14" s="20" t="n">
        <v>0</v>
      </c>
      <c r="Q14" s="18" t="n">
        <v>0.13408238</v>
      </c>
      <c r="R14" s="20" t="n">
        <v>0.13701534</v>
      </c>
    </row>
    <row r="15" spans="1:18">
      <c r="A15" s="15" t="s">
        <v>573</v>
      </c>
      <c r="B15" s="17" t="n">
        <v>2863</v>
      </c>
      <c r="C15" s="18">
        <f>(2224.0/B15*100)</f>
        <v/>
      </c>
      <c r="D15" s="19" t="n">
        <v>639</v>
      </c>
      <c r="E15" s="18" t="n">
        <v>22.4510898</v>
      </c>
      <c r="F15" s="20" t="n">
        <v>1.67106027</v>
      </c>
      <c r="G15" s="18" t="n">
        <v>77.39641283</v>
      </c>
      <c r="H15" s="20" t="n">
        <v>1.6679922</v>
      </c>
      <c r="I15" s="18" t="n">
        <v>0</v>
      </c>
      <c r="J15" s="20" t="n">
        <v>0</v>
      </c>
      <c r="K15" s="18" t="n">
        <v>0</v>
      </c>
      <c r="L15" s="20" t="n">
        <v>0</v>
      </c>
      <c r="M15" s="18" t="n">
        <v>0</v>
      </c>
      <c r="N15" s="20" t="n">
        <v>0</v>
      </c>
      <c r="O15" s="18" t="n">
        <v>0</v>
      </c>
      <c r="P15" s="20" t="n">
        <v>0</v>
      </c>
      <c r="Q15" s="18" t="n">
        <v>0.15249736</v>
      </c>
      <c r="R15" s="20" t="n">
        <v>0.15212488</v>
      </c>
    </row>
    <row r="16" spans="1:18">
      <c r="A16" s="15" t="s">
        <v>574</v>
      </c>
      <c r="B16" s="17" t="n">
        <v>3111</v>
      </c>
      <c r="C16" s="18">
        <f>(2433.0/B16*100)</f>
        <v/>
      </c>
      <c r="D16" s="19" t="n">
        <v>678</v>
      </c>
      <c r="E16" s="18" t="n">
        <v>34.71203324</v>
      </c>
      <c r="F16" s="20" t="n">
        <v>1.74646125</v>
      </c>
      <c r="G16" s="18" t="n">
        <v>63.52806033</v>
      </c>
      <c r="H16" s="20" t="n">
        <v>1.74032285</v>
      </c>
      <c r="I16" s="18" t="n">
        <v>0</v>
      </c>
      <c r="J16" s="20" t="n">
        <v>0</v>
      </c>
      <c r="K16" s="18" t="n">
        <v>0.47711424</v>
      </c>
      <c r="L16" s="20" t="n">
        <v>0.312193</v>
      </c>
      <c r="M16" s="18" t="n">
        <v>0</v>
      </c>
      <c r="N16" s="20" t="n">
        <v>0</v>
      </c>
      <c r="O16" s="18" t="n">
        <v>0</v>
      </c>
      <c r="P16" s="20" t="n">
        <v>0</v>
      </c>
      <c r="Q16" s="18" t="n">
        <v>1.28279219</v>
      </c>
      <c r="R16" s="20" t="n">
        <v>0.41213381</v>
      </c>
    </row>
    <row r="17" spans="1:18">
      <c r="A17" s="15" t="s">
        <v>575</v>
      </c>
      <c r="B17" s="17" t="n">
        <v>3197</v>
      </c>
      <c r="C17" s="18">
        <f>(2541.0/B17*100)</f>
        <v/>
      </c>
      <c r="D17" s="19" t="n">
        <v>656</v>
      </c>
      <c r="E17" s="18" t="n">
        <v>31.24634958</v>
      </c>
      <c r="F17" s="20" t="n">
        <v>1.73697909</v>
      </c>
      <c r="G17" s="18" t="n">
        <v>68.46942561</v>
      </c>
      <c r="H17" s="20" t="n">
        <v>1.76514974</v>
      </c>
      <c r="I17" s="18" t="n">
        <v>0</v>
      </c>
      <c r="J17" s="20" t="n">
        <v>0</v>
      </c>
      <c r="K17" s="18" t="n">
        <v>0.15010832</v>
      </c>
      <c r="L17" s="20" t="n">
        <v>0.15097165</v>
      </c>
      <c r="M17" s="18" t="n">
        <v>0</v>
      </c>
      <c r="N17" s="20" t="n">
        <v>0</v>
      </c>
      <c r="O17" s="18" t="n">
        <v>0</v>
      </c>
      <c r="P17" s="20" t="n">
        <v>0</v>
      </c>
      <c r="Q17" s="18" t="n">
        <v>0.13411649</v>
      </c>
      <c r="R17" s="20" t="n">
        <v>0.13432283</v>
      </c>
    </row>
    <row r="18" spans="1:18">
      <c r="A18" s="15" t="s">
        <v>576</v>
      </c>
      <c r="B18" s="17" t="n">
        <v>2706</v>
      </c>
      <c r="C18" s="18">
        <f>(2109.0/B18*100)</f>
        <v/>
      </c>
      <c r="D18" s="19" t="n">
        <v>597</v>
      </c>
      <c r="E18" s="18" t="n">
        <v>25.86440209</v>
      </c>
      <c r="F18" s="20" t="n">
        <v>1.966364</v>
      </c>
      <c r="G18" s="18" t="n">
        <v>73.27892611</v>
      </c>
      <c r="H18" s="20" t="n">
        <v>2.04674527</v>
      </c>
      <c r="I18" s="18" t="n">
        <v>0</v>
      </c>
      <c r="J18" s="20" t="n">
        <v>0</v>
      </c>
      <c r="K18" s="18" t="n">
        <v>0.09139302000000001</v>
      </c>
      <c r="L18" s="20" t="n">
        <v>0.09100403</v>
      </c>
      <c r="M18" s="18" t="n">
        <v>0</v>
      </c>
      <c r="N18" s="20" t="n">
        <v>0</v>
      </c>
      <c r="O18" s="18" t="n">
        <v>0</v>
      </c>
      <c r="P18" s="20" t="n">
        <v>0</v>
      </c>
      <c r="Q18" s="18" t="n">
        <v>0.76527879</v>
      </c>
      <c r="R18" s="20" t="n">
        <v>0.35341286</v>
      </c>
    </row>
    <row r="19" spans="1:18">
      <c r="A19" s="15" t="s">
        <v>577</v>
      </c>
      <c r="B19" s="17" t="n">
        <v>2850</v>
      </c>
      <c r="C19" s="18">
        <f>(2189.0/B19*100)</f>
        <v/>
      </c>
      <c r="D19" s="19" t="n">
        <v>661</v>
      </c>
      <c r="E19" s="18" t="n">
        <v>36.23194572</v>
      </c>
      <c r="F19" s="20" t="n">
        <v>1.91089507</v>
      </c>
      <c r="G19" s="18" t="n">
        <v>62.29974937</v>
      </c>
      <c r="H19" s="20" t="n">
        <v>1.93334849</v>
      </c>
      <c r="I19" s="18" t="n">
        <v>0</v>
      </c>
      <c r="J19" s="20" t="n">
        <v>0</v>
      </c>
      <c r="K19" s="18" t="n">
        <v>0.13996378</v>
      </c>
      <c r="L19" s="20" t="n">
        <v>0.11913049</v>
      </c>
      <c r="M19" s="18" t="n">
        <v>0</v>
      </c>
      <c r="N19" s="20" t="n">
        <v>0</v>
      </c>
      <c r="O19" s="18" t="n">
        <v>0</v>
      </c>
      <c r="P19" s="20" t="n">
        <v>0</v>
      </c>
      <c r="Q19" s="18" t="n">
        <v>1.32834113</v>
      </c>
      <c r="R19" s="20" t="n">
        <v>0.49923723</v>
      </c>
    </row>
    <row r="20" spans="1:18">
      <c r="A20" s="15" t="s">
        <v>578</v>
      </c>
      <c r="B20" s="17" t="n">
        <v>1741</v>
      </c>
      <c r="C20" s="18">
        <f>(1365.0/B20*100)</f>
        <v/>
      </c>
      <c r="D20" s="19" t="n">
        <v>376</v>
      </c>
      <c r="E20" s="18" t="n">
        <v>38.72622518</v>
      </c>
      <c r="F20" s="20" t="n">
        <v>2.42403095</v>
      </c>
      <c r="G20" s="18" t="n">
        <v>60.73564139</v>
      </c>
      <c r="H20" s="20" t="n">
        <v>2.46237515</v>
      </c>
      <c r="I20" s="18" t="n">
        <v>0</v>
      </c>
      <c r="J20" s="20" t="n">
        <v>0</v>
      </c>
      <c r="K20" s="18" t="n">
        <v>0</v>
      </c>
      <c r="L20" s="20" t="n">
        <v>0</v>
      </c>
      <c r="M20" s="18" t="n">
        <v>0</v>
      </c>
      <c r="N20" s="20" t="n">
        <v>0</v>
      </c>
      <c r="O20" s="18" t="n">
        <v>0</v>
      </c>
      <c r="P20" s="20" t="n">
        <v>0</v>
      </c>
      <c r="Q20" s="18" t="n">
        <v>0.53813343</v>
      </c>
      <c r="R20" s="20" t="n">
        <v>0.37939656</v>
      </c>
    </row>
    <row r="21" spans="1:18">
      <c r="A21" s="15" t="s">
        <v>579</v>
      </c>
      <c r="B21" s="17" t="n">
        <v>2833</v>
      </c>
      <c r="C21" s="18">
        <f>(2232.0/B21*100)</f>
        <v/>
      </c>
      <c r="D21" s="19" t="n">
        <v>601</v>
      </c>
      <c r="E21" s="18" t="n">
        <v>43.24025126</v>
      </c>
      <c r="F21" s="20" t="n">
        <v>1.99097029</v>
      </c>
      <c r="G21" s="18" t="n">
        <v>56.36902056</v>
      </c>
      <c r="H21" s="20" t="n">
        <v>1.99320898</v>
      </c>
      <c r="I21" s="18" t="n">
        <v>0</v>
      </c>
      <c r="J21" s="20" t="n">
        <v>0</v>
      </c>
      <c r="K21" s="18" t="n">
        <v>0</v>
      </c>
      <c r="L21" s="20" t="n">
        <v>0</v>
      </c>
      <c r="M21" s="18" t="n">
        <v>0</v>
      </c>
      <c r="N21" s="20" t="n">
        <v>0</v>
      </c>
      <c r="O21" s="18" t="n">
        <v>0</v>
      </c>
      <c r="P21" s="20" t="n">
        <v>0</v>
      </c>
      <c r="Q21" s="18" t="n">
        <v>0.39072818</v>
      </c>
      <c r="R21" s="20" t="n">
        <v>0.28078298</v>
      </c>
    </row>
    <row r="22" spans="1:18">
      <c r="A22" s="15" t="s">
        <v>580</v>
      </c>
      <c r="B22" s="17" t="n">
        <v>3667</v>
      </c>
      <c r="C22" s="18">
        <f>(2859.0/B22*100)</f>
        <v/>
      </c>
      <c r="D22" s="19" t="n">
        <v>808</v>
      </c>
      <c r="E22" s="18" t="n">
        <v>45.8998312</v>
      </c>
      <c r="F22" s="20" t="n">
        <v>1.78396499</v>
      </c>
      <c r="G22" s="18" t="n">
        <v>52.07810777</v>
      </c>
      <c r="H22" s="20" t="n">
        <v>1.83438013</v>
      </c>
      <c r="I22" s="18" t="n">
        <v>0</v>
      </c>
      <c r="J22" s="20" t="n">
        <v>0</v>
      </c>
      <c r="K22" s="18" t="n">
        <v>0.35351304</v>
      </c>
      <c r="L22" s="20" t="n">
        <v>0.21285592</v>
      </c>
      <c r="M22" s="18" t="n">
        <v>0</v>
      </c>
      <c r="N22" s="20" t="n">
        <v>0</v>
      </c>
      <c r="O22" s="18" t="n">
        <v>0</v>
      </c>
      <c r="P22" s="20" t="n">
        <v>0</v>
      </c>
      <c r="Q22" s="18" t="n">
        <v>1.66854799</v>
      </c>
      <c r="R22" s="20" t="n">
        <v>0.54569798</v>
      </c>
    </row>
    <row r="23" spans="1:18">
      <c r="A23" s="15" t="s">
        <v>581</v>
      </c>
      <c r="B23" s="17" t="n">
        <v>5792</v>
      </c>
      <c r="C23" s="18">
        <f>(4475.0/B23*100)</f>
        <v/>
      </c>
      <c r="D23" s="19" t="n">
        <v>1317</v>
      </c>
      <c r="E23" s="18" t="n">
        <v>33.56826077</v>
      </c>
      <c r="F23" s="20" t="n">
        <v>2.11040392</v>
      </c>
      <c r="G23" s="18" t="n">
        <v>65.77685395</v>
      </c>
      <c r="H23" s="20" t="n">
        <v>2.15346851</v>
      </c>
      <c r="I23" s="18" t="n">
        <v>0</v>
      </c>
      <c r="J23" s="20" t="n">
        <v>0</v>
      </c>
      <c r="K23" s="18" t="n">
        <v>0.15378233</v>
      </c>
      <c r="L23" s="20" t="n">
        <v>0.1601858</v>
      </c>
      <c r="M23" s="18" t="n">
        <v>0</v>
      </c>
      <c r="N23" s="20" t="n">
        <v>0</v>
      </c>
      <c r="O23" s="18" t="n">
        <v>0</v>
      </c>
      <c r="P23" s="20" t="n">
        <v>0</v>
      </c>
      <c r="Q23" s="18" t="n">
        <v>0.50110295</v>
      </c>
      <c r="R23" s="20" t="n">
        <v>0.32719365</v>
      </c>
    </row>
    <row r="24" spans="1:18">
      <c r="A24" s="15" t="s">
        <v>582</v>
      </c>
      <c r="B24" s="17" t="n">
        <v>3309</v>
      </c>
      <c r="C24" s="18">
        <f>(2601.0/B24*100)</f>
        <v/>
      </c>
      <c r="D24" s="19" t="n">
        <v>708</v>
      </c>
      <c r="E24" s="18" t="n">
        <v>46.4446082</v>
      </c>
      <c r="F24" s="20" t="n">
        <v>1.95186213</v>
      </c>
      <c r="G24" s="18" t="n">
        <v>53.42005145</v>
      </c>
      <c r="H24" s="20" t="n">
        <v>1.96578656</v>
      </c>
      <c r="I24" s="18" t="n">
        <v>0</v>
      </c>
      <c r="J24" s="20" t="n">
        <v>0</v>
      </c>
      <c r="K24" s="18" t="n">
        <v>0</v>
      </c>
      <c r="L24" s="20" t="n">
        <v>0</v>
      </c>
      <c r="M24" s="18" t="n">
        <v>0</v>
      </c>
      <c r="N24" s="20" t="n">
        <v>0</v>
      </c>
      <c r="O24" s="18" t="n">
        <v>0</v>
      </c>
      <c r="P24" s="20" t="n">
        <v>0</v>
      </c>
      <c r="Q24" s="18" t="n">
        <v>0.13534035</v>
      </c>
      <c r="R24" s="20" t="n">
        <v>0.13670621</v>
      </c>
    </row>
    <row r="25" spans="1:18">
      <c r="A25" s="15" t="s">
        <v>583</v>
      </c>
      <c r="B25" s="17" t="n">
        <v>2669</v>
      </c>
      <c r="C25" s="18">
        <f>(2091.0/B25*100)</f>
        <v/>
      </c>
      <c r="D25" s="19" t="n">
        <v>578</v>
      </c>
      <c r="E25" s="18" t="n">
        <v>36.34149537</v>
      </c>
      <c r="F25" s="20" t="n">
        <v>2.29259499</v>
      </c>
      <c r="G25" s="18" t="n">
        <v>63.50331356</v>
      </c>
      <c r="H25" s="20" t="n">
        <v>2.28291829</v>
      </c>
      <c r="I25" s="18" t="n">
        <v>0</v>
      </c>
      <c r="J25" s="20" t="n">
        <v>0</v>
      </c>
      <c r="K25" s="18" t="n">
        <v>0</v>
      </c>
      <c r="L25" s="20" t="n">
        <v>0</v>
      </c>
      <c r="M25" s="18" t="n">
        <v>0</v>
      </c>
      <c r="N25" s="20" t="n">
        <v>0</v>
      </c>
      <c r="O25" s="18" t="n">
        <v>0</v>
      </c>
      <c r="P25" s="20" t="n">
        <v>0</v>
      </c>
      <c r="Q25" s="18" t="n">
        <v>0.15519108</v>
      </c>
      <c r="R25" s="20" t="n">
        <v>0.15628241</v>
      </c>
    </row>
    <row r="26" spans="1:18">
      <c r="A26" s="15" t="s">
        <v>584</v>
      </c>
      <c r="B26" s="17" t="n">
        <v>2419</v>
      </c>
      <c r="C26" s="18">
        <f>(1853.0/B26*100)</f>
        <v/>
      </c>
      <c r="D26" s="19" t="n">
        <v>566</v>
      </c>
      <c r="E26" s="18" t="n">
        <v>19.53252828</v>
      </c>
      <c r="F26" s="20" t="n">
        <v>1.91121873</v>
      </c>
      <c r="G26" s="18" t="n">
        <v>80.46747172000001</v>
      </c>
      <c r="H26" s="20" t="n">
        <v>1.91121873</v>
      </c>
      <c r="I26" s="18" t="n">
        <v>0</v>
      </c>
      <c r="J26" s="20" t="n">
        <v>0</v>
      </c>
      <c r="K26" s="18" t="n">
        <v>0</v>
      </c>
      <c r="L26" s="20" t="n">
        <v>0</v>
      </c>
      <c r="M26" s="18" t="n">
        <v>0</v>
      </c>
      <c r="N26" s="20" t="n">
        <v>0</v>
      </c>
      <c r="O26" s="18" t="n">
        <v>0</v>
      </c>
      <c r="P26" s="20" t="n">
        <v>0</v>
      </c>
      <c r="Q26" s="18" t="n">
        <v>0</v>
      </c>
      <c r="R26" s="20" t="n">
        <v>0</v>
      </c>
    </row>
    <row r="27" spans="1:18">
      <c r="A27" s="15" t="s">
        <v>585</v>
      </c>
      <c r="B27" s="17" t="n">
        <v>2683</v>
      </c>
      <c r="C27" s="18">
        <f>(2119.0/B27*100)</f>
        <v/>
      </c>
      <c r="D27" s="19" t="n">
        <v>564</v>
      </c>
      <c r="E27" s="18" t="n">
        <v>36.68458072</v>
      </c>
      <c r="F27" s="20" t="n">
        <v>1.83130259</v>
      </c>
      <c r="G27" s="18" t="n">
        <v>62.78050367</v>
      </c>
      <c r="H27" s="20" t="n">
        <v>1.78871881</v>
      </c>
      <c r="I27" s="18" t="n">
        <v>0</v>
      </c>
      <c r="J27" s="20" t="n">
        <v>0</v>
      </c>
      <c r="K27" s="18" t="n">
        <v>0</v>
      </c>
      <c r="L27" s="20" t="n">
        <v>0</v>
      </c>
      <c r="M27" s="18" t="n">
        <v>0</v>
      </c>
      <c r="N27" s="20" t="n">
        <v>0</v>
      </c>
      <c r="O27" s="18" t="n">
        <v>0</v>
      </c>
      <c r="P27" s="20" t="n">
        <v>0</v>
      </c>
      <c r="Q27" s="18" t="n">
        <v>0.5349156</v>
      </c>
      <c r="R27" s="20" t="n">
        <v>0.31233562</v>
      </c>
    </row>
    <row r="28" spans="1:18">
      <c r="A28" s="15" t="s">
        <v>586</v>
      </c>
      <c r="B28" s="17" t="n">
        <v>3803</v>
      </c>
      <c r="C28" s="18">
        <f>(2934.0/B28*100)</f>
        <v/>
      </c>
      <c r="D28" s="19" t="n">
        <v>869</v>
      </c>
      <c r="E28" s="18" t="n">
        <v>44.58742163</v>
      </c>
      <c r="F28" s="20" t="n">
        <v>1.97708562</v>
      </c>
      <c r="G28" s="18" t="n">
        <v>52.83554916</v>
      </c>
      <c r="H28" s="20" t="n">
        <v>2.04497469</v>
      </c>
      <c r="I28" s="18" t="n">
        <v>0</v>
      </c>
      <c r="J28" s="20" t="n">
        <v>0</v>
      </c>
      <c r="K28" s="18" t="n">
        <v>0.19774115</v>
      </c>
      <c r="L28" s="20" t="n">
        <v>0.19780487</v>
      </c>
      <c r="M28" s="18" t="n">
        <v>0</v>
      </c>
      <c r="N28" s="20" t="n">
        <v>0</v>
      </c>
      <c r="O28" s="18" t="n">
        <v>0</v>
      </c>
      <c r="P28" s="20" t="n">
        <v>0</v>
      </c>
      <c r="Q28" s="18" t="n">
        <v>2.37928805</v>
      </c>
      <c r="R28" s="20" t="n">
        <v>0.60042642</v>
      </c>
    </row>
    <row r="29" spans="1:18">
      <c r="A29" s="15" t="s">
        <v>587</v>
      </c>
      <c r="B29" s="17" t="n">
        <v>2700</v>
      </c>
      <c r="C29" s="18">
        <f>(2113.0/B29*100)</f>
        <v/>
      </c>
      <c r="D29" s="19" t="n">
        <v>587</v>
      </c>
      <c r="E29" s="18" t="n">
        <v>44.04818997</v>
      </c>
      <c r="F29" s="20" t="n">
        <v>2.35549685</v>
      </c>
      <c r="G29" s="18" t="n">
        <v>55.42385371</v>
      </c>
      <c r="H29" s="20" t="n">
        <v>2.36046523</v>
      </c>
      <c r="I29" s="18" t="n">
        <v>0</v>
      </c>
      <c r="J29" s="20" t="n">
        <v>0</v>
      </c>
      <c r="K29" s="18" t="n">
        <v>0.36541936</v>
      </c>
      <c r="L29" s="20" t="n">
        <v>0.22230841</v>
      </c>
      <c r="M29" s="18" t="n">
        <v>0</v>
      </c>
      <c r="N29" s="20" t="n">
        <v>0</v>
      </c>
      <c r="O29" s="18" t="n">
        <v>0</v>
      </c>
      <c r="P29" s="20" t="n">
        <v>0</v>
      </c>
      <c r="Q29" s="18" t="n">
        <v>0.16253695</v>
      </c>
      <c r="R29" s="20" t="n">
        <v>0.1622512</v>
      </c>
    </row>
    <row r="30" spans="1:18">
      <c r="A30" s="15" t="s">
        <v>588</v>
      </c>
      <c r="B30" s="17" t="n">
        <v>2257</v>
      </c>
      <c r="C30" s="18">
        <f>(1768.0/B30*100)</f>
        <v/>
      </c>
      <c r="D30" s="19" t="n">
        <v>489</v>
      </c>
      <c r="E30" s="18" t="n">
        <v>34.14924635</v>
      </c>
      <c r="F30" s="20" t="n">
        <v>2.38633979</v>
      </c>
      <c r="G30" s="18" t="n">
        <v>65.05477205</v>
      </c>
      <c r="H30" s="20" t="n">
        <v>2.39316913</v>
      </c>
      <c r="I30" s="18" t="n">
        <v>0</v>
      </c>
      <c r="J30" s="20" t="n">
        <v>0</v>
      </c>
      <c r="K30" s="18" t="n">
        <v>0.19647332</v>
      </c>
      <c r="L30" s="20" t="n">
        <v>0.17051619</v>
      </c>
      <c r="M30" s="18" t="n">
        <v>0</v>
      </c>
      <c r="N30" s="20" t="n">
        <v>0</v>
      </c>
      <c r="O30" s="18" t="n">
        <v>0</v>
      </c>
      <c r="P30" s="20" t="n">
        <v>0</v>
      </c>
      <c r="Q30" s="18" t="n">
        <v>0.59950828</v>
      </c>
      <c r="R30" s="20" t="n">
        <v>0.36402975</v>
      </c>
    </row>
    <row r="31" spans="1:18">
      <c r="A31" s="15" t="s">
        <v>589</v>
      </c>
      <c r="B31" s="17" t="n">
        <v>2706</v>
      </c>
      <c r="C31" s="18">
        <f>(2105.0/B31*100)</f>
        <v/>
      </c>
      <c r="D31" s="19" t="n">
        <v>601</v>
      </c>
      <c r="E31" s="18" t="n">
        <v>25.67260755</v>
      </c>
      <c r="F31" s="20" t="n">
        <v>1.70994166</v>
      </c>
      <c r="G31" s="18" t="n">
        <v>73.14323677</v>
      </c>
      <c r="H31" s="20" t="n">
        <v>1.76928538</v>
      </c>
      <c r="I31" s="18" t="n">
        <v>0</v>
      </c>
      <c r="J31" s="20" t="n">
        <v>0</v>
      </c>
      <c r="K31" s="18" t="n">
        <v>0.31769504</v>
      </c>
      <c r="L31" s="20" t="n">
        <v>0.21991882</v>
      </c>
      <c r="M31" s="18" t="n">
        <v>0</v>
      </c>
      <c r="N31" s="20" t="n">
        <v>0</v>
      </c>
      <c r="O31" s="18" t="n">
        <v>0</v>
      </c>
      <c r="P31" s="20" t="n">
        <v>0</v>
      </c>
      <c r="Q31" s="18" t="n">
        <v>0.8664606500000001</v>
      </c>
      <c r="R31" s="20" t="n">
        <v>0.39414135</v>
      </c>
    </row>
    <row r="32" spans="1:18">
      <c r="A32" s="15" t="s">
        <v>590</v>
      </c>
      <c r="B32" s="17" t="n">
        <v>2209</v>
      </c>
      <c r="C32" s="18">
        <f>(1731.0/B32*100)</f>
        <v/>
      </c>
      <c r="D32" s="19" t="n">
        <v>478</v>
      </c>
      <c r="E32" s="18" t="n">
        <v>40.94694559</v>
      </c>
      <c r="F32" s="20" t="n">
        <v>2.19142091</v>
      </c>
      <c r="G32" s="18" t="n">
        <v>58.87021488</v>
      </c>
      <c r="H32" s="20" t="n">
        <v>2.18488578</v>
      </c>
      <c r="I32" s="18" t="n">
        <v>0</v>
      </c>
      <c r="J32" s="20" t="n">
        <v>0</v>
      </c>
      <c r="K32" s="18" t="n">
        <v>0</v>
      </c>
      <c r="L32" s="20" t="n">
        <v>0</v>
      </c>
      <c r="M32" s="18" t="n">
        <v>0</v>
      </c>
      <c r="N32" s="20" t="n">
        <v>0</v>
      </c>
      <c r="O32" s="18" t="n">
        <v>0</v>
      </c>
      <c r="P32" s="20" t="n">
        <v>0</v>
      </c>
      <c r="Q32" s="18" t="n">
        <v>0.18283953</v>
      </c>
      <c r="R32" s="20" t="n">
        <v>0.1821697</v>
      </c>
    </row>
    <row r="33" spans="1:18">
      <c r="A33" s="15" t="s">
        <v>591</v>
      </c>
      <c r="B33" s="17" t="n">
        <v>3651</v>
      </c>
      <c r="C33" s="18">
        <f>(2832.0/B33*100)</f>
        <v/>
      </c>
      <c r="D33" s="19" t="n">
        <v>819</v>
      </c>
      <c r="E33" s="18" t="n">
        <v>44.42605447</v>
      </c>
      <c r="F33" s="20" t="n">
        <v>2.00107356</v>
      </c>
      <c r="G33" s="18" t="n">
        <v>55.09670725</v>
      </c>
      <c r="H33" s="20" t="n">
        <v>2.11435483</v>
      </c>
      <c r="I33" s="18" t="n">
        <v>0</v>
      </c>
      <c r="J33" s="20" t="n">
        <v>0</v>
      </c>
      <c r="K33" s="18" t="n">
        <v>0</v>
      </c>
      <c r="L33" s="20" t="n">
        <v>0</v>
      </c>
      <c r="M33" s="18" t="n">
        <v>0</v>
      </c>
      <c r="N33" s="20" t="n">
        <v>0</v>
      </c>
      <c r="O33" s="18" t="n">
        <v>0</v>
      </c>
      <c r="P33" s="20" t="n">
        <v>0</v>
      </c>
      <c r="Q33" s="18" t="n">
        <v>0.47723828</v>
      </c>
      <c r="R33" s="20" t="n">
        <v>0.33608655</v>
      </c>
    </row>
    <row r="34" spans="1:18">
      <c r="A34" s="15" t="s">
        <v>592</v>
      </c>
      <c r="B34" s="17" t="n">
        <v>3035</v>
      </c>
      <c r="C34" s="18">
        <f>(2391.0/B34*100)</f>
        <v/>
      </c>
      <c r="D34" s="19" t="n">
        <v>644</v>
      </c>
      <c r="E34" s="18" t="n">
        <v>21.9285303</v>
      </c>
      <c r="F34" s="20" t="n">
        <v>1.55007885</v>
      </c>
      <c r="G34" s="18" t="n">
        <v>77.43217850000001</v>
      </c>
      <c r="H34" s="20" t="n">
        <v>1.53935386</v>
      </c>
      <c r="I34" s="18" t="n">
        <v>0</v>
      </c>
      <c r="J34" s="20" t="n">
        <v>0</v>
      </c>
      <c r="K34" s="18" t="n">
        <v>0</v>
      </c>
      <c r="L34" s="20" t="n">
        <v>0</v>
      </c>
      <c r="M34" s="18" t="n">
        <v>0</v>
      </c>
      <c r="N34" s="20" t="n">
        <v>0</v>
      </c>
      <c r="O34" s="18" t="n">
        <v>0</v>
      </c>
      <c r="P34" s="20" t="n">
        <v>0</v>
      </c>
      <c r="Q34" s="18" t="n">
        <v>0.6392911999999999</v>
      </c>
      <c r="R34" s="20" t="n">
        <v>0.3332588</v>
      </c>
    </row>
    <row r="35" spans="1:18">
      <c r="A35" s="15" t="s">
        <v>593</v>
      </c>
      <c r="B35" s="17" t="n">
        <v>2901</v>
      </c>
      <c r="C35" s="18">
        <f>(2261.0/B35*100)</f>
        <v/>
      </c>
      <c r="D35" s="19" t="n">
        <v>640</v>
      </c>
      <c r="E35" s="18" t="n">
        <v>14.49413356</v>
      </c>
      <c r="F35" s="20" t="n">
        <v>1.6745167</v>
      </c>
      <c r="G35" s="18" t="n">
        <v>85.25815879</v>
      </c>
      <c r="H35" s="20" t="n">
        <v>1.68260403</v>
      </c>
      <c r="I35" s="18" t="n">
        <v>0</v>
      </c>
      <c r="J35" s="20" t="n">
        <v>0</v>
      </c>
      <c r="K35" s="18" t="n">
        <v>0</v>
      </c>
      <c r="L35" s="20" t="n">
        <v>0</v>
      </c>
      <c r="M35" s="18" t="n">
        <v>0</v>
      </c>
      <c r="N35" s="20" t="n">
        <v>0</v>
      </c>
      <c r="O35" s="18" t="n">
        <v>0</v>
      </c>
      <c r="P35" s="20" t="n">
        <v>0</v>
      </c>
      <c r="Q35" s="18" t="n">
        <v>0.24770765</v>
      </c>
      <c r="R35" s="20" t="n">
        <v>0.19972663</v>
      </c>
    </row>
    <row r="36" spans="1:18">
      <c r="A36" s="15" t="s">
        <v>594</v>
      </c>
      <c r="B36" s="17" t="n">
        <v>3404</v>
      </c>
      <c r="C36" s="18">
        <f>(2616.0/B36*100)</f>
        <v/>
      </c>
      <c r="D36" s="19" t="n">
        <v>788</v>
      </c>
      <c r="E36" s="18" t="n">
        <v>35.77579453</v>
      </c>
      <c r="F36" s="20" t="n">
        <v>1.80580505</v>
      </c>
      <c r="G36" s="18" t="n">
        <v>63.15939138</v>
      </c>
      <c r="H36" s="20" t="n">
        <v>1.80516919</v>
      </c>
      <c r="I36" s="18" t="n">
        <v>0</v>
      </c>
      <c r="J36" s="20" t="n">
        <v>0</v>
      </c>
      <c r="K36" s="18" t="n">
        <v>0</v>
      </c>
      <c r="L36" s="20" t="n">
        <v>0</v>
      </c>
      <c r="M36" s="18" t="n">
        <v>0</v>
      </c>
      <c r="N36" s="20" t="n">
        <v>0</v>
      </c>
      <c r="O36" s="18" t="n">
        <v>0</v>
      </c>
      <c r="P36" s="20" t="n">
        <v>0</v>
      </c>
      <c r="Q36" s="18" t="n">
        <v>1.0648141</v>
      </c>
      <c r="R36" s="20" t="n">
        <v>0.40904772</v>
      </c>
    </row>
    <row r="37" spans="1:18">
      <c r="A37" s="15" t="s">
        <v>595</v>
      </c>
      <c r="B37" s="17" t="n">
        <v>2731</v>
      </c>
      <c r="C37" s="18">
        <f>(2140.0/B37*100)</f>
        <v/>
      </c>
      <c r="D37" s="19" t="n">
        <v>591</v>
      </c>
      <c r="E37" s="18" t="n">
        <v>26.99811275</v>
      </c>
      <c r="F37" s="20" t="n">
        <v>1.98198382</v>
      </c>
      <c r="G37" s="18" t="n">
        <v>72.08266039</v>
      </c>
      <c r="H37" s="20" t="n">
        <v>1.98368006</v>
      </c>
      <c r="I37" s="18" t="n">
        <v>0</v>
      </c>
      <c r="J37" s="20" t="n">
        <v>0</v>
      </c>
      <c r="K37" s="18" t="n">
        <v>0.14240345</v>
      </c>
      <c r="L37" s="20" t="n">
        <v>0.14192737</v>
      </c>
      <c r="M37" s="18" t="n">
        <v>0</v>
      </c>
      <c r="N37" s="20" t="n">
        <v>0</v>
      </c>
      <c r="O37" s="18" t="n">
        <v>0</v>
      </c>
      <c r="P37" s="20" t="n">
        <v>0</v>
      </c>
      <c r="Q37" s="18" t="n">
        <v>0.77682341</v>
      </c>
      <c r="R37" s="20" t="n">
        <v>0.35595368</v>
      </c>
    </row>
    <row r="38" spans="1:18">
      <c r="A38" s="15" t="s">
        <v>596</v>
      </c>
      <c r="B38" s="17" t="n">
        <v>2807</v>
      </c>
      <c r="C38" s="18">
        <f>(2177.0/B38*100)</f>
        <v/>
      </c>
      <c r="D38" s="19" t="n">
        <v>630</v>
      </c>
      <c r="E38" s="18" t="n">
        <v>30.22237253</v>
      </c>
      <c r="F38" s="20" t="n">
        <v>1.97626065</v>
      </c>
      <c r="G38" s="18" t="n">
        <v>69.62381902</v>
      </c>
      <c r="H38" s="20" t="n">
        <v>1.96680818</v>
      </c>
      <c r="I38" s="18" t="n">
        <v>0</v>
      </c>
      <c r="J38" s="20" t="n">
        <v>0</v>
      </c>
      <c r="K38" s="18" t="n">
        <v>0</v>
      </c>
      <c r="L38" s="20" t="n">
        <v>0</v>
      </c>
      <c r="M38" s="18" t="n">
        <v>0</v>
      </c>
      <c r="N38" s="20" t="n">
        <v>0</v>
      </c>
      <c r="O38" s="18" t="n">
        <v>0</v>
      </c>
      <c r="P38" s="20" t="n">
        <v>0</v>
      </c>
      <c r="Q38" s="18" t="n">
        <v>0.15380845</v>
      </c>
      <c r="R38" s="20" t="n">
        <v>0.13181307</v>
      </c>
    </row>
    <row r="39" spans="1:18">
      <c r="A39" s="15" t="s">
        <v>597</v>
      </c>
      <c r="B39" s="17" t="n">
        <v>2938</v>
      </c>
      <c r="C39" s="18">
        <f>(2279.0/B39*100)</f>
        <v/>
      </c>
      <c r="D39" s="19" t="n">
        <v>659</v>
      </c>
      <c r="E39" s="18" t="n">
        <v>48.4437998</v>
      </c>
      <c r="F39" s="20" t="n">
        <v>2.08037929</v>
      </c>
      <c r="G39" s="18" t="n">
        <v>48.692573</v>
      </c>
      <c r="H39" s="20" t="n">
        <v>2.13912218</v>
      </c>
      <c r="I39" s="18" t="n">
        <v>0</v>
      </c>
      <c r="J39" s="20" t="n">
        <v>0</v>
      </c>
      <c r="K39" s="18" t="n">
        <v>0.14273316</v>
      </c>
      <c r="L39" s="20" t="n">
        <v>0.1433874</v>
      </c>
      <c r="M39" s="18" t="n">
        <v>0</v>
      </c>
      <c r="N39" s="20" t="n">
        <v>0</v>
      </c>
      <c r="O39" s="18" t="n">
        <v>0</v>
      </c>
      <c r="P39" s="20" t="n">
        <v>0</v>
      </c>
      <c r="Q39" s="18" t="n">
        <v>2.72089404</v>
      </c>
      <c r="R39" s="20" t="n">
        <v>0.58437599</v>
      </c>
    </row>
    <row r="40" spans="1:18">
      <c r="A40" s="15" t="s">
        <v>598</v>
      </c>
      <c r="B40" s="17" t="n">
        <v>6922</v>
      </c>
      <c r="C40" s="18">
        <f>(5387.0/B40*100)</f>
        <v/>
      </c>
      <c r="D40" s="19" t="n">
        <v>1535</v>
      </c>
      <c r="E40" s="18" t="n">
        <v>41.99432402</v>
      </c>
      <c r="F40" s="20" t="n">
        <v>2.30792628</v>
      </c>
      <c r="G40" s="18" t="n">
        <v>57.20328716</v>
      </c>
      <c r="H40" s="20" t="n">
        <v>2.32096188</v>
      </c>
      <c r="I40" s="18" t="n">
        <v>0</v>
      </c>
      <c r="J40" s="20" t="n">
        <v>0</v>
      </c>
      <c r="K40" s="18" t="n">
        <v>0</v>
      </c>
      <c r="L40" s="20" t="n">
        <v>0</v>
      </c>
      <c r="M40" s="18" t="n">
        <v>0</v>
      </c>
      <c r="N40" s="20" t="n">
        <v>0</v>
      </c>
      <c r="O40" s="18" t="n">
        <v>0</v>
      </c>
      <c r="P40" s="20" t="n">
        <v>0</v>
      </c>
      <c r="Q40" s="18" t="n">
        <v>0.80238882</v>
      </c>
      <c r="R40" s="20" t="n">
        <v>0.36883046</v>
      </c>
    </row>
    <row r="41" spans="1:18">
      <c r="A41" s="15" t="s">
        <v>599</v>
      </c>
      <c r="B41" s="17" t="n">
        <v>2854</v>
      </c>
      <c r="C41" s="18">
        <f>(2245.0/B41*100)</f>
        <v/>
      </c>
      <c r="D41" s="19" t="n">
        <v>609</v>
      </c>
      <c r="E41" s="18" t="n">
        <v>34.43538862</v>
      </c>
      <c r="F41" s="20" t="n">
        <v>2.06024893</v>
      </c>
      <c r="G41" s="18" t="n">
        <v>65.22578919</v>
      </c>
      <c r="H41" s="20" t="n">
        <v>2.05324514</v>
      </c>
      <c r="I41" s="18" t="n">
        <v>0</v>
      </c>
      <c r="J41" s="20" t="n">
        <v>0</v>
      </c>
      <c r="K41" s="18" t="n">
        <v>0</v>
      </c>
      <c r="L41" s="20" t="n">
        <v>0</v>
      </c>
      <c r="M41" s="18" t="n">
        <v>0</v>
      </c>
      <c r="N41" s="20" t="n">
        <v>0</v>
      </c>
      <c r="O41" s="18" t="n">
        <v>0</v>
      </c>
      <c r="P41" s="20" t="n">
        <v>0</v>
      </c>
      <c r="Q41" s="18" t="n">
        <v>0.33882219</v>
      </c>
      <c r="R41" s="20" t="n">
        <v>0.27499814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(9586.0/B46*100)</f>
        <v/>
      </c>
      <c r="D46" s="19" t="n">
        <v>2487</v>
      </c>
      <c r="E46" s="18" t="n">
        <v>60.1664675</v>
      </c>
      <c r="F46" s="20" t="n">
        <v>1.43040046</v>
      </c>
      <c r="G46" s="18" t="n">
        <v>33.1330731</v>
      </c>
      <c r="H46" s="20" t="n">
        <v>1.46206723</v>
      </c>
      <c r="I46" s="18" t="n">
        <v>0</v>
      </c>
      <c r="J46" s="20" t="n">
        <v>0</v>
      </c>
      <c r="K46" s="18" t="n">
        <v>0.6520966</v>
      </c>
      <c r="L46" s="20" t="n">
        <v>0.27133119</v>
      </c>
      <c r="M46" s="18" t="n">
        <v>0</v>
      </c>
      <c r="N46" s="20" t="n">
        <v>0</v>
      </c>
      <c r="O46" s="18" t="n">
        <v>0</v>
      </c>
      <c r="P46" s="20" t="n">
        <v>0</v>
      </c>
      <c r="Q46" s="18" t="n">
        <v>6.0483628</v>
      </c>
      <c r="R46" s="20" t="n">
        <v>0.68057886</v>
      </c>
    </row>
    <row r="47" spans="1:18">
      <c r="A47" s="15" t="s">
        <v>606</v>
      </c>
      <c r="B47" s="17" t="n">
        <v>2823</v>
      </c>
      <c r="C47" s="18">
        <f>(2180.0/B47*100)</f>
        <v/>
      </c>
      <c r="D47" s="19" t="n">
        <v>643</v>
      </c>
      <c r="E47" s="18" t="n">
        <v>35.85075076</v>
      </c>
      <c r="F47" s="20" t="n">
        <v>2.09609701</v>
      </c>
      <c r="G47" s="18" t="n">
        <v>62.65599811</v>
      </c>
      <c r="H47" s="20" t="n">
        <v>2.09846485</v>
      </c>
      <c r="I47" s="18" t="n">
        <v>0</v>
      </c>
      <c r="J47" s="20" t="n">
        <v>0</v>
      </c>
      <c r="K47" s="18" t="n">
        <v>0.47440633</v>
      </c>
      <c r="L47" s="20" t="n">
        <v>0.29434033</v>
      </c>
      <c r="M47" s="18" t="n">
        <v>0</v>
      </c>
      <c r="N47" s="20" t="n">
        <v>0</v>
      </c>
      <c r="O47" s="18" t="n">
        <v>0</v>
      </c>
      <c r="P47" s="20" t="n">
        <v>0</v>
      </c>
      <c r="Q47" s="18" t="n">
        <v>1.0188448</v>
      </c>
      <c r="R47" s="20" t="n">
        <v>0.36872552</v>
      </c>
    </row>
    <row r="48" spans="1:18">
      <c r="A48" s="15" t="s">
        <v>607</v>
      </c>
      <c r="B48" s="17" t="n">
        <v>4682</v>
      </c>
      <c r="C48" s="18">
        <f>(3679.0/B48*100)</f>
        <v/>
      </c>
      <c r="D48" s="19" t="n">
        <v>1003</v>
      </c>
      <c r="E48" s="18" t="n">
        <v>41.12866566</v>
      </c>
      <c r="F48" s="20" t="n">
        <v>2.08267844</v>
      </c>
      <c r="G48" s="18" t="n">
        <v>57.18620641</v>
      </c>
      <c r="H48" s="20" t="n">
        <v>2.19623492</v>
      </c>
      <c r="I48" s="18" t="n">
        <v>0</v>
      </c>
      <c r="J48" s="20" t="n">
        <v>0</v>
      </c>
      <c r="K48" s="18" t="n">
        <v>0.63320994</v>
      </c>
      <c r="L48" s="20" t="n">
        <v>0.32961638</v>
      </c>
      <c r="M48" s="18" t="n">
        <v>0</v>
      </c>
      <c r="N48" s="20" t="n">
        <v>0</v>
      </c>
      <c r="O48" s="18" t="n">
        <v>0</v>
      </c>
      <c r="P48" s="20" t="n">
        <v>0</v>
      </c>
      <c r="Q48" s="18" t="n">
        <v>1.05191799</v>
      </c>
      <c r="R48" s="20" t="n">
        <v>0.54996548</v>
      </c>
    </row>
    <row r="49" spans="1:18">
      <c r="A49" s="15" t="s">
        <v>608</v>
      </c>
      <c r="B49" s="17" t="n">
        <v>6158</v>
      </c>
      <c r="C49" s="18">
        <f>(4787.0/B49*100)</f>
        <v/>
      </c>
      <c r="D49" s="19" t="n">
        <v>1371</v>
      </c>
      <c r="E49" s="18" t="n">
        <v>50.99179384</v>
      </c>
      <c r="F49" s="20" t="n">
        <v>1.96013469</v>
      </c>
      <c r="G49" s="18" t="n">
        <v>47.47454488</v>
      </c>
      <c r="H49" s="20" t="n">
        <v>2.04343567</v>
      </c>
      <c r="I49" s="18" t="n">
        <v>0</v>
      </c>
      <c r="J49" s="20" t="n">
        <v>0</v>
      </c>
      <c r="K49" s="18" t="n">
        <v>0.46186471</v>
      </c>
      <c r="L49" s="20" t="n">
        <v>0.24188644</v>
      </c>
      <c r="M49" s="18" t="n">
        <v>0</v>
      </c>
      <c r="N49" s="20" t="n">
        <v>0</v>
      </c>
      <c r="O49" s="18" t="n">
        <v>0</v>
      </c>
      <c r="P49" s="20" t="n">
        <v>0</v>
      </c>
      <c r="Q49" s="18" t="n">
        <v>1.07179657</v>
      </c>
      <c r="R49" s="20" t="n">
        <v>0.35195598</v>
      </c>
    </row>
    <row r="50" spans="1:18">
      <c r="A50" s="15" t="s">
        <v>609</v>
      </c>
      <c r="B50" s="17" t="n">
        <v>3494</v>
      </c>
      <c r="C50" s="18">
        <f>(2791.0/B50*100)</f>
        <v/>
      </c>
      <c r="D50" s="19" t="n">
        <v>703</v>
      </c>
      <c r="E50" s="18" t="n">
        <v>56.44936476</v>
      </c>
      <c r="F50" s="20" t="n">
        <v>1.91846593</v>
      </c>
      <c r="G50" s="18" t="n">
        <v>42.27815635</v>
      </c>
      <c r="H50" s="20" t="n">
        <v>1.90645844</v>
      </c>
      <c r="I50" s="18" t="n">
        <v>0</v>
      </c>
      <c r="J50" s="20" t="n">
        <v>0</v>
      </c>
      <c r="K50" s="18" t="n">
        <v>0.13906029</v>
      </c>
      <c r="L50" s="20" t="n">
        <v>0.14765665</v>
      </c>
      <c r="M50" s="18" t="n">
        <v>0</v>
      </c>
      <c r="N50" s="20" t="n">
        <v>0</v>
      </c>
      <c r="O50" s="18" t="n">
        <v>0</v>
      </c>
      <c r="P50" s="20" t="n">
        <v>0</v>
      </c>
      <c r="Q50" s="18" t="n">
        <v>1.13341859</v>
      </c>
      <c r="R50" s="20" t="n">
        <v>0.28679857</v>
      </c>
    </row>
    <row r="51" spans="1:18">
      <c r="A51" s="15" t="s">
        <v>610</v>
      </c>
      <c r="B51" s="17" t="n">
        <v>3013</v>
      </c>
      <c r="C51" s="18">
        <f>(2362.0/B51*100)</f>
        <v/>
      </c>
      <c r="D51" s="19" t="n">
        <v>651</v>
      </c>
      <c r="E51" s="18" t="n">
        <v>24.70076771</v>
      </c>
      <c r="F51" s="20" t="n">
        <v>1.73649221</v>
      </c>
      <c r="G51" s="18" t="n">
        <v>74.55217503999999</v>
      </c>
      <c r="H51" s="20" t="n">
        <v>1.79169098</v>
      </c>
      <c r="I51" s="18" t="n">
        <v>0</v>
      </c>
      <c r="J51" s="20" t="n">
        <v>0</v>
      </c>
      <c r="K51" s="18" t="n">
        <v>0</v>
      </c>
      <c r="L51" s="20" t="n">
        <v>0</v>
      </c>
      <c r="M51" s="18" t="n">
        <v>0</v>
      </c>
      <c r="N51" s="20" t="n">
        <v>0</v>
      </c>
      <c r="O51" s="18" t="n">
        <v>0</v>
      </c>
      <c r="P51" s="20" t="n">
        <v>0</v>
      </c>
      <c r="Q51" s="18" t="n">
        <v>0.74705725</v>
      </c>
      <c r="R51" s="20" t="n">
        <v>0.34036325</v>
      </c>
    </row>
    <row r="52" spans="1:18">
      <c r="A52" s="15" t="s">
        <v>611</v>
      </c>
      <c r="B52" s="17" t="n">
        <v>2760</v>
      </c>
      <c r="C52" s="18">
        <f>(2156.0/B52*100)</f>
        <v/>
      </c>
      <c r="D52" s="19" t="n">
        <v>604</v>
      </c>
      <c r="E52" s="18" t="n">
        <v>43.26161797</v>
      </c>
      <c r="F52" s="20" t="n">
        <v>2.11036767</v>
      </c>
      <c r="G52" s="18" t="n">
        <v>56.06643353</v>
      </c>
      <c r="H52" s="20" t="n">
        <v>2.0925505</v>
      </c>
      <c r="I52" s="18" t="n">
        <v>0</v>
      </c>
      <c r="J52" s="20" t="n">
        <v>0</v>
      </c>
      <c r="K52" s="18" t="n">
        <v>0</v>
      </c>
      <c r="L52" s="20" t="n">
        <v>0</v>
      </c>
      <c r="M52" s="18" t="n">
        <v>0</v>
      </c>
      <c r="N52" s="20" t="n">
        <v>0</v>
      </c>
      <c r="O52" s="18" t="n">
        <v>0</v>
      </c>
      <c r="P52" s="20" t="n">
        <v>0</v>
      </c>
      <c r="Q52" s="18" t="n">
        <v>0.6719484999999999</v>
      </c>
      <c r="R52" s="20" t="n">
        <v>0.34140438</v>
      </c>
    </row>
    <row r="53" spans="1:18">
      <c r="A53" s="15" t="s">
        <v>612</v>
      </c>
      <c r="B53" s="17" t="n">
        <v>2474</v>
      </c>
      <c r="C53" s="18">
        <f>(1887.0/B53*100)</f>
        <v/>
      </c>
      <c r="D53" s="19" t="n">
        <v>587</v>
      </c>
      <c r="E53" s="18" t="n">
        <v>50.43029404</v>
      </c>
      <c r="F53" s="20" t="n">
        <v>2.23656647</v>
      </c>
      <c r="G53" s="18" t="n">
        <v>28.8116155</v>
      </c>
      <c r="H53" s="20" t="n">
        <v>1.96873282</v>
      </c>
      <c r="I53" s="18" t="n">
        <v>0</v>
      </c>
      <c r="J53" s="20" t="n">
        <v>0</v>
      </c>
      <c r="K53" s="18" t="n">
        <v>3.50198202</v>
      </c>
      <c r="L53" s="20" t="n">
        <v>0.82882774</v>
      </c>
      <c r="M53" s="18" t="n">
        <v>0</v>
      </c>
      <c r="N53" s="20" t="n">
        <v>0</v>
      </c>
      <c r="O53" s="18" t="n">
        <v>0</v>
      </c>
      <c r="P53" s="20" t="n">
        <v>0</v>
      </c>
      <c r="Q53" s="18" t="n">
        <v>17.25610844</v>
      </c>
      <c r="R53" s="20" t="n">
        <v>2.00837858</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(2068.0/B55*100)</f>
        <v/>
      </c>
      <c r="D55" s="19" t="n">
        <v>607</v>
      </c>
      <c r="E55" s="18" t="n">
        <v>34.72699367</v>
      </c>
      <c r="F55" s="20" t="n">
        <v>2.04820792</v>
      </c>
      <c r="G55" s="18" t="n">
        <v>65.00189935</v>
      </c>
      <c r="H55" s="20" t="n">
        <v>2.04139346</v>
      </c>
      <c r="I55" s="18" t="n">
        <v>0</v>
      </c>
      <c r="J55" s="20" t="n">
        <v>0</v>
      </c>
      <c r="K55" s="18" t="n">
        <v>0</v>
      </c>
      <c r="L55" s="20" t="n">
        <v>0</v>
      </c>
      <c r="M55" s="18" t="n">
        <v>0</v>
      </c>
      <c r="N55" s="20" t="n">
        <v>0</v>
      </c>
      <c r="O55" s="18" t="n">
        <v>0</v>
      </c>
      <c r="P55" s="20" t="n">
        <v>0</v>
      </c>
      <c r="Q55" s="18" t="n">
        <v>0.27110698</v>
      </c>
      <c r="R55" s="20" t="n">
        <v>0.19740402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(2489.0/B61*100)</f>
        <v/>
      </c>
      <c r="D61" s="19" t="n">
        <v>712</v>
      </c>
      <c r="E61" s="18" t="n">
        <v>23.72984287</v>
      </c>
      <c r="F61" s="20" t="n">
        <v>1.61429336</v>
      </c>
      <c r="G61" s="18" t="n">
        <v>75.09410558</v>
      </c>
      <c r="H61" s="20" t="n">
        <v>1.7032487</v>
      </c>
      <c r="I61" s="18" t="n">
        <v>0</v>
      </c>
      <c r="J61" s="20" t="n">
        <v>0</v>
      </c>
      <c r="K61" s="18" t="n">
        <v>0.55620916</v>
      </c>
      <c r="L61" s="20" t="n">
        <v>0.43032352</v>
      </c>
      <c r="M61" s="18" t="n">
        <v>0</v>
      </c>
      <c r="N61" s="20" t="n">
        <v>0</v>
      </c>
      <c r="O61" s="18" t="n">
        <v>0</v>
      </c>
      <c r="P61" s="20" t="n">
        <v>0</v>
      </c>
      <c r="Q61" s="18" t="n">
        <v>0.61984238</v>
      </c>
      <c r="R61" s="20" t="n">
        <v>0.30057375</v>
      </c>
    </row>
    <row r="62" spans="1:18">
      <c r="A62" s="15" t="s">
        <v>622</v>
      </c>
      <c r="B62" s="17" t="n">
        <v>2230</v>
      </c>
      <c r="C62" s="18">
        <f>(1742.0/B62*100)</f>
        <v/>
      </c>
      <c r="D62" s="19" t="n">
        <v>488</v>
      </c>
      <c r="E62" s="18" t="n">
        <v>34.4140184</v>
      </c>
      <c r="F62" s="20" t="n">
        <v>2.23520358</v>
      </c>
      <c r="G62" s="18" t="n">
        <v>65.38221819</v>
      </c>
      <c r="H62" s="20" t="n">
        <v>2.25675595</v>
      </c>
      <c r="I62" s="18" t="n">
        <v>0</v>
      </c>
      <c r="J62" s="20" t="n">
        <v>0</v>
      </c>
      <c r="K62" s="18" t="n">
        <v>0</v>
      </c>
      <c r="L62" s="20" t="n">
        <v>0</v>
      </c>
      <c r="M62" s="18" t="n">
        <v>0</v>
      </c>
      <c r="N62" s="20" t="n">
        <v>0</v>
      </c>
      <c r="O62" s="18" t="n">
        <v>0</v>
      </c>
      <c r="P62" s="20" t="n">
        <v>0</v>
      </c>
      <c r="Q62" s="18" t="n">
        <v>0.20376341</v>
      </c>
      <c r="R62" s="20" t="n">
        <v>0.20309861</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(2147.0/B67*100)</f>
        <v/>
      </c>
      <c r="D67" s="19" t="n">
        <v>624</v>
      </c>
      <c r="E67" s="18" t="n">
        <v>30.71517735</v>
      </c>
      <c r="F67" s="20" t="n">
        <v>1.99763518</v>
      </c>
      <c r="G67" s="18" t="n">
        <v>65.65140449</v>
      </c>
      <c r="H67" s="20" t="n">
        <v>2.04711538</v>
      </c>
      <c r="I67" s="18" t="n">
        <v>0</v>
      </c>
      <c r="J67" s="20" t="n">
        <v>0</v>
      </c>
      <c r="K67" s="18" t="n">
        <v>0.28295608</v>
      </c>
      <c r="L67" s="20" t="n">
        <v>0.20232936</v>
      </c>
      <c r="M67" s="18" t="n">
        <v>0</v>
      </c>
      <c r="N67" s="20" t="n">
        <v>0</v>
      </c>
      <c r="O67" s="18" t="n">
        <v>0</v>
      </c>
      <c r="P67" s="20" t="n">
        <v>0</v>
      </c>
      <c r="Q67" s="18" t="n">
        <v>3.35046208</v>
      </c>
      <c r="R67" s="20" t="n">
        <v>0.6462702299999999</v>
      </c>
    </row>
    <row r="68" spans="1:18">
      <c r="A68" s="15" t="s">
        <v>628</v>
      </c>
      <c r="B68" s="17" t="n">
        <v>3460</v>
      </c>
      <c r="C68" s="18">
        <f>(2743.0/B68*100)</f>
        <v/>
      </c>
      <c r="D68" s="19" t="n">
        <v>717</v>
      </c>
      <c r="E68" s="18" t="n">
        <v>49.02463827</v>
      </c>
      <c r="F68" s="20" t="n">
        <v>1.98411963</v>
      </c>
      <c r="G68" s="18" t="n">
        <v>45.92756871</v>
      </c>
      <c r="H68" s="20" t="n">
        <v>1.94113352</v>
      </c>
      <c r="I68" s="18" t="n">
        <v>0</v>
      </c>
      <c r="J68" s="20" t="n">
        <v>0</v>
      </c>
      <c r="K68" s="18" t="n">
        <v>0</v>
      </c>
      <c r="L68" s="20" t="n">
        <v>0</v>
      </c>
      <c r="M68" s="18" t="n">
        <v>0</v>
      </c>
      <c r="N68" s="20" t="n">
        <v>0</v>
      </c>
      <c r="O68" s="18" t="n">
        <v>0</v>
      </c>
      <c r="P68" s="20" t="n">
        <v>0</v>
      </c>
      <c r="Q68" s="18" t="n">
        <v>5.04779302</v>
      </c>
      <c r="R68" s="20" t="n">
        <v>0.88383491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(4676.0/B70*100)</f>
        <v/>
      </c>
      <c r="D70" s="19" t="n">
        <v>1358</v>
      </c>
      <c r="E70" s="18" t="n">
        <v>40.77496948</v>
      </c>
      <c r="F70" s="20" t="n">
        <v>1.2270521</v>
      </c>
      <c r="G70" s="18" t="n">
        <v>57.52070653</v>
      </c>
      <c r="H70" s="20" t="n">
        <v>1.23062042</v>
      </c>
      <c r="I70" s="18" t="n">
        <v>0</v>
      </c>
      <c r="J70" s="20" t="n">
        <v>0</v>
      </c>
      <c r="K70" s="18" t="n">
        <v>0.65629119</v>
      </c>
      <c r="L70" s="20" t="n">
        <v>0.21952085</v>
      </c>
      <c r="M70" s="18" t="n">
        <v>0</v>
      </c>
      <c r="N70" s="20" t="n">
        <v>0</v>
      </c>
      <c r="O70" s="18" t="n">
        <v>0</v>
      </c>
      <c r="P70" s="20" t="n">
        <v>0</v>
      </c>
      <c r="Q70" s="18" t="n">
        <v>1.0480328</v>
      </c>
      <c r="R70" s="20" t="n">
        <v>0.27579191</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(2406.0/B72*100)</f>
        <v/>
      </c>
      <c r="D72" s="19" t="n">
        <v>701</v>
      </c>
      <c r="E72" s="18" t="n">
        <v>18.1727202</v>
      </c>
      <c r="F72" s="20" t="n">
        <v>1.68762191</v>
      </c>
      <c r="G72" s="18" t="n">
        <v>81.27290503</v>
      </c>
      <c r="H72" s="20" t="n">
        <v>1.69212443</v>
      </c>
      <c r="I72" s="18" t="n">
        <v>0</v>
      </c>
      <c r="J72" s="20" t="n">
        <v>0</v>
      </c>
      <c r="K72" s="18" t="n">
        <v>0</v>
      </c>
      <c r="L72" s="20" t="n">
        <v>0</v>
      </c>
      <c r="M72" s="18" t="n">
        <v>0</v>
      </c>
      <c r="N72" s="20" t="n">
        <v>0</v>
      </c>
      <c r="O72" s="18" t="n">
        <v>0</v>
      </c>
      <c r="P72" s="20" t="n">
        <v>0</v>
      </c>
      <c r="Q72" s="18" t="n">
        <v>0.55437477</v>
      </c>
      <c r="R72" s="20" t="n">
        <v>0.23031139</v>
      </c>
    </row>
    <row r="73" spans="1:18">
      <c r="A73" s="15" t="s">
        <v>633</v>
      </c>
      <c r="B73" s="17" t="n">
        <v>2973</v>
      </c>
      <c r="C73" s="18">
        <f>(2327.0/B73*100)</f>
        <v/>
      </c>
      <c r="D73" s="19" t="n">
        <v>646</v>
      </c>
      <c r="E73" s="18" t="n">
        <v>51.77341424</v>
      </c>
      <c r="F73" s="20" t="n">
        <v>1.75972603</v>
      </c>
      <c r="G73" s="18" t="n">
        <v>48.22658576</v>
      </c>
      <c r="H73" s="20" t="n">
        <v>1.75972603</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(3013.0/B74*100)</f>
        <v/>
      </c>
      <c r="D74" s="19" t="n">
        <v>806</v>
      </c>
      <c r="E74" s="18" t="n">
        <v>24.04529063</v>
      </c>
      <c r="F74" s="20" t="n">
        <v>1.59556535</v>
      </c>
      <c r="G74" s="18" t="n">
        <v>75.66450500000001</v>
      </c>
      <c r="H74" s="20" t="n">
        <v>1.61606152</v>
      </c>
      <c r="I74" s="18" t="n">
        <v>0</v>
      </c>
      <c r="J74" s="20" t="n">
        <v>0</v>
      </c>
      <c r="K74" s="18" t="n">
        <v>0</v>
      </c>
      <c r="L74" s="20" t="n">
        <v>0</v>
      </c>
      <c r="M74" s="18" t="n">
        <v>0</v>
      </c>
      <c r="N74" s="20" t="n">
        <v>0</v>
      </c>
      <c r="O74" s="18" t="n">
        <v>0</v>
      </c>
      <c r="P74" s="20" t="n">
        <v>0</v>
      </c>
      <c r="Q74" s="18" t="n">
        <v>0.29020438</v>
      </c>
      <c r="R74" s="20" t="n">
        <v>0.20656874</v>
      </c>
    </row>
    <row r="75" spans="1:18">
      <c r="A75" s="15" t="s">
        <v>635</v>
      </c>
      <c r="B75" s="17" t="n">
        <v>4652</v>
      </c>
      <c r="C75" s="18">
        <f>(3628.0/B75*100)</f>
        <v/>
      </c>
      <c r="D75" s="19" t="n">
        <v>1024</v>
      </c>
      <c r="E75" s="18" t="n">
        <v>47.28779696</v>
      </c>
      <c r="F75" s="20" t="n">
        <v>2.07927612</v>
      </c>
      <c r="G75" s="18" t="n">
        <v>52.05246608</v>
      </c>
      <c r="H75" s="20" t="n">
        <v>2.04919168</v>
      </c>
      <c r="I75" s="18" t="n">
        <v>0</v>
      </c>
      <c r="J75" s="20" t="n">
        <v>0</v>
      </c>
      <c r="K75" s="18" t="n">
        <v>0.14095434</v>
      </c>
      <c r="L75" s="20" t="n">
        <v>0.14059813</v>
      </c>
      <c r="M75" s="18" t="n">
        <v>0</v>
      </c>
      <c r="N75" s="20" t="n">
        <v>0</v>
      </c>
      <c r="O75" s="18" t="n">
        <v>0</v>
      </c>
      <c r="P75" s="20" t="n">
        <v>0</v>
      </c>
      <c r="Q75" s="18" t="n">
        <v>0.51878262</v>
      </c>
      <c r="R75" s="20" t="n">
        <v>0.35313568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(2339.0/B77*100)</f>
        <v/>
      </c>
      <c r="D77" s="19" t="n">
        <v>630</v>
      </c>
      <c r="E77" s="18" t="n">
        <v>32.95552203</v>
      </c>
      <c r="F77" s="20" t="n">
        <v>1.71332661</v>
      </c>
      <c r="G77" s="18" t="n">
        <v>63.84509538</v>
      </c>
      <c r="H77" s="20" t="n">
        <v>1.90148426</v>
      </c>
      <c r="I77" s="18" t="n">
        <v>0</v>
      </c>
      <c r="J77" s="20" t="n">
        <v>0</v>
      </c>
      <c r="K77" s="18" t="n">
        <v>0.58374234</v>
      </c>
      <c r="L77" s="20" t="n">
        <v>0.3653329</v>
      </c>
      <c r="M77" s="18" t="n">
        <v>0</v>
      </c>
      <c r="N77" s="20" t="n">
        <v>0</v>
      </c>
      <c r="O77" s="18" t="n">
        <v>0</v>
      </c>
      <c r="P77" s="20" t="n">
        <v>0</v>
      </c>
      <c r="Q77" s="18" t="n">
        <v>2.61564026</v>
      </c>
      <c r="R77" s="20" t="n">
        <v>0.66932336</v>
      </c>
    </row>
    <row r="78" spans="1:18">
      <c r="A78" s="15" t="s">
        <v>638</v>
      </c>
      <c r="B78" s="17" t="n">
        <v>7115</v>
      </c>
      <c r="C78" s="18">
        <f>(5527.0/B78*100)</f>
        <v/>
      </c>
      <c r="D78" s="19" t="n">
        <v>1588</v>
      </c>
      <c r="E78" s="18" t="n">
        <v>36.47140501</v>
      </c>
      <c r="F78" s="20" t="n">
        <v>1.67846146</v>
      </c>
      <c r="G78" s="18" t="n">
        <v>62.65868394</v>
      </c>
      <c r="H78" s="20" t="n">
        <v>1.69300894</v>
      </c>
      <c r="I78" s="18" t="n">
        <v>0</v>
      </c>
      <c r="J78" s="20" t="n">
        <v>0</v>
      </c>
      <c r="K78" s="18" t="n">
        <v>0.26851661</v>
      </c>
      <c r="L78" s="20" t="n">
        <v>0.08151731</v>
      </c>
      <c r="M78" s="18" t="n">
        <v>0</v>
      </c>
      <c r="N78" s="20" t="n">
        <v>0</v>
      </c>
      <c r="O78" s="18" t="n">
        <v>0</v>
      </c>
      <c r="P78" s="20" t="n">
        <v>0</v>
      </c>
      <c r="Q78" s="18" t="n">
        <v>0.60139443</v>
      </c>
      <c r="R78" s="20" t="n">
        <v>0.20566691</v>
      </c>
    </row>
    <row r="79" spans="1:18">
      <c r="A79" s="15" t="s">
        <v>639</v>
      </c>
      <c r="B79" s="17" t="n">
        <v>3154</v>
      </c>
      <c r="C79" s="18">
        <f>(2426.0/B79*100)</f>
        <v/>
      </c>
      <c r="D79" s="19" t="n">
        <v>728</v>
      </c>
      <c r="E79" s="18" t="n">
        <v>40.19125745</v>
      </c>
      <c r="F79" s="20" t="n">
        <v>1.78996487</v>
      </c>
      <c r="G79" s="18" t="n">
        <v>59.16802675</v>
      </c>
      <c r="H79" s="20" t="n">
        <v>1.81542864</v>
      </c>
      <c r="I79" s="18" t="n">
        <v>0</v>
      </c>
      <c r="J79" s="20" t="n">
        <v>0</v>
      </c>
      <c r="K79" s="18" t="n">
        <v>0.29806683</v>
      </c>
      <c r="L79" s="20" t="n">
        <v>0.24391653</v>
      </c>
      <c r="M79" s="18" t="n">
        <v>0</v>
      </c>
      <c r="N79" s="20" t="n">
        <v>0</v>
      </c>
      <c r="O79" s="18" t="n">
        <v>0</v>
      </c>
      <c r="P79" s="20" t="n">
        <v>0</v>
      </c>
      <c r="Q79" s="18" t="n">
        <v>0.34264897</v>
      </c>
      <c r="R79" s="20" t="n">
        <v>0.23720312</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(12389.0/B82*100)</f>
        <v/>
      </c>
      <c r="D82" s="19" t="n">
        <v>3572</v>
      </c>
      <c r="E82" s="18" t="n">
        <v>35.24172935</v>
      </c>
      <c r="F82" s="20" t="n">
        <v>1.30047926</v>
      </c>
      <c r="G82" s="18" t="n">
        <v>63.92377129</v>
      </c>
      <c r="H82" s="20" t="n">
        <v>1.27703274</v>
      </c>
      <c r="I82" s="18" t="n">
        <v>0</v>
      </c>
      <c r="J82" s="20" t="n">
        <v>0</v>
      </c>
      <c r="K82" s="18" t="n">
        <v>0.1238448</v>
      </c>
      <c r="L82" s="20" t="n">
        <v>0.05222839</v>
      </c>
      <c r="M82" s="18" t="n">
        <v>0</v>
      </c>
      <c r="N82" s="20" t="n">
        <v>0</v>
      </c>
      <c r="O82" s="18" t="n">
        <v>0</v>
      </c>
      <c r="P82" s="20" t="n">
        <v>0</v>
      </c>
      <c r="Q82" s="18" t="n">
        <v>0.71065455</v>
      </c>
      <c r="R82" s="20" t="n">
        <v>0.21911173</v>
      </c>
    </row>
    <row r="83" spans="1:18">
      <c r="A83" s="15" t="s">
        <v>643</v>
      </c>
      <c r="B83" s="17" t="n">
        <v>808</v>
      </c>
      <c r="C83" s="18">
        <f>(619.0/B83*100)</f>
        <v/>
      </c>
      <c r="D83" s="19" t="n">
        <v>189</v>
      </c>
      <c r="E83" s="18" t="n">
        <v>36.79285942</v>
      </c>
      <c r="F83" s="20" t="n">
        <v>3.46870798</v>
      </c>
      <c r="G83" s="18" t="n">
        <v>62.91765254</v>
      </c>
      <c r="H83" s="20" t="n">
        <v>3.50090068</v>
      </c>
      <c r="I83" s="18" t="n">
        <v>0</v>
      </c>
      <c r="J83" s="20" t="n">
        <v>0</v>
      </c>
      <c r="K83" s="18" t="n">
        <v>0</v>
      </c>
      <c r="L83" s="20" t="n">
        <v>0</v>
      </c>
      <c r="M83" s="18" t="n">
        <v>0</v>
      </c>
      <c r="N83" s="20" t="n">
        <v>0</v>
      </c>
      <c r="O83" s="18" t="n">
        <v>0</v>
      </c>
      <c r="P83" s="20" t="n">
        <v>0</v>
      </c>
      <c r="Q83" s="18" t="n">
        <v>0.28948805</v>
      </c>
      <c r="R83" s="20" t="n">
        <v>0.30343893</v>
      </c>
    </row>
    <row r="84" spans="1:18">
      <c r="A84" s="23" t="s">
        <v>644</v>
      </c>
      <c r="B84" s="24" t="n">
        <v>938</v>
      </c>
      <c r="C84" s="25">
        <f>(714.0/B84*100)</f>
        <v/>
      </c>
      <c r="D84" s="19" t="n">
        <v>224</v>
      </c>
      <c r="E84" s="18" t="n">
        <v>38.81464964</v>
      </c>
      <c r="F84" s="20" t="n">
        <v>3.97838992</v>
      </c>
      <c r="G84" s="18" t="n">
        <v>61.18535036</v>
      </c>
      <c r="H84" s="20" t="n">
        <v>3.97838992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(5612.0/B7*100)</f>
        <v/>
      </c>
      <c r="D7" s="19" t="n">
        <v>1551</v>
      </c>
      <c r="E7" s="18" t="n">
        <v>5.72758409</v>
      </c>
      <c r="F7" s="20" t="n">
        <v>0.65353614</v>
      </c>
      <c r="G7" s="18" t="n">
        <v>93.68595636000001</v>
      </c>
      <c r="H7" s="20" t="n">
        <v>0.70779326</v>
      </c>
      <c r="I7" s="18" t="n">
        <v>0</v>
      </c>
      <c r="J7" s="20" t="n">
        <v>0</v>
      </c>
      <c r="K7" s="18" t="n">
        <v>0.119758</v>
      </c>
      <c r="L7" s="20" t="n">
        <v>0.11208957</v>
      </c>
      <c r="M7" s="18" t="n">
        <v>0</v>
      </c>
      <c r="N7" s="20" t="n">
        <v>0</v>
      </c>
      <c r="O7" s="18" t="n">
        <v>0</v>
      </c>
      <c r="P7" s="20" t="n">
        <v>0</v>
      </c>
      <c r="Q7" s="18" t="n">
        <v>0.46670156</v>
      </c>
      <c r="R7" s="20" t="n">
        <v>0.17150711</v>
      </c>
    </row>
    <row r="8" spans="1:18">
      <c r="A8" s="15" t="s">
        <v>566</v>
      </c>
      <c r="B8" s="17" t="n">
        <v>3443</v>
      </c>
      <c r="C8" s="18">
        <f>(2668.0/B8*100)</f>
        <v/>
      </c>
      <c r="D8" s="19" t="n">
        <v>775</v>
      </c>
      <c r="E8" s="18" t="n">
        <v>9.31826899</v>
      </c>
      <c r="F8" s="20" t="n">
        <v>1.57005843</v>
      </c>
      <c r="G8" s="18" t="n">
        <v>90.17915117</v>
      </c>
      <c r="H8" s="20" t="n">
        <v>1.65115142</v>
      </c>
      <c r="I8" s="18" t="n">
        <v>0</v>
      </c>
      <c r="J8" s="20" t="n">
        <v>0</v>
      </c>
      <c r="K8" s="18" t="n">
        <v>0</v>
      </c>
      <c r="L8" s="20" t="n">
        <v>0</v>
      </c>
      <c r="M8" s="18" t="n">
        <v>0</v>
      </c>
      <c r="N8" s="20" t="n">
        <v>0</v>
      </c>
      <c r="O8" s="18" t="n">
        <v>0</v>
      </c>
      <c r="P8" s="20" t="n">
        <v>0</v>
      </c>
      <c r="Q8" s="18" t="n">
        <v>0.50257984</v>
      </c>
      <c r="R8" s="20" t="n">
        <v>0.25593318</v>
      </c>
    </row>
    <row r="9" spans="1:18">
      <c r="A9" s="15" t="s">
        <v>567</v>
      </c>
      <c r="B9" s="17" t="n">
        <v>4752</v>
      </c>
      <c r="C9" s="18">
        <f>(3700.0/B9*100)</f>
        <v/>
      </c>
      <c r="D9" s="19" t="n">
        <v>1052</v>
      </c>
      <c r="E9" s="18" t="n">
        <v>6.06530491</v>
      </c>
      <c r="F9" s="20" t="n">
        <v>0.70437311</v>
      </c>
      <c r="G9" s="18" t="n">
        <v>92.64136798</v>
      </c>
      <c r="H9" s="20" t="n">
        <v>0.80136252</v>
      </c>
      <c r="I9" s="18" t="n">
        <v>0</v>
      </c>
      <c r="J9" s="20" t="n">
        <v>0</v>
      </c>
      <c r="K9" s="18" t="n">
        <v>0.23540352</v>
      </c>
      <c r="L9" s="20" t="n">
        <v>0.17082081</v>
      </c>
      <c r="M9" s="18" t="n">
        <v>0</v>
      </c>
      <c r="N9" s="20" t="n">
        <v>0</v>
      </c>
      <c r="O9" s="18" t="n">
        <v>0</v>
      </c>
      <c r="P9" s="20" t="n">
        <v>0</v>
      </c>
      <c r="Q9" s="18" t="n">
        <v>1.05792359</v>
      </c>
      <c r="R9" s="20" t="n">
        <v>0.37279425</v>
      </c>
    </row>
    <row r="10" spans="1:18">
      <c r="A10" s="15" t="s">
        <v>568</v>
      </c>
      <c r="B10" s="17" t="n">
        <v>10022</v>
      </c>
      <c r="C10" s="18">
        <f>(7809.0/B10*100)</f>
        <v/>
      </c>
      <c r="D10" s="19" t="n">
        <v>2213</v>
      </c>
      <c r="E10" s="18" t="n">
        <v>4.72487396</v>
      </c>
      <c r="F10" s="20" t="n">
        <v>0.57356239</v>
      </c>
      <c r="G10" s="18" t="n">
        <v>94.82125614</v>
      </c>
      <c r="H10" s="20" t="n">
        <v>0.63406442</v>
      </c>
      <c r="I10" s="18" t="n">
        <v>0</v>
      </c>
      <c r="J10" s="20" t="n">
        <v>0</v>
      </c>
      <c r="K10" s="18" t="n">
        <v>0.00476289</v>
      </c>
      <c r="L10" s="20" t="n">
        <v>0.0047701</v>
      </c>
      <c r="M10" s="18" t="n">
        <v>0</v>
      </c>
      <c r="N10" s="20" t="n">
        <v>0</v>
      </c>
      <c r="O10" s="18" t="n">
        <v>0</v>
      </c>
      <c r="P10" s="20" t="n">
        <v>0</v>
      </c>
      <c r="Q10" s="18" t="n">
        <v>0.44910701</v>
      </c>
      <c r="R10" s="20" t="n">
        <v>0.18937803</v>
      </c>
    </row>
    <row r="11" spans="1:18">
      <c r="A11" s="15" t="s">
        <v>569</v>
      </c>
      <c r="B11" s="17" t="n">
        <v>3500</v>
      </c>
      <c r="C11" s="18">
        <f>(2712.0/B11*100)</f>
        <v/>
      </c>
      <c r="D11" s="19" t="n">
        <v>788</v>
      </c>
      <c r="E11" s="18" t="n">
        <v>13.85892717</v>
      </c>
      <c r="F11" s="20" t="n">
        <v>1.63660847</v>
      </c>
      <c r="G11" s="18" t="n">
        <v>82.86014788</v>
      </c>
      <c r="H11" s="20" t="n">
        <v>1.65670971</v>
      </c>
      <c r="I11" s="18" t="n">
        <v>0</v>
      </c>
      <c r="J11" s="20" t="n">
        <v>0</v>
      </c>
      <c r="K11" s="18" t="n">
        <v>0.16763893</v>
      </c>
      <c r="L11" s="20" t="n">
        <v>0.16571248</v>
      </c>
      <c r="M11" s="18" t="n">
        <v>0</v>
      </c>
      <c r="N11" s="20" t="n">
        <v>0</v>
      </c>
      <c r="O11" s="18" t="n">
        <v>0</v>
      </c>
      <c r="P11" s="20" t="n">
        <v>0</v>
      </c>
      <c r="Q11" s="18" t="n">
        <v>3.11328602</v>
      </c>
      <c r="R11" s="20" t="n">
        <v>0.67861939</v>
      </c>
    </row>
    <row r="12" spans="1:18">
      <c r="A12" s="15" t="s">
        <v>570</v>
      </c>
      <c r="B12" s="17" t="n">
        <v>3422</v>
      </c>
      <c r="C12" s="18">
        <f>(2703.0/B12*100)</f>
        <v/>
      </c>
      <c r="D12" s="19" t="n">
        <v>719</v>
      </c>
      <c r="E12" s="18" t="n">
        <v>4.46022165</v>
      </c>
      <c r="F12" s="20" t="n">
        <v>0.74262797</v>
      </c>
      <c r="G12" s="18" t="n">
        <v>94.81161134</v>
      </c>
      <c r="H12" s="20" t="n">
        <v>0.85339926</v>
      </c>
      <c r="I12" s="18" t="n">
        <v>0</v>
      </c>
      <c r="J12" s="20" t="n">
        <v>0</v>
      </c>
      <c r="K12" s="18" t="n">
        <v>0.12105401</v>
      </c>
      <c r="L12" s="20" t="n">
        <v>0.11476732</v>
      </c>
      <c r="M12" s="18" t="n">
        <v>0</v>
      </c>
      <c r="N12" s="20" t="n">
        <v>0</v>
      </c>
      <c r="O12" s="18" t="n">
        <v>0</v>
      </c>
      <c r="P12" s="20" t="n">
        <v>0</v>
      </c>
      <c r="Q12" s="18" t="n">
        <v>0.607113</v>
      </c>
      <c r="R12" s="20" t="n">
        <v>0.31884931</v>
      </c>
    </row>
    <row r="13" spans="1:18">
      <c r="A13" s="15" t="s">
        <v>571</v>
      </c>
      <c r="B13" s="17" t="n">
        <v>3602</v>
      </c>
      <c r="C13" s="18">
        <f>(2896.0/B13*100)</f>
        <v/>
      </c>
      <c r="D13" s="19" t="n">
        <v>706</v>
      </c>
      <c r="E13" s="18" t="n">
        <v>5.81377081</v>
      </c>
      <c r="F13" s="20" t="n">
        <v>1.13798046</v>
      </c>
      <c r="G13" s="18" t="n">
        <v>93.43003677</v>
      </c>
      <c r="H13" s="20" t="n">
        <v>1.18212389</v>
      </c>
      <c r="I13" s="18" t="n">
        <v>0</v>
      </c>
      <c r="J13" s="20" t="n">
        <v>0</v>
      </c>
      <c r="K13" s="18" t="n">
        <v>0.22962213</v>
      </c>
      <c r="L13" s="20" t="n">
        <v>0.19947216</v>
      </c>
      <c r="M13" s="18" t="n">
        <v>0</v>
      </c>
      <c r="N13" s="20" t="n">
        <v>0</v>
      </c>
      <c r="O13" s="18" t="n">
        <v>0</v>
      </c>
      <c r="P13" s="20" t="n">
        <v>0</v>
      </c>
      <c r="Q13" s="18" t="n">
        <v>0.52657029</v>
      </c>
      <c r="R13" s="20" t="n">
        <v>0.26084238</v>
      </c>
    </row>
    <row r="14" spans="1:18">
      <c r="A14" s="15" t="s">
        <v>572</v>
      </c>
      <c r="B14" s="17" t="n">
        <v>2788</v>
      </c>
      <c r="C14" s="18">
        <f>(2149.0/B14*100)</f>
        <v/>
      </c>
      <c r="D14" s="19" t="n">
        <v>639</v>
      </c>
      <c r="E14" s="18" t="n">
        <v>6.58705586</v>
      </c>
      <c r="F14" s="20" t="n">
        <v>0.88083987</v>
      </c>
      <c r="G14" s="18" t="n">
        <v>93.09927811999999</v>
      </c>
      <c r="H14" s="20" t="n">
        <v>0.89700593</v>
      </c>
      <c r="I14" s="18" t="n">
        <v>0</v>
      </c>
      <c r="J14" s="20" t="n">
        <v>0</v>
      </c>
      <c r="K14" s="18" t="n">
        <v>0</v>
      </c>
      <c r="L14" s="20" t="n">
        <v>0</v>
      </c>
      <c r="M14" s="18" t="n">
        <v>0</v>
      </c>
      <c r="N14" s="20" t="n">
        <v>0</v>
      </c>
      <c r="O14" s="18" t="n">
        <v>0</v>
      </c>
      <c r="P14" s="20" t="n">
        <v>0</v>
      </c>
      <c r="Q14" s="18" t="n">
        <v>0.31366602</v>
      </c>
      <c r="R14" s="20" t="n">
        <v>0.21732822</v>
      </c>
    </row>
    <row r="15" spans="1:18">
      <c r="A15" s="15" t="s">
        <v>573</v>
      </c>
      <c r="B15" s="17" t="n">
        <v>2863</v>
      </c>
      <c r="C15" s="18">
        <f>(2224.0/B15*100)</f>
        <v/>
      </c>
      <c r="D15" s="19" t="n">
        <v>639</v>
      </c>
      <c r="E15" s="18" t="n">
        <v>6.58240538</v>
      </c>
      <c r="F15" s="20" t="n">
        <v>0.9673414</v>
      </c>
      <c r="G15" s="18" t="n">
        <v>93.26509726</v>
      </c>
      <c r="H15" s="20" t="n">
        <v>0.97657262</v>
      </c>
      <c r="I15" s="18" t="n">
        <v>0</v>
      </c>
      <c r="J15" s="20" t="n">
        <v>0</v>
      </c>
      <c r="K15" s="18" t="n">
        <v>0</v>
      </c>
      <c r="L15" s="20" t="n">
        <v>0</v>
      </c>
      <c r="M15" s="18" t="n">
        <v>0</v>
      </c>
      <c r="N15" s="20" t="n">
        <v>0</v>
      </c>
      <c r="O15" s="18" t="n">
        <v>0</v>
      </c>
      <c r="P15" s="20" t="n">
        <v>0</v>
      </c>
      <c r="Q15" s="18" t="n">
        <v>0.15249736</v>
      </c>
      <c r="R15" s="20" t="n">
        <v>0.15212488</v>
      </c>
    </row>
    <row r="16" spans="1:18">
      <c r="A16" s="15" t="s">
        <v>574</v>
      </c>
      <c r="B16" s="17" t="n">
        <v>3111</v>
      </c>
      <c r="C16" s="18">
        <f>(2433.0/B16*100)</f>
        <v/>
      </c>
      <c r="D16" s="19" t="n">
        <v>678</v>
      </c>
      <c r="E16" s="18" t="n">
        <v>8.508248760000001</v>
      </c>
      <c r="F16" s="20" t="n">
        <v>1.12787434</v>
      </c>
      <c r="G16" s="18" t="n">
        <v>89.74880330000001</v>
      </c>
      <c r="H16" s="20" t="n">
        <v>1.32004674</v>
      </c>
      <c r="I16" s="18" t="n">
        <v>0</v>
      </c>
      <c r="J16" s="20" t="n">
        <v>0</v>
      </c>
      <c r="K16" s="18" t="n">
        <v>0.47711424</v>
      </c>
      <c r="L16" s="20" t="n">
        <v>0.312193</v>
      </c>
      <c r="M16" s="18" t="n">
        <v>0</v>
      </c>
      <c r="N16" s="20" t="n">
        <v>0</v>
      </c>
      <c r="O16" s="18" t="n">
        <v>0</v>
      </c>
      <c r="P16" s="20" t="n">
        <v>0</v>
      </c>
      <c r="Q16" s="18" t="n">
        <v>1.2658337</v>
      </c>
      <c r="R16" s="20" t="n">
        <v>0.43030446</v>
      </c>
    </row>
    <row r="17" spans="1:18">
      <c r="A17" s="15" t="s">
        <v>575</v>
      </c>
      <c r="B17" s="17" t="n">
        <v>3197</v>
      </c>
      <c r="C17" s="18">
        <f>(2542.0/B17*100)</f>
        <v/>
      </c>
      <c r="D17" s="19" t="n">
        <v>655</v>
      </c>
      <c r="E17" s="18" t="n">
        <v>6.82654608</v>
      </c>
      <c r="F17" s="20" t="n">
        <v>1.04140511</v>
      </c>
      <c r="G17" s="18" t="n">
        <v>92.57816231</v>
      </c>
      <c r="H17" s="20" t="n">
        <v>1.12259673</v>
      </c>
      <c r="I17" s="18" t="n">
        <v>0</v>
      </c>
      <c r="J17" s="20" t="n">
        <v>0</v>
      </c>
      <c r="K17" s="18" t="n">
        <v>0.15030591</v>
      </c>
      <c r="L17" s="20" t="n">
        <v>0.15117001</v>
      </c>
      <c r="M17" s="18" t="n">
        <v>0</v>
      </c>
      <c r="N17" s="20" t="n">
        <v>0</v>
      </c>
      <c r="O17" s="18" t="n">
        <v>0</v>
      </c>
      <c r="P17" s="20" t="n">
        <v>0</v>
      </c>
      <c r="Q17" s="18" t="n">
        <v>0.4449857</v>
      </c>
      <c r="R17" s="20" t="n">
        <v>0.2941425</v>
      </c>
    </row>
    <row r="18" spans="1:18">
      <c r="A18" s="15" t="s">
        <v>576</v>
      </c>
      <c r="B18" s="17" t="n">
        <v>2706</v>
      </c>
      <c r="C18" s="18">
        <f>(2110.0/B18*100)</f>
        <v/>
      </c>
      <c r="D18" s="19" t="n">
        <v>596</v>
      </c>
      <c r="E18" s="18" t="n">
        <v>9.434896589999999</v>
      </c>
      <c r="F18" s="20" t="n">
        <v>1.13186204</v>
      </c>
      <c r="G18" s="18" t="n">
        <v>88.71966801000001</v>
      </c>
      <c r="H18" s="20" t="n">
        <v>1.26957195</v>
      </c>
      <c r="I18" s="18" t="n">
        <v>0</v>
      </c>
      <c r="J18" s="20" t="n">
        <v>0</v>
      </c>
      <c r="K18" s="18" t="n">
        <v>0.09156269</v>
      </c>
      <c r="L18" s="20" t="n">
        <v>0.09116771999999999</v>
      </c>
      <c r="M18" s="18" t="n">
        <v>0</v>
      </c>
      <c r="N18" s="20" t="n">
        <v>0</v>
      </c>
      <c r="O18" s="18" t="n">
        <v>0</v>
      </c>
      <c r="P18" s="20" t="n">
        <v>0</v>
      </c>
      <c r="Q18" s="18" t="n">
        <v>1.7538727</v>
      </c>
      <c r="R18" s="20" t="n">
        <v>0.56344809</v>
      </c>
    </row>
    <row r="19" spans="1:18">
      <c r="A19" s="15" t="s">
        <v>577</v>
      </c>
      <c r="B19" s="17" t="n">
        <v>2850</v>
      </c>
      <c r="C19" s="18">
        <f>(2189.0/B19*100)</f>
        <v/>
      </c>
      <c r="D19" s="19" t="n">
        <v>661</v>
      </c>
      <c r="E19" s="18" t="n">
        <v>9.550865269999999</v>
      </c>
      <c r="F19" s="20" t="n">
        <v>1.40820496</v>
      </c>
      <c r="G19" s="18" t="n">
        <v>88.2012491</v>
      </c>
      <c r="H19" s="20" t="n">
        <v>1.43272286</v>
      </c>
      <c r="I19" s="18" t="n">
        <v>0</v>
      </c>
      <c r="J19" s="20" t="n">
        <v>0</v>
      </c>
      <c r="K19" s="18" t="n">
        <v>0.13996378</v>
      </c>
      <c r="L19" s="20" t="n">
        <v>0.11913049</v>
      </c>
      <c r="M19" s="18" t="n">
        <v>0</v>
      </c>
      <c r="N19" s="20" t="n">
        <v>0</v>
      </c>
      <c r="O19" s="18" t="n">
        <v>0</v>
      </c>
      <c r="P19" s="20" t="n">
        <v>0</v>
      </c>
      <c r="Q19" s="18" t="n">
        <v>2.10792185</v>
      </c>
      <c r="R19" s="20" t="n">
        <v>0.63217758</v>
      </c>
    </row>
    <row r="20" spans="1:18">
      <c r="A20" s="15" t="s">
        <v>578</v>
      </c>
      <c r="B20" s="17" t="n">
        <v>1741</v>
      </c>
      <c r="C20" s="18">
        <f>(1365.0/B20*100)</f>
        <v/>
      </c>
      <c r="D20" s="19" t="n">
        <v>376</v>
      </c>
      <c r="E20" s="18" t="n">
        <v>7.26603118</v>
      </c>
      <c r="F20" s="20" t="n">
        <v>1.21192335</v>
      </c>
      <c r="G20" s="18" t="n">
        <v>91.61011422</v>
      </c>
      <c r="H20" s="20" t="n">
        <v>1.34626425</v>
      </c>
      <c r="I20" s="18" t="n">
        <v>0</v>
      </c>
      <c r="J20" s="20" t="n">
        <v>0</v>
      </c>
      <c r="K20" s="18" t="n">
        <v>0</v>
      </c>
      <c r="L20" s="20" t="n">
        <v>0</v>
      </c>
      <c r="M20" s="18" t="n">
        <v>0</v>
      </c>
      <c r="N20" s="20" t="n">
        <v>0</v>
      </c>
      <c r="O20" s="18" t="n">
        <v>0</v>
      </c>
      <c r="P20" s="20" t="n">
        <v>0</v>
      </c>
      <c r="Q20" s="18" t="n">
        <v>1.12385461</v>
      </c>
      <c r="R20" s="20" t="n">
        <v>0.57485947</v>
      </c>
    </row>
    <row r="21" spans="1:18">
      <c r="A21" s="15" t="s">
        <v>579</v>
      </c>
      <c r="B21" s="17" t="n">
        <v>2833</v>
      </c>
      <c r="C21" s="18">
        <f>(2232.0/B21*100)</f>
        <v/>
      </c>
      <c r="D21" s="19" t="n">
        <v>601</v>
      </c>
      <c r="E21" s="18" t="n">
        <v>8.42889789</v>
      </c>
      <c r="F21" s="20" t="n">
        <v>1.09162257</v>
      </c>
      <c r="G21" s="18" t="n">
        <v>90.84586650999999</v>
      </c>
      <c r="H21" s="20" t="n">
        <v>1.08149219</v>
      </c>
      <c r="I21" s="18" t="n">
        <v>0</v>
      </c>
      <c r="J21" s="20" t="n">
        <v>0</v>
      </c>
      <c r="K21" s="18" t="n">
        <v>0.14552862</v>
      </c>
      <c r="L21" s="20" t="n">
        <v>0.10420409</v>
      </c>
      <c r="M21" s="18" t="n">
        <v>0</v>
      </c>
      <c r="N21" s="20" t="n">
        <v>0</v>
      </c>
      <c r="O21" s="18" t="n">
        <v>0</v>
      </c>
      <c r="P21" s="20" t="n">
        <v>0</v>
      </c>
      <c r="Q21" s="18" t="n">
        <v>0.57970699</v>
      </c>
      <c r="R21" s="20" t="n">
        <v>0.27977871</v>
      </c>
    </row>
    <row r="22" spans="1:18">
      <c r="A22" s="15" t="s">
        <v>580</v>
      </c>
      <c r="B22" s="17" t="n">
        <v>3667</v>
      </c>
      <c r="C22" s="18">
        <f>(2859.0/B22*100)</f>
        <v/>
      </c>
      <c r="D22" s="19" t="n">
        <v>808</v>
      </c>
      <c r="E22" s="18" t="n">
        <v>12.34718353</v>
      </c>
      <c r="F22" s="20" t="n">
        <v>1.04178239</v>
      </c>
      <c r="G22" s="18" t="n">
        <v>85.08579854</v>
      </c>
      <c r="H22" s="20" t="n">
        <v>1.28024019</v>
      </c>
      <c r="I22" s="18" t="n">
        <v>0</v>
      </c>
      <c r="J22" s="20" t="n">
        <v>0</v>
      </c>
      <c r="K22" s="18" t="n">
        <v>0.35351304</v>
      </c>
      <c r="L22" s="20" t="n">
        <v>0.21285592</v>
      </c>
      <c r="M22" s="18" t="n">
        <v>0</v>
      </c>
      <c r="N22" s="20" t="n">
        <v>0</v>
      </c>
      <c r="O22" s="18" t="n">
        <v>0</v>
      </c>
      <c r="P22" s="20" t="n">
        <v>0</v>
      </c>
      <c r="Q22" s="18" t="n">
        <v>2.2135049</v>
      </c>
      <c r="R22" s="20" t="n">
        <v>0.65955608</v>
      </c>
    </row>
    <row r="23" spans="1:18">
      <c r="A23" s="15" t="s">
        <v>581</v>
      </c>
      <c r="B23" s="17" t="n">
        <v>5792</v>
      </c>
      <c r="C23" s="18">
        <f>(4475.0/B23*100)</f>
        <v/>
      </c>
      <c r="D23" s="19" t="n">
        <v>1317</v>
      </c>
      <c r="E23" s="18" t="n">
        <v>9.12798066</v>
      </c>
      <c r="F23" s="20" t="n">
        <v>1.05152158</v>
      </c>
      <c r="G23" s="18" t="n">
        <v>88.71372364</v>
      </c>
      <c r="H23" s="20" t="n">
        <v>1.32194246</v>
      </c>
      <c r="I23" s="18" t="n">
        <v>0</v>
      </c>
      <c r="J23" s="20" t="n">
        <v>0</v>
      </c>
      <c r="K23" s="18" t="n">
        <v>0.30756467</v>
      </c>
      <c r="L23" s="20" t="n">
        <v>0.32037159</v>
      </c>
      <c r="M23" s="18" t="n">
        <v>0</v>
      </c>
      <c r="N23" s="20" t="n">
        <v>0</v>
      </c>
      <c r="O23" s="18" t="n">
        <v>0</v>
      </c>
      <c r="P23" s="20" t="n">
        <v>0</v>
      </c>
      <c r="Q23" s="18" t="n">
        <v>1.85073103</v>
      </c>
      <c r="R23" s="20" t="n">
        <v>0.68172375</v>
      </c>
    </row>
    <row r="24" spans="1:18">
      <c r="A24" s="15" t="s">
        <v>582</v>
      </c>
      <c r="B24" s="17" t="n">
        <v>3309</v>
      </c>
      <c r="C24" s="18">
        <f>(2601.0/B24*100)</f>
        <v/>
      </c>
      <c r="D24" s="19" t="n">
        <v>708</v>
      </c>
      <c r="E24" s="18" t="n">
        <v>9.76563969</v>
      </c>
      <c r="F24" s="20" t="n">
        <v>1.08978567</v>
      </c>
      <c r="G24" s="18" t="n">
        <v>90.15511782999999</v>
      </c>
      <c r="H24" s="20" t="n">
        <v>1.09033315</v>
      </c>
      <c r="I24" s="18" t="n">
        <v>0</v>
      </c>
      <c r="J24" s="20" t="n">
        <v>0</v>
      </c>
      <c r="K24" s="18" t="n">
        <v>0</v>
      </c>
      <c r="L24" s="20" t="n">
        <v>0</v>
      </c>
      <c r="M24" s="18" t="n">
        <v>0</v>
      </c>
      <c r="N24" s="20" t="n">
        <v>0</v>
      </c>
      <c r="O24" s="18" t="n">
        <v>0</v>
      </c>
      <c r="P24" s="20" t="n">
        <v>0</v>
      </c>
      <c r="Q24" s="18" t="n">
        <v>0.07924248</v>
      </c>
      <c r="R24" s="20" t="n">
        <v>0.07973015</v>
      </c>
    </row>
    <row r="25" spans="1:18">
      <c r="A25" s="15" t="s">
        <v>583</v>
      </c>
      <c r="B25" s="17" t="n">
        <v>2669</v>
      </c>
      <c r="C25" s="18">
        <f>(2091.0/B25*100)</f>
        <v/>
      </c>
      <c r="D25" s="19" t="n">
        <v>578</v>
      </c>
      <c r="E25" s="18" t="n">
        <v>9.250480870000001</v>
      </c>
      <c r="F25" s="20" t="n">
        <v>1.19393936</v>
      </c>
      <c r="G25" s="18" t="n">
        <v>89.61609836</v>
      </c>
      <c r="H25" s="20" t="n">
        <v>1.1543964</v>
      </c>
      <c r="I25" s="18" t="n">
        <v>0</v>
      </c>
      <c r="J25" s="20" t="n">
        <v>0</v>
      </c>
      <c r="K25" s="18" t="n">
        <v>0</v>
      </c>
      <c r="L25" s="20" t="n">
        <v>0</v>
      </c>
      <c r="M25" s="18" t="n">
        <v>0</v>
      </c>
      <c r="N25" s="20" t="n">
        <v>0</v>
      </c>
      <c r="O25" s="18" t="n">
        <v>0</v>
      </c>
      <c r="P25" s="20" t="n">
        <v>0</v>
      </c>
      <c r="Q25" s="18" t="n">
        <v>1.13342077</v>
      </c>
      <c r="R25" s="20" t="n">
        <v>0.49925632</v>
      </c>
    </row>
    <row r="26" spans="1:18">
      <c r="A26" s="15" t="s">
        <v>584</v>
      </c>
      <c r="B26" s="17" t="n">
        <v>2419</v>
      </c>
      <c r="C26" s="18">
        <f>(1854.0/B26*100)</f>
        <v/>
      </c>
      <c r="D26" s="19" t="n">
        <v>565</v>
      </c>
      <c r="E26" s="18" t="n">
        <v>6.96778214</v>
      </c>
      <c r="F26" s="20" t="n">
        <v>1.30048207</v>
      </c>
      <c r="G26" s="18" t="n">
        <v>92.71744952</v>
      </c>
      <c r="H26" s="20" t="n">
        <v>1.31282902</v>
      </c>
      <c r="I26" s="18" t="n">
        <v>0</v>
      </c>
      <c r="J26" s="20" t="n">
        <v>0</v>
      </c>
      <c r="K26" s="18" t="n">
        <v>0</v>
      </c>
      <c r="L26" s="20" t="n">
        <v>0</v>
      </c>
      <c r="M26" s="18" t="n">
        <v>0</v>
      </c>
      <c r="N26" s="20" t="n">
        <v>0</v>
      </c>
      <c r="O26" s="18" t="n">
        <v>0</v>
      </c>
      <c r="P26" s="20" t="n">
        <v>0</v>
      </c>
      <c r="Q26" s="18" t="n">
        <v>0.31476834</v>
      </c>
      <c r="R26" s="20" t="n">
        <v>0.21727869</v>
      </c>
    </row>
    <row r="27" spans="1:18">
      <c r="A27" s="15" t="s">
        <v>585</v>
      </c>
      <c r="B27" s="17" t="n">
        <v>2683</v>
      </c>
      <c r="C27" s="18">
        <f>(2119.0/B27*100)</f>
        <v/>
      </c>
      <c r="D27" s="19" t="n">
        <v>564</v>
      </c>
      <c r="E27" s="18" t="n">
        <v>7.87649923</v>
      </c>
      <c r="F27" s="20" t="n">
        <v>0.94002075</v>
      </c>
      <c r="G27" s="18" t="n">
        <v>91.2352985</v>
      </c>
      <c r="H27" s="20" t="n">
        <v>1.07510856</v>
      </c>
      <c r="I27" s="18" t="n">
        <v>0</v>
      </c>
      <c r="J27" s="20" t="n">
        <v>0</v>
      </c>
      <c r="K27" s="18" t="n">
        <v>0</v>
      </c>
      <c r="L27" s="20" t="n">
        <v>0</v>
      </c>
      <c r="M27" s="18" t="n">
        <v>0</v>
      </c>
      <c r="N27" s="20" t="n">
        <v>0</v>
      </c>
      <c r="O27" s="18" t="n">
        <v>0</v>
      </c>
      <c r="P27" s="20" t="n">
        <v>0</v>
      </c>
      <c r="Q27" s="18" t="n">
        <v>0.88820227</v>
      </c>
      <c r="R27" s="20" t="n">
        <v>0.39925322</v>
      </c>
    </row>
    <row r="28" spans="1:18">
      <c r="A28" s="15" t="s">
        <v>586</v>
      </c>
      <c r="B28" s="17" t="n">
        <v>3803</v>
      </c>
      <c r="C28" s="18">
        <f>(2938.0/B28*100)</f>
        <v/>
      </c>
      <c r="D28" s="19" t="n">
        <v>865</v>
      </c>
      <c r="E28" s="18" t="n">
        <v>10.98051069</v>
      </c>
      <c r="F28" s="20" t="n">
        <v>1.22047563</v>
      </c>
      <c r="G28" s="18" t="n">
        <v>84.82428544</v>
      </c>
      <c r="H28" s="20" t="n">
        <v>1.54870823</v>
      </c>
      <c r="I28" s="18" t="n">
        <v>0</v>
      </c>
      <c r="J28" s="20" t="n">
        <v>0</v>
      </c>
      <c r="K28" s="18" t="n">
        <v>0.19862954</v>
      </c>
      <c r="L28" s="20" t="n">
        <v>0.19869268</v>
      </c>
      <c r="M28" s="18" t="n">
        <v>0</v>
      </c>
      <c r="N28" s="20" t="n">
        <v>0</v>
      </c>
      <c r="O28" s="18" t="n">
        <v>0</v>
      </c>
      <c r="P28" s="20" t="n">
        <v>0</v>
      </c>
      <c r="Q28" s="18" t="n">
        <v>3.99657433</v>
      </c>
      <c r="R28" s="20" t="n">
        <v>0.8547544500000001</v>
      </c>
    </row>
    <row r="29" spans="1:18">
      <c r="A29" s="15" t="s">
        <v>587</v>
      </c>
      <c r="B29" s="17" t="n">
        <v>2700</v>
      </c>
      <c r="C29" s="18">
        <f>(2113.0/B29*100)</f>
        <v/>
      </c>
      <c r="D29" s="19" t="n">
        <v>587</v>
      </c>
      <c r="E29" s="18" t="n">
        <v>7.77370797</v>
      </c>
      <c r="F29" s="20" t="n">
        <v>1.17680825</v>
      </c>
      <c r="G29" s="18" t="n">
        <v>91.506062</v>
      </c>
      <c r="H29" s="20" t="n">
        <v>1.29068151</v>
      </c>
      <c r="I29" s="18" t="n">
        <v>0</v>
      </c>
      <c r="J29" s="20" t="n">
        <v>0</v>
      </c>
      <c r="K29" s="18" t="n">
        <v>0.36541936</v>
      </c>
      <c r="L29" s="20" t="n">
        <v>0.22230841</v>
      </c>
      <c r="M29" s="18" t="n">
        <v>0</v>
      </c>
      <c r="N29" s="20" t="n">
        <v>0</v>
      </c>
      <c r="O29" s="18" t="n">
        <v>0</v>
      </c>
      <c r="P29" s="20" t="n">
        <v>0</v>
      </c>
      <c r="Q29" s="18" t="n">
        <v>0.35481067</v>
      </c>
      <c r="R29" s="20" t="n">
        <v>0.24263624</v>
      </c>
    </row>
    <row r="30" spans="1:18">
      <c r="A30" s="15" t="s">
        <v>588</v>
      </c>
      <c r="B30" s="17" t="n">
        <v>2257</v>
      </c>
      <c r="C30" s="18">
        <f>(1768.0/B30*100)</f>
        <v/>
      </c>
      <c r="D30" s="19" t="n">
        <v>489</v>
      </c>
      <c r="E30" s="18" t="n">
        <v>7.02728429</v>
      </c>
      <c r="F30" s="20" t="n">
        <v>1.01931075</v>
      </c>
      <c r="G30" s="18" t="n">
        <v>92.11528803</v>
      </c>
      <c r="H30" s="20" t="n">
        <v>1.06750656</v>
      </c>
      <c r="I30" s="18" t="n">
        <v>0</v>
      </c>
      <c r="J30" s="20" t="n">
        <v>0</v>
      </c>
      <c r="K30" s="18" t="n">
        <v>0.19647332</v>
      </c>
      <c r="L30" s="20" t="n">
        <v>0.17051619</v>
      </c>
      <c r="M30" s="18" t="n">
        <v>0</v>
      </c>
      <c r="N30" s="20" t="n">
        <v>0</v>
      </c>
      <c r="O30" s="18" t="n">
        <v>0</v>
      </c>
      <c r="P30" s="20" t="n">
        <v>0</v>
      </c>
      <c r="Q30" s="18" t="n">
        <v>0.66095436</v>
      </c>
      <c r="R30" s="20" t="n">
        <v>0.4105997</v>
      </c>
    </row>
    <row r="31" spans="1:18">
      <c r="A31" s="15" t="s">
        <v>589</v>
      </c>
      <c r="B31" s="17" t="n">
        <v>2706</v>
      </c>
      <c r="C31" s="18">
        <f>(2105.0/B31*100)</f>
        <v/>
      </c>
      <c r="D31" s="19" t="n">
        <v>601</v>
      </c>
      <c r="E31" s="18" t="n">
        <v>10.00529432</v>
      </c>
      <c r="F31" s="20" t="n">
        <v>1.18900171</v>
      </c>
      <c r="G31" s="18" t="n">
        <v>88.7782694</v>
      </c>
      <c r="H31" s="20" t="n">
        <v>1.21610518</v>
      </c>
      <c r="I31" s="18" t="n">
        <v>0</v>
      </c>
      <c r="J31" s="20" t="n">
        <v>0</v>
      </c>
      <c r="K31" s="18" t="n">
        <v>0.31769504</v>
      </c>
      <c r="L31" s="20" t="n">
        <v>0.21991882</v>
      </c>
      <c r="M31" s="18" t="n">
        <v>0</v>
      </c>
      <c r="N31" s="20" t="n">
        <v>0</v>
      </c>
      <c r="O31" s="18" t="n">
        <v>0</v>
      </c>
      <c r="P31" s="20" t="n">
        <v>0</v>
      </c>
      <c r="Q31" s="18" t="n">
        <v>0.89874124</v>
      </c>
      <c r="R31" s="20" t="n">
        <v>0.38839709</v>
      </c>
    </row>
    <row r="32" spans="1:18">
      <c r="A32" s="15" t="s">
        <v>590</v>
      </c>
      <c r="B32" s="17" t="n">
        <v>2209</v>
      </c>
      <c r="C32" s="18">
        <f>(1730.0/B32*100)</f>
        <v/>
      </c>
      <c r="D32" s="19" t="n">
        <v>479</v>
      </c>
      <c r="E32" s="18" t="n">
        <v>6.69994212</v>
      </c>
      <c r="F32" s="20" t="n">
        <v>1.28522729</v>
      </c>
      <c r="G32" s="18" t="n">
        <v>92.51476244</v>
      </c>
      <c r="H32" s="20" t="n">
        <v>1.37102243</v>
      </c>
      <c r="I32" s="18" t="n">
        <v>0</v>
      </c>
      <c r="J32" s="20" t="n">
        <v>0</v>
      </c>
      <c r="K32" s="18" t="n">
        <v>0</v>
      </c>
      <c r="L32" s="20" t="n">
        <v>0</v>
      </c>
      <c r="M32" s="18" t="n">
        <v>0</v>
      </c>
      <c r="N32" s="20" t="n">
        <v>0</v>
      </c>
      <c r="O32" s="18" t="n">
        <v>0</v>
      </c>
      <c r="P32" s="20" t="n">
        <v>0</v>
      </c>
      <c r="Q32" s="18" t="n">
        <v>0.78529543</v>
      </c>
      <c r="R32" s="20" t="n">
        <v>0.39102041</v>
      </c>
    </row>
    <row r="33" spans="1:18">
      <c r="A33" s="15" t="s">
        <v>591</v>
      </c>
      <c r="B33" s="17" t="n">
        <v>3651</v>
      </c>
      <c r="C33" s="18">
        <f>(2834.0/B33*100)</f>
        <v/>
      </c>
      <c r="D33" s="19" t="n">
        <v>817</v>
      </c>
      <c r="E33" s="18" t="n">
        <v>8.18957256</v>
      </c>
      <c r="F33" s="20" t="n">
        <v>1.26616572</v>
      </c>
      <c r="G33" s="18" t="n">
        <v>91.42173194999999</v>
      </c>
      <c r="H33" s="20" t="n">
        <v>1.30611698</v>
      </c>
      <c r="I33" s="18" t="n">
        <v>0</v>
      </c>
      <c r="J33" s="20" t="n">
        <v>0</v>
      </c>
      <c r="K33" s="18" t="n">
        <v>0</v>
      </c>
      <c r="L33" s="20" t="n">
        <v>0</v>
      </c>
      <c r="M33" s="18" t="n">
        <v>0</v>
      </c>
      <c r="N33" s="20" t="n">
        <v>0</v>
      </c>
      <c r="O33" s="18" t="n">
        <v>0</v>
      </c>
      <c r="P33" s="20" t="n">
        <v>0</v>
      </c>
      <c r="Q33" s="18" t="n">
        <v>0.38869549</v>
      </c>
      <c r="R33" s="20" t="n">
        <v>0.27030006</v>
      </c>
    </row>
    <row r="34" spans="1:18">
      <c r="A34" s="15" t="s">
        <v>592</v>
      </c>
      <c r="B34" s="17" t="n">
        <v>3035</v>
      </c>
      <c r="C34" s="18">
        <f>(2391.0/B34*100)</f>
        <v/>
      </c>
      <c r="D34" s="19" t="n">
        <v>644</v>
      </c>
      <c r="E34" s="18" t="n">
        <v>7.07485274</v>
      </c>
      <c r="F34" s="20" t="n">
        <v>1.0718233</v>
      </c>
      <c r="G34" s="18" t="n">
        <v>90.85365739</v>
      </c>
      <c r="H34" s="20" t="n">
        <v>1.11401136</v>
      </c>
      <c r="I34" s="18" t="n">
        <v>0</v>
      </c>
      <c r="J34" s="20" t="n">
        <v>0</v>
      </c>
      <c r="K34" s="18" t="n">
        <v>0</v>
      </c>
      <c r="L34" s="20" t="n">
        <v>0</v>
      </c>
      <c r="M34" s="18" t="n">
        <v>0</v>
      </c>
      <c r="N34" s="20" t="n">
        <v>0</v>
      </c>
      <c r="O34" s="18" t="n">
        <v>0</v>
      </c>
      <c r="P34" s="20" t="n">
        <v>0</v>
      </c>
      <c r="Q34" s="18" t="n">
        <v>2.07148987</v>
      </c>
      <c r="R34" s="20" t="n">
        <v>0.59840306</v>
      </c>
    </row>
    <row r="35" spans="1:18">
      <c r="A35" s="15" t="s">
        <v>593</v>
      </c>
      <c r="B35" s="17" t="n">
        <v>2901</v>
      </c>
      <c r="C35" s="18">
        <f>(2261.0/B35*100)</f>
        <v/>
      </c>
      <c r="D35" s="19" t="n">
        <v>640</v>
      </c>
      <c r="E35" s="18" t="n">
        <v>5.96980882</v>
      </c>
      <c r="F35" s="20" t="n">
        <v>1.16037921</v>
      </c>
      <c r="G35" s="18" t="n">
        <v>93.56971222999999</v>
      </c>
      <c r="H35" s="20" t="n">
        <v>1.20312117</v>
      </c>
      <c r="I35" s="18" t="n">
        <v>0</v>
      </c>
      <c r="J35" s="20" t="n">
        <v>0</v>
      </c>
      <c r="K35" s="18" t="n">
        <v>0</v>
      </c>
      <c r="L35" s="20" t="n">
        <v>0</v>
      </c>
      <c r="M35" s="18" t="n">
        <v>0</v>
      </c>
      <c r="N35" s="20" t="n">
        <v>0</v>
      </c>
      <c r="O35" s="18" t="n">
        <v>0</v>
      </c>
      <c r="P35" s="20" t="n">
        <v>0</v>
      </c>
      <c r="Q35" s="18" t="n">
        <v>0.46047894</v>
      </c>
      <c r="R35" s="20" t="n">
        <v>0.23360969</v>
      </c>
    </row>
    <row r="36" spans="1:18">
      <c r="A36" s="15" t="s">
        <v>594</v>
      </c>
      <c r="B36" s="17" t="n">
        <v>3404</v>
      </c>
      <c r="C36" s="18">
        <f>(2617.0/B36*100)</f>
        <v/>
      </c>
      <c r="D36" s="19" t="n">
        <v>787</v>
      </c>
      <c r="E36" s="18" t="n">
        <v>6.49726007</v>
      </c>
      <c r="F36" s="20" t="n">
        <v>0.9209739</v>
      </c>
      <c r="G36" s="18" t="n">
        <v>91.70558054</v>
      </c>
      <c r="H36" s="20" t="n">
        <v>1.1135076</v>
      </c>
      <c r="I36" s="18" t="n">
        <v>0</v>
      </c>
      <c r="J36" s="20" t="n">
        <v>0</v>
      </c>
      <c r="K36" s="18" t="n">
        <v>0</v>
      </c>
      <c r="L36" s="20" t="n">
        <v>0</v>
      </c>
      <c r="M36" s="18" t="n">
        <v>0</v>
      </c>
      <c r="N36" s="20" t="n">
        <v>0</v>
      </c>
      <c r="O36" s="18" t="n">
        <v>0</v>
      </c>
      <c r="P36" s="20" t="n">
        <v>0</v>
      </c>
      <c r="Q36" s="18" t="n">
        <v>1.7971594</v>
      </c>
      <c r="R36" s="20" t="n">
        <v>0.5528874</v>
      </c>
    </row>
    <row r="37" spans="1:18">
      <c r="A37" s="15" t="s">
        <v>595</v>
      </c>
      <c r="B37" s="17" t="n">
        <v>2731</v>
      </c>
      <c r="C37" s="18">
        <f>(2141.0/B37*100)</f>
        <v/>
      </c>
      <c r="D37" s="19" t="n">
        <v>590</v>
      </c>
      <c r="E37" s="18" t="n">
        <v>8.675605859999999</v>
      </c>
      <c r="F37" s="20" t="n">
        <v>1.01186469</v>
      </c>
      <c r="G37" s="18" t="n">
        <v>88.79805302</v>
      </c>
      <c r="H37" s="20" t="n">
        <v>1.10991477</v>
      </c>
      <c r="I37" s="18" t="n">
        <v>0</v>
      </c>
      <c r="J37" s="20" t="n">
        <v>0</v>
      </c>
      <c r="K37" s="18" t="n">
        <v>0.14263119</v>
      </c>
      <c r="L37" s="20" t="n">
        <v>0.1421553</v>
      </c>
      <c r="M37" s="18" t="n">
        <v>0</v>
      </c>
      <c r="N37" s="20" t="n">
        <v>0</v>
      </c>
      <c r="O37" s="18" t="n">
        <v>0</v>
      </c>
      <c r="P37" s="20" t="n">
        <v>0</v>
      </c>
      <c r="Q37" s="18" t="n">
        <v>2.38370994</v>
      </c>
      <c r="R37" s="20" t="n">
        <v>0.56896137</v>
      </c>
    </row>
    <row r="38" spans="1:18">
      <c r="A38" s="15" t="s">
        <v>596</v>
      </c>
      <c r="B38" s="17" t="n">
        <v>2807</v>
      </c>
      <c r="C38" s="18">
        <f>(2177.0/B38*100)</f>
        <v/>
      </c>
      <c r="D38" s="19" t="n">
        <v>630</v>
      </c>
      <c r="E38" s="18" t="n">
        <v>8.246390290000001</v>
      </c>
      <c r="F38" s="20" t="n">
        <v>1.41207327</v>
      </c>
      <c r="G38" s="18" t="n">
        <v>91.33440089</v>
      </c>
      <c r="H38" s="20" t="n">
        <v>1.41493314</v>
      </c>
      <c r="I38" s="18" t="n">
        <v>0</v>
      </c>
      <c r="J38" s="20" t="n">
        <v>0</v>
      </c>
      <c r="K38" s="18" t="n">
        <v>0</v>
      </c>
      <c r="L38" s="20" t="n">
        <v>0</v>
      </c>
      <c r="M38" s="18" t="n">
        <v>0</v>
      </c>
      <c r="N38" s="20" t="n">
        <v>0</v>
      </c>
      <c r="O38" s="18" t="n">
        <v>0</v>
      </c>
      <c r="P38" s="20" t="n">
        <v>0</v>
      </c>
      <c r="Q38" s="18" t="n">
        <v>0.41920882</v>
      </c>
      <c r="R38" s="20" t="n">
        <v>0.22579031</v>
      </c>
    </row>
    <row r="39" spans="1:18">
      <c r="A39" s="15" t="s">
        <v>597</v>
      </c>
      <c r="B39" s="17" t="n">
        <v>2938</v>
      </c>
      <c r="C39" s="18">
        <f>(2280.0/B39*100)</f>
        <v/>
      </c>
      <c r="D39" s="19" t="n">
        <v>658</v>
      </c>
      <c r="E39" s="18" t="n">
        <v>19.53450123</v>
      </c>
      <c r="F39" s="20" t="n">
        <v>1.72817079</v>
      </c>
      <c r="G39" s="18" t="n">
        <v>77.8283479</v>
      </c>
      <c r="H39" s="20" t="n">
        <v>1.75815464</v>
      </c>
      <c r="I39" s="18" t="n">
        <v>0</v>
      </c>
      <c r="J39" s="20" t="n">
        <v>0</v>
      </c>
      <c r="K39" s="18" t="n">
        <v>0.14297186</v>
      </c>
      <c r="L39" s="20" t="n">
        <v>0.14363385</v>
      </c>
      <c r="M39" s="18" t="n">
        <v>0</v>
      </c>
      <c r="N39" s="20" t="n">
        <v>0</v>
      </c>
      <c r="O39" s="18" t="n">
        <v>0</v>
      </c>
      <c r="P39" s="20" t="n">
        <v>0</v>
      </c>
      <c r="Q39" s="18" t="n">
        <v>2.49417902</v>
      </c>
      <c r="R39" s="20" t="n">
        <v>0.79700165</v>
      </c>
    </row>
    <row r="40" spans="1:18">
      <c r="A40" s="15" t="s">
        <v>598</v>
      </c>
      <c r="B40" s="17" t="n">
        <v>6922</v>
      </c>
      <c r="C40" s="18">
        <f>(5387.0/B40*100)</f>
        <v/>
      </c>
      <c r="D40" s="19" t="n">
        <v>1535</v>
      </c>
      <c r="E40" s="18" t="n">
        <v>7.97109172</v>
      </c>
      <c r="F40" s="20" t="n">
        <v>1.20338031</v>
      </c>
      <c r="G40" s="18" t="n">
        <v>91.18985223999999</v>
      </c>
      <c r="H40" s="20" t="n">
        <v>1.26377268</v>
      </c>
      <c r="I40" s="18" t="n">
        <v>0</v>
      </c>
      <c r="J40" s="20" t="n">
        <v>0</v>
      </c>
      <c r="K40" s="18" t="n">
        <v>0</v>
      </c>
      <c r="L40" s="20" t="n">
        <v>0</v>
      </c>
      <c r="M40" s="18" t="n">
        <v>0</v>
      </c>
      <c r="N40" s="20" t="n">
        <v>0</v>
      </c>
      <c r="O40" s="18" t="n">
        <v>0</v>
      </c>
      <c r="P40" s="20" t="n">
        <v>0</v>
      </c>
      <c r="Q40" s="18" t="n">
        <v>0.83905604</v>
      </c>
      <c r="R40" s="20" t="n">
        <v>0.42061967</v>
      </c>
    </row>
    <row r="41" spans="1:18">
      <c r="A41" s="15" t="s">
        <v>599</v>
      </c>
      <c r="B41" s="17" t="n">
        <v>2854</v>
      </c>
      <c r="C41" s="18">
        <f>(2250.0/B41*100)</f>
        <v/>
      </c>
      <c r="D41" s="19" t="n">
        <v>604</v>
      </c>
      <c r="E41" s="18" t="n">
        <v>7.72777672</v>
      </c>
      <c r="F41" s="20" t="n">
        <v>1.24047589</v>
      </c>
      <c r="G41" s="18" t="n">
        <v>91.16648696999999</v>
      </c>
      <c r="H41" s="20" t="n">
        <v>1.31227365</v>
      </c>
      <c r="I41" s="18" t="n">
        <v>0</v>
      </c>
      <c r="J41" s="20" t="n">
        <v>0</v>
      </c>
      <c r="K41" s="18" t="n">
        <v>0</v>
      </c>
      <c r="L41" s="20" t="n">
        <v>0</v>
      </c>
      <c r="M41" s="18" t="n">
        <v>0</v>
      </c>
      <c r="N41" s="20" t="n">
        <v>0</v>
      </c>
      <c r="O41" s="18" t="n">
        <v>0</v>
      </c>
      <c r="P41" s="20" t="n">
        <v>0</v>
      </c>
      <c r="Q41" s="18" t="n">
        <v>1.10573632</v>
      </c>
      <c r="R41" s="20" t="n">
        <v>0.43675258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(9624.0/B46*100)</f>
        <v/>
      </c>
      <c r="D46" s="19" t="n">
        <v>2449</v>
      </c>
      <c r="E46" s="18" t="n">
        <v>15.18463679</v>
      </c>
      <c r="F46" s="20" t="n">
        <v>0.93487555</v>
      </c>
      <c r="G46" s="18" t="n">
        <v>76.90321508</v>
      </c>
      <c r="H46" s="20" t="n">
        <v>1.16154899</v>
      </c>
      <c r="I46" s="18" t="n">
        <v>0</v>
      </c>
      <c r="J46" s="20" t="n">
        <v>0</v>
      </c>
      <c r="K46" s="18" t="n">
        <v>0.70480042</v>
      </c>
      <c r="L46" s="20" t="n">
        <v>0.27780972</v>
      </c>
      <c r="M46" s="18" t="n">
        <v>0</v>
      </c>
      <c r="N46" s="20" t="n">
        <v>0</v>
      </c>
      <c r="O46" s="18" t="n">
        <v>0</v>
      </c>
      <c r="P46" s="20" t="n">
        <v>0</v>
      </c>
      <c r="Q46" s="18" t="n">
        <v>7.20734772</v>
      </c>
      <c r="R46" s="20" t="n">
        <v>0.71175702</v>
      </c>
    </row>
    <row r="47" spans="1:18">
      <c r="A47" s="15" t="s">
        <v>606</v>
      </c>
      <c r="B47" s="17" t="n">
        <v>2823</v>
      </c>
      <c r="C47" s="18">
        <f>(2180.0/B47*100)</f>
        <v/>
      </c>
      <c r="D47" s="19" t="n">
        <v>643</v>
      </c>
      <c r="E47" s="18" t="n">
        <v>8.38309901</v>
      </c>
      <c r="F47" s="20" t="n">
        <v>1.06891139</v>
      </c>
      <c r="G47" s="18" t="n">
        <v>86.04568313999999</v>
      </c>
      <c r="H47" s="20" t="n">
        <v>1.34105029</v>
      </c>
      <c r="I47" s="18" t="n">
        <v>0</v>
      </c>
      <c r="J47" s="20" t="n">
        <v>0</v>
      </c>
      <c r="K47" s="18" t="n">
        <v>0.47440633</v>
      </c>
      <c r="L47" s="20" t="n">
        <v>0.29434033</v>
      </c>
      <c r="M47" s="18" t="n">
        <v>0</v>
      </c>
      <c r="N47" s="20" t="n">
        <v>0</v>
      </c>
      <c r="O47" s="18" t="n">
        <v>0</v>
      </c>
      <c r="P47" s="20" t="n">
        <v>0</v>
      </c>
      <c r="Q47" s="18" t="n">
        <v>5.09681152</v>
      </c>
      <c r="R47" s="20" t="n">
        <v>0.90754602</v>
      </c>
    </row>
    <row r="48" spans="1:18">
      <c r="A48" s="15" t="s">
        <v>607</v>
      </c>
      <c r="B48" s="17" t="n">
        <v>4682</v>
      </c>
      <c r="C48" s="18">
        <f>(3679.0/B48*100)</f>
        <v/>
      </c>
      <c r="D48" s="19" t="n">
        <v>1003</v>
      </c>
      <c r="E48" s="18" t="n">
        <v>9.45111769</v>
      </c>
      <c r="F48" s="20" t="n">
        <v>1.24998803</v>
      </c>
      <c r="G48" s="18" t="n">
        <v>88.05238507</v>
      </c>
      <c r="H48" s="20" t="n">
        <v>1.46645498</v>
      </c>
      <c r="I48" s="18" t="n">
        <v>0</v>
      </c>
      <c r="J48" s="20" t="n">
        <v>0</v>
      </c>
      <c r="K48" s="18" t="n">
        <v>0.63320994</v>
      </c>
      <c r="L48" s="20" t="n">
        <v>0.32961638</v>
      </c>
      <c r="M48" s="18" t="n">
        <v>0</v>
      </c>
      <c r="N48" s="20" t="n">
        <v>0</v>
      </c>
      <c r="O48" s="18" t="n">
        <v>0</v>
      </c>
      <c r="P48" s="20" t="n">
        <v>0</v>
      </c>
      <c r="Q48" s="18" t="n">
        <v>1.8632873</v>
      </c>
      <c r="R48" s="20" t="n">
        <v>0.65782425</v>
      </c>
    </row>
    <row r="49" spans="1:18">
      <c r="A49" s="15" t="s">
        <v>608</v>
      </c>
      <c r="B49" s="17" t="n">
        <v>6158</v>
      </c>
      <c r="C49" s="18">
        <f>(4793.0/B49*100)</f>
        <v/>
      </c>
      <c r="D49" s="19" t="n">
        <v>1365</v>
      </c>
      <c r="E49" s="18" t="n">
        <v>11.65581092</v>
      </c>
      <c r="F49" s="20" t="n">
        <v>1.18114067</v>
      </c>
      <c r="G49" s="18" t="n">
        <v>84.30310999</v>
      </c>
      <c r="H49" s="20" t="n">
        <v>1.58491611</v>
      </c>
      <c r="I49" s="18" t="n">
        <v>0</v>
      </c>
      <c r="J49" s="20" t="n">
        <v>0</v>
      </c>
      <c r="K49" s="18" t="n">
        <v>0.47804421</v>
      </c>
      <c r="L49" s="20" t="n">
        <v>0.2438648</v>
      </c>
      <c r="M49" s="18" t="n">
        <v>0</v>
      </c>
      <c r="N49" s="20" t="n">
        <v>0</v>
      </c>
      <c r="O49" s="18" t="n">
        <v>0</v>
      </c>
      <c r="P49" s="20" t="n">
        <v>0</v>
      </c>
      <c r="Q49" s="18" t="n">
        <v>3.56303488</v>
      </c>
      <c r="R49" s="20" t="n">
        <v>0.76563696</v>
      </c>
    </row>
    <row r="50" spans="1:18">
      <c r="A50" s="15" t="s">
        <v>609</v>
      </c>
      <c r="B50" s="17" t="n">
        <v>3494</v>
      </c>
      <c r="C50" s="18">
        <f>(2795.0/B50*100)</f>
        <v/>
      </c>
      <c r="D50" s="19" t="n">
        <v>699</v>
      </c>
      <c r="E50" s="18" t="n">
        <v>12.78649005</v>
      </c>
      <c r="F50" s="20" t="n">
        <v>1.51706881</v>
      </c>
      <c r="G50" s="18" t="n">
        <v>85.49503962999999</v>
      </c>
      <c r="H50" s="20" t="n">
        <v>1.66570072</v>
      </c>
      <c r="I50" s="18" t="n">
        <v>0</v>
      </c>
      <c r="J50" s="20" t="n">
        <v>0</v>
      </c>
      <c r="K50" s="18" t="n">
        <v>0.13970218</v>
      </c>
      <c r="L50" s="20" t="n">
        <v>0.148332</v>
      </c>
      <c r="M50" s="18" t="n">
        <v>0</v>
      </c>
      <c r="N50" s="20" t="n">
        <v>0</v>
      </c>
      <c r="O50" s="18" t="n">
        <v>0</v>
      </c>
      <c r="P50" s="20" t="n">
        <v>0</v>
      </c>
      <c r="Q50" s="18" t="n">
        <v>1.57876814</v>
      </c>
      <c r="R50" s="20" t="n">
        <v>0.49962775</v>
      </c>
    </row>
    <row r="51" spans="1:18">
      <c r="A51" s="15" t="s">
        <v>610</v>
      </c>
      <c r="B51" s="17" t="n">
        <v>3013</v>
      </c>
      <c r="C51" s="18">
        <f>(2363.0/B51*100)</f>
        <v/>
      </c>
      <c r="D51" s="19" t="n">
        <v>650</v>
      </c>
      <c r="E51" s="18" t="n">
        <v>6.21271616</v>
      </c>
      <c r="F51" s="20" t="n">
        <v>0.93652765</v>
      </c>
      <c r="G51" s="18" t="n">
        <v>91.5006207</v>
      </c>
      <c r="H51" s="20" t="n">
        <v>1.17403212</v>
      </c>
      <c r="I51" s="18" t="n">
        <v>0</v>
      </c>
      <c r="J51" s="20" t="n">
        <v>0</v>
      </c>
      <c r="K51" s="18" t="n">
        <v>0</v>
      </c>
      <c r="L51" s="20" t="n">
        <v>0</v>
      </c>
      <c r="M51" s="18" t="n">
        <v>0</v>
      </c>
      <c r="N51" s="20" t="n">
        <v>0</v>
      </c>
      <c r="O51" s="18" t="n">
        <v>0</v>
      </c>
      <c r="P51" s="20" t="n">
        <v>0</v>
      </c>
      <c r="Q51" s="18" t="n">
        <v>2.28666314</v>
      </c>
      <c r="R51" s="20" t="n">
        <v>0.6870908999999999</v>
      </c>
    </row>
    <row r="52" spans="1:18">
      <c r="A52" s="15" t="s">
        <v>611</v>
      </c>
      <c r="B52" s="17" t="n">
        <v>2760</v>
      </c>
      <c r="C52" s="18">
        <f>(2156.0/B52*100)</f>
        <v/>
      </c>
      <c r="D52" s="19" t="n">
        <v>604</v>
      </c>
      <c r="E52" s="18" t="n">
        <v>12.79856578</v>
      </c>
      <c r="F52" s="20" t="n">
        <v>1.27290031</v>
      </c>
      <c r="G52" s="18" t="n">
        <v>85.50592309</v>
      </c>
      <c r="H52" s="20" t="n">
        <v>1.37512691</v>
      </c>
      <c r="I52" s="18" t="n">
        <v>0</v>
      </c>
      <c r="J52" s="20" t="n">
        <v>0</v>
      </c>
      <c r="K52" s="18" t="n">
        <v>0</v>
      </c>
      <c r="L52" s="20" t="n">
        <v>0</v>
      </c>
      <c r="M52" s="18" t="n">
        <v>0</v>
      </c>
      <c r="N52" s="20" t="n">
        <v>0</v>
      </c>
      <c r="O52" s="18" t="n">
        <v>0</v>
      </c>
      <c r="P52" s="20" t="n">
        <v>0</v>
      </c>
      <c r="Q52" s="18" t="n">
        <v>1.69551113</v>
      </c>
      <c r="R52" s="20" t="n">
        <v>0.54346238</v>
      </c>
    </row>
    <row r="53" spans="1:18">
      <c r="A53" s="15" t="s">
        <v>612</v>
      </c>
      <c r="B53" s="17" t="n">
        <v>2474</v>
      </c>
      <c r="C53" s="18">
        <f>(1887.0/B53*100)</f>
        <v/>
      </c>
      <c r="D53" s="19" t="n">
        <v>587</v>
      </c>
      <c r="E53" s="18" t="n">
        <v>22.79525896</v>
      </c>
      <c r="F53" s="20" t="n">
        <v>1.92476476</v>
      </c>
      <c r="G53" s="18" t="n">
        <v>55.44909647</v>
      </c>
      <c r="H53" s="20" t="n">
        <v>2.41529947</v>
      </c>
      <c r="I53" s="18" t="n">
        <v>0</v>
      </c>
      <c r="J53" s="20" t="n">
        <v>0</v>
      </c>
      <c r="K53" s="18" t="n">
        <v>4.91234377</v>
      </c>
      <c r="L53" s="20" t="n">
        <v>0.9295298</v>
      </c>
      <c r="M53" s="18" t="n">
        <v>0</v>
      </c>
      <c r="N53" s="20" t="n">
        <v>0</v>
      </c>
      <c r="O53" s="18" t="n">
        <v>0</v>
      </c>
      <c r="P53" s="20" t="n">
        <v>0</v>
      </c>
      <c r="Q53" s="18" t="n">
        <v>16.8433008</v>
      </c>
      <c r="R53" s="20" t="n">
        <v>2.20909771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(2068.0/B55*100)</f>
        <v/>
      </c>
      <c r="D55" s="19" t="n">
        <v>607</v>
      </c>
      <c r="E55" s="18" t="n">
        <v>5.64012343</v>
      </c>
      <c r="F55" s="20" t="n">
        <v>0.95458332</v>
      </c>
      <c r="G55" s="18" t="n">
        <v>93.60109711</v>
      </c>
      <c r="H55" s="20" t="n">
        <v>1.04268435</v>
      </c>
      <c r="I55" s="18" t="n">
        <v>0</v>
      </c>
      <c r="J55" s="20" t="n">
        <v>0</v>
      </c>
      <c r="K55" s="18" t="n">
        <v>0</v>
      </c>
      <c r="L55" s="20" t="n">
        <v>0</v>
      </c>
      <c r="M55" s="18" t="n">
        <v>0</v>
      </c>
      <c r="N55" s="20" t="n">
        <v>0</v>
      </c>
      <c r="O55" s="18" t="n">
        <v>0</v>
      </c>
      <c r="P55" s="20" t="n">
        <v>0</v>
      </c>
      <c r="Q55" s="18" t="n">
        <v>0.75877945</v>
      </c>
      <c r="R55" s="20" t="n">
        <v>0.36918652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(2489.0/B61*100)</f>
        <v/>
      </c>
      <c r="D61" s="19" t="n">
        <v>712</v>
      </c>
      <c r="E61" s="18" t="n">
        <v>7.25963609</v>
      </c>
      <c r="F61" s="20" t="n">
        <v>0.99894219</v>
      </c>
      <c r="G61" s="18" t="n">
        <v>91.2709883</v>
      </c>
      <c r="H61" s="20" t="n">
        <v>1.05964734</v>
      </c>
      <c r="I61" s="18" t="n">
        <v>0</v>
      </c>
      <c r="J61" s="20" t="n">
        <v>0</v>
      </c>
      <c r="K61" s="18" t="n">
        <v>0.55620916</v>
      </c>
      <c r="L61" s="20" t="n">
        <v>0.43032352</v>
      </c>
      <c r="M61" s="18" t="n">
        <v>0</v>
      </c>
      <c r="N61" s="20" t="n">
        <v>0</v>
      </c>
      <c r="O61" s="18" t="n">
        <v>0</v>
      </c>
      <c r="P61" s="20" t="n">
        <v>0</v>
      </c>
      <c r="Q61" s="18" t="n">
        <v>0.91316645</v>
      </c>
      <c r="R61" s="20" t="n">
        <v>0.47251284</v>
      </c>
    </row>
    <row r="62" spans="1:18">
      <c r="A62" s="15" t="s">
        <v>622</v>
      </c>
      <c r="B62" s="17" t="n">
        <v>2230</v>
      </c>
      <c r="C62" s="18">
        <f>(1743.0/B62*100)</f>
        <v/>
      </c>
      <c r="D62" s="19" t="n">
        <v>487</v>
      </c>
      <c r="E62" s="18" t="n">
        <v>5.76463123</v>
      </c>
      <c r="F62" s="20" t="n">
        <v>1.07383837</v>
      </c>
      <c r="G62" s="18" t="n">
        <v>93.82082321999999</v>
      </c>
      <c r="H62" s="20" t="n">
        <v>1.11313881</v>
      </c>
      <c r="I62" s="18" t="n">
        <v>0</v>
      </c>
      <c r="J62" s="20" t="n">
        <v>0</v>
      </c>
      <c r="K62" s="18" t="n">
        <v>0</v>
      </c>
      <c r="L62" s="20" t="n">
        <v>0</v>
      </c>
      <c r="M62" s="18" t="n">
        <v>0</v>
      </c>
      <c r="N62" s="20" t="n">
        <v>0</v>
      </c>
      <c r="O62" s="18" t="n">
        <v>0</v>
      </c>
      <c r="P62" s="20" t="n">
        <v>0</v>
      </c>
      <c r="Q62" s="18" t="n">
        <v>0.41454555</v>
      </c>
      <c r="R62" s="20" t="n">
        <v>0.29149284</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(2148.0/B67*100)</f>
        <v/>
      </c>
      <c r="D67" s="19" t="n">
        <v>623</v>
      </c>
      <c r="E67" s="18" t="n">
        <v>12.20960095</v>
      </c>
      <c r="F67" s="20" t="n">
        <v>1.37628949</v>
      </c>
      <c r="G67" s="18" t="n">
        <v>79.66968711</v>
      </c>
      <c r="H67" s="20" t="n">
        <v>1.53462918</v>
      </c>
      <c r="I67" s="18" t="n">
        <v>0</v>
      </c>
      <c r="J67" s="20" t="n">
        <v>0</v>
      </c>
      <c r="K67" s="18" t="n">
        <v>0.441224</v>
      </c>
      <c r="L67" s="20" t="n">
        <v>0.25894007</v>
      </c>
      <c r="M67" s="18" t="n">
        <v>0</v>
      </c>
      <c r="N67" s="20" t="n">
        <v>0</v>
      </c>
      <c r="O67" s="18" t="n">
        <v>0</v>
      </c>
      <c r="P67" s="20" t="n">
        <v>0</v>
      </c>
      <c r="Q67" s="18" t="n">
        <v>7.67948794</v>
      </c>
      <c r="R67" s="20" t="n">
        <v>1.08125481</v>
      </c>
    </row>
    <row r="68" spans="1:18">
      <c r="A68" s="15" t="s">
        <v>628</v>
      </c>
      <c r="B68" s="17" t="n">
        <v>3460</v>
      </c>
      <c r="C68" s="18">
        <f>(2755.0/B68*100)</f>
        <v/>
      </c>
      <c r="D68" s="19" t="n">
        <v>705</v>
      </c>
      <c r="E68" s="18" t="n">
        <v>15.38069438</v>
      </c>
      <c r="F68" s="20" t="n">
        <v>1.41935894</v>
      </c>
      <c r="G68" s="18" t="n">
        <v>79.18351828999999</v>
      </c>
      <c r="H68" s="20" t="n">
        <v>1.5071911</v>
      </c>
      <c r="I68" s="18" t="n">
        <v>0</v>
      </c>
      <c r="J68" s="20" t="n">
        <v>0</v>
      </c>
      <c r="K68" s="18" t="n">
        <v>0.14376253</v>
      </c>
      <c r="L68" s="20" t="n">
        <v>0.14301774</v>
      </c>
      <c r="M68" s="18" t="n">
        <v>0</v>
      </c>
      <c r="N68" s="20" t="n">
        <v>0</v>
      </c>
      <c r="O68" s="18" t="n">
        <v>0</v>
      </c>
      <c r="P68" s="20" t="n">
        <v>0</v>
      </c>
      <c r="Q68" s="18" t="n">
        <v>5.2920248</v>
      </c>
      <c r="R68" s="20" t="n">
        <v>0.87982977</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(4676.0/B70*100)</f>
        <v/>
      </c>
      <c r="D70" s="19" t="n">
        <v>1358</v>
      </c>
      <c r="E70" s="18" t="n">
        <v>11.39821119</v>
      </c>
      <c r="F70" s="20" t="n">
        <v>0.9338095</v>
      </c>
      <c r="G70" s="18" t="n">
        <v>86.03529383</v>
      </c>
      <c r="H70" s="20" t="n">
        <v>1.02202104</v>
      </c>
      <c r="I70" s="18" t="n">
        <v>0</v>
      </c>
      <c r="J70" s="20" t="n">
        <v>0</v>
      </c>
      <c r="K70" s="18" t="n">
        <v>0.73466455</v>
      </c>
      <c r="L70" s="20" t="n">
        <v>0.23205208</v>
      </c>
      <c r="M70" s="18" t="n">
        <v>0</v>
      </c>
      <c r="N70" s="20" t="n">
        <v>0</v>
      </c>
      <c r="O70" s="18" t="n">
        <v>0</v>
      </c>
      <c r="P70" s="20" t="n">
        <v>0</v>
      </c>
      <c r="Q70" s="18" t="n">
        <v>1.83183043</v>
      </c>
      <c r="R70" s="20" t="n">
        <v>0.28447918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(2409.0/B72*100)</f>
        <v/>
      </c>
      <c r="D72" s="19" t="n">
        <v>698</v>
      </c>
      <c r="E72" s="18" t="n">
        <v>5.80087653</v>
      </c>
      <c r="F72" s="20" t="n">
        <v>0.79489068</v>
      </c>
      <c r="G72" s="18" t="n">
        <v>93.14835483</v>
      </c>
      <c r="H72" s="20" t="n">
        <v>0.8626044</v>
      </c>
      <c r="I72" s="18" t="n">
        <v>0</v>
      </c>
      <c r="J72" s="20" t="n">
        <v>0</v>
      </c>
      <c r="K72" s="18" t="n">
        <v>0.26637153</v>
      </c>
      <c r="L72" s="20" t="n">
        <v>0.15447538</v>
      </c>
      <c r="M72" s="18" t="n">
        <v>0</v>
      </c>
      <c r="N72" s="20" t="n">
        <v>0</v>
      </c>
      <c r="O72" s="18" t="n">
        <v>0</v>
      </c>
      <c r="P72" s="20" t="n">
        <v>0</v>
      </c>
      <c r="Q72" s="18" t="n">
        <v>0.78439711</v>
      </c>
      <c r="R72" s="20" t="n">
        <v>0.2836087</v>
      </c>
    </row>
    <row r="73" spans="1:18">
      <c r="A73" s="15" t="s">
        <v>633</v>
      </c>
      <c r="B73" s="17" t="n">
        <v>2973</v>
      </c>
      <c r="C73" s="18">
        <f>(2327.0/B73*100)</f>
        <v/>
      </c>
      <c r="D73" s="19" t="n">
        <v>646</v>
      </c>
      <c r="E73" s="18" t="n">
        <v>4.69074497</v>
      </c>
      <c r="F73" s="20" t="n">
        <v>0.74052239</v>
      </c>
      <c r="G73" s="18" t="n">
        <v>95.30925503</v>
      </c>
      <c r="H73" s="20" t="n">
        <v>0.74052239</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(3013.0/B74*100)</f>
        <v/>
      </c>
      <c r="D74" s="19" t="n">
        <v>806</v>
      </c>
      <c r="E74" s="18" t="n">
        <v>6.85304798</v>
      </c>
      <c r="F74" s="20" t="n">
        <v>0.83337699</v>
      </c>
      <c r="G74" s="18" t="n">
        <v>92.50582797</v>
      </c>
      <c r="H74" s="20" t="n">
        <v>0.92611064</v>
      </c>
      <c r="I74" s="18" t="n">
        <v>0</v>
      </c>
      <c r="J74" s="20" t="n">
        <v>0</v>
      </c>
      <c r="K74" s="18" t="n">
        <v>0.19101494</v>
      </c>
      <c r="L74" s="20" t="n">
        <v>0.27024971</v>
      </c>
      <c r="M74" s="18" t="n">
        <v>0</v>
      </c>
      <c r="N74" s="20" t="n">
        <v>0</v>
      </c>
      <c r="O74" s="18" t="n">
        <v>0</v>
      </c>
      <c r="P74" s="20" t="n">
        <v>0</v>
      </c>
      <c r="Q74" s="18" t="n">
        <v>0.45010911</v>
      </c>
      <c r="R74" s="20" t="n">
        <v>0.23253542</v>
      </c>
    </row>
    <row r="75" spans="1:18">
      <c r="A75" s="15" t="s">
        <v>635</v>
      </c>
      <c r="B75" s="17" t="n">
        <v>4652</v>
      </c>
      <c r="C75" s="18">
        <f>(3630.0/B75*100)</f>
        <v/>
      </c>
      <c r="D75" s="19" t="n">
        <v>1022</v>
      </c>
      <c r="E75" s="18" t="n">
        <v>5.56106758</v>
      </c>
      <c r="F75" s="20" t="n">
        <v>0.78407334</v>
      </c>
      <c r="G75" s="18" t="n">
        <v>92.62986927999999</v>
      </c>
      <c r="H75" s="20" t="n">
        <v>0.92007653</v>
      </c>
      <c r="I75" s="18" t="n">
        <v>0</v>
      </c>
      <c r="J75" s="20" t="n">
        <v>0</v>
      </c>
      <c r="K75" s="18" t="n">
        <v>0.14119223</v>
      </c>
      <c r="L75" s="20" t="n">
        <v>0.14082993</v>
      </c>
      <c r="M75" s="18" t="n">
        <v>0</v>
      </c>
      <c r="N75" s="20" t="n">
        <v>0</v>
      </c>
      <c r="O75" s="18" t="n">
        <v>0</v>
      </c>
      <c r="P75" s="20" t="n">
        <v>0</v>
      </c>
      <c r="Q75" s="18" t="n">
        <v>1.66787091</v>
      </c>
      <c r="R75" s="20" t="n">
        <v>0.50785163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(2344.0/B77*100)</f>
        <v/>
      </c>
      <c r="D77" s="19" t="n">
        <v>625</v>
      </c>
      <c r="E77" s="18" t="n">
        <v>8.07514565</v>
      </c>
      <c r="F77" s="20" t="n">
        <v>0.90548154</v>
      </c>
      <c r="G77" s="18" t="n">
        <v>88.5871599</v>
      </c>
      <c r="H77" s="20" t="n">
        <v>1.18498104</v>
      </c>
      <c r="I77" s="18" t="n">
        <v>0</v>
      </c>
      <c r="J77" s="20" t="n">
        <v>0</v>
      </c>
      <c r="K77" s="18" t="n">
        <v>0.72321854</v>
      </c>
      <c r="L77" s="20" t="n">
        <v>0.4353235</v>
      </c>
      <c r="M77" s="18" t="n">
        <v>0</v>
      </c>
      <c r="N77" s="20" t="n">
        <v>0</v>
      </c>
      <c r="O77" s="18" t="n">
        <v>0</v>
      </c>
      <c r="P77" s="20" t="n">
        <v>0</v>
      </c>
      <c r="Q77" s="18" t="n">
        <v>2.61447592</v>
      </c>
      <c r="R77" s="20" t="n">
        <v>0.60854085</v>
      </c>
    </row>
    <row r="78" spans="1:18">
      <c r="A78" s="15" t="s">
        <v>638</v>
      </c>
      <c r="B78" s="17" t="n">
        <v>7115</v>
      </c>
      <c r="C78" s="18">
        <f>(5530.0/B78*100)</f>
        <v/>
      </c>
      <c r="D78" s="19" t="n">
        <v>1585</v>
      </c>
      <c r="E78" s="18" t="n">
        <v>12.13077895</v>
      </c>
      <c r="F78" s="20" t="n">
        <v>1.18326823</v>
      </c>
      <c r="G78" s="18" t="n">
        <v>86.31266647</v>
      </c>
      <c r="H78" s="20" t="n">
        <v>1.21381126</v>
      </c>
      <c r="I78" s="18" t="n">
        <v>0</v>
      </c>
      <c r="J78" s="20" t="n">
        <v>0</v>
      </c>
      <c r="K78" s="18" t="n">
        <v>0.35268513</v>
      </c>
      <c r="L78" s="20" t="n">
        <v>0.11975847</v>
      </c>
      <c r="M78" s="18" t="n">
        <v>0</v>
      </c>
      <c r="N78" s="20" t="n">
        <v>0</v>
      </c>
      <c r="O78" s="18" t="n">
        <v>0</v>
      </c>
      <c r="P78" s="20" t="n">
        <v>0</v>
      </c>
      <c r="Q78" s="18" t="n">
        <v>1.20386945</v>
      </c>
      <c r="R78" s="20" t="n">
        <v>0.34377385</v>
      </c>
    </row>
    <row r="79" spans="1:18">
      <c r="A79" s="15" t="s">
        <v>639</v>
      </c>
      <c r="B79" s="17" t="n">
        <v>3154</v>
      </c>
      <c r="C79" s="18">
        <f>(2428.0/B79*100)</f>
        <v/>
      </c>
      <c r="D79" s="19" t="n">
        <v>726</v>
      </c>
      <c r="E79" s="18" t="n">
        <v>10.8724834</v>
      </c>
      <c r="F79" s="20" t="n">
        <v>1.22981028</v>
      </c>
      <c r="G79" s="18" t="n">
        <v>87.14309588</v>
      </c>
      <c r="H79" s="20" t="n">
        <v>1.37119851</v>
      </c>
      <c r="I79" s="18" t="n">
        <v>0</v>
      </c>
      <c r="J79" s="20" t="n">
        <v>0</v>
      </c>
      <c r="K79" s="18" t="n">
        <v>0.29884721</v>
      </c>
      <c r="L79" s="20" t="n">
        <v>0.24455973</v>
      </c>
      <c r="M79" s="18" t="n">
        <v>0</v>
      </c>
      <c r="N79" s="20" t="n">
        <v>0</v>
      </c>
      <c r="O79" s="18" t="n">
        <v>0</v>
      </c>
      <c r="P79" s="20" t="n">
        <v>0</v>
      </c>
      <c r="Q79" s="18" t="n">
        <v>1.68557351</v>
      </c>
      <c r="R79" s="20" t="n">
        <v>0.39920474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(12392.0/B82*100)</f>
        <v/>
      </c>
      <c r="D82" s="19" t="n">
        <v>3569</v>
      </c>
      <c r="E82" s="18" t="n">
        <v>7.07226432</v>
      </c>
      <c r="F82" s="20" t="n">
        <v>0.66270958</v>
      </c>
      <c r="G82" s="18" t="n">
        <v>91.17577978</v>
      </c>
      <c r="H82" s="20" t="n">
        <v>0.69164161</v>
      </c>
      <c r="I82" s="18" t="n">
        <v>0</v>
      </c>
      <c r="J82" s="20" t="n">
        <v>0</v>
      </c>
      <c r="K82" s="18" t="n">
        <v>0.12386629</v>
      </c>
      <c r="L82" s="20" t="n">
        <v>0.05223623</v>
      </c>
      <c r="M82" s="18" t="n">
        <v>0</v>
      </c>
      <c r="N82" s="20" t="n">
        <v>0</v>
      </c>
      <c r="O82" s="18" t="n">
        <v>0</v>
      </c>
      <c r="P82" s="20" t="n">
        <v>0</v>
      </c>
      <c r="Q82" s="18" t="n">
        <v>1.62808961</v>
      </c>
      <c r="R82" s="20" t="n">
        <v>0.36489481</v>
      </c>
    </row>
    <row r="83" spans="1:18">
      <c r="A83" s="15" t="s">
        <v>643</v>
      </c>
      <c r="B83" s="17" t="n">
        <v>808</v>
      </c>
      <c r="C83" s="18">
        <f>(619.0/B83*100)</f>
        <v/>
      </c>
      <c r="D83" s="19" t="n">
        <v>189</v>
      </c>
      <c r="E83" s="18" t="n">
        <v>5.27736017</v>
      </c>
      <c r="F83" s="20" t="n">
        <v>1.62616908</v>
      </c>
      <c r="G83" s="18" t="n">
        <v>94.16751198999999</v>
      </c>
      <c r="H83" s="20" t="n">
        <v>1.76723273</v>
      </c>
      <c r="I83" s="18" t="n">
        <v>0</v>
      </c>
      <c r="J83" s="20" t="n">
        <v>0</v>
      </c>
      <c r="K83" s="18" t="n">
        <v>0</v>
      </c>
      <c r="L83" s="20" t="n">
        <v>0</v>
      </c>
      <c r="M83" s="18" t="n">
        <v>0</v>
      </c>
      <c r="N83" s="20" t="n">
        <v>0</v>
      </c>
      <c r="O83" s="18" t="n">
        <v>0</v>
      </c>
      <c r="P83" s="20" t="n">
        <v>0</v>
      </c>
      <c r="Q83" s="18" t="n">
        <v>0.55512784</v>
      </c>
      <c r="R83" s="20" t="n">
        <v>0.69839542</v>
      </c>
    </row>
    <row r="84" spans="1:18">
      <c r="A84" s="23" t="s">
        <v>644</v>
      </c>
      <c r="B84" s="24" t="n">
        <v>938</v>
      </c>
      <c r="C84" s="25">
        <f>(714.0/B84*100)</f>
        <v/>
      </c>
      <c r="D84" s="19" t="n">
        <v>224</v>
      </c>
      <c r="E84" s="18" t="n">
        <v>7.77719457</v>
      </c>
      <c r="F84" s="20" t="n">
        <v>1.70681326</v>
      </c>
      <c r="G84" s="18" t="n">
        <v>92.22280542999999</v>
      </c>
      <c r="H84" s="20" t="n">
        <v>1.70681326</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(5612.0/B7*100)</f>
        <v/>
      </c>
      <c r="D7" s="19" t="n">
        <v>1551</v>
      </c>
      <c r="E7" s="18" t="n">
        <v>22.28401607</v>
      </c>
      <c r="F7" s="20" t="n">
        <v>1.21071922</v>
      </c>
      <c r="G7" s="18" t="n">
        <v>77.12952438000001</v>
      </c>
      <c r="H7" s="20" t="n">
        <v>1.17924918</v>
      </c>
      <c r="I7" s="18" t="n">
        <v>0</v>
      </c>
      <c r="J7" s="20" t="n">
        <v>0</v>
      </c>
      <c r="K7" s="18" t="n">
        <v>0.119758</v>
      </c>
      <c r="L7" s="20" t="n">
        <v>0.11208957</v>
      </c>
      <c r="M7" s="18" t="n">
        <v>0</v>
      </c>
      <c r="N7" s="20" t="n">
        <v>0</v>
      </c>
      <c r="O7" s="18" t="n">
        <v>0</v>
      </c>
      <c r="P7" s="20" t="n">
        <v>0</v>
      </c>
      <c r="Q7" s="18" t="n">
        <v>0.46670156</v>
      </c>
      <c r="R7" s="20" t="n">
        <v>0.17150711</v>
      </c>
    </row>
    <row r="8" spans="1:18">
      <c r="A8" s="15" t="s">
        <v>566</v>
      </c>
      <c r="B8" s="17" t="n">
        <v>3443</v>
      </c>
      <c r="C8" s="18">
        <f>(2668.0/B8*100)</f>
        <v/>
      </c>
      <c r="D8" s="19" t="n">
        <v>775</v>
      </c>
      <c r="E8" s="18" t="n">
        <v>34.20784862</v>
      </c>
      <c r="F8" s="20" t="n">
        <v>2.33376643</v>
      </c>
      <c r="G8" s="18" t="n">
        <v>65.28957154</v>
      </c>
      <c r="H8" s="20" t="n">
        <v>2.3722015</v>
      </c>
      <c r="I8" s="18" t="n">
        <v>0</v>
      </c>
      <c r="J8" s="20" t="n">
        <v>0</v>
      </c>
      <c r="K8" s="18" t="n">
        <v>0</v>
      </c>
      <c r="L8" s="20" t="n">
        <v>0</v>
      </c>
      <c r="M8" s="18" t="n">
        <v>0</v>
      </c>
      <c r="N8" s="20" t="n">
        <v>0</v>
      </c>
      <c r="O8" s="18" t="n">
        <v>0</v>
      </c>
      <c r="P8" s="20" t="n">
        <v>0</v>
      </c>
      <c r="Q8" s="18" t="n">
        <v>0.50257984</v>
      </c>
      <c r="R8" s="20" t="n">
        <v>0.25593318</v>
      </c>
    </row>
    <row r="9" spans="1:18">
      <c r="A9" s="15" t="s">
        <v>567</v>
      </c>
      <c r="B9" s="17" t="n">
        <v>4752</v>
      </c>
      <c r="C9" s="18">
        <f>(3700.0/B9*100)</f>
        <v/>
      </c>
      <c r="D9" s="19" t="n">
        <v>1052</v>
      </c>
      <c r="E9" s="18" t="n">
        <v>36.78351944</v>
      </c>
      <c r="F9" s="20" t="n">
        <v>1.55259777</v>
      </c>
      <c r="G9" s="18" t="n">
        <v>61.92315345</v>
      </c>
      <c r="H9" s="20" t="n">
        <v>1.52481258</v>
      </c>
      <c r="I9" s="18" t="n">
        <v>0</v>
      </c>
      <c r="J9" s="20" t="n">
        <v>0</v>
      </c>
      <c r="K9" s="18" t="n">
        <v>0.23540352</v>
      </c>
      <c r="L9" s="20" t="n">
        <v>0.17082081</v>
      </c>
      <c r="M9" s="18" t="n">
        <v>0</v>
      </c>
      <c r="N9" s="20" t="n">
        <v>0</v>
      </c>
      <c r="O9" s="18" t="n">
        <v>0</v>
      </c>
      <c r="P9" s="20" t="n">
        <v>0</v>
      </c>
      <c r="Q9" s="18" t="n">
        <v>1.05792359</v>
      </c>
      <c r="R9" s="20" t="n">
        <v>0.37279425</v>
      </c>
    </row>
    <row r="10" spans="1:18">
      <c r="A10" s="15" t="s">
        <v>568</v>
      </c>
      <c r="B10" s="17" t="n">
        <v>10022</v>
      </c>
      <c r="C10" s="18">
        <f>(7809.0/B10*100)</f>
        <v/>
      </c>
      <c r="D10" s="19" t="n">
        <v>2213</v>
      </c>
      <c r="E10" s="18" t="n">
        <v>21.71068372</v>
      </c>
      <c r="F10" s="20" t="n">
        <v>1.32511426</v>
      </c>
      <c r="G10" s="18" t="n">
        <v>77.83544637999999</v>
      </c>
      <c r="H10" s="20" t="n">
        <v>1.30702212</v>
      </c>
      <c r="I10" s="18" t="n">
        <v>0</v>
      </c>
      <c r="J10" s="20" t="n">
        <v>0</v>
      </c>
      <c r="K10" s="18" t="n">
        <v>0.00476289</v>
      </c>
      <c r="L10" s="20" t="n">
        <v>0.0047701</v>
      </c>
      <c r="M10" s="18" t="n">
        <v>0</v>
      </c>
      <c r="N10" s="20" t="n">
        <v>0</v>
      </c>
      <c r="O10" s="18" t="n">
        <v>0</v>
      </c>
      <c r="P10" s="20" t="n">
        <v>0</v>
      </c>
      <c r="Q10" s="18" t="n">
        <v>0.44910701</v>
      </c>
      <c r="R10" s="20" t="n">
        <v>0.18937803</v>
      </c>
    </row>
    <row r="11" spans="1:18">
      <c r="A11" s="15" t="s">
        <v>569</v>
      </c>
      <c r="B11" s="17" t="n">
        <v>3500</v>
      </c>
      <c r="C11" s="18">
        <f>(2712.0/B11*100)</f>
        <v/>
      </c>
      <c r="D11" s="19" t="n">
        <v>788</v>
      </c>
      <c r="E11" s="18" t="n">
        <v>32.17046648</v>
      </c>
      <c r="F11" s="20" t="n">
        <v>2.16182679</v>
      </c>
      <c r="G11" s="18" t="n">
        <v>64.54860858000001</v>
      </c>
      <c r="H11" s="20" t="n">
        <v>2.23444607</v>
      </c>
      <c r="I11" s="18" t="n">
        <v>0</v>
      </c>
      <c r="J11" s="20" t="n">
        <v>0</v>
      </c>
      <c r="K11" s="18" t="n">
        <v>0.16763893</v>
      </c>
      <c r="L11" s="20" t="n">
        <v>0.16571248</v>
      </c>
      <c r="M11" s="18" t="n">
        <v>0</v>
      </c>
      <c r="N11" s="20" t="n">
        <v>0</v>
      </c>
      <c r="O11" s="18" t="n">
        <v>0</v>
      </c>
      <c r="P11" s="20" t="n">
        <v>0</v>
      </c>
      <c r="Q11" s="18" t="n">
        <v>3.11328602</v>
      </c>
      <c r="R11" s="20" t="n">
        <v>0.67861939</v>
      </c>
    </row>
    <row r="12" spans="1:18">
      <c r="A12" s="15" t="s">
        <v>570</v>
      </c>
      <c r="B12" s="17" t="n">
        <v>3422</v>
      </c>
      <c r="C12" s="18">
        <f>(2703.0/B12*100)</f>
        <v/>
      </c>
      <c r="D12" s="19" t="n">
        <v>719</v>
      </c>
      <c r="E12" s="18" t="n">
        <v>26.27996913</v>
      </c>
      <c r="F12" s="20" t="n">
        <v>1.83588189</v>
      </c>
      <c r="G12" s="18" t="n">
        <v>72.99186386</v>
      </c>
      <c r="H12" s="20" t="n">
        <v>1.81573511</v>
      </c>
      <c r="I12" s="18" t="n">
        <v>0</v>
      </c>
      <c r="J12" s="20" t="n">
        <v>0</v>
      </c>
      <c r="K12" s="18" t="n">
        <v>0.12105401</v>
      </c>
      <c r="L12" s="20" t="n">
        <v>0.11476732</v>
      </c>
      <c r="M12" s="18" t="n">
        <v>0</v>
      </c>
      <c r="N12" s="20" t="n">
        <v>0</v>
      </c>
      <c r="O12" s="18" t="n">
        <v>0</v>
      </c>
      <c r="P12" s="20" t="n">
        <v>0</v>
      </c>
      <c r="Q12" s="18" t="n">
        <v>0.607113</v>
      </c>
      <c r="R12" s="20" t="n">
        <v>0.31884931</v>
      </c>
    </row>
    <row r="13" spans="1:18">
      <c r="A13" s="15" t="s">
        <v>571</v>
      </c>
      <c r="B13" s="17" t="n">
        <v>3602</v>
      </c>
      <c r="C13" s="18">
        <f>(2896.0/B13*100)</f>
        <v/>
      </c>
      <c r="D13" s="19" t="n">
        <v>706</v>
      </c>
      <c r="E13" s="18" t="n">
        <v>27.31882406</v>
      </c>
      <c r="F13" s="20" t="n">
        <v>2.18692297</v>
      </c>
      <c r="G13" s="18" t="n">
        <v>71.92498352</v>
      </c>
      <c r="H13" s="20" t="n">
        <v>2.21701993</v>
      </c>
      <c r="I13" s="18" t="n">
        <v>0</v>
      </c>
      <c r="J13" s="20" t="n">
        <v>0</v>
      </c>
      <c r="K13" s="18" t="n">
        <v>0.22962213</v>
      </c>
      <c r="L13" s="20" t="n">
        <v>0.19947216</v>
      </c>
      <c r="M13" s="18" t="n">
        <v>0</v>
      </c>
      <c r="N13" s="20" t="n">
        <v>0</v>
      </c>
      <c r="O13" s="18" t="n">
        <v>0</v>
      </c>
      <c r="P13" s="20" t="n">
        <v>0</v>
      </c>
      <c r="Q13" s="18" t="n">
        <v>0.52657029</v>
      </c>
      <c r="R13" s="20" t="n">
        <v>0.26084238</v>
      </c>
    </row>
    <row r="14" spans="1:18">
      <c r="A14" s="15" t="s">
        <v>572</v>
      </c>
      <c r="B14" s="17" t="n">
        <v>2788</v>
      </c>
      <c r="C14" s="18">
        <f>(2149.0/B14*100)</f>
        <v/>
      </c>
      <c r="D14" s="19" t="n">
        <v>639</v>
      </c>
      <c r="E14" s="18" t="n">
        <v>24.70577321</v>
      </c>
      <c r="F14" s="20" t="n">
        <v>2.01919209</v>
      </c>
      <c r="G14" s="18" t="n">
        <v>74.98056078</v>
      </c>
      <c r="H14" s="20" t="n">
        <v>2.03760087</v>
      </c>
      <c r="I14" s="18" t="n">
        <v>0</v>
      </c>
      <c r="J14" s="20" t="n">
        <v>0</v>
      </c>
      <c r="K14" s="18" t="n">
        <v>0</v>
      </c>
      <c r="L14" s="20" t="n">
        <v>0</v>
      </c>
      <c r="M14" s="18" t="n">
        <v>0</v>
      </c>
      <c r="N14" s="20" t="n">
        <v>0</v>
      </c>
      <c r="O14" s="18" t="n">
        <v>0</v>
      </c>
      <c r="P14" s="20" t="n">
        <v>0</v>
      </c>
      <c r="Q14" s="18" t="n">
        <v>0.31366602</v>
      </c>
      <c r="R14" s="20" t="n">
        <v>0.21732822</v>
      </c>
    </row>
    <row r="15" spans="1:18">
      <c r="A15" s="15" t="s">
        <v>573</v>
      </c>
      <c r="B15" s="17" t="n">
        <v>2863</v>
      </c>
      <c r="C15" s="18">
        <f>(2224.0/B15*100)</f>
        <v/>
      </c>
      <c r="D15" s="19" t="n">
        <v>639</v>
      </c>
      <c r="E15" s="18" t="n">
        <v>23.36608134</v>
      </c>
      <c r="F15" s="20" t="n">
        <v>1.58685248</v>
      </c>
      <c r="G15" s="18" t="n">
        <v>76.48142129</v>
      </c>
      <c r="H15" s="20" t="n">
        <v>1.59988418</v>
      </c>
      <c r="I15" s="18" t="n">
        <v>0</v>
      </c>
      <c r="J15" s="20" t="n">
        <v>0</v>
      </c>
      <c r="K15" s="18" t="n">
        <v>0</v>
      </c>
      <c r="L15" s="20" t="n">
        <v>0</v>
      </c>
      <c r="M15" s="18" t="n">
        <v>0</v>
      </c>
      <c r="N15" s="20" t="n">
        <v>0</v>
      </c>
      <c r="O15" s="18" t="n">
        <v>0</v>
      </c>
      <c r="P15" s="20" t="n">
        <v>0</v>
      </c>
      <c r="Q15" s="18" t="n">
        <v>0.15249736</v>
      </c>
      <c r="R15" s="20" t="n">
        <v>0.15212488</v>
      </c>
    </row>
    <row r="16" spans="1:18">
      <c r="A16" s="15" t="s">
        <v>574</v>
      </c>
      <c r="B16" s="17" t="n">
        <v>3111</v>
      </c>
      <c r="C16" s="18">
        <f>(2433.0/B16*100)</f>
        <v/>
      </c>
      <c r="D16" s="19" t="n">
        <v>678</v>
      </c>
      <c r="E16" s="18" t="n">
        <v>34.55235252</v>
      </c>
      <c r="F16" s="20" t="n">
        <v>1.58652638</v>
      </c>
      <c r="G16" s="18" t="n">
        <v>63.70469954</v>
      </c>
      <c r="H16" s="20" t="n">
        <v>1.68072664</v>
      </c>
      <c r="I16" s="18" t="n">
        <v>0</v>
      </c>
      <c r="J16" s="20" t="n">
        <v>0</v>
      </c>
      <c r="K16" s="18" t="n">
        <v>0.47711424</v>
      </c>
      <c r="L16" s="20" t="n">
        <v>0.312193</v>
      </c>
      <c r="M16" s="18" t="n">
        <v>0</v>
      </c>
      <c r="N16" s="20" t="n">
        <v>0</v>
      </c>
      <c r="O16" s="18" t="n">
        <v>0</v>
      </c>
      <c r="P16" s="20" t="n">
        <v>0</v>
      </c>
      <c r="Q16" s="18" t="n">
        <v>1.2658337</v>
      </c>
      <c r="R16" s="20" t="n">
        <v>0.43030446</v>
      </c>
    </row>
    <row r="17" spans="1:18">
      <c r="A17" s="15" t="s">
        <v>575</v>
      </c>
      <c r="B17" s="17" t="n">
        <v>3197</v>
      </c>
      <c r="C17" s="18">
        <f>(2542.0/B17*100)</f>
        <v/>
      </c>
      <c r="D17" s="19" t="n">
        <v>655</v>
      </c>
      <c r="E17" s="18" t="n">
        <v>30.4887627</v>
      </c>
      <c r="F17" s="20" t="n">
        <v>1.71040202</v>
      </c>
      <c r="G17" s="18" t="n">
        <v>68.91594569</v>
      </c>
      <c r="H17" s="20" t="n">
        <v>1.69768981</v>
      </c>
      <c r="I17" s="18" t="n">
        <v>0</v>
      </c>
      <c r="J17" s="20" t="n">
        <v>0</v>
      </c>
      <c r="K17" s="18" t="n">
        <v>0.15030591</v>
      </c>
      <c r="L17" s="20" t="n">
        <v>0.15117001</v>
      </c>
      <c r="M17" s="18" t="n">
        <v>0</v>
      </c>
      <c r="N17" s="20" t="n">
        <v>0</v>
      </c>
      <c r="O17" s="18" t="n">
        <v>0</v>
      </c>
      <c r="P17" s="20" t="n">
        <v>0</v>
      </c>
      <c r="Q17" s="18" t="n">
        <v>0.4449857</v>
      </c>
      <c r="R17" s="20" t="n">
        <v>0.2941425</v>
      </c>
    </row>
    <row r="18" spans="1:18">
      <c r="A18" s="15" t="s">
        <v>576</v>
      </c>
      <c r="B18" s="17" t="n">
        <v>2706</v>
      </c>
      <c r="C18" s="18">
        <f>(2110.0/B18*100)</f>
        <v/>
      </c>
      <c r="D18" s="19" t="n">
        <v>596</v>
      </c>
      <c r="E18" s="18" t="n">
        <v>37.30279734</v>
      </c>
      <c r="F18" s="20" t="n">
        <v>2.13514235</v>
      </c>
      <c r="G18" s="18" t="n">
        <v>60.85176726</v>
      </c>
      <c r="H18" s="20" t="n">
        <v>2.24381594</v>
      </c>
      <c r="I18" s="18" t="n">
        <v>0</v>
      </c>
      <c r="J18" s="20" t="n">
        <v>0</v>
      </c>
      <c r="K18" s="18" t="n">
        <v>0.09156269</v>
      </c>
      <c r="L18" s="20" t="n">
        <v>0.09116771999999999</v>
      </c>
      <c r="M18" s="18" t="n">
        <v>0</v>
      </c>
      <c r="N18" s="20" t="n">
        <v>0</v>
      </c>
      <c r="O18" s="18" t="n">
        <v>0</v>
      </c>
      <c r="P18" s="20" t="n">
        <v>0</v>
      </c>
      <c r="Q18" s="18" t="n">
        <v>1.7538727</v>
      </c>
      <c r="R18" s="20" t="n">
        <v>0.56344809</v>
      </c>
    </row>
    <row r="19" spans="1:18">
      <c r="A19" s="15" t="s">
        <v>577</v>
      </c>
      <c r="B19" s="17" t="n">
        <v>2850</v>
      </c>
      <c r="C19" s="18">
        <f>(2189.0/B19*100)</f>
        <v/>
      </c>
      <c r="D19" s="19" t="n">
        <v>661</v>
      </c>
      <c r="E19" s="18" t="n">
        <v>26.41196312</v>
      </c>
      <c r="F19" s="20" t="n">
        <v>1.77215538</v>
      </c>
      <c r="G19" s="18" t="n">
        <v>71.34015124</v>
      </c>
      <c r="H19" s="20" t="n">
        <v>1.75824442</v>
      </c>
      <c r="I19" s="18" t="n">
        <v>0</v>
      </c>
      <c r="J19" s="20" t="n">
        <v>0</v>
      </c>
      <c r="K19" s="18" t="n">
        <v>0.13996378</v>
      </c>
      <c r="L19" s="20" t="n">
        <v>0.11913049</v>
      </c>
      <c r="M19" s="18" t="n">
        <v>0</v>
      </c>
      <c r="N19" s="20" t="n">
        <v>0</v>
      </c>
      <c r="O19" s="18" t="n">
        <v>0</v>
      </c>
      <c r="P19" s="20" t="n">
        <v>0</v>
      </c>
      <c r="Q19" s="18" t="n">
        <v>2.10792185</v>
      </c>
      <c r="R19" s="20" t="n">
        <v>0.63217758</v>
      </c>
    </row>
    <row r="20" spans="1:18">
      <c r="A20" s="15" t="s">
        <v>578</v>
      </c>
      <c r="B20" s="17" t="n">
        <v>1741</v>
      </c>
      <c r="C20" s="18">
        <f>(1365.0/B20*100)</f>
        <v/>
      </c>
      <c r="D20" s="19" t="n">
        <v>376</v>
      </c>
      <c r="E20" s="18" t="n">
        <v>21.09550264</v>
      </c>
      <c r="F20" s="20" t="n">
        <v>2.03413859</v>
      </c>
      <c r="G20" s="18" t="n">
        <v>77.78064276000001</v>
      </c>
      <c r="H20" s="20" t="n">
        <v>1.98238392</v>
      </c>
      <c r="I20" s="18" t="n">
        <v>0</v>
      </c>
      <c r="J20" s="20" t="n">
        <v>0</v>
      </c>
      <c r="K20" s="18" t="n">
        <v>0</v>
      </c>
      <c r="L20" s="20" t="n">
        <v>0</v>
      </c>
      <c r="M20" s="18" t="n">
        <v>0</v>
      </c>
      <c r="N20" s="20" t="n">
        <v>0</v>
      </c>
      <c r="O20" s="18" t="n">
        <v>0</v>
      </c>
      <c r="P20" s="20" t="n">
        <v>0</v>
      </c>
      <c r="Q20" s="18" t="n">
        <v>1.12385461</v>
      </c>
      <c r="R20" s="20" t="n">
        <v>0.57485947</v>
      </c>
    </row>
    <row r="21" spans="1:18">
      <c r="A21" s="15" t="s">
        <v>579</v>
      </c>
      <c r="B21" s="17" t="n">
        <v>2833</v>
      </c>
      <c r="C21" s="18">
        <f>(2232.0/B21*100)</f>
        <v/>
      </c>
      <c r="D21" s="19" t="n">
        <v>601</v>
      </c>
      <c r="E21" s="18" t="n">
        <v>38.40636947</v>
      </c>
      <c r="F21" s="20" t="n">
        <v>1.96573168</v>
      </c>
      <c r="G21" s="18" t="n">
        <v>60.86839492</v>
      </c>
      <c r="H21" s="20" t="n">
        <v>1.97299338</v>
      </c>
      <c r="I21" s="18" t="n">
        <v>0</v>
      </c>
      <c r="J21" s="20" t="n">
        <v>0</v>
      </c>
      <c r="K21" s="18" t="n">
        <v>0.14552862</v>
      </c>
      <c r="L21" s="20" t="n">
        <v>0.10420409</v>
      </c>
      <c r="M21" s="18" t="n">
        <v>0</v>
      </c>
      <c r="N21" s="20" t="n">
        <v>0</v>
      </c>
      <c r="O21" s="18" t="n">
        <v>0</v>
      </c>
      <c r="P21" s="20" t="n">
        <v>0</v>
      </c>
      <c r="Q21" s="18" t="n">
        <v>0.57970699</v>
      </c>
      <c r="R21" s="20" t="n">
        <v>0.27977871</v>
      </c>
    </row>
    <row r="22" spans="1:18">
      <c r="A22" s="15" t="s">
        <v>580</v>
      </c>
      <c r="B22" s="17" t="n">
        <v>3667</v>
      </c>
      <c r="C22" s="18">
        <f>(2859.0/B22*100)</f>
        <v/>
      </c>
      <c r="D22" s="19" t="n">
        <v>808</v>
      </c>
      <c r="E22" s="18" t="n">
        <v>42.24068311</v>
      </c>
      <c r="F22" s="20" t="n">
        <v>2.03992904</v>
      </c>
      <c r="G22" s="18" t="n">
        <v>55.19229896</v>
      </c>
      <c r="H22" s="20" t="n">
        <v>2.06939958</v>
      </c>
      <c r="I22" s="18" t="n">
        <v>0</v>
      </c>
      <c r="J22" s="20" t="n">
        <v>0</v>
      </c>
      <c r="K22" s="18" t="n">
        <v>0.35351304</v>
      </c>
      <c r="L22" s="20" t="n">
        <v>0.21285592</v>
      </c>
      <c r="M22" s="18" t="n">
        <v>0</v>
      </c>
      <c r="N22" s="20" t="n">
        <v>0</v>
      </c>
      <c r="O22" s="18" t="n">
        <v>0</v>
      </c>
      <c r="P22" s="20" t="n">
        <v>0</v>
      </c>
      <c r="Q22" s="18" t="n">
        <v>2.2135049</v>
      </c>
      <c r="R22" s="20" t="n">
        <v>0.65955608</v>
      </c>
    </row>
    <row r="23" spans="1:18">
      <c r="A23" s="15" t="s">
        <v>581</v>
      </c>
      <c r="B23" s="17" t="n">
        <v>5792</v>
      </c>
      <c r="C23" s="18">
        <f>(4475.0/B23*100)</f>
        <v/>
      </c>
      <c r="D23" s="19" t="n">
        <v>1317</v>
      </c>
      <c r="E23" s="18" t="n">
        <v>27.74557561</v>
      </c>
      <c r="F23" s="20" t="n">
        <v>1.78895858</v>
      </c>
      <c r="G23" s="18" t="n">
        <v>70.09612869</v>
      </c>
      <c r="H23" s="20" t="n">
        <v>1.89301545</v>
      </c>
      <c r="I23" s="18" t="n">
        <v>0</v>
      </c>
      <c r="J23" s="20" t="n">
        <v>0</v>
      </c>
      <c r="K23" s="18" t="n">
        <v>0.30756467</v>
      </c>
      <c r="L23" s="20" t="n">
        <v>0.32037159</v>
      </c>
      <c r="M23" s="18" t="n">
        <v>0</v>
      </c>
      <c r="N23" s="20" t="n">
        <v>0</v>
      </c>
      <c r="O23" s="18" t="n">
        <v>0</v>
      </c>
      <c r="P23" s="20" t="n">
        <v>0</v>
      </c>
      <c r="Q23" s="18" t="n">
        <v>1.85073103</v>
      </c>
      <c r="R23" s="20" t="n">
        <v>0.68172375</v>
      </c>
    </row>
    <row r="24" spans="1:18">
      <c r="A24" s="15" t="s">
        <v>582</v>
      </c>
      <c r="B24" s="17" t="n">
        <v>3309</v>
      </c>
      <c r="C24" s="18">
        <f>(2601.0/B24*100)</f>
        <v/>
      </c>
      <c r="D24" s="19" t="n">
        <v>708</v>
      </c>
      <c r="E24" s="18" t="n">
        <v>12.09987358</v>
      </c>
      <c r="F24" s="20" t="n">
        <v>1.33204285</v>
      </c>
      <c r="G24" s="18" t="n">
        <v>87.82088394</v>
      </c>
      <c r="H24" s="20" t="n">
        <v>1.35865265</v>
      </c>
      <c r="I24" s="18" t="n">
        <v>0</v>
      </c>
      <c r="J24" s="20" t="n">
        <v>0</v>
      </c>
      <c r="K24" s="18" t="n">
        <v>0</v>
      </c>
      <c r="L24" s="20" t="n">
        <v>0</v>
      </c>
      <c r="M24" s="18" t="n">
        <v>0</v>
      </c>
      <c r="N24" s="20" t="n">
        <v>0</v>
      </c>
      <c r="O24" s="18" t="n">
        <v>0</v>
      </c>
      <c r="P24" s="20" t="n">
        <v>0</v>
      </c>
      <c r="Q24" s="18" t="n">
        <v>0.07924248</v>
      </c>
      <c r="R24" s="20" t="n">
        <v>0.07973015</v>
      </c>
    </row>
    <row r="25" spans="1:18">
      <c r="A25" s="15" t="s">
        <v>583</v>
      </c>
      <c r="B25" s="17" t="n">
        <v>2669</v>
      </c>
      <c r="C25" s="18">
        <f>(2091.0/B25*100)</f>
        <v/>
      </c>
      <c r="D25" s="19" t="n">
        <v>578</v>
      </c>
      <c r="E25" s="18" t="n">
        <v>22.9876312</v>
      </c>
      <c r="F25" s="20" t="n">
        <v>1.75164658</v>
      </c>
      <c r="G25" s="18" t="n">
        <v>75.87894803</v>
      </c>
      <c r="H25" s="20" t="n">
        <v>1.7097523</v>
      </c>
      <c r="I25" s="18" t="n">
        <v>0</v>
      </c>
      <c r="J25" s="20" t="n">
        <v>0</v>
      </c>
      <c r="K25" s="18" t="n">
        <v>0</v>
      </c>
      <c r="L25" s="20" t="n">
        <v>0</v>
      </c>
      <c r="M25" s="18" t="n">
        <v>0</v>
      </c>
      <c r="N25" s="20" t="n">
        <v>0</v>
      </c>
      <c r="O25" s="18" t="n">
        <v>0</v>
      </c>
      <c r="P25" s="20" t="n">
        <v>0</v>
      </c>
      <c r="Q25" s="18" t="n">
        <v>1.13342077</v>
      </c>
      <c r="R25" s="20" t="n">
        <v>0.49925632</v>
      </c>
    </row>
    <row r="26" spans="1:18">
      <c r="A26" s="15" t="s">
        <v>584</v>
      </c>
      <c r="B26" s="17" t="n">
        <v>2419</v>
      </c>
      <c r="C26" s="18">
        <f>(1854.0/B26*100)</f>
        <v/>
      </c>
      <c r="D26" s="19" t="n">
        <v>565</v>
      </c>
      <c r="E26" s="18" t="n">
        <v>29.29217196</v>
      </c>
      <c r="F26" s="20" t="n">
        <v>2.31480679</v>
      </c>
      <c r="G26" s="18" t="n">
        <v>70.39305969999999</v>
      </c>
      <c r="H26" s="20" t="n">
        <v>2.34711208</v>
      </c>
      <c r="I26" s="18" t="n">
        <v>0</v>
      </c>
      <c r="J26" s="20" t="n">
        <v>0</v>
      </c>
      <c r="K26" s="18" t="n">
        <v>0</v>
      </c>
      <c r="L26" s="20" t="n">
        <v>0</v>
      </c>
      <c r="M26" s="18" t="n">
        <v>0</v>
      </c>
      <c r="N26" s="20" t="n">
        <v>0</v>
      </c>
      <c r="O26" s="18" t="n">
        <v>0</v>
      </c>
      <c r="P26" s="20" t="n">
        <v>0</v>
      </c>
      <c r="Q26" s="18" t="n">
        <v>0.31476834</v>
      </c>
      <c r="R26" s="20" t="n">
        <v>0.21727869</v>
      </c>
    </row>
    <row r="27" spans="1:18">
      <c r="A27" s="15" t="s">
        <v>585</v>
      </c>
      <c r="B27" s="17" t="n">
        <v>2683</v>
      </c>
      <c r="C27" s="18">
        <f>(2119.0/B27*100)</f>
        <v/>
      </c>
      <c r="D27" s="19" t="n">
        <v>564</v>
      </c>
      <c r="E27" s="18" t="n">
        <v>31.20836648</v>
      </c>
      <c r="F27" s="20" t="n">
        <v>1.78129132</v>
      </c>
      <c r="G27" s="18" t="n">
        <v>67.90343125</v>
      </c>
      <c r="H27" s="20" t="n">
        <v>1.80930749</v>
      </c>
      <c r="I27" s="18" t="n">
        <v>0</v>
      </c>
      <c r="J27" s="20" t="n">
        <v>0</v>
      </c>
      <c r="K27" s="18" t="n">
        <v>0</v>
      </c>
      <c r="L27" s="20" t="n">
        <v>0</v>
      </c>
      <c r="M27" s="18" t="n">
        <v>0</v>
      </c>
      <c r="N27" s="20" t="n">
        <v>0</v>
      </c>
      <c r="O27" s="18" t="n">
        <v>0</v>
      </c>
      <c r="P27" s="20" t="n">
        <v>0</v>
      </c>
      <c r="Q27" s="18" t="n">
        <v>0.88820227</v>
      </c>
      <c r="R27" s="20" t="n">
        <v>0.39925322</v>
      </c>
    </row>
    <row r="28" spans="1:18">
      <c r="A28" s="15" t="s">
        <v>586</v>
      </c>
      <c r="B28" s="17" t="n">
        <v>3803</v>
      </c>
      <c r="C28" s="18">
        <f>(2938.0/B28*100)</f>
        <v/>
      </c>
      <c r="D28" s="19" t="n">
        <v>865</v>
      </c>
      <c r="E28" s="18" t="n">
        <v>44.08513976</v>
      </c>
      <c r="F28" s="20" t="n">
        <v>2.20172219</v>
      </c>
      <c r="G28" s="18" t="n">
        <v>51.71965637</v>
      </c>
      <c r="H28" s="20" t="n">
        <v>2.24937632</v>
      </c>
      <c r="I28" s="18" t="n">
        <v>0</v>
      </c>
      <c r="J28" s="20" t="n">
        <v>0</v>
      </c>
      <c r="K28" s="18" t="n">
        <v>0.19862954</v>
      </c>
      <c r="L28" s="20" t="n">
        <v>0.19869268</v>
      </c>
      <c r="M28" s="18" t="n">
        <v>0</v>
      </c>
      <c r="N28" s="20" t="n">
        <v>0</v>
      </c>
      <c r="O28" s="18" t="n">
        <v>0</v>
      </c>
      <c r="P28" s="20" t="n">
        <v>0</v>
      </c>
      <c r="Q28" s="18" t="n">
        <v>3.99657433</v>
      </c>
      <c r="R28" s="20" t="n">
        <v>0.8547544500000001</v>
      </c>
    </row>
    <row r="29" spans="1:18">
      <c r="A29" s="15" t="s">
        <v>587</v>
      </c>
      <c r="B29" s="17" t="n">
        <v>2700</v>
      </c>
      <c r="C29" s="18">
        <f>(2113.0/B29*100)</f>
        <v/>
      </c>
      <c r="D29" s="19" t="n">
        <v>587</v>
      </c>
      <c r="E29" s="18" t="n">
        <v>38.26401671</v>
      </c>
      <c r="F29" s="20" t="n">
        <v>2.2698314</v>
      </c>
      <c r="G29" s="18" t="n">
        <v>61.01575325</v>
      </c>
      <c r="H29" s="20" t="n">
        <v>2.34900106</v>
      </c>
      <c r="I29" s="18" t="n">
        <v>0</v>
      </c>
      <c r="J29" s="20" t="n">
        <v>0</v>
      </c>
      <c r="K29" s="18" t="n">
        <v>0.36541936</v>
      </c>
      <c r="L29" s="20" t="n">
        <v>0.22230841</v>
      </c>
      <c r="M29" s="18" t="n">
        <v>0</v>
      </c>
      <c r="N29" s="20" t="n">
        <v>0</v>
      </c>
      <c r="O29" s="18" t="n">
        <v>0</v>
      </c>
      <c r="P29" s="20" t="n">
        <v>0</v>
      </c>
      <c r="Q29" s="18" t="n">
        <v>0.35481067</v>
      </c>
      <c r="R29" s="20" t="n">
        <v>0.24263624</v>
      </c>
    </row>
    <row r="30" spans="1:18">
      <c r="A30" s="15" t="s">
        <v>588</v>
      </c>
      <c r="B30" s="17" t="n">
        <v>2257</v>
      </c>
      <c r="C30" s="18">
        <f>(1768.0/B30*100)</f>
        <v/>
      </c>
      <c r="D30" s="19" t="n">
        <v>489</v>
      </c>
      <c r="E30" s="18" t="n">
        <v>22.77245705</v>
      </c>
      <c r="F30" s="20" t="n">
        <v>2.36554392</v>
      </c>
      <c r="G30" s="18" t="n">
        <v>76.37011527</v>
      </c>
      <c r="H30" s="20" t="n">
        <v>2.36873112</v>
      </c>
      <c r="I30" s="18" t="n">
        <v>0</v>
      </c>
      <c r="J30" s="20" t="n">
        <v>0</v>
      </c>
      <c r="K30" s="18" t="n">
        <v>0.19647332</v>
      </c>
      <c r="L30" s="20" t="n">
        <v>0.17051619</v>
      </c>
      <c r="M30" s="18" t="n">
        <v>0</v>
      </c>
      <c r="N30" s="20" t="n">
        <v>0</v>
      </c>
      <c r="O30" s="18" t="n">
        <v>0</v>
      </c>
      <c r="P30" s="20" t="n">
        <v>0</v>
      </c>
      <c r="Q30" s="18" t="n">
        <v>0.66095436</v>
      </c>
      <c r="R30" s="20" t="n">
        <v>0.4105997</v>
      </c>
    </row>
    <row r="31" spans="1:18">
      <c r="A31" s="15" t="s">
        <v>589</v>
      </c>
      <c r="B31" s="17" t="n">
        <v>2706</v>
      </c>
      <c r="C31" s="18">
        <f>(2105.0/B31*100)</f>
        <v/>
      </c>
      <c r="D31" s="19" t="n">
        <v>601</v>
      </c>
      <c r="E31" s="18" t="n">
        <v>32.61921743</v>
      </c>
      <c r="F31" s="20" t="n">
        <v>2.08336884</v>
      </c>
      <c r="G31" s="18" t="n">
        <v>66.16434629</v>
      </c>
      <c r="H31" s="20" t="n">
        <v>2.05486321</v>
      </c>
      <c r="I31" s="18" t="n">
        <v>0</v>
      </c>
      <c r="J31" s="20" t="n">
        <v>0</v>
      </c>
      <c r="K31" s="18" t="n">
        <v>0.31769504</v>
      </c>
      <c r="L31" s="20" t="n">
        <v>0.21991882</v>
      </c>
      <c r="M31" s="18" t="n">
        <v>0</v>
      </c>
      <c r="N31" s="20" t="n">
        <v>0</v>
      </c>
      <c r="O31" s="18" t="n">
        <v>0</v>
      </c>
      <c r="P31" s="20" t="n">
        <v>0</v>
      </c>
      <c r="Q31" s="18" t="n">
        <v>0.89874124</v>
      </c>
      <c r="R31" s="20" t="n">
        <v>0.38839709</v>
      </c>
    </row>
    <row r="32" spans="1:18">
      <c r="A32" s="15" t="s">
        <v>590</v>
      </c>
      <c r="B32" s="17" t="n">
        <v>2209</v>
      </c>
      <c r="C32" s="18">
        <f>(1730.0/B32*100)</f>
        <v/>
      </c>
      <c r="D32" s="19" t="n">
        <v>479</v>
      </c>
      <c r="E32" s="18" t="n">
        <v>25.98473902</v>
      </c>
      <c r="F32" s="20" t="n">
        <v>2.02831541</v>
      </c>
      <c r="G32" s="18" t="n">
        <v>73.22996555</v>
      </c>
      <c r="H32" s="20" t="n">
        <v>2.08105284</v>
      </c>
      <c r="I32" s="18" t="n">
        <v>0</v>
      </c>
      <c r="J32" s="20" t="n">
        <v>0</v>
      </c>
      <c r="K32" s="18" t="n">
        <v>0</v>
      </c>
      <c r="L32" s="20" t="n">
        <v>0</v>
      </c>
      <c r="M32" s="18" t="n">
        <v>0</v>
      </c>
      <c r="N32" s="20" t="n">
        <v>0</v>
      </c>
      <c r="O32" s="18" t="n">
        <v>0</v>
      </c>
      <c r="P32" s="20" t="n">
        <v>0</v>
      </c>
      <c r="Q32" s="18" t="n">
        <v>0.78529543</v>
      </c>
      <c r="R32" s="20" t="n">
        <v>0.39102041</v>
      </c>
    </row>
    <row r="33" spans="1:18">
      <c r="A33" s="15" t="s">
        <v>591</v>
      </c>
      <c r="B33" s="17" t="n">
        <v>3651</v>
      </c>
      <c r="C33" s="18">
        <f>(2834.0/B33*100)</f>
        <v/>
      </c>
      <c r="D33" s="19" t="n">
        <v>817</v>
      </c>
      <c r="E33" s="18" t="n">
        <v>27.68049994</v>
      </c>
      <c r="F33" s="20" t="n">
        <v>1.92568438</v>
      </c>
      <c r="G33" s="18" t="n">
        <v>71.93080457000001</v>
      </c>
      <c r="H33" s="20" t="n">
        <v>1.88729117</v>
      </c>
      <c r="I33" s="18" t="n">
        <v>0</v>
      </c>
      <c r="J33" s="20" t="n">
        <v>0</v>
      </c>
      <c r="K33" s="18" t="n">
        <v>0</v>
      </c>
      <c r="L33" s="20" t="n">
        <v>0</v>
      </c>
      <c r="M33" s="18" t="n">
        <v>0</v>
      </c>
      <c r="N33" s="20" t="n">
        <v>0</v>
      </c>
      <c r="O33" s="18" t="n">
        <v>0</v>
      </c>
      <c r="P33" s="20" t="n">
        <v>0</v>
      </c>
      <c r="Q33" s="18" t="n">
        <v>0.38869549</v>
      </c>
      <c r="R33" s="20" t="n">
        <v>0.27030006</v>
      </c>
    </row>
    <row r="34" spans="1:18">
      <c r="A34" s="15" t="s">
        <v>592</v>
      </c>
      <c r="B34" s="17" t="n">
        <v>3035</v>
      </c>
      <c r="C34" s="18">
        <f>(2391.0/B34*100)</f>
        <v/>
      </c>
      <c r="D34" s="19" t="n">
        <v>644</v>
      </c>
      <c r="E34" s="18" t="n">
        <v>29.60603076</v>
      </c>
      <c r="F34" s="20" t="n">
        <v>2.64778482</v>
      </c>
      <c r="G34" s="18" t="n">
        <v>68.32247937</v>
      </c>
      <c r="H34" s="20" t="n">
        <v>2.71433882</v>
      </c>
      <c r="I34" s="18" t="n">
        <v>0</v>
      </c>
      <c r="J34" s="20" t="n">
        <v>0</v>
      </c>
      <c r="K34" s="18" t="n">
        <v>0</v>
      </c>
      <c r="L34" s="20" t="n">
        <v>0</v>
      </c>
      <c r="M34" s="18" t="n">
        <v>0</v>
      </c>
      <c r="N34" s="20" t="n">
        <v>0</v>
      </c>
      <c r="O34" s="18" t="n">
        <v>0</v>
      </c>
      <c r="P34" s="20" t="n">
        <v>0</v>
      </c>
      <c r="Q34" s="18" t="n">
        <v>2.07148987</v>
      </c>
      <c r="R34" s="20" t="n">
        <v>0.59840306</v>
      </c>
    </row>
    <row r="35" spans="1:18">
      <c r="A35" s="15" t="s">
        <v>593</v>
      </c>
      <c r="B35" s="17" t="n">
        <v>2901</v>
      </c>
      <c r="C35" s="18">
        <f>(2261.0/B35*100)</f>
        <v/>
      </c>
      <c r="D35" s="19" t="n">
        <v>640</v>
      </c>
      <c r="E35" s="18" t="n">
        <v>28.15675588</v>
      </c>
      <c r="F35" s="20" t="n">
        <v>2.02696659</v>
      </c>
      <c r="G35" s="18" t="n">
        <v>71.38276518000001</v>
      </c>
      <c r="H35" s="20" t="n">
        <v>2.0082541</v>
      </c>
      <c r="I35" s="18" t="n">
        <v>0</v>
      </c>
      <c r="J35" s="20" t="n">
        <v>0</v>
      </c>
      <c r="K35" s="18" t="n">
        <v>0</v>
      </c>
      <c r="L35" s="20" t="n">
        <v>0</v>
      </c>
      <c r="M35" s="18" t="n">
        <v>0</v>
      </c>
      <c r="N35" s="20" t="n">
        <v>0</v>
      </c>
      <c r="O35" s="18" t="n">
        <v>0</v>
      </c>
      <c r="P35" s="20" t="n">
        <v>0</v>
      </c>
      <c r="Q35" s="18" t="n">
        <v>0.46047894</v>
      </c>
      <c r="R35" s="20" t="n">
        <v>0.23360969</v>
      </c>
    </row>
    <row r="36" spans="1:18">
      <c r="A36" s="15" t="s">
        <v>594</v>
      </c>
      <c r="B36" s="17" t="n">
        <v>3404</v>
      </c>
      <c r="C36" s="18">
        <f>(2617.0/B36*100)</f>
        <v/>
      </c>
      <c r="D36" s="19" t="n">
        <v>787</v>
      </c>
      <c r="E36" s="18" t="n">
        <v>21.52653592</v>
      </c>
      <c r="F36" s="20" t="n">
        <v>1.65949713</v>
      </c>
      <c r="G36" s="18" t="n">
        <v>76.67630468999999</v>
      </c>
      <c r="H36" s="20" t="n">
        <v>1.78101458</v>
      </c>
      <c r="I36" s="18" t="n">
        <v>0</v>
      </c>
      <c r="J36" s="20" t="n">
        <v>0</v>
      </c>
      <c r="K36" s="18" t="n">
        <v>0</v>
      </c>
      <c r="L36" s="20" t="n">
        <v>0</v>
      </c>
      <c r="M36" s="18" t="n">
        <v>0</v>
      </c>
      <c r="N36" s="20" t="n">
        <v>0</v>
      </c>
      <c r="O36" s="18" t="n">
        <v>0</v>
      </c>
      <c r="P36" s="20" t="n">
        <v>0</v>
      </c>
      <c r="Q36" s="18" t="n">
        <v>1.7971594</v>
      </c>
      <c r="R36" s="20" t="n">
        <v>0.5528874</v>
      </c>
    </row>
    <row r="37" spans="1:18">
      <c r="A37" s="15" t="s">
        <v>595</v>
      </c>
      <c r="B37" s="17" t="n">
        <v>2731</v>
      </c>
      <c r="C37" s="18">
        <f>(2141.0/B37*100)</f>
        <v/>
      </c>
      <c r="D37" s="19" t="n">
        <v>590</v>
      </c>
      <c r="E37" s="18" t="n">
        <v>26.91171389</v>
      </c>
      <c r="F37" s="20" t="n">
        <v>1.77393762</v>
      </c>
      <c r="G37" s="18" t="n">
        <v>70.56194499</v>
      </c>
      <c r="H37" s="20" t="n">
        <v>1.86874691</v>
      </c>
      <c r="I37" s="18" t="n">
        <v>0</v>
      </c>
      <c r="J37" s="20" t="n">
        <v>0</v>
      </c>
      <c r="K37" s="18" t="n">
        <v>0.14263119</v>
      </c>
      <c r="L37" s="20" t="n">
        <v>0.1421553</v>
      </c>
      <c r="M37" s="18" t="n">
        <v>0</v>
      </c>
      <c r="N37" s="20" t="n">
        <v>0</v>
      </c>
      <c r="O37" s="18" t="n">
        <v>0</v>
      </c>
      <c r="P37" s="20" t="n">
        <v>0</v>
      </c>
      <c r="Q37" s="18" t="n">
        <v>2.38370994</v>
      </c>
      <c r="R37" s="20" t="n">
        <v>0.56896137</v>
      </c>
    </row>
    <row r="38" spans="1:18">
      <c r="A38" s="15" t="s">
        <v>596</v>
      </c>
      <c r="B38" s="17" t="n">
        <v>2807</v>
      </c>
      <c r="C38" s="18">
        <f>(2177.0/B38*100)</f>
        <v/>
      </c>
      <c r="D38" s="19" t="n">
        <v>630</v>
      </c>
      <c r="E38" s="18" t="n">
        <v>29.18925647</v>
      </c>
      <c r="F38" s="20" t="n">
        <v>2.55903599</v>
      </c>
      <c r="G38" s="18" t="n">
        <v>70.39153469999999</v>
      </c>
      <c r="H38" s="20" t="n">
        <v>2.54237089</v>
      </c>
      <c r="I38" s="18" t="n">
        <v>0</v>
      </c>
      <c r="J38" s="20" t="n">
        <v>0</v>
      </c>
      <c r="K38" s="18" t="n">
        <v>0</v>
      </c>
      <c r="L38" s="20" t="n">
        <v>0</v>
      </c>
      <c r="M38" s="18" t="n">
        <v>0</v>
      </c>
      <c r="N38" s="20" t="n">
        <v>0</v>
      </c>
      <c r="O38" s="18" t="n">
        <v>0</v>
      </c>
      <c r="P38" s="20" t="n">
        <v>0</v>
      </c>
      <c r="Q38" s="18" t="n">
        <v>0.41920882</v>
      </c>
      <c r="R38" s="20" t="n">
        <v>0.22579031</v>
      </c>
    </row>
    <row r="39" spans="1:18">
      <c r="A39" s="15" t="s">
        <v>597</v>
      </c>
      <c r="B39" s="17" t="n">
        <v>2938</v>
      </c>
      <c r="C39" s="18">
        <f>(2280.0/B39*100)</f>
        <v/>
      </c>
      <c r="D39" s="19" t="n">
        <v>658</v>
      </c>
      <c r="E39" s="18" t="n">
        <v>54.44520386</v>
      </c>
      <c r="F39" s="20" t="n">
        <v>2.3025485</v>
      </c>
      <c r="G39" s="18" t="n">
        <v>42.91764526</v>
      </c>
      <c r="H39" s="20" t="n">
        <v>2.49288969</v>
      </c>
      <c r="I39" s="18" t="n">
        <v>0</v>
      </c>
      <c r="J39" s="20" t="n">
        <v>0</v>
      </c>
      <c r="K39" s="18" t="n">
        <v>0.14297186</v>
      </c>
      <c r="L39" s="20" t="n">
        <v>0.14363385</v>
      </c>
      <c r="M39" s="18" t="n">
        <v>0</v>
      </c>
      <c r="N39" s="20" t="n">
        <v>0</v>
      </c>
      <c r="O39" s="18" t="n">
        <v>0</v>
      </c>
      <c r="P39" s="20" t="n">
        <v>0</v>
      </c>
      <c r="Q39" s="18" t="n">
        <v>2.49417902</v>
      </c>
      <c r="R39" s="20" t="n">
        <v>0.79700165</v>
      </c>
    </row>
    <row r="40" spans="1:18">
      <c r="A40" s="15" t="s">
        <v>598</v>
      </c>
      <c r="B40" s="17" t="n">
        <v>6922</v>
      </c>
      <c r="C40" s="18">
        <f>(5387.0/B40*100)</f>
        <v/>
      </c>
      <c r="D40" s="19" t="n">
        <v>1535</v>
      </c>
      <c r="E40" s="18" t="n">
        <v>31.83107856</v>
      </c>
      <c r="F40" s="20" t="n">
        <v>1.77089194</v>
      </c>
      <c r="G40" s="18" t="n">
        <v>67.32986541</v>
      </c>
      <c r="H40" s="20" t="n">
        <v>1.79482329</v>
      </c>
      <c r="I40" s="18" t="n">
        <v>0</v>
      </c>
      <c r="J40" s="20" t="n">
        <v>0</v>
      </c>
      <c r="K40" s="18" t="n">
        <v>0</v>
      </c>
      <c r="L40" s="20" t="n">
        <v>0</v>
      </c>
      <c r="M40" s="18" t="n">
        <v>0</v>
      </c>
      <c r="N40" s="20" t="n">
        <v>0</v>
      </c>
      <c r="O40" s="18" t="n">
        <v>0</v>
      </c>
      <c r="P40" s="20" t="n">
        <v>0</v>
      </c>
      <c r="Q40" s="18" t="n">
        <v>0.83905604</v>
      </c>
      <c r="R40" s="20" t="n">
        <v>0.42061967</v>
      </c>
    </row>
    <row r="41" spans="1:18">
      <c r="A41" s="15" t="s">
        <v>599</v>
      </c>
      <c r="B41" s="17" t="n">
        <v>2854</v>
      </c>
      <c r="C41" s="18">
        <f>(2250.0/B41*100)</f>
        <v/>
      </c>
      <c r="D41" s="19" t="n">
        <v>604</v>
      </c>
      <c r="E41" s="18" t="n">
        <v>29.04338311</v>
      </c>
      <c r="F41" s="20" t="n">
        <v>2.08743156</v>
      </c>
      <c r="G41" s="18" t="n">
        <v>69.85088057</v>
      </c>
      <c r="H41" s="20" t="n">
        <v>2.1219182</v>
      </c>
      <c r="I41" s="18" t="n">
        <v>0</v>
      </c>
      <c r="J41" s="20" t="n">
        <v>0</v>
      </c>
      <c r="K41" s="18" t="n">
        <v>0</v>
      </c>
      <c r="L41" s="20" t="n">
        <v>0</v>
      </c>
      <c r="M41" s="18" t="n">
        <v>0</v>
      </c>
      <c r="N41" s="20" t="n">
        <v>0</v>
      </c>
      <c r="O41" s="18" t="n">
        <v>0</v>
      </c>
      <c r="P41" s="20" t="n">
        <v>0</v>
      </c>
      <c r="Q41" s="18" t="n">
        <v>1.10573632</v>
      </c>
      <c r="R41" s="20" t="n">
        <v>0.43675258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(9624.0/B46*100)</f>
        <v/>
      </c>
      <c r="D46" s="19" t="n">
        <v>2449</v>
      </c>
      <c r="E46" s="18" t="n">
        <v>49.02476879</v>
      </c>
      <c r="F46" s="20" t="n">
        <v>1.36165347</v>
      </c>
      <c r="G46" s="18" t="n">
        <v>43.06308307</v>
      </c>
      <c r="H46" s="20" t="n">
        <v>1.40560957</v>
      </c>
      <c r="I46" s="18" t="n">
        <v>0</v>
      </c>
      <c r="J46" s="20" t="n">
        <v>0</v>
      </c>
      <c r="K46" s="18" t="n">
        <v>0.70480042</v>
      </c>
      <c r="L46" s="20" t="n">
        <v>0.27780972</v>
      </c>
      <c r="M46" s="18" t="n">
        <v>0</v>
      </c>
      <c r="N46" s="20" t="n">
        <v>0</v>
      </c>
      <c r="O46" s="18" t="n">
        <v>0</v>
      </c>
      <c r="P46" s="20" t="n">
        <v>0</v>
      </c>
      <c r="Q46" s="18" t="n">
        <v>7.20734772</v>
      </c>
      <c r="R46" s="20" t="n">
        <v>0.71175702</v>
      </c>
    </row>
    <row r="47" spans="1:18">
      <c r="A47" s="15" t="s">
        <v>606</v>
      </c>
      <c r="B47" s="17" t="n">
        <v>2823</v>
      </c>
      <c r="C47" s="18">
        <f>(2180.0/B47*100)</f>
        <v/>
      </c>
      <c r="D47" s="19" t="n">
        <v>643</v>
      </c>
      <c r="E47" s="18" t="n">
        <v>31.89429885</v>
      </c>
      <c r="F47" s="20" t="n">
        <v>1.90145826</v>
      </c>
      <c r="G47" s="18" t="n">
        <v>62.5344833</v>
      </c>
      <c r="H47" s="20" t="n">
        <v>2.08187581</v>
      </c>
      <c r="I47" s="18" t="n">
        <v>0</v>
      </c>
      <c r="J47" s="20" t="n">
        <v>0</v>
      </c>
      <c r="K47" s="18" t="n">
        <v>0.47440633</v>
      </c>
      <c r="L47" s="20" t="n">
        <v>0.29434033</v>
      </c>
      <c r="M47" s="18" t="n">
        <v>0</v>
      </c>
      <c r="N47" s="20" t="n">
        <v>0</v>
      </c>
      <c r="O47" s="18" t="n">
        <v>0</v>
      </c>
      <c r="P47" s="20" t="n">
        <v>0</v>
      </c>
      <c r="Q47" s="18" t="n">
        <v>5.09681152</v>
      </c>
      <c r="R47" s="20" t="n">
        <v>0.90754602</v>
      </c>
    </row>
    <row r="48" spans="1:18">
      <c r="A48" s="15" t="s">
        <v>607</v>
      </c>
      <c r="B48" s="17" t="n">
        <v>4682</v>
      </c>
      <c r="C48" s="18">
        <f>(3679.0/B48*100)</f>
        <v/>
      </c>
      <c r="D48" s="19" t="n">
        <v>1003</v>
      </c>
      <c r="E48" s="18" t="n">
        <v>39.47490316</v>
      </c>
      <c r="F48" s="20" t="n">
        <v>2.16557214</v>
      </c>
      <c r="G48" s="18" t="n">
        <v>58.02859959</v>
      </c>
      <c r="H48" s="20" t="n">
        <v>2.33441463</v>
      </c>
      <c r="I48" s="18" t="n">
        <v>0</v>
      </c>
      <c r="J48" s="20" t="n">
        <v>0</v>
      </c>
      <c r="K48" s="18" t="n">
        <v>0.63320994</v>
      </c>
      <c r="L48" s="20" t="n">
        <v>0.32961638</v>
      </c>
      <c r="M48" s="18" t="n">
        <v>0</v>
      </c>
      <c r="N48" s="20" t="n">
        <v>0</v>
      </c>
      <c r="O48" s="18" t="n">
        <v>0</v>
      </c>
      <c r="P48" s="20" t="n">
        <v>0</v>
      </c>
      <c r="Q48" s="18" t="n">
        <v>1.8632873</v>
      </c>
      <c r="R48" s="20" t="n">
        <v>0.65782425</v>
      </c>
    </row>
    <row r="49" spans="1:18">
      <c r="A49" s="15" t="s">
        <v>608</v>
      </c>
      <c r="B49" s="17" t="n">
        <v>6158</v>
      </c>
      <c r="C49" s="18">
        <f>(4793.0/B49*100)</f>
        <v/>
      </c>
      <c r="D49" s="19" t="n">
        <v>1365</v>
      </c>
      <c r="E49" s="18" t="n">
        <v>43.58230401</v>
      </c>
      <c r="F49" s="20" t="n">
        <v>1.72501153</v>
      </c>
      <c r="G49" s="18" t="n">
        <v>52.3766169</v>
      </c>
      <c r="H49" s="20" t="n">
        <v>1.84013079</v>
      </c>
      <c r="I49" s="18" t="n">
        <v>0</v>
      </c>
      <c r="J49" s="20" t="n">
        <v>0</v>
      </c>
      <c r="K49" s="18" t="n">
        <v>0.47804421</v>
      </c>
      <c r="L49" s="20" t="n">
        <v>0.2438648</v>
      </c>
      <c r="M49" s="18" t="n">
        <v>0</v>
      </c>
      <c r="N49" s="20" t="n">
        <v>0</v>
      </c>
      <c r="O49" s="18" t="n">
        <v>0</v>
      </c>
      <c r="P49" s="20" t="n">
        <v>0</v>
      </c>
      <c r="Q49" s="18" t="n">
        <v>3.56303488</v>
      </c>
      <c r="R49" s="20" t="n">
        <v>0.76563696</v>
      </c>
    </row>
    <row r="50" spans="1:18">
      <c r="A50" s="15" t="s">
        <v>609</v>
      </c>
      <c r="B50" s="17" t="n">
        <v>3494</v>
      </c>
      <c r="C50" s="18">
        <f>(2795.0/B50*100)</f>
        <v/>
      </c>
      <c r="D50" s="19" t="n">
        <v>699</v>
      </c>
      <c r="E50" s="18" t="n">
        <v>44.11200607</v>
      </c>
      <c r="F50" s="20" t="n">
        <v>2.28994574</v>
      </c>
      <c r="G50" s="18" t="n">
        <v>54.16952361</v>
      </c>
      <c r="H50" s="20" t="n">
        <v>2.33579424</v>
      </c>
      <c r="I50" s="18" t="n">
        <v>0</v>
      </c>
      <c r="J50" s="20" t="n">
        <v>0</v>
      </c>
      <c r="K50" s="18" t="n">
        <v>0.13970218</v>
      </c>
      <c r="L50" s="20" t="n">
        <v>0.148332</v>
      </c>
      <c r="M50" s="18" t="n">
        <v>0</v>
      </c>
      <c r="N50" s="20" t="n">
        <v>0</v>
      </c>
      <c r="O50" s="18" t="n">
        <v>0</v>
      </c>
      <c r="P50" s="20" t="n">
        <v>0</v>
      </c>
      <c r="Q50" s="18" t="n">
        <v>1.57876814</v>
      </c>
      <c r="R50" s="20" t="n">
        <v>0.49962775</v>
      </c>
    </row>
    <row r="51" spans="1:18">
      <c r="A51" s="15" t="s">
        <v>610</v>
      </c>
      <c r="B51" s="17" t="n">
        <v>3013</v>
      </c>
      <c r="C51" s="18">
        <f>(2363.0/B51*100)</f>
        <v/>
      </c>
      <c r="D51" s="19" t="n">
        <v>650</v>
      </c>
      <c r="E51" s="18" t="n">
        <v>33.69686367</v>
      </c>
      <c r="F51" s="20" t="n">
        <v>2.0338591</v>
      </c>
      <c r="G51" s="18" t="n">
        <v>64.01647319</v>
      </c>
      <c r="H51" s="20" t="n">
        <v>2.15521079</v>
      </c>
      <c r="I51" s="18" t="n">
        <v>0</v>
      </c>
      <c r="J51" s="20" t="n">
        <v>0</v>
      </c>
      <c r="K51" s="18" t="n">
        <v>0</v>
      </c>
      <c r="L51" s="20" t="n">
        <v>0</v>
      </c>
      <c r="M51" s="18" t="n">
        <v>0</v>
      </c>
      <c r="N51" s="20" t="n">
        <v>0</v>
      </c>
      <c r="O51" s="18" t="n">
        <v>0</v>
      </c>
      <c r="P51" s="20" t="n">
        <v>0</v>
      </c>
      <c r="Q51" s="18" t="n">
        <v>2.28666314</v>
      </c>
      <c r="R51" s="20" t="n">
        <v>0.6870908999999999</v>
      </c>
    </row>
    <row r="52" spans="1:18">
      <c r="A52" s="15" t="s">
        <v>611</v>
      </c>
      <c r="B52" s="17" t="n">
        <v>2760</v>
      </c>
      <c r="C52" s="18">
        <f>(2156.0/B52*100)</f>
        <v/>
      </c>
      <c r="D52" s="19" t="n">
        <v>604</v>
      </c>
      <c r="E52" s="18" t="n">
        <v>35.6224252</v>
      </c>
      <c r="F52" s="20" t="n">
        <v>2.20634925</v>
      </c>
      <c r="G52" s="18" t="n">
        <v>62.68206367</v>
      </c>
      <c r="H52" s="20" t="n">
        <v>2.13210227</v>
      </c>
      <c r="I52" s="18" t="n">
        <v>0</v>
      </c>
      <c r="J52" s="20" t="n">
        <v>0</v>
      </c>
      <c r="K52" s="18" t="n">
        <v>0</v>
      </c>
      <c r="L52" s="20" t="n">
        <v>0</v>
      </c>
      <c r="M52" s="18" t="n">
        <v>0</v>
      </c>
      <c r="N52" s="20" t="n">
        <v>0</v>
      </c>
      <c r="O52" s="18" t="n">
        <v>0</v>
      </c>
      <c r="P52" s="20" t="n">
        <v>0</v>
      </c>
      <c r="Q52" s="18" t="n">
        <v>1.69551113</v>
      </c>
      <c r="R52" s="20" t="n">
        <v>0.54346238</v>
      </c>
    </row>
    <row r="53" spans="1:18">
      <c r="A53" s="15" t="s">
        <v>612</v>
      </c>
      <c r="B53" s="17" t="n">
        <v>2474</v>
      </c>
      <c r="C53" s="18">
        <f>(1887.0/B53*100)</f>
        <v/>
      </c>
      <c r="D53" s="19" t="n">
        <v>587</v>
      </c>
      <c r="E53" s="18" t="n">
        <v>55.05342456</v>
      </c>
      <c r="F53" s="20" t="n">
        <v>2.41698639</v>
      </c>
      <c r="G53" s="18" t="n">
        <v>23.19093088</v>
      </c>
      <c r="H53" s="20" t="n">
        <v>2.13559026</v>
      </c>
      <c r="I53" s="18" t="n">
        <v>0</v>
      </c>
      <c r="J53" s="20" t="n">
        <v>0</v>
      </c>
      <c r="K53" s="18" t="n">
        <v>4.91234377</v>
      </c>
      <c r="L53" s="20" t="n">
        <v>0.9295298</v>
      </c>
      <c r="M53" s="18" t="n">
        <v>0</v>
      </c>
      <c r="N53" s="20" t="n">
        <v>0</v>
      </c>
      <c r="O53" s="18" t="n">
        <v>0</v>
      </c>
      <c r="P53" s="20" t="n">
        <v>0</v>
      </c>
      <c r="Q53" s="18" t="n">
        <v>16.8433008</v>
      </c>
      <c r="R53" s="20" t="n">
        <v>2.20909771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(2068.0/B55*100)</f>
        <v/>
      </c>
      <c r="D55" s="19" t="n">
        <v>607</v>
      </c>
      <c r="E55" s="18" t="n">
        <v>20.44893358</v>
      </c>
      <c r="F55" s="20" t="n">
        <v>1.73114952</v>
      </c>
      <c r="G55" s="18" t="n">
        <v>78.79228696</v>
      </c>
      <c r="H55" s="20" t="n">
        <v>1.79051704</v>
      </c>
      <c r="I55" s="18" t="n">
        <v>0</v>
      </c>
      <c r="J55" s="20" t="n">
        <v>0</v>
      </c>
      <c r="K55" s="18" t="n">
        <v>0</v>
      </c>
      <c r="L55" s="20" t="n">
        <v>0</v>
      </c>
      <c r="M55" s="18" t="n">
        <v>0</v>
      </c>
      <c r="N55" s="20" t="n">
        <v>0</v>
      </c>
      <c r="O55" s="18" t="n">
        <v>0</v>
      </c>
      <c r="P55" s="20" t="n">
        <v>0</v>
      </c>
      <c r="Q55" s="18" t="n">
        <v>0.75877945</v>
      </c>
      <c r="R55" s="20" t="n">
        <v>0.36918652</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(2489.0/B61*100)</f>
        <v/>
      </c>
      <c r="D61" s="19" t="n">
        <v>712</v>
      </c>
      <c r="E61" s="18" t="n">
        <v>32.29507241</v>
      </c>
      <c r="F61" s="20" t="n">
        <v>2.14235416</v>
      </c>
      <c r="G61" s="18" t="n">
        <v>66.23555198</v>
      </c>
      <c r="H61" s="20" t="n">
        <v>2.29844976</v>
      </c>
      <c r="I61" s="18" t="n">
        <v>0</v>
      </c>
      <c r="J61" s="20" t="n">
        <v>0</v>
      </c>
      <c r="K61" s="18" t="n">
        <v>0.55620916</v>
      </c>
      <c r="L61" s="20" t="n">
        <v>0.43032352</v>
      </c>
      <c r="M61" s="18" t="n">
        <v>0</v>
      </c>
      <c r="N61" s="20" t="n">
        <v>0</v>
      </c>
      <c r="O61" s="18" t="n">
        <v>0</v>
      </c>
      <c r="P61" s="20" t="n">
        <v>0</v>
      </c>
      <c r="Q61" s="18" t="n">
        <v>0.91316645</v>
      </c>
      <c r="R61" s="20" t="n">
        <v>0.47251284</v>
      </c>
    </row>
    <row r="62" spans="1:18">
      <c r="A62" s="15" t="s">
        <v>622</v>
      </c>
      <c r="B62" s="17" t="n">
        <v>2230</v>
      </c>
      <c r="C62" s="18">
        <f>(1743.0/B62*100)</f>
        <v/>
      </c>
      <c r="D62" s="19" t="n">
        <v>487</v>
      </c>
      <c r="E62" s="18" t="n">
        <v>19.53930622</v>
      </c>
      <c r="F62" s="20" t="n">
        <v>1.74085666</v>
      </c>
      <c r="G62" s="18" t="n">
        <v>80.04614823</v>
      </c>
      <c r="H62" s="20" t="n">
        <v>1.70611041</v>
      </c>
      <c r="I62" s="18" t="n">
        <v>0</v>
      </c>
      <c r="J62" s="20" t="n">
        <v>0</v>
      </c>
      <c r="K62" s="18" t="n">
        <v>0</v>
      </c>
      <c r="L62" s="20" t="n">
        <v>0</v>
      </c>
      <c r="M62" s="18" t="n">
        <v>0</v>
      </c>
      <c r="N62" s="20" t="n">
        <v>0</v>
      </c>
      <c r="O62" s="18" t="n">
        <v>0</v>
      </c>
      <c r="P62" s="20" t="n">
        <v>0</v>
      </c>
      <c r="Q62" s="18" t="n">
        <v>0.41454555</v>
      </c>
      <c r="R62" s="20" t="n">
        <v>0.29149284</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(2148.0/B67*100)</f>
        <v/>
      </c>
      <c r="D67" s="19" t="n">
        <v>623</v>
      </c>
      <c r="E67" s="18" t="n">
        <v>42.83513861</v>
      </c>
      <c r="F67" s="20" t="n">
        <v>2.0457354</v>
      </c>
      <c r="G67" s="18" t="n">
        <v>49.04414946</v>
      </c>
      <c r="H67" s="20" t="n">
        <v>2.00812579</v>
      </c>
      <c r="I67" s="18" t="n">
        <v>0</v>
      </c>
      <c r="J67" s="20" t="n">
        <v>0</v>
      </c>
      <c r="K67" s="18" t="n">
        <v>0.441224</v>
      </c>
      <c r="L67" s="20" t="n">
        <v>0.25894007</v>
      </c>
      <c r="M67" s="18" t="n">
        <v>0</v>
      </c>
      <c r="N67" s="20" t="n">
        <v>0</v>
      </c>
      <c r="O67" s="18" t="n">
        <v>0</v>
      </c>
      <c r="P67" s="20" t="n">
        <v>0</v>
      </c>
      <c r="Q67" s="18" t="n">
        <v>7.67948794</v>
      </c>
      <c r="R67" s="20" t="n">
        <v>1.08125481</v>
      </c>
    </row>
    <row r="68" spans="1:18">
      <c r="A68" s="15" t="s">
        <v>628</v>
      </c>
      <c r="B68" s="17" t="n">
        <v>3460</v>
      </c>
      <c r="C68" s="18">
        <f>(2755.0/B68*100)</f>
        <v/>
      </c>
      <c r="D68" s="19" t="n">
        <v>705</v>
      </c>
      <c r="E68" s="18" t="n">
        <v>46.81358455</v>
      </c>
      <c r="F68" s="20" t="n">
        <v>2.57363174</v>
      </c>
      <c r="G68" s="18" t="n">
        <v>47.75062813</v>
      </c>
      <c r="H68" s="20" t="n">
        <v>2.54731606</v>
      </c>
      <c r="I68" s="18" t="n">
        <v>0</v>
      </c>
      <c r="J68" s="20" t="n">
        <v>0</v>
      </c>
      <c r="K68" s="18" t="n">
        <v>0.14376253</v>
      </c>
      <c r="L68" s="20" t="n">
        <v>0.14301774</v>
      </c>
      <c r="M68" s="18" t="n">
        <v>0</v>
      </c>
      <c r="N68" s="20" t="n">
        <v>0</v>
      </c>
      <c r="O68" s="18" t="n">
        <v>0</v>
      </c>
      <c r="P68" s="20" t="n">
        <v>0</v>
      </c>
      <c r="Q68" s="18" t="n">
        <v>5.2920248</v>
      </c>
      <c r="R68" s="20" t="n">
        <v>0.87982977</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(4676.0/B70*100)</f>
        <v/>
      </c>
      <c r="D70" s="19" t="n">
        <v>1358</v>
      </c>
      <c r="E70" s="18" t="n">
        <v>43.71909621</v>
      </c>
      <c r="F70" s="20" t="n">
        <v>1.2547571</v>
      </c>
      <c r="G70" s="18" t="n">
        <v>53.71440882</v>
      </c>
      <c r="H70" s="20" t="n">
        <v>1.30597574</v>
      </c>
      <c r="I70" s="18" t="n">
        <v>0</v>
      </c>
      <c r="J70" s="20" t="n">
        <v>0</v>
      </c>
      <c r="K70" s="18" t="n">
        <v>0.73466455</v>
      </c>
      <c r="L70" s="20" t="n">
        <v>0.23205208</v>
      </c>
      <c r="M70" s="18" t="n">
        <v>0</v>
      </c>
      <c r="N70" s="20" t="n">
        <v>0</v>
      </c>
      <c r="O70" s="18" t="n">
        <v>0</v>
      </c>
      <c r="P70" s="20" t="n">
        <v>0</v>
      </c>
      <c r="Q70" s="18" t="n">
        <v>1.83183043</v>
      </c>
      <c r="R70" s="20" t="n">
        <v>0.28447918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(2409.0/B72*100)</f>
        <v/>
      </c>
      <c r="D72" s="19" t="n">
        <v>698</v>
      </c>
      <c r="E72" s="18" t="n">
        <v>22.46117978</v>
      </c>
      <c r="F72" s="20" t="n">
        <v>1.95792328</v>
      </c>
      <c r="G72" s="18" t="n">
        <v>76.48805158</v>
      </c>
      <c r="H72" s="20" t="n">
        <v>1.85814663</v>
      </c>
      <c r="I72" s="18" t="n">
        <v>0</v>
      </c>
      <c r="J72" s="20" t="n">
        <v>0</v>
      </c>
      <c r="K72" s="18" t="n">
        <v>0.26637153</v>
      </c>
      <c r="L72" s="20" t="n">
        <v>0.15447538</v>
      </c>
      <c r="M72" s="18" t="n">
        <v>0</v>
      </c>
      <c r="N72" s="20" t="n">
        <v>0</v>
      </c>
      <c r="O72" s="18" t="n">
        <v>0</v>
      </c>
      <c r="P72" s="20" t="n">
        <v>0</v>
      </c>
      <c r="Q72" s="18" t="n">
        <v>0.78439711</v>
      </c>
      <c r="R72" s="20" t="n">
        <v>0.2836087</v>
      </c>
    </row>
    <row r="73" spans="1:18">
      <c r="A73" s="15" t="s">
        <v>633</v>
      </c>
      <c r="B73" s="17" t="n">
        <v>2973</v>
      </c>
      <c r="C73" s="18">
        <f>(2327.0/B73*100)</f>
        <v/>
      </c>
      <c r="D73" s="19" t="n">
        <v>646</v>
      </c>
      <c r="E73" s="18" t="n">
        <v>24.74303073</v>
      </c>
      <c r="F73" s="20" t="n">
        <v>1.71695577</v>
      </c>
      <c r="G73" s="18" t="n">
        <v>75.25696927</v>
      </c>
      <c r="H73" s="20" t="n">
        <v>1.71695577</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(3013.0/B74*100)</f>
        <v/>
      </c>
      <c r="D74" s="19" t="n">
        <v>806</v>
      </c>
      <c r="E74" s="18" t="n">
        <v>21.20430776</v>
      </c>
      <c r="F74" s="20" t="n">
        <v>1.68972764</v>
      </c>
      <c r="G74" s="18" t="n">
        <v>78.15456819000001</v>
      </c>
      <c r="H74" s="20" t="n">
        <v>1.81302777</v>
      </c>
      <c r="I74" s="18" t="n">
        <v>0</v>
      </c>
      <c r="J74" s="20" t="n">
        <v>0</v>
      </c>
      <c r="K74" s="18" t="n">
        <v>0.19101494</v>
      </c>
      <c r="L74" s="20" t="n">
        <v>0.27024971</v>
      </c>
      <c r="M74" s="18" t="n">
        <v>0</v>
      </c>
      <c r="N74" s="20" t="n">
        <v>0</v>
      </c>
      <c r="O74" s="18" t="n">
        <v>0</v>
      </c>
      <c r="P74" s="20" t="n">
        <v>0</v>
      </c>
      <c r="Q74" s="18" t="n">
        <v>0.45010911</v>
      </c>
      <c r="R74" s="20" t="n">
        <v>0.23253542</v>
      </c>
    </row>
    <row r="75" spans="1:18">
      <c r="A75" s="15" t="s">
        <v>635</v>
      </c>
      <c r="B75" s="17" t="n">
        <v>4652</v>
      </c>
      <c r="C75" s="18">
        <f>(3630.0/B75*100)</f>
        <v/>
      </c>
      <c r="D75" s="19" t="n">
        <v>1022</v>
      </c>
      <c r="E75" s="18" t="n">
        <v>33.25679672</v>
      </c>
      <c r="F75" s="20" t="n">
        <v>1.77615565</v>
      </c>
      <c r="G75" s="18" t="n">
        <v>64.93414015</v>
      </c>
      <c r="H75" s="20" t="n">
        <v>1.82267987</v>
      </c>
      <c r="I75" s="18" t="n">
        <v>0</v>
      </c>
      <c r="J75" s="20" t="n">
        <v>0</v>
      </c>
      <c r="K75" s="18" t="n">
        <v>0.14119223</v>
      </c>
      <c r="L75" s="20" t="n">
        <v>0.14082993</v>
      </c>
      <c r="M75" s="18" t="n">
        <v>0</v>
      </c>
      <c r="N75" s="20" t="n">
        <v>0</v>
      </c>
      <c r="O75" s="18" t="n">
        <v>0</v>
      </c>
      <c r="P75" s="20" t="n">
        <v>0</v>
      </c>
      <c r="Q75" s="18" t="n">
        <v>1.66787091</v>
      </c>
      <c r="R75" s="20" t="n">
        <v>0.50785163</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(2344.0/B77*100)</f>
        <v/>
      </c>
      <c r="D77" s="19" t="n">
        <v>625</v>
      </c>
      <c r="E77" s="18" t="n">
        <v>57.7718163</v>
      </c>
      <c r="F77" s="20" t="n">
        <v>1.77315977</v>
      </c>
      <c r="G77" s="18" t="n">
        <v>38.7485669</v>
      </c>
      <c r="H77" s="20" t="n">
        <v>1.83127258</v>
      </c>
      <c r="I77" s="18" t="n">
        <v>0</v>
      </c>
      <c r="J77" s="20" t="n">
        <v>0</v>
      </c>
      <c r="K77" s="18" t="n">
        <v>0.72321854</v>
      </c>
      <c r="L77" s="20" t="n">
        <v>0.4353235</v>
      </c>
      <c r="M77" s="18" t="n">
        <v>0</v>
      </c>
      <c r="N77" s="20" t="n">
        <v>0</v>
      </c>
      <c r="O77" s="18" t="n">
        <v>0</v>
      </c>
      <c r="P77" s="20" t="n">
        <v>0</v>
      </c>
      <c r="Q77" s="18" t="n">
        <v>2.75639827</v>
      </c>
      <c r="R77" s="20" t="n">
        <v>0.65680077</v>
      </c>
    </row>
    <row r="78" spans="1:18">
      <c r="A78" s="15" t="s">
        <v>638</v>
      </c>
      <c r="B78" s="17" t="n">
        <v>7115</v>
      </c>
      <c r="C78" s="18">
        <f>(5530.0/B78*100)</f>
        <v/>
      </c>
      <c r="D78" s="19" t="n">
        <v>1585</v>
      </c>
      <c r="E78" s="18" t="n">
        <v>39.52090153</v>
      </c>
      <c r="F78" s="20" t="n">
        <v>1.7111187</v>
      </c>
      <c r="G78" s="18" t="n">
        <v>58.92254389</v>
      </c>
      <c r="H78" s="20" t="n">
        <v>1.75339012</v>
      </c>
      <c r="I78" s="18" t="n">
        <v>0</v>
      </c>
      <c r="J78" s="20" t="n">
        <v>0</v>
      </c>
      <c r="K78" s="18" t="n">
        <v>0.35268513</v>
      </c>
      <c r="L78" s="20" t="n">
        <v>0.11975847</v>
      </c>
      <c r="M78" s="18" t="n">
        <v>0</v>
      </c>
      <c r="N78" s="20" t="n">
        <v>0</v>
      </c>
      <c r="O78" s="18" t="n">
        <v>0</v>
      </c>
      <c r="P78" s="20" t="n">
        <v>0</v>
      </c>
      <c r="Q78" s="18" t="n">
        <v>1.20386945</v>
      </c>
      <c r="R78" s="20" t="n">
        <v>0.34377385</v>
      </c>
    </row>
    <row r="79" spans="1:18">
      <c r="A79" s="15" t="s">
        <v>639</v>
      </c>
      <c r="B79" s="17" t="n">
        <v>3154</v>
      </c>
      <c r="C79" s="18">
        <f>(2428.0/B79*100)</f>
        <v/>
      </c>
      <c r="D79" s="19" t="n">
        <v>726</v>
      </c>
      <c r="E79" s="18" t="n">
        <v>39.72809091</v>
      </c>
      <c r="F79" s="20" t="n">
        <v>1.99443827</v>
      </c>
      <c r="G79" s="18" t="n">
        <v>58.28748836</v>
      </c>
      <c r="H79" s="20" t="n">
        <v>2.07848469</v>
      </c>
      <c r="I79" s="18" t="n">
        <v>0</v>
      </c>
      <c r="J79" s="20" t="n">
        <v>0</v>
      </c>
      <c r="K79" s="18" t="n">
        <v>0.29884721</v>
      </c>
      <c r="L79" s="20" t="n">
        <v>0.24455973</v>
      </c>
      <c r="M79" s="18" t="n">
        <v>0</v>
      </c>
      <c r="N79" s="20" t="n">
        <v>0</v>
      </c>
      <c r="O79" s="18" t="n">
        <v>0</v>
      </c>
      <c r="P79" s="20" t="n">
        <v>0</v>
      </c>
      <c r="Q79" s="18" t="n">
        <v>1.68557351</v>
      </c>
      <c r="R79" s="20" t="n">
        <v>0.39920474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(12392.0/B82*100)</f>
        <v/>
      </c>
      <c r="D82" s="19" t="n">
        <v>3569</v>
      </c>
      <c r="E82" s="18" t="n">
        <v>22.12090655</v>
      </c>
      <c r="F82" s="20" t="n">
        <v>1.17328313</v>
      </c>
      <c r="G82" s="18" t="n">
        <v>76.12713755</v>
      </c>
      <c r="H82" s="20" t="n">
        <v>1.22928713</v>
      </c>
      <c r="I82" s="18" t="n">
        <v>0</v>
      </c>
      <c r="J82" s="20" t="n">
        <v>0</v>
      </c>
      <c r="K82" s="18" t="n">
        <v>0.12386629</v>
      </c>
      <c r="L82" s="20" t="n">
        <v>0.05223623</v>
      </c>
      <c r="M82" s="18" t="n">
        <v>0</v>
      </c>
      <c r="N82" s="20" t="n">
        <v>0</v>
      </c>
      <c r="O82" s="18" t="n">
        <v>0</v>
      </c>
      <c r="P82" s="20" t="n">
        <v>0</v>
      </c>
      <c r="Q82" s="18" t="n">
        <v>1.62808961</v>
      </c>
      <c r="R82" s="20" t="n">
        <v>0.36489481</v>
      </c>
    </row>
    <row r="83" spans="1:18">
      <c r="A83" s="15" t="s">
        <v>643</v>
      </c>
      <c r="B83" s="17" t="n">
        <v>808</v>
      </c>
      <c r="C83" s="18">
        <f>(619.0/B83*100)</f>
        <v/>
      </c>
      <c r="D83" s="19" t="n">
        <v>189</v>
      </c>
      <c r="E83" s="18" t="n">
        <v>20.40746615</v>
      </c>
      <c r="F83" s="20" t="n">
        <v>2.93487282</v>
      </c>
      <c r="G83" s="18" t="n">
        <v>79.03740601</v>
      </c>
      <c r="H83" s="20" t="n">
        <v>3.07871766</v>
      </c>
      <c r="I83" s="18" t="n">
        <v>0</v>
      </c>
      <c r="J83" s="20" t="n">
        <v>0</v>
      </c>
      <c r="K83" s="18" t="n">
        <v>0</v>
      </c>
      <c r="L83" s="20" t="n">
        <v>0</v>
      </c>
      <c r="M83" s="18" t="n">
        <v>0</v>
      </c>
      <c r="N83" s="20" t="n">
        <v>0</v>
      </c>
      <c r="O83" s="18" t="n">
        <v>0</v>
      </c>
      <c r="P83" s="20" t="n">
        <v>0</v>
      </c>
      <c r="Q83" s="18" t="n">
        <v>0.55512784</v>
      </c>
      <c r="R83" s="20" t="n">
        <v>0.69839542</v>
      </c>
    </row>
    <row r="84" spans="1:18">
      <c r="A84" s="23" t="s">
        <v>644</v>
      </c>
      <c r="B84" s="24" t="n">
        <v>938</v>
      </c>
      <c r="C84" s="25">
        <f>(714.0/B84*100)</f>
        <v/>
      </c>
      <c r="D84" s="19" t="n">
        <v>224</v>
      </c>
      <c r="E84" s="18" t="n">
        <v>23.67187566</v>
      </c>
      <c r="F84" s="20" t="n">
        <v>2.87042073</v>
      </c>
      <c r="G84" s="18" t="n">
        <v>76.32812434</v>
      </c>
      <c r="H84" s="20" t="n">
        <v>2.87042073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(5621.0/B7*100)</f>
        <v/>
      </c>
      <c r="D7" s="19" t="n">
        <v>1542</v>
      </c>
      <c r="E7" s="18" t="n">
        <v>27.86247824</v>
      </c>
      <c r="F7" s="20" t="n">
        <v>1.29180476</v>
      </c>
      <c r="G7" s="18" t="n">
        <v>68.44862394</v>
      </c>
      <c r="H7" s="20" t="n">
        <v>1.35913328</v>
      </c>
      <c r="I7" s="18" t="n">
        <v>0</v>
      </c>
      <c r="J7" s="20" t="n">
        <v>0</v>
      </c>
      <c r="K7" s="18" t="n">
        <v>0.13342831</v>
      </c>
      <c r="L7" s="20" t="n">
        <v>0.11259712</v>
      </c>
      <c r="M7" s="18" t="n">
        <v>0.10917547</v>
      </c>
      <c r="N7" s="20" t="n">
        <v>0.09617937</v>
      </c>
      <c r="O7" s="18" t="n">
        <v>0</v>
      </c>
      <c r="P7" s="20" t="n">
        <v>0</v>
      </c>
      <c r="Q7" s="18" t="n">
        <v>3.44629404</v>
      </c>
      <c r="R7" s="20" t="n">
        <v>0.55134614</v>
      </c>
    </row>
    <row r="8" spans="1:18">
      <c r="A8" s="15" t="s">
        <v>566</v>
      </c>
      <c r="B8" s="17" t="n">
        <v>3443</v>
      </c>
      <c r="C8" s="18">
        <f>(2668.0/B8*100)</f>
        <v/>
      </c>
      <c r="D8" s="19" t="n">
        <v>775</v>
      </c>
      <c r="E8" s="18" t="n">
        <v>45.38466255</v>
      </c>
      <c r="F8" s="20" t="n">
        <v>2.19778226</v>
      </c>
      <c r="G8" s="18" t="n">
        <v>43.07582213</v>
      </c>
      <c r="H8" s="20" t="n">
        <v>2.66247887</v>
      </c>
      <c r="I8" s="18" t="n">
        <v>0</v>
      </c>
      <c r="J8" s="20" t="n">
        <v>0</v>
      </c>
      <c r="K8" s="18" t="n">
        <v>0</v>
      </c>
      <c r="L8" s="20" t="n">
        <v>0</v>
      </c>
      <c r="M8" s="18" t="n">
        <v>0</v>
      </c>
      <c r="N8" s="20" t="n">
        <v>0</v>
      </c>
      <c r="O8" s="18" t="n">
        <v>0</v>
      </c>
      <c r="P8" s="20" t="n">
        <v>0</v>
      </c>
      <c r="Q8" s="18" t="n">
        <v>11.53951532</v>
      </c>
      <c r="R8" s="20" t="n">
        <v>1.42372035</v>
      </c>
    </row>
    <row r="9" spans="1:18">
      <c r="A9" s="15" t="s">
        <v>567</v>
      </c>
      <c r="B9" s="17" t="n">
        <v>4752</v>
      </c>
      <c r="C9" s="18">
        <f>(3706.0/B9*100)</f>
        <v/>
      </c>
      <c r="D9" s="19" t="n">
        <v>1046</v>
      </c>
      <c r="E9" s="18" t="n">
        <v>39.6098199</v>
      </c>
      <c r="F9" s="20" t="n">
        <v>1.67671137</v>
      </c>
      <c r="G9" s="18" t="n">
        <v>53.46030431</v>
      </c>
      <c r="H9" s="20" t="n">
        <v>1.56121981</v>
      </c>
      <c r="I9" s="18" t="n">
        <v>0</v>
      </c>
      <c r="J9" s="20" t="n">
        <v>0</v>
      </c>
      <c r="K9" s="18" t="n">
        <v>0.39684003</v>
      </c>
      <c r="L9" s="20" t="n">
        <v>0.20571654</v>
      </c>
      <c r="M9" s="18" t="n">
        <v>0.36279126</v>
      </c>
      <c r="N9" s="20" t="n">
        <v>0.21581282</v>
      </c>
      <c r="O9" s="18" t="n">
        <v>0</v>
      </c>
      <c r="P9" s="20" t="n">
        <v>0</v>
      </c>
      <c r="Q9" s="18" t="n">
        <v>6.17024451</v>
      </c>
      <c r="R9" s="20" t="n">
        <v>0.66308831</v>
      </c>
    </row>
    <row r="10" spans="1:18">
      <c r="A10" s="15" t="s">
        <v>568</v>
      </c>
      <c r="B10" s="17" t="n">
        <v>10022</v>
      </c>
      <c r="C10" s="18">
        <f>(7815.0/B10*100)</f>
        <v/>
      </c>
      <c r="D10" s="19" t="n">
        <v>2207</v>
      </c>
      <c r="E10" s="18" t="n">
        <v>27.67676717</v>
      </c>
      <c r="F10" s="20" t="n">
        <v>1.40870138</v>
      </c>
      <c r="G10" s="18" t="n">
        <v>69.54755414</v>
      </c>
      <c r="H10" s="20" t="n">
        <v>1.39680042</v>
      </c>
      <c r="I10" s="18" t="n">
        <v>0</v>
      </c>
      <c r="J10" s="20" t="n">
        <v>0</v>
      </c>
      <c r="K10" s="18" t="n">
        <v>0.0047767</v>
      </c>
      <c r="L10" s="20" t="n">
        <v>0.00478396</v>
      </c>
      <c r="M10" s="18" t="n">
        <v>0</v>
      </c>
      <c r="N10" s="20" t="n">
        <v>0</v>
      </c>
      <c r="O10" s="18" t="n">
        <v>0</v>
      </c>
      <c r="P10" s="20" t="n">
        <v>0</v>
      </c>
      <c r="Q10" s="18" t="n">
        <v>2.77090199</v>
      </c>
      <c r="R10" s="20" t="n">
        <v>0.45148014</v>
      </c>
    </row>
    <row r="11" spans="1:18">
      <c r="A11" s="15" t="s">
        <v>569</v>
      </c>
      <c r="B11" s="17" t="n">
        <v>3500</v>
      </c>
      <c r="C11" s="18">
        <f>(2716.0/B11*100)</f>
        <v/>
      </c>
      <c r="D11" s="19" t="n">
        <v>784</v>
      </c>
      <c r="E11" s="18" t="n">
        <v>61.86929734</v>
      </c>
      <c r="F11" s="20" t="n">
        <v>1.91462304</v>
      </c>
      <c r="G11" s="18" t="n">
        <v>29.5025453</v>
      </c>
      <c r="H11" s="20" t="n">
        <v>1.75634673</v>
      </c>
      <c r="I11" s="18" t="n">
        <v>0</v>
      </c>
      <c r="J11" s="20" t="n">
        <v>0</v>
      </c>
      <c r="K11" s="18" t="n">
        <v>0.16929999</v>
      </c>
      <c r="L11" s="20" t="n">
        <v>0.16733525</v>
      </c>
      <c r="M11" s="18" t="n">
        <v>0.05588421</v>
      </c>
      <c r="N11" s="20" t="n">
        <v>0.06135468</v>
      </c>
      <c r="O11" s="18" t="n">
        <v>0</v>
      </c>
      <c r="P11" s="20" t="n">
        <v>0</v>
      </c>
      <c r="Q11" s="18" t="n">
        <v>8.40297316</v>
      </c>
      <c r="R11" s="20" t="n">
        <v>1.02831649</v>
      </c>
    </row>
    <row r="12" spans="1:18">
      <c r="A12" s="15" t="s">
        <v>570</v>
      </c>
      <c r="B12" s="17" t="n">
        <v>3422</v>
      </c>
      <c r="C12" s="18">
        <f>(2703.0/B12*100)</f>
        <v/>
      </c>
      <c r="D12" s="19" t="n">
        <v>719</v>
      </c>
      <c r="E12" s="18" t="n">
        <v>34.81938216</v>
      </c>
      <c r="F12" s="20" t="n">
        <v>2.14936989</v>
      </c>
      <c r="G12" s="18" t="n">
        <v>54.84265857</v>
      </c>
      <c r="H12" s="20" t="n">
        <v>2.21486029</v>
      </c>
      <c r="I12" s="18" t="n">
        <v>0</v>
      </c>
      <c r="J12" s="20" t="n">
        <v>0</v>
      </c>
      <c r="K12" s="18" t="n">
        <v>0.12103827</v>
      </c>
      <c r="L12" s="20" t="n">
        <v>0.11488862</v>
      </c>
      <c r="M12" s="18" t="n">
        <v>0.05134518</v>
      </c>
      <c r="N12" s="20" t="n">
        <v>0.05122802</v>
      </c>
      <c r="O12" s="18" t="n">
        <v>0</v>
      </c>
      <c r="P12" s="20" t="n">
        <v>0</v>
      </c>
      <c r="Q12" s="18" t="n">
        <v>10.16557582</v>
      </c>
      <c r="R12" s="20" t="n">
        <v>1.38041628</v>
      </c>
    </row>
    <row r="13" spans="1:18">
      <c r="A13" s="15" t="s">
        <v>571</v>
      </c>
      <c r="B13" s="17" t="n">
        <v>3602</v>
      </c>
      <c r="C13" s="18">
        <f>(2899.0/B13*100)</f>
        <v/>
      </c>
      <c r="D13" s="19" t="n">
        <v>703</v>
      </c>
      <c r="E13" s="18" t="n">
        <v>38.0194888</v>
      </c>
      <c r="F13" s="20" t="n">
        <v>2.21468241</v>
      </c>
      <c r="G13" s="18" t="n">
        <v>58.43313942</v>
      </c>
      <c r="H13" s="20" t="n">
        <v>2.30809412</v>
      </c>
      <c r="I13" s="18" t="n">
        <v>0</v>
      </c>
      <c r="J13" s="20" t="n">
        <v>0</v>
      </c>
      <c r="K13" s="18" t="n">
        <v>0.23042024</v>
      </c>
      <c r="L13" s="20" t="n">
        <v>0.20016133</v>
      </c>
      <c r="M13" s="18" t="n">
        <v>0</v>
      </c>
      <c r="N13" s="20" t="n">
        <v>0</v>
      </c>
      <c r="O13" s="18" t="n">
        <v>0</v>
      </c>
      <c r="P13" s="20" t="n">
        <v>0</v>
      </c>
      <c r="Q13" s="18" t="n">
        <v>3.31695153</v>
      </c>
      <c r="R13" s="20" t="n">
        <v>0.70970365</v>
      </c>
    </row>
    <row r="14" spans="1:18">
      <c r="A14" s="15" t="s">
        <v>572</v>
      </c>
      <c r="B14" s="17" t="n">
        <v>2788</v>
      </c>
      <c r="C14" s="18">
        <f>(2151.0/B14*100)</f>
        <v/>
      </c>
      <c r="D14" s="19" t="n">
        <v>637</v>
      </c>
      <c r="E14" s="18" t="n">
        <v>22.22752822</v>
      </c>
      <c r="F14" s="20" t="n">
        <v>1.94231677</v>
      </c>
      <c r="G14" s="18" t="n">
        <v>74.10977920000001</v>
      </c>
      <c r="H14" s="20" t="n">
        <v>2.10684134</v>
      </c>
      <c r="I14" s="18" t="n">
        <v>0</v>
      </c>
      <c r="J14" s="20" t="n">
        <v>0</v>
      </c>
      <c r="K14" s="18" t="n">
        <v>0</v>
      </c>
      <c r="L14" s="20" t="n">
        <v>0</v>
      </c>
      <c r="M14" s="18" t="n">
        <v>0</v>
      </c>
      <c r="N14" s="20" t="n">
        <v>0</v>
      </c>
      <c r="O14" s="18" t="n">
        <v>0</v>
      </c>
      <c r="P14" s="20" t="n">
        <v>0</v>
      </c>
      <c r="Q14" s="18" t="n">
        <v>3.66269258</v>
      </c>
      <c r="R14" s="20" t="n">
        <v>0.85752652</v>
      </c>
    </row>
    <row r="15" spans="1:18">
      <c r="A15" s="15" t="s">
        <v>573</v>
      </c>
      <c r="B15" s="17" t="n">
        <v>2863</v>
      </c>
      <c r="C15" s="18">
        <f>(2224.0/B15*100)</f>
        <v/>
      </c>
      <c r="D15" s="19" t="n">
        <v>639</v>
      </c>
      <c r="E15" s="18" t="n">
        <v>38.72149571</v>
      </c>
      <c r="F15" s="20" t="n">
        <v>1.9165353</v>
      </c>
      <c r="G15" s="18" t="n">
        <v>58.33079367</v>
      </c>
      <c r="H15" s="20" t="n">
        <v>1.99762665</v>
      </c>
      <c r="I15" s="18" t="n">
        <v>0</v>
      </c>
      <c r="J15" s="20" t="n">
        <v>0</v>
      </c>
      <c r="K15" s="18" t="n">
        <v>0</v>
      </c>
      <c r="L15" s="20" t="n">
        <v>0</v>
      </c>
      <c r="M15" s="18" t="n">
        <v>0</v>
      </c>
      <c r="N15" s="20" t="n">
        <v>0</v>
      </c>
      <c r="O15" s="18" t="n">
        <v>0</v>
      </c>
      <c r="P15" s="20" t="n">
        <v>0</v>
      </c>
      <c r="Q15" s="18" t="n">
        <v>2.94771062</v>
      </c>
      <c r="R15" s="20" t="n">
        <v>0.54199714</v>
      </c>
    </row>
    <row r="16" spans="1:18">
      <c r="A16" s="15" t="s">
        <v>574</v>
      </c>
      <c r="B16" s="17" t="n">
        <v>3111</v>
      </c>
      <c r="C16" s="18">
        <f>(2436.0/B16*100)</f>
        <v/>
      </c>
      <c r="D16" s="19" t="n">
        <v>675</v>
      </c>
      <c r="E16" s="18" t="n">
        <v>29.60522977</v>
      </c>
      <c r="F16" s="20" t="n">
        <v>1.7338758</v>
      </c>
      <c r="G16" s="18" t="n">
        <v>60.08302199</v>
      </c>
      <c r="H16" s="20" t="n">
        <v>1.75366799</v>
      </c>
      <c r="I16" s="18" t="n">
        <v>0</v>
      </c>
      <c r="J16" s="20" t="n">
        <v>0</v>
      </c>
      <c r="K16" s="18" t="n">
        <v>0.47930307</v>
      </c>
      <c r="L16" s="20" t="n">
        <v>0.31321408</v>
      </c>
      <c r="M16" s="18" t="n">
        <v>0</v>
      </c>
      <c r="N16" s="20" t="n">
        <v>0</v>
      </c>
      <c r="O16" s="18" t="n">
        <v>0</v>
      </c>
      <c r="P16" s="20" t="n">
        <v>0</v>
      </c>
      <c r="Q16" s="18" t="n">
        <v>9.83244517</v>
      </c>
      <c r="R16" s="20" t="n">
        <v>1.25312873</v>
      </c>
    </row>
    <row r="17" spans="1:18">
      <c r="A17" s="15" t="s">
        <v>575</v>
      </c>
      <c r="B17" s="17" t="n">
        <v>3197</v>
      </c>
      <c r="C17" s="18">
        <f>(2544.0/B17*100)</f>
        <v/>
      </c>
      <c r="D17" s="19" t="n">
        <v>653</v>
      </c>
      <c r="E17" s="18" t="n">
        <v>26.22006647</v>
      </c>
      <c r="F17" s="20" t="n">
        <v>1.79315664</v>
      </c>
      <c r="G17" s="18" t="n">
        <v>65.61177456999999</v>
      </c>
      <c r="H17" s="20" t="n">
        <v>1.92345102</v>
      </c>
      <c r="I17" s="18" t="n">
        <v>0</v>
      </c>
      <c r="J17" s="20" t="n">
        <v>0</v>
      </c>
      <c r="K17" s="18" t="n">
        <v>0.15076973</v>
      </c>
      <c r="L17" s="20" t="n">
        <v>0.15164173</v>
      </c>
      <c r="M17" s="18" t="n">
        <v>0</v>
      </c>
      <c r="N17" s="20" t="n">
        <v>0</v>
      </c>
      <c r="O17" s="18" t="n">
        <v>0</v>
      </c>
      <c r="P17" s="20" t="n">
        <v>0</v>
      </c>
      <c r="Q17" s="18" t="n">
        <v>8.01738924</v>
      </c>
      <c r="R17" s="20" t="n">
        <v>1.10550258</v>
      </c>
    </row>
    <row r="18" spans="1:18">
      <c r="A18" s="15" t="s">
        <v>576</v>
      </c>
      <c r="B18" s="17" t="n">
        <v>2706</v>
      </c>
      <c r="C18" s="18">
        <f>(2110.0/B18*100)</f>
        <v/>
      </c>
      <c r="D18" s="19" t="n">
        <v>596</v>
      </c>
      <c r="E18" s="18" t="n">
        <v>60.84455517</v>
      </c>
      <c r="F18" s="20" t="n">
        <v>2.32129569</v>
      </c>
      <c r="G18" s="18" t="n">
        <v>31.9722007</v>
      </c>
      <c r="H18" s="20" t="n">
        <v>2.30225843</v>
      </c>
      <c r="I18" s="18" t="n">
        <v>0</v>
      </c>
      <c r="J18" s="20" t="n">
        <v>0</v>
      </c>
      <c r="K18" s="18" t="n">
        <v>0.26542601</v>
      </c>
      <c r="L18" s="20" t="n">
        <v>0.19587634</v>
      </c>
      <c r="M18" s="18" t="n">
        <v>0</v>
      </c>
      <c r="N18" s="20" t="n">
        <v>0</v>
      </c>
      <c r="O18" s="18" t="n">
        <v>0</v>
      </c>
      <c r="P18" s="20" t="n">
        <v>0</v>
      </c>
      <c r="Q18" s="18" t="n">
        <v>6.91781811</v>
      </c>
      <c r="R18" s="20" t="n">
        <v>1.07803969</v>
      </c>
    </row>
    <row r="19" spans="1:18">
      <c r="A19" s="15" t="s">
        <v>577</v>
      </c>
      <c r="B19" s="17" t="n">
        <v>2850</v>
      </c>
      <c r="C19" s="18">
        <f>(2190.0/B19*100)</f>
        <v/>
      </c>
      <c r="D19" s="19" t="n">
        <v>660</v>
      </c>
      <c r="E19" s="18" t="n">
        <v>27.44178197</v>
      </c>
      <c r="F19" s="20" t="n">
        <v>1.66806091</v>
      </c>
      <c r="G19" s="18" t="n">
        <v>59.87284574</v>
      </c>
      <c r="H19" s="20" t="n">
        <v>1.86446159</v>
      </c>
      <c r="I19" s="18" t="n">
        <v>0</v>
      </c>
      <c r="J19" s="20" t="n">
        <v>0</v>
      </c>
      <c r="K19" s="18" t="n">
        <v>0.14016158</v>
      </c>
      <c r="L19" s="20" t="n">
        <v>0.11929533</v>
      </c>
      <c r="M19" s="18" t="n">
        <v>0</v>
      </c>
      <c r="N19" s="20" t="n">
        <v>0</v>
      </c>
      <c r="O19" s="18" t="n">
        <v>0</v>
      </c>
      <c r="P19" s="20" t="n">
        <v>0</v>
      </c>
      <c r="Q19" s="18" t="n">
        <v>12.54521071</v>
      </c>
      <c r="R19" s="20" t="n">
        <v>1.60573615</v>
      </c>
    </row>
    <row r="20" spans="1:18">
      <c r="A20" s="15" t="s">
        <v>578</v>
      </c>
      <c r="B20" s="17" t="n">
        <v>1741</v>
      </c>
      <c r="C20" s="18">
        <f>(1367.0/B20*100)</f>
        <v/>
      </c>
      <c r="D20" s="19" t="n">
        <v>374</v>
      </c>
      <c r="E20" s="18" t="n">
        <v>40.69927135</v>
      </c>
      <c r="F20" s="20" t="n">
        <v>2.48826572</v>
      </c>
      <c r="G20" s="18" t="n">
        <v>53.23054004</v>
      </c>
      <c r="H20" s="20" t="n">
        <v>2.50562063</v>
      </c>
      <c r="I20" s="18" t="n">
        <v>0</v>
      </c>
      <c r="J20" s="20" t="n">
        <v>0</v>
      </c>
      <c r="K20" s="18" t="n">
        <v>0</v>
      </c>
      <c r="L20" s="20" t="n">
        <v>0</v>
      </c>
      <c r="M20" s="18" t="n">
        <v>0.41187747</v>
      </c>
      <c r="N20" s="20" t="n">
        <v>0.39717959</v>
      </c>
      <c r="O20" s="18" t="n">
        <v>0</v>
      </c>
      <c r="P20" s="20" t="n">
        <v>0</v>
      </c>
      <c r="Q20" s="18" t="n">
        <v>5.65831113</v>
      </c>
      <c r="R20" s="20" t="n">
        <v>1.31019918</v>
      </c>
    </row>
    <row r="21" spans="1:18">
      <c r="A21" s="15" t="s">
        <v>579</v>
      </c>
      <c r="B21" s="17" t="n">
        <v>2833</v>
      </c>
      <c r="C21" s="18">
        <f>(2232.0/B21*100)</f>
        <v/>
      </c>
      <c r="D21" s="19" t="n">
        <v>601</v>
      </c>
      <c r="E21" s="18" t="n">
        <v>32.37631637</v>
      </c>
      <c r="F21" s="20" t="n">
        <v>1.93410075</v>
      </c>
      <c r="G21" s="18" t="n">
        <v>65.15987163</v>
      </c>
      <c r="H21" s="20" t="n">
        <v>2.08870866</v>
      </c>
      <c r="I21" s="18" t="n">
        <v>0</v>
      </c>
      <c r="J21" s="20" t="n">
        <v>0</v>
      </c>
      <c r="K21" s="18" t="n">
        <v>0.14552862</v>
      </c>
      <c r="L21" s="20" t="n">
        <v>0.10420409</v>
      </c>
      <c r="M21" s="18" t="n">
        <v>0</v>
      </c>
      <c r="N21" s="20" t="n">
        <v>0</v>
      </c>
      <c r="O21" s="18" t="n">
        <v>0</v>
      </c>
      <c r="P21" s="20" t="n">
        <v>0</v>
      </c>
      <c r="Q21" s="18" t="n">
        <v>2.31828339</v>
      </c>
      <c r="R21" s="20" t="n">
        <v>0.62061099</v>
      </c>
    </row>
    <row r="22" spans="1:18">
      <c r="A22" s="15" t="s">
        <v>580</v>
      </c>
      <c r="B22" s="17" t="n">
        <v>3667</v>
      </c>
      <c r="C22" s="18">
        <f>(2861.0/B22*100)</f>
        <v/>
      </c>
      <c r="D22" s="19" t="n">
        <v>806</v>
      </c>
      <c r="E22" s="18" t="n">
        <v>45.62003327</v>
      </c>
      <c r="F22" s="20" t="n">
        <v>1.96128693</v>
      </c>
      <c r="G22" s="18" t="n">
        <v>44.05512993</v>
      </c>
      <c r="H22" s="20" t="n">
        <v>2.03908091</v>
      </c>
      <c r="I22" s="18" t="n">
        <v>0</v>
      </c>
      <c r="J22" s="20" t="n">
        <v>0</v>
      </c>
      <c r="K22" s="18" t="n">
        <v>0.35477239</v>
      </c>
      <c r="L22" s="20" t="n">
        <v>0.21351045</v>
      </c>
      <c r="M22" s="18" t="n">
        <v>0</v>
      </c>
      <c r="N22" s="20" t="n">
        <v>0</v>
      </c>
      <c r="O22" s="18" t="n">
        <v>0</v>
      </c>
      <c r="P22" s="20" t="n">
        <v>0</v>
      </c>
      <c r="Q22" s="18" t="n">
        <v>9.970064410000001</v>
      </c>
      <c r="R22" s="20" t="n">
        <v>1.12500737</v>
      </c>
    </row>
    <row r="23" spans="1:18">
      <c r="A23" s="15" t="s">
        <v>581</v>
      </c>
      <c r="B23" s="17" t="n">
        <v>5792</v>
      </c>
      <c r="C23" s="18">
        <f>(4477.0/B23*100)</f>
        <v/>
      </c>
      <c r="D23" s="19" t="n">
        <v>1315</v>
      </c>
      <c r="E23" s="18" t="n">
        <v>59.60475386</v>
      </c>
      <c r="F23" s="20" t="n">
        <v>2.67819989</v>
      </c>
      <c r="G23" s="18" t="n">
        <v>27.13950641</v>
      </c>
      <c r="H23" s="20" t="n">
        <v>1.87721704</v>
      </c>
      <c r="I23" s="18" t="n">
        <v>0</v>
      </c>
      <c r="J23" s="20" t="n">
        <v>0</v>
      </c>
      <c r="K23" s="18" t="n">
        <v>0.30859662</v>
      </c>
      <c r="L23" s="20" t="n">
        <v>0.32151659</v>
      </c>
      <c r="M23" s="18" t="n">
        <v>1.41670014</v>
      </c>
      <c r="N23" s="20" t="n">
        <v>1.22328334</v>
      </c>
      <c r="O23" s="18" t="n">
        <v>0</v>
      </c>
      <c r="P23" s="20" t="n">
        <v>0</v>
      </c>
      <c r="Q23" s="18" t="n">
        <v>11.53044297</v>
      </c>
      <c r="R23" s="20" t="n">
        <v>1.74122495</v>
      </c>
    </row>
    <row r="24" spans="1:18">
      <c r="A24" s="15" t="s">
        <v>582</v>
      </c>
      <c r="B24" s="17" t="n">
        <v>3309</v>
      </c>
      <c r="C24" s="18">
        <f>(2603.0/B24*100)</f>
        <v/>
      </c>
      <c r="D24" s="19" t="n">
        <v>706</v>
      </c>
      <c r="E24" s="18" t="n">
        <v>40.21505223</v>
      </c>
      <c r="F24" s="20" t="n">
        <v>1.87836732</v>
      </c>
      <c r="G24" s="18" t="n">
        <v>55.12501289</v>
      </c>
      <c r="H24" s="20" t="n">
        <v>1.7955322</v>
      </c>
      <c r="I24" s="18" t="n">
        <v>0</v>
      </c>
      <c r="J24" s="20" t="n">
        <v>0</v>
      </c>
      <c r="K24" s="18" t="n">
        <v>0</v>
      </c>
      <c r="L24" s="20" t="n">
        <v>0</v>
      </c>
      <c r="M24" s="18" t="n">
        <v>0</v>
      </c>
      <c r="N24" s="20" t="n">
        <v>0</v>
      </c>
      <c r="O24" s="18" t="n">
        <v>0</v>
      </c>
      <c r="P24" s="20" t="n">
        <v>0</v>
      </c>
      <c r="Q24" s="18" t="n">
        <v>4.65993489</v>
      </c>
      <c r="R24" s="20" t="n">
        <v>0.94353058</v>
      </c>
    </row>
    <row r="25" spans="1:18">
      <c r="A25" s="15" t="s">
        <v>583</v>
      </c>
      <c r="B25" s="17" t="n">
        <v>2669</v>
      </c>
      <c r="C25" s="18">
        <f>(2091.0/B25*100)</f>
        <v/>
      </c>
      <c r="D25" s="19" t="n">
        <v>578</v>
      </c>
      <c r="E25" s="18" t="n">
        <v>30.39242101</v>
      </c>
      <c r="F25" s="20" t="n">
        <v>1.66810793</v>
      </c>
      <c r="G25" s="18" t="n">
        <v>64.94527741</v>
      </c>
      <c r="H25" s="20" t="n">
        <v>1.96003715</v>
      </c>
      <c r="I25" s="18" t="n">
        <v>0</v>
      </c>
      <c r="J25" s="20" t="n">
        <v>0</v>
      </c>
      <c r="K25" s="18" t="n">
        <v>0</v>
      </c>
      <c r="L25" s="20" t="n">
        <v>0</v>
      </c>
      <c r="M25" s="18" t="n">
        <v>0</v>
      </c>
      <c r="N25" s="20" t="n">
        <v>0</v>
      </c>
      <c r="O25" s="18" t="n">
        <v>0</v>
      </c>
      <c r="P25" s="20" t="n">
        <v>0</v>
      </c>
      <c r="Q25" s="18" t="n">
        <v>4.66230159</v>
      </c>
      <c r="R25" s="20" t="n">
        <v>0.88425214</v>
      </c>
    </row>
    <row r="26" spans="1:18">
      <c r="A26" s="15" t="s">
        <v>584</v>
      </c>
      <c r="B26" s="17" t="n">
        <v>2419</v>
      </c>
      <c r="C26" s="18">
        <f>(1854.0/B26*100)</f>
        <v/>
      </c>
      <c r="D26" s="19" t="n">
        <v>565</v>
      </c>
      <c r="E26" s="18" t="n">
        <v>49.53723647</v>
      </c>
      <c r="F26" s="20" t="n">
        <v>1.86707835</v>
      </c>
      <c r="G26" s="18" t="n">
        <v>47.22848378</v>
      </c>
      <c r="H26" s="20" t="n">
        <v>1.89433188</v>
      </c>
      <c r="I26" s="18" t="n">
        <v>0</v>
      </c>
      <c r="J26" s="20" t="n">
        <v>0</v>
      </c>
      <c r="K26" s="18" t="n">
        <v>0</v>
      </c>
      <c r="L26" s="20" t="n">
        <v>0</v>
      </c>
      <c r="M26" s="18" t="n">
        <v>0</v>
      </c>
      <c r="N26" s="20" t="n">
        <v>0</v>
      </c>
      <c r="O26" s="18" t="n">
        <v>0</v>
      </c>
      <c r="P26" s="20" t="n">
        <v>0</v>
      </c>
      <c r="Q26" s="18" t="n">
        <v>3.23427975</v>
      </c>
      <c r="R26" s="20" t="n">
        <v>0.83625317</v>
      </c>
    </row>
    <row r="27" spans="1:18">
      <c r="A27" s="15" t="s">
        <v>585</v>
      </c>
      <c r="B27" s="17" t="n">
        <v>2683</v>
      </c>
      <c r="C27" s="18">
        <f>(2122.0/B27*100)</f>
        <v/>
      </c>
      <c r="D27" s="19" t="n">
        <v>561</v>
      </c>
      <c r="E27" s="18" t="n">
        <v>38.81502332</v>
      </c>
      <c r="F27" s="20" t="n">
        <v>2.05041804</v>
      </c>
      <c r="G27" s="18" t="n">
        <v>54.03154604</v>
      </c>
      <c r="H27" s="20" t="n">
        <v>2.05920051</v>
      </c>
      <c r="I27" s="18" t="n">
        <v>0</v>
      </c>
      <c r="J27" s="20" t="n">
        <v>0</v>
      </c>
      <c r="K27" s="18" t="n">
        <v>0</v>
      </c>
      <c r="L27" s="20" t="n">
        <v>0</v>
      </c>
      <c r="M27" s="18" t="n">
        <v>0</v>
      </c>
      <c r="N27" s="20" t="n">
        <v>0</v>
      </c>
      <c r="O27" s="18" t="n">
        <v>0</v>
      </c>
      <c r="P27" s="20" t="n">
        <v>0</v>
      </c>
      <c r="Q27" s="18" t="n">
        <v>7.15343064</v>
      </c>
      <c r="R27" s="20" t="n">
        <v>0.9490992700000001</v>
      </c>
    </row>
    <row r="28" spans="1:18">
      <c r="A28" s="15" t="s">
        <v>586</v>
      </c>
      <c r="B28" s="17" t="n">
        <v>3803</v>
      </c>
      <c r="C28" s="18">
        <f>(2952.0/B28*100)</f>
        <v/>
      </c>
      <c r="D28" s="19" t="n">
        <v>851</v>
      </c>
      <c r="E28" s="18" t="n">
        <v>77.25967430999999</v>
      </c>
      <c r="F28" s="20" t="n">
        <v>1.58478106</v>
      </c>
      <c r="G28" s="18" t="n">
        <v>19.69153389</v>
      </c>
      <c r="H28" s="20" t="n">
        <v>1.55212983</v>
      </c>
      <c r="I28" s="18" t="n">
        <v>0</v>
      </c>
      <c r="J28" s="20" t="n">
        <v>0</v>
      </c>
      <c r="K28" s="18" t="n">
        <v>0.3053424</v>
      </c>
      <c r="L28" s="20" t="n">
        <v>0.22948746</v>
      </c>
      <c r="M28" s="18" t="n">
        <v>0</v>
      </c>
      <c r="N28" s="20" t="n">
        <v>0</v>
      </c>
      <c r="O28" s="18" t="n">
        <v>0</v>
      </c>
      <c r="P28" s="20" t="n">
        <v>0</v>
      </c>
      <c r="Q28" s="18" t="n">
        <v>2.7434494</v>
      </c>
      <c r="R28" s="20" t="n">
        <v>0.61447604</v>
      </c>
    </row>
    <row r="29" spans="1:18">
      <c r="A29" s="15" t="s">
        <v>587</v>
      </c>
      <c r="B29" s="17" t="n">
        <v>2700</v>
      </c>
      <c r="C29" s="18">
        <f>(2113.0/B29*100)</f>
        <v/>
      </c>
      <c r="D29" s="19" t="n">
        <v>587</v>
      </c>
      <c r="E29" s="18" t="n">
        <v>32.39310972</v>
      </c>
      <c r="F29" s="20" t="n">
        <v>1.78494989</v>
      </c>
      <c r="G29" s="18" t="n">
        <v>64.26288921</v>
      </c>
      <c r="H29" s="20" t="n">
        <v>1.85023694</v>
      </c>
      <c r="I29" s="18" t="n">
        <v>0</v>
      </c>
      <c r="J29" s="20" t="n">
        <v>0</v>
      </c>
      <c r="K29" s="18" t="n">
        <v>0.36541936</v>
      </c>
      <c r="L29" s="20" t="n">
        <v>0.22230841</v>
      </c>
      <c r="M29" s="18" t="n">
        <v>0</v>
      </c>
      <c r="N29" s="20" t="n">
        <v>0</v>
      </c>
      <c r="O29" s="18" t="n">
        <v>0</v>
      </c>
      <c r="P29" s="20" t="n">
        <v>0</v>
      </c>
      <c r="Q29" s="18" t="n">
        <v>2.9785817</v>
      </c>
      <c r="R29" s="20" t="n">
        <v>0.68950946</v>
      </c>
    </row>
    <row r="30" spans="1:18">
      <c r="A30" s="15" t="s">
        <v>588</v>
      </c>
      <c r="B30" s="17" t="n">
        <v>2257</v>
      </c>
      <c r="C30" s="18">
        <f>(1772.0/B30*100)</f>
        <v/>
      </c>
      <c r="D30" s="19" t="n">
        <v>485</v>
      </c>
      <c r="E30" s="18" t="n">
        <v>33.7677526</v>
      </c>
      <c r="F30" s="20" t="n">
        <v>2.02474472</v>
      </c>
      <c r="G30" s="18" t="n">
        <v>61.66165846</v>
      </c>
      <c r="H30" s="20" t="n">
        <v>2.04433391</v>
      </c>
      <c r="I30" s="18" t="n">
        <v>0</v>
      </c>
      <c r="J30" s="20" t="n">
        <v>0</v>
      </c>
      <c r="K30" s="18" t="n">
        <v>0.19836616</v>
      </c>
      <c r="L30" s="20" t="n">
        <v>0.17215307</v>
      </c>
      <c r="M30" s="18" t="n">
        <v>0.33475556</v>
      </c>
      <c r="N30" s="20" t="n">
        <v>0.24061366</v>
      </c>
      <c r="O30" s="18" t="n">
        <v>0</v>
      </c>
      <c r="P30" s="20" t="n">
        <v>0</v>
      </c>
      <c r="Q30" s="18" t="n">
        <v>4.03746723</v>
      </c>
      <c r="R30" s="20" t="n">
        <v>0.87195925</v>
      </c>
    </row>
    <row r="31" spans="1:18">
      <c r="A31" s="15" t="s">
        <v>589</v>
      </c>
      <c r="B31" s="17" t="n">
        <v>2706</v>
      </c>
      <c r="C31" s="18">
        <f>(2107.0/B31*100)</f>
        <v/>
      </c>
      <c r="D31" s="19" t="n">
        <v>599</v>
      </c>
      <c r="E31" s="18" t="n">
        <v>48.93215986</v>
      </c>
      <c r="F31" s="20" t="n">
        <v>2.20715209</v>
      </c>
      <c r="G31" s="18" t="n">
        <v>46.10821868</v>
      </c>
      <c r="H31" s="20" t="n">
        <v>2.20280479</v>
      </c>
      <c r="I31" s="18" t="n">
        <v>0</v>
      </c>
      <c r="J31" s="20" t="n">
        <v>0</v>
      </c>
      <c r="K31" s="18" t="n">
        <v>0.31871106</v>
      </c>
      <c r="L31" s="20" t="n">
        <v>0.22065364</v>
      </c>
      <c r="M31" s="18" t="n">
        <v>0.31120602</v>
      </c>
      <c r="N31" s="20" t="n">
        <v>0.22586981</v>
      </c>
      <c r="O31" s="18" t="n">
        <v>0</v>
      </c>
      <c r="P31" s="20" t="n">
        <v>0</v>
      </c>
      <c r="Q31" s="18" t="n">
        <v>4.32970438</v>
      </c>
      <c r="R31" s="20" t="n">
        <v>0.80064799</v>
      </c>
    </row>
    <row r="32" spans="1:18">
      <c r="A32" s="15" t="s">
        <v>590</v>
      </c>
      <c r="B32" s="17" t="n">
        <v>2209</v>
      </c>
      <c r="C32" s="18">
        <f>(1731.0/B32*100)</f>
        <v/>
      </c>
      <c r="D32" s="19" t="n">
        <v>478</v>
      </c>
      <c r="E32" s="18" t="n">
        <v>30.09070794</v>
      </c>
      <c r="F32" s="20" t="n">
        <v>2.49573714</v>
      </c>
      <c r="G32" s="18" t="n">
        <v>62.48294982</v>
      </c>
      <c r="H32" s="20" t="n">
        <v>2.48190498</v>
      </c>
      <c r="I32" s="18" t="n">
        <v>0</v>
      </c>
      <c r="J32" s="20" t="n">
        <v>0</v>
      </c>
      <c r="K32" s="18" t="n">
        <v>0</v>
      </c>
      <c r="L32" s="20" t="n">
        <v>0</v>
      </c>
      <c r="M32" s="18" t="n">
        <v>0</v>
      </c>
      <c r="N32" s="20" t="n">
        <v>0</v>
      </c>
      <c r="O32" s="18" t="n">
        <v>0</v>
      </c>
      <c r="P32" s="20" t="n">
        <v>0</v>
      </c>
      <c r="Q32" s="18" t="n">
        <v>7.42634223</v>
      </c>
      <c r="R32" s="20" t="n">
        <v>1.42393201</v>
      </c>
    </row>
    <row r="33" spans="1:18">
      <c r="A33" s="15" t="s">
        <v>591</v>
      </c>
      <c r="B33" s="17" t="n">
        <v>3651</v>
      </c>
      <c r="C33" s="18">
        <f>(2842.0/B33*100)</f>
        <v/>
      </c>
      <c r="D33" s="19" t="n">
        <v>809</v>
      </c>
      <c r="E33" s="18" t="n">
        <v>42.44751438</v>
      </c>
      <c r="F33" s="20" t="n">
        <v>2.33789053</v>
      </c>
      <c r="G33" s="18" t="n">
        <v>49.50637192</v>
      </c>
      <c r="H33" s="20" t="n">
        <v>2.23655825</v>
      </c>
      <c r="I33" s="18" t="n">
        <v>0</v>
      </c>
      <c r="J33" s="20" t="n">
        <v>0</v>
      </c>
      <c r="K33" s="18" t="n">
        <v>0</v>
      </c>
      <c r="L33" s="20" t="n">
        <v>0</v>
      </c>
      <c r="M33" s="18" t="n">
        <v>0.04602206</v>
      </c>
      <c r="N33" s="20" t="n">
        <v>0.05732176</v>
      </c>
      <c r="O33" s="18" t="n">
        <v>0</v>
      </c>
      <c r="P33" s="20" t="n">
        <v>0</v>
      </c>
      <c r="Q33" s="18" t="n">
        <v>8.00009165</v>
      </c>
      <c r="R33" s="20" t="n">
        <v>1.23096249</v>
      </c>
    </row>
    <row r="34" spans="1:18">
      <c r="A34" s="15" t="s">
        <v>592</v>
      </c>
      <c r="B34" s="17" t="n">
        <v>3035</v>
      </c>
      <c r="C34" s="18">
        <f>(2394.0/B34*100)</f>
        <v/>
      </c>
      <c r="D34" s="19" t="n">
        <v>641</v>
      </c>
      <c r="E34" s="18" t="n">
        <v>40.00435733</v>
      </c>
      <c r="F34" s="20" t="n">
        <v>2.13885977</v>
      </c>
      <c r="G34" s="18" t="n">
        <v>48.2693434</v>
      </c>
      <c r="H34" s="20" t="n">
        <v>2.37665973</v>
      </c>
      <c r="I34" s="18" t="n">
        <v>0</v>
      </c>
      <c r="J34" s="20" t="n">
        <v>0</v>
      </c>
      <c r="K34" s="18" t="n">
        <v>0.12398743</v>
      </c>
      <c r="L34" s="20" t="n">
        <v>0.12385565</v>
      </c>
      <c r="M34" s="18" t="n">
        <v>0.45435046</v>
      </c>
      <c r="N34" s="20" t="n">
        <v>0.33810389</v>
      </c>
      <c r="O34" s="18" t="n">
        <v>0</v>
      </c>
      <c r="P34" s="20" t="n">
        <v>0</v>
      </c>
      <c r="Q34" s="18" t="n">
        <v>11.14796137</v>
      </c>
      <c r="R34" s="20" t="n">
        <v>1.36577358</v>
      </c>
    </row>
    <row r="35" spans="1:18">
      <c r="A35" s="15" t="s">
        <v>593</v>
      </c>
      <c r="B35" s="17" t="n">
        <v>2901</v>
      </c>
      <c r="C35" s="18">
        <f>(2262.0/B35*100)</f>
        <v/>
      </c>
      <c r="D35" s="19" t="n">
        <v>639</v>
      </c>
      <c r="E35" s="18" t="n">
        <v>31.41564921</v>
      </c>
      <c r="F35" s="20" t="n">
        <v>2.06561173</v>
      </c>
      <c r="G35" s="18" t="n">
        <v>65.15753235</v>
      </c>
      <c r="H35" s="20" t="n">
        <v>2.14256602</v>
      </c>
      <c r="I35" s="18" t="n">
        <v>0</v>
      </c>
      <c r="J35" s="20" t="n">
        <v>0</v>
      </c>
      <c r="K35" s="18" t="n">
        <v>0</v>
      </c>
      <c r="L35" s="20" t="n">
        <v>0</v>
      </c>
      <c r="M35" s="18" t="n">
        <v>0</v>
      </c>
      <c r="N35" s="20" t="n">
        <v>0</v>
      </c>
      <c r="O35" s="18" t="n">
        <v>0</v>
      </c>
      <c r="P35" s="20" t="n">
        <v>0</v>
      </c>
      <c r="Q35" s="18" t="n">
        <v>3.42681844</v>
      </c>
      <c r="R35" s="20" t="n">
        <v>0.75183997</v>
      </c>
    </row>
    <row r="36" spans="1:18">
      <c r="A36" s="15" t="s">
        <v>594</v>
      </c>
      <c r="B36" s="17" t="n">
        <v>3404</v>
      </c>
      <c r="C36" s="18">
        <f>(2620.0/B36*100)</f>
        <v/>
      </c>
      <c r="D36" s="19" t="n">
        <v>784</v>
      </c>
      <c r="E36" s="18" t="n">
        <v>45.92567308</v>
      </c>
      <c r="F36" s="20" t="n">
        <v>1.84163243</v>
      </c>
      <c r="G36" s="18" t="n">
        <v>49.82899242</v>
      </c>
      <c r="H36" s="20" t="n">
        <v>1.94622027</v>
      </c>
      <c r="I36" s="18" t="n">
        <v>0</v>
      </c>
      <c r="J36" s="20" t="n">
        <v>0</v>
      </c>
      <c r="K36" s="18" t="n">
        <v>0</v>
      </c>
      <c r="L36" s="20" t="n">
        <v>0</v>
      </c>
      <c r="M36" s="18" t="n">
        <v>0.12163122</v>
      </c>
      <c r="N36" s="20" t="n">
        <v>0.12142678</v>
      </c>
      <c r="O36" s="18" t="n">
        <v>0</v>
      </c>
      <c r="P36" s="20" t="n">
        <v>0</v>
      </c>
      <c r="Q36" s="18" t="n">
        <v>4.12370328</v>
      </c>
      <c r="R36" s="20" t="n">
        <v>0.80386728</v>
      </c>
    </row>
    <row r="37" spans="1:18">
      <c r="A37" s="15" t="s">
        <v>595</v>
      </c>
      <c r="B37" s="17" t="n">
        <v>2731</v>
      </c>
      <c r="C37" s="18">
        <f>(2147.0/B37*100)</f>
        <v/>
      </c>
      <c r="D37" s="19" t="n">
        <v>584</v>
      </c>
      <c r="E37" s="18" t="n">
        <v>28.12479007</v>
      </c>
      <c r="F37" s="20" t="n">
        <v>2.10257945</v>
      </c>
      <c r="G37" s="18" t="n">
        <v>60.94355904</v>
      </c>
      <c r="H37" s="20" t="n">
        <v>2.23288551</v>
      </c>
      <c r="I37" s="18" t="n">
        <v>0</v>
      </c>
      <c r="J37" s="20" t="n">
        <v>0</v>
      </c>
      <c r="K37" s="18" t="n">
        <v>0.14398764</v>
      </c>
      <c r="L37" s="20" t="n">
        <v>0.14350156</v>
      </c>
      <c r="M37" s="18" t="n">
        <v>0</v>
      </c>
      <c r="N37" s="20" t="n">
        <v>0</v>
      </c>
      <c r="O37" s="18" t="n">
        <v>0</v>
      </c>
      <c r="P37" s="20" t="n">
        <v>0</v>
      </c>
      <c r="Q37" s="18" t="n">
        <v>10.78766325</v>
      </c>
      <c r="R37" s="20" t="n">
        <v>1.36941907</v>
      </c>
    </row>
    <row r="38" spans="1:18">
      <c r="A38" s="15" t="s">
        <v>596</v>
      </c>
      <c r="B38" s="17" t="n">
        <v>2807</v>
      </c>
      <c r="C38" s="18">
        <f>(2178.0/B38*100)</f>
        <v/>
      </c>
      <c r="D38" s="19" t="n">
        <v>629</v>
      </c>
      <c r="E38" s="18" t="n">
        <v>33.91227945</v>
      </c>
      <c r="F38" s="20" t="n">
        <v>2.01049822</v>
      </c>
      <c r="G38" s="18" t="n">
        <v>59.84262456</v>
      </c>
      <c r="H38" s="20" t="n">
        <v>2.16865721</v>
      </c>
      <c r="I38" s="18" t="n">
        <v>0</v>
      </c>
      <c r="J38" s="20" t="n">
        <v>0</v>
      </c>
      <c r="K38" s="18" t="n">
        <v>0.21663353</v>
      </c>
      <c r="L38" s="20" t="n">
        <v>0.22660693</v>
      </c>
      <c r="M38" s="18" t="n">
        <v>1.19956766</v>
      </c>
      <c r="N38" s="20" t="n">
        <v>0.4328001</v>
      </c>
      <c r="O38" s="18" t="n">
        <v>0</v>
      </c>
      <c r="P38" s="20" t="n">
        <v>0</v>
      </c>
      <c r="Q38" s="18" t="n">
        <v>4.8288948</v>
      </c>
      <c r="R38" s="20" t="n">
        <v>0.91620177</v>
      </c>
    </row>
    <row r="39" spans="1:18">
      <c r="A39" s="15" t="s">
        <v>597</v>
      </c>
      <c r="B39" s="17" t="n">
        <v>2938</v>
      </c>
      <c r="C39" s="18">
        <f>(2278.0/B39*100)</f>
        <v/>
      </c>
      <c r="D39" s="19" t="n">
        <v>660</v>
      </c>
      <c r="E39" s="18" t="n">
        <v>40.88493853</v>
      </c>
      <c r="F39" s="20" t="n">
        <v>2.23105884</v>
      </c>
      <c r="G39" s="18" t="n">
        <v>51.45691121</v>
      </c>
      <c r="H39" s="20" t="n">
        <v>2.359059</v>
      </c>
      <c r="I39" s="18" t="n">
        <v>0</v>
      </c>
      <c r="J39" s="20" t="n">
        <v>0</v>
      </c>
      <c r="K39" s="18" t="n">
        <v>0.14248415</v>
      </c>
      <c r="L39" s="20" t="n">
        <v>0.14314033</v>
      </c>
      <c r="M39" s="18" t="n">
        <v>0.23369592</v>
      </c>
      <c r="N39" s="20" t="n">
        <v>0.16246882</v>
      </c>
      <c r="O39" s="18" t="n">
        <v>0</v>
      </c>
      <c r="P39" s="20" t="n">
        <v>0</v>
      </c>
      <c r="Q39" s="18" t="n">
        <v>7.2819702</v>
      </c>
      <c r="R39" s="20" t="n">
        <v>1.13055251</v>
      </c>
    </row>
    <row r="40" spans="1:18">
      <c r="A40" s="15" t="s">
        <v>598</v>
      </c>
      <c r="B40" s="17" t="n">
        <v>6922</v>
      </c>
      <c r="C40" s="18">
        <f>(5387.0/B40*100)</f>
        <v/>
      </c>
      <c r="D40" s="19" t="n">
        <v>1535</v>
      </c>
      <c r="E40" s="18" t="n">
        <v>25.55191222</v>
      </c>
      <c r="F40" s="20" t="n">
        <v>1.8585986</v>
      </c>
      <c r="G40" s="18" t="n">
        <v>69.43789424000001</v>
      </c>
      <c r="H40" s="20" t="n">
        <v>1.98932243</v>
      </c>
      <c r="I40" s="18" t="n">
        <v>0</v>
      </c>
      <c r="J40" s="20" t="n">
        <v>0</v>
      </c>
      <c r="K40" s="18" t="n">
        <v>0.08436966</v>
      </c>
      <c r="L40" s="20" t="n">
        <v>0.08588572</v>
      </c>
      <c r="M40" s="18" t="n">
        <v>0</v>
      </c>
      <c r="N40" s="20" t="n">
        <v>0</v>
      </c>
      <c r="O40" s="18" t="n">
        <v>0</v>
      </c>
      <c r="P40" s="20" t="n">
        <v>0</v>
      </c>
      <c r="Q40" s="18" t="n">
        <v>4.92582389</v>
      </c>
      <c r="R40" s="20" t="n">
        <v>0.77187365</v>
      </c>
    </row>
    <row r="41" spans="1:18">
      <c r="A41" s="15" t="s">
        <v>599</v>
      </c>
      <c r="B41" s="17" t="n">
        <v>2854</v>
      </c>
      <c r="C41" s="18">
        <f>(2252.0/B41*100)</f>
        <v/>
      </c>
      <c r="D41" s="19" t="n">
        <v>602</v>
      </c>
      <c r="E41" s="18" t="n">
        <v>38.39073216</v>
      </c>
      <c r="F41" s="20" t="n">
        <v>2.23496345</v>
      </c>
      <c r="G41" s="18" t="n">
        <v>60.09498208</v>
      </c>
      <c r="H41" s="20" t="n">
        <v>2.29005689</v>
      </c>
      <c r="I41" s="18" t="n">
        <v>0</v>
      </c>
      <c r="J41" s="20" t="n">
        <v>0</v>
      </c>
      <c r="K41" s="18" t="n">
        <v>0</v>
      </c>
      <c r="L41" s="20" t="n">
        <v>0</v>
      </c>
      <c r="M41" s="18" t="n">
        <v>0</v>
      </c>
      <c r="N41" s="20" t="n">
        <v>0</v>
      </c>
      <c r="O41" s="18" t="n">
        <v>0</v>
      </c>
      <c r="P41" s="20" t="n">
        <v>0</v>
      </c>
      <c r="Q41" s="18" t="n">
        <v>1.51428576</v>
      </c>
      <c r="R41" s="20" t="n">
        <v>0.49601161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(9772.0/B46*100)</f>
        <v/>
      </c>
      <c r="D46" s="19" t="n">
        <v>2301</v>
      </c>
      <c r="E46" s="18" t="n">
        <v>61.62664531</v>
      </c>
      <c r="F46" s="20" t="n">
        <v>1.53159745</v>
      </c>
      <c r="G46" s="18" t="n">
        <v>19.88990962</v>
      </c>
      <c r="H46" s="20" t="n">
        <v>1.32300955</v>
      </c>
      <c r="I46" s="18" t="n">
        <v>0</v>
      </c>
      <c r="J46" s="20" t="n">
        <v>0</v>
      </c>
      <c r="K46" s="18" t="n">
        <v>0.85373038</v>
      </c>
      <c r="L46" s="20" t="n">
        <v>0.30154205</v>
      </c>
      <c r="M46" s="18" t="n">
        <v>0.38391984</v>
      </c>
      <c r="N46" s="20" t="n">
        <v>0.13786487</v>
      </c>
      <c r="O46" s="18" t="n">
        <v>0</v>
      </c>
      <c r="P46" s="20" t="n">
        <v>0</v>
      </c>
      <c r="Q46" s="18" t="n">
        <v>17.24579485</v>
      </c>
      <c r="R46" s="20" t="n">
        <v>1.25925059</v>
      </c>
    </row>
    <row r="47" spans="1:18">
      <c r="A47" s="15" t="s">
        <v>606</v>
      </c>
      <c r="B47" s="17" t="n">
        <v>2823</v>
      </c>
      <c r="C47" s="18">
        <f>(2187.0/B47*100)</f>
        <v/>
      </c>
      <c r="D47" s="19" t="n">
        <v>636</v>
      </c>
      <c r="E47" s="18" t="n">
        <v>31.45495363</v>
      </c>
      <c r="F47" s="20" t="n">
        <v>1.67459866</v>
      </c>
      <c r="G47" s="18" t="n">
        <v>50.86118514</v>
      </c>
      <c r="H47" s="20" t="n">
        <v>2.41142048</v>
      </c>
      <c r="I47" s="18" t="n">
        <v>0</v>
      </c>
      <c r="J47" s="20" t="n">
        <v>0</v>
      </c>
      <c r="K47" s="18" t="n">
        <v>0.48016056</v>
      </c>
      <c r="L47" s="20" t="n">
        <v>0.29781039</v>
      </c>
      <c r="M47" s="18" t="n">
        <v>0.15560332</v>
      </c>
      <c r="N47" s="20" t="n">
        <v>0.15467705</v>
      </c>
      <c r="O47" s="18" t="n">
        <v>0</v>
      </c>
      <c r="P47" s="20" t="n">
        <v>0</v>
      </c>
      <c r="Q47" s="18" t="n">
        <v>17.04809735</v>
      </c>
      <c r="R47" s="20" t="n">
        <v>2.01572592</v>
      </c>
    </row>
    <row r="48" spans="1:18">
      <c r="A48" s="15" t="s">
        <v>607</v>
      </c>
      <c r="B48" s="17" t="n">
        <v>4682</v>
      </c>
      <c r="C48" s="18">
        <f>(3680.0/B48*100)</f>
        <v/>
      </c>
      <c r="D48" s="19" t="n">
        <v>1002</v>
      </c>
      <c r="E48" s="18" t="n">
        <v>41.01081114</v>
      </c>
      <c r="F48" s="20" t="n">
        <v>2.12853949</v>
      </c>
      <c r="G48" s="18" t="n">
        <v>52.1587685</v>
      </c>
      <c r="H48" s="20" t="n">
        <v>2.43039832</v>
      </c>
      <c r="I48" s="18" t="n">
        <v>0</v>
      </c>
      <c r="J48" s="20" t="n">
        <v>0</v>
      </c>
      <c r="K48" s="18" t="n">
        <v>0.99329812</v>
      </c>
      <c r="L48" s="20" t="n">
        <v>0.45160822</v>
      </c>
      <c r="M48" s="18" t="n">
        <v>0.22938486</v>
      </c>
      <c r="N48" s="20" t="n">
        <v>0.18318068</v>
      </c>
      <c r="O48" s="18" t="n">
        <v>0</v>
      </c>
      <c r="P48" s="20" t="n">
        <v>0</v>
      </c>
      <c r="Q48" s="18" t="n">
        <v>5.60773739</v>
      </c>
      <c r="R48" s="20" t="n">
        <v>0.84618151</v>
      </c>
    </row>
    <row r="49" spans="1:18">
      <c r="A49" s="15" t="s">
        <v>608</v>
      </c>
      <c r="B49" s="17" t="n">
        <v>6158</v>
      </c>
      <c r="C49" s="18">
        <f>(4802.0/B49*100)</f>
        <v/>
      </c>
      <c r="D49" s="19" t="n">
        <v>1356</v>
      </c>
      <c r="E49" s="18" t="n">
        <v>70.62408936999999</v>
      </c>
      <c r="F49" s="20" t="n">
        <v>1.7609438</v>
      </c>
      <c r="G49" s="18" t="n">
        <v>25.52601959</v>
      </c>
      <c r="H49" s="20" t="n">
        <v>1.65816194</v>
      </c>
      <c r="I49" s="18" t="n">
        <v>0</v>
      </c>
      <c r="J49" s="20" t="n">
        <v>0</v>
      </c>
      <c r="K49" s="18" t="n">
        <v>0.48499245</v>
      </c>
      <c r="L49" s="20" t="n">
        <v>0.24619621</v>
      </c>
      <c r="M49" s="18" t="n">
        <v>0.02719266</v>
      </c>
      <c r="N49" s="20" t="n">
        <v>0.02054646</v>
      </c>
      <c r="O49" s="18" t="n">
        <v>0</v>
      </c>
      <c r="P49" s="20" t="n">
        <v>0</v>
      </c>
      <c r="Q49" s="18" t="n">
        <v>3.33770592</v>
      </c>
      <c r="R49" s="20" t="n">
        <v>0.72203524</v>
      </c>
    </row>
    <row r="50" spans="1:18">
      <c r="A50" s="15" t="s">
        <v>609</v>
      </c>
      <c r="B50" s="17" t="n">
        <v>3494</v>
      </c>
      <c r="C50" s="18">
        <f>(2811.0/B50*100)</f>
        <v/>
      </c>
      <c r="D50" s="19" t="n">
        <v>683</v>
      </c>
      <c r="E50" s="18" t="n">
        <v>70.79340023</v>
      </c>
      <c r="F50" s="20" t="n">
        <v>2.30784977</v>
      </c>
      <c r="G50" s="18" t="n">
        <v>26.04937994</v>
      </c>
      <c r="H50" s="20" t="n">
        <v>2.30754869</v>
      </c>
      <c r="I50" s="18" t="n">
        <v>0</v>
      </c>
      <c r="J50" s="20" t="n">
        <v>0</v>
      </c>
      <c r="K50" s="18" t="n">
        <v>0.14332619</v>
      </c>
      <c r="L50" s="20" t="n">
        <v>0.15197306</v>
      </c>
      <c r="M50" s="18" t="n">
        <v>0</v>
      </c>
      <c r="N50" s="20" t="n">
        <v>0</v>
      </c>
      <c r="O50" s="18" t="n">
        <v>0</v>
      </c>
      <c r="P50" s="20" t="n">
        <v>0</v>
      </c>
      <c r="Q50" s="18" t="n">
        <v>3.01389364</v>
      </c>
      <c r="R50" s="20" t="n">
        <v>0.68425579</v>
      </c>
    </row>
    <row r="51" spans="1:18">
      <c r="A51" s="15" t="s">
        <v>610</v>
      </c>
      <c r="B51" s="17" t="n">
        <v>3013</v>
      </c>
      <c r="C51" s="18">
        <f>(2366.0/B51*100)</f>
        <v/>
      </c>
      <c r="D51" s="19" t="n">
        <v>647</v>
      </c>
      <c r="E51" s="18" t="n">
        <v>33.60794881</v>
      </c>
      <c r="F51" s="20" t="n">
        <v>1.84846716</v>
      </c>
      <c r="G51" s="18" t="n">
        <v>53.734649</v>
      </c>
      <c r="H51" s="20" t="n">
        <v>2.15176562</v>
      </c>
      <c r="I51" s="18" t="n">
        <v>0</v>
      </c>
      <c r="J51" s="20" t="n">
        <v>0</v>
      </c>
      <c r="K51" s="18" t="n">
        <v>0</v>
      </c>
      <c r="L51" s="20" t="n">
        <v>0</v>
      </c>
      <c r="M51" s="18" t="n">
        <v>0</v>
      </c>
      <c r="N51" s="20" t="n">
        <v>0</v>
      </c>
      <c r="O51" s="18" t="n">
        <v>0</v>
      </c>
      <c r="P51" s="20" t="n">
        <v>0</v>
      </c>
      <c r="Q51" s="18" t="n">
        <v>12.65740219</v>
      </c>
      <c r="R51" s="20" t="n">
        <v>1.69185148</v>
      </c>
    </row>
    <row r="52" spans="1:18">
      <c r="A52" s="15" t="s">
        <v>611</v>
      </c>
      <c r="B52" s="17" t="n">
        <v>2760</v>
      </c>
      <c r="C52" s="18">
        <f>(2159.0/B52*100)</f>
        <v/>
      </c>
      <c r="D52" s="19" t="n">
        <v>601</v>
      </c>
      <c r="E52" s="18" t="n">
        <v>48.57447127</v>
      </c>
      <c r="F52" s="20" t="n">
        <v>2.2981074</v>
      </c>
      <c r="G52" s="18" t="n">
        <v>40.98941526</v>
      </c>
      <c r="H52" s="20" t="n">
        <v>2.1869071</v>
      </c>
      <c r="I52" s="18" t="n">
        <v>0</v>
      </c>
      <c r="J52" s="20" t="n">
        <v>0</v>
      </c>
      <c r="K52" s="18" t="n">
        <v>0</v>
      </c>
      <c r="L52" s="20" t="n">
        <v>0</v>
      </c>
      <c r="M52" s="18" t="n">
        <v>0</v>
      </c>
      <c r="N52" s="20" t="n">
        <v>0</v>
      </c>
      <c r="O52" s="18" t="n">
        <v>0</v>
      </c>
      <c r="P52" s="20" t="n">
        <v>0</v>
      </c>
      <c r="Q52" s="18" t="n">
        <v>10.43611347</v>
      </c>
      <c r="R52" s="20" t="n">
        <v>1.19041979</v>
      </c>
    </row>
    <row r="53" spans="1:18">
      <c r="A53" s="15" t="s">
        <v>612</v>
      </c>
      <c r="B53" s="17" t="n">
        <v>2474</v>
      </c>
      <c r="C53" s="18">
        <f>(1887.0/B53*100)</f>
        <v/>
      </c>
      <c r="D53" s="19" t="n">
        <v>587</v>
      </c>
      <c r="E53" s="18" t="n">
        <v>70.9869482</v>
      </c>
      <c r="F53" s="20" t="n">
        <v>2.3916843</v>
      </c>
      <c r="G53" s="18" t="n">
        <v>6.966287</v>
      </c>
      <c r="H53" s="20" t="n">
        <v>1.08782703</v>
      </c>
      <c r="I53" s="18" t="n">
        <v>0</v>
      </c>
      <c r="J53" s="20" t="n">
        <v>0</v>
      </c>
      <c r="K53" s="18" t="n">
        <v>6.76099644</v>
      </c>
      <c r="L53" s="20" t="n">
        <v>1.07457717</v>
      </c>
      <c r="M53" s="18" t="n">
        <v>0.7610014899999999</v>
      </c>
      <c r="N53" s="20" t="n">
        <v>0.83338031</v>
      </c>
      <c r="O53" s="18" t="n">
        <v>0</v>
      </c>
      <c r="P53" s="20" t="n">
        <v>0</v>
      </c>
      <c r="Q53" s="18" t="n">
        <v>14.52476686</v>
      </c>
      <c r="R53" s="20" t="n">
        <v>1.71353889</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(2068.0/B55*100)</f>
        <v/>
      </c>
      <c r="D55" s="19" t="n">
        <v>607</v>
      </c>
      <c r="E55" s="18" t="n">
        <v>46.30544452</v>
      </c>
      <c r="F55" s="20" t="n">
        <v>2.17225566</v>
      </c>
      <c r="G55" s="18" t="n">
        <v>51.09547103</v>
      </c>
      <c r="H55" s="20" t="n">
        <v>2.11644032</v>
      </c>
      <c r="I55" s="18" t="n">
        <v>0</v>
      </c>
      <c r="J55" s="20" t="n">
        <v>0</v>
      </c>
      <c r="K55" s="18" t="n">
        <v>0</v>
      </c>
      <c r="L55" s="20" t="n">
        <v>0</v>
      </c>
      <c r="M55" s="18" t="n">
        <v>0.13908554</v>
      </c>
      <c r="N55" s="20" t="n">
        <v>0.14039488</v>
      </c>
      <c r="O55" s="18" t="n">
        <v>0</v>
      </c>
      <c r="P55" s="20" t="n">
        <v>0</v>
      </c>
      <c r="Q55" s="18" t="n">
        <v>2.45999891</v>
      </c>
      <c r="R55" s="20" t="n">
        <v>0.69299351</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(2489.0/B61*100)</f>
        <v/>
      </c>
      <c r="D61" s="19" t="n">
        <v>712</v>
      </c>
      <c r="E61" s="18" t="n">
        <v>35.95451647</v>
      </c>
      <c r="F61" s="20" t="n">
        <v>2.18411658</v>
      </c>
      <c r="G61" s="18" t="n">
        <v>57.88295246</v>
      </c>
      <c r="H61" s="20" t="n">
        <v>2.25740208</v>
      </c>
      <c r="I61" s="18" t="n">
        <v>0</v>
      </c>
      <c r="J61" s="20" t="n">
        <v>0</v>
      </c>
      <c r="K61" s="18" t="n">
        <v>0.55620916</v>
      </c>
      <c r="L61" s="20" t="n">
        <v>0.43032352</v>
      </c>
      <c r="M61" s="18" t="n">
        <v>0</v>
      </c>
      <c r="N61" s="20" t="n">
        <v>0</v>
      </c>
      <c r="O61" s="18" t="n">
        <v>0</v>
      </c>
      <c r="P61" s="20" t="n">
        <v>0</v>
      </c>
      <c r="Q61" s="18" t="n">
        <v>5.60632192</v>
      </c>
      <c r="R61" s="20" t="n">
        <v>0.97068577</v>
      </c>
    </row>
    <row r="62" spans="1:18">
      <c r="A62" s="15" t="s">
        <v>622</v>
      </c>
      <c r="B62" s="17" t="n">
        <v>2230</v>
      </c>
      <c r="C62" s="18">
        <f>(1744.0/B62*100)</f>
        <v/>
      </c>
      <c r="D62" s="19" t="n">
        <v>486</v>
      </c>
      <c r="E62" s="18" t="n">
        <v>31.49097919</v>
      </c>
      <c r="F62" s="20" t="n">
        <v>2.14942428</v>
      </c>
      <c r="G62" s="18" t="n">
        <v>66.85497110999999</v>
      </c>
      <c r="H62" s="20" t="n">
        <v>2.19606796</v>
      </c>
      <c r="I62" s="18" t="n">
        <v>0</v>
      </c>
      <c r="J62" s="20" t="n">
        <v>0</v>
      </c>
      <c r="K62" s="18" t="n">
        <v>0</v>
      </c>
      <c r="L62" s="20" t="n">
        <v>0</v>
      </c>
      <c r="M62" s="18" t="n">
        <v>0.20677412</v>
      </c>
      <c r="N62" s="20" t="n">
        <v>0.20614039</v>
      </c>
      <c r="O62" s="18" t="n">
        <v>0</v>
      </c>
      <c r="P62" s="20" t="n">
        <v>0</v>
      </c>
      <c r="Q62" s="18" t="n">
        <v>1.44727559</v>
      </c>
      <c r="R62" s="20" t="n">
        <v>0.4481354</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(2155.0/B67*100)</f>
        <v/>
      </c>
      <c r="D67" s="19" t="n">
        <v>616</v>
      </c>
      <c r="E67" s="18" t="n">
        <v>37.24844753</v>
      </c>
      <c r="F67" s="20" t="n">
        <v>1.84819235</v>
      </c>
      <c r="G67" s="18" t="n">
        <v>35.76995664</v>
      </c>
      <c r="H67" s="20" t="n">
        <v>1.87658634</v>
      </c>
      <c r="I67" s="18" t="n">
        <v>0</v>
      </c>
      <c r="J67" s="20" t="n">
        <v>0</v>
      </c>
      <c r="K67" s="18" t="n">
        <v>0.44595564</v>
      </c>
      <c r="L67" s="20" t="n">
        <v>0.26164103</v>
      </c>
      <c r="M67" s="18" t="n">
        <v>0.43021332</v>
      </c>
      <c r="N67" s="20" t="n">
        <v>0.24723704</v>
      </c>
      <c r="O67" s="18" t="n">
        <v>0</v>
      </c>
      <c r="P67" s="20" t="n">
        <v>0</v>
      </c>
      <c r="Q67" s="18" t="n">
        <v>26.10542687</v>
      </c>
      <c r="R67" s="20" t="n">
        <v>1.71006291</v>
      </c>
    </row>
    <row r="68" spans="1:18">
      <c r="A68" s="15" t="s">
        <v>628</v>
      </c>
      <c r="B68" s="17" t="n">
        <v>3460</v>
      </c>
      <c r="C68" s="18">
        <f>(2781.0/B68*100)</f>
        <v/>
      </c>
      <c r="D68" s="19" t="n">
        <v>679</v>
      </c>
      <c r="E68" s="18" t="n">
        <v>85.16597881</v>
      </c>
      <c r="F68" s="20" t="n">
        <v>1.39431435</v>
      </c>
      <c r="G68" s="18" t="n">
        <v>8.69557099</v>
      </c>
      <c r="H68" s="20" t="n">
        <v>1.16267296</v>
      </c>
      <c r="I68" s="18" t="n">
        <v>0</v>
      </c>
      <c r="J68" s="20" t="n">
        <v>0</v>
      </c>
      <c r="K68" s="18" t="n">
        <v>0.14875732</v>
      </c>
      <c r="L68" s="20" t="n">
        <v>0.14767293</v>
      </c>
      <c r="M68" s="18" t="n">
        <v>0.39922711</v>
      </c>
      <c r="N68" s="20" t="n">
        <v>0.28084684</v>
      </c>
      <c r="O68" s="18" t="n">
        <v>0</v>
      </c>
      <c r="P68" s="20" t="n">
        <v>0</v>
      </c>
      <c r="Q68" s="18" t="n">
        <v>5.59046576</v>
      </c>
      <c r="R68" s="20" t="n">
        <v>0.92401769</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(4675.0/B70*100)</f>
        <v/>
      </c>
      <c r="D70" s="19" t="n">
        <v>1359</v>
      </c>
      <c r="E70" s="18" t="n">
        <v>63.34503972</v>
      </c>
      <c r="F70" s="20" t="n">
        <v>1.21948918</v>
      </c>
      <c r="G70" s="18" t="n">
        <v>28.8563233</v>
      </c>
      <c r="H70" s="20" t="n">
        <v>1.2183949</v>
      </c>
      <c r="I70" s="18" t="n">
        <v>0</v>
      </c>
      <c r="J70" s="20" t="n">
        <v>0</v>
      </c>
      <c r="K70" s="18" t="n">
        <v>0.94698474</v>
      </c>
      <c r="L70" s="20" t="n">
        <v>0.28074729</v>
      </c>
      <c r="M70" s="18" t="n">
        <v>0.14280787</v>
      </c>
      <c r="N70" s="20" t="n">
        <v>0.10145543</v>
      </c>
      <c r="O70" s="18" t="n">
        <v>0</v>
      </c>
      <c r="P70" s="20" t="n">
        <v>0</v>
      </c>
      <c r="Q70" s="18" t="n">
        <v>6.70884437</v>
      </c>
      <c r="R70" s="20" t="n">
        <v>0.68770675</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(2417.0/B72*100)</f>
        <v/>
      </c>
      <c r="D72" s="19" t="n">
        <v>690</v>
      </c>
      <c r="E72" s="18" t="n">
        <v>34.72755621</v>
      </c>
      <c r="F72" s="20" t="n">
        <v>1.78748406</v>
      </c>
      <c r="G72" s="18" t="n">
        <v>55.50472265</v>
      </c>
      <c r="H72" s="20" t="n">
        <v>2.42980147</v>
      </c>
      <c r="I72" s="18" t="n">
        <v>0</v>
      </c>
      <c r="J72" s="20" t="n">
        <v>0</v>
      </c>
      <c r="K72" s="18" t="n">
        <v>0.46345746</v>
      </c>
      <c r="L72" s="20" t="n">
        <v>0.20398085</v>
      </c>
      <c r="M72" s="18" t="n">
        <v>0</v>
      </c>
      <c r="N72" s="20" t="n">
        <v>0</v>
      </c>
      <c r="O72" s="18" t="n">
        <v>0</v>
      </c>
      <c r="P72" s="20" t="n">
        <v>0</v>
      </c>
      <c r="Q72" s="18" t="n">
        <v>9.30426368</v>
      </c>
      <c r="R72" s="20" t="n">
        <v>1.50192029</v>
      </c>
    </row>
    <row r="73" spans="1:18">
      <c r="A73" s="15" t="s">
        <v>633</v>
      </c>
      <c r="B73" s="17" t="n">
        <v>2973</v>
      </c>
      <c r="C73" s="18">
        <f>(2327.0/B73*100)</f>
        <v/>
      </c>
      <c r="D73" s="19" t="n">
        <v>646</v>
      </c>
      <c r="E73" s="18" t="n">
        <v>19.83075525</v>
      </c>
      <c r="F73" s="20" t="n">
        <v>1.59714084</v>
      </c>
      <c r="G73" s="18" t="n">
        <v>78.34999431</v>
      </c>
      <c r="H73" s="20" t="n">
        <v>1.63084588</v>
      </c>
      <c r="I73" s="18" t="n">
        <v>0</v>
      </c>
      <c r="J73" s="20" t="n">
        <v>0</v>
      </c>
      <c r="K73" s="18" t="n">
        <v>0</v>
      </c>
      <c r="L73" s="20" t="n">
        <v>0</v>
      </c>
      <c r="M73" s="18" t="n">
        <v>0</v>
      </c>
      <c r="N73" s="20" t="n">
        <v>0</v>
      </c>
      <c r="O73" s="18" t="n">
        <v>0</v>
      </c>
      <c r="P73" s="20" t="n">
        <v>0</v>
      </c>
      <c r="Q73" s="18" t="n">
        <v>1.81925045</v>
      </c>
      <c r="R73" s="20" t="n">
        <v>0.53481183</v>
      </c>
    </row>
    <row r="74" spans="1:18">
      <c r="A74" s="15" t="s">
        <v>634</v>
      </c>
      <c r="B74" s="17" t="n">
        <v>3819</v>
      </c>
      <c r="C74" s="18">
        <f>(3013.0/B74*100)</f>
        <v/>
      </c>
      <c r="D74" s="19" t="n">
        <v>806</v>
      </c>
      <c r="E74" s="18" t="n">
        <v>13.14188514</v>
      </c>
      <c r="F74" s="20" t="n">
        <v>1.27151335</v>
      </c>
      <c r="G74" s="18" t="n">
        <v>82.96699298</v>
      </c>
      <c r="H74" s="20" t="n">
        <v>1.50818552</v>
      </c>
      <c r="I74" s="18" t="n">
        <v>0</v>
      </c>
      <c r="J74" s="20" t="n">
        <v>0</v>
      </c>
      <c r="K74" s="18" t="n">
        <v>0.19101494</v>
      </c>
      <c r="L74" s="20" t="n">
        <v>0.27024971</v>
      </c>
      <c r="M74" s="18" t="n">
        <v>0</v>
      </c>
      <c r="N74" s="20" t="n">
        <v>0</v>
      </c>
      <c r="O74" s="18" t="n">
        <v>0</v>
      </c>
      <c r="P74" s="20" t="n">
        <v>0</v>
      </c>
      <c r="Q74" s="18" t="n">
        <v>3.70010694</v>
      </c>
      <c r="R74" s="20" t="n">
        <v>0.68548086</v>
      </c>
    </row>
    <row r="75" spans="1:18">
      <c r="A75" s="15" t="s">
        <v>635</v>
      </c>
      <c r="B75" s="17" t="n">
        <v>4652</v>
      </c>
      <c r="C75" s="18">
        <f>(3636.0/B75*100)</f>
        <v/>
      </c>
      <c r="D75" s="19" t="n">
        <v>1016</v>
      </c>
      <c r="E75" s="18" t="n">
        <v>79.22321602</v>
      </c>
      <c r="F75" s="20" t="n">
        <v>1.62984491</v>
      </c>
      <c r="G75" s="18" t="n">
        <v>19.10199937</v>
      </c>
      <c r="H75" s="20" t="n">
        <v>1.56998102</v>
      </c>
      <c r="I75" s="18" t="n">
        <v>0</v>
      </c>
      <c r="J75" s="20" t="n">
        <v>0</v>
      </c>
      <c r="K75" s="18" t="n">
        <v>0.14197176</v>
      </c>
      <c r="L75" s="20" t="n">
        <v>0.14160646</v>
      </c>
      <c r="M75" s="18" t="n">
        <v>0</v>
      </c>
      <c r="N75" s="20" t="n">
        <v>0</v>
      </c>
      <c r="O75" s="18" t="n">
        <v>0</v>
      </c>
      <c r="P75" s="20" t="n">
        <v>0</v>
      </c>
      <c r="Q75" s="18" t="n">
        <v>1.53281285</v>
      </c>
      <c r="R75" s="20" t="n">
        <v>0.5393438699999999</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(2358.0/B77*100)</f>
        <v/>
      </c>
      <c r="D77" s="19" t="n">
        <v>611</v>
      </c>
      <c r="E77" s="18" t="n">
        <v>50.73929437</v>
      </c>
      <c r="F77" s="20" t="n">
        <v>2.33156342</v>
      </c>
      <c r="G77" s="18" t="n">
        <v>29.23207517</v>
      </c>
      <c r="H77" s="20" t="n">
        <v>1.93238211</v>
      </c>
      <c r="I77" s="18" t="n">
        <v>0</v>
      </c>
      <c r="J77" s="20" t="n">
        <v>0</v>
      </c>
      <c r="K77" s="18" t="n">
        <v>0.74061996</v>
      </c>
      <c r="L77" s="20" t="n">
        <v>0.44584121</v>
      </c>
      <c r="M77" s="18" t="n">
        <v>1.40375419</v>
      </c>
      <c r="N77" s="20" t="n">
        <v>0.62003469</v>
      </c>
      <c r="O77" s="18" t="n">
        <v>0</v>
      </c>
      <c r="P77" s="20" t="n">
        <v>0</v>
      </c>
      <c r="Q77" s="18" t="n">
        <v>17.8842563</v>
      </c>
      <c r="R77" s="20" t="n">
        <v>1.77719863</v>
      </c>
    </row>
    <row r="78" spans="1:18">
      <c r="A78" s="15" t="s">
        <v>638</v>
      </c>
      <c r="B78" s="17" t="n">
        <v>7115</v>
      </c>
      <c r="C78" s="18">
        <f>(5533.0/B78*100)</f>
        <v/>
      </c>
      <c r="D78" s="19" t="n">
        <v>1582</v>
      </c>
      <c r="E78" s="18" t="n">
        <v>53.5435827</v>
      </c>
      <c r="F78" s="20" t="n">
        <v>1.85720791</v>
      </c>
      <c r="G78" s="18" t="n">
        <v>43.57609672</v>
      </c>
      <c r="H78" s="20" t="n">
        <v>1.90720504</v>
      </c>
      <c r="I78" s="18" t="n">
        <v>0</v>
      </c>
      <c r="J78" s="20" t="n">
        <v>0</v>
      </c>
      <c r="K78" s="18" t="n">
        <v>0.35373719</v>
      </c>
      <c r="L78" s="20" t="n">
        <v>0.1201434</v>
      </c>
      <c r="M78" s="18" t="n">
        <v>0.13886803</v>
      </c>
      <c r="N78" s="20" t="n">
        <v>0.07439604</v>
      </c>
      <c r="O78" s="18" t="n">
        <v>0</v>
      </c>
      <c r="P78" s="20" t="n">
        <v>0</v>
      </c>
      <c r="Q78" s="18" t="n">
        <v>2.38771536</v>
      </c>
      <c r="R78" s="20" t="n">
        <v>0.39585568</v>
      </c>
    </row>
    <row r="79" spans="1:18">
      <c r="A79" s="15" t="s">
        <v>639</v>
      </c>
      <c r="B79" s="17" t="n">
        <v>3154</v>
      </c>
      <c r="C79" s="18">
        <f>(2438.0/B79*100)</f>
        <v/>
      </c>
      <c r="D79" s="19" t="n">
        <v>716</v>
      </c>
      <c r="E79" s="18" t="n">
        <v>55.01857357</v>
      </c>
      <c r="F79" s="20" t="n">
        <v>1.85785607</v>
      </c>
      <c r="G79" s="18" t="n">
        <v>29.25473371</v>
      </c>
      <c r="H79" s="20" t="n">
        <v>1.80053073</v>
      </c>
      <c r="I79" s="18" t="n">
        <v>0</v>
      </c>
      <c r="J79" s="20" t="n">
        <v>0</v>
      </c>
      <c r="K79" s="18" t="n">
        <v>0.40214462</v>
      </c>
      <c r="L79" s="20" t="n">
        <v>0.26680073</v>
      </c>
      <c r="M79" s="18" t="n">
        <v>0.32494859</v>
      </c>
      <c r="N79" s="20" t="n">
        <v>0.23498843</v>
      </c>
      <c r="O79" s="18" t="n">
        <v>0</v>
      </c>
      <c r="P79" s="20" t="n">
        <v>0</v>
      </c>
      <c r="Q79" s="18" t="n">
        <v>14.99959952</v>
      </c>
      <c r="R79" s="20" t="n">
        <v>1.23742756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(12405.0/B82*100)</f>
        <v/>
      </c>
      <c r="D82" s="19" t="n">
        <v>3556</v>
      </c>
      <c r="E82" s="18" t="n">
        <v>46.87695118</v>
      </c>
      <c r="F82" s="20" t="n">
        <v>1.28184234</v>
      </c>
      <c r="G82" s="18" t="n">
        <v>48.77834388</v>
      </c>
      <c r="H82" s="20" t="n">
        <v>1.2050363</v>
      </c>
      <c r="I82" s="18" t="n">
        <v>0</v>
      </c>
      <c r="J82" s="20" t="n">
        <v>0</v>
      </c>
      <c r="K82" s="18" t="n">
        <v>0.12449681</v>
      </c>
      <c r="L82" s="20" t="n">
        <v>0.05250318</v>
      </c>
      <c r="M82" s="18" t="n">
        <v>0.07435139</v>
      </c>
      <c r="N82" s="20" t="n">
        <v>0.07464743</v>
      </c>
      <c r="O82" s="18" t="n">
        <v>0</v>
      </c>
      <c r="P82" s="20" t="n">
        <v>0</v>
      </c>
      <c r="Q82" s="18" t="n">
        <v>4.14585674</v>
      </c>
      <c r="R82" s="20" t="n">
        <v>0.43795422</v>
      </c>
    </row>
    <row r="83" spans="1:18">
      <c r="A83" s="15" t="s">
        <v>643</v>
      </c>
      <c r="B83" s="17" t="n">
        <v>808</v>
      </c>
      <c r="C83" s="18">
        <f>(619.0/B83*100)</f>
        <v/>
      </c>
      <c r="D83" s="19" t="n">
        <v>189</v>
      </c>
      <c r="E83" s="18" t="n">
        <v>27.01254226</v>
      </c>
      <c r="F83" s="20" t="n">
        <v>3.77593665</v>
      </c>
      <c r="G83" s="18" t="n">
        <v>71.06626532</v>
      </c>
      <c r="H83" s="20" t="n">
        <v>3.91585802</v>
      </c>
      <c r="I83" s="18" t="n">
        <v>0</v>
      </c>
      <c r="J83" s="20" t="n">
        <v>0</v>
      </c>
      <c r="K83" s="18" t="n">
        <v>0</v>
      </c>
      <c r="L83" s="20" t="n">
        <v>0</v>
      </c>
      <c r="M83" s="18" t="n">
        <v>0</v>
      </c>
      <c r="N83" s="20" t="n">
        <v>0</v>
      </c>
      <c r="O83" s="18" t="n">
        <v>0</v>
      </c>
      <c r="P83" s="20" t="n">
        <v>0</v>
      </c>
      <c r="Q83" s="18" t="n">
        <v>1.92119242</v>
      </c>
      <c r="R83" s="20" t="n">
        <v>1.04694988</v>
      </c>
    </row>
    <row r="84" spans="1:18">
      <c r="A84" s="23" t="s">
        <v>644</v>
      </c>
      <c r="B84" s="24" t="n">
        <v>938</v>
      </c>
      <c r="C84" s="25">
        <f>(715.0/B84*100)</f>
        <v/>
      </c>
      <c r="D84" s="19" t="n">
        <v>223</v>
      </c>
      <c r="E84" s="18" t="n">
        <v>44.46292287</v>
      </c>
      <c r="F84" s="20" t="n">
        <v>4.51217797</v>
      </c>
      <c r="G84" s="18" t="n">
        <v>55.53707713</v>
      </c>
      <c r="H84" s="20" t="n">
        <v>4.51217797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839</v>
      </c>
    </row>
    <row customHeight="1" ht="30" r="4" spans="1:20">
      <c r="A4" s="6" t="n"/>
      <c r="B4" s="7" t="s">
        <v>551</v>
      </c>
      <c r="C4" s="7" t="s">
        <v>552</v>
      </c>
      <c r="D4" s="8" t="s">
        <v>551</v>
      </c>
      <c r="E4" s="9" t="s">
        <v>660</v>
      </c>
      <c r="F4" s="10" t="n"/>
      <c r="G4" s="9" t="s">
        <v>752</v>
      </c>
      <c r="H4" s="10" t="n"/>
      <c r="I4" s="9" t="s">
        <v>661</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(5619.0/B7*100)</f>
        <v/>
      </c>
      <c r="D7" s="19" t="n">
        <v>1544</v>
      </c>
      <c r="E7" s="18" t="n">
        <v>68.67088928</v>
      </c>
      <c r="F7" s="20" t="n">
        <v>1.1837806</v>
      </c>
      <c r="G7" s="18" t="n">
        <v>22.39104376</v>
      </c>
      <c r="H7" s="20" t="n">
        <v>1.1561939</v>
      </c>
      <c r="I7" s="18" t="n">
        <v>8.01939239</v>
      </c>
      <c r="J7" s="20" t="n">
        <v>0.79488671</v>
      </c>
      <c r="K7" s="18" t="n">
        <v>0</v>
      </c>
      <c r="L7" s="20" t="n">
        <v>0</v>
      </c>
      <c r="M7" s="18" t="n">
        <v>0.13331426</v>
      </c>
      <c r="N7" s="20" t="n">
        <v>0.11249936</v>
      </c>
      <c r="O7" s="18" t="n">
        <v>0</v>
      </c>
      <c r="P7" s="20" t="n">
        <v>0</v>
      </c>
      <c r="Q7" s="18" t="n">
        <v>0</v>
      </c>
      <c r="R7" s="20" t="n">
        <v>0</v>
      </c>
      <c r="S7" s="18" t="n">
        <v>0.78536031</v>
      </c>
      <c r="T7" s="20" t="n">
        <v>0.25814342</v>
      </c>
    </row>
    <row r="8" spans="1:20">
      <c r="A8" s="15" t="s">
        <v>566</v>
      </c>
      <c r="B8" s="17" t="n">
        <v>3443</v>
      </c>
      <c r="C8" s="18">
        <f>(2668.0/B8*100)</f>
        <v/>
      </c>
      <c r="D8" s="19" t="n">
        <v>775</v>
      </c>
      <c r="E8" s="18" t="n">
        <v>74.49439223</v>
      </c>
      <c r="F8" s="20" t="n">
        <v>1.92374431</v>
      </c>
      <c r="G8" s="18" t="n">
        <v>20.84281996</v>
      </c>
      <c r="H8" s="20" t="n">
        <v>1.89607079</v>
      </c>
      <c r="I8" s="18" t="n">
        <v>2.62010818</v>
      </c>
      <c r="J8" s="20" t="n">
        <v>0.63528099</v>
      </c>
      <c r="K8" s="18" t="n">
        <v>0</v>
      </c>
      <c r="L8" s="20" t="n">
        <v>0</v>
      </c>
      <c r="M8" s="18" t="n">
        <v>0</v>
      </c>
      <c r="N8" s="20" t="n">
        <v>0</v>
      </c>
      <c r="O8" s="18" t="n">
        <v>0</v>
      </c>
      <c r="P8" s="20" t="n">
        <v>0</v>
      </c>
      <c r="Q8" s="18" t="n">
        <v>0</v>
      </c>
      <c r="R8" s="20" t="n">
        <v>0</v>
      </c>
      <c r="S8" s="18" t="n">
        <v>2.04267963</v>
      </c>
      <c r="T8" s="20" t="n">
        <v>0.4825335</v>
      </c>
    </row>
    <row r="9" spans="1:20">
      <c r="A9" s="15" t="s">
        <v>567</v>
      </c>
      <c r="B9" s="17" t="n">
        <v>4752</v>
      </c>
      <c r="C9" s="18">
        <f>(3704.0/B9*100)</f>
        <v/>
      </c>
      <c r="D9" s="19" t="n">
        <v>1048</v>
      </c>
      <c r="E9" s="18" t="n">
        <v>73.89078857</v>
      </c>
      <c r="F9" s="20" t="n">
        <v>1.2694198</v>
      </c>
      <c r="G9" s="18" t="n">
        <v>20.74654663</v>
      </c>
      <c r="H9" s="20" t="n">
        <v>1.20806679</v>
      </c>
      <c r="I9" s="18" t="n">
        <v>3.98147711</v>
      </c>
      <c r="J9" s="20" t="n">
        <v>0.62153512</v>
      </c>
      <c r="K9" s="18" t="n">
        <v>0</v>
      </c>
      <c r="L9" s="20" t="n">
        <v>0</v>
      </c>
      <c r="M9" s="18" t="n">
        <v>0.39616169</v>
      </c>
      <c r="N9" s="20" t="n">
        <v>0.20534643</v>
      </c>
      <c r="O9" s="18" t="n">
        <v>0</v>
      </c>
      <c r="P9" s="20" t="n">
        <v>0</v>
      </c>
      <c r="Q9" s="18" t="n">
        <v>0</v>
      </c>
      <c r="R9" s="20" t="n">
        <v>0</v>
      </c>
      <c r="S9" s="18" t="n">
        <v>0.985026</v>
      </c>
      <c r="T9" s="20" t="n">
        <v>0.30684327</v>
      </c>
    </row>
    <row r="10" spans="1:20">
      <c r="A10" s="15" t="s">
        <v>568</v>
      </c>
      <c r="B10" s="17" t="n">
        <v>10022</v>
      </c>
      <c r="C10" s="18">
        <f>(7812.0/B10*100)</f>
        <v/>
      </c>
      <c r="D10" s="19" t="n">
        <v>2210</v>
      </c>
      <c r="E10" s="18" t="n">
        <v>69.38137946000001</v>
      </c>
      <c r="F10" s="20" t="n">
        <v>1.49105717</v>
      </c>
      <c r="G10" s="18" t="n">
        <v>21.01376014</v>
      </c>
      <c r="H10" s="20" t="n">
        <v>1.22023152</v>
      </c>
      <c r="I10" s="18" t="n">
        <v>8.715978639999999</v>
      </c>
      <c r="J10" s="20" t="n">
        <v>0.90829578</v>
      </c>
      <c r="K10" s="18" t="n">
        <v>0</v>
      </c>
      <c r="L10" s="20" t="n">
        <v>0</v>
      </c>
      <c r="M10" s="18" t="n">
        <v>0.19927924</v>
      </c>
      <c r="N10" s="20" t="n">
        <v>0.12304477</v>
      </c>
      <c r="O10" s="18" t="n">
        <v>0</v>
      </c>
      <c r="P10" s="20" t="n">
        <v>0</v>
      </c>
      <c r="Q10" s="18" t="n">
        <v>0</v>
      </c>
      <c r="R10" s="20" t="n">
        <v>0</v>
      </c>
      <c r="S10" s="18" t="n">
        <v>0.68960252</v>
      </c>
      <c r="T10" s="20" t="n">
        <v>0.36429315</v>
      </c>
    </row>
    <row r="11" spans="1:20">
      <c r="A11" s="15" t="s">
        <v>569</v>
      </c>
      <c r="B11" s="17" t="n">
        <v>3500</v>
      </c>
      <c r="C11" s="18">
        <f>(2715.0/B11*100)</f>
        <v/>
      </c>
      <c r="D11" s="19" t="n">
        <v>785</v>
      </c>
      <c r="E11" s="18" t="n">
        <v>81.62716939000001</v>
      </c>
      <c r="F11" s="20" t="n">
        <v>1.50437513</v>
      </c>
      <c r="G11" s="18" t="n">
        <v>14.55494003</v>
      </c>
      <c r="H11" s="20" t="n">
        <v>1.50606791</v>
      </c>
      <c r="I11" s="18" t="n">
        <v>1.91238137</v>
      </c>
      <c r="J11" s="20" t="n">
        <v>0.4246517</v>
      </c>
      <c r="K11" s="18" t="n">
        <v>0</v>
      </c>
      <c r="L11" s="20" t="n">
        <v>0</v>
      </c>
      <c r="M11" s="18" t="n">
        <v>0.1690669</v>
      </c>
      <c r="N11" s="20" t="n">
        <v>0.16710406</v>
      </c>
      <c r="O11" s="18" t="n">
        <v>0</v>
      </c>
      <c r="P11" s="20" t="n">
        <v>0</v>
      </c>
      <c r="Q11" s="18" t="n">
        <v>0</v>
      </c>
      <c r="R11" s="20" t="n">
        <v>0</v>
      </c>
      <c r="S11" s="18" t="n">
        <v>1.73644232</v>
      </c>
      <c r="T11" s="20" t="n">
        <v>0.53628005</v>
      </c>
    </row>
    <row r="12" spans="1:20">
      <c r="A12" s="15" t="s">
        <v>570</v>
      </c>
      <c r="B12" s="17" t="n">
        <v>3422</v>
      </c>
      <c r="C12" s="18">
        <f>(2703.0/B12*100)</f>
        <v/>
      </c>
      <c r="D12" s="19" t="n">
        <v>719</v>
      </c>
      <c r="E12" s="18" t="n">
        <v>77.94337272</v>
      </c>
      <c r="F12" s="20" t="n">
        <v>1.83997515</v>
      </c>
      <c r="G12" s="18" t="n">
        <v>17.66804824</v>
      </c>
      <c r="H12" s="20" t="n">
        <v>1.65666518</v>
      </c>
      <c r="I12" s="18" t="n">
        <v>2.97789971</v>
      </c>
      <c r="J12" s="20" t="n">
        <v>0.61453254</v>
      </c>
      <c r="K12" s="18" t="n">
        <v>0</v>
      </c>
      <c r="L12" s="20" t="n">
        <v>0</v>
      </c>
      <c r="M12" s="18" t="n">
        <v>0.12103827</v>
      </c>
      <c r="N12" s="20" t="n">
        <v>0.11488862</v>
      </c>
      <c r="O12" s="18" t="n">
        <v>0</v>
      </c>
      <c r="P12" s="20" t="n">
        <v>0</v>
      </c>
      <c r="Q12" s="18" t="n">
        <v>0</v>
      </c>
      <c r="R12" s="20" t="n">
        <v>0</v>
      </c>
      <c r="S12" s="18" t="n">
        <v>1.28964106</v>
      </c>
      <c r="T12" s="20" t="n">
        <v>0.54424744</v>
      </c>
    </row>
    <row r="13" spans="1:20">
      <c r="A13" s="15" t="s">
        <v>571</v>
      </c>
      <c r="B13" s="17" t="n">
        <v>3602</v>
      </c>
      <c r="C13" s="18">
        <f>(2898.0/B13*100)</f>
        <v/>
      </c>
      <c r="D13" s="19" t="n">
        <v>704</v>
      </c>
      <c r="E13" s="18" t="n">
        <v>74.72261258</v>
      </c>
      <c r="F13" s="20" t="n">
        <v>1.78871348</v>
      </c>
      <c r="G13" s="18" t="n">
        <v>22.20114203</v>
      </c>
      <c r="H13" s="20" t="n">
        <v>1.68005519</v>
      </c>
      <c r="I13" s="18" t="n">
        <v>2.11150779</v>
      </c>
      <c r="J13" s="20" t="n">
        <v>0.56956887</v>
      </c>
      <c r="K13" s="18" t="n">
        <v>0</v>
      </c>
      <c r="L13" s="20" t="n">
        <v>0</v>
      </c>
      <c r="M13" s="18" t="n">
        <v>0.23004883</v>
      </c>
      <c r="N13" s="20" t="n">
        <v>0.19983782</v>
      </c>
      <c r="O13" s="18" t="n">
        <v>0</v>
      </c>
      <c r="P13" s="20" t="n">
        <v>0</v>
      </c>
      <c r="Q13" s="18" t="n">
        <v>0</v>
      </c>
      <c r="R13" s="20" t="n">
        <v>0</v>
      </c>
      <c r="S13" s="18" t="n">
        <v>0.73468877</v>
      </c>
      <c r="T13" s="20" t="n">
        <v>0.31055381</v>
      </c>
    </row>
    <row r="14" spans="1:20">
      <c r="A14" s="15" t="s">
        <v>572</v>
      </c>
      <c r="B14" s="17" t="n">
        <v>2788</v>
      </c>
      <c r="C14" s="18">
        <f>(2149.0/B14*100)</f>
        <v/>
      </c>
      <c r="D14" s="19" t="n">
        <v>639</v>
      </c>
      <c r="E14" s="18" t="n">
        <v>69.38150018</v>
      </c>
      <c r="F14" s="20" t="n">
        <v>1.92223434</v>
      </c>
      <c r="G14" s="18" t="n">
        <v>26.3052451</v>
      </c>
      <c r="H14" s="20" t="n">
        <v>1.86591348</v>
      </c>
      <c r="I14" s="18" t="n">
        <v>3.85480813</v>
      </c>
      <c r="J14" s="20" t="n">
        <v>0.66762361</v>
      </c>
      <c r="K14" s="18" t="n">
        <v>0</v>
      </c>
      <c r="L14" s="20" t="n">
        <v>0</v>
      </c>
      <c r="M14" s="18" t="n">
        <v>0</v>
      </c>
      <c r="N14" s="20" t="n">
        <v>0</v>
      </c>
      <c r="O14" s="18" t="n">
        <v>0</v>
      </c>
      <c r="P14" s="20" t="n">
        <v>0</v>
      </c>
      <c r="Q14" s="18" t="n">
        <v>0</v>
      </c>
      <c r="R14" s="20" t="n">
        <v>0</v>
      </c>
      <c r="S14" s="18" t="n">
        <v>0.45844659</v>
      </c>
      <c r="T14" s="20" t="n">
        <v>0.35663369</v>
      </c>
    </row>
    <row r="15" spans="1:20">
      <c r="A15" s="15" t="s">
        <v>573</v>
      </c>
      <c r="B15" s="17" t="n">
        <v>2863</v>
      </c>
      <c r="C15" s="18">
        <f>(2224.0/B15*100)</f>
        <v/>
      </c>
      <c r="D15" s="19" t="n">
        <v>639</v>
      </c>
      <c r="E15" s="18" t="n">
        <v>61.61662015</v>
      </c>
      <c r="F15" s="20" t="n">
        <v>1.92276533</v>
      </c>
      <c r="G15" s="18" t="n">
        <v>33.33523944</v>
      </c>
      <c r="H15" s="20" t="n">
        <v>1.77040688</v>
      </c>
      <c r="I15" s="18" t="n">
        <v>4.45120625</v>
      </c>
      <c r="J15" s="20" t="n">
        <v>0.7786412</v>
      </c>
      <c r="K15" s="18" t="n">
        <v>0</v>
      </c>
      <c r="L15" s="20" t="n">
        <v>0</v>
      </c>
      <c r="M15" s="18" t="n">
        <v>0</v>
      </c>
      <c r="N15" s="20" t="n">
        <v>0</v>
      </c>
      <c r="O15" s="18" t="n">
        <v>0</v>
      </c>
      <c r="P15" s="20" t="n">
        <v>0</v>
      </c>
      <c r="Q15" s="18" t="n">
        <v>0</v>
      </c>
      <c r="R15" s="20" t="n">
        <v>0</v>
      </c>
      <c r="S15" s="18" t="n">
        <v>0.59693416</v>
      </c>
      <c r="T15" s="20" t="n">
        <v>0.29552315</v>
      </c>
    </row>
    <row r="16" spans="1:20">
      <c r="A16" s="15" t="s">
        <v>574</v>
      </c>
      <c r="B16" s="17" t="n">
        <v>3111</v>
      </c>
      <c r="C16" s="18">
        <f>(2434.0/B16*100)</f>
        <v/>
      </c>
      <c r="D16" s="19" t="n">
        <v>677</v>
      </c>
      <c r="E16" s="18" t="n">
        <v>66.03614777</v>
      </c>
      <c r="F16" s="20" t="n">
        <v>1.69733471</v>
      </c>
      <c r="G16" s="18" t="n">
        <v>25.0036781</v>
      </c>
      <c r="H16" s="20" t="n">
        <v>1.43451139</v>
      </c>
      <c r="I16" s="18" t="n">
        <v>6.21321655</v>
      </c>
      <c r="J16" s="20" t="n">
        <v>0.7769959400000001</v>
      </c>
      <c r="K16" s="18" t="n">
        <v>0</v>
      </c>
      <c r="L16" s="20" t="n">
        <v>0</v>
      </c>
      <c r="M16" s="18" t="n">
        <v>0.477796</v>
      </c>
      <c r="N16" s="20" t="n">
        <v>0.31262519</v>
      </c>
      <c r="O16" s="18" t="n">
        <v>0</v>
      </c>
      <c r="P16" s="20" t="n">
        <v>0</v>
      </c>
      <c r="Q16" s="18" t="n">
        <v>0</v>
      </c>
      <c r="R16" s="20" t="n">
        <v>0</v>
      </c>
      <c r="S16" s="18" t="n">
        <v>2.26916158</v>
      </c>
      <c r="T16" s="20" t="n">
        <v>0.68683725</v>
      </c>
    </row>
    <row r="17" spans="1:20">
      <c r="A17" s="15" t="s">
        <v>575</v>
      </c>
      <c r="B17" s="17" t="n">
        <v>3197</v>
      </c>
      <c r="C17" s="18">
        <f>(2544.0/B17*100)</f>
        <v/>
      </c>
      <c r="D17" s="19" t="n">
        <v>653</v>
      </c>
      <c r="E17" s="18" t="n">
        <v>72.65594385999999</v>
      </c>
      <c r="F17" s="20" t="n">
        <v>1.63499002</v>
      </c>
      <c r="G17" s="18" t="n">
        <v>23.07761445</v>
      </c>
      <c r="H17" s="20" t="n">
        <v>1.65607438</v>
      </c>
      <c r="I17" s="18" t="n">
        <v>3.14004519</v>
      </c>
      <c r="J17" s="20" t="n">
        <v>0.75551027</v>
      </c>
      <c r="K17" s="18" t="n">
        <v>0</v>
      </c>
      <c r="L17" s="20" t="n">
        <v>0</v>
      </c>
      <c r="M17" s="18" t="n">
        <v>0.31978816</v>
      </c>
      <c r="N17" s="20" t="n">
        <v>0.22686269</v>
      </c>
      <c r="O17" s="18" t="n">
        <v>0</v>
      </c>
      <c r="P17" s="20" t="n">
        <v>0</v>
      </c>
      <c r="Q17" s="18" t="n">
        <v>0</v>
      </c>
      <c r="R17" s="20" t="n">
        <v>0</v>
      </c>
      <c r="S17" s="18" t="n">
        <v>0.80660834</v>
      </c>
      <c r="T17" s="20" t="n">
        <v>0.29133508</v>
      </c>
    </row>
    <row r="18" spans="1:20">
      <c r="A18" s="15" t="s">
        <v>576</v>
      </c>
      <c r="B18" s="17" t="n">
        <v>2706</v>
      </c>
      <c r="C18" s="18">
        <f>(2110.0/B18*100)</f>
        <v/>
      </c>
      <c r="D18" s="19" t="n">
        <v>596</v>
      </c>
      <c r="E18" s="18" t="n">
        <v>79.64589931</v>
      </c>
      <c r="F18" s="20" t="n">
        <v>1.84102489</v>
      </c>
      <c r="G18" s="18" t="n">
        <v>17.64959563</v>
      </c>
      <c r="H18" s="20" t="n">
        <v>1.75109993</v>
      </c>
      <c r="I18" s="18" t="n">
        <v>1.47413662</v>
      </c>
      <c r="J18" s="20" t="n">
        <v>0.6132639600000001</v>
      </c>
      <c r="K18" s="18" t="n">
        <v>0</v>
      </c>
      <c r="L18" s="20" t="n">
        <v>0</v>
      </c>
      <c r="M18" s="18" t="n">
        <v>0.26542601</v>
      </c>
      <c r="N18" s="20" t="n">
        <v>0.19587634</v>
      </c>
      <c r="O18" s="18" t="n">
        <v>0</v>
      </c>
      <c r="P18" s="20" t="n">
        <v>0</v>
      </c>
      <c r="Q18" s="18" t="n">
        <v>0</v>
      </c>
      <c r="R18" s="20" t="n">
        <v>0</v>
      </c>
      <c r="S18" s="18" t="n">
        <v>0.96494242</v>
      </c>
      <c r="T18" s="20" t="n">
        <v>0.40062813</v>
      </c>
    </row>
    <row r="19" spans="1:20">
      <c r="A19" s="15" t="s">
        <v>577</v>
      </c>
      <c r="B19" s="17" t="n">
        <v>2850</v>
      </c>
      <c r="C19" s="18">
        <f>(2190.0/B19*100)</f>
        <v/>
      </c>
      <c r="D19" s="19" t="n">
        <v>660</v>
      </c>
      <c r="E19" s="18" t="n">
        <v>60.90545955</v>
      </c>
      <c r="F19" s="20" t="n">
        <v>1.77407966</v>
      </c>
      <c r="G19" s="18" t="n">
        <v>34.62222129</v>
      </c>
      <c r="H19" s="20" t="n">
        <v>1.8859995</v>
      </c>
      <c r="I19" s="18" t="n">
        <v>2.78266022</v>
      </c>
      <c r="J19" s="20" t="n">
        <v>0.63555869</v>
      </c>
      <c r="K19" s="18" t="n">
        <v>0</v>
      </c>
      <c r="L19" s="20" t="n">
        <v>0</v>
      </c>
      <c r="M19" s="18" t="n">
        <v>0.14016158</v>
      </c>
      <c r="N19" s="20" t="n">
        <v>0.11929533</v>
      </c>
      <c r="O19" s="18" t="n">
        <v>0</v>
      </c>
      <c r="P19" s="20" t="n">
        <v>0</v>
      </c>
      <c r="Q19" s="18" t="n">
        <v>0</v>
      </c>
      <c r="R19" s="20" t="n">
        <v>0</v>
      </c>
      <c r="S19" s="18" t="n">
        <v>1.54949736</v>
      </c>
      <c r="T19" s="20" t="n">
        <v>0.51978829</v>
      </c>
    </row>
    <row r="20" spans="1:20">
      <c r="A20" s="15" t="s">
        <v>578</v>
      </c>
      <c r="B20" s="17" t="n">
        <v>1741</v>
      </c>
      <c r="C20" s="18">
        <f>(1366.0/B20*100)</f>
        <v/>
      </c>
      <c r="D20" s="19" t="n">
        <v>375</v>
      </c>
      <c r="E20" s="18" t="n">
        <v>75.80157418</v>
      </c>
      <c r="F20" s="20" t="n">
        <v>2.15735365</v>
      </c>
      <c r="G20" s="18" t="n">
        <v>20.75965914</v>
      </c>
      <c r="H20" s="20" t="n">
        <v>2.17707238</v>
      </c>
      <c r="I20" s="18" t="n">
        <v>1.60306433</v>
      </c>
      <c r="J20" s="20" t="n">
        <v>0.68204172</v>
      </c>
      <c r="K20" s="18" t="n">
        <v>0</v>
      </c>
      <c r="L20" s="20" t="n">
        <v>0</v>
      </c>
      <c r="M20" s="18" t="n">
        <v>0</v>
      </c>
      <c r="N20" s="20" t="n">
        <v>0</v>
      </c>
      <c r="O20" s="18" t="n">
        <v>0</v>
      </c>
      <c r="P20" s="20" t="n">
        <v>0</v>
      </c>
      <c r="Q20" s="18" t="n">
        <v>0</v>
      </c>
      <c r="R20" s="20" t="n">
        <v>0</v>
      </c>
      <c r="S20" s="18" t="n">
        <v>1.83570235</v>
      </c>
      <c r="T20" s="20" t="n">
        <v>0.70101384</v>
      </c>
    </row>
    <row r="21" spans="1:20">
      <c r="A21" s="15" t="s">
        <v>579</v>
      </c>
      <c r="B21" s="17" t="n">
        <v>2833</v>
      </c>
      <c r="C21" s="18">
        <f>(2232.0/B21*100)</f>
        <v/>
      </c>
      <c r="D21" s="19" t="n">
        <v>601</v>
      </c>
      <c r="E21" s="18" t="n">
        <v>78.33329242000001</v>
      </c>
      <c r="F21" s="20" t="n">
        <v>1.64935289</v>
      </c>
      <c r="G21" s="18" t="n">
        <v>17.87127658</v>
      </c>
      <c r="H21" s="20" t="n">
        <v>1.73420007</v>
      </c>
      <c r="I21" s="18" t="n">
        <v>3.36960954</v>
      </c>
      <c r="J21" s="20" t="n">
        <v>0.77001778</v>
      </c>
      <c r="K21" s="18" t="n">
        <v>0</v>
      </c>
      <c r="L21" s="20" t="n">
        <v>0</v>
      </c>
      <c r="M21" s="18" t="n">
        <v>0.14552862</v>
      </c>
      <c r="N21" s="20" t="n">
        <v>0.10420409</v>
      </c>
      <c r="O21" s="18" t="n">
        <v>0</v>
      </c>
      <c r="P21" s="20" t="n">
        <v>0</v>
      </c>
      <c r="Q21" s="18" t="n">
        <v>0</v>
      </c>
      <c r="R21" s="20" t="n">
        <v>0</v>
      </c>
      <c r="S21" s="18" t="n">
        <v>0.28029285</v>
      </c>
      <c r="T21" s="20" t="n">
        <v>0.20198791</v>
      </c>
    </row>
    <row r="22" spans="1:20">
      <c r="A22" s="15" t="s">
        <v>580</v>
      </c>
      <c r="B22" s="17" t="n">
        <v>3667</v>
      </c>
      <c r="C22" s="18">
        <f>(2861.0/B22*100)</f>
        <v/>
      </c>
      <c r="D22" s="19" t="n">
        <v>806</v>
      </c>
      <c r="E22" s="18" t="n">
        <v>65.24219693000001</v>
      </c>
      <c r="F22" s="20" t="n">
        <v>1.66537118</v>
      </c>
      <c r="G22" s="18" t="n">
        <v>30.57454723</v>
      </c>
      <c r="H22" s="20" t="n">
        <v>1.65210265</v>
      </c>
      <c r="I22" s="18" t="n">
        <v>2.1466169</v>
      </c>
      <c r="J22" s="20" t="n">
        <v>0.49806476</v>
      </c>
      <c r="K22" s="18" t="n">
        <v>0</v>
      </c>
      <c r="L22" s="20" t="n">
        <v>0</v>
      </c>
      <c r="M22" s="18" t="n">
        <v>0.48014359</v>
      </c>
      <c r="N22" s="20" t="n">
        <v>0.25054736</v>
      </c>
      <c r="O22" s="18" t="n">
        <v>0</v>
      </c>
      <c r="P22" s="20" t="n">
        <v>0</v>
      </c>
      <c r="Q22" s="18" t="n">
        <v>0</v>
      </c>
      <c r="R22" s="20" t="n">
        <v>0</v>
      </c>
      <c r="S22" s="18" t="n">
        <v>1.55649535</v>
      </c>
      <c r="T22" s="20" t="n">
        <v>0.45397808</v>
      </c>
    </row>
    <row r="23" spans="1:20">
      <c r="A23" s="15" t="s">
        <v>581</v>
      </c>
      <c r="B23" s="17" t="n">
        <v>5792</v>
      </c>
      <c r="C23" s="18">
        <f>(4477.0/B23*100)</f>
        <v/>
      </c>
      <c r="D23" s="19" t="n">
        <v>1315</v>
      </c>
      <c r="E23" s="18" t="n">
        <v>80.67772351000001</v>
      </c>
      <c r="F23" s="20" t="n">
        <v>1.52227699</v>
      </c>
      <c r="G23" s="18" t="n">
        <v>17.48769371</v>
      </c>
      <c r="H23" s="20" t="n">
        <v>1.45998911</v>
      </c>
      <c r="I23" s="18" t="n">
        <v>0.86469273</v>
      </c>
      <c r="J23" s="20" t="n">
        <v>0.31750475</v>
      </c>
      <c r="K23" s="18" t="n">
        <v>0</v>
      </c>
      <c r="L23" s="20" t="n">
        <v>0</v>
      </c>
      <c r="M23" s="18" t="n">
        <v>0.30859662</v>
      </c>
      <c r="N23" s="20" t="n">
        <v>0.32151659</v>
      </c>
      <c r="O23" s="18" t="n">
        <v>0</v>
      </c>
      <c r="P23" s="20" t="n">
        <v>0</v>
      </c>
      <c r="Q23" s="18" t="n">
        <v>0</v>
      </c>
      <c r="R23" s="20" t="n">
        <v>0</v>
      </c>
      <c r="S23" s="18" t="n">
        <v>0.66129343</v>
      </c>
      <c r="T23" s="20" t="n">
        <v>0.35658718</v>
      </c>
    </row>
    <row r="24" spans="1:20">
      <c r="A24" s="15" t="s">
        <v>582</v>
      </c>
      <c r="B24" s="17" t="n">
        <v>3309</v>
      </c>
      <c r="C24" s="18">
        <f>(2601.0/B24*100)</f>
        <v/>
      </c>
      <c r="D24" s="19" t="n">
        <v>708</v>
      </c>
      <c r="E24" s="18" t="n">
        <v>64.80563839</v>
      </c>
      <c r="F24" s="20" t="n">
        <v>1.94584342</v>
      </c>
      <c r="G24" s="18" t="n">
        <v>32.73580042</v>
      </c>
      <c r="H24" s="20" t="n">
        <v>1.85260396</v>
      </c>
      <c r="I24" s="18" t="n">
        <v>1.99928166</v>
      </c>
      <c r="J24" s="20" t="n">
        <v>0.60427573</v>
      </c>
      <c r="K24" s="18" t="n">
        <v>0</v>
      </c>
      <c r="L24" s="20" t="n">
        <v>0</v>
      </c>
      <c r="M24" s="18" t="n">
        <v>0</v>
      </c>
      <c r="N24" s="20" t="n">
        <v>0</v>
      </c>
      <c r="O24" s="18" t="n">
        <v>0</v>
      </c>
      <c r="P24" s="20" t="n">
        <v>0</v>
      </c>
      <c r="Q24" s="18" t="n">
        <v>0</v>
      </c>
      <c r="R24" s="20" t="n">
        <v>0</v>
      </c>
      <c r="S24" s="18" t="n">
        <v>0.45927953</v>
      </c>
      <c r="T24" s="20" t="n">
        <v>0.23324743</v>
      </c>
    </row>
    <row r="25" spans="1:20">
      <c r="A25" s="15" t="s">
        <v>583</v>
      </c>
      <c r="B25" s="17" t="n">
        <v>2669</v>
      </c>
      <c r="C25" s="18">
        <f>(2091.0/B25*100)</f>
        <v/>
      </c>
      <c r="D25" s="19" t="n">
        <v>578</v>
      </c>
      <c r="E25" s="18" t="n">
        <v>81.87306314</v>
      </c>
      <c r="F25" s="20" t="n">
        <v>1.86396741</v>
      </c>
      <c r="G25" s="18" t="n">
        <v>15.22874924</v>
      </c>
      <c r="H25" s="20" t="n">
        <v>1.79110087</v>
      </c>
      <c r="I25" s="18" t="n">
        <v>2.89818762</v>
      </c>
      <c r="J25" s="20" t="n">
        <v>0.77918965</v>
      </c>
      <c r="K25" s="18" t="n">
        <v>0</v>
      </c>
      <c r="L25" s="20" t="n">
        <v>0</v>
      </c>
      <c r="M25" s="18" t="n">
        <v>0</v>
      </c>
      <c r="N25" s="20" t="n">
        <v>0</v>
      </c>
      <c r="O25" s="18" t="n">
        <v>0</v>
      </c>
      <c r="P25" s="20" t="n">
        <v>0</v>
      </c>
      <c r="Q25" s="18" t="n">
        <v>0</v>
      </c>
      <c r="R25" s="20" t="n">
        <v>0</v>
      </c>
      <c r="S25" s="18" t="n">
        <v>0</v>
      </c>
      <c r="T25" s="20" t="n">
        <v>0</v>
      </c>
    </row>
    <row r="26" spans="1:20">
      <c r="A26" s="15" t="s">
        <v>584</v>
      </c>
      <c r="B26" s="17" t="n">
        <v>2419</v>
      </c>
      <c r="C26" s="18">
        <f>(1854.0/B26*100)</f>
        <v/>
      </c>
      <c r="D26" s="19" t="n">
        <v>565</v>
      </c>
      <c r="E26" s="18" t="n">
        <v>73.9847468</v>
      </c>
      <c r="F26" s="20" t="n">
        <v>1.77893703</v>
      </c>
      <c r="G26" s="18" t="n">
        <v>23.59046128</v>
      </c>
      <c r="H26" s="20" t="n">
        <v>1.89297812</v>
      </c>
      <c r="I26" s="18" t="n">
        <v>2.26671095</v>
      </c>
      <c r="J26" s="20" t="n">
        <v>0.55879589</v>
      </c>
      <c r="K26" s="18" t="n">
        <v>0</v>
      </c>
      <c r="L26" s="20" t="n">
        <v>0</v>
      </c>
      <c r="M26" s="18" t="n">
        <v>0</v>
      </c>
      <c r="N26" s="20" t="n">
        <v>0</v>
      </c>
      <c r="O26" s="18" t="n">
        <v>0</v>
      </c>
      <c r="P26" s="20" t="n">
        <v>0</v>
      </c>
      <c r="Q26" s="18" t="n">
        <v>0</v>
      </c>
      <c r="R26" s="20" t="n">
        <v>0</v>
      </c>
      <c r="S26" s="18" t="n">
        <v>0.15808097</v>
      </c>
      <c r="T26" s="20" t="n">
        <v>0.15845336</v>
      </c>
    </row>
    <row r="27" spans="1:20">
      <c r="A27" s="15" t="s">
        <v>585</v>
      </c>
      <c r="B27" s="17" t="n">
        <v>2683</v>
      </c>
      <c r="C27" s="18">
        <f>(2121.0/B27*100)</f>
        <v/>
      </c>
      <c r="D27" s="19" t="n">
        <v>562</v>
      </c>
      <c r="E27" s="18" t="n">
        <v>76.88836178</v>
      </c>
      <c r="F27" s="20" t="n">
        <v>1.78121008</v>
      </c>
      <c r="G27" s="18" t="n">
        <v>19.13517354</v>
      </c>
      <c r="H27" s="20" t="n">
        <v>1.68935454</v>
      </c>
      <c r="I27" s="18" t="n">
        <v>2.7079884</v>
      </c>
      <c r="J27" s="20" t="n">
        <v>0.7179896</v>
      </c>
      <c r="K27" s="18" t="n">
        <v>0</v>
      </c>
      <c r="L27" s="20" t="n">
        <v>0</v>
      </c>
      <c r="M27" s="18" t="n">
        <v>0</v>
      </c>
      <c r="N27" s="20" t="n">
        <v>0</v>
      </c>
      <c r="O27" s="18" t="n">
        <v>0</v>
      </c>
      <c r="P27" s="20" t="n">
        <v>0</v>
      </c>
      <c r="Q27" s="18" t="n">
        <v>0</v>
      </c>
      <c r="R27" s="20" t="n">
        <v>0</v>
      </c>
      <c r="S27" s="18" t="n">
        <v>1.26847628</v>
      </c>
      <c r="T27" s="20" t="n">
        <v>0.40518113</v>
      </c>
    </row>
    <row r="28" spans="1:20">
      <c r="A28" s="15" t="s">
        <v>586</v>
      </c>
      <c r="B28" s="17" t="n">
        <v>3803</v>
      </c>
      <c r="C28" s="18">
        <f>(2944.0/B28*100)</f>
        <v/>
      </c>
      <c r="D28" s="19" t="n">
        <v>859</v>
      </c>
      <c r="E28" s="18" t="n">
        <v>83.33375387</v>
      </c>
      <c r="F28" s="20" t="n">
        <v>1.48446564</v>
      </c>
      <c r="G28" s="18" t="n">
        <v>13.95786512</v>
      </c>
      <c r="H28" s="20" t="n">
        <v>1.36348857</v>
      </c>
      <c r="I28" s="18" t="n">
        <v>1.92126124</v>
      </c>
      <c r="J28" s="20" t="n">
        <v>0.6197817799999999</v>
      </c>
      <c r="K28" s="18" t="n">
        <v>0</v>
      </c>
      <c r="L28" s="20" t="n">
        <v>0</v>
      </c>
      <c r="M28" s="18" t="n">
        <v>0.37584791</v>
      </c>
      <c r="N28" s="20" t="n">
        <v>0.23936159</v>
      </c>
      <c r="O28" s="18" t="n">
        <v>0</v>
      </c>
      <c r="P28" s="20" t="n">
        <v>0</v>
      </c>
      <c r="Q28" s="18" t="n">
        <v>0</v>
      </c>
      <c r="R28" s="20" t="n">
        <v>0</v>
      </c>
      <c r="S28" s="18" t="n">
        <v>0.41127185</v>
      </c>
      <c r="T28" s="20" t="n">
        <v>0.24570144</v>
      </c>
    </row>
    <row r="29" spans="1:20">
      <c r="A29" s="15" t="s">
        <v>587</v>
      </c>
      <c r="B29" s="17" t="n">
        <v>2700</v>
      </c>
      <c r="C29" s="18">
        <f>(2113.0/B29*100)</f>
        <v/>
      </c>
      <c r="D29" s="19" t="n">
        <v>587</v>
      </c>
      <c r="E29" s="18" t="n">
        <v>68.22579334</v>
      </c>
      <c r="F29" s="20" t="n">
        <v>1.99295537</v>
      </c>
      <c r="G29" s="18" t="n">
        <v>28.01931243</v>
      </c>
      <c r="H29" s="20" t="n">
        <v>2.03759685</v>
      </c>
      <c r="I29" s="18" t="n">
        <v>2.29506485</v>
      </c>
      <c r="J29" s="20" t="n">
        <v>0.76584861</v>
      </c>
      <c r="K29" s="18" t="n">
        <v>0</v>
      </c>
      <c r="L29" s="20" t="n">
        <v>0</v>
      </c>
      <c r="M29" s="18" t="n">
        <v>0.36541936</v>
      </c>
      <c r="N29" s="20" t="n">
        <v>0.22230841</v>
      </c>
      <c r="O29" s="18" t="n">
        <v>0</v>
      </c>
      <c r="P29" s="20" t="n">
        <v>0</v>
      </c>
      <c r="Q29" s="18" t="n">
        <v>0</v>
      </c>
      <c r="R29" s="20" t="n">
        <v>0</v>
      </c>
      <c r="S29" s="18" t="n">
        <v>1.09441002</v>
      </c>
      <c r="T29" s="20" t="n">
        <v>0.55468068</v>
      </c>
    </row>
    <row r="30" spans="1:20">
      <c r="A30" s="15" t="s">
        <v>588</v>
      </c>
      <c r="B30" s="17" t="n">
        <v>2257</v>
      </c>
      <c r="C30" s="18">
        <f>(1770.0/B30*100)</f>
        <v/>
      </c>
      <c r="D30" s="19" t="n">
        <v>487</v>
      </c>
      <c r="E30" s="18" t="n">
        <v>65.94174615999999</v>
      </c>
      <c r="F30" s="20" t="n">
        <v>2.11088228</v>
      </c>
      <c r="G30" s="18" t="n">
        <v>24.07582957</v>
      </c>
      <c r="H30" s="20" t="n">
        <v>1.86550942</v>
      </c>
      <c r="I30" s="18" t="n">
        <v>8.41245567</v>
      </c>
      <c r="J30" s="20" t="n">
        <v>1.49381323</v>
      </c>
      <c r="K30" s="18" t="n">
        <v>0</v>
      </c>
      <c r="L30" s="20" t="n">
        <v>0</v>
      </c>
      <c r="M30" s="18" t="n">
        <v>0.19741987</v>
      </c>
      <c r="N30" s="20" t="n">
        <v>0.17133433</v>
      </c>
      <c r="O30" s="18" t="n">
        <v>0</v>
      </c>
      <c r="P30" s="20" t="n">
        <v>0</v>
      </c>
      <c r="Q30" s="18" t="n">
        <v>0</v>
      </c>
      <c r="R30" s="20" t="n">
        <v>0</v>
      </c>
      <c r="S30" s="18" t="n">
        <v>1.37254874</v>
      </c>
      <c r="T30" s="20" t="n">
        <v>0.54890512</v>
      </c>
    </row>
    <row r="31" spans="1:20">
      <c r="A31" s="15" t="s">
        <v>589</v>
      </c>
      <c r="B31" s="17" t="n">
        <v>2706</v>
      </c>
      <c r="C31" s="18">
        <f>(2106.0/B31*100)</f>
        <v/>
      </c>
      <c r="D31" s="19" t="n">
        <v>600</v>
      </c>
      <c r="E31" s="18" t="n">
        <v>66.58538176</v>
      </c>
      <c r="F31" s="20" t="n">
        <v>1.83297914</v>
      </c>
      <c r="G31" s="18" t="n">
        <v>27.49614544</v>
      </c>
      <c r="H31" s="20" t="n">
        <v>1.62138358</v>
      </c>
      <c r="I31" s="18" t="n">
        <v>4.38635296</v>
      </c>
      <c r="J31" s="20" t="n">
        <v>0.86260031</v>
      </c>
      <c r="K31" s="18" t="n">
        <v>0</v>
      </c>
      <c r="L31" s="20" t="n">
        <v>0</v>
      </c>
      <c r="M31" s="18" t="n">
        <v>0.31818648</v>
      </c>
      <c r="N31" s="20" t="n">
        <v>0.22025448</v>
      </c>
      <c r="O31" s="18" t="n">
        <v>0</v>
      </c>
      <c r="P31" s="20" t="n">
        <v>0</v>
      </c>
      <c r="Q31" s="18" t="n">
        <v>0</v>
      </c>
      <c r="R31" s="20" t="n">
        <v>0</v>
      </c>
      <c r="S31" s="18" t="n">
        <v>1.21393336</v>
      </c>
      <c r="T31" s="20" t="n">
        <v>0.47218985</v>
      </c>
    </row>
    <row r="32" spans="1:20">
      <c r="A32" s="15" t="s">
        <v>590</v>
      </c>
      <c r="B32" s="17" t="n">
        <v>2209</v>
      </c>
      <c r="C32" s="18">
        <f>(1731.0/B32*100)</f>
        <v/>
      </c>
      <c r="D32" s="19" t="n">
        <v>478</v>
      </c>
      <c r="E32" s="18" t="n">
        <v>66.00120947000001</v>
      </c>
      <c r="F32" s="20" t="n">
        <v>2.23397177</v>
      </c>
      <c r="G32" s="18" t="n">
        <v>30.61517728</v>
      </c>
      <c r="H32" s="20" t="n">
        <v>1.93490351</v>
      </c>
      <c r="I32" s="18" t="n">
        <v>2.93810729</v>
      </c>
      <c r="J32" s="20" t="n">
        <v>0.71034356</v>
      </c>
      <c r="K32" s="18" t="n">
        <v>0</v>
      </c>
      <c r="L32" s="20" t="n">
        <v>0</v>
      </c>
      <c r="M32" s="18" t="n">
        <v>0</v>
      </c>
      <c r="N32" s="20" t="n">
        <v>0</v>
      </c>
      <c r="O32" s="18" t="n">
        <v>0</v>
      </c>
      <c r="P32" s="20" t="n">
        <v>0</v>
      </c>
      <c r="Q32" s="18" t="n">
        <v>0</v>
      </c>
      <c r="R32" s="20" t="n">
        <v>0</v>
      </c>
      <c r="S32" s="18" t="n">
        <v>0.44550596</v>
      </c>
      <c r="T32" s="20" t="n">
        <v>0.32376832</v>
      </c>
    </row>
    <row r="33" spans="1:20">
      <c r="A33" s="15" t="s">
        <v>591</v>
      </c>
      <c r="B33" s="17" t="n">
        <v>3651</v>
      </c>
      <c r="C33" s="18">
        <f>(2837.0/B33*100)</f>
        <v/>
      </c>
      <c r="D33" s="19" t="n">
        <v>814</v>
      </c>
      <c r="E33" s="18" t="n">
        <v>78.15027675</v>
      </c>
      <c r="F33" s="20" t="n">
        <v>1.72726139</v>
      </c>
      <c r="G33" s="18" t="n">
        <v>18.51390648</v>
      </c>
      <c r="H33" s="20" t="n">
        <v>1.59033698</v>
      </c>
      <c r="I33" s="18" t="n">
        <v>2.9502037</v>
      </c>
      <c r="J33" s="20" t="n">
        <v>0.67001144</v>
      </c>
      <c r="K33" s="18" t="n">
        <v>0</v>
      </c>
      <c r="L33" s="20" t="n">
        <v>0</v>
      </c>
      <c r="M33" s="18" t="n">
        <v>0</v>
      </c>
      <c r="N33" s="20" t="n">
        <v>0</v>
      </c>
      <c r="O33" s="18" t="n">
        <v>0</v>
      </c>
      <c r="P33" s="20" t="n">
        <v>0</v>
      </c>
      <c r="Q33" s="18" t="n">
        <v>0</v>
      </c>
      <c r="R33" s="20" t="n">
        <v>0</v>
      </c>
      <c r="S33" s="18" t="n">
        <v>0.38561308</v>
      </c>
      <c r="T33" s="20" t="n">
        <v>0.24793668</v>
      </c>
    </row>
    <row r="34" spans="1:20">
      <c r="A34" s="15" t="s">
        <v>592</v>
      </c>
      <c r="B34" s="17" t="n">
        <v>3035</v>
      </c>
      <c r="C34" s="18">
        <f>(2394.0/B34*100)</f>
        <v/>
      </c>
      <c r="D34" s="19" t="n">
        <v>641</v>
      </c>
      <c r="E34" s="18" t="n">
        <v>67.02363012000001</v>
      </c>
      <c r="F34" s="20" t="n">
        <v>1.90650743</v>
      </c>
      <c r="G34" s="18" t="n">
        <v>29.3250165</v>
      </c>
      <c r="H34" s="20" t="n">
        <v>1.89663144</v>
      </c>
      <c r="I34" s="18" t="n">
        <v>2.89020829</v>
      </c>
      <c r="J34" s="20" t="n">
        <v>0.64698246</v>
      </c>
      <c r="K34" s="18" t="n">
        <v>0</v>
      </c>
      <c r="L34" s="20" t="n">
        <v>0</v>
      </c>
      <c r="M34" s="18" t="n">
        <v>0.12398743</v>
      </c>
      <c r="N34" s="20" t="n">
        <v>0.12385565</v>
      </c>
      <c r="O34" s="18" t="n">
        <v>0</v>
      </c>
      <c r="P34" s="20" t="n">
        <v>0</v>
      </c>
      <c r="Q34" s="18" t="n">
        <v>0</v>
      </c>
      <c r="R34" s="20" t="n">
        <v>0</v>
      </c>
      <c r="S34" s="18" t="n">
        <v>0.63715766</v>
      </c>
      <c r="T34" s="20" t="n">
        <v>0.29375548</v>
      </c>
    </row>
    <row r="35" spans="1:20">
      <c r="A35" s="15" t="s">
        <v>593</v>
      </c>
      <c r="B35" s="17" t="n">
        <v>2901</v>
      </c>
      <c r="C35" s="18">
        <f>(2261.0/B35*100)</f>
        <v/>
      </c>
      <c r="D35" s="19" t="n">
        <v>640</v>
      </c>
      <c r="E35" s="18" t="n">
        <v>67.15685184</v>
      </c>
      <c r="F35" s="20" t="n">
        <v>2.51909221</v>
      </c>
      <c r="G35" s="18" t="n">
        <v>28.53915535</v>
      </c>
      <c r="H35" s="20" t="n">
        <v>2.44098879</v>
      </c>
      <c r="I35" s="18" t="n">
        <v>3.84707902</v>
      </c>
      <c r="J35" s="20" t="n">
        <v>0.9583119</v>
      </c>
      <c r="K35" s="18" t="n">
        <v>0</v>
      </c>
      <c r="L35" s="20" t="n">
        <v>0</v>
      </c>
      <c r="M35" s="18" t="n">
        <v>0</v>
      </c>
      <c r="N35" s="20" t="n">
        <v>0</v>
      </c>
      <c r="O35" s="18" t="n">
        <v>0</v>
      </c>
      <c r="P35" s="20" t="n">
        <v>0</v>
      </c>
      <c r="Q35" s="18" t="n">
        <v>0</v>
      </c>
      <c r="R35" s="20" t="n">
        <v>0</v>
      </c>
      <c r="S35" s="18" t="n">
        <v>0.45691379</v>
      </c>
      <c r="T35" s="20" t="n">
        <v>0.2322046</v>
      </c>
    </row>
    <row r="36" spans="1:20">
      <c r="A36" s="15" t="s">
        <v>594</v>
      </c>
      <c r="B36" s="17" t="n">
        <v>3404</v>
      </c>
      <c r="C36" s="18">
        <f>(2619.0/B36*100)</f>
        <v/>
      </c>
      <c r="D36" s="19" t="n">
        <v>785</v>
      </c>
      <c r="E36" s="18" t="n">
        <v>80.42729792</v>
      </c>
      <c r="F36" s="20" t="n">
        <v>1.59659436</v>
      </c>
      <c r="G36" s="18" t="n">
        <v>18.0270708</v>
      </c>
      <c r="H36" s="20" t="n">
        <v>1.56553723</v>
      </c>
      <c r="I36" s="18" t="n">
        <v>0.8036608</v>
      </c>
      <c r="J36" s="20" t="n">
        <v>0.31914723</v>
      </c>
      <c r="K36" s="18" t="n">
        <v>0</v>
      </c>
      <c r="L36" s="20" t="n">
        <v>0</v>
      </c>
      <c r="M36" s="18" t="n">
        <v>0</v>
      </c>
      <c r="N36" s="20" t="n">
        <v>0</v>
      </c>
      <c r="O36" s="18" t="n">
        <v>0</v>
      </c>
      <c r="P36" s="20" t="n">
        <v>0</v>
      </c>
      <c r="Q36" s="18" t="n">
        <v>0</v>
      </c>
      <c r="R36" s="20" t="n">
        <v>0</v>
      </c>
      <c r="S36" s="18" t="n">
        <v>0.74197047</v>
      </c>
      <c r="T36" s="20" t="n">
        <v>0.3326223</v>
      </c>
    </row>
    <row r="37" spans="1:20">
      <c r="A37" s="15" t="s">
        <v>595</v>
      </c>
      <c r="B37" s="17" t="n">
        <v>2731</v>
      </c>
      <c r="C37" s="18">
        <f>(2142.0/B37*100)</f>
        <v/>
      </c>
      <c r="D37" s="19" t="n">
        <v>589</v>
      </c>
      <c r="E37" s="18" t="n">
        <v>65.84023635</v>
      </c>
      <c r="F37" s="20" t="n">
        <v>2.02406294</v>
      </c>
      <c r="G37" s="18" t="n">
        <v>25.95873587</v>
      </c>
      <c r="H37" s="20" t="n">
        <v>1.94741957</v>
      </c>
      <c r="I37" s="18" t="n">
        <v>3.90539728</v>
      </c>
      <c r="J37" s="20" t="n">
        <v>0.68677425</v>
      </c>
      <c r="K37" s="18" t="n">
        <v>0</v>
      </c>
      <c r="L37" s="20" t="n">
        <v>0</v>
      </c>
      <c r="M37" s="18" t="n">
        <v>0.14287761</v>
      </c>
      <c r="N37" s="20" t="n">
        <v>0.14240744</v>
      </c>
      <c r="O37" s="18" t="n">
        <v>0</v>
      </c>
      <c r="P37" s="20" t="n">
        <v>0</v>
      </c>
      <c r="Q37" s="18" t="n">
        <v>0</v>
      </c>
      <c r="R37" s="20" t="n">
        <v>0</v>
      </c>
      <c r="S37" s="18" t="n">
        <v>4.1527529</v>
      </c>
      <c r="T37" s="20" t="n">
        <v>0.84342613</v>
      </c>
    </row>
    <row r="38" spans="1:20">
      <c r="A38" s="15" t="s">
        <v>596</v>
      </c>
      <c r="B38" s="17" t="n">
        <v>2807</v>
      </c>
      <c r="C38" s="18">
        <f>(2177.0/B38*100)</f>
        <v/>
      </c>
      <c r="D38" s="19" t="n">
        <v>630</v>
      </c>
      <c r="E38" s="18" t="n">
        <v>71.42196140999999</v>
      </c>
      <c r="F38" s="20" t="n">
        <v>2.16452729</v>
      </c>
      <c r="G38" s="18" t="n">
        <v>24.46081047</v>
      </c>
      <c r="H38" s="20" t="n">
        <v>2.03545974</v>
      </c>
      <c r="I38" s="18" t="n">
        <v>3.13983372</v>
      </c>
      <c r="J38" s="20" t="n">
        <v>0.82202041</v>
      </c>
      <c r="K38" s="18" t="n">
        <v>0</v>
      </c>
      <c r="L38" s="20" t="n">
        <v>0</v>
      </c>
      <c r="M38" s="18" t="n">
        <v>0.21626695</v>
      </c>
      <c r="N38" s="20" t="n">
        <v>0.22623392</v>
      </c>
      <c r="O38" s="18" t="n">
        <v>0</v>
      </c>
      <c r="P38" s="20" t="n">
        <v>0</v>
      </c>
      <c r="Q38" s="18" t="n">
        <v>0</v>
      </c>
      <c r="R38" s="20" t="n">
        <v>0</v>
      </c>
      <c r="S38" s="18" t="n">
        <v>0.76112745</v>
      </c>
      <c r="T38" s="20" t="n">
        <v>0.32608832</v>
      </c>
    </row>
    <row r="39" spans="1:20">
      <c r="A39" s="15" t="s">
        <v>597</v>
      </c>
      <c r="B39" s="17" t="n">
        <v>2938</v>
      </c>
      <c r="C39" s="18">
        <f>(2280.0/B39*100)</f>
        <v/>
      </c>
      <c r="D39" s="19" t="n">
        <v>658</v>
      </c>
      <c r="E39" s="18" t="n">
        <v>85.05012554</v>
      </c>
      <c r="F39" s="20" t="n">
        <v>1.43144197</v>
      </c>
      <c r="G39" s="18" t="n">
        <v>10.55230378</v>
      </c>
      <c r="H39" s="20" t="n">
        <v>1.18932745</v>
      </c>
      <c r="I39" s="18" t="n">
        <v>3.88288668</v>
      </c>
      <c r="J39" s="20" t="n">
        <v>0.88353671</v>
      </c>
      <c r="K39" s="18" t="n">
        <v>0</v>
      </c>
      <c r="L39" s="20" t="n">
        <v>0</v>
      </c>
      <c r="M39" s="18" t="n">
        <v>0.14296155</v>
      </c>
      <c r="N39" s="20" t="n">
        <v>0.1436314</v>
      </c>
      <c r="O39" s="18" t="n">
        <v>0</v>
      </c>
      <c r="P39" s="20" t="n">
        <v>0</v>
      </c>
      <c r="Q39" s="18" t="n">
        <v>0</v>
      </c>
      <c r="R39" s="20" t="n">
        <v>0</v>
      </c>
      <c r="S39" s="18" t="n">
        <v>0.37172246</v>
      </c>
      <c r="T39" s="20" t="n">
        <v>0.21182036</v>
      </c>
    </row>
    <row r="40" spans="1:20">
      <c r="A40" s="15" t="s">
        <v>598</v>
      </c>
      <c r="B40" s="17" t="n">
        <v>6922</v>
      </c>
      <c r="C40" s="18">
        <f>(5387.0/B40*100)</f>
        <v/>
      </c>
      <c r="D40" s="19" t="n">
        <v>1535</v>
      </c>
      <c r="E40" s="18" t="n">
        <v>68.38812446</v>
      </c>
      <c r="F40" s="20" t="n">
        <v>2.16266787</v>
      </c>
      <c r="G40" s="18" t="n">
        <v>23.11775621</v>
      </c>
      <c r="H40" s="20" t="n">
        <v>2.03317021</v>
      </c>
      <c r="I40" s="18" t="n">
        <v>7.10666921</v>
      </c>
      <c r="J40" s="20" t="n">
        <v>1.14315504</v>
      </c>
      <c r="K40" s="18" t="n">
        <v>0</v>
      </c>
      <c r="L40" s="20" t="n">
        <v>0</v>
      </c>
      <c r="M40" s="18" t="n">
        <v>0.08436966</v>
      </c>
      <c r="N40" s="20" t="n">
        <v>0.08588572</v>
      </c>
      <c r="O40" s="18" t="n">
        <v>0</v>
      </c>
      <c r="P40" s="20" t="n">
        <v>0</v>
      </c>
      <c r="Q40" s="18" t="n">
        <v>0</v>
      </c>
      <c r="R40" s="20" t="n">
        <v>0</v>
      </c>
      <c r="S40" s="18" t="n">
        <v>1.30308047</v>
      </c>
      <c r="T40" s="20" t="n">
        <v>0.40466711</v>
      </c>
    </row>
    <row r="41" spans="1:20">
      <c r="A41" s="15" t="s">
        <v>599</v>
      </c>
      <c r="B41" s="17" t="n">
        <v>2854</v>
      </c>
      <c r="C41" s="18">
        <f>(2250.0/B41*100)</f>
        <v/>
      </c>
      <c r="D41" s="19" t="n">
        <v>604</v>
      </c>
      <c r="E41" s="18" t="n">
        <v>70.89955757</v>
      </c>
      <c r="F41" s="20" t="n">
        <v>1.75320938</v>
      </c>
      <c r="G41" s="18" t="n">
        <v>22.74762787</v>
      </c>
      <c r="H41" s="20" t="n">
        <v>1.72938068</v>
      </c>
      <c r="I41" s="18" t="n">
        <v>5.93954479</v>
      </c>
      <c r="J41" s="20" t="n">
        <v>1.07128597</v>
      </c>
      <c r="K41" s="18" t="n">
        <v>0</v>
      </c>
      <c r="L41" s="20" t="n">
        <v>0</v>
      </c>
      <c r="M41" s="18" t="n">
        <v>0.18836101</v>
      </c>
      <c r="N41" s="20" t="n">
        <v>0.19005603</v>
      </c>
      <c r="O41" s="18" t="n">
        <v>0</v>
      </c>
      <c r="P41" s="20" t="n">
        <v>0</v>
      </c>
      <c r="Q41" s="18" t="n">
        <v>0</v>
      </c>
      <c r="R41" s="20" t="n">
        <v>0</v>
      </c>
      <c r="S41" s="18" t="n">
        <v>0.22490876</v>
      </c>
      <c r="T41" s="20" t="n">
        <v>0.25038188</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12073</v>
      </c>
      <c r="C46" s="18">
        <f>(9717.0/B46*100)</f>
        <v/>
      </c>
      <c r="D46" s="19" t="n">
        <v>2356</v>
      </c>
      <c r="E46" s="18" t="n">
        <v>75.53182081</v>
      </c>
      <c r="F46" s="20" t="n">
        <v>0.9985127</v>
      </c>
      <c r="G46" s="18" t="n">
        <v>19.08102878</v>
      </c>
      <c r="H46" s="20" t="n">
        <v>0.97560075</v>
      </c>
      <c r="I46" s="18" t="n">
        <v>1.72442087</v>
      </c>
      <c r="J46" s="20" t="n">
        <v>0.35338439</v>
      </c>
      <c r="K46" s="18" t="n">
        <v>0</v>
      </c>
      <c r="L46" s="20" t="n">
        <v>0</v>
      </c>
      <c r="M46" s="18" t="n">
        <v>0.83738301</v>
      </c>
      <c r="N46" s="20" t="n">
        <v>0.29581454</v>
      </c>
      <c r="O46" s="18" t="n">
        <v>0</v>
      </c>
      <c r="P46" s="20" t="n">
        <v>0</v>
      </c>
      <c r="Q46" s="18" t="n">
        <v>0</v>
      </c>
      <c r="R46" s="20" t="n">
        <v>0</v>
      </c>
      <c r="S46" s="18" t="n">
        <v>2.82534653</v>
      </c>
      <c r="T46" s="20" t="n">
        <v>0.47620735</v>
      </c>
    </row>
    <row r="47" spans="1:20">
      <c r="A47" s="15" t="s">
        <v>606</v>
      </c>
      <c r="B47" s="17" t="n">
        <v>2823</v>
      </c>
      <c r="C47" s="18">
        <f>(2185.0/B47*100)</f>
        <v/>
      </c>
      <c r="D47" s="19" t="n">
        <v>638</v>
      </c>
      <c r="E47" s="18" t="n">
        <v>73.29930157</v>
      </c>
      <c r="F47" s="20" t="n">
        <v>2.02068599</v>
      </c>
      <c r="G47" s="18" t="n">
        <v>24.38914898</v>
      </c>
      <c r="H47" s="20" t="n">
        <v>1.77688893</v>
      </c>
      <c r="I47" s="18" t="n">
        <v>1.07190169</v>
      </c>
      <c r="J47" s="20" t="n">
        <v>0.39879161</v>
      </c>
      <c r="K47" s="18" t="n">
        <v>0</v>
      </c>
      <c r="L47" s="20" t="n">
        <v>0</v>
      </c>
      <c r="M47" s="18" t="n">
        <v>0.47871384</v>
      </c>
      <c r="N47" s="20" t="n">
        <v>0.2969934</v>
      </c>
      <c r="O47" s="18" t="n">
        <v>0</v>
      </c>
      <c r="P47" s="20" t="n">
        <v>0</v>
      </c>
      <c r="Q47" s="18" t="n">
        <v>0</v>
      </c>
      <c r="R47" s="20" t="n">
        <v>0</v>
      </c>
      <c r="S47" s="18" t="n">
        <v>0.76093391</v>
      </c>
      <c r="T47" s="20" t="n">
        <v>0.28964055</v>
      </c>
    </row>
    <row r="48" spans="1:20">
      <c r="A48" s="15" t="s">
        <v>607</v>
      </c>
      <c r="B48" s="17" t="n">
        <v>4682</v>
      </c>
      <c r="C48" s="18">
        <f>(3680.0/B48*100)</f>
        <v/>
      </c>
      <c r="D48" s="19" t="n">
        <v>1002</v>
      </c>
      <c r="E48" s="18" t="n">
        <v>58.30910927</v>
      </c>
      <c r="F48" s="20" t="n">
        <v>2.3026827</v>
      </c>
      <c r="G48" s="18" t="n">
        <v>32.24691476</v>
      </c>
      <c r="H48" s="20" t="n">
        <v>1.73659813</v>
      </c>
      <c r="I48" s="18" t="n">
        <v>8.21730174</v>
      </c>
      <c r="J48" s="20" t="n">
        <v>1.28580742</v>
      </c>
      <c r="K48" s="18" t="n">
        <v>0</v>
      </c>
      <c r="L48" s="20" t="n">
        <v>0</v>
      </c>
      <c r="M48" s="18" t="n">
        <v>0.99329812</v>
      </c>
      <c r="N48" s="20" t="n">
        <v>0.45160822</v>
      </c>
      <c r="O48" s="18" t="n">
        <v>0</v>
      </c>
      <c r="P48" s="20" t="n">
        <v>0</v>
      </c>
      <c r="Q48" s="18" t="n">
        <v>0</v>
      </c>
      <c r="R48" s="20" t="n">
        <v>0</v>
      </c>
      <c r="S48" s="18" t="n">
        <v>0.23337612</v>
      </c>
      <c r="T48" s="20" t="n">
        <v>0.1552341</v>
      </c>
    </row>
    <row r="49" spans="1:20">
      <c r="A49" s="15" t="s">
        <v>608</v>
      </c>
      <c r="B49" s="17" t="n">
        <v>6158</v>
      </c>
      <c r="C49" s="18">
        <f>(4798.0/B49*100)</f>
        <v/>
      </c>
      <c r="D49" s="19" t="n">
        <v>1360</v>
      </c>
      <c r="E49" s="18" t="n">
        <v>73.52002517</v>
      </c>
      <c r="F49" s="20" t="n">
        <v>1.56579966</v>
      </c>
      <c r="G49" s="18" t="n">
        <v>23.26943291</v>
      </c>
      <c r="H49" s="20" t="n">
        <v>1.53951234</v>
      </c>
      <c r="I49" s="18" t="n">
        <v>2.07051252</v>
      </c>
      <c r="J49" s="20" t="n">
        <v>0.42530029</v>
      </c>
      <c r="K49" s="18" t="n">
        <v>0</v>
      </c>
      <c r="L49" s="20" t="n">
        <v>0</v>
      </c>
      <c r="M49" s="18" t="n">
        <v>0.48658539</v>
      </c>
      <c r="N49" s="20" t="n">
        <v>0.24510459</v>
      </c>
      <c r="O49" s="18" t="n">
        <v>0</v>
      </c>
      <c r="P49" s="20" t="n">
        <v>0</v>
      </c>
      <c r="Q49" s="18" t="n">
        <v>0</v>
      </c>
      <c r="R49" s="20" t="n">
        <v>0</v>
      </c>
      <c r="S49" s="18" t="n">
        <v>0.65344401</v>
      </c>
      <c r="T49" s="20" t="n">
        <v>0.35264141</v>
      </c>
    </row>
    <row r="50" spans="1:20">
      <c r="A50" s="15" t="s">
        <v>609</v>
      </c>
      <c r="B50" s="17" t="n">
        <v>3494</v>
      </c>
      <c r="C50" s="18">
        <f>(2804.0/B50*100)</f>
        <v/>
      </c>
      <c r="D50" s="19" t="n">
        <v>690</v>
      </c>
      <c r="E50" s="18" t="n">
        <v>82.28945290999999</v>
      </c>
      <c r="F50" s="20" t="n">
        <v>1.79562846</v>
      </c>
      <c r="G50" s="18" t="n">
        <v>14.66640438</v>
      </c>
      <c r="H50" s="20" t="n">
        <v>1.61160974</v>
      </c>
      <c r="I50" s="18" t="n">
        <v>1.62986461</v>
      </c>
      <c r="J50" s="20" t="n">
        <v>0.5661056</v>
      </c>
      <c r="K50" s="18" t="n">
        <v>0</v>
      </c>
      <c r="L50" s="20" t="n">
        <v>0</v>
      </c>
      <c r="M50" s="18" t="n">
        <v>0.14121463</v>
      </c>
      <c r="N50" s="20" t="n">
        <v>0.1497512</v>
      </c>
      <c r="O50" s="18" t="n">
        <v>0</v>
      </c>
      <c r="P50" s="20" t="n">
        <v>0</v>
      </c>
      <c r="Q50" s="18" t="n">
        <v>0</v>
      </c>
      <c r="R50" s="20" t="n">
        <v>0</v>
      </c>
      <c r="S50" s="18" t="n">
        <v>1.27306347</v>
      </c>
      <c r="T50" s="20" t="n">
        <v>0.46789357</v>
      </c>
    </row>
    <row r="51" spans="1:20">
      <c r="A51" s="15" t="s">
        <v>610</v>
      </c>
      <c r="B51" s="17" t="n">
        <v>3013</v>
      </c>
      <c r="C51" s="18">
        <f>(2363.0/B51*100)</f>
        <v/>
      </c>
      <c r="D51" s="19" t="n">
        <v>650</v>
      </c>
      <c r="E51" s="18" t="n">
        <v>74.01601972</v>
      </c>
      <c r="F51" s="20" t="n">
        <v>1.34205364</v>
      </c>
      <c r="G51" s="18" t="n">
        <v>23.48198345</v>
      </c>
      <c r="H51" s="20" t="n">
        <v>1.2883</v>
      </c>
      <c r="I51" s="18" t="n">
        <v>1.30464228</v>
      </c>
      <c r="J51" s="20" t="n">
        <v>0.5105046600000001</v>
      </c>
      <c r="K51" s="18" t="n">
        <v>0</v>
      </c>
      <c r="L51" s="20" t="n">
        <v>0</v>
      </c>
      <c r="M51" s="18" t="n">
        <v>0</v>
      </c>
      <c r="N51" s="20" t="n">
        <v>0</v>
      </c>
      <c r="O51" s="18" t="n">
        <v>0</v>
      </c>
      <c r="P51" s="20" t="n">
        <v>0</v>
      </c>
      <c r="Q51" s="18" t="n">
        <v>0</v>
      </c>
      <c r="R51" s="20" t="n">
        <v>0</v>
      </c>
      <c r="S51" s="18" t="n">
        <v>1.19735454</v>
      </c>
      <c r="T51" s="20" t="n">
        <v>0.41407256</v>
      </c>
    </row>
    <row r="52" spans="1:20">
      <c r="A52" s="15" t="s">
        <v>611</v>
      </c>
      <c r="B52" s="17" t="n">
        <v>2760</v>
      </c>
      <c r="C52" s="18">
        <f>(2156.0/B52*100)</f>
        <v/>
      </c>
      <c r="D52" s="19" t="n">
        <v>604</v>
      </c>
      <c r="E52" s="18" t="n">
        <v>76.31772714</v>
      </c>
      <c r="F52" s="20" t="n">
        <v>1.73045713</v>
      </c>
      <c r="G52" s="18" t="n">
        <v>21.71401772</v>
      </c>
      <c r="H52" s="20" t="n">
        <v>1.70208457</v>
      </c>
      <c r="I52" s="18" t="n">
        <v>1.03296767</v>
      </c>
      <c r="J52" s="20" t="n">
        <v>0.42979699</v>
      </c>
      <c r="K52" s="18" t="n">
        <v>0</v>
      </c>
      <c r="L52" s="20" t="n">
        <v>0</v>
      </c>
      <c r="M52" s="18" t="n">
        <v>0</v>
      </c>
      <c r="N52" s="20" t="n">
        <v>0</v>
      </c>
      <c r="O52" s="18" t="n">
        <v>0</v>
      </c>
      <c r="P52" s="20" t="n">
        <v>0</v>
      </c>
      <c r="Q52" s="18" t="n">
        <v>0</v>
      </c>
      <c r="R52" s="20" t="n">
        <v>0</v>
      </c>
      <c r="S52" s="18" t="n">
        <v>0.93528747</v>
      </c>
      <c r="T52" s="20" t="n">
        <v>0.38209553</v>
      </c>
    </row>
    <row r="53" spans="1:20">
      <c r="A53" s="15" t="s">
        <v>612</v>
      </c>
      <c r="B53" s="17" t="n">
        <v>2474</v>
      </c>
      <c r="C53" s="18">
        <f>(1887.0/B53*100)</f>
        <v/>
      </c>
      <c r="D53" s="19" t="n">
        <v>587</v>
      </c>
      <c r="E53" s="18" t="n">
        <v>74.42374186000001</v>
      </c>
      <c r="F53" s="20" t="n">
        <v>1.77746154</v>
      </c>
      <c r="G53" s="18" t="n">
        <v>12.65109895</v>
      </c>
      <c r="H53" s="20" t="n">
        <v>1.42834293</v>
      </c>
      <c r="I53" s="18" t="n">
        <v>2.44589509</v>
      </c>
      <c r="J53" s="20" t="n">
        <v>0.72112247</v>
      </c>
      <c r="K53" s="18" t="n">
        <v>0</v>
      </c>
      <c r="L53" s="20" t="n">
        <v>0</v>
      </c>
      <c r="M53" s="18" t="n">
        <v>7.10262343</v>
      </c>
      <c r="N53" s="20" t="n">
        <v>1.09491361</v>
      </c>
      <c r="O53" s="18" t="n">
        <v>0</v>
      </c>
      <c r="P53" s="20" t="n">
        <v>0</v>
      </c>
      <c r="Q53" s="18" t="n">
        <v>0</v>
      </c>
      <c r="R53" s="20" t="n">
        <v>0</v>
      </c>
      <c r="S53" s="18" t="n">
        <v>3.37664066</v>
      </c>
      <c r="T53" s="20" t="n">
        <v>0.7670297</v>
      </c>
    </row>
    <row r="54" spans="1:20">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2675</v>
      </c>
      <c r="C55" s="18">
        <f>(2068.0/B55*100)</f>
        <v/>
      </c>
      <c r="D55" s="19" t="n">
        <v>607</v>
      </c>
      <c r="E55" s="18" t="n">
        <v>68.50967072</v>
      </c>
      <c r="F55" s="20" t="n">
        <v>2.08095353</v>
      </c>
      <c r="G55" s="18" t="n">
        <v>22.68007511</v>
      </c>
      <c r="H55" s="20" t="n">
        <v>2.00425733</v>
      </c>
      <c r="I55" s="18" t="n">
        <v>8.37671589</v>
      </c>
      <c r="J55" s="20" t="n">
        <v>1.00110764</v>
      </c>
      <c r="K55" s="18" t="n">
        <v>0</v>
      </c>
      <c r="L55" s="20" t="n">
        <v>0</v>
      </c>
      <c r="M55" s="18" t="n">
        <v>0</v>
      </c>
      <c r="N55" s="20" t="n">
        <v>0</v>
      </c>
      <c r="O55" s="18" t="n">
        <v>0</v>
      </c>
      <c r="P55" s="20" t="n">
        <v>0</v>
      </c>
      <c r="Q55" s="18" t="n">
        <v>0</v>
      </c>
      <c r="R55" s="20" t="n">
        <v>0</v>
      </c>
      <c r="S55" s="18" t="n">
        <v>0.43353827</v>
      </c>
      <c r="T55" s="20" t="n">
        <v>0.25431858</v>
      </c>
    </row>
    <row r="56" spans="1:20">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3201</v>
      </c>
      <c r="C61" s="18">
        <f>(2489.0/B61*100)</f>
        <v/>
      </c>
      <c r="D61" s="19" t="n">
        <v>712</v>
      </c>
      <c r="E61" s="18" t="n">
        <v>63.16577067</v>
      </c>
      <c r="F61" s="20" t="n">
        <v>1.84585623</v>
      </c>
      <c r="G61" s="18" t="n">
        <v>32.19037825</v>
      </c>
      <c r="H61" s="20" t="n">
        <v>1.83064013</v>
      </c>
      <c r="I61" s="18" t="n">
        <v>3.67758016</v>
      </c>
      <c r="J61" s="20" t="n">
        <v>0.69785873</v>
      </c>
      <c r="K61" s="18" t="n">
        <v>0</v>
      </c>
      <c r="L61" s="20" t="n">
        <v>0</v>
      </c>
      <c r="M61" s="18" t="n">
        <v>0.66528483</v>
      </c>
      <c r="N61" s="20" t="n">
        <v>0.44245728</v>
      </c>
      <c r="O61" s="18" t="n">
        <v>0</v>
      </c>
      <c r="P61" s="20" t="n">
        <v>0</v>
      </c>
      <c r="Q61" s="18" t="n">
        <v>0</v>
      </c>
      <c r="R61" s="20" t="n">
        <v>0</v>
      </c>
      <c r="S61" s="18" t="n">
        <v>0.30098609</v>
      </c>
      <c r="T61" s="20" t="n">
        <v>0.21555177</v>
      </c>
    </row>
    <row r="62" spans="1:20">
      <c r="A62" s="15" t="s">
        <v>622</v>
      </c>
      <c r="B62" s="17" t="n">
        <v>2230</v>
      </c>
      <c r="C62" s="18">
        <f>(1744.0/B62*100)</f>
        <v/>
      </c>
      <c r="D62" s="19" t="n">
        <v>486</v>
      </c>
      <c r="E62" s="18" t="n">
        <v>70.09679534</v>
      </c>
      <c r="F62" s="20" t="n">
        <v>2.10225193</v>
      </c>
      <c r="G62" s="18" t="n">
        <v>23.25822106</v>
      </c>
      <c r="H62" s="20" t="n">
        <v>1.83791345</v>
      </c>
      <c r="I62" s="18" t="n">
        <v>6.44038639</v>
      </c>
      <c r="J62" s="20" t="n">
        <v>1.11152922</v>
      </c>
      <c r="K62" s="18" t="n">
        <v>0</v>
      </c>
      <c r="L62" s="20" t="n">
        <v>0</v>
      </c>
      <c r="M62" s="18" t="n">
        <v>0</v>
      </c>
      <c r="N62" s="20" t="n">
        <v>0</v>
      </c>
      <c r="O62" s="18" t="n">
        <v>0</v>
      </c>
      <c r="P62" s="20" t="n">
        <v>0</v>
      </c>
      <c r="Q62" s="18" t="n">
        <v>0</v>
      </c>
      <c r="R62" s="20" t="n">
        <v>0</v>
      </c>
      <c r="S62" s="18" t="n">
        <v>0.2045972</v>
      </c>
      <c r="T62" s="20" t="n">
        <v>0.20392834</v>
      </c>
    </row>
    <row r="63" spans="1:20">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2771</v>
      </c>
      <c r="C67" s="18">
        <f>(2152.0/B67*100)</f>
        <v/>
      </c>
      <c r="D67" s="19" t="n">
        <v>619</v>
      </c>
      <c r="E67" s="18" t="n">
        <v>72.88958958000001</v>
      </c>
      <c r="F67" s="20" t="n">
        <v>1.78539239</v>
      </c>
      <c r="G67" s="18" t="n">
        <v>23.10570291</v>
      </c>
      <c r="H67" s="20" t="n">
        <v>1.58006243</v>
      </c>
      <c r="I67" s="18" t="n">
        <v>0.43394293</v>
      </c>
      <c r="J67" s="20" t="n">
        <v>0.25057803</v>
      </c>
      <c r="K67" s="18" t="n">
        <v>0</v>
      </c>
      <c r="L67" s="20" t="n">
        <v>0</v>
      </c>
      <c r="M67" s="18" t="n">
        <v>0.44394412</v>
      </c>
      <c r="N67" s="20" t="n">
        <v>0.26046501</v>
      </c>
      <c r="O67" s="18" t="n">
        <v>0</v>
      </c>
      <c r="P67" s="20" t="n">
        <v>0</v>
      </c>
      <c r="Q67" s="18" t="n">
        <v>0</v>
      </c>
      <c r="R67" s="20" t="n">
        <v>0</v>
      </c>
      <c r="S67" s="18" t="n">
        <v>3.12682045</v>
      </c>
      <c r="T67" s="20" t="n">
        <v>0.7154647200000001</v>
      </c>
    </row>
    <row r="68" spans="1:20">
      <c r="A68" s="15" t="s">
        <v>628</v>
      </c>
      <c r="B68" s="17" t="n">
        <v>3460</v>
      </c>
      <c r="C68" s="18">
        <f>(2772.0/B68*100)</f>
        <v/>
      </c>
      <c r="D68" s="19" t="n">
        <v>688</v>
      </c>
      <c r="E68" s="18" t="n">
        <v>78.29484457</v>
      </c>
      <c r="F68" s="20" t="n">
        <v>1.64688755</v>
      </c>
      <c r="G68" s="18" t="n">
        <v>19.13681118</v>
      </c>
      <c r="H68" s="20" t="n">
        <v>1.64732232</v>
      </c>
      <c r="I68" s="18" t="n">
        <v>1.29721874</v>
      </c>
      <c r="J68" s="20" t="n">
        <v>0.48462085</v>
      </c>
      <c r="K68" s="18" t="n">
        <v>0</v>
      </c>
      <c r="L68" s="20" t="n">
        <v>0</v>
      </c>
      <c r="M68" s="18" t="n">
        <v>0.14717007</v>
      </c>
      <c r="N68" s="20" t="n">
        <v>0.14619878</v>
      </c>
      <c r="O68" s="18" t="n">
        <v>0</v>
      </c>
      <c r="P68" s="20" t="n">
        <v>0</v>
      </c>
      <c r="Q68" s="18" t="n">
        <v>0</v>
      </c>
      <c r="R68" s="20" t="n">
        <v>0</v>
      </c>
      <c r="S68" s="18" t="n">
        <v>1.12395544</v>
      </c>
      <c r="T68" s="20" t="n">
        <v>0.40072163</v>
      </c>
    </row>
    <row r="69" spans="1:20">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6034</v>
      </c>
      <c r="C70" s="18">
        <f>(4677.0/B70*100)</f>
        <v/>
      </c>
      <c r="D70" s="19" t="n">
        <v>1357</v>
      </c>
      <c r="E70" s="18" t="n">
        <v>75.18361625</v>
      </c>
      <c r="F70" s="20" t="n">
        <v>1.14152518</v>
      </c>
      <c r="G70" s="18" t="n">
        <v>19.46934664</v>
      </c>
      <c r="H70" s="20" t="n">
        <v>1.02042482</v>
      </c>
      <c r="I70" s="18" t="n">
        <v>3.16185339</v>
      </c>
      <c r="J70" s="20" t="n">
        <v>0.51187036</v>
      </c>
      <c r="K70" s="18" t="n">
        <v>0</v>
      </c>
      <c r="L70" s="20" t="n">
        <v>0</v>
      </c>
      <c r="M70" s="18" t="n">
        <v>0.9483691400000001</v>
      </c>
      <c r="N70" s="20" t="n">
        <v>0.28115215</v>
      </c>
      <c r="O70" s="18" t="n">
        <v>0</v>
      </c>
      <c r="P70" s="20" t="n">
        <v>0</v>
      </c>
      <c r="Q70" s="18" t="n">
        <v>0</v>
      </c>
      <c r="R70" s="20" t="n">
        <v>0</v>
      </c>
      <c r="S70" s="18" t="n">
        <v>1.23681459</v>
      </c>
      <c r="T70" s="20" t="n">
        <v>0.29948951</v>
      </c>
    </row>
    <row r="71" spans="1:20">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3107</v>
      </c>
      <c r="C72" s="18">
        <f>(2416.0/B72*100)</f>
        <v/>
      </c>
      <c r="D72" s="19" t="n">
        <v>691</v>
      </c>
      <c r="E72" s="18" t="n">
        <v>73.45335055</v>
      </c>
      <c r="F72" s="20" t="n">
        <v>1.86092899</v>
      </c>
      <c r="G72" s="18" t="n">
        <v>22.18674512</v>
      </c>
      <c r="H72" s="20" t="n">
        <v>1.81282656</v>
      </c>
      <c r="I72" s="18" t="n">
        <v>2.2436765</v>
      </c>
      <c r="J72" s="20" t="n">
        <v>0.66708103</v>
      </c>
      <c r="K72" s="18" t="n">
        <v>0</v>
      </c>
      <c r="L72" s="20" t="n">
        <v>0</v>
      </c>
      <c r="M72" s="18" t="n">
        <v>0.4630596</v>
      </c>
      <c r="N72" s="20" t="n">
        <v>0.20381801</v>
      </c>
      <c r="O72" s="18" t="n">
        <v>0</v>
      </c>
      <c r="P72" s="20" t="n">
        <v>0</v>
      </c>
      <c r="Q72" s="18" t="n">
        <v>0</v>
      </c>
      <c r="R72" s="20" t="n">
        <v>0</v>
      </c>
      <c r="S72" s="18" t="n">
        <v>1.65316822</v>
      </c>
      <c r="T72" s="20" t="n">
        <v>0.66257504</v>
      </c>
    </row>
    <row r="73" spans="1:20">
      <c r="A73" s="15" t="s">
        <v>633</v>
      </c>
      <c r="B73" s="17" t="n">
        <v>2973</v>
      </c>
      <c r="C73" s="18">
        <f>(2327.0/B73*100)</f>
        <v/>
      </c>
      <c r="D73" s="19" t="n">
        <v>646</v>
      </c>
      <c r="E73" s="18" t="n">
        <v>54.90165556</v>
      </c>
      <c r="F73" s="20" t="n">
        <v>2.13155296</v>
      </c>
      <c r="G73" s="18" t="n">
        <v>30.96913394</v>
      </c>
      <c r="H73" s="20" t="n">
        <v>1.87070517</v>
      </c>
      <c r="I73" s="18" t="n">
        <v>13.77631371</v>
      </c>
      <c r="J73" s="20" t="n">
        <v>1.53125587</v>
      </c>
      <c r="K73" s="18" t="n">
        <v>0</v>
      </c>
      <c r="L73" s="20" t="n">
        <v>0</v>
      </c>
      <c r="M73" s="18" t="n">
        <v>0</v>
      </c>
      <c r="N73" s="20" t="n">
        <v>0</v>
      </c>
      <c r="O73" s="18" t="n">
        <v>0</v>
      </c>
      <c r="P73" s="20" t="n">
        <v>0</v>
      </c>
      <c r="Q73" s="18" t="n">
        <v>0</v>
      </c>
      <c r="R73" s="20" t="n">
        <v>0</v>
      </c>
      <c r="S73" s="18" t="n">
        <v>0.35289679</v>
      </c>
      <c r="T73" s="20" t="n">
        <v>0.24987093</v>
      </c>
    </row>
    <row r="74" spans="1:20">
      <c r="A74" s="15" t="s">
        <v>634</v>
      </c>
      <c r="B74" s="17" t="n">
        <v>3819</v>
      </c>
      <c r="C74" s="18">
        <f>(3013.0/B74*100)</f>
        <v/>
      </c>
      <c r="D74" s="19" t="n">
        <v>806</v>
      </c>
      <c r="E74" s="18" t="n">
        <v>69.60662716</v>
      </c>
      <c r="F74" s="20" t="n">
        <v>2.07675823</v>
      </c>
      <c r="G74" s="18" t="n">
        <v>14.67916762</v>
      </c>
      <c r="H74" s="20" t="n">
        <v>1.2141672</v>
      </c>
      <c r="I74" s="18" t="n">
        <v>14.94038609</v>
      </c>
      <c r="J74" s="20" t="n">
        <v>1.82428157</v>
      </c>
      <c r="K74" s="18" t="n">
        <v>0</v>
      </c>
      <c r="L74" s="20" t="n">
        <v>0</v>
      </c>
      <c r="M74" s="18" t="n">
        <v>0.19101494</v>
      </c>
      <c r="N74" s="20" t="n">
        <v>0.27024971</v>
      </c>
      <c r="O74" s="18" t="n">
        <v>0</v>
      </c>
      <c r="P74" s="20" t="n">
        <v>0</v>
      </c>
      <c r="Q74" s="18" t="n">
        <v>0</v>
      </c>
      <c r="R74" s="20" t="n">
        <v>0</v>
      </c>
      <c r="S74" s="18" t="n">
        <v>0.58280418</v>
      </c>
      <c r="T74" s="20" t="n">
        <v>0.27138742</v>
      </c>
    </row>
    <row r="75" spans="1:20">
      <c r="A75" s="15" t="s">
        <v>635</v>
      </c>
      <c r="B75" s="17" t="n">
        <v>4652</v>
      </c>
      <c r="C75" s="18">
        <f>(3635.0/B75*100)</f>
        <v/>
      </c>
      <c r="D75" s="19" t="n">
        <v>1017</v>
      </c>
      <c r="E75" s="18" t="n">
        <v>83.28324218</v>
      </c>
      <c r="F75" s="20" t="n">
        <v>1.67561438</v>
      </c>
      <c r="G75" s="18" t="n">
        <v>14.4181364</v>
      </c>
      <c r="H75" s="20" t="n">
        <v>1.64044073</v>
      </c>
      <c r="I75" s="18" t="n">
        <v>2.03202529</v>
      </c>
      <c r="J75" s="20" t="n">
        <v>0.56623086</v>
      </c>
      <c r="K75" s="18" t="n">
        <v>0</v>
      </c>
      <c r="L75" s="20" t="n">
        <v>0</v>
      </c>
      <c r="M75" s="18" t="n">
        <v>0.14202067</v>
      </c>
      <c r="N75" s="20" t="n">
        <v>0.14169476</v>
      </c>
      <c r="O75" s="18" t="n">
        <v>0</v>
      </c>
      <c r="P75" s="20" t="n">
        <v>0</v>
      </c>
      <c r="Q75" s="18" t="n">
        <v>0</v>
      </c>
      <c r="R75" s="20" t="n">
        <v>0</v>
      </c>
      <c r="S75" s="18" t="n">
        <v>0.12457546</v>
      </c>
      <c r="T75" s="20" t="n">
        <v>0.11991354</v>
      </c>
    </row>
    <row r="76" spans="1:20">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2969</v>
      </c>
      <c r="C77" s="18">
        <f>(2352.0/B77*100)</f>
        <v/>
      </c>
      <c r="D77" s="19" t="n">
        <v>617</v>
      </c>
      <c r="E77" s="18" t="n">
        <v>81.05003854</v>
      </c>
      <c r="F77" s="20" t="n">
        <v>1.86790955</v>
      </c>
      <c r="G77" s="18" t="n">
        <v>15.76931394</v>
      </c>
      <c r="H77" s="20" t="n">
        <v>1.70416745</v>
      </c>
      <c r="I77" s="18" t="n">
        <v>1.54668313</v>
      </c>
      <c r="J77" s="20" t="n">
        <v>0.44155835</v>
      </c>
      <c r="K77" s="18" t="n">
        <v>0</v>
      </c>
      <c r="L77" s="20" t="n">
        <v>0</v>
      </c>
      <c r="M77" s="18" t="n">
        <v>1.01543822</v>
      </c>
      <c r="N77" s="20" t="n">
        <v>0.59373961</v>
      </c>
      <c r="O77" s="18" t="n">
        <v>0</v>
      </c>
      <c r="P77" s="20" t="n">
        <v>0</v>
      </c>
      <c r="Q77" s="18" t="n">
        <v>0</v>
      </c>
      <c r="R77" s="20" t="n">
        <v>0</v>
      </c>
      <c r="S77" s="18" t="n">
        <v>0.61852617</v>
      </c>
      <c r="T77" s="20" t="n">
        <v>0.26375409</v>
      </c>
    </row>
    <row r="78" spans="1:20">
      <c r="A78" s="15" t="s">
        <v>638</v>
      </c>
      <c r="B78" s="17" t="n">
        <v>7115</v>
      </c>
      <c r="C78" s="18">
        <f>(5533.0/B78*100)</f>
        <v/>
      </c>
      <c r="D78" s="19" t="n">
        <v>1582</v>
      </c>
      <c r="E78" s="18" t="n">
        <v>74.85783666</v>
      </c>
      <c r="F78" s="20" t="n">
        <v>1.66605022</v>
      </c>
      <c r="G78" s="18" t="n">
        <v>18.57098009</v>
      </c>
      <c r="H78" s="20" t="n">
        <v>1.47172761</v>
      </c>
      <c r="I78" s="18" t="n">
        <v>5.77049545</v>
      </c>
      <c r="J78" s="20" t="n">
        <v>0.7064530999999999</v>
      </c>
      <c r="K78" s="18" t="n">
        <v>0</v>
      </c>
      <c r="L78" s="20" t="n">
        <v>0</v>
      </c>
      <c r="M78" s="18" t="n">
        <v>0.37627675</v>
      </c>
      <c r="N78" s="20" t="n">
        <v>0.12223659</v>
      </c>
      <c r="O78" s="18" t="n">
        <v>0</v>
      </c>
      <c r="P78" s="20" t="n">
        <v>0</v>
      </c>
      <c r="Q78" s="18" t="n">
        <v>0</v>
      </c>
      <c r="R78" s="20" t="n">
        <v>0</v>
      </c>
      <c r="S78" s="18" t="n">
        <v>0.42441104</v>
      </c>
      <c r="T78" s="20" t="n">
        <v>0.11828433</v>
      </c>
    </row>
    <row r="79" spans="1:20">
      <c r="A79" s="15" t="s">
        <v>639</v>
      </c>
      <c r="B79" s="17" t="n">
        <v>3154</v>
      </c>
      <c r="C79" s="18">
        <f>(2435.0/B79*100)</f>
        <v/>
      </c>
      <c r="D79" s="19" t="n">
        <v>719</v>
      </c>
      <c r="E79" s="18" t="n">
        <v>77.77239996</v>
      </c>
      <c r="F79" s="20" t="n">
        <v>1.49412124</v>
      </c>
      <c r="G79" s="18" t="n">
        <v>17.45803103</v>
      </c>
      <c r="H79" s="20" t="n">
        <v>1.4921524</v>
      </c>
      <c r="I79" s="18" t="n">
        <v>1.86582231</v>
      </c>
      <c r="J79" s="20" t="n">
        <v>0.3956076</v>
      </c>
      <c r="K79" s="18" t="n">
        <v>0</v>
      </c>
      <c r="L79" s="20" t="n">
        <v>0</v>
      </c>
      <c r="M79" s="18" t="n">
        <v>0.4009479</v>
      </c>
      <c r="N79" s="20" t="n">
        <v>0.26596829</v>
      </c>
      <c r="O79" s="18" t="n">
        <v>0</v>
      </c>
      <c r="P79" s="20" t="n">
        <v>0</v>
      </c>
      <c r="Q79" s="18" t="n">
        <v>0</v>
      </c>
      <c r="R79" s="20" t="n">
        <v>0</v>
      </c>
      <c r="S79" s="18" t="n">
        <v>2.5027988</v>
      </c>
      <c r="T79" s="20" t="n">
        <v>0.74265117</v>
      </c>
    </row>
    <row r="80" spans="1:20">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15961</v>
      </c>
      <c r="C82" s="18">
        <f>(12399.0/B82*100)</f>
        <v/>
      </c>
      <c r="D82" s="19" t="n">
        <v>3562</v>
      </c>
      <c r="E82" s="18" t="n">
        <v>78.38984979</v>
      </c>
      <c r="F82" s="20" t="n">
        <v>1.09252066</v>
      </c>
      <c r="G82" s="18" t="n">
        <v>19.17095438</v>
      </c>
      <c r="H82" s="20" t="n">
        <v>1.06650295</v>
      </c>
      <c r="I82" s="18" t="n">
        <v>1.41700466</v>
      </c>
      <c r="J82" s="20" t="n">
        <v>0.15823944</v>
      </c>
      <c r="K82" s="18" t="n">
        <v>0</v>
      </c>
      <c r="L82" s="20" t="n">
        <v>0</v>
      </c>
      <c r="M82" s="18" t="n">
        <v>0.12439965</v>
      </c>
      <c r="N82" s="20" t="n">
        <v>0.05245959</v>
      </c>
      <c r="O82" s="18" t="n">
        <v>0</v>
      </c>
      <c r="P82" s="20" t="n">
        <v>0</v>
      </c>
      <c r="Q82" s="18" t="n">
        <v>0</v>
      </c>
      <c r="R82" s="20" t="n">
        <v>0</v>
      </c>
      <c r="S82" s="18" t="n">
        <v>0.89779153</v>
      </c>
      <c r="T82" s="20" t="n">
        <v>0.19633864</v>
      </c>
    </row>
    <row r="83" spans="1:20">
      <c r="A83" s="15" t="s">
        <v>643</v>
      </c>
      <c r="B83" s="17" t="n">
        <v>808</v>
      </c>
      <c r="C83" s="18">
        <f>(619.0/B83*100)</f>
        <v/>
      </c>
      <c r="D83" s="19" t="n">
        <v>189</v>
      </c>
      <c r="E83" s="18" t="n">
        <v>62.91180084</v>
      </c>
      <c r="F83" s="20" t="n">
        <v>3.90046032</v>
      </c>
      <c r="G83" s="18" t="n">
        <v>25.56727489</v>
      </c>
      <c r="H83" s="20" t="n">
        <v>3.66559217</v>
      </c>
      <c r="I83" s="18" t="n">
        <v>10.44295293</v>
      </c>
      <c r="J83" s="20" t="n">
        <v>2.60775837</v>
      </c>
      <c r="K83" s="18" t="n">
        <v>0</v>
      </c>
      <c r="L83" s="20" t="n">
        <v>0</v>
      </c>
      <c r="M83" s="18" t="n">
        <v>0</v>
      </c>
      <c r="N83" s="20" t="n">
        <v>0</v>
      </c>
      <c r="O83" s="18" t="n">
        <v>0</v>
      </c>
      <c r="P83" s="20" t="n">
        <v>0</v>
      </c>
      <c r="Q83" s="18" t="n">
        <v>0</v>
      </c>
      <c r="R83" s="20" t="n">
        <v>0</v>
      </c>
      <c r="S83" s="18" t="n">
        <v>1.07797134</v>
      </c>
      <c r="T83" s="20" t="n">
        <v>0.71359774</v>
      </c>
    </row>
    <row r="84" spans="1:20">
      <c r="A84" s="23" t="s">
        <v>644</v>
      </c>
      <c r="B84" s="24" t="n">
        <v>938</v>
      </c>
      <c r="C84" s="25">
        <f>(714.0/B84*100)</f>
        <v/>
      </c>
      <c r="D84" s="19" t="n">
        <v>224</v>
      </c>
      <c r="E84" s="18" t="n">
        <v>70.15544518999999</v>
      </c>
      <c r="F84" s="20" t="n">
        <v>2.37135504</v>
      </c>
      <c r="G84" s="18" t="n">
        <v>20.83096996</v>
      </c>
      <c r="H84" s="20" t="n">
        <v>2.27351493</v>
      </c>
      <c r="I84" s="18" t="n">
        <v>9.013584850000001</v>
      </c>
      <c r="J84" s="20" t="n">
        <v>2.29565356</v>
      </c>
      <c r="K84" s="18" t="n">
        <v>0</v>
      </c>
      <c r="L84" s="20" t="n">
        <v>0</v>
      </c>
      <c r="M84" s="18" t="n">
        <v>0</v>
      </c>
      <c r="N84" s="20" t="n">
        <v>0</v>
      </c>
      <c r="O84" s="18" t="n">
        <v>0</v>
      </c>
      <c r="P84" s="20" t="n">
        <v>0</v>
      </c>
      <c r="Q84" s="18" t="n">
        <v>0</v>
      </c>
      <c r="R84" s="20" t="n">
        <v>0</v>
      </c>
      <c r="S84" s="18" t="n">
        <v>0</v>
      </c>
      <c r="T84" s="20" t="n">
        <v>0</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(5621.0/B7*100)</f>
        <v/>
      </c>
      <c r="D7" s="19" t="n">
        <v>1542</v>
      </c>
      <c r="E7" s="18" t="n">
        <v>51.29049498</v>
      </c>
      <c r="F7" s="20" t="n">
        <v>1.26862702</v>
      </c>
      <c r="G7" s="18" t="n">
        <v>46.56627266</v>
      </c>
      <c r="H7" s="20" t="n">
        <v>1.30252089</v>
      </c>
      <c r="I7" s="18" t="n">
        <v>0</v>
      </c>
      <c r="J7" s="20" t="n">
        <v>0</v>
      </c>
      <c r="K7" s="18" t="n">
        <v>0.26485262</v>
      </c>
      <c r="L7" s="20" t="n">
        <v>0.19188436</v>
      </c>
      <c r="M7" s="18" t="n">
        <v>0.10917547</v>
      </c>
      <c r="N7" s="20" t="n">
        <v>0.09617937</v>
      </c>
      <c r="O7" s="18" t="n">
        <v>0</v>
      </c>
      <c r="P7" s="20" t="n">
        <v>0</v>
      </c>
      <c r="Q7" s="18" t="n">
        <v>1.76920427</v>
      </c>
      <c r="R7" s="20" t="n">
        <v>0.35632332</v>
      </c>
    </row>
    <row r="8" spans="1:18">
      <c r="A8" s="15" t="s">
        <v>566</v>
      </c>
      <c r="B8" s="17" t="n">
        <v>3443</v>
      </c>
      <c r="C8" s="18">
        <f>(2668.0/B8*100)</f>
        <v/>
      </c>
      <c r="D8" s="19" t="n">
        <v>775</v>
      </c>
      <c r="E8" s="18" t="n">
        <v>68.47469395</v>
      </c>
      <c r="F8" s="20" t="n">
        <v>1.98412509</v>
      </c>
      <c r="G8" s="18" t="n">
        <v>29.13881117</v>
      </c>
      <c r="H8" s="20" t="n">
        <v>1.92182906</v>
      </c>
      <c r="I8" s="18" t="n">
        <v>0</v>
      </c>
      <c r="J8" s="20" t="n">
        <v>0</v>
      </c>
      <c r="K8" s="18" t="n">
        <v>0</v>
      </c>
      <c r="L8" s="20" t="n">
        <v>0</v>
      </c>
      <c r="M8" s="18" t="n">
        <v>0</v>
      </c>
      <c r="N8" s="20" t="n">
        <v>0</v>
      </c>
      <c r="O8" s="18" t="n">
        <v>0</v>
      </c>
      <c r="P8" s="20" t="n">
        <v>0</v>
      </c>
      <c r="Q8" s="18" t="n">
        <v>2.38649488</v>
      </c>
      <c r="R8" s="20" t="n">
        <v>0.45753231</v>
      </c>
    </row>
    <row r="9" spans="1:18">
      <c r="A9" s="15" t="s">
        <v>567</v>
      </c>
      <c r="B9" s="17" t="n">
        <v>4752</v>
      </c>
      <c r="C9" s="18">
        <f>(3705.0/B9*100)</f>
        <v/>
      </c>
      <c r="D9" s="19" t="n">
        <v>1047</v>
      </c>
      <c r="E9" s="18" t="n">
        <v>61.5129452</v>
      </c>
      <c r="F9" s="20" t="n">
        <v>1.71335953</v>
      </c>
      <c r="G9" s="18" t="n">
        <v>36.03154068</v>
      </c>
      <c r="H9" s="20" t="n">
        <v>1.69588416</v>
      </c>
      <c r="I9" s="18" t="n">
        <v>0</v>
      </c>
      <c r="J9" s="20" t="n">
        <v>0</v>
      </c>
      <c r="K9" s="18" t="n">
        <v>0.39648646</v>
      </c>
      <c r="L9" s="20" t="n">
        <v>0.20552311</v>
      </c>
      <c r="M9" s="18" t="n">
        <v>0.36246803</v>
      </c>
      <c r="N9" s="20" t="n">
        <v>0.21549371</v>
      </c>
      <c r="O9" s="18" t="n">
        <v>0</v>
      </c>
      <c r="P9" s="20" t="n">
        <v>0</v>
      </c>
      <c r="Q9" s="18" t="n">
        <v>1.69655963</v>
      </c>
      <c r="R9" s="20" t="n">
        <v>0.42908701</v>
      </c>
    </row>
    <row r="10" spans="1:18">
      <c r="A10" s="15" t="s">
        <v>568</v>
      </c>
      <c r="B10" s="17" t="n">
        <v>10022</v>
      </c>
      <c r="C10" s="18">
        <f>(7815.0/B10*100)</f>
        <v/>
      </c>
      <c r="D10" s="19" t="n">
        <v>2207</v>
      </c>
      <c r="E10" s="18" t="n">
        <v>55.82192564</v>
      </c>
      <c r="F10" s="20" t="n">
        <v>1.73014135</v>
      </c>
      <c r="G10" s="18" t="n">
        <v>43.11366695</v>
      </c>
      <c r="H10" s="20" t="n">
        <v>1.71459255</v>
      </c>
      <c r="I10" s="18" t="n">
        <v>0</v>
      </c>
      <c r="J10" s="20" t="n">
        <v>0</v>
      </c>
      <c r="K10" s="18" t="n">
        <v>0.19934027</v>
      </c>
      <c r="L10" s="20" t="n">
        <v>0.12308082</v>
      </c>
      <c r="M10" s="18" t="n">
        <v>0</v>
      </c>
      <c r="N10" s="20" t="n">
        <v>0</v>
      </c>
      <c r="O10" s="18" t="n">
        <v>0</v>
      </c>
      <c r="P10" s="20" t="n">
        <v>0</v>
      </c>
      <c r="Q10" s="18" t="n">
        <v>0.86506714</v>
      </c>
      <c r="R10" s="20" t="n">
        <v>0.26009324</v>
      </c>
    </row>
    <row r="11" spans="1:18">
      <c r="A11" s="15" t="s">
        <v>569</v>
      </c>
      <c r="B11" s="17" t="n">
        <v>3500</v>
      </c>
      <c r="C11" s="18">
        <f>(2716.0/B11*100)</f>
        <v/>
      </c>
      <c r="D11" s="19" t="n">
        <v>784</v>
      </c>
      <c r="E11" s="18" t="n">
        <v>75.08173431</v>
      </c>
      <c r="F11" s="20" t="n">
        <v>1.6817879</v>
      </c>
      <c r="G11" s="18" t="n">
        <v>22.53546118</v>
      </c>
      <c r="H11" s="20" t="n">
        <v>1.6432886</v>
      </c>
      <c r="I11" s="18" t="n">
        <v>0</v>
      </c>
      <c r="J11" s="20" t="n">
        <v>0</v>
      </c>
      <c r="K11" s="18" t="n">
        <v>0.16929999</v>
      </c>
      <c r="L11" s="20" t="n">
        <v>0.16733525</v>
      </c>
      <c r="M11" s="18" t="n">
        <v>0.05588421</v>
      </c>
      <c r="N11" s="20" t="n">
        <v>0.06135468</v>
      </c>
      <c r="O11" s="18" t="n">
        <v>0</v>
      </c>
      <c r="P11" s="20" t="n">
        <v>0</v>
      </c>
      <c r="Q11" s="18" t="n">
        <v>2.15762032</v>
      </c>
      <c r="R11" s="20" t="n">
        <v>0.54713535</v>
      </c>
    </row>
    <row r="12" spans="1:18">
      <c r="A12" s="15" t="s">
        <v>570</v>
      </c>
      <c r="B12" s="17" t="n">
        <v>3422</v>
      </c>
      <c r="C12" s="18">
        <f>(2703.0/B12*100)</f>
        <v/>
      </c>
      <c r="D12" s="19" t="n">
        <v>719</v>
      </c>
      <c r="E12" s="18" t="n">
        <v>68.21921868</v>
      </c>
      <c r="F12" s="20" t="n">
        <v>1.87604243</v>
      </c>
      <c r="G12" s="18" t="n">
        <v>30.11285187</v>
      </c>
      <c r="H12" s="20" t="n">
        <v>1.93258456</v>
      </c>
      <c r="I12" s="18" t="n">
        <v>0</v>
      </c>
      <c r="J12" s="20" t="n">
        <v>0</v>
      </c>
      <c r="K12" s="18" t="n">
        <v>0.12103827</v>
      </c>
      <c r="L12" s="20" t="n">
        <v>0.11488862</v>
      </c>
      <c r="M12" s="18" t="n">
        <v>0.05134518</v>
      </c>
      <c r="N12" s="20" t="n">
        <v>0.05122802</v>
      </c>
      <c r="O12" s="18" t="n">
        <v>0</v>
      </c>
      <c r="P12" s="20" t="n">
        <v>0</v>
      </c>
      <c r="Q12" s="18" t="n">
        <v>1.49554601</v>
      </c>
      <c r="R12" s="20" t="n">
        <v>0.54628367</v>
      </c>
    </row>
    <row r="13" spans="1:18">
      <c r="A13" s="15" t="s">
        <v>571</v>
      </c>
      <c r="B13" s="17" t="n">
        <v>3602</v>
      </c>
      <c r="C13" s="18">
        <f>(2899.0/B13*100)</f>
        <v/>
      </c>
      <c r="D13" s="19" t="n">
        <v>703</v>
      </c>
      <c r="E13" s="18" t="n">
        <v>64.57798703</v>
      </c>
      <c r="F13" s="20" t="n">
        <v>2.10384302</v>
      </c>
      <c r="G13" s="18" t="n">
        <v>34.2805701</v>
      </c>
      <c r="H13" s="20" t="n">
        <v>2.10965779</v>
      </c>
      <c r="I13" s="18" t="n">
        <v>0</v>
      </c>
      <c r="J13" s="20" t="n">
        <v>0</v>
      </c>
      <c r="K13" s="18" t="n">
        <v>0.23042024</v>
      </c>
      <c r="L13" s="20" t="n">
        <v>0.20016133</v>
      </c>
      <c r="M13" s="18" t="n">
        <v>0</v>
      </c>
      <c r="N13" s="20" t="n">
        <v>0</v>
      </c>
      <c r="O13" s="18" t="n">
        <v>0</v>
      </c>
      <c r="P13" s="20" t="n">
        <v>0</v>
      </c>
      <c r="Q13" s="18" t="n">
        <v>0.91102262</v>
      </c>
      <c r="R13" s="20" t="n">
        <v>0.31714177</v>
      </c>
    </row>
    <row r="14" spans="1:18">
      <c r="A14" s="15" t="s">
        <v>572</v>
      </c>
      <c r="B14" s="17" t="n">
        <v>2788</v>
      </c>
      <c r="C14" s="18">
        <f>(2151.0/B14*100)</f>
        <v/>
      </c>
      <c r="D14" s="19" t="n">
        <v>637</v>
      </c>
      <c r="E14" s="18" t="n">
        <v>48.79771165</v>
      </c>
      <c r="F14" s="20" t="n">
        <v>2.41102521</v>
      </c>
      <c r="G14" s="18" t="n">
        <v>50.64494096</v>
      </c>
      <c r="H14" s="20" t="n">
        <v>2.39763945</v>
      </c>
      <c r="I14" s="18" t="n">
        <v>0</v>
      </c>
      <c r="J14" s="20" t="n">
        <v>0</v>
      </c>
      <c r="K14" s="18" t="n">
        <v>0</v>
      </c>
      <c r="L14" s="20" t="n">
        <v>0</v>
      </c>
      <c r="M14" s="18" t="n">
        <v>0</v>
      </c>
      <c r="N14" s="20" t="n">
        <v>0</v>
      </c>
      <c r="O14" s="18" t="n">
        <v>0</v>
      </c>
      <c r="P14" s="20" t="n">
        <v>0</v>
      </c>
      <c r="Q14" s="18" t="n">
        <v>0.55734739</v>
      </c>
      <c r="R14" s="20" t="n">
        <v>0.28080011</v>
      </c>
    </row>
    <row r="15" spans="1:18">
      <c r="A15" s="15" t="s">
        <v>573</v>
      </c>
      <c r="B15" s="17" t="n">
        <v>2863</v>
      </c>
      <c r="C15" s="18">
        <f>(2224.0/B15*100)</f>
        <v/>
      </c>
      <c r="D15" s="19" t="n">
        <v>639</v>
      </c>
      <c r="E15" s="18" t="n">
        <v>53.50061866</v>
      </c>
      <c r="F15" s="20" t="n">
        <v>2.07808142</v>
      </c>
      <c r="G15" s="18" t="n">
        <v>45.87329206</v>
      </c>
      <c r="H15" s="20" t="n">
        <v>2.09085349</v>
      </c>
      <c r="I15" s="18" t="n">
        <v>0</v>
      </c>
      <c r="J15" s="20" t="n">
        <v>0</v>
      </c>
      <c r="K15" s="18" t="n">
        <v>0</v>
      </c>
      <c r="L15" s="20" t="n">
        <v>0</v>
      </c>
      <c r="M15" s="18" t="n">
        <v>0</v>
      </c>
      <c r="N15" s="20" t="n">
        <v>0</v>
      </c>
      <c r="O15" s="18" t="n">
        <v>0</v>
      </c>
      <c r="P15" s="20" t="n">
        <v>0</v>
      </c>
      <c r="Q15" s="18" t="n">
        <v>0.62608928</v>
      </c>
      <c r="R15" s="20" t="n">
        <v>0.28442147</v>
      </c>
    </row>
    <row r="16" spans="1:18">
      <c r="A16" s="15" t="s">
        <v>574</v>
      </c>
      <c r="B16" s="17" t="n">
        <v>3111</v>
      </c>
      <c r="C16" s="18">
        <f>(2436.0/B16*100)</f>
        <v/>
      </c>
      <c r="D16" s="19" t="n">
        <v>675</v>
      </c>
      <c r="E16" s="18" t="n">
        <v>61.16870783</v>
      </c>
      <c r="F16" s="20" t="n">
        <v>1.99409198</v>
      </c>
      <c r="G16" s="18" t="n">
        <v>34.89078754</v>
      </c>
      <c r="H16" s="20" t="n">
        <v>1.93250152</v>
      </c>
      <c r="I16" s="18" t="n">
        <v>0</v>
      </c>
      <c r="J16" s="20" t="n">
        <v>0</v>
      </c>
      <c r="K16" s="18" t="n">
        <v>0.47930307</v>
      </c>
      <c r="L16" s="20" t="n">
        <v>0.31321408</v>
      </c>
      <c r="M16" s="18" t="n">
        <v>0</v>
      </c>
      <c r="N16" s="20" t="n">
        <v>0</v>
      </c>
      <c r="O16" s="18" t="n">
        <v>0</v>
      </c>
      <c r="P16" s="20" t="n">
        <v>0</v>
      </c>
      <c r="Q16" s="18" t="n">
        <v>3.46120156</v>
      </c>
      <c r="R16" s="20" t="n">
        <v>0.76728809</v>
      </c>
    </row>
    <row r="17" spans="1:18">
      <c r="A17" s="15" t="s">
        <v>575</v>
      </c>
      <c r="B17" s="17" t="n">
        <v>3197</v>
      </c>
      <c r="C17" s="18">
        <f>(2544.0/B17*100)</f>
        <v/>
      </c>
      <c r="D17" s="19" t="n">
        <v>653</v>
      </c>
      <c r="E17" s="18" t="n">
        <v>58.32329011</v>
      </c>
      <c r="F17" s="20" t="n">
        <v>2.45845439</v>
      </c>
      <c r="G17" s="18" t="n">
        <v>38.2624154</v>
      </c>
      <c r="H17" s="20" t="n">
        <v>2.47979245</v>
      </c>
      <c r="I17" s="18" t="n">
        <v>0</v>
      </c>
      <c r="J17" s="20" t="n">
        <v>0</v>
      </c>
      <c r="K17" s="18" t="n">
        <v>0.31978816</v>
      </c>
      <c r="L17" s="20" t="n">
        <v>0.22686269</v>
      </c>
      <c r="M17" s="18" t="n">
        <v>0</v>
      </c>
      <c r="N17" s="20" t="n">
        <v>0</v>
      </c>
      <c r="O17" s="18" t="n">
        <v>0</v>
      </c>
      <c r="P17" s="20" t="n">
        <v>0</v>
      </c>
      <c r="Q17" s="18" t="n">
        <v>3.09450633</v>
      </c>
      <c r="R17" s="20" t="n">
        <v>0.81551017</v>
      </c>
    </row>
    <row r="18" spans="1:18">
      <c r="A18" s="15" t="s">
        <v>576</v>
      </c>
      <c r="B18" s="17" t="n">
        <v>2706</v>
      </c>
      <c r="C18" s="18">
        <f>(2110.0/B18*100)</f>
        <v/>
      </c>
      <c r="D18" s="19" t="n">
        <v>596</v>
      </c>
      <c r="E18" s="18" t="n">
        <v>65.51497766999999</v>
      </c>
      <c r="F18" s="20" t="n">
        <v>1.89531804</v>
      </c>
      <c r="G18" s="18" t="n">
        <v>32.33465004</v>
      </c>
      <c r="H18" s="20" t="n">
        <v>1.91980438</v>
      </c>
      <c r="I18" s="18" t="n">
        <v>0</v>
      </c>
      <c r="J18" s="20" t="n">
        <v>0</v>
      </c>
      <c r="K18" s="18" t="n">
        <v>0.26542601</v>
      </c>
      <c r="L18" s="20" t="n">
        <v>0.19587634</v>
      </c>
      <c r="M18" s="18" t="n">
        <v>0</v>
      </c>
      <c r="N18" s="20" t="n">
        <v>0</v>
      </c>
      <c r="O18" s="18" t="n">
        <v>0</v>
      </c>
      <c r="P18" s="20" t="n">
        <v>0</v>
      </c>
      <c r="Q18" s="18" t="n">
        <v>1.88494628</v>
      </c>
      <c r="R18" s="20" t="n">
        <v>0.58526776</v>
      </c>
    </row>
    <row r="19" spans="1:18">
      <c r="A19" s="15" t="s">
        <v>577</v>
      </c>
      <c r="B19" s="17" t="n">
        <v>2850</v>
      </c>
      <c r="C19" s="18">
        <f>(2190.0/B19*100)</f>
        <v/>
      </c>
      <c r="D19" s="19" t="n">
        <v>660</v>
      </c>
      <c r="E19" s="18" t="n">
        <v>74.02541026999999</v>
      </c>
      <c r="F19" s="20" t="n">
        <v>1.73202347</v>
      </c>
      <c r="G19" s="18" t="n">
        <v>23.92970679</v>
      </c>
      <c r="H19" s="20" t="n">
        <v>1.73194969</v>
      </c>
      <c r="I19" s="18" t="n">
        <v>0</v>
      </c>
      <c r="J19" s="20" t="n">
        <v>0</v>
      </c>
      <c r="K19" s="18" t="n">
        <v>0.14016158</v>
      </c>
      <c r="L19" s="20" t="n">
        <v>0.11929533</v>
      </c>
      <c r="M19" s="18" t="n">
        <v>0</v>
      </c>
      <c r="N19" s="20" t="n">
        <v>0</v>
      </c>
      <c r="O19" s="18" t="n">
        <v>0</v>
      </c>
      <c r="P19" s="20" t="n">
        <v>0</v>
      </c>
      <c r="Q19" s="18" t="n">
        <v>1.90472136</v>
      </c>
      <c r="R19" s="20" t="n">
        <v>0.65026734</v>
      </c>
    </row>
    <row r="20" spans="1:18">
      <c r="A20" s="15" t="s">
        <v>578</v>
      </c>
      <c r="B20" s="17" t="n">
        <v>1741</v>
      </c>
      <c r="C20" s="18">
        <f>(1366.0/B20*100)</f>
        <v/>
      </c>
      <c r="D20" s="19" t="n">
        <v>375</v>
      </c>
      <c r="E20" s="18" t="n">
        <v>73.06048766000001</v>
      </c>
      <c r="F20" s="20" t="n">
        <v>2.12762624</v>
      </c>
      <c r="G20" s="18" t="n">
        <v>23.87993575</v>
      </c>
      <c r="H20" s="20" t="n">
        <v>2.22530122</v>
      </c>
      <c r="I20" s="18" t="n">
        <v>0</v>
      </c>
      <c r="J20" s="20" t="n">
        <v>0</v>
      </c>
      <c r="K20" s="18" t="n">
        <v>0</v>
      </c>
      <c r="L20" s="20" t="n">
        <v>0</v>
      </c>
      <c r="M20" s="18" t="n">
        <v>0.41087764</v>
      </c>
      <c r="N20" s="20" t="n">
        <v>0.39623784</v>
      </c>
      <c r="O20" s="18" t="n">
        <v>0</v>
      </c>
      <c r="P20" s="20" t="n">
        <v>0</v>
      </c>
      <c r="Q20" s="18" t="n">
        <v>2.64869894</v>
      </c>
      <c r="R20" s="20" t="n">
        <v>0.83833659</v>
      </c>
    </row>
    <row r="21" spans="1:18">
      <c r="A21" s="15" t="s">
        <v>579</v>
      </c>
      <c r="B21" s="17" t="n">
        <v>2833</v>
      </c>
      <c r="C21" s="18">
        <f>(2232.0/B21*100)</f>
        <v/>
      </c>
      <c r="D21" s="19" t="n">
        <v>601</v>
      </c>
      <c r="E21" s="18" t="n">
        <v>69.30509356</v>
      </c>
      <c r="F21" s="20" t="n">
        <v>1.77502249</v>
      </c>
      <c r="G21" s="18" t="n">
        <v>29.73048361</v>
      </c>
      <c r="H21" s="20" t="n">
        <v>1.71909578</v>
      </c>
      <c r="I21" s="18" t="n">
        <v>0</v>
      </c>
      <c r="J21" s="20" t="n">
        <v>0</v>
      </c>
      <c r="K21" s="18" t="n">
        <v>0.14552862</v>
      </c>
      <c r="L21" s="20" t="n">
        <v>0.10420409</v>
      </c>
      <c r="M21" s="18" t="n">
        <v>0</v>
      </c>
      <c r="N21" s="20" t="n">
        <v>0</v>
      </c>
      <c r="O21" s="18" t="n">
        <v>0</v>
      </c>
      <c r="P21" s="20" t="n">
        <v>0</v>
      </c>
      <c r="Q21" s="18" t="n">
        <v>0.81889421</v>
      </c>
      <c r="R21" s="20" t="n">
        <v>0.42757424</v>
      </c>
    </row>
    <row r="22" spans="1:18">
      <c r="A22" s="15" t="s">
        <v>580</v>
      </c>
      <c r="B22" s="17" t="n">
        <v>3667</v>
      </c>
      <c r="C22" s="18">
        <f>(2861.0/B22*100)</f>
        <v/>
      </c>
      <c r="D22" s="19" t="n">
        <v>806</v>
      </c>
      <c r="E22" s="18" t="n">
        <v>66.52225285</v>
      </c>
      <c r="F22" s="20" t="n">
        <v>1.55954854</v>
      </c>
      <c r="G22" s="18" t="n">
        <v>29.43959986</v>
      </c>
      <c r="H22" s="20" t="n">
        <v>1.6470362</v>
      </c>
      <c r="I22" s="18" t="n">
        <v>0</v>
      </c>
      <c r="J22" s="20" t="n">
        <v>0</v>
      </c>
      <c r="K22" s="18" t="n">
        <v>0.5868185</v>
      </c>
      <c r="L22" s="20" t="n">
        <v>0.27151347</v>
      </c>
      <c r="M22" s="18" t="n">
        <v>0</v>
      </c>
      <c r="N22" s="20" t="n">
        <v>0</v>
      </c>
      <c r="O22" s="18" t="n">
        <v>0</v>
      </c>
      <c r="P22" s="20" t="n">
        <v>0</v>
      </c>
      <c r="Q22" s="18" t="n">
        <v>3.4513288</v>
      </c>
      <c r="R22" s="20" t="n">
        <v>0.61243609</v>
      </c>
    </row>
    <row r="23" spans="1:18">
      <c r="A23" s="15" t="s">
        <v>581</v>
      </c>
      <c r="B23" s="17" t="n">
        <v>5792</v>
      </c>
      <c r="C23" s="18">
        <f>(4477.0/B23*100)</f>
        <v/>
      </c>
      <c r="D23" s="19" t="n">
        <v>1315</v>
      </c>
      <c r="E23" s="18" t="n">
        <v>68.60004661000001</v>
      </c>
      <c r="F23" s="20" t="n">
        <v>1.97003649</v>
      </c>
      <c r="G23" s="18" t="n">
        <v>29.18921162</v>
      </c>
      <c r="H23" s="20" t="n">
        <v>1.87206319</v>
      </c>
      <c r="I23" s="18" t="n">
        <v>0</v>
      </c>
      <c r="J23" s="20" t="n">
        <v>0</v>
      </c>
      <c r="K23" s="18" t="n">
        <v>0.30859662</v>
      </c>
      <c r="L23" s="20" t="n">
        <v>0.32151659</v>
      </c>
      <c r="M23" s="18" t="n">
        <v>0</v>
      </c>
      <c r="N23" s="20" t="n">
        <v>0</v>
      </c>
      <c r="O23" s="18" t="n">
        <v>0</v>
      </c>
      <c r="P23" s="20" t="n">
        <v>0</v>
      </c>
      <c r="Q23" s="18" t="n">
        <v>1.90214515</v>
      </c>
      <c r="R23" s="20" t="n">
        <v>0.56323748</v>
      </c>
    </row>
    <row r="24" spans="1:18">
      <c r="A24" s="15" t="s">
        <v>582</v>
      </c>
      <c r="B24" s="17" t="n">
        <v>3309</v>
      </c>
      <c r="C24" s="18">
        <f>(2602.0/B24*100)</f>
        <v/>
      </c>
      <c r="D24" s="19" t="n">
        <v>707</v>
      </c>
      <c r="E24" s="18" t="n">
        <v>47.8773078</v>
      </c>
      <c r="F24" s="20" t="n">
        <v>1.93210297</v>
      </c>
      <c r="G24" s="18" t="n">
        <v>50.4972895</v>
      </c>
      <c r="H24" s="20" t="n">
        <v>1.98978431</v>
      </c>
      <c r="I24" s="18" t="n">
        <v>0</v>
      </c>
      <c r="J24" s="20" t="n">
        <v>0</v>
      </c>
      <c r="K24" s="18" t="n">
        <v>0.14611458</v>
      </c>
      <c r="L24" s="20" t="n">
        <v>0.14763637</v>
      </c>
      <c r="M24" s="18" t="n">
        <v>0</v>
      </c>
      <c r="N24" s="20" t="n">
        <v>0</v>
      </c>
      <c r="O24" s="18" t="n">
        <v>0</v>
      </c>
      <c r="P24" s="20" t="n">
        <v>0</v>
      </c>
      <c r="Q24" s="18" t="n">
        <v>1.47928812</v>
      </c>
      <c r="R24" s="20" t="n">
        <v>0.47122158</v>
      </c>
    </row>
    <row r="25" spans="1:18">
      <c r="A25" s="15" t="s">
        <v>583</v>
      </c>
      <c r="B25" s="17" t="n">
        <v>2669</v>
      </c>
      <c r="C25" s="18">
        <f>(2091.0/B25*100)</f>
        <v/>
      </c>
      <c r="D25" s="19" t="n">
        <v>578</v>
      </c>
      <c r="E25" s="18" t="n">
        <v>57.28296473</v>
      </c>
      <c r="F25" s="20" t="n">
        <v>1.97641485</v>
      </c>
      <c r="G25" s="18" t="n">
        <v>42.71703527</v>
      </c>
      <c r="H25" s="20" t="n">
        <v>1.97641485</v>
      </c>
      <c r="I25" s="18" t="n">
        <v>0</v>
      </c>
      <c r="J25" s="20" t="n">
        <v>0</v>
      </c>
      <c r="K25" s="18" t="n">
        <v>0</v>
      </c>
      <c r="L25" s="20" t="n">
        <v>0</v>
      </c>
      <c r="M25" s="18" t="n">
        <v>0</v>
      </c>
      <c r="N25" s="20" t="n">
        <v>0</v>
      </c>
      <c r="O25" s="18" t="n">
        <v>0</v>
      </c>
      <c r="P25" s="20" t="n">
        <v>0</v>
      </c>
      <c r="Q25" s="18" t="n">
        <v>0</v>
      </c>
      <c r="R25" s="20" t="n">
        <v>0</v>
      </c>
    </row>
    <row r="26" spans="1:18">
      <c r="A26" s="15" t="s">
        <v>584</v>
      </c>
      <c r="B26" s="17" t="n">
        <v>2419</v>
      </c>
      <c r="C26" s="18">
        <f>(1854.0/B26*100)</f>
        <v/>
      </c>
      <c r="D26" s="19" t="n">
        <v>565</v>
      </c>
      <c r="E26" s="18" t="n">
        <v>55.95286325</v>
      </c>
      <c r="F26" s="20" t="n">
        <v>2.47850805</v>
      </c>
      <c r="G26" s="18" t="n">
        <v>43.71400241</v>
      </c>
      <c r="H26" s="20" t="n">
        <v>2.47615834</v>
      </c>
      <c r="I26" s="18" t="n">
        <v>0</v>
      </c>
      <c r="J26" s="20" t="n">
        <v>0</v>
      </c>
      <c r="K26" s="18" t="n">
        <v>0</v>
      </c>
      <c r="L26" s="20" t="n">
        <v>0</v>
      </c>
      <c r="M26" s="18" t="n">
        <v>0</v>
      </c>
      <c r="N26" s="20" t="n">
        <v>0</v>
      </c>
      <c r="O26" s="18" t="n">
        <v>0</v>
      </c>
      <c r="P26" s="20" t="n">
        <v>0</v>
      </c>
      <c r="Q26" s="18" t="n">
        <v>0.33313434</v>
      </c>
      <c r="R26" s="20" t="n">
        <v>0.33461142</v>
      </c>
    </row>
    <row r="27" spans="1:18">
      <c r="A27" s="15" t="s">
        <v>585</v>
      </c>
      <c r="B27" s="17" t="n">
        <v>2683</v>
      </c>
      <c r="C27" s="18">
        <f>(2122.0/B27*100)</f>
        <v/>
      </c>
      <c r="D27" s="19" t="n">
        <v>561</v>
      </c>
      <c r="E27" s="18" t="n">
        <v>64.45492554</v>
      </c>
      <c r="F27" s="20" t="n">
        <v>2.17034134</v>
      </c>
      <c r="G27" s="18" t="n">
        <v>34.29170075</v>
      </c>
      <c r="H27" s="20" t="n">
        <v>2.22230974</v>
      </c>
      <c r="I27" s="18" t="n">
        <v>0</v>
      </c>
      <c r="J27" s="20" t="n">
        <v>0</v>
      </c>
      <c r="K27" s="18" t="n">
        <v>0</v>
      </c>
      <c r="L27" s="20" t="n">
        <v>0</v>
      </c>
      <c r="M27" s="18" t="n">
        <v>0</v>
      </c>
      <c r="N27" s="20" t="n">
        <v>0</v>
      </c>
      <c r="O27" s="18" t="n">
        <v>0</v>
      </c>
      <c r="P27" s="20" t="n">
        <v>0</v>
      </c>
      <c r="Q27" s="18" t="n">
        <v>1.2533737</v>
      </c>
      <c r="R27" s="20" t="n">
        <v>0.48283987</v>
      </c>
    </row>
    <row r="28" spans="1:18">
      <c r="A28" s="15" t="s">
        <v>586</v>
      </c>
      <c r="B28" s="17" t="n">
        <v>3803</v>
      </c>
      <c r="C28" s="18">
        <f>(2952.0/B28*100)</f>
        <v/>
      </c>
      <c r="D28" s="19" t="n">
        <v>851</v>
      </c>
      <c r="E28" s="18" t="n">
        <v>74.65877697000001</v>
      </c>
      <c r="F28" s="20" t="n">
        <v>1.64854844</v>
      </c>
      <c r="G28" s="18" t="n">
        <v>24.10725275</v>
      </c>
      <c r="H28" s="20" t="n">
        <v>1.66697913</v>
      </c>
      <c r="I28" s="18" t="n">
        <v>0</v>
      </c>
      <c r="J28" s="20" t="n">
        <v>0</v>
      </c>
      <c r="K28" s="18" t="n">
        <v>0.37884391</v>
      </c>
      <c r="L28" s="20" t="n">
        <v>0.24129546</v>
      </c>
      <c r="M28" s="18" t="n">
        <v>0</v>
      </c>
      <c r="N28" s="20" t="n">
        <v>0</v>
      </c>
      <c r="O28" s="18" t="n">
        <v>0</v>
      </c>
      <c r="P28" s="20" t="n">
        <v>0</v>
      </c>
      <c r="Q28" s="18" t="n">
        <v>0.85512638</v>
      </c>
      <c r="R28" s="20" t="n">
        <v>0.34733729</v>
      </c>
    </row>
    <row r="29" spans="1:18">
      <c r="A29" s="15" t="s">
        <v>587</v>
      </c>
      <c r="B29" s="17" t="n">
        <v>2700</v>
      </c>
      <c r="C29" s="18">
        <f>(2113.0/B29*100)</f>
        <v/>
      </c>
      <c r="D29" s="19" t="n">
        <v>587</v>
      </c>
      <c r="E29" s="18" t="n">
        <v>56.83905179</v>
      </c>
      <c r="F29" s="20" t="n">
        <v>2.34453723</v>
      </c>
      <c r="G29" s="18" t="n">
        <v>41.88281701</v>
      </c>
      <c r="H29" s="20" t="n">
        <v>2.40682745</v>
      </c>
      <c r="I29" s="18" t="n">
        <v>0</v>
      </c>
      <c r="J29" s="20" t="n">
        <v>0</v>
      </c>
      <c r="K29" s="18" t="n">
        <v>0.36541936</v>
      </c>
      <c r="L29" s="20" t="n">
        <v>0.22230841</v>
      </c>
      <c r="M29" s="18" t="n">
        <v>0</v>
      </c>
      <c r="N29" s="20" t="n">
        <v>0</v>
      </c>
      <c r="O29" s="18" t="n">
        <v>0</v>
      </c>
      <c r="P29" s="20" t="n">
        <v>0</v>
      </c>
      <c r="Q29" s="18" t="n">
        <v>0.9127118400000001</v>
      </c>
      <c r="R29" s="20" t="n">
        <v>0.40032508</v>
      </c>
    </row>
    <row r="30" spans="1:18">
      <c r="A30" s="15" t="s">
        <v>588</v>
      </c>
      <c r="B30" s="17" t="n">
        <v>2257</v>
      </c>
      <c r="C30" s="18">
        <f>(1772.0/B30*100)</f>
        <v/>
      </c>
      <c r="D30" s="19" t="n">
        <v>485</v>
      </c>
      <c r="E30" s="18" t="n">
        <v>53.55198237</v>
      </c>
      <c r="F30" s="20" t="n">
        <v>2.17749581</v>
      </c>
      <c r="G30" s="18" t="n">
        <v>42.71975103</v>
      </c>
      <c r="H30" s="20" t="n">
        <v>2.23472545</v>
      </c>
      <c r="I30" s="18" t="n">
        <v>0</v>
      </c>
      <c r="J30" s="20" t="n">
        <v>0</v>
      </c>
      <c r="K30" s="18" t="n">
        <v>0.19836616</v>
      </c>
      <c r="L30" s="20" t="n">
        <v>0.17215307</v>
      </c>
      <c r="M30" s="18" t="n">
        <v>0.33475556</v>
      </c>
      <c r="N30" s="20" t="n">
        <v>0.24061366</v>
      </c>
      <c r="O30" s="18" t="n">
        <v>0</v>
      </c>
      <c r="P30" s="20" t="n">
        <v>0</v>
      </c>
      <c r="Q30" s="18" t="n">
        <v>3.19514488</v>
      </c>
      <c r="R30" s="20" t="n">
        <v>0.71621276</v>
      </c>
    </row>
    <row r="31" spans="1:18">
      <c r="A31" s="15" t="s">
        <v>589</v>
      </c>
      <c r="B31" s="17" t="n">
        <v>2706</v>
      </c>
      <c r="C31" s="18">
        <f>(2107.0/B31*100)</f>
        <v/>
      </c>
      <c r="D31" s="19" t="n">
        <v>599</v>
      </c>
      <c r="E31" s="18" t="n">
        <v>62.00956724</v>
      </c>
      <c r="F31" s="20" t="n">
        <v>1.89145618</v>
      </c>
      <c r="G31" s="18" t="n">
        <v>34.80306518</v>
      </c>
      <c r="H31" s="20" t="n">
        <v>1.83991955</v>
      </c>
      <c r="I31" s="18" t="n">
        <v>0</v>
      </c>
      <c r="J31" s="20" t="n">
        <v>0</v>
      </c>
      <c r="K31" s="18" t="n">
        <v>0.31871106</v>
      </c>
      <c r="L31" s="20" t="n">
        <v>0.22065364</v>
      </c>
      <c r="M31" s="18" t="n">
        <v>0.31120602</v>
      </c>
      <c r="N31" s="20" t="n">
        <v>0.22586981</v>
      </c>
      <c r="O31" s="18" t="n">
        <v>0</v>
      </c>
      <c r="P31" s="20" t="n">
        <v>0</v>
      </c>
      <c r="Q31" s="18" t="n">
        <v>2.55745051</v>
      </c>
      <c r="R31" s="20" t="n">
        <v>0.72294714</v>
      </c>
    </row>
    <row r="32" spans="1:18">
      <c r="A32" s="15" t="s">
        <v>590</v>
      </c>
      <c r="B32" s="17" t="n">
        <v>2209</v>
      </c>
      <c r="C32" s="18">
        <f>(1731.0/B32*100)</f>
        <v/>
      </c>
      <c r="D32" s="19" t="n">
        <v>478</v>
      </c>
      <c r="E32" s="18" t="n">
        <v>66.90580521</v>
      </c>
      <c r="F32" s="20" t="n">
        <v>2.34859324</v>
      </c>
      <c r="G32" s="18" t="n">
        <v>32.65458534</v>
      </c>
      <c r="H32" s="20" t="n">
        <v>2.27684572</v>
      </c>
      <c r="I32" s="18" t="n">
        <v>0</v>
      </c>
      <c r="J32" s="20" t="n">
        <v>0</v>
      </c>
      <c r="K32" s="18" t="n">
        <v>0</v>
      </c>
      <c r="L32" s="20" t="n">
        <v>0</v>
      </c>
      <c r="M32" s="18" t="n">
        <v>0</v>
      </c>
      <c r="N32" s="20" t="n">
        <v>0</v>
      </c>
      <c r="O32" s="18" t="n">
        <v>0</v>
      </c>
      <c r="P32" s="20" t="n">
        <v>0</v>
      </c>
      <c r="Q32" s="18" t="n">
        <v>0.43960945</v>
      </c>
      <c r="R32" s="20" t="n">
        <v>0.31487376</v>
      </c>
    </row>
    <row r="33" spans="1:18">
      <c r="A33" s="15" t="s">
        <v>591</v>
      </c>
      <c r="B33" s="17" t="n">
        <v>3651</v>
      </c>
      <c r="C33" s="18">
        <f>(2842.0/B33*100)</f>
        <v/>
      </c>
      <c r="D33" s="19" t="n">
        <v>809</v>
      </c>
      <c r="E33" s="18" t="n">
        <v>64.25862558999999</v>
      </c>
      <c r="F33" s="20" t="n">
        <v>1.84039356</v>
      </c>
      <c r="G33" s="18" t="n">
        <v>35.0014349</v>
      </c>
      <c r="H33" s="20" t="n">
        <v>1.84990993</v>
      </c>
      <c r="I33" s="18" t="n">
        <v>0</v>
      </c>
      <c r="J33" s="20" t="n">
        <v>0</v>
      </c>
      <c r="K33" s="18" t="n">
        <v>0</v>
      </c>
      <c r="L33" s="20" t="n">
        <v>0</v>
      </c>
      <c r="M33" s="18" t="n">
        <v>0.04602206</v>
      </c>
      <c r="N33" s="20" t="n">
        <v>0.05732176</v>
      </c>
      <c r="O33" s="18" t="n">
        <v>0</v>
      </c>
      <c r="P33" s="20" t="n">
        <v>0</v>
      </c>
      <c r="Q33" s="18" t="n">
        <v>0.69391745</v>
      </c>
      <c r="R33" s="20" t="n">
        <v>0.33073618</v>
      </c>
    </row>
    <row r="34" spans="1:18">
      <c r="A34" s="15" t="s">
        <v>592</v>
      </c>
      <c r="B34" s="17" t="n">
        <v>3035</v>
      </c>
      <c r="C34" s="18">
        <f>(2394.0/B34*100)</f>
        <v/>
      </c>
      <c r="D34" s="19" t="n">
        <v>641</v>
      </c>
      <c r="E34" s="18" t="n">
        <v>74.70520093</v>
      </c>
      <c r="F34" s="20" t="n">
        <v>1.70443038</v>
      </c>
      <c r="G34" s="18" t="n">
        <v>23.58949242</v>
      </c>
      <c r="H34" s="20" t="n">
        <v>1.65740428</v>
      </c>
      <c r="I34" s="18" t="n">
        <v>0</v>
      </c>
      <c r="J34" s="20" t="n">
        <v>0</v>
      </c>
      <c r="K34" s="18" t="n">
        <v>0.12398743</v>
      </c>
      <c r="L34" s="20" t="n">
        <v>0.12385565</v>
      </c>
      <c r="M34" s="18" t="n">
        <v>0.45435046</v>
      </c>
      <c r="N34" s="20" t="n">
        <v>0.33810389</v>
      </c>
      <c r="O34" s="18" t="n">
        <v>0</v>
      </c>
      <c r="P34" s="20" t="n">
        <v>0</v>
      </c>
      <c r="Q34" s="18" t="n">
        <v>1.12696875</v>
      </c>
      <c r="R34" s="20" t="n">
        <v>0.50780626</v>
      </c>
    </row>
    <row r="35" spans="1:18">
      <c r="A35" s="15" t="s">
        <v>593</v>
      </c>
      <c r="B35" s="17" t="n">
        <v>2901</v>
      </c>
      <c r="C35" s="18">
        <f>(2262.0/B35*100)</f>
        <v/>
      </c>
      <c r="D35" s="19" t="n">
        <v>639</v>
      </c>
      <c r="E35" s="18" t="n">
        <v>59.28087276</v>
      </c>
      <c r="F35" s="20" t="n">
        <v>2.40829709</v>
      </c>
      <c r="G35" s="18" t="n">
        <v>39.94495831</v>
      </c>
      <c r="H35" s="20" t="n">
        <v>2.3613316</v>
      </c>
      <c r="I35" s="18" t="n">
        <v>0</v>
      </c>
      <c r="J35" s="20" t="n">
        <v>0</v>
      </c>
      <c r="K35" s="18" t="n">
        <v>0</v>
      </c>
      <c r="L35" s="20" t="n">
        <v>0</v>
      </c>
      <c r="M35" s="18" t="n">
        <v>0</v>
      </c>
      <c r="N35" s="20" t="n">
        <v>0</v>
      </c>
      <c r="O35" s="18" t="n">
        <v>0</v>
      </c>
      <c r="P35" s="20" t="n">
        <v>0</v>
      </c>
      <c r="Q35" s="18" t="n">
        <v>0.77416893</v>
      </c>
      <c r="R35" s="20" t="n">
        <v>0.35728767</v>
      </c>
    </row>
    <row r="36" spans="1:18">
      <c r="A36" s="15" t="s">
        <v>594</v>
      </c>
      <c r="B36" s="17" t="n">
        <v>3404</v>
      </c>
      <c r="C36" s="18">
        <f>(2620.0/B36*100)</f>
        <v/>
      </c>
      <c r="D36" s="19" t="n">
        <v>784</v>
      </c>
      <c r="E36" s="18" t="n">
        <v>65.78687343999999</v>
      </c>
      <c r="F36" s="20" t="n">
        <v>1.66289545</v>
      </c>
      <c r="G36" s="18" t="n">
        <v>32.77109346</v>
      </c>
      <c r="H36" s="20" t="n">
        <v>1.63128905</v>
      </c>
      <c r="I36" s="18" t="n">
        <v>0</v>
      </c>
      <c r="J36" s="20" t="n">
        <v>0</v>
      </c>
      <c r="K36" s="18" t="n">
        <v>0.15897286</v>
      </c>
      <c r="L36" s="20" t="n">
        <v>0.16606962</v>
      </c>
      <c r="M36" s="18" t="n">
        <v>0.12163122</v>
      </c>
      <c r="N36" s="20" t="n">
        <v>0.12142678</v>
      </c>
      <c r="O36" s="18" t="n">
        <v>0</v>
      </c>
      <c r="P36" s="20" t="n">
        <v>0</v>
      </c>
      <c r="Q36" s="18" t="n">
        <v>1.16142902</v>
      </c>
      <c r="R36" s="20" t="n">
        <v>0.40172549</v>
      </c>
    </row>
    <row r="37" spans="1:18">
      <c r="A37" s="15" t="s">
        <v>595</v>
      </c>
      <c r="B37" s="17" t="n">
        <v>2731</v>
      </c>
      <c r="C37" s="18">
        <f>(2147.0/B37*100)</f>
        <v/>
      </c>
      <c r="D37" s="19" t="n">
        <v>584</v>
      </c>
      <c r="E37" s="18" t="n">
        <v>65.58719965</v>
      </c>
      <c r="F37" s="20" t="n">
        <v>2.16210497</v>
      </c>
      <c r="G37" s="18" t="n">
        <v>30.03055656</v>
      </c>
      <c r="H37" s="20" t="n">
        <v>2.21812448</v>
      </c>
      <c r="I37" s="18" t="n">
        <v>0</v>
      </c>
      <c r="J37" s="20" t="n">
        <v>0</v>
      </c>
      <c r="K37" s="18" t="n">
        <v>0.14398764</v>
      </c>
      <c r="L37" s="20" t="n">
        <v>0.14350156</v>
      </c>
      <c r="M37" s="18" t="n">
        <v>0</v>
      </c>
      <c r="N37" s="20" t="n">
        <v>0</v>
      </c>
      <c r="O37" s="18" t="n">
        <v>0</v>
      </c>
      <c r="P37" s="20" t="n">
        <v>0</v>
      </c>
      <c r="Q37" s="18" t="n">
        <v>4.23825615</v>
      </c>
      <c r="R37" s="20" t="n">
        <v>0.80832625</v>
      </c>
    </row>
    <row r="38" spans="1:18">
      <c r="A38" s="15" t="s">
        <v>596</v>
      </c>
      <c r="B38" s="17" t="n">
        <v>2807</v>
      </c>
      <c r="C38" s="18">
        <f>(2178.0/B38*100)</f>
        <v/>
      </c>
      <c r="D38" s="19" t="n">
        <v>629</v>
      </c>
      <c r="E38" s="18" t="n">
        <v>62.1814861</v>
      </c>
      <c r="F38" s="20" t="n">
        <v>2.28094644</v>
      </c>
      <c r="G38" s="18" t="n">
        <v>33.9761781</v>
      </c>
      <c r="H38" s="20" t="n">
        <v>2.20149552</v>
      </c>
      <c r="I38" s="18" t="n">
        <v>0</v>
      </c>
      <c r="J38" s="20" t="n">
        <v>0</v>
      </c>
      <c r="K38" s="18" t="n">
        <v>0.21663353</v>
      </c>
      <c r="L38" s="20" t="n">
        <v>0.22660693</v>
      </c>
      <c r="M38" s="18" t="n">
        <v>2.01490639</v>
      </c>
      <c r="N38" s="20" t="n">
        <v>0.58279781</v>
      </c>
      <c r="O38" s="18" t="n">
        <v>0</v>
      </c>
      <c r="P38" s="20" t="n">
        <v>0</v>
      </c>
      <c r="Q38" s="18" t="n">
        <v>1.61079589</v>
      </c>
      <c r="R38" s="20" t="n">
        <v>0.53144345</v>
      </c>
    </row>
    <row r="39" spans="1:18">
      <c r="A39" s="15" t="s">
        <v>597</v>
      </c>
      <c r="B39" s="17" t="n">
        <v>2938</v>
      </c>
      <c r="C39" s="18">
        <f>(2278.0/B39*100)</f>
        <v/>
      </c>
      <c r="D39" s="19" t="n">
        <v>660</v>
      </c>
      <c r="E39" s="18" t="n">
        <v>82.66306038</v>
      </c>
      <c r="F39" s="20" t="n">
        <v>1.36094615</v>
      </c>
      <c r="G39" s="18" t="n">
        <v>16.52025642</v>
      </c>
      <c r="H39" s="20" t="n">
        <v>1.33229336</v>
      </c>
      <c r="I39" s="18" t="n">
        <v>0</v>
      </c>
      <c r="J39" s="20" t="n">
        <v>0</v>
      </c>
      <c r="K39" s="18" t="n">
        <v>0.14248415</v>
      </c>
      <c r="L39" s="20" t="n">
        <v>0.14314033</v>
      </c>
      <c r="M39" s="18" t="n">
        <v>0.23369592</v>
      </c>
      <c r="N39" s="20" t="n">
        <v>0.16246882</v>
      </c>
      <c r="O39" s="18" t="n">
        <v>0</v>
      </c>
      <c r="P39" s="20" t="n">
        <v>0</v>
      </c>
      <c r="Q39" s="18" t="n">
        <v>0.44050314</v>
      </c>
      <c r="R39" s="20" t="n">
        <v>0.23987587</v>
      </c>
    </row>
    <row r="40" spans="1:18">
      <c r="A40" s="15" t="s">
        <v>598</v>
      </c>
      <c r="B40" s="17" t="n">
        <v>6922</v>
      </c>
      <c r="C40" s="18">
        <f>(5387.0/B40*100)</f>
        <v/>
      </c>
      <c r="D40" s="19" t="n">
        <v>1535</v>
      </c>
      <c r="E40" s="18" t="n">
        <v>57.1524741</v>
      </c>
      <c r="F40" s="20" t="n">
        <v>1.75621061</v>
      </c>
      <c r="G40" s="18" t="n">
        <v>40.24826501</v>
      </c>
      <c r="H40" s="20" t="n">
        <v>1.68187992</v>
      </c>
      <c r="I40" s="18" t="n">
        <v>0</v>
      </c>
      <c r="J40" s="20" t="n">
        <v>0</v>
      </c>
      <c r="K40" s="18" t="n">
        <v>0.08436966</v>
      </c>
      <c r="L40" s="20" t="n">
        <v>0.08588572</v>
      </c>
      <c r="M40" s="18" t="n">
        <v>0</v>
      </c>
      <c r="N40" s="20" t="n">
        <v>0</v>
      </c>
      <c r="O40" s="18" t="n">
        <v>0</v>
      </c>
      <c r="P40" s="20" t="n">
        <v>0</v>
      </c>
      <c r="Q40" s="18" t="n">
        <v>2.51489124</v>
      </c>
      <c r="R40" s="20" t="n">
        <v>0.70253882</v>
      </c>
    </row>
    <row r="41" spans="1:18">
      <c r="A41" s="15" t="s">
        <v>599</v>
      </c>
      <c r="B41" s="17" t="n">
        <v>2854</v>
      </c>
      <c r="C41" s="18">
        <f>(2252.0/B41*100)</f>
        <v/>
      </c>
      <c r="D41" s="19" t="n">
        <v>602</v>
      </c>
      <c r="E41" s="18" t="n">
        <v>63.39022154</v>
      </c>
      <c r="F41" s="20" t="n">
        <v>1.83167337</v>
      </c>
      <c r="G41" s="18" t="n">
        <v>36.07915447</v>
      </c>
      <c r="H41" s="20" t="n">
        <v>1.80503786</v>
      </c>
      <c r="I41" s="18" t="n">
        <v>0</v>
      </c>
      <c r="J41" s="20" t="n">
        <v>0</v>
      </c>
      <c r="K41" s="18" t="n">
        <v>0.18900757</v>
      </c>
      <c r="L41" s="20" t="n">
        <v>0.19070007</v>
      </c>
      <c r="M41" s="18" t="n">
        <v>0</v>
      </c>
      <c r="N41" s="20" t="n">
        <v>0</v>
      </c>
      <c r="O41" s="18" t="n">
        <v>0</v>
      </c>
      <c r="P41" s="20" t="n">
        <v>0</v>
      </c>
      <c r="Q41" s="18" t="n">
        <v>0.34161642</v>
      </c>
      <c r="R41" s="20" t="n">
        <v>0.27724117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(9772.0/B46*100)</f>
        <v/>
      </c>
      <c r="D46" s="19" t="n">
        <v>2301</v>
      </c>
      <c r="E46" s="18" t="n">
        <v>61.51981879</v>
      </c>
      <c r="F46" s="20" t="n">
        <v>1.42180362</v>
      </c>
      <c r="G46" s="18" t="n">
        <v>32.49578043</v>
      </c>
      <c r="H46" s="20" t="n">
        <v>1.51630372</v>
      </c>
      <c r="I46" s="18" t="n">
        <v>0</v>
      </c>
      <c r="J46" s="20" t="n">
        <v>0</v>
      </c>
      <c r="K46" s="18" t="n">
        <v>0.85373038</v>
      </c>
      <c r="L46" s="20" t="n">
        <v>0.30154205</v>
      </c>
      <c r="M46" s="18" t="n">
        <v>0.38391984</v>
      </c>
      <c r="N46" s="20" t="n">
        <v>0.13786487</v>
      </c>
      <c r="O46" s="18" t="n">
        <v>0</v>
      </c>
      <c r="P46" s="20" t="n">
        <v>0</v>
      </c>
      <c r="Q46" s="18" t="n">
        <v>4.74675056</v>
      </c>
      <c r="R46" s="20" t="n">
        <v>0.57162242</v>
      </c>
    </row>
    <row r="47" spans="1:18">
      <c r="A47" s="15" t="s">
        <v>606</v>
      </c>
      <c r="B47" s="17" t="n">
        <v>2823</v>
      </c>
      <c r="C47" s="18">
        <f>(2187.0/B47*100)</f>
        <v/>
      </c>
      <c r="D47" s="19" t="n">
        <v>636</v>
      </c>
      <c r="E47" s="18" t="n">
        <v>64.85834776</v>
      </c>
      <c r="F47" s="20" t="n">
        <v>2.00145541</v>
      </c>
      <c r="G47" s="18" t="n">
        <v>33.31499718</v>
      </c>
      <c r="H47" s="20" t="n">
        <v>2.11169394</v>
      </c>
      <c r="I47" s="18" t="n">
        <v>0</v>
      </c>
      <c r="J47" s="20" t="n">
        <v>0</v>
      </c>
      <c r="K47" s="18" t="n">
        <v>0.48016056</v>
      </c>
      <c r="L47" s="20" t="n">
        <v>0.29781039</v>
      </c>
      <c r="M47" s="18" t="n">
        <v>0.15560332</v>
      </c>
      <c r="N47" s="20" t="n">
        <v>0.15467705</v>
      </c>
      <c r="O47" s="18" t="n">
        <v>0</v>
      </c>
      <c r="P47" s="20" t="n">
        <v>0</v>
      </c>
      <c r="Q47" s="18" t="n">
        <v>1.19089118</v>
      </c>
      <c r="R47" s="20" t="n">
        <v>0.33708474</v>
      </c>
    </row>
    <row r="48" spans="1:18">
      <c r="A48" s="15" t="s">
        <v>607</v>
      </c>
      <c r="B48" s="17" t="n">
        <v>4682</v>
      </c>
      <c r="C48" s="18">
        <f>(3680.0/B48*100)</f>
        <v/>
      </c>
      <c r="D48" s="19" t="n">
        <v>1002</v>
      </c>
      <c r="E48" s="18" t="n">
        <v>60.00629768</v>
      </c>
      <c r="F48" s="20" t="n">
        <v>2.78581861</v>
      </c>
      <c r="G48" s="18" t="n">
        <v>38.53839753</v>
      </c>
      <c r="H48" s="20" t="n">
        <v>2.85045236</v>
      </c>
      <c r="I48" s="18" t="n">
        <v>0</v>
      </c>
      <c r="J48" s="20" t="n">
        <v>0</v>
      </c>
      <c r="K48" s="18" t="n">
        <v>0.99329812</v>
      </c>
      <c r="L48" s="20" t="n">
        <v>0.45160822</v>
      </c>
      <c r="M48" s="18" t="n">
        <v>0.22938486</v>
      </c>
      <c r="N48" s="20" t="n">
        <v>0.18318068</v>
      </c>
      <c r="O48" s="18" t="n">
        <v>0</v>
      </c>
      <c r="P48" s="20" t="n">
        <v>0</v>
      </c>
      <c r="Q48" s="18" t="n">
        <v>0.23262182</v>
      </c>
      <c r="R48" s="20" t="n">
        <v>0.1552305</v>
      </c>
    </row>
    <row r="49" spans="1:18">
      <c r="A49" s="15" t="s">
        <v>608</v>
      </c>
      <c r="B49" s="17" t="n">
        <v>6158</v>
      </c>
      <c r="C49" s="18">
        <f>(4801.0/B49*100)</f>
        <v/>
      </c>
      <c r="D49" s="19" t="n">
        <v>1357</v>
      </c>
      <c r="E49" s="18" t="n">
        <v>77.00897775</v>
      </c>
      <c r="F49" s="20" t="n">
        <v>1.38667043</v>
      </c>
      <c r="G49" s="18" t="n">
        <v>21.44252078</v>
      </c>
      <c r="H49" s="20" t="n">
        <v>1.35051584</v>
      </c>
      <c r="I49" s="18" t="n">
        <v>0</v>
      </c>
      <c r="J49" s="20" t="n">
        <v>0</v>
      </c>
      <c r="K49" s="18" t="n">
        <v>0.71597383</v>
      </c>
      <c r="L49" s="20" t="n">
        <v>0.28619309</v>
      </c>
      <c r="M49" s="18" t="n">
        <v>0.02716813</v>
      </c>
      <c r="N49" s="20" t="n">
        <v>0.0205282</v>
      </c>
      <c r="O49" s="18" t="n">
        <v>0</v>
      </c>
      <c r="P49" s="20" t="n">
        <v>0</v>
      </c>
      <c r="Q49" s="18" t="n">
        <v>0.8053595099999999</v>
      </c>
      <c r="R49" s="20" t="n">
        <v>0.34685862</v>
      </c>
    </row>
    <row r="50" spans="1:18">
      <c r="A50" s="15" t="s">
        <v>609</v>
      </c>
      <c r="B50" s="17" t="n">
        <v>3494</v>
      </c>
      <c r="C50" s="18">
        <f>(2810.0/B50*100)</f>
        <v/>
      </c>
      <c r="D50" s="19" t="n">
        <v>684</v>
      </c>
      <c r="E50" s="18" t="n">
        <v>77.50165092</v>
      </c>
      <c r="F50" s="20" t="n">
        <v>1.40495799</v>
      </c>
      <c r="G50" s="18" t="n">
        <v>20.43826089</v>
      </c>
      <c r="H50" s="20" t="n">
        <v>1.3605258</v>
      </c>
      <c r="I50" s="18" t="n">
        <v>0</v>
      </c>
      <c r="J50" s="20" t="n">
        <v>0</v>
      </c>
      <c r="K50" s="18" t="n">
        <v>0.57875796</v>
      </c>
      <c r="L50" s="20" t="n">
        <v>0.37287898</v>
      </c>
      <c r="M50" s="18" t="n">
        <v>0</v>
      </c>
      <c r="N50" s="20" t="n">
        <v>0</v>
      </c>
      <c r="O50" s="18" t="n">
        <v>0</v>
      </c>
      <c r="P50" s="20" t="n">
        <v>0</v>
      </c>
      <c r="Q50" s="18" t="n">
        <v>1.48133023</v>
      </c>
      <c r="R50" s="20" t="n">
        <v>0.53728051</v>
      </c>
    </row>
    <row r="51" spans="1:18">
      <c r="A51" s="15" t="s">
        <v>610</v>
      </c>
      <c r="B51" s="17" t="n">
        <v>3013</v>
      </c>
      <c r="C51" s="18">
        <f>(2366.0/B51*100)</f>
        <v/>
      </c>
      <c r="D51" s="19" t="n">
        <v>647</v>
      </c>
      <c r="E51" s="18" t="n">
        <v>65.52996895</v>
      </c>
      <c r="F51" s="20" t="n">
        <v>1.99087477</v>
      </c>
      <c r="G51" s="18" t="n">
        <v>32.62691418</v>
      </c>
      <c r="H51" s="20" t="n">
        <v>2.04616397</v>
      </c>
      <c r="I51" s="18" t="n">
        <v>0</v>
      </c>
      <c r="J51" s="20" t="n">
        <v>0</v>
      </c>
      <c r="K51" s="18" t="n">
        <v>0</v>
      </c>
      <c r="L51" s="20" t="n">
        <v>0</v>
      </c>
      <c r="M51" s="18" t="n">
        <v>0</v>
      </c>
      <c r="N51" s="20" t="n">
        <v>0</v>
      </c>
      <c r="O51" s="18" t="n">
        <v>0</v>
      </c>
      <c r="P51" s="20" t="n">
        <v>0</v>
      </c>
      <c r="Q51" s="18" t="n">
        <v>1.84311687</v>
      </c>
      <c r="R51" s="20" t="n">
        <v>0.51356709</v>
      </c>
    </row>
    <row r="52" spans="1:18">
      <c r="A52" s="15" t="s">
        <v>611</v>
      </c>
      <c r="B52" s="17" t="n">
        <v>2760</v>
      </c>
      <c r="C52" s="18">
        <f>(2159.0/B52*100)</f>
        <v/>
      </c>
      <c r="D52" s="19" t="n">
        <v>601</v>
      </c>
      <c r="E52" s="18" t="n">
        <v>74.78173846</v>
      </c>
      <c r="F52" s="20" t="n">
        <v>1.84613526</v>
      </c>
      <c r="G52" s="18" t="n">
        <v>24.33526284</v>
      </c>
      <c r="H52" s="20" t="n">
        <v>1.81639323</v>
      </c>
      <c r="I52" s="18" t="n">
        <v>0</v>
      </c>
      <c r="J52" s="20" t="n">
        <v>0</v>
      </c>
      <c r="K52" s="18" t="n">
        <v>0</v>
      </c>
      <c r="L52" s="20" t="n">
        <v>0</v>
      </c>
      <c r="M52" s="18" t="n">
        <v>0</v>
      </c>
      <c r="N52" s="20" t="n">
        <v>0</v>
      </c>
      <c r="O52" s="18" t="n">
        <v>0</v>
      </c>
      <c r="P52" s="20" t="n">
        <v>0</v>
      </c>
      <c r="Q52" s="18" t="n">
        <v>0.8829987</v>
      </c>
      <c r="R52" s="20" t="n">
        <v>0.36723601</v>
      </c>
    </row>
    <row r="53" spans="1:18">
      <c r="A53" s="15" t="s">
        <v>612</v>
      </c>
      <c r="B53" s="17" t="n">
        <v>2474</v>
      </c>
      <c r="C53" s="18">
        <f>(1887.0/B53*100)</f>
        <v/>
      </c>
      <c r="D53" s="19" t="n">
        <v>587</v>
      </c>
      <c r="E53" s="18" t="n">
        <v>79.92447682</v>
      </c>
      <c r="F53" s="20" t="n">
        <v>1.70839806</v>
      </c>
      <c r="G53" s="18" t="n">
        <v>7.57923294</v>
      </c>
      <c r="H53" s="20" t="n">
        <v>1.11557772</v>
      </c>
      <c r="I53" s="18" t="n">
        <v>0</v>
      </c>
      <c r="J53" s="20" t="n">
        <v>0</v>
      </c>
      <c r="K53" s="18" t="n">
        <v>7.9325356</v>
      </c>
      <c r="L53" s="20" t="n">
        <v>1.10799545</v>
      </c>
      <c r="M53" s="18" t="n">
        <v>0.7610014899999999</v>
      </c>
      <c r="N53" s="20" t="n">
        <v>0.83338031</v>
      </c>
      <c r="O53" s="18" t="n">
        <v>0</v>
      </c>
      <c r="P53" s="20" t="n">
        <v>0</v>
      </c>
      <c r="Q53" s="18" t="n">
        <v>3.80275315</v>
      </c>
      <c r="R53" s="20" t="n">
        <v>0.7854828700000001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(2068.0/B55*100)</f>
        <v/>
      </c>
      <c r="D55" s="19" t="n">
        <v>607</v>
      </c>
      <c r="E55" s="18" t="n">
        <v>61.9154586</v>
      </c>
      <c r="F55" s="20" t="n">
        <v>2.18079931</v>
      </c>
      <c r="G55" s="18" t="n">
        <v>37.64354196</v>
      </c>
      <c r="H55" s="20" t="n">
        <v>2.18211204</v>
      </c>
      <c r="I55" s="18" t="n">
        <v>0</v>
      </c>
      <c r="J55" s="20" t="n">
        <v>0</v>
      </c>
      <c r="K55" s="18" t="n">
        <v>0</v>
      </c>
      <c r="L55" s="20" t="n">
        <v>0</v>
      </c>
      <c r="M55" s="18" t="n">
        <v>0</v>
      </c>
      <c r="N55" s="20" t="n">
        <v>0</v>
      </c>
      <c r="O55" s="18" t="n">
        <v>0</v>
      </c>
      <c r="P55" s="20" t="n">
        <v>0</v>
      </c>
      <c r="Q55" s="18" t="n">
        <v>0.44099943</v>
      </c>
      <c r="R55" s="20" t="n">
        <v>0.25750318</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(2489.0/B61*100)</f>
        <v/>
      </c>
      <c r="D61" s="19" t="n">
        <v>712</v>
      </c>
      <c r="E61" s="18" t="n">
        <v>69.81149621</v>
      </c>
      <c r="F61" s="20" t="n">
        <v>1.95945415</v>
      </c>
      <c r="G61" s="18" t="n">
        <v>28.60033223</v>
      </c>
      <c r="H61" s="20" t="n">
        <v>1.93772042</v>
      </c>
      <c r="I61" s="18" t="n">
        <v>0</v>
      </c>
      <c r="J61" s="20" t="n">
        <v>0</v>
      </c>
      <c r="K61" s="18" t="n">
        <v>0.66528483</v>
      </c>
      <c r="L61" s="20" t="n">
        <v>0.44245728</v>
      </c>
      <c r="M61" s="18" t="n">
        <v>0</v>
      </c>
      <c r="N61" s="20" t="n">
        <v>0</v>
      </c>
      <c r="O61" s="18" t="n">
        <v>0</v>
      </c>
      <c r="P61" s="20" t="n">
        <v>0</v>
      </c>
      <c r="Q61" s="18" t="n">
        <v>0.92288672</v>
      </c>
      <c r="R61" s="20" t="n">
        <v>0.40645279</v>
      </c>
    </row>
    <row r="62" spans="1:18">
      <c r="A62" s="15" t="s">
        <v>622</v>
      </c>
      <c r="B62" s="17" t="n">
        <v>2230</v>
      </c>
      <c r="C62" s="18">
        <f>(1744.0/B62*100)</f>
        <v/>
      </c>
      <c r="D62" s="19" t="n">
        <v>486</v>
      </c>
      <c r="E62" s="18" t="n">
        <v>60.27421058</v>
      </c>
      <c r="F62" s="20" t="n">
        <v>2.09356775</v>
      </c>
      <c r="G62" s="18" t="n">
        <v>39.3144181</v>
      </c>
      <c r="H62" s="20" t="n">
        <v>2.12853881</v>
      </c>
      <c r="I62" s="18" t="n">
        <v>0</v>
      </c>
      <c r="J62" s="20" t="n">
        <v>0</v>
      </c>
      <c r="K62" s="18" t="n">
        <v>0</v>
      </c>
      <c r="L62" s="20" t="n">
        <v>0</v>
      </c>
      <c r="M62" s="18" t="n">
        <v>0.20677412</v>
      </c>
      <c r="N62" s="20" t="n">
        <v>0.20614039</v>
      </c>
      <c r="O62" s="18" t="n">
        <v>0</v>
      </c>
      <c r="P62" s="20" t="n">
        <v>0</v>
      </c>
      <c r="Q62" s="18" t="n">
        <v>0.2045972</v>
      </c>
      <c r="R62" s="20" t="n">
        <v>0.20392834</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(2154.0/B67*100)</f>
        <v/>
      </c>
      <c r="D67" s="19" t="n">
        <v>617</v>
      </c>
      <c r="E67" s="18" t="n">
        <v>71.16838215</v>
      </c>
      <c r="F67" s="20" t="n">
        <v>1.66978903</v>
      </c>
      <c r="G67" s="18" t="n">
        <v>24.40677755</v>
      </c>
      <c r="H67" s="20" t="n">
        <v>1.77154839</v>
      </c>
      <c r="I67" s="18" t="n">
        <v>0</v>
      </c>
      <c r="J67" s="20" t="n">
        <v>0</v>
      </c>
      <c r="K67" s="18" t="n">
        <v>0.44532562</v>
      </c>
      <c r="L67" s="20" t="n">
        <v>0.26127583</v>
      </c>
      <c r="M67" s="18" t="n">
        <v>0.42960554</v>
      </c>
      <c r="N67" s="20" t="n">
        <v>0.246875</v>
      </c>
      <c r="O67" s="18" t="n">
        <v>0</v>
      </c>
      <c r="P67" s="20" t="n">
        <v>0</v>
      </c>
      <c r="Q67" s="18" t="n">
        <v>3.54990914</v>
      </c>
      <c r="R67" s="20" t="n">
        <v>0.69225441</v>
      </c>
    </row>
    <row r="68" spans="1:18">
      <c r="A68" s="15" t="s">
        <v>628</v>
      </c>
      <c r="B68" s="17" t="n">
        <v>3460</v>
      </c>
      <c r="C68" s="18">
        <f>(2781.0/B68*100)</f>
        <v/>
      </c>
      <c r="D68" s="19" t="n">
        <v>679</v>
      </c>
      <c r="E68" s="18" t="n">
        <v>81.11917307</v>
      </c>
      <c r="F68" s="20" t="n">
        <v>1.45236612</v>
      </c>
      <c r="G68" s="18" t="n">
        <v>15.92840689</v>
      </c>
      <c r="H68" s="20" t="n">
        <v>1.35157692</v>
      </c>
      <c r="I68" s="18" t="n">
        <v>0</v>
      </c>
      <c r="J68" s="20" t="n">
        <v>0</v>
      </c>
      <c r="K68" s="18" t="n">
        <v>0.25840313</v>
      </c>
      <c r="L68" s="20" t="n">
        <v>0.18516349</v>
      </c>
      <c r="M68" s="18" t="n">
        <v>0.39922711</v>
      </c>
      <c r="N68" s="20" t="n">
        <v>0.28084684</v>
      </c>
      <c r="O68" s="18" t="n">
        <v>0</v>
      </c>
      <c r="P68" s="20" t="n">
        <v>0</v>
      </c>
      <c r="Q68" s="18" t="n">
        <v>2.29478981</v>
      </c>
      <c r="R68" s="20" t="n">
        <v>0.665084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(4675.0/B70*100)</f>
        <v/>
      </c>
      <c r="D70" s="19" t="n">
        <v>1359</v>
      </c>
      <c r="E70" s="18" t="n">
        <v>79.02920195999999</v>
      </c>
      <c r="F70" s="20" t="n">
        <v>1.05085302</v>
      </c>
      <c r="G70" s="18" t="n">
        <v>18.28280357</v>
      </c>
      <c r="H70" s="20" t="n">
        <v>1.03742481</v>
      </c>
      <c r="I70" s="18" t="n">
        <v>0</v>
      </c>
      <c r="J70" s="20" t="n">
        <v>0</v>
      </c>
      <c r="K70" s="18" t="n">
        <v>0.94698474</v>
      </c>
      <c r="L70" s="20" t="n">
        <v>0.28074729</v>
      </c>
      <c r="M70" s="18" t="n">
        <v>0.14280787</v>
      </c>
      <c r="N70" s="20" t="n">
        <v>0.10145543</v>
      </c>
      <c r="O70" s="18" t="n">
        <v>0</v>
      </c>
      <c r="P70" s="20" t="n">
        <v>0</v>
      </c>
      <c r="Q70" s="18" t="n">
        <v>1.59820187</v>
      </c>
      <c r="R70" s="20" t="n">
        <v>0.33368074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(2417.0/B72*100)</f>
        <v/>
      </c>
      <c r="D72" s="19" t="n">
        <v>690</v>
      </c>
      <c r="E72" s="18" t="n">
        <v>60.31848817</v>
      </c>
      <c r="F72" s="20" t="n">
        <v>1.6737186</v>
      </c>
      <c r="G72" s="18" t="n">
        <v>37.80205515</v>
      </c>
      <c r="H72" s="20" t="n">
        <v>1.59775726</v>
      </c>
      <c r="I72" s="18" t="n">
        <v>0</v>
      </c>
      <c r="J72" s="20" t="n">
        <v>0</v>
      </c>
      <c r="K72" s="18" t="n">
        <v>0.46345746</v>
      </c>
      <c r="L72" s="20" t="n">
        <v>0.20398085</v>
      </c>
      <c r="M72" s="18" t="n">
        <v>0</v>
      </c>
      <c r="N72" s="20" t="n">
        <v>0</v>
      </c>
      <c r="O72" s="18" t="n">
        <v>0</v>
      </c>
      <c r="P72" s="20" t="n">
        <v>0</v>
      </c>
      <c r="Q72" s="18" t="n">
        <v>1.41599922</v>
      </c>
      <c r="R72" s="20" t="n">
        <v>0.633315</v>
      </c>
    </row>
    <row r="73" spans="1:18">
      <c r="A73" s="15" t="s">
        <v>633</v>
      </c>
      <c r="B73" s="17" t="n">
        <v>2973</v>
      </c>
      <c r="C73" s="18">
        <f>(2327.0/B73*100)</f>
        <v/>
      </c>
      <c r="D73" s="19" t="n">
        <v>646</v>
      </c>
      <c r="E73" s="18" t="n">
        <v>49.41096942</v>
      </c>
      <c r="F73" s="20" t="n">
        <v>1.84124383</v>
      </c>
      <c r="G73" s="18" t="n">
        <v>50.05857917</v>
      </c>
      <c r="H73" s="20" t="n">
        <v>1.83209981</v>
      </c>
      <c r="I73" s="18" t="n">
        <v>0</v>
      </c>
      <c r="J73" s="20" t="n">
        <v>0</v>
      </c>
      <c r="K73" s="18" t="n">
        <v>0</v>
      </c>
      <c r="L73" s="20" t="n">
        <v>0</v>
      </c>
      <c r="M73" s="18" t="n">
        <v>0</v>
      </c>
      <c r="N73" s="20" t="n">
        <v>0</v>
      </c>
      <c r="O73" s="18" t="n">
        <v>0</v>
      </c>
      <c r="P73" s="20" t="n">
        <v>0</v>
      </c>
      <c r="Q73" s="18" t="n">
        <v>0.53045141</v>
      </c>
      <c r="R73" s="20" t="n">
        <v>0.30759278</v>
      </c>
    </row>
    <row r="74" spans="1:18">
      <c r="A74" s="15" t="s">
        <v>634</v>
      </c>
      <c r="B74" s="17" t="n">
        <v>3819</v>
      </c>
      <c r="C74" s="18">
        <f>(3013.0/B74*100)</f>
        <v/>
      </c>
      <c r="D74" s="19" t="n">
        <v>806</v>
      </c>
      <c r="E74" s="18" t="n">
        <v>54.94676367</v>
      </c>
      <c r="F74" s="20" t="n">
        <v>1.9498145</v>
      </c>
      <c r="G74" s="18" t="n">
        <v>44.26458703</v>
      </c>
      <c r="H74" s="20" t="n">
        <v>2.00053402</v>
      </c>
      <c r="I74" s="18" t="n">
        <v>0</v>
      </c>
      <c r="J74" s="20" t="n">
        <v>0</v>
      </c>
      <c r="K74" s="18" t="n">
        <v>0.19101494</v>
      </c>
      <c r="L74" s="20" t="n">
        <v>0.27024971</v>
      </c>
      <c r="M74" s="18" t="n">
        <v>0</v>
      </c>
      <c r="N74" s="20" t="n">
        <v>0</v>
      </c>
      <c r="O74" s="18" t="n">
        <v>0</v>
      </c>
      <c r="P74" s="20" t="n">
        <v>0</v>
      </c>
      <c r="Q74" s="18" t="n">
        <v>0.59763436</v>
      </c>
      <c r="R74" s="20" t="n">
        <v>0.2802496</v>
      </c>
    </row>
    <row r="75" spans="1:18">
      <c r="A75" s="15" t="s">
        <v>635</v>
      </c>
      <c r="B75" s="17" t="n">
        <v>4652</v>
      </c>
      <c r="C75" s="18">
        <f>(3636.0/B75*100)</f>
        <v/>
      </c>
      <c r="D75" s="19" t="n">
        <v>1016</v>
      </c>
      <c r="E75" s="18" t="n">
        <v>85.23329284</v>
      </c>
      <c r="F75" s="20" t="n">
        <v>1.53662885</v>
      </c>
      <c r="G75" s="18" t="n">
        <v>14.48182215</v>
      </c>
      <c r="H75" s="20" t="n">
        <v>1.56549992</v>
      </c>
      <c r="I75" s="18" t="n">
        <v>0</v>
      </c>
      <c r="J75" s="20" t="n">
        <v>0</v>
      </c>
      <c r="K75" s="18" t="n">
        <v>0.14197176</v>
      </c>
      <c r="L75" s="20" t="n">
        <v>0.14160646</v>
      </c>
      <c r="M75" s="18" t="n">
        <v>0</v>
      </c>
      <c r="N75" s="20" t="n">
        <v>0</v>
      </c>
      <c r="O75" s="18" t="n">
        <v>0</v>
      </c>
      <c r="P75" s="20" t="n">
        <v>0</v>
      </c>
      <c r="Q75" s="18" t="n">
        <v>0.14291325</v>
      </c>
      <c r="R75" s="20" t="n">
        <v>0.13634962</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(2359.0/B77*100)</f>
        <v/>
      </c>
      <c r="D77" s="19" t="n">
        <v>610</v>
      </c>
      <c r="E77" s="18" t="n">
        <v>87.97154782</v>
      </c>
      <c r="F77" s="20" t="n">
        <v>1.4488337</v>
      </c>
      <c r="G77" s="18" t="n">
        <v>7.67330398</v>
      </c>
      <c r="H77" s="20" t="n">
        <v>1.33098622</v>
      </c>
      <c r="I77" s="18" t="n">
        <v>0</v>
      </c>
      <c r="J77" s="20" t="n">
        <v>0</v>
      </c>
      <c r="K77" s="18" t="n">
        <v>1.20181635</v>
      </c>
      <c r="L77" s="20" t="n">
        <v>0.61768189</v>
      </c>
      <c r="M77" s="18" t="n">
        <v>1.40582426</v>
      </c>
      <c r="N77" s="20" t="n">
        <v>0.6209019</v>
      </c>
      <c r="O77" s="18" t="n">
        <v>0</v>
      </c>
      <c r="P77" s="20" t="n">
        <v>0</v>
      </c>
      <c r="Q77" s="18" t="n">
        <v>1.74750759</v>
      </c>
      <c r="R77" s="20" t="n">
        <v>0.42257686</v>
      </c>
    </row>
    <row r="78" spans="1:18">
      <c r="A78" s="15" t="s">
        <v>638</v>
      </c>
      <c r="B78" s="17" t="n">
        <v>7115</v>
      </c>
      <c r="C78" s="18">
        <f>(5532.0/B78*100)</f>
        <v/>
      </c>
      <c r="D78" s="19" t="n">
        <v>1583</v>
      </c>
      <c r="E78" s="18" t="n">
        <v>73.71698172000001</v>
      </c>
      <c r="F78" s="20" t="n">
        <v>1.20278522</v>
      </c>
      <c r="G78" s="18" t="n">
        <v>24.92918091</v>
      </c>
      <c r="H78" s="20" t="n">
        <v>1.16311563</v>
      </c>
      <c r="I78" s="18" t="n">
        <v>0</v>
      </c>
      <c r="J78" s="20" t="n">
        <v>0</v>
      </c>
      <c r="K78" s="18" t="n">
        <v>0.58896248</v>
      </c>
      <c r="L78" s="20" t="n">
        <v>0.18224428</v>
      </c>
      <c r="M78" s="18" t="n">
        <v>0.13874523</v>
      </c>
      <c r="N78" s="20" t="n">
        <v>0.07433816</v>
      </c>
      <c r="O78" s="18" t="n">
        <v>0</v>
      </c>
      <c r="P78" s="20" t="n">
        <v>0</v>
      </c>
      <c r="Q78" s="18" t="n">
        <v>0.62612966</v>
      </c>
      <c r="R78" s="20" t="n">
        <v>0.18708555</v>
      </c>
    </row>
    <row r="79" spans="1:18">
      <c r="A79" s="15" t="s">
        <v>639</v>
      </c>
      <c r="B79" s="17" t="n">
        <v>3154</v>
      </c>
      <c r="C79" s="18">
        <f>(2438.0/B79*100)</f>
        <v/>
      </c>
      <c r="D79" s="19" t="n">
        <v>716</v>
      </c>
      <c r="E79" s="18" t="n">
        <v>71.52727973</v>
      </c>
      <c r="F79" s="20" t="n">
        <v>1.85717615</v>
      </c>
      <c r="G79" s="18" t="n">
        <v>25.22325271</v>
      </c>
      <c r="H79" s="20" t="n">
        <v>1.65978028</v>
      </c>
      <c r="I79" s="18" t="n">
        <v>0</v>
      </c>
      <c r="J79" s="20" t="n">
        <v>0</v>
      </c>
      <c r="K79" s="18" t="n">
        <v>0.40214462</v>
      </c>
      <c r="L79" s="20" t="n">
        <v>0.26680073</v>
      </c>
      <c r="M79" s="18" t="n">
        <v>0.32494859</v>
      </c>
      <c r="N79" s="20" t="n">
        <v>0.23498843</v>
      </c>
      <c r="O79" s="18" t="n">
        <v>0</v>
      </c>
      <c r="P79" s="20" t="n">
        <v>0</v>
      </c>
      <c r="Q79" s="18" t="n">
        <v>2.52237436</v>
      </c>
      <c r="R79" s="20" t="n">
        <v>0.64743764</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(12405.0/B82*100)</f>
        <v/>
      </c>
      <c r="D82" s="19" t="n">
        <v>3556</v>
      </c>
      <c r="E82" s="18" t="n">
        <v>66.49999434999999</v>
      </c>
      <c r="F82" s="20" t="n">
        <v>1.28741029</v>
      </c>
      <c r="G82" s="18" t="n">
        <v>31.99612641</v>
      </c>
      <c r="H82" s="20" t="n">
        <v>1.20217387</v>
      </c>
      <c r="I82" s="18" t="n">
        <v>0</v>
      </c>
      <c r="J82" s="20" t="n">
        <v>0</v>
      </c>
      <c r="K82" s="18" t="n">
        <v>0.21515936</v>
      </c>
      <c r="L82" s="20" t="n">
        <v>0.10396769</v>
      </c>
      <c r="M82" s="18" t="n">
        <v>0.07435139</v>
      </c>
      <c r="N82" s="20" t="n">
        <v>0.07464743</v>
      </c>
      <c r="O82" s="18" t="n">
        <v>0</v>
      </c>
      <c r="P82" s="20" t="n">
        <v>0</v>
      </c>
      <c r="Q82" s="18" t="n">
        <v>1.21436849</v>
      </c>
      <c r="R82" s="20" t="n">
        <v>0.27052278</v>
      </c>
    </row>
    <row r="83" spans="1:18">
      <c r="A83" s="15" t="s">
        <v>643</v>
      </c>
      <c r="B83" s="17" t="n">
        <v>808</v>
      </c>
      <c r="C83" s="18">
        <f>(619.0/B83*100)</f>
        <v/>
      </c>
      <c r="D83" s="19" t="n">
        <v>189</v>
      </c>
      <c r="E83" s="18" t="n">
        <v>53.26568088</v>
      </c>
      <c r="F83" s="20" t="n">
        <v>5.30004335</v>
      </c>
      <c r="G83" s="18" t="n">
        <v>46.73431912</v>
      </c>
      <c r="H83" s="20" t="n">
        <v>5.30004335</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(715.0/B84*100)</f>
        <v/>
      </c>
      <c r="D84" s="19" t="n">
        <v>223</v>
      </c>
      <c r="E84" s="18" t="n">
        <v>67.17045582999999</v>
      </c>
      <c r="F84" s="20" t="n">
        <v>2.74632902</v>
      </c>
      <c r="G84" s="18" t="n">
        <v>32.25485605</v>
      </c>
      <c r="H84" s="20" t="n">
        <v>2.74763059</v>
      </c>
      <c r="I84" s="18" t="n">
        <v>0</v>
      </c>
      <c r="J84" s="20" t="n">
        <v>0</v>
      </c>
      <c r="K84" s="18" t="n">
        <v>0</v>
      </c>
      <c r="L84" s="20" t="n">
        <v>0</v>
      </c>
      <c r="M84" s="18" t="n">
        <v>0</v>
      </c>
      <c r="N84" s="20" t="n">
        <v>0</v>
      </c>
      <c r="O84" s="18" t="n">
        <v>0</v>
      </c>
      <c r="P84" s="20" t="n">
        <v>0</v>
      </c>
      <c r="Q84" s="18" t="n">
        <v>0.57468812</v>
      </c>
      <c r="R84" s="20" t="n">
        <v>0.52837289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(5627.0/B7*100)</f>
        <v/>
      </c>
      <c r="D7" s="19" t="n">
        <v>1536</v>
      </c>
      <c r="E7" s="18" t="n">
        <v>80.91081056</v>
      </c>
      <c r="F7" s="20" t="n">
        <v>1.20471402</v>
      </c>
      <c r="G7" s="18" t="n">
        <v>7.56671621</v>
      </c>
      <c r="H7" s="20" t="n">
        <v>0.86398997</v>
      </c>
      <c r="I7" s="18" t="n">
        <v>0</v>
      </c>
      <c r="J7" s="20" t="n">
        <v>0</v>
      </c>
      <c r="K7" s="18" t="n">
        <v>0.29433048</v>
      </c>
      <c r="L7" s="20" t="n">
        <v>0.1934768</v>
      </c>
      <c r="M7" s="18" t="n">
        <v>0</v>
      </c>
      <c r="N7" s="20" t="n">
        <v>0</v>
      </c>
      <c r="O7" s="18" t="n">
        <v>0</v>
      </c>
      <c r="P7" s="20" t="n">
        <v>0</v>
      </c>
      <c r="Q7" s="18" t="n">
        <v>11.22814275</v>
      </c>
      <c r="R7" s="20" t="n">
        <v>0.8139302</v>
      </c>
    </row>
    <row r="8" spans="1:18">
      <c r="A8" s="15" t="s">
        <v>566</v>
      </c>
      <c r="B8" s="17" t="n">
        <v>3443</v>
      </c>
      <c r="C8" s="18">
        <f>(2669.0/B8*100)</f>
        <v/>
      </c>
      <c r="D8" s="19" t="n">
        <v>774</v>
      </c>
      <c r="E8" s="18" t="n">
        <v>81.23935566</v>
      </c>
      <c r="F8" s="20" t="n">
        <v>1.25114592</v>
      </c>
      <c r="G8" s="18" t="n">
        <v>8.095202479999999</v>
      </c>
      <c r="H8" s="20" t="n">
        <v>0.94027711</v>
      </c>
      <c r="I8" s="18" t="n">
        <v>0</v>
      </c>
      <c r="J8" s="20" t="n">
        <v>0</v>
      </c>
      <c r="K8" s="18" t="n">
        <v>0</v>
      </c>
      <c r="L8" s="20" t="n">
        <v>0</v>
      </c>
      <c r="M8" s="18" t="n">
        <v>0</v>
      </c>
      <c r="N8" s="20" t="n">
        <v>0</v>
      </c>
      <c r="O8" s="18" t="n">
        <v>0</v>
      </c>
      <c r="P8" s="20" t="n">
        <v>0</v>
      </c>
      <c r="Q8" s="18" t="n">
        <v>10.66544186</v>
      </c>
      <c r="R8" s="20" t="n">
        <v>1.20291145</v>
      </c>
    </row>
    <row r="9" spans="1:18">
      <c r="A9" s="15" t="s">
        <v>567</v>
      </c>
      <c r="B9" s="17" t="n">
        <v>4752</v>
      </c>
      <c r="C9" s="18">
        <f>(3710.0/B9*100)</f>
        <v/>
      </c>
      <c r="D9" s="19" t="n">
        <v>1042</v>
      </c>
      <c r="E9" s="18" t="n">
        <v>82.72116468</v>
      </c>
      <c r="F9" s="20" t="n">
        <v>1.3197323</v>
      </c>
      <c r="G9" s="18" t="n">
        <v>5.35699192</v>
      </c>
      <c r="H9" s="20" t="n">
        <v>0.7367481299999999</v>
      </c>
      <c r="I9" s="18" t="n">
        <v>0</v>
      </c>
      <c r="J9" s="20" t="n">
        <v>0</v>
      </c>
      <c r="K9" s="18" t="n">
        <v>0.39787795</v>
      </c>
      <c r="L9" s="20" t="n">
        <v>0.20624862</v>
      </c>
      <c r="M9" s="18" t="n">
        <v>0</v>
      </c>
      <c r="N9" s="20" t="n">
        <v>0</v>
      </c>
      <c r="O9" s="18" t="n">
        <v>0</v>
      </c>
      <c r="P9" s="20" t="n">
        <v>0</v>
      </c>
      <c r="Q9" s="18" t="n">
        <v>11.52396545</v>
      </c>
      <c r="R9" s="20" t="n">
        <v>1.08579001</v>
      </c>
    </row>
    <row r="10" spans="1:18">
      <c r="A10" s="15" t="s">
        <v>568</v>
      </c>
      <c r="B10" s="17" t="n">
        <v>10022</v>
      </c>
      <c r="C10" s="18">
        <f>(7817.0/B10*100)</f>
        <v/>
      </c>
      <c r="D10" s="19" t="n">
        <v>2205</v>
      </c>
      <c r="E10" s="18" t="n">
        <v>81.31514901</v>
      </c>
      <c r="F10" s="20" t="n">
        <v>1.18737173</v>
      </c>
      <c r="G10" s="18" t="n">
        <v>6.49745126</v>
      </c>
      <c r="H10" s="20" t="n">
        <v>0.79157982</v>
      </c>
      <c r="I10" s="18" t="n">
        <v>0</v>
      </c>
      <c r="J10" s="20" t="n">
        <v>0</v>
      </c>
      <c r="K10" s="18" t="n">
        <v>0.19971533</v>
      </c>
      <c r="L10" s="20" t="n">
        <v>0.12332466</v>
      </c>
      <c r="M10" s="18" t="n">
        <v>0</v>
      </c>
      <c r="N10" s="20" t="n">
        <v>0</v>
      </c>
      <c r="O10" s="18" t="n">
        <v>0</v>
      </c>
      <c r="P10" s="20" t="n">
        <v>0</v>
      </c>
      <c r="Q10" s="18" t="n">
        <v>11.98768441</v>
      </c>
      <c r="R10" s="20" t="n">
        <v>0.89808516</v>
      </c>
    </row>
    <row r="11" spans="1:18">
      <c r="A11" s="15" t="s">
        <v>569</v>
      </c>
      <c r="B11" s="17" t="n">
        <v>3500</v>
      </c>
      <c r="C11" s="18">
        <f>(2718.0/B11*100)</f>
        <v/>
      </c>
      <c r="D11" s="19" t="n">
        <v>782</v>
      </c>
      <c r="E11" s="18" t="n">
        <v>73.31833231</v>
      </c>
      <c r="F11" s="20" t="n">
        <v>1.93563097</v>
      </c>
      <c r="G11" s="18" t="n">
        <v>0.65910619</v>
      </c>
      <c r="H11" s="20" t="n">
        <v>0.27819965</v>
      </c>
      <c r="I11" s="18" t="n">
        <v>0</v>
      </c>
      <c r="J11" s="20" t="n">
        <v>0</v>
      </c>
      <c r="K11" s="18" t="n">
        <v>0.70225279</v>
      </c>
      <c r="L11" s="20" t="n">
        <v>0.33815566</v>
      </c>
      <c r="M11" s="18" t="n">
        <v>0</v>
      </c>
      <c r="N11" s="20" t="n">
        <v>0</v>
      </c>
      <c r="O11" s="18" t="n">
        <v>0</v>
      </c>
      <c r="P11" s="20" t="n">
        <v>0</v>
      </c>
      <c r="Q11" s="18" t="n">
        <v>25.32030872</v>
      </c>
      <c r="R11" s="20" t="n">
        <v>1.90620711</v>
      </c>
    </row>
    <row r="12" spans="1:18">
      <c r="A12" s="15" t="s">
        <v>570</v>
      </c>
      <c r="B12" s="17" t="n">
        <v>3422</v>
      </c>
      <c r="C12" s="18">
        <f>(2705.0/B12*100)</f>
        <v/>
      </c>
      <c r="D12" s="19" t="n">
        <v>717</v>
      </c>
      <c r="E12" s="18" t="n">
        <v>85.77481032</v>
      </c>
      <c r="F12" s="20" t="n">
        <v>1.40159735</v>
      </c>
      <c r="G12" s="18" t="n">
        <v>3.48493455</v>
      </c>
      <c r="H12" s="20" t="n">
        <v>0.63049941</v>
      </c>
      <c r="I12" s="18" t="n">
        <v>0</v>
      </c>
      <c r="J12" s="20" t="n">
        <v>0</v>
      </c>
      <c r="K12" s="18" t="n">
        <v>0.12154152</v>
      </c>
      <c r="L12" s="20" t="n">
        <v>0.11537642</v>
      </c>
      <c r="M12" s="18" t="n">
        <v>0</v>
      </c>
      <c r="N12" s="20" t="n">
        <v>0</v>
      </c>
      <c r="O12" s="18" t="n">
        <v>0</v>
      </c>
      <c r="P12" s="20" t="n">
        <v>0</v>
      </c>
      <c r="Q12" s="18" t="n">
        <v>10.6187136</v>
      </c>
      <c r="R12" s="20" t="n">
        <v>1.30491416</v>
      </c>
    </row>
    <row r="13" spans="1:18">
      <c r="A13" s="15" t="s">
        <v>571</v>
      </c>
      <c r="B13" s="17" t="n">
        <v>3602</v>
      </c>
      <c r="C13" s="18">
        <f>(2900.0/B13*100)</f>
        <v/>
      </c>
      <c r="D13" s="19" t="n">
        <v>702</v>
      </c>
      <c r="E13" s="18" t="n">
        <v>88.24720627000001</v>
      </c>
      <c r="F13" s="20" t="n">
        <v>1.50492293</v>
      </c>
      <c r="G13" s="18" t="n">
        <v>5.06440289</v>
      </c>
      <c r="H13" s="20" t="n">
        <v>1.16470149</v>
      </c>
      <c r="I13" s="18" t="n">
        <v>0</v>
      </c>
      <c r="J13" s="20" t="n">
        <v>0</v>
      </c>
      <c r="K13" s="18" t="n">
        <v>0.26487964</v>
      </c>
      <c r="L13" s="20" t="n">
        <v>0.20361897</v>
      </c>
      <c r="M13" s="18" t="n">
        <v>0</v>
      </c>
      <c r="N13" s="20" t="n">
        <v>0</v>
      </c>
      <c r="O13" s="18" t="n">
        <v>0</v>
      </c>
      <c r="P13" s="20" t="n">
        <v>0</v>
      </c>
      <c r="Q13" s="18" t="n">
        <v>6.4235112</v>
      </c>
      <c r="R13" s="20" t="n">
        <v>0.92465157</v>
      </c>
    </row>
    <row r="14" spans="1:18">
      <c r="A14" s="15" t="s">
        <v>572</v>
      </c>
      <c r="B14" s="17" t="n">
        <v>2788</v>
      </c>
      <c r="C14" s="18">
        <f>(2154.0/B14*100)</f>
        <v/>
      </c>
      <c r="D14" s="19" t="n">
        <v>634</v>
      </c>
      <c r="E14" s="18" t="n">
        <v>86.58888483</v>
      </c>
      <c r="F14" s="20" t="n">
        <v>1.59073004</v>
      </c>
      <c r="G14" s="18" t="n">
        <v>8.011940940000001</v>
      </c>
      <c r="H14" s="20" t="n">
        <v>1.27388814</v>
      </c>
      <c r="I14" s="18" t="n">
        <v>0</v>
      </c>
      <c r="J14" s="20" t="n">
        <v>0</v>
      </c>
      <c r="K14" s="18" t="n">
        <v>0.14598587</v>
      </c>
      <c r="L14" s="20" t="n">
        <v>0.14698664</v>
      </c>
      <c r="M14" s="18" t="n">
        <v>0</v>
      </c>
      <c r="N14" s="20" t="n">
        <v>0</v>
      </c>
      <c r="O14" s="18" t="n">
        <v>0</v>
      </c>
      <c r="P14" s="20" t="n">
        <v>0</v>
      </c>
      <c r="Q14" s="18" t="n">
        <v>5.25318836</v>
      </c>
      <c r="R14" s="20" t="n">
        <v>0.90430636</v>
      </c>
    </row>
    <row r="15" spans="1:18">
      <c r="A15" s="15" t="s">
        <v>573</v>
      </c>
      <c r="B15" s="17" t="n">
        <v>2863</v>
      </c>
      <c r="C15" s="18">
        <f>(2225.0/B15*100)</f>
        <v/>
      </c>
      <c r="D15" s="19" t="n">
        <v>638</v>
      </c>
      <c r="E15" s="18" t="n">
        <v>87.10874563</v>
      </c>
      <c r="F15" s="20" t="n">
        <v>1.3561549</v>
      </c>
      <c r="G15" s="18" t="n">
        <v>7.96720053</v>
      </c>
      <c r="H15" s="20" t="n">
        <v>1.14600612</v>
      </c>
      <c r="I15" s="18" t="n">
        <v>0</v>
      </c>
      <c r="J15" s="20" t="n">
        <v>0</v>
      </c>
      <c r="K15" s="18" t="n">
        <v>0</v>
      </c>
      <c r="L15" s="20" t="n">
        <v>0</v>
      </c>
      <c r="M15" s="18" t="n">
        <v>0</v>
      </c>
      <c r="N15" s="20" t="n">
        <v>0</v>
      </c>
      <c r="O15" s="18" t="n">
        <v>0</v>
      </c>
      <c r="P15" s="20" t="n">
        <v>0</v>
      </c>
      <c r="Q15" s="18" t="n">
        <v>4.92405384</v>
      </c>
      <c r="R15" s="20" t="n">
        <v>0.79654133</v>
      </c>
    </row>
    <row r="16" spans="1:18">
      <c r="A16" s="15" t="s">
        <v>574</v>
      </c>
      <c r="B16" s="17" t="n">
        <v>3111</v>
      </c>
      <c r="C16" s="18">
        <f>(2436.0/B16*100)</f>
        <v/>
      </c>
      <c r="D16" s="19" t="n">
        <v>675</v>
      </c>
      <c r="E16" s="18" t="n">
        <v>77.72929714</v>
      </c>
      <c r="F16" s="20" t="n">
        <v>1.75442355</v>
      </c>
      <c r="G16" s="18" t="n">
        <v>6.69896546</v>
      </c>
      <c r="H16" s="20" t="n">
        <v>0.95626842</v>
      </c>
      <c r="I16" s="18" t="n">
        <v>0</v>
      </c>
      <c r="J16" s="20" t="n">
        <v>0</v>
      </c>
      <c r="K16" s="18" t="n">
        <v>0.64848523</v>
      </c>
      <c r="L16" s="20" t="n">
        <v>0.31660345</v>
      </c>
      <c r="M16" s="18" t="n">
        <v>0</v>
      </c>
      <c r="N16" s="20" t="n">
        <v>0</v>
      </c>
      <c r="O16" s="18" t="n">
        <v>0</v>
      </c>
      <c r="P16" s="20" t="n">
        <v>0</v>
      </c>
      <c r="Q16" s="18" t="n">
        <v>14.92325218</v>
      </c>
      <c r="R16" s="20" t="n">
        <v>1.51240033</v>
      </c>
    </row>
    <row r="17" spans="1:18">
      <c r="A17" s="15" t="s">
        <v>575</v>
      </c>
      <c r="B17" s="17" t="n">
        <v>3197</v>
      </c>
      <c r="C17" s="18">
        <f>(2549.0/B17*100)</f>
        <v/>
      </c>
      <c r="D17" s="19" t="n">
        <v>648</v>
      </c>
      <c r="E17" s="18" t="n">
        <v>74.75624712</v>
      </c>
      <c r="F17" s="20" t="n">
        <v>1.78860535</v>
      </c>
      <c r="G17" s="18" t="n">
        <v>13.02891828</v>
      </c>
      <c r="H17" s="20" t="n">
        <v>1.51261229</v>
      </c>
      <c r="I17" s="18" t="n">
        <v>0</v>
      </c>
      <c r="J17" s="20" t="n">
        <v>0</v>
      </c>
      <c r="K17" s="18" t="n">
        <v>0.322367</v>
      </c>
      <c r="L17" s="20" t="n">
        <v>0.2286456</v>
      </c>
      <c r="M17" s="18" t="n">
        <v>0</v>
      </c>
      <c r="N17" s="20" t="n">
        <v>0</v>
      </c>
      <c r="O17" s="18" t="n">
        <v>0</v>
      </c>
      <c r="P17" s="20" t="n">
        <v>0</v>
      </c>
      <c r="Q17" s="18" t="n">
        <v>11.89246759</v>
      </c>
      <c r="R17" s="20" t="n">
        <v>1.32924651</v>
      </c>
    </row>
    <row r="18" spans="1:18">
      <c r="A18" s="15" t="s">
        <v>576</v>
      </c>
      <c r="B18" s="17" t="n">
        <v>2706</v>
      </c>
      <c r="C18" s="18">
        <f>(2111.0/B18*100)</f>
        <v/>
      </c>
      <c r="D18" s="19" t="n">
        <v>595</v>
      </c>
      <c r="E18" s="18" t="n">
        <v>84.50702378</v>
      </c>
      <c r="F18" s="20" t="n">
        <v>1.92190163</v>
      </c>
      <c r="G18" s="18" t="n">
        <v>2.78888894</v>
      </c>
      <c r="H18" s="20" t="n">
        <v>0.6533169</v>
      </c>
      <c r="I18" s="18" t="n">
        <v>0</v>
      </c>
      <c r="J18" s="20" t="n">
        <v>0</v>
      </c>
      <c r="K18" s="18" t="n">
        <v>0.64546107</v>
      </c>
      <c r="L18" s="20" t="n">
        <v>0.33948914</v>
      </c>
      <c r="M18" s="18" t="n">
        <v>0</v>
      </c>
      <c r="N18" s="20" t="n">
        <v>0</v>
      </c>
      <c r="O18" s="18" t="n">
        <v>0</v>
      </c>
      <c r="P18" s="20" t="n">
        <v>0</v>
      </c>
      <c r="Q18" s="18" t="n">
        <v>12.0586262</v>
      </c>
      <c r="R18" s="20" t="n">
        <v>1.6320591</v>
      </c>
    </row>
    <row r="19" spans="1:18">
      <c r="A19" s="15" t="s">
        <v>577</v>
      </c>
      <c r="B19" s="17" t="n">
        <v>2850</v>
      </c>
      <c r="C19" s="18">
        <f>(2193.0/B19*100)</f>
        <v/>
      </c>
      <c r="D19" s="19" t="n">
        <v>657</v>
      </c>
      <c r="E19" s="18" t="n">
        <v>85.30104652999999</v>
      </c>
      <c r="F19" s="20" t="n">
        <v>1.35312732</v>
      </c>
      <c r="G19" s="18" t="n">
        <v>3.17609805</v>
      </c>
      <c r="H19" s="20" t="n">
        <v>0.7517554400000001</v>
      </c>
      <c r="I19" s="18" t="n">
        <v>0</v>
      </c>
      <c r="J19" s="20" t="n">
        <v>0</v>
      </c>
      <c r="K19" s="18" t="n">
        <v>0.14080687</v>
      </c>
      <c r="L19" s="20" t="n">
        <v>0.11982637</v>
      </c>
      <c r="M19" s="18" t="n">
        <v>0</v>
      </c>
      <c r="N19" s="20" t="n">
        <v>0</v>
      </c>
      <c r="O19" s="18" t="n">
        <v>0</v>
      </c>
      <c r="P19" s="20" t="n">
        <v>0</v>
      </c>
      <c r="Q19" s="18" t="n">
        <v>11.38204855</v>
      </c>
      <c r="R19" s="20" t="n">
        <v>1.37183685</v>
      </c>
    </row>
    <row r="20" spans="1:18">
      <c r="A20" s="15" t="s">
        <v>578</v>
      </c>
      <c r="B20" s="17" t="n">
        <v>1741</v>
      </c>
      <c r="C20" s="18">
        <f>(1367.0/B20*100)</f>
        <v/>
      </c>
      <c r="D20" s="19" t="n">
        <v>374</v>
      </c>
      <c r="E20" s="18" t="n">
        <v>83.09661766000001</v>
      </c>
      <c r="F20" s="20" t="n">
        <v>1.99017569</v>
      </c>
      <c r="G20" s="18" t="n">
        <v>3.10514785</v>
      </c>
      <c r="H20" s="20" t="n">
        <v>0.88011407</v>
      </c>
      <c r="I20" s="18" t="n">
        <v>0</v>
      </c>
      <c r="J20" s="20" t="n">
        <v>0</v>
      </c>
      <c r="K20" s="18" t="n">
        <v>0</v>
      </c>
      <c r="L20" s="20" t="n">
        <v>0</v>
      </c>
      <c r="M20" s="18" t="n">
        <v>0</v>
      </c>
      <c r="N20" s="20" t="n">
        <v>0</v>
      </c>
      <c r="O20" s="18" t="n">
        <v>0</v>
      </c>
      <c r="P20" s="20" t="n">
        <v>0</v>
      </c>
      <c r="Q20" s="18" t="n">
        <v>13.79823449</v>
      </c>
      <c r="R20" s="20" t="n">
        <v>1.87094967</v>
      </c>
    </row>
    <row r="21" spans="1:18">
      <c r="A21" s="15" t="s">
        <v>579</v>
      </c>
      <c r="B21" s="17" t="n">
        <v>2833</v>
      </c>
      <c r="C21" s="18">
        <f>(2233.0/B21*100)</f>
        <v/>
      </c>
      <c r="D21" s="19" t="n">
        <v>600</v>
      </c>
      <c r="E21" s="18" t="n">
        <v>83.42117055</v>
      </c>
      <c r="F21" s="20" t="n">
        <v>1.76143589</v>
      </c>
      <c r="G21" s="18" t="n">
        <v>5.84919139</v>
      </c>
      <c r="H21" s="20" t="n">
        <v>1.13479129</v>
      </c>
      <c r="I21" s="18" t="n">
        <v>0</v>
      </c>
      <c r="J21" s="20" t="n">
        <v>0</v>
      </c>
      <c r="K21" s="18" t="n">
        <v>0.14577175</v>
      </c>
      <c r="L21" s="20" t="n">
        <v>0.10437091</v>
      </c>
      <c r="M21" s="18" t="n">
        <v>0</v>
      </c>
      <c r="N21" s="20" t="n">
        <v>0</v>
      </c>
      <c r="O21" s="18" t="n">
        <v>0</v>
      </c>
      <c r="P21" s="20" t="n">
        <v>0</v>
      </c>
      <c r="Q21" s="18" t="n">
        <v>10.58386631</v>
      </c>
      <c r="R21" s="20" t="n">
        <v>1.3391922</v>
      </c>
    </row>
    <row r="22" spans="1:18">
      <c r="A22" s="15" t="s">
        <v>580</v>
      </c>
      <c r="B22" s="17" t="n">
        <v>3667</v>
      </c>
      <c r="C22" s="18">
        <f>(2871.0/B22*100)</f>
        <v/>
      </c>
      <c r="D22" s="19" t="n">
        <v>796</v>
      </c>
      <c r="E22" s="18" t="n">
        <v>81.92961105000001</v>
      </c>
      <c r="F22" s="20" t="n">
        <v>1.3956671</v>
      </c>
      <c r="G22" s="18" t="n">
        <v>3.78541447</v>
      </c>
      <c r="H22" s="20" t="n">
        <v>0.772275</v>
      </c>
      <c r="I22" s="18" t="n">
        <v>0</v>
      </c>
      <c r="J22" s="20" t="n">
        <v>0</v>
      </c>
      <c r="K22" s="18" t="n">
        <v>0.59500739</v>
      </c>
      <c r="L22" s="20" t="n">
        <v>0.27552306</v>
      </c>
      <c r="M22" s="18" t="n">
        <v>0</v>
      </c>
      <c r="N22" s="20" t="n">
        <v>0</v>
      </c>
      <c r="O22" s="18" t="n">
        <v>0</v>
      </c>
      <c r="P22" s="20" t="n">
        <v>0</v>
      </c>
      <c r="Q22" s="18" t="n">
        <v>13.68996709</v>
      </c>
      <c r="R22" s="20" t="n">
        <v>1.24805572</v>
      </c>
    </row>
    <row r="23" spans="1:18">
      <c r="A23" s="15" t="s">
        <v>581</v>
      </c>
      <c r="B23" s="17" t="n">
        <v>5792</v>
      </c>
      <c r="C23" s="18">
        <f>(4478.0/B23*100)</f>
        <v/>
      </c>
      <c r="D23" s="19" t="n">
        <v>1314</v>
      </c>
      <c r="E23" s="18" t="n">
        <v>76.44146146999999</v>
      </c>
      <c r="F23" s="20" t="n">
        <v>1.58351574</v>
      </c>
      <c r="G23" s="18" t="n">
        <v>3.02002613</v>
      </c>
      <c r="H23" s="20" t="n">
        <v>0.5160299</v>
      </c>
      <c r="I23" s="18" t="n">
        <v>0</v>
      </c>
      <c r="J23" s="20" t="n">
        <v>0</v>
      </c>
      <c r="K23" s="18" t="n">
        <v>0.30840775</v>
      </c>
      <c r="L23" s="20" t="n">
        <v>0.32124604</v>
      </c>
      <c r="M23" s="18" t="n">
        <v>0</v>
      </c>
      <c r="N23" s="20" t="n">
        <v>0</v>
      </c>
      <c r="O23" s="18" t="n">
        <v>0</v>
      </c>
      <c r="P23" s="20" t="n">
        <v>0</v>
      </c>
      <c r="Q23" s="18" t="n">
        <v>20.23010465</v>
      </c>
      <c r="R23" s="20" t="n">
        <v>1.51780456</v>
      </c>
    </row>
    <row r="24" spans="1:18">
      <c r="A24" s="15" t="s">
        <v>582</v>
      </c>
      <c r="B24" s="17" t="n">
        <v>3309</v>
      </c>
      <c r="C24" s="18">
        <f>(2603.0/B24*100)</f>
        <v/>
      </c>
      <c r="D24" s="19" t="n">
        <v>706</v>
      </c>
      <c r="E24" s="18" t="n">
        <v>81.05582201999999</v>
      </c>
      <c r="F24" s="20" t="n">
        <v>1.62173279</v>
      </c>
      <c r="G24" s="18" t="n">
        <v>6.13719531</v>
      </c>
      <c r="H24" s="20" t="n">
        <v>0.95851462</v>
      </c>
      <c r="I24" s="18" t="n">
        <v>0</v>
      </c>
      <c r="J24" s="20" t="n">
        <v>0</v>
      </c>
      <c r="K24" s="18" t="n">
        <v>0.14665901</v>
      </c>
      <c r="L24" s="20" t="n">
        <v>0.14817625</v>
      </c>
      <c r="M24" s="18" t="n">
        <v>0</v>
      </c>
      <c r="N24" s="20" t="n">
        <v>0</v>
      </c>
      <c r="O24" s="18" t="n">
        <v>0</v>
      </c>
      <c r="P24" s="20" t="n">
        <v>0</v>
      </c>
      <c r="Q24" s="18" t="n">
        <v>12.66032366</v>
      </c>
      <c r="R24" s="20" t="n">
        <v>1.45708667</v>
      </c>
    </row>
    <row r="25" spans="1:18">
      <c r="A25" s="15" t="s">
        <v>583</v>
      </c>
      <c r="B25" s="17" t="n">
        <v>2669</v>
      </c>
      <c r="C25" s="18">
        <f>(2091.0/B25*100)</f>
        <v/>
      </c>
      <c r="D25" s="19" t="n">
        <v>578</v>
      </c>
      <c r="E25" s="18" t="n">
        <v>86.32857753</v>
      </c>
      <c r="F25" s="20" t="n">
        <v>1.43661046</v>
      </c>
      <c r="G25" s="18" t="n">
        <v>5.76283014</v>
      </c>
      <c r="H25" s="20" t="n">
        <v>1.10304064</v>
      </c>
      <c r="I25" s="18" t="n">
        <v>0</v>
      </c>
      <c r="J25" s="20" t="n">
        <v>0</v>
      </c>
      <c r="K25" s="18" t="n">
        <v>0</v>
      </c>
      <c r="L25" s="20" t="n">
        <v>0</v>
      </c>
      <c r="M25" s="18" t="n">
        <v>0</v>
      </c>
      <c r="N25" s="20" t="n">
        <v>0</v>
      </c>
      <c r="O25" s="18" t="n">
        <v>0</v>
      </c>
      <c r="P25" s="20" t="n">
        <v>0</v>
      </c>
      <c r="Q25" s="18" t="n">
        <v>7.90859232</v>
      </c>
      <c r="R25" s="20" t="n">
        <v>1.10210913</v>
      </c>
    </row>
    <row r="26" spans="1:18">
      <c r="A26" s="15" t="s">
        <v>584</v>
      </c>
      <c r="B26" s="17" t="n">
        <v>2419</v>
      </c>
      <c r="C26" s="18">
        <f>(1856.0/B26*100)</f>
        <v/>
      </c>
      <c r="D26" s="19" t="n">
        <v>563</v>
      </c>
      <c r="E26" s="18" t="n">
        <v>86.00731111</v>
      </c>
      <c r="F26" s="20" t="n">
        <v>1.79414805</v>
      </c>
      <c r="G26" s="18" t="n">
        <v>5.85764965</v>
      </c>
      <c r="H26" s="20" t="n">
        <v>1.00590483</v>
      </c>
      <c r="I26" s="18" t="n">
        <v>0</v>
      </c>
      <c r="J26" s="20" t="n">
        <v>0</v>
      </c>
      <c r="K26" s="18" t="n">
        <v>0</v>
      </c>
      <c r="L26" s="20" t="n">
        <v>0</v>
      </c>
      <c r="M26" s="18" t="n">
        <v>0</v>
      </c>
      <c r="N26" s="20" t="n">
        <v>0</v>
      </c>
      <c r="O26" s="18" t="n">
        <v>0</v>
      </c>
      <c r="P26" s="20" t="n">
        <v>0</v>
      </c>
      <c r="Q26" s="18" t="n">
        <v>8.135039239999999</v>
      </c>
      <c r="R26" s="20" t="n">
        <v>1.35233709</v>
      </c>
    </row>
    <row r="27" spans="1:18">
      <c r="A27" s="15" t="s">
        <v>585</v>
      </c>
      <c r="B27" s="17" t="n">
        <v>2683</v>
      </c>
      <c r="C27" s="18">
        <f>(2124.0/B27*100)</f>
        <v/>
      </c>
      <c r="D27" s="19" t="n">
        <v>559</v>
      </c>
      <c r="E27" s="18" t="n">
        <v>78.49073409</v>
      </c>
      <c r="F27" s="20" t="n">
        <v>1.77355734</v>
      </c>
      <c r="G27" s="18" t="n">
        <v>9.29896338</v>
      </c>
      <c r="H27" s="20" t="n">
        <v>1.41664328</v>
      </c>
      <c r="I27" s="18" t="n">
        <v>0</v>
      </c>
      <c r="J27" s="20" t="n">
        <v>0</v>
      </c>
      <c r="K27" s="18" t="n">
        <v>0.17245359</v>
      </c>
      <c r="L27" s="20" t="n">
        <v>0.173619</v>
      </c>
      <c r="M27" s="18" t="n">
        <v>0</v>
      </c>
      <c r="N27" s="20" t="n">
        <v>0</v>
      </c>
      <c r="O27" s="18" t="n">
        <v>0</v>
      </c>
      <c r="P27" s="20" t="n">
        <v>0</v>
      </c>
      <c r="Q27" s="18" t="n">
        <v>12.03784894</v>
      </c>
      <c r="R27" s="20" t="n">
        <v>1.37661372</v>
      </c>
    </row>
    <row r="28" spans="1:18">
      <c r="A28" s="15" t="s">
        <v>586</v>
      </c>
      <c r="B28" s="17" t="n">
        <v>3803</v>
      </c>
      <c r="C28" s="18">
        <f>(2963.0/B28*100)</f>
        <v/>
      </c>
      <c r="D28" s="19" t="n">
        <v>840</v>
      </c>
      <c r="E28" s="18" t="n">
        <v>81.01800895</v>
      </c>
      <c r="F28" s="20" t="n">
        <v>1.84596184</v>
      </c>
      <c r="G28" s="18" t="n">
        <v>1.19092658</v>
      </c>
      <c r="H28" s="20" t="n">
        <v>0.42433985</v>
      </c>
      <c r="I28" s="18" t="n">
        <v>0</v>
      </c>
      <c r="J28" s="20" t="n">
        <v>0</v>
      </c>
      <c r="K28" s="18" t="n">
        <v>0.77971858</v>
      </c>
      <c r="L28" s="20" t="n">
        <v>0.34940095</v>
      </c>
      <c r="M28" s="18" t="n">
        <v>0</v>
      </c>
      <c r="N28" s="20" t="n">
        <v>0</v>
      </c>
      <c r="O28" s="18" t="n">
        <v>0</v>
      </c>
      <c r="P28" s="20" t="n">
        <v>0</v>
      </c>
      <c r="Q28" s="18" t="n">
        <v>17.0113459</v>
      </c>
      <c r="R28" s="20" t="n">
        <v>1.74838091</v>
      </c>
    </row>
    <row r="29" spans="1:18">
      <c r="A29" s="15" t="s">
        <v>587</v>
      </c>
      <c r="B29" s="17" t="n">
        <v>2700</v>
      </c>
      <c r="C29" s="18">
        <f>(2113.0/B29*100)</f>
        <v/>
      </c>
      <c r="D29" s="19" t="n">
        <v>587</v>
      </c>
      <c r="E29" s="18" t="n">
        <v>82.58560038</v>
      </c>
      <c r="F29" s="20" t="n">
        <v>1.56780848</v>
      </c>
      <c r="G29" s="18" t="n">
        <v>4.25822473</v>
      </c>
      <c r="H29" s="20" t="n">
        <v>0.75790533</v>
      </c>
      <c r="I29" s="18" t="n">
        <v>0</v>
      </c>
      <c r="J29" s="20" t="n">
        <v>0</v>
      </c>
      <c r="K29" s="18" t="n">
        <v>0.36541936</v>
      </c>
      <c r="L29" s="20" t="n">
        <v>0.22230841</v>
      </c>
      <c r="M29" s="18" t="n">
        <v>0</v>
      </c>
      <c r="N29" s="20" t="n">
        <v>0</v>
      </c>
      <c r="O29" s="18" t="n">
        <v>0</v>
      </c>
      <c r="P29" s="20" t="n">
        <v>0</v>
      </c>
      <c r="Q29" s="18" t="n">
        <v>12.79075552</v>
      </c>
      <c r="R29" s="20" t="n">
        <v>1.37342417</v>
      </c>
    </row>
    <row r="30" spans="1:18">
      <c r="A30" s="15" t="s">
        <v>588</v>
      </c>
      <c r="B30" s="17" t="n">
        <v>2257</v>
      </c>
      <c r="C30" s="18">
        <f>(1777.0/B30*100)</f>
        <v/>
      </c>
      <c r="D30" s="19" t="n">
        <v>480</v>
      </c>
      <c r="E30" s="18" t="n">
        <v>79.7481792</v>
      </c>
      <c r="F30" s="20" t="n">
        <v>2.21509402</v>
      </c>
      <c r="G30" s="18" t="n">
        <v>9.956032479999999</v>
      </c>
      <c r="H30" s="20" t="n">
        <v>1.36848963</v>
      </c>
      <c r="I30" s="18" t="n">
        <v>0</v>
      </c>
      <c r="J30" s="20" t="n">
        <v>0</v>
      </c>
      <c r="K30" s="18" t="n">
        <v>0.20050648</v>
      </c>
      <c r="L30" s="20" t="n">
        <v>0.17401747</v>
      </c>
      <c r="M30" s="18" t="n">
        <v>0</v>
      </c>
      <c r="N30" s="20" t="n">
        <v>0</v>
      </c>
      <c r="O30" s="18" t="n">
        <v>0</v>
      </c>
      <c r="P30" s="20" t="n">
        <v>0</v>
      </c>
      <c r="Q30" s="18" t="n">
        <v>10.09528183</v>
      </c>
      <c r="R30" s="20" t="n">
        <v>1.80289763</v>
      </c>
    </row>
    <row r="31" spans="1:18">
      <c r="A31" s="15" t="s">
        <v>589</v>
      </c>
      <c r="B31" s="17" t="n">
        <v>2706</v>
      </c>
      <c r="C31" s="18">
        <f>(2108.0/B31*100)</f>
        <v/>
      </c>
      <c r="D31" s="19" t="n">
        <v>598</v>
      </c>
      <c r="E31" s="18" t="n">
        <v>86.38643311</v>
      </c>
      <c r="F31" s="20" t="n">
        <v>1.4231737</v>
      </c>
      <c r="G31" s="18" t="n">
        <v>4.73098105</v>
      </c>
      <c r="H31" s="20" t="n">
        <v>0.79351913</v>
      </c>
      <c r="I31" s="18" t="n">
        <v>0</v>
      </c>
      <c r="J31" s="20" t="n">
        <v>0</v>
      </c>
      <c r="K31" s="18" t="n">
        <v>0.4744129</v>
      </c>
      <c r="L31" s="20" t="n">
        <v>0.2689787</v>
      </c>
      <c r="M31" s="18" t="n">
        <v>0</v>
      </c>
      <c r="N31" s="20" t="n">
        <v>0</v>
      </c>
      <c r="O31" s="18" t="n">
        <v>0</v>
      </c>
      <c r="P31" s="20" t="n">
        <v>0</v>
      </c>
      <c r="Q31" s="18" t="n">
        <v>8.408172950000001</v>
      </c>
      <c r="R31" s="20" t="n">
        <v>1.03714582</v>
      </c>
    </row>
    <row r="32" spans="1:18">
      <c r="A32" s="15" t="s">
        <v>590</v>
      </c>
      <c r="B32" s="17" t="n">
        <v>2209</v>
      </c>
      <c r="C32" s="18">
        <f>(1731.0/B32*100)</f>
        <v/>
      </c>
      <c r="D32" s="19" t="n">
        <v>478</v>
      </c>
      <c r="E32" s="18" t="n">
        <v>86.24293556000001</v>
      </c>
      <c r="F32" s="20" t="n">
        <v>1.70704908</v>
      </c>
      <c r="G32" s="18" t="n">
        <v>4.11040802</v>
      </c>
      <c r="H32" s="20" t="n">
        <v>1.00249764</v>
      </c>
      <c r="I32" s="18" t="n">
        <v>0</v>
      </c>
      <c r="J32" s="20" t="n">
        <v>0</v>
      </c>
      <c r="K32" s="18" t="n">
        <v>0</v>
      </c>
      <c r="L32" s="20" t="n">
        <v>0</v>
      </c>
      <c r="M32" s="18" t="n">
        <v>0</v>
      </c>
      <c r="N32" s="20" t="n">
        <v>0</v>
      </c>
      <c r="O32" s="18" t="n">
        <v>0</v>
      </c>
      <c r="P32" s="20" t="n">
        <v>0</v>
      </c>
      <c r="Q32" s="18" t="n">
        <v>9.646656419999999</v>
      </c>
      <c r="R32" s="20" t="n">
        <v>1.45703933</v>
      </c>
    </row>
    <row r="33" spans="1:18">
      <c r="A33" s="15" t="s">
        <v>591</v>
      </c>
      <c r="B33" s="17" t="n">
        <v>3651</v>
      </c>
      <c r="C33" s="18">
        <f>(2848.0/B33*100)</f>
        <v/>
      </c>
      <c r="D33" s="19" t="n">
        <v>803</v>
      </c>
      <c r="E33" s="18" t="n">
        <v>87.28950215</v>
      </c>
      <c r="F33" s="20" t="n">
        <v>1.49809521</v>
      </c>
      <c r="G33" s="18" t="n">
        <v>2.98422792</v>
      </c>
      <c r="H33" s="20" t="n">
        <v>0.62763037</v>
      </c>
      <c r="I33" s="18" t="n">
        <v>0</v>
      </c>
      <c r="J33" s="20" t="n">
        <v>0</v>
      </c>
      <c r="K33" s="18" t="n">
        <v>0</v>
      </c>
      <c r="L33" s="20" t="n">
        <v>0</v>
      </c>
      <c r="M33" s="18" t="n">
        <v>0</v>
      </c>
      <c r="N33" s="20" t="n">
        <v>0</v>
      </c>
      <c r="O33" s="18" t="n">
        <v>0</v>
      </c>
      <c r="P33" s="20" t="n">
        <v>0</v>
      </c>
      <c r="Q33" s="18" t="n">
        <v>9.726269930000001</v>
      </c>
      <c r="R33" s="20" t="n">
        <v>1.35707552</v>
      </c>
    </row>
    <row r="34" spans="1:18">
      <c r="A34" s="15" t="s">
        <v>592</v>
      </c>
      <c r="B34" s="17" t="n">
        <v>3035</v>
      </c>
      <c r="C34" s="18">
        <f>(2396.0/B34*100)</f>
        <v/>
      </c>
      <c r="D34" s="19" t="n">
        <v>639</v>
      </c>
      <c r="E34" s="18" t="n">
        <v>84.16446122000001</v>
      </c>
      <c r="F34" s="20" t="n">
        <v>1.37599436</v>
      </c>
      <c r="G34" s="18" t="n">
        <v>2.48120878</v>
      </c>
      <c r="H34" s="20" t="n">
        <v>0.6121049</v>
      </c>
      <c r="I34" s="18" t="n">
        <v>0</v>
      </c>
      <c r="J34" s="20" t="n">
        <v>0</v>
      </c>
      <c r="K34" s="18" t="n">
        <v>0.1243625</v>
      </c>
      <c r="L34" s="20" t="n">
        <v>0.12414784</v>
      </c>
      <c r="M34" s="18" t="n">
        <v>0</v>
      </c>
      <c r="N34" s="20" t="n">
        <v>0</v>
      </c>
      <c r="O34" s="18" t="n">
        <v>0</v>
      </c>
      <c r="P34" s="20" t="n">
        <v>0</v>
      </c>
      <c r="Q34" s="18" t="n">
        <v>13.2299675</v>
      </c>
      <c r="R34" s="20" t="n">
        <v>1.27741846</v>
      </c>
    </row>
    <row r="35" spans="1:18">
      <c r="A35" s="15" t="s">
        <v>593</v>
      </c>
      <c r="B35" s="17" t="n">
        <v>2901</v>
      </c>
      <c r="C35" s="18">
        <f>(2264.0/B35*100)</f>
        <v/>
      </c>
      <c r="D35" s="19" t="n">
        <v>637</v>
      </c>
      <c r="E35" s="18" t="n">
        <v>84.76299079</v>
      </c>
      <c r="F35" s="20" t="n">
        <v>1.87805568</v>
      </c>
      <c r="G35" s="18" t="n">
        <v>7.60118733</v>
      </c>
      <c r="H35" s="20" t="n">
        <v>1.46935568</v>
      </c>
      <c r="I35" s="18" t="n">
        <v>0</v>
      </c>
      <c r="J35" s="20" t="n">
        <v>0</v>
      </c>
      <c r="K35" s="18" t="n">
        <v>0.06820848</v>
      </c>
      <c r="L35" s="20" t="n">
        <v>0.06867946</v>
      </c>
      <c r="M35" s="18" t="n">
        <v>0</v>
      </c>
      <c r="N35" s="20" t="n">
        <v>0</v>
      </c>
      <c r="O35" s="18" t="n">
        <v>0</v>
      </c>
      <c r="P35" s="20" t="n">
        <v>0</v>
      </c>
      <c r="Q35" s="18" t="n">
        <v>7.56761341</v>
      </c>
      <c r="R35" s="20" t="n">
        <v>1.18580845</v>
      </c>
    </row>
    <row r="36" spans="1:18">
      <c r="A36" s="15" t="s">
        <v>594</v>
      </c>
      <c r="B36" s="17" t="n">
        <v>3404</v>
      </c>
      <c r="C36" s="18">
        <f>(2627.0/B36*100)</f>
        <v/>
      </c>
      <c r="D36" s="19" t="n">
        <v>777</v>
      </c>
      <c r="E36" s="18" t="n">
        <v>81.76776046000001</v>
      </c>
      <c r="F36" s="20" t="n">
        <v>1.50266028</v>
      </c>
      <c r="G36" s="18" t="n">
        <v>3.55825777</v>
      </c>
      <c r="H36" s="20" t="n">
        <v>0.61494122</v>
      </c>
      <c r="I36" s="18" t="n">
        <v>0</v>
      </c>
      <c r="J36" s="20" t="n">
        <v>0</v>
      </c>
      <c r="K36" s="18" t="n">
        <v>0.16037112</v>
      </c>
      <c r="L36" s="20" t="n">
        <v>0.16754248</v>
      </c>
      <c r="M36" s="18" t="n">
        <v>0</v>
      </c>
      <c r="N36" s="20" t="n">
        <v>0</v>
      </c>
      <c r="O36" s="18" t="n">
        <v>0</v>
      </c>
      <c r="P36" s="20" t="n">
        <v>0</v>
      </c>
      <c r="Q36" s="18" t="n">
        <v>14.51361065</v>
      </c>
      <c r="R36" s="20" t="n">
        <v>1.34366577</v>
      </c>
    </row>
    <row r="37" spans="1:18">
      <c r="A37" s="15" t="s">
        <v>595</v>
      </c>
      <c r="B37" s="17" t="n">
        <v>2731</v>
      </c>
      <c r="C37" s="18">
        <f>(2154.0/B37*100)</f>
        <v/>
      </c>
      <c r="D37" s="19" t="n">
        <v>577</v>
      </c>
      <c r="E37" s="18" t="n">
        <v>76.99312451999999</v>
      </c>
      <c r="F37" s="20" t="n">
        <v>1.79240185</v>
      </c>
      <c r="G37" s="18" t="n">
        <v>7.45679142</v>
      </c>
      <c r="H37" s="20" t="n">
        <v>1.12253364</v>
      </c>
      <c r="I37" s="18" t="n">
        <v>0</v>
      </c>
      <c r="J37" s="20" t="n">
        <v>0</v>
      </c>
      <c r="K37" s="18" t="n">
        <v>0.6381188800000001</v>
      </c>
      <c r="L37" s="20" t="n">
        <v>0.31651698</v>
      </c>
      <c r="M37" s="18" t="n">
        <v>0</v>
      </c>
      <c r="N37" s="20" t="n">
        <v>0</v>
      </c>
      <c r="O37" s="18" t="n">
        <v>0</v>
      </c>
      <c r="P37" s="20" t="n">
        <v>0</v>
      </c>
      <c r="Q37" s="18" t="n">
        <v>14.91196518</v>
      </c>
      <c r="R37" s="20" t="n">
        <v>1.4721587</v>
      </c>
    </row>
    <row r="38" spans="1:18">
      <c r="A38" s="15" t="s">
        <v>596</v>
      </c>
      <c r="B38" s="17" t="n">
        <v>2807</v>
      </c>
      <c r="C38" s="18">
        <f>(2180.0/B38*100)</f>
        <v/>
      </c>
      <c r="D38" s="19" t="n">
        <v>627</v>
      </c>
      <c r="E38" s="18" t="n">
        <v>82.63238214</v>
      </c>
      <c r="F38" s="20" t="n">
        <v>1.47982175</v>
      </c>
      <c r="G38" s="18" t="n">
        <v>8.66372342</v>
      </c>
      <c r="H38" s="20" t="n">
        <v>1.04865503</v>
      </c>
      <c r="I38" s="18" t="n">
        <v>0</v>
      </c>
      <c r="J38" s="20" t="n">
        <v>0</v>
      </c>
      <c r="K38" s="18" t="n">
        <v>0.21753447</v>
      </c>
      <c r="L38" s="20" t="n">
        <v>0.2275377</v>
      </c>
      <c r="M38" s="18" t="n">
        <v>0</v>
      </c>
      <c r="N38" s="20" t="n">
        <v>0</v>
      </c>
      <c r="O38" s="18" t="n">
        <v>0</v>
      </c>
      <c r="P38" s="20" t="n">
        <v>0</v>
      </c>
      <c r="Q38" s="18" t="n">
        <v>8.486359970000001</v>
      </c>
      <c r="R38" s="20" t="n">
        <v>1.2612908</v>
      </c>
    </row>
    <row r="39" spans="1:18">
      <c r="A39" s="15" t="s">
        <v>597</v>
      </c>
      <c r="B39" s="17" t="n">
        <v>2938</v>
      </c>
      <c r="C39" s="18">
        <f>(2280.0/B39*100)</f>
        <v/>
      </c>
      <c r="D39" s="19" t="n">
        <v>658</v>
      </c>
      <c r="E39" s="18" t="n">
        <v>77.15866708999999</v>
      </c>
      <c r="F39" s="20" t="n">
        <v>2.20041337</v>
      </c>
      <c r="G39" s="18" t="n">
        <v>1.65266266</v>
      </c>
      <c r="H39" s="20" t="n">
        <v>0.61436767</v>
      </c>
      <c r="I39" s="18" t="n">
        <v>0</v>
      </c>
      <c r="J39" s="20" t="n">
        <v>0</v>
      </c>
      <c r="K39" s="18" t="n">
        <v>0.14294093</v>
      </c>
      <c r="L39" s="20" t="n">
        <v>0.14363249</v>
      </c>
      <c r="M39" s="18" t="n">
        <v>0</v>
      </c>
      <c r="N39" s="20" t="n">
        <v>0</v>
      </c>
      <c r="O39" s="18" t="n">
        <v>0</v>
      </c>
      <c r="P39" s="20" t="n">
        <v>0</v>
      </c>
      <c r="Q39" s="18" t="n">
        <v>21.04572932</v>
      </c>
      <c r="R39" s="20" t="n">
        <v>2.14319636</v>
      </c>
    </row>
    <row r="40" spans="1:18">
      <c r="A40" s="15" t="s">
        <v>598</v>
      </c>
      <c r="B40" s="17" t="n">
        <v>6922</v>
      </c>
      <c r="C40" s="18">
        <f>(5389.0/B40*100)</f>
        <v/>
      </c>
      <c r="D40" s="19" t="n">
        <v>1533</v>
      </c>
      <c r="E40" s="18" t="n">
        <v>84.269999</v>
      </c>
      <c r="F40" s="20" t="n">
        <v>1.54652787</v>
      </c>
      <c r="G40" s="18" t="n">
        <v>5.72046228</v>
      </c>
      <c r="H40" s="20" t="n">
        <v>0.98114724</v>
      </c>
      <c r="I40" s="18" t="n">
        <v>0</v>
      </c>
      <c r="J40" s="20" t="n">
        <v>0</v>
      </c>
      <c r="K40" s="18" t="n">
        <v>0.08454884999999999</v>
      </c>
      <c r="L40" s="20" t="n">
        <v>0.08610259000000001</v>
      </c>
      <c r="M40" s="18" t="n">
        <v>0</v>
      </c>
      <c r="N40" s="20" t="n">
        <v>0</v>
      </c>
      <c r="O40" s="18" t="n">
        <v>0</v>
      </c>
      <c r="P40" s="20" t="n">
        <v>0</v>
      </c>
      <c r="Q40" s="18" t="n">
        <v>9.92498988</v>
      </c>
      <c r="R40" s="20" t="n">
        <v>1.14166664</v>
      </c>
    </row>
    <row r="41" spans="1:18">
      <c r="A41" s="15" t="s">
        <v>599</v>
      </c>
      <c r="B41" s="17" t="n">
        <v>2854</v>
      </c>
      <c r="C41" s="18">
        <f>(2256.0/B41*100)</f>
        <v/>
      </c>
      <c r="D41" s="19" t="n">
        <v>598</v>
      </c>
      <c r="E41" s="18" t="n">
        <v>83.1166114</v>
      </c>
      <c r="F41" s="20" t="n">
        <v>1.59045591</v>
      </c>
      <c r="G41" s="18" t="n">
        <v>3.96441456</v>
      </c>
      <c r="H41" s="20" t="n">
        <v>0.73315652</v>
      </c>
      <c r="I41" s="18" t="n">
        <v>0</v>
      </c>
      <c r="J41" s="20" t="n">
        <v>0</v>
      </c>
      <c r="K41" s="18" t="n">
        <v>0.18994898</v>
      </c>
      <c r="L41" s="20" t="n">
        <v>0.19164631</v>
      </c>
      <c r="M41" s="18" t="n">
        <v>0</v>
      </c>
      <c r="N41" s="20" t="n">
        <v>0</v>
      </c>
      <c r="O41" s="18" t="n">
        <v>0</v>
      </c>
      <c r="P41" s="20" t="n">
        <v>0</v>
      </c>
      <c r="Q41" s="18" t="n">
        <v>12.72902505</v>
      </c>
      <c r="R41" s="20" t="n">
        <v>1.51946571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(9870.0/B46*100)</f>
        <v/>
      </c>
      <c r="D46" s="19" t="n">
        <v>2203</v>
      </c>
      <c r="E46" s="18" t="n">
        <v>64.43676993</v>
      </c>
      <c r="F46" s="20" t="n">
        <v>1.48209816</v>
      </c>
      <c r="G46" s="18" t="n">
        <v>1.58101681</v>
      </c>
      <c r="H46" s="20" t="n">
        <v>0.32379757</v>
      </c>
      <c r="I46" s="18" t="n">
        <v>0</v>
      </c>
      <c r="J46" s="20" t="n">
        <v>0</v>
      </c>
      <c r="K46" s="18" t="n">
        <v>1.19108356</v>
      </c>
      <c r="L46" s="20" t="n">
        <v>0.3531019</v>
      </c>
      <c r="M46" s="18" t="n">
        <v>0</v>
      </c>
      <c r="N46" s="20" t="n">
        <v>0</v>
      </c>
      <c r="O46" s="18" t="n">
        <v>0</v>
      </c>
      <c r="P46" s="20" t="n">
        <v>0</v>
      </c>
      <c r="Q46" s="18" t="n">
        <v>32.7911297</v>
      </c>
      <c r="R46" s="20" t="n">
        <v>1.51987868</v>
      </c>
    </row>
    <row r="47" spans="1:18">
      <c r="A47" s="15" t="s">
        <v>606</v>
      </c>
      <c r="B47" s="17" t="n">
        <v>2823</v>
      </c>
      <c r="C47" s="18">
        <f>(2193.0/B47*100)</f>
        <v/>
      </c>
      <c r="D47" s="19" t="n">
        <v>630</v>
      </c>
      <c r="E47" s="18" t="n">
        <v>79.71960704999999</v>
      </c>
      <c r="F47" s="20" t="n">
        <v>1.4244169</v>
      </c>
      <c r="G47" s="18" t="n">
        <v>3.26448073</v>
      </c>
      <c r="H47" s="20" t="n">
        <v>0.65304616</v>
      </c>
      <c r="I47" s="18" t="n">
        <v>0</v>
      </c>
      <c r="J47" s="20" t="n">
        <v>0</v>
      </c>
      <c r="K47" s="18" t="n">
        <v>0.48537397</v>
      </c>
      <c r="L47" s="20" t="n">
        <v>0.30100432</v>
      </c>
      <c r="M47" s="18" t="n">
        <v>0</v>
      </c>
      <c r="N47" s="20" t="n">
        <v>0</v>
      </c>
      <c r="O47" s="18" t="n">
        <v>0</v>
      </c>
      <c r="P47" s="20" t="n">
        <v>0</v>
      </c>
      <c r="Q47" s="18" t="n">
        <v>16.53053825</v>
      </c>
      <c r="R47" s="20" t="n">
        <v>1.35606305</v>
      </c>
    </row>
    <row r="48" spans="1:18">
      <c r="A48" s="15" t="s">
        <v>607</v>
      </c>
      <c r="B48" s="17" t="n">
        <v>4682</v>
      </c>
      <c r="C48" s="18">
        <f>(3684.0/B48*100)</f>
        <v/>
      </c>
      <c r="D48" s="19" t="n">
        <v>998</v>
      </c>
      <c r="E48" s="18" t="n">
        <v>76.83183644</v>
      </c>
      <c r="F48" s="20" t="n">
        <v>1.41384019</v>
      </c>
      <c r="G48" s="18" t="n">
        <v>7.73037071</v>
      </c>
      <c r="H48" s="20" t="n">
        <v>1.05775332</v>
      </c>
      <c r="I48" s="18" t="n">
        <v>0</v>
      </c>
      <c r="J48" s="20" t="n">
        <v>0</v>
      </c>
      <c r="K48" s="18" t="n">
        <v>1.1719013</v>
      </c>
      <c r="L48" s="20" t="n">
        <v>0.48945611</v>
      </c>
      <c r="M48" s="18" t="n">
        <v>0</v>
      </c>
      <c r="N48" s="20" t="n">
        <v>0</v>
      </c>
      <c r="O48" s="18" t="n">
        <v>0</v>
      </c>
      <c r="P48" s="20" t="n">
        <v>0</v>
      </c>
      <c r="Q48" s="18" t="n">
        <v>14.26589155</v>
      </c>
      <c r="R48" s="20" t="n">
        <v>1.55574678</v>
      </c>
    </row>
    <row r="49" spans="1:18">
      <c r="A49" s="15" t="s">
        <v>608</v>
      </c>
      <c r="B49" s="17" t="n">
        <v>6158</v>
      </c>
      <c r="C49" s="18">
        <f>(4810.0/B49*100)</f>
        <v/>
      </c>
      <c r="D49" s="19" t="n">
        <v>1348</v>
      </c>
      <c r="E49" s="18" t="n">
        <v>75.81665726999999</v>
      </c>
      <c r="F49" s="20" t="n">
        <v>2.15315366</v>
      </c>
      <c r="G49" s="18" t="n">
        <v>0.78938217</v>
      </c>
      <c r="H49" s="20" t="n">
        <v>0.3285066</v>
      </c>
      <c r="I49" s="18" t="n">
        <v>0</v>
      </c>
      <c r="J49" s="20" t="n">
        <v>0</v>
      </c>
      <c r="K49" s="18" t="n">
        <v>1.38343325</v>
      </c>
      <c r="L49" s="20" t="n">
        <v>0.39539046</v>
      </c>
      <c r="M49" s="18" t="n">
        <v>0</v>
      </c>
      <c r="N49" s="20" t="n">
        <v>0</v>
      </c>
      <c r="O49" s="18" t="n">
        <v>0</v>
      </c>
      <c r="P49" s="20" t="n">
        <v>0</v>
      </c>
      <c r="Q49" s="18" t="n">
        <v>22.01052731</v>
      </c>
      <c r="R49" s="20" t="n">
        <v>2.05265596</v>
      </c>
    </row>
    <row r="50" spans="1:18">
      <c r="A50" s="15" t="s">
        <v>609</v>
      </c>
      <c r="B50" s="17" t="n">
        <v>3494</v>
      </c>
      <c r="C50" s="18">
        <f>(2815.0/B50*100)</f>
        <v/>
      </c>
      <c r="D50" s="19" t="n">
        <v>679</v>
      </c>
      <c r="E50" s="18" t="n">
        <v>76.14139828</v>
      </c>
      <c r="F50" s="20" t="n">
        <v>1.89963651</v>
      </c>
      <c r="G50" s="18" t="n">
        <v>0.4845094</v>
      </c>
      <c r="H50" s="20" t="n">
        <v>0.26488907</v>
      </c>
      <c r="I50" s="18" t="n">
        <v>0</v>
      </c>
      <c r="J50" s="20" t="n">
        <v>0</v>
      </c>
      <c r="K50" s="18" t="n">
        <v>1.35788155</v>
      </c>
      <c r="L50" s="20" t="n">
        <v>0.59857561</v>
      </c>
      <c r="M50" s="18" t="n">
        <v>0</v>
      </c>
      <c r="N50" s="20" t="n">
        <v>0</v>
      </c>
      <c r="O50" s="18" t="n">
        <v>0</v>
      </c>
      <c r="P50" s="20" t="n">
        <v>0</v>
      </c>
      <c r="Q50" s="18" t="n">
        <v>22.01621078</v>
      </c>
      <c r="R50" s="20" t="n">
        <v>1.67356415</v>
      </c>
    </row>
    <row r="51" spans="1:18">
      <c r="A51" s="15" t="s">
        <v>610</v>
      </c>
      <c r="B51" s="17" t="n">
        <v>3013</v>
      </c>
      <c r="C51" s="18">
        <f>(2367.0/B51*100)</f>
        <v/>
      </c>
      <c r="D51" s="19" t="n">
        <v>646</v>
      </c>
      <c r="E51" s="18" t="n">
        <v>86.85962058</v>
      </c>
      <c r="F51" s="20" t="n">
        <v>1.39576239</v>
      </c>
      <c r="G51" s="18" t="n">
        <v>3.99585739</v>
      </c>
      <c r="H51" s="20" t="n">
        <v>0.97520126</v>
      </c>
      <c r="I51" s="18" t="n">
        <v>0</v>
      </c>
      <c r="J51" s="20" t="n">
        <v>0</v>
      </c>
      <c r="K51" s="18" t="n">
        <v>0</v>
      </c>
      <c r="L51" s="20" t="n">
        <v>0</v>
      </c>
      <c r="M51" s="18" t="n">
        <v>0</v>
      </c>
      <c r="N51" s="20" t="n">
        <v>0</v>
      </c>
      <c r="O51" s="18" t="n">
        <v>0</v>
      </c>
      <c r="P51" s="20" t="n">
        <v>0</v>
      </c>
      <c r="Q51" s="18" t="n">
        <v>9.14452202</v>
      </c>
      <c r="R51" s="20" t="n">
        <v>1.22343763</v>
      </c>
    </row>
    <row r="52" spans="1:18">
      <c r="A52" s="15" t="s">
        <v>611</v>
      </c>
      <c r="B52" s="17" t="n">
        <v>2760</v>
      </c>
      <c r="C52" s="18">
        <f>(2164.0/B52*100)</f>
        <v/>
      </c>
      <c r="D52" s="19" t="n">
        <v>596</v>
      </c>
      <c r="E52" s="18" t="n">
        <v>79.64244105</v>
      </c>
      <c r="F52" s="20" t="n">
        <v>1.56110744</v>
      </c>
      <c r="G52" s="18" t="n">
        <v>1.83016918</v>
      </c>
      <c r="H52" s="20" t="n">
        <v>0.68965804</v>
      </c>
      <c r="I52" s="18" t="n">
        <v>0</v>
      </c>
      <c r="J52" s="20" t="n">
        <v>0</v>
      </c>
      <c r="K52" s="18" t="n">
        <v>0</v>
      </c>
      <c r="L52" s="20" t="n">
        <v>0</v>
      </c>
      <c r="M52" s="18" t="n">
        <v>0</v>
      </c>
      <c r="N52" s="20" t="n">
        <v>0</v>
      </c>
      <c r="O52" s="18" t="n">
        <v>0</v>
      </c>
      <c r="P52" s="20" t="n">
        <v>0</v>
      </c>
      <c r="Q52" s="18" t="n">
        <v>18.52738977</v>
      </c>
      <c r="R52" s="20" t="n">
        <v>1.48127931</v>
      </c>
    </row>
    <row r="53" spans="1:18">
      <c r="A53" s="15" t="s">
        <v>612</v>
      </c>
      <c r="B53" s="17" t="n">
        <v>2474</v>
      </c>
      <c r="C53" s="18">
        <f>(1890.0/B53*100)</f>
        <v/>
      </c>
      <c r="D53" s="19" t="n">
        <v>584</v>
      </c>
      <c r="E53" s="18" t="n">
        <v>51.23699143</v>
      </c>
      <c r="F53" s="20" t="n">
        <v>2.66568831</v>
      </c>
      <c r="G53" s="18" t="n">
        <v>0.35304748</v>
      </c>
      <c r="H53" s="20" t="n">
        <v>0.24536505</v>
      </c>
      <c r="I53" s="18" t="n">
        <v>0</v>
      </c>
      <c r="J53" s="20" t="n">
        <v>0</v>
      </c>
      <c r="K53" s="18" t="n">
        <v>10.51655298</v>
      </c>
      <c r="L53" s="20" t="n">
        <v>1.36612095</v>
      </c>
      <c r="M53" s="18" t="n">
        <v>0</v>
      </c>
      <c r="N53" s="20" t="n">
        <v>0</v>
      </c>
      <c r="O53" s="18" t="n">
        <v>0</v>
      </c>
      <c r="P53" s="20" t="n">
        <v>0</v>
      </c>
      <c r="Q53" s="18" t="n">
        <v>37.89340811</v>
      </c>
      <c r="R53" s="20" t="n">
        <v>2.59937652</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(2069.0/B55*100)</f>
        <v/>
      </c>
      <c r="D55" s="19" t="n">
        <v>606</v>
      </c>
      <c r="E55" s="18" t="n">
        <v>77.87050578</v>
      </c>
      <c r="F55" s="20" t="n">
        <v>1.73778487</v>
      </c>
      <c r="G55" s="18" t="n">
        <v>4.98579225</v>
      </c>
      <c r="H55" s="20" t="n">
        <v>0.94049208</v>
      </c>
      <c r="I55" s="18" t="n">
        <v>0</v>
      </c>
      <c r="J55" s="20" t="n">
        <v>0</v>
      </c>
      <c r="K55" s="18" t="n">
        <v>0</v>
      </c>
      <c r="L55" s="20" t="n">
        <v>0</v>
      </c>
      <c r="M55" s="18" t="n">
        <v>0</v>
      </c>
      <c r="N55" s="20" t="n">
        <v>0</v>
      </c>
      <c r="O55" s="18" t="n">
        <v>0</v>
      </c>
      <c r="P55" s="20" t="n">
        <v>0</v>
      </c>
      <c r="Q55" s="18" t="n">
        <v>17.14370197</v>
      </c>
      <c r="R55" s="20" t="n">
        <v>1.62483184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(2489.0/B61*100)</f>
        <v/>
      </c>
      <c r="D61" s="19" t="n">
        <v>712</v>
      </c>
      <c r="E61" s="18" t="n">
        <v>85.26143905000001</v>
      </c>
      <c r="F61" s="20" t="n">
        <v>1.57100977</v>
      </c>
      <c r="G61" s="18" t="n">
        <v>4.35610122</v>
      </c>
      <c r="H61" s="20" t="n">
        <v>0.7939146500000001</v>
      </c>
      <c r="I61" s="18" t="n">
        <v>0</v>
      </c>
      <c r="J61" s="20" t="n">
        <v>0</v>
      </c>
      <c r="K61" s="18" t="n">
        <v>0.66528483</v>
      </c>
      <c r="L61" s="20" t="n">
        <v>0.44245728</v>
      </c>
      <c r="M61" s="18" t="n">
        <v>0</v>
      </c>
      <c r="N61" s="20" t="n">
        <v>0</v>
      </c>
      <c r="O61" s="18" t="n">
        <v>0</v>
      </c>
      <c r="P61" s="20" t="n">
        <v>0</v>
      </c>
      <c r="Q61" s="18" t="n">
        <v>9.7171749</v>
      </c>
      <c r="R61" s="20" t="n">
        <v>1.29773459</v>
      </c>
    </row>
    <row r="62" spans="1:18">
      <c r="A62" s="15" t="s">
        <v>622</v>
      </c>
      <c r="B62" s="17" t="n">
        <v>2230</v>
      </c>
      <c r="C62" s="18">
        <f>(1745.0/B62*100)</f>
        <v/>
      </c>
      <c r="D62" s="19" t="n">
        <v>485</v>
      </c>
      <c r="E62" s="18" t="n">
        <v>85.14151603000001</v>
      </c>
      <c r="F62" s="20" t="n">
        <v>1.6204511</v>
      </c>
      <c r="G62" s="18" t="n">
        <v>7.19711597</v>
      </c>
      <c r="H62" s="20" t="n">
        <v>1.11906671</v>
      </c>
      <c r="I62" s="18" t="n">
        <v>0</v>
      </c>
      <c r="J62" s="20" t="n">
        <v>0</v>
      </c>
      <c r="K62" s="18" t="n">
        <v>0</v>
      </c>
      <c r="L62" s="20" t="n">
        <v>0</v>
      </c>
      <c r="M62" s="18" t="n">
        <v>0</v>
      </c>
      <c r="N62" s="20" t="n">
        <v>0</v>
      </c>
      <c r="O62" s="18" t="n">
        <v>0</v>
      </c>
      <c r="P62" s="20" t="n">
        <v>0</v>
      </c>
      <c r="Q62" s="18" t="n">
        <v>7.661368</v>
      </c>
      <c r="R62" s="20" t="n">
        <v>1.24426889</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(2156.0/B67*100)</f>
        <v/>
      </c>
      <c r="D67" s="19" t="n">
        <v>615</v>
      </c>
      <c r="E67" s="18" t="n">
        <v>74.62893939</v>
      </c>
      <c r="F67" s="20" t="n">
        <v>1.59791324</v>
      </c>
      <c r="G67" s="18" t="n">
        <v>1.0077523</v>
      </c>
      <c r="H67" s="20" t="n">
        <v>0.41765909</v>
      </c>
      <c r="I67" s="18" t="n">
        <v>0</v>
      </c>
      <c r="J67" s="20" t="n">
        <v>0</v>
      </c>
      <c r="K67" s="18" t="n">
        <v>0.44675611</v>
      </c>
      <c r="L67" s="20" t="n">
        <v>0.26214854</v>
      </c>
      <c r="M67" s="18" t="n">
        <v>0</v>
      </c>
      <c r="N67" s="20" t="n">
        <v>0</v>
      </c>
      <c r="O67" s="18" t="n">
        <v>0</v>
      </c>
      <c r="P67" s="20" t="n">
        <v>0</v>
      </c>
      <c r="Q67" s="18" t="n">
        <v>23.9165522</v>
      </c>
      <c r="R67" s="20" t="n">
        <v>1.52494272</v>
      </c>
    </row>
    <row r="68" spans="1:18">
      <c r="A68" s="15" t="s">
        <v>628</v>
      </c>
      <c r="B68" s="17" t="n">
        <v>3460</v>
      </c>
      <c r="C68" s="18">
        <f>(2796.0/B68*100)</f>
        <v/>
      </c>
      <c r="D68" s="19" t="n">
        <v>664</v>
      </c>
      <c r="E68" s="18" t="n">
        <v>76.30214460000001</v>
      </c>
      <c r="F68" s="20" t="n">
        <v>1.90186652</v>
      </c>
      <c r="G68" s="18" t="n">
        <v>1.50021253</v>
      </c>
      <c r="H68" s="20" t="n">
        <v>0.6069605300000001</v>
      </c>
      <c r="I68" s="18" t="n">
        <v>0</v>
      </c>
      <c r="J68" s="20" t="n">
        <v>0</v>
      </c>
      <c r="K68" s="18" t="n">
        <v>0.26506562</v>
      </c>
      <c r="L68" s="20" t="n">
        <v>0.1903039</v>
      </c>
      <c r="M68" s="18" t="n">
        <v>0</v>
      </c>
      <c r="N68" s="20" t="n">
        <v>0</v>
      </c>
      <c r="O68" s="18" t="n">
        <v>0</v>
      </c>
      <c r="P68" s="20" t="n">
        <v>0</v>
      </c>
      <c r="Q68" s="18" t="n">
        <v>21.93257724</v>
      </c>
      <c r="R68" s="20" t="n">
        <v>1.84660946</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(4687.0/B70*100)</f>
        <v/>
      </c>
      <c r="D70" s="19" t="n">
        <v>1347</v>
      </c>
      <c r="E70" s="18" t="n">
        <v>74.86561789</v>
      </c>
      <c r="F70" s="20" t="n">
        <v>1.18498053</v>
      </c>
      <c r="G70" s="18" t="n">
        <v>2.75781011</v>
      </c>
      <c r="H70" s="20" t="n">
        <v>0.41670744</v>
      </c>
      <c r="I70" s="18" t="n">
        <v>0</v>
      </c>
      <c r="J70" s="20" t="n">
        <v>0</v>
      </c>
      <c r="K70" s="18" t="n">
        <v>1.24430065</v>
      </c>
      <c r="L70" s="20" t="n">
        <v>0.30183012</v>
      </c>
      <c r="M70" s="18" t="n">
        <v>0</v>
      </c>
      <c r="N70" s="20" t="n">
        <v>0</v>
      </c>
      <c r="O70" s="18" t="n">
        <v>0</v>
      </c>
      <c r="P70" s="20" t="n">
        <v>0</v>
      </c>
      <c r="Q70" s="18" t="n">
        <v>21.13227135</v>
      </c>
      <c r="R70" s="20" t="n">
        <v>1.110562</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(2429.0/B72*100)</f>
        <v/>
      </c>
      <c r="D72" s="19" t="n">
        <v>678</v>
      </c>
      <c r="E72" s="18" t="n">
        <v>86.62643377000001</v>
      </c>
      <c r="F72" s="20" t="n">
        <v>1.55843338</v>
      </c>
      <c r="G72" s="18" t="n">
        <v>5.05021723</v>
      </c>
      <c r="H72" s="20" t="n">
        <v>0.91443266</v>
      </c>
      <c r="I72" s="18" t="n">
        <v>0</v>
      </c>
      <c r="J72" s="20" t="n">
        <v>0</v>
      </c>
      <c r="K72" s="18" t="n">
        <v>0.47146124</v>
      </c>
      <c r="L72" s="20" t="n">
        <v>0.2068021</v>
      </c>
      <c r="M72" s="18" t="n">
        <v>0</v>
      </c>
      <c r="N72" s="20" t="n">
        <v>0</v>
      </c>
      <c r="O72" s="18" t="n">
        <v>0</v>
      </c>
      <c r="P72" s="20" t="n">
        <v>0</v>
      </c>
      <c r="Q72" s="18" t="n">
        <v>7.85188776</v>
      </c>
      <c r="R72" s="20" t="n">
        <v>1.32143603</v>
      </c>
    </row>
    <row r="73" spans="1:18">
      <c r="A73" s="15" t="s">
        <v>633</v>
      </c>
      <c r="B73" s="17" t="n">
        <v>2973</v>
      </c>
      <c r="C73" s="18">
        <f>(2328.0/B73*100)</f>
        <v/>
      </c>
      <c r="D73" s="19" t="n">
        <v>645</v>
      </c>
      <c r="E73" s="18" t="n">
        <v>73.55312028</v>
      </c>
      <c r="F73" s="20" t="n">
        <v>1.72990571</v>
      </c>
      <c r="G73" s="18" t="n">
        <v>15.90505719</v>
      </c>
      <c r="H73" s="20" t="n">
        <v>1.51788768</v>
      </c>
      <c r="I73" s="18" t="n">
        <v>0</v>
      </c>
      <c r="J73" s="20" t="n">
        <v>0</v>
      </c>
      <c r="K73" s="18" t="n">
        <v>0</v>
      </c>
      <c r="L73" s="20" t="n">
        <v>0</v>
      </c>
      <c r="M73" s="18" t="n">
        <v>0</v>
      </c>
      <c r="N73" s="20" t="n">
        <v>0</v>
      </c>
      <c r="O73" s="18" t="n">
        <v>0</v>
      </c>
      <c r="P73" s="20" t="n">
        <v>0</v>
      </c>
      <c r="Q73" s="18" t="n">
        <v>10.54182253</v>
      </c>
      <c r="R73" s="20" t="n">
        <v>1.23543339</v>
      </c>
    </row>
    <row r="74" spans="1:18">
      <c r="A74" s="15" t="s">
        <v>634</v>
      </c>
      <c r="B74" s="17" t="n">
        <v>3819</v>
      </c>
      <c r="C74" s="18">
        <f>(3013.0/B74*100)</f>
        <v/>
      </c>
      <c r="D74" s="19" t="n">
        <v>806</v>
      </c>
      <c r="E74" s="18" t="n">
        <v>81.20845337999999</v>
      </c>
      <c r="F74" s="20" t="n">
        <v>1.69305682</v>
      </c>
      <c r="G74" s="18" t="n">
        <v>7.1752464</v>
      </c>
      <c r="H74" s="20" t="n">
        <v>0.9918839</v>
      </c>
      <c r="I74" s="18" t="n">
        <v>0</v>
      </c>
      <c r="J74" s="20" t="n">
        <v>0</v>
      </c>
      <c r="K74" s="18" t="n">
        <v>0.19101494</v>
      </c>
      <c r="L74" s="20" t="n">
        <v>0.27024971</v>
      </c>
      <c r="M74" s="18" t="n">
        <v>0</v>
      </c>
      <c r="N74" s="20" t="n">
        <v>0</v>
      </c>
      <c r="O74" s="18" t="n">
        <v>0</v>
      </c>
      <c r="P74" s="20" t="n">
        <v>0</v>
      </c>
      <c r="Q74" s="18" t="n">
        <v>11.42528529</v>
      </c>
      <c r="R74" s="20" t="n">
        <v>1.43511157</v>
      </c>
    </row>
    <row r="75" spans="1:18">
      <c r="A75" s="15" t="s">
        <v>635</v>
      </c>
      <c r="B75" s="17" t="n">
        <v>4652</v>
      </c>
      <c r="C75" s="18">
        <f>(3645.0/B75*100)</f>
        <v/>
      </c>
      <c r="D75" s="19" t="n">
        <v>1007</v>
      </c>
      <c r="E75" s="18" t="n">
        <v>75.50314272</v>
      </c>
      <c r="F75" s="20" t="n">
        <v>1.87981347</v>
      </c>
      <c r="G75" s="18" t="n">
        <v>2.41065403</v>
      </c>
      <c r="H75" s="20" t="n">
        <v>0.62076639</v>
      </c>
      <c r="I75" s="18" t="n">
        <v>0</v>
      </c>
      <c r="J75" s="20" t="n">
        <v>0</v>
      </c>
      <c r="K75" s="18" t="n">
        <v>0.14348912</v>
      </c>
      <c r="L75" s="20" t="n">
        <v>0.14315975</v>
      </c>
      <c r="M75" s="18" t="n">
        <v>0</v>
      </c>
      <c r="N75" s="20" t="n">
        <v>0</v>
      </c>
      <c r="O75" s="18" t="n">
        <v>0</v>
      </c>
      <c r="P75" s="20" t="n">
        <v>0</v>
      </c>
      <c r="Q75" s="18" t="n">
        <v>21.94271412</v>
      </c>
      <c r="R75" s="20" t="n">
        <v>1.84526497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(2368.0/B77*100)</f>
        <v/>
      </c>
      <c r="D77" s="19" t="n">
        <v>601</v>
      </c>
      <c r="E77" s="18" t="n">
        <v>68.555611</v>
      </c>
      <c r="F77" s="20" t="n">
        <v>2.07885787</v>
      </c>
      <c r="G77" s="18" t="n">
        <v>1.10183235</v>
      </c>
      <c r="H77" s="20" t="n">
        <v>0.4397521</v>
      </c>
      <c r="I77" s="18" t="n">
        <v>0</v>
      </c>
      <c r="J77" s="20" t="n">
        <v>0</v>
      </c>
      <c r="K77" s="18" t="n">
        <v>2.52034806</v>
      </c>
      <c r="L77" s="20" t="n">
        <v>0.66960966</v>
      </c>
      <c r="M77" s="18" t="n">
        <v>0</v>
      </c>
      <c r="N77" s="20" t="n">
        <v>0</v>
      </c>
      <c r="O77" s="18" t="n">
        <v>0</v>
      </c>
      <c r="P77" s="20" t="n">
        <v>0</v>
      </c>
      <c r="Q77" s="18" t="n">
        <v>27.82220859</v>
      </c>
      <c r="R77" s="20" t="n">
        <v>1.94771263</v>
      </c>
    </row>
    <row r="78" spans="1:18">
      <c r="A78" s="15" t="s">
        <v>638</v>
      </c>
      <c r="B78" s="17" t="n">
        <v>7115</v>
      </c>
      <c r="C78" s="18">
        <f>(5534.0/B78*100)</f>
        <v/>
      </c>
      <c r="D78" s="19" t="n">
        <v>1581</v>
      </c>
      <c r="E78" s="18" t="n">
        <v>78.49696068999999</v>
      </c>
      <c r="F78" s="20" t="n">
        <v>1.14925928</v>
      </c>
      <c r="G78" s="18" t="n">
        <v>3.67708321</v>
      </c>
      <c r="H78" s="20" t="n">
        <v>0.54233717</v>
      </c>
      <c r="I78" s="18" t="n">
        <v>0</v>
      </c>
      <c r="J78" s="20" t="n">
        <v>0</v>
      </c>
      <c r="K78" s="18" t="n">
        <v>0.80337837</v>
      </c>
      <c r="L78" s="20" t="n">
        <v>0.19106409</v>
      </c>
      <c r="M78" s="18" t="n">
        <v>0</v>
      </c>
      <c r="N78" s="20" t="n">
        <v>0</v>
      </c>
      <c r="O78" s="18" t="n">
        <v>0</v>
      </c>
      <c r="P78" s="20" t="n">
        <v>0</v>
      </c>
      <c r="Q78" s="18" t="n">
        <v>17.02257773</v>
      </c>
      <c r="R78" s="20" t="n">
        <v>1.10989815</v>
      </c>
    </row>
    <row r="79" spans="1:18">
      <c r="A79" s="15" t="s">
        <v>639</v>
      </c>
      <c r="B79" s="17" t="n">
        <v>3154</v>
      </c>
      <c r="C79" s="18">
        <f>(2443.0/B79*100)</f>
        <v/>
      </c>
      <c r="D79" s="19" t="n">
        <v>711</v>
      </c>
      <c r="E79" s="18" t="n">
        <v>76.56197330000001</v>
      </c>
      <c r="F79" s="20" t="n">
        <v>1.56296386</v>
      </c>
      <c r="G79" s="18" t="n">
        <v>2.23623894</v>
      </c>
      <c r="H79" s="20" t="n">
        <v>0.56629758</v>
      </c>
      <c r="I79" s="18" t="n">
        <v>0</v>
      </c>
      <c r="J79" s="20" t="n">
        <v>0</v>
      </c>
      <c r="K79" s="18" t="n">
        <v>0.40466917</v>
      </c>
      <c r="L79" s="20" t="n">
        <v>0.26842381</v>
      </c>
      <c r="M79" s="18" t="n">
        <v>0</v>
      </c>
      <c r="N79" s="20" t="n">
        <v>0</v>
      </c>
      <c r="O79" s="18" t="n">
        <v>0</v>
      </c>
      <c r="P79" s="20" t="n">
        <v>0</v>
      </c>
      <c r="Q79" s="18" t="n">
        <v>20.79711858</v>
      </c>
      <c r="R79" s="20" t="n">
        <v>1.50087881</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(12417.0/B82*100)</f>
        <v/>
      </c>
      <c r="D82" s="19" t="n">
        <v>3544</v>
      </c>
      <c r="E82" s="18" t="n">
        <v>81.97916373</v>
      </c>
      <c r="F82" s="20" t="n">
        <v>0.9551737300000001</v>
      </c>
      <c r="G82" s="18" t="n">
        <v>4.27319854</v>
      </c>
      <c r="H82" s="20" t="n">
        <v>0.4578861</v>
      </c>
      <c r="I82" s="18" t="n">
        <v>0</v>
      </c>
      <c r="J82" s="20" t="n">
        <v>0</v>
      </c>
      <c r="K82" s="18" t="n">
        <v>0.22345485</v>
      </c>
      <c r="L82" s="20" t="n">
        <v>0.10473299</v>
      </c>
      <c r="M82" s="18" t="n">
        <v>0</v>
      </c>
      <c r="N82" s="20" t="n">
        <v>0</v>
      </c>
      <c r="O82" s="18" t="n">
        <v>0</v>
      </c>
      <c r="P82" s="20" t="n">
        <v>0</v>
      </c>
      <c r="Q82" s="18" t="n">
        <v>13.52418288</v>
      </c>
      <c r="R82" s="20" t="n">
        <v>0.83045353</v>
      </c>
    </row>
    <row r="83" spans="1:18">
      <c r="A83" s="15" t="s">
        <v>643</v>
      </c>
      <c r="B83" s="17" t="n">
        <v>808</v>
      </c>
      <c r="C83" s="18">
        <f>(619.0/B83*100)</f>
        <v/>
      </c>
      <c r="D83" s="19" t="n">
        <v>189</v>
      </c>
      <c r="E83" s="18" t="n">
        <v>85.28833186999999</v>
      </c>
      <c r="F83" s="20" t="n">
        <v>2.34047078</v>
      </c>
      <c r="G83" s="18" t="n">
        <v>5.74411085</v>
      </c>
      <c r="H83" s="20" t="n">
        <v>1.98000826</v>
      </c>
      <c r="I83" s="18" t="n">
        <v>0</v>
      </c>
      <c r="J83" s="20" t="n">
        <v>0</v>
      </c>
      <c r="K83" s="18" t="n">
        <v>0</v>
      </c>
      <c r="L83" s="20" t="n">
        <v>0</v>
      </c>
      <c r="M83" s="18" t="n">
        <v>0</v>
      </c>
      <c r="N83" s="20" t="n">
        <v>0</v>
      </c>
      <c r="O83" s="18" t="n">
        <v>0</v>
      </c>
      <c r="P83" s="20" t="n">
        <v>0</v>
      </c>
      <c r="Q83" s="18" t="n">
        <v>8.96755727</v>
      </c>
      <c r="R83" s="20" t="n">
        <v>2.08760145</v>
      </c>
    </row>
    <row r="84" spans="1:18">
      <c r="A84" s="23" t="s">
        <v>644</v>
      </c>
      <c r="B84" s="24" t="n">
        <v>938</v>
      </c>
      <c r="C84" s="25">
        <f>(715.0/B84*100)</f>
        <v/>
      </c>
      <c r="D84" s="19" t="n">
        <v>223</v>
      </c>
      <c r="E84" s="18" t="n">
        <v>85.05190625</v>
      </c>
      <c r="F84" s="20" t="n">
        <v>2.17924952</v>
      </c>
      <c r="G84" s="18" t="n">
        <v>4.15122175</v>
      </c>
      <c r="H84" s="20" t="n">
        <v>1.24519986</v>
      </c>
      <c r="I84" s="18" t="n">
        <v>0</v>
      </c>
      <c r="J84" s="20" t="n">
        <v>0</v>
      </c>
      <c r="K84" s="18" t="n">
        <v>0</v>
      </c>
      <c r="L84" s="20" t="n">
        <v>0</v>
      </c>
      <c r="M84" s="18" t="n">
        <v>0</v>
      </c>
      <c r="N84" s="20" t="n">
        <v>0</v>
      </c>
      <c r="O84" s="18" t="n">
        <v>0</v>
      </c>
      <c r="P84" s="20" t="n">
        <v>0</v>
      </c>
      <c r="Q84" s="18" t="n">
        <v>10.796872</v>
      </c>
      <c r="R84" s="20" t="n">
        <v>1.8881407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(5626.0/B7*100)</f>
        <v/>
      </c>
      <c r="D7" s="19" t="n">
        <v>1537</v>
      </c>
      <c r="E7" s="18" t="n">
        <v>25.73899745</v>
      </c>
      <c r="F7" s="20" t="n">
        <v>1.47444105</v>
      </c>
      <c r="G7" s="18" t="n">
        <v>72.72227132</v>
      </c>
      <c r="H7" s="20" t="n">
        <v>1.54179247</v>
      </c>
      <c r="I7" s="18" t="n">
        <v>0</v>
      </c>
      <c r="J7" s="20" t="n">
        <v>0</v>
      </c>
      <c r="K7" s="18" t="n">
        <v>0.29402858</v>
      </c>
      <c r="L7" s="20" t="n">
        <v>0.19328409</v>
      </c>
      <c r="M7" s="18" t="n">
        <v>0</v>
      </c>
      <c r="N7" s="20" t="n">
        <v>0</v>
      </c>
      <c r="O7" s="18" t="n">
        <v>0</v>
      </c>
      <c r="P7" s="20" t="n">
        <v>0</v>
      </c>
      <c r="Q7" s="18" t="n">
        <v>1.24470266</v>
      </c>
      <c r="R7" s="20" t="n">
        <v>0.30174835</v>
      </c>
    </row>
    <row r="8" spans="1:18">
      <c r="A8" s="15" t="s">
        <v>566</v>
      </c>
      <c r="B8" s="17" t="n">
        <v>3443</v>
      </c>
      <c r="C8" s="18">
        <f>(2669.0/B8*100)</f>
        <v/>
      </c>
      <c r="D8" s="19" t="n">
        <v>774</v>
      </c>
      <c r="E8" s="18" t="n">
        <v>35.61508576</v>
      </c>
      <c r="F8" s="20" t="n">
        <v>2.44158757</v>
      </c>
      <c r="G8" s="18" t="n">
        <v>61.69579094</v>
      </c>
      <c r="H8" s="20" t="n">
        <v>2.47058836</v>
      </c>
      <c r="I8" s="18" t="n">
        <v>0</v>
      </c>
      <c r="J8" s="20" t="n">
        <v>0</v>
      </c>
      <c r="K8" s="18" t="n">
        <v>0</v>
      </c>
      <c r="L8" s="20" t="n">
        <v>0</v>
      </c>
      <c r="M8" s="18" t="n">
        <v>0</v>
      </c>
      <c r="N8" s="20" t="n">
        <v>0</v>
      </c>
      <c r="O8" s="18" t="n">
        <v>0</v>
      </c>
      <c r="P8" s="20" t="n">
        <v>0</v>
      </c>
      <c r="Q8" s="18" t="n">
        <v>2.6891233</v>
      </c>
      <c r="R8" s="20" t="n">
        <v>0.76043554</v>
      </c>
    </row>
    <row r="9" spans="1:18">
      <c r="A9" s="15" t="s">
        <v>567</v>
      </c>
      <c r="B9" s="17" t="n">
        <v>4752</v>
      </c>
      <c r="C9" s="18">
        <f>(3713.0/B9*100)</f>
        <v/>
      </c>
      <c r="D9" s="19" t="n">
        <v>1039</v>
      </c>
      <c r="E9" s="18" t="n">
        <v>28.45622083</v>
      </c>
      <c r="F9" s="20" t="n">
        <v>1.61647333</v>
      </c>
      <c r="G9" s="18" t="n">
        <v>68.77108758999999</v>
      </c>
      <c r="H9" s="20" t="n">
        <v>1.76802527</v>
      </c>
      <c r="I9" s="18" t="n">
        <v>0</v>
      </c>
      <c r="J9" s="20" t="n">
        <v>0</v>
      </c>
      <c r="K9" s="18" t="n">
        <v>0.39913282</v>
      </c>
      <c r="L9" s="20" t="n">
        <v>0.20691396</v>
      </c>
      <c r="M9" s="18" t="n">
        <v>0</v>
      </c>
      <c r="N9" s="20" t="n">
        <v>0</v>
      </c>
      <c r="O9" s="18" t="n">
        <v>0</v>
      </c>
      <c r="P9" s="20" t="n">
        <v>0</v>
      </c>
      <c r="Q9" s="18" t="n">
        <v>2.37355876</v>
      </c>
      <c r="R9" s="20" t="n">
        <v>0.50817373</v>
      </c>
    </row>
    <row r="10" spans="1:18">
      <c r="A10" s="15" t="s">
        <v>568</v>
      </c>
      <c r="B10" s="17" t="n">
        <v>10022</v>
      </c>
      <c r="C10" s="18">
        <f>(7821.0/B10*100)</f>
        <v/>
      </c>
      <c r="D10" s="19" t="n">
        <v>2201</v>
      </c>
      <c r="E10" s="18" t="n">
        <v>20.35227966</v>
      </c>
      <c r="F10" s="20" t="n">
        <v>1.15176249</v>
      </c>
      <c r="G10" s="18" t="n">
        <v>77.92383246</v>
      </c>
      <c r="H10" s="20" t="n">
        <v>1.14172527</v>
      </c>
      <c r="I10" s="18" t="n">
        <v>0</v>
      </c>
      <c r="J10" s="20" t="n">
        <v>0</v>
      </c>
      <c r="K10" s="18" t="n">
        <v>0.36381</v>
      </c>
      <c r="L10" s="20" t="n">
        <v>0.20927669</v>
      </c>
      <c r="M10" s="18" t="n">
        <v>0</v>
      </c>
      <c r="N10" s="20" t="n">
        <v>0</v>
      </c>
      <c r="O10" s="18" t="n">
        <v>0</v>
      </c>
      <c r="P10" s="20" t="n">
        <v>0</v>
      </c>
      <c r="Q10" s="18" t="n">
        <v>1.36007787</v>
      </c>
      <c r="R10" s="20" t="n">
        <v>0.24911736</v>
      </c>
    </row>
    <row r="11" spans="1:18">
      <c r="A11" s="15" t="s">
        <v>569</v>
      </c>
      <c r="B11" s="17" t="n">
        <v>3500</v>
      </c>
      <c r="C11" s="18">
        <f>(2722.0/B11*100)</f>
        <v/>
      </c>
      <c r="D11" s="19" t="n">
        <v>778</v>
      </c>
      <c r="E11" s="18" t="n">
        <v>39.78887417</v>
      </c>
      <c r="F11" s="20" t="n">
        <v>2.03947067</v>
      </c>
      <c r="G11" s="18" t="n">
        <v>55.31772774</v>
      </c>
      <c r="H11" s="20" t="n">
        <v>2.15976101</v>
      </c>
      <c r="I11" s="18" t="n">
        <v>0</v>
      </c>
      <c r="J11" s="20" t="n">
        <v>0</v>
      </c>
      <c r="K11" s="18" t="n">
        <v>0.90307021</v>
      </c>
      <c r="L11" s="20" t="n">
        <v>0.44449897</v>
      </c>
      <c r="M11" s="18" t="n">
        <v>0</v>
      </c>
      <c r="N11" s="20" t="n">
        <v>0</v>
      </c>
      <c r="O11" s="18" t="n">
        <v>0</v>
      </c>
      <c r="P11" s="20" t="n">
        <v>0</v>
      </c>
      <c r="Q11" s="18" t="n">
        <v>3.99032788</v>
      </c>
      <c r="R11" s="20" t="n">
        <v>0.81036935</v>
      </c>
    </row>
    <row r="12" spans="1:18">
      <c r="A12" s="15" t="s">
        <v>570</v>
      </c>
      <c r="B12" s="17" t="n">
        <v>3422</v>
      </c>
      <c r="C12" s="18">
        <f>(2705.0/B12*100)</f>
        <v/>
      </c>
      <c r="D12" s="19" t="n">
        <v>717</v>
      </c>
      <c r="E12" s="18" t="n">
        <v>31.91710651</v>
      </c>
      <c r="F12" s="20" t="n">
        <v>2.12996489</v>
      </c>
      <c r="G12" s="18" t="n">
        <v>66.31235345</v>
      </c>
      <c r="H12" s="20" t="n">
        <v>2.18043423</v>
      </c>
      <c r="I12" s="18" t="n">
        <v>0</v>
      </c>
      <c r="J12" s="20" t="n">
        <v>0</v>
      </c>
      <c r="K12" s="18" t="n">
        <v>0.12154152</v>
      </c>
      <c r="L12" s="20" t="n">
        <v>0.11537642</v>
      </c>
      <c r="M12" s="18" t="n">
        <v>0</v>
      </c>
      <c r="N12" s="20" t="n">
        <v>0</v>
      </c>
      <c r="O12" s="18" t="n">
        <v>0</v>
      </c>
      <c r="P12" s="20" t="n">
        <v>0</v>
      </c>
      <c r="Q12" s="18" t="n">
        <v>1.64899852</v>
      </c>
      <c r="R12" s="20" t="n">
        <v>0.60938704</v>
      </c>
    </row>
    <row r="13" spans="1:18">
      <c r="A13" s="15" t="s">
        <v>571</v>
      </c>
      <c r="B13" s="17" t="n">
        <v>3602</v>
      </c>
      <c r="C13" s="18">
        <f>(2900.0/B13*100)</f>
        <v/>
      </c>
      <c r="D13" s="19" t="n">
        <v>702</v>
      </c>
      <c r="E13" s="18" t="n">
        <v>29.06949247</v>
      </c>
      <c r="F13" s="20" t="n">
        <v>2.01694535</v>
      </c>
      <c r="G13" s="18" t="n">
        <v>69.32695227000001</v>
      </c>
      <c r="H13" s="20" t="n">
        <v>2.10313537</v>
      </c>
      <c r="I13" s="18" t="n">
        <v>0</v>
      </c>
      <c r="J13" s="20" t="n">
        <v>0</v>
      </c>
      <c r="K13" s="18" t="n">
        <v>0.26487964</v>
      </c>
      <c r="L13" s="20" t="n">
        <v>0.20361897</v>
      </c>
      <c r="M13" s="18" t="n">
        <v>0</v>
      </c>
      <c r="N13" s="20" t="n">
        <v>0</v>
      </c>
      <c r="O13" s="18" t="n">
        <v>0</v>
      </c>
      <c r="P13" s="20" t="n">
        <v>0</v>
      </c>
      <c r="Q13" s="18" t="n">
        <v>1.33867561</v>
      </c>
      <c r="R13" s="20" t="n">
        <v>0.47529346</v>
      </c>
    </row>
    <row r="14" spans="1:18">
      <c r="A14" s="15" t="s">
        <v>572</v>
      </c>
      <c r="B14" s="17" t="n">
        <v>2788</v>
      </c>
      <c r="C14" s="18">
        <f>(2154.0/B14*100)</f>
        <v/>
      </c>
      <c r="D14" s="19" t="n">
        <v>634</v>
      </c>
      <c r="E14" s="18" t="n">
        <v>21.89867938</v>
      </c>
      <c r="F14" s="20" t="n">
        <v>1.51498664</v>
      </c>
      <c r="G14" s="18" t="n">
        <v>77.53980396</v>
      </c>
      <c r="H14" s="20" t="n">
        <v>1.56601756</v>
      </c>
      <c r="I14" s="18" t="n">
        <v>0</v>
      </c>
      <c r="J14" s="20" t="n">
        <v>0</v>
      </c>
      <c r="K14" s="18" t="n">
        <v>0.14598587</v>
      </c>
      <c r="L14" s="20" t="n">
        <v>0.14698664</v>
      </c>
      <c r="M14" s="18" t="n">
        <v>0</v>
      </c>
      <c r="N14" s="20" t="n">
        <v>0</v>
      </c>
      <c r="O14" s="18" t="n">
        <v>0</v>
      </c>
      <c r="P14" s="20" t="n">
        <v>0</v>
      </c>
      <c r="Q14" s="18" t="n">
        <v>0.4155308</v>
      </c>
      <c r="R14" s="20" t="n">
        <v>0.23929598</v>
      </c>
    </row>
    <row r="15" spans="1:18">
      <c r="A15" s="15" t="s">
        <v>573</v>
      </c>
      <c r="B15" s="17" t="n">
        <v>2863</v>
      </c>
      <c r="C15" s="18">
        <f>(2225.0/B15*100)</f>
        <v/>
      </c>
      <c r="D15" s="19" t="n">
        <v>638</v>
      </c>
      <c r="E15" s="18" t="n">
        <v>16.38456244</v>
      </c>
      <c r="F15" s="20" t="n">
        <v>1.79428387</v>
      </c>
      <c r="G15" s="18" t="n">
        <v>82.97705358</v>
      </c>
      <c r="H15" s="20" t="n">
        <v>1.82020123</v>
      </c>
      <c r="I15" s="18" t="n">
        <v>0</v>
      </c>
      <c r="J15" s="20" t="n">
        <v>0</v>
      </c>
      <c r="K15" s="18" t="n">
        <v>0</v>
      </c>
      <c r="L15" s="20" t="n">
        <v>0</v>
      </c>
      <c r="M15" s="18" t="n">
        <v>0</v>
      </c>
      <c r="N15" s="20" t="n">
        <v>0</v>
      </c>
      <c r="O15" s="18" t="n">
        <v>0</v>
      </c>
      <c r="P15" s="20" t="n">
        <v>0</v>
      </c>
      <c r="Q15" s="18" t="n">
        <v>0.63838398</v>
      </c>
      <c r="R15" s="20" t="n">
        <v>0.38880121</v>
      </c>
    </row>
    <row r="16" spans="1:18">
      <c r="A16" s="15" t="s">
        <v>574</v>
      </c>
      <c r="B16" s="17" t="n">
        <v>3111</v>
      </c>
      <c r="C16" s="18">
        <f>(2436.0/B16*100)</f>
        <v/>
      </c>
      <c r="D16" s="19" t="n">
        <v>675</v>
      </c>
      <c r="E16" s="18" t="n">
        <v>21.81906363</v>
      </c>
      <c r="F16" s="20" t="n">
        <v>1.67958492</v>
      </c>
      <c r="G16" s="18" t="n">
        <v>74.16401663000001</v>
      </c>
      <c r="H16" s="20" t="n">
        <v>1.81748095</v>
      </c>
      <c r="I16" s="18" t="n">
        <v>0</v>
      </c>
      <c r="J16" s="20" t="n">
        <v>0</v>
      </c>
      <c r="K16" s="18" t="n">
        <v>0.77324101</v>
      </c>
      <c r="L16" s="20" t="n">
        <v>0.34009978</v>
      </c>
      <c r="M16" s="18" t="n">
        <v>0</v>
      </c>
      <c r="N16" s="20" t="n">
        <v>0</v>
      </c>
      <c r="O16" s="18" t="n">
        <v>0</v>
      </c>
      <c r="P16" s="20" t="n">
        <v>0</v>
      </c>
      <c r="Q16" s="18" t="n">
        <v>3.24367873</v>
      </c>
      <c r="R16" s="20" t="n">
        <v>0.71523982</v>
      </c>
    </row>
    <row r="17" spans="1:18">
      <c r="A17" s="15" t="s">
        <v>575</v>
      </c>
      <c r="B17" s="17" t="n">
        <v>3197</v>
      </c>
      <c r="C17" s="18">
        <f>(2549.0/B17*100)</f>
        <v/>
      </c>
      <c r="D17" s="19" t="n">
        <v>648</v>
      </c>
      <c r="E17" s="18" t="n">
        <v>33.07632435</v>
      </c>
      <c r="F17" s="20" t="n">
        <v>1.93890556</v>
      </c>
      <c r="G17" s="18" t="n">
        <v>64.52746412</v>
      </c>
      <c r="H17" s="20" t="n">
        <v>2.06255433</v>
      </c>
      <c r="I17" s="18" t="n">
        <v>0</v>
      </c>
      <c r="J17" s="20" t="n">
        <v>0</v>
      </c>
      <c r="K17" s="18" t="n">
        <v>0.322367</v>
      </c>
      <c r="L17" s="20" t="n">
        <v>0.2286456</v>
      </c>
      <c r="M17" s="18" t="n">
        <v>0</v>
      </c>
      <c r="N17" s="20" t="n">
        <v>0</v>
      </c>
      <c r="O17" s="18" t="n">
        <v>0</v>
      </c>
      <c r="P17" s="20" t="n">
        <v>0</v>
      </c>
      <c r="Q17" s="18" t="n">
        <v>2.07384453</v>
      </c>
      <c r="R17" s="20" t="n">
        <v>0.59688416</v>
      </c>
    </row>
    <row r="18" spans="1:18">
      <c r="A18" s="15" t="s">
        <v>576</v>
      </c>
      <c r="B18" s="17" t="n">
        <v>2706</v>
      </c>
      <c r="C18" s="18">
        <f>(2111.0/B18*100)</f>
        <v/>
      </c>
      <c r="D18" s="19" t="n">
        <v>595</v>
      </c>
      <c r="E18" s="18" t="n">
        <v>33.74505702</v>
      </c>
      <c r="F18" s="20" t="n">
        <v>2.3791538</v>
      </c>
      <c r="G18" s="18" t="n">
        <v>62.7841429</v>
      </c>
      <c r="H18" s="20" t="n">
        <v>2.43099215</v>
      </c>
      <c r="I18" s="18" t="n">
        <v>0</v>
      </c>
      <c r="J18" s="20" t="n">
        <v>0</v>
      </c>
      <c r="K18" s="18" t="n">
        <v>0.64546107</v>
      </c>
      <c r="L18" s="20" t="n">
        <v>0.33948914</v>
      </c>
      <c r="M18" s="18" t="n">
        <v>0</v>
      </c>
      <c r="N18" s="20" t="n">
        <v>0</v>
      </c>
      <c r="O18" s="18" t="n">
        <v>0</v>
      </c>
      <c r="P18" s="20" t="n">
        <v>0</v>
      </c>
      <c r="Q18" s="18" t="n">
        <v>2.82533901</v>
      </c>
      <c r="R18" s="20" t="n">
        <v>0.59913855</v>
      </c>
    </row>
    <row r="19" spans="1:18">
      <c r="A19" s="15" t="s">
        <v>577</v>
      </c>
      <c r="B19" s="17" t="n">
        <v>2850</v>
      </c>
      <c r="C19" s="18">
        <f>(2193.0/B19*100)</f>
        <v/>
      </c>
      <c r="D19" s="19" t="n">
        <v>657</v>
      </c>
      <c r="E19" s="18" t="n">
        <v>40.22269199</v>
      </c>
      <c r="F19" s="20" t="n">
        <v>2.32718389</v>
      </c>
      <c r="G19" s="18" t="n">
        <v>57.79855014</v>
      </c>
      <c r="H19" s="20" t="n">
        <v>2.21938142</v>
      </c>
      <c r="I19" s="18" t="n">
        <v>0</v>
      </c>
      <c r="J19" s="20" t="n">
        <v>0</v>
      </c>
      <c r="K19" s="18" t="n">
        <v>0.14080687</v>
      </c>
      <c r="L19" s="20" t="n">
        <v>0.11982637</v>
      </c>
      <c r="M19" s="18" t="n">
        <v>0</v>
      </c>
      <c r="N19" s="20" t="n">
        <v>0</v>
      </c>
      <c r="O19" s="18" t="n">
        <v>0</v>
      </c>
      <c r="P19" s="20" t="n">
        <v>0</v>
      </c>
      <c r="Q19" s="18" t="n">
        <v>1.837951</v>
      </c>
      <c r="R19" s="20" t="n">
        <v>0.61803624</v>
      </c>
    </row>
    <row r="20" spans="1:18">
      <c r="A20" s="15" t="s">
        <v>578</v>
      </c>
      <c r="B20" s="17" t="n">
        <v>1741</v>
      </c>
      <c r="C20" s="18">
        <f>(1367.0/B20*100)</f>
        <v/>
      </c>
      <c r="D20" s="19" t="n">
        <v>374</v>
      </c>
      <c r="E20" s="18" t="n">
        <v>37.96384192</v>
      </c>
      <c r="F20" s="20" t="n">
        <v>2.61718884</v>
      </c>
      <c r="G20" s="18" t="n">
        <v>57.58176695</v>
      </c>
      <c r="H20" s="20" t="n">
        <v>2.73544768</v>
      </c>
      <c r="I20" s="18" t="n">
        <v>0</v>
      </c>
      <c r="J20" s="20" t="n">
        <v>0</v>
      </c>
      <c r="K20" s="18" t="n">
        <v>0.25493152</v>
      </c>
      <c r="L20" s="20" t="n">
        <v>0.24392251</v>
      </c>
      <c r="M20" s="18" t="n">
        <v>0</v>
      </c>
      <c r="N20" s="20" t="n">
        <v>0</v>
      </c>
      <c r="O20" s="18" t="n">
        <v>0</v>
      </c>
      <c r="P20" s="20" t="n">
        <v>0</v>
      </c>
      <c r="Q20" s="18" t="n">
        <v>4.1994596</v>
      </c>
      <c r="R20" s="20" t="n">
        <v>0.87653759</v>
      </c>
    </row>
    <row r="21" spans="1:18">
      <c r="A21" s="15" t="s">
        <v>579</v>
      </c>
      <c r="B21" s="17" t="n">
        <v>2833</v>
      </c>
      <c r="C21" s="18">
        <f>(2233.0/B21*100)</f>
        <v/>
      </c>
      <c r="D21" s="19" t="n">
        <v>600</v>
      </c>
      <c r="E21" s="18" t="n">
        <v>21.61018093</v>
      </c>
      <c r="F21" s="20" t="n">
        <v>1.55518505</v>
      </c>
      <c r="G21" s="18" t="n">
        <v>76.75744039999999</v>
      </c>
      <c r="H21" s="20" t="n">
        <v>1.52574836</v>
      </c>
      <c r="I21" s="18" t="n">
        <v>0</v>
      </c>
      <c r="J21" s="20" t="n">
        <v>0</v>
      </c>
      <c r="K21" s="18" t="n">
        <v>0.14577175</v>
      </c>
      <c r="L21" s="20" t="n">
        <v>0.10437091</v>
      </c>
      <c r="M21" s="18" t="n">
        <v>0</v>
      </c>
      <c r="N21" s="20" t="n">
        <v>0</v>
      </c>
      <c r="O21" s="18" t="n">
        <v>0</v>
      </c>
      <c r="P21" s="20" t="n">
        <v>0</v>
      </c>
      <c r="Q21" s="18" t="n">
        <v>1.48660691</v>
      </c>
      <c r="R21" s="20" t="n">
        <v>0.47332184</v>
      </c>
    </row>
    <row r="22" spans="1:18">
      <c r="A22" s="15" t="s">
        <v>580</v>
      </c>
      <c r="B22" s="17" t="n">
        <v>3667</v>
      </c>
      <c r="C22" s="18">
        <f>(2870.0/B22*100)</f>
        <v/>
      </c>
      <c r="D22" s="19" t="n">
        <v>797</v>
      </c>
      <c r="E22" s="18" t="n">
        <v>32.07352643</v>
      </c>
      <c r="F22" s="20" t="n">
        <v>2.04559703</v>
      </c>
      <c r="G22" s="18" t="n">
        <v>63.1590848</v>
      </c>
      <c r="H22" s="20" t="n">
        <v>2.07583028</v>
      </c>
      <c r="I22" s="18" t="n">
        <v>0</v>
      </c>
      <c r="J22" s="20" t="n">
        <v>0</v>
      </c>
      <c r="K22" s="18" t="n">
        <v>0.92761382</v>
      </c>
      <c r="L22" s="20" t="n">
        <v>0.36690061</v>
      </c>
      <c r="M22" s="18" t="n">
        <v>0</v>
      </c>
      <c r="N22" s="20" t="n">
        <v>0</v>
      </c>
      <c r="O22" s="18" t="n">
        <v>0</v>
      </c>
      <c r="P22" s="20" t="n">
        <v>0</v>
      </c>
      <c r="Q22" s="18" t="n">
        <v>3.83977494</v>
      </c>
      <c r="R22" s="20" t="n">
        <v>0.72881775</v>
      </c>
    </row>
    <row r="23" spans="1:18">
      <c r="A23" s="15" t="s">
        <v>581</v>
      </c>
      <c r="B23" s="17" t="n">
        <v>5792</v>
      </c>
      <c r="C23" s="18">
        <f>(4479.0/B23*100)</f>
        <v/>
      </c>
      <c r="D23" s="19" t="n">
        <v>1313</v>
      </c>
      <c r="E23" s="18" t="n">
        <v>29.51376833</v>
      </c>
      <c r="F23" s="20" t="n">
        <v>1.65642096</v>
      </c>
      <c r="G23" s="18" t="n">
        <v>66.05407663</v>
      </c>
      <c r="H23" s="20" t="n">
        <v>1.81742321</v>
      </c>
      <c r="I23" s="18" t="n">
        <v>0</v>
      </c>
      <c r="J23" s="20" t="n">
        <v>0</v>
      </c>
      <c r="K23" s="18" t="n">
        <v>0.30859129</v>
      </c>
      <c r="L23" s="20" t="n">
        <v>0.32144145</v>
      </c>
      <c r="M23" s="18" t="n">
        <v>0</v>
      </c>
      <c r="N23" s="20" t="n">
        <v>0</v>
      </c>
      <c r="O23" s="18" t="n">
        <v>0</v>
      </c>
      <c r="P23" s="20" t="n">
        <v>0</v>
      </c>
      <c r="Q23" s="18" t="n">
        <v>4.12356375</v>
      </c>
      <c r="R23" s="20" t="n">
        <v>0.72564431</v>
      </c>
    </row>
    <row r="24" spans="1:18">
      <c r="A24" s="15" t="s">
        <v>582</v>
      </c>
      <c r="B24" s="17" t="n">
        <v>3309</v>
      </c>
      <c r="C24" s="18">
        <f>(2603.0/B24*100)</f>
        <v/>
      </c>
      <c r="D24" s="19" t="n">
        <v>706</v>
      </c>
      <c r="E24" s="18" t="n">
        <v>28.86411817</v>
      </c>
      <c r="F24" s="20" t="n">
        <v>2.10754125</v>
      </c>
      <c r="G24" s="18" t="n">
        <v>70.11977104</v>
      </c>
      <c r="H24" s="20" t="n">
        <v>2.03442659</v>
      </c>
      <c r="I24" s="18" t="n">
        <v>0</v>
      </c>
      <c r="J24" s="20" t="n">
        <v>0</v>
      </c>
      <c r="K24" s="18" t="n">
        <v>0.14665901</v>
      </c>
      <c r="L24" s="20" t="n">
        <v>0.14817625</v>
      </c>
      <c r="M24" s="18" t="n">
        <v>0</v>
      </c>
      <c r="N24" s="20" t="n">
        <v>0</v>
      </c>
      <c r="O24" s="18" t="n">
        <v>0</v>
      </c>
      <c r="P24" s="20" t="n">
        <v>0</v>
      </c>
      <c r="Q24" s="18" t="n">
        <v>0.86945178</v>
      </c>
      <c r="R24" s="20" t="n">
        <v>0.32723407</v>
      </c>
    </row>
    <row r="25" spans="1:18">
      <c r="A25" s="15" t="s">
        <v>583</v>
      </c>
      <c r="B25" s="17" t="n">
        <v>2669</v>
      </c>
      <c r="C25" s="18">
        <f>(2091.0/B25*100)</f>
        <v/>
      </c>
      <c r="D25" s="19" t="n">
        <v>578</v>
      </c>
      <c r="E25" s="18" t="n">
        <v>20.18824127</v>
      </c>
      <c r="F25" s="20" t="n">
        <v>1.48686141</v>
      </c>
      <c r="G25" s="18" t="n">
        <v>78.81241174</v>
      </c>
      <c r="H25" s="20" t="n">
        <v>1.50668118</v>
      </c>
      <c r="I25" s="18" t="n">
        <v>0</v>
      </c>
      <c r="J25" s="20" t="n">
        <v>0</v>
      </c>
      <c r="K25" s="18" t="n">
        <v>0</v>
      </c>
      <c r="L25" s="20" t="n">
        <v>0</v>
      </c>
      <c r="M25" s="18" t="n">
        <v>0</v>
      </c>
      <c r="N25" s="20" t="n">
        <v>0</v>
      </c>
      <c r="O25" s="18" t="n">
        <v>0</v>
      </c>
      <c r="P25" s="20" t="n">
        <v>0</v>
      </c>
      <c r="Q25" s="18" t="n">
        <v>0.99934699</v>
      </c>
      <c r="R25" s="20" t="n">
        <v>0.34046133</v>
      </c>
    </row>
    <row r="26" spans="1:18">
      <c r="A26" s="15" t="s">
        <v>584</v>
      </c>
      <c r="B26" s="17" t="n">
        <v>2419</v>
      </c>
      <c r="C26" s="18">
        <f>(1857.0/B26*100)</f>
        <v/>
      </c>
      <c r="D26" s="19" t="n">
        <v>562</v>
      </c>
      <c r="E26" s="18" t="n">
        <v>27.48419318</v>
      </c>
      <c r="F26" s="20" t="n">
        <v>2.12800754</v>
      </c>
      <c r="G26" s="18" t="n">
        <v>71.81298069</v>
      </c>
      <c r="H26" s="20" t="n">
        <v>2.11119831</v>
      </c>
      <c r="I26" s="18" t="n">
        <v>0</v>
      </c>
      <c r="J26" s="20" t="n">
        <v>0</v>
      </c>
      <c r="K26" s="18" t="n">
        <v>0</v>
      </c>
      <c r="L26" s="20" t="n">
        <v>0</v>
      </c>
      <c r="M26" s="18" t="n">
        <v>0</v>
      </c>
      <c r="N26" s="20" t="n">
        <v>0</v>
      </c>
      <c r="O26" s="18" t="n">
        <v>0</v>
      </c>
      <c r="P26" s="20" t="n">
        <v>0</v>
      </c>
      <c r="Q26" s="18" t="n">
        <v>0.70282614</v>
      </c>
      <c r="R26" s="20" t="n">
        <v>0.3202767</v>
      </c>
    </row>
    <row r="27" spans="1:18">
      <c r="A27" s="15" t="s">
        <v>585</v>
      </c>
      <c r="B27" s="17" t="n">
        <v>2683</v>
      </c>
      <c r="C27" s="18">
        <f>(2126.0/B27*100)</f>
        <v/>
      </c>
      <c r="D27" s="19" t="n">
        <v>557</v>
      </c>
      <c r="E27" s="18" t="n">
        <v>32.75898636</v>
      </c>
      <c r="F27" s="20" t="n">
        <v>1.93478315</v>
      </c>
      <c r="G27" s="18" t="n">
        <v>64.50077521</v>
      </c>
      <c r="H27" s="20" t="n">
        <v>1.9442197</v>
      </c>
      <c r="I27" s="18" t="n">
        <v>0</v>
      </c>
      <c r="J27" s="20" t="n">
        <v>0</v>
      </c>
      <c r="K27" s="18" t="n">
        <v>0.17305046</v>
      </c>
      <c r="L27" s="20" t="n">
        <v>0.17392042</v>
      </c>
      <c r="M27" s="18" t="n">
        <v>0</v>
      </c>
      <c r="N27" s="20" t="n">
        <v>0</v>
      </c>
      <c r="O27" s="18" t="n">
        <v>0</v>
      </c>
      <c r="P27" s="20" t="n">
        <v>0</v>
      </c>
      <c r="Q27" s="18" t="n">
        <v>2.56718797</v>
      </c>
      <c r="R27" s="20" t="n">
        <v>0.69914649</v>
      </c>
    </row>
    <row r="28" spans="1:18">
      <c r="A28" s="15" t="s">
        <v>586</v>
      </c>
      <c r="B28" s="17" t="n">
        <v>3803</v>
      </c>
      <c r="C28" s="18">
        <f>(2971.0/B28*100)</f>
        <v/>
      </c>
      <c r="D28" s="19" t="n">
        <v>832</v>
      </c>
      <c r="E28" s="18" t="n">
        <v>36.82117214</v>
      </c>
      <c r="F28" s="20" t="n">
        <v>2.14162381</v>
      </c>
      <c r="G28" s="18" t="n">
        <v>60.25034774</v>
      </c>
      <c r="H28" s="20" t="n">
        <v>2.1580154</v>
      </c>
      <c r="I28" s="18" t="n">
        <v>0</v>
      </c>
      <c r="J28" s="20" t="n">
        <v>0</v>
      </c>
      <c r="K28" s="18" t="n">
        <v>0.78817395</v>
      </c>
      <c r="L28" s="20" t="n">
        <v>0.35312144</v>
      </c>
      <c r="M28" s="18" t="n">
        <v>0</v>
      </c>
      <c r="N28" s="20" t="n">
        <v>0</v>
      </c>
      <c r="O28" s="18" t="n">
        <v>0</v>
      </c>
      <c r="P28" s="20" t="n">
        <v>0</v>
      </c>
      <c r="Q28" s="18" t="n">
        <v>2.14030617</v>
      </c>
      <c r="R28" s="20" t="n">
        <v>0.44205014</v>
      </c>
    </row>
    <row r="29" spans="1:18">
      <c r="A29" s="15" t="s">
        <v>587</v>
      </c>
      <c r="B29" s="17" t="n">
        <v>2700</v>
      </c>
      <c r="C29" s="18">
        <f>(2113.0/B29*100)</f>
        <v/>
      </c>
      <c r="D29" s="19" t="n">
        <v>587</v>
      </c>
      <c r="E29" s="18" t="n">
        <v>36.02766648</v>
      </c>
      <c r="F29" s="20" t="n">
        <v>2.00658325</v>
      </c>
      <c r="G29" s="18" t="n">
        <v>60.53031451</v>
      </c>
      <c r="H29" s="20" t="n">
        <v>2.05990768</v>
      </c>
      <c r="I29" s="18" t="n">
        <v>0</v>
      </c>
      <c r="J29" s="20" t="n">
        <v>0</v>
      </c>
      <c r="K29" s="18" t="n">
        <v>0.36541936</v>
      </c>
      <c r="L29" s="20" t="n">
        <v>0.22230841</v>
      </c>
      <c r="M29" s="18" t="n">
        <v>0</v>
      </c>
      <c r="N29" s="20" t="n">
        <v>0</v>
      </c>
      <c r="O29" s="18" t="n">
        <v>0</v>
      </c>
      <c r="P29" s="20" t="n">
        <v>0</v>
      </c>
      <c r="Q29" s="18" t="n">
        <v>3.07659964</v>
      </c>
      <c r="R29" s="20" t="n">
        <v>0.6967264</v>
      </c>
    </row>
    <row r="30" spans="1:18">
      <c r="A30" s="15" t="s">
        <v>588</v>
      </c>
      <c r="B30" s="17" t="n">
        <v>2257</v>
      </c>
      <c r="C30" s="18">
        <f>(1777.0/B30*100)</f>
        <v/>
      </c>
      <c r="D30" s="19" t="n">
        <v>480</v>
      </c>
      <c r="E30" s="18" t="n">
        <v>24.60169527</v>
      </c>
      <c r="F30" s="20" t="n">
        <v>2.35761043</v>
      </c>
      <c r="G30" s="18" t="n">
        <v>73.2723628</v>
      </c>
      <c r="H30" s="20" t="n">
        <v>2.49188656</v>
      </c>
      <c r="I30" s="18" t="n">
        <v>0</v>
      </c>
      <c r="J30" s="20" t="n">
        <v>0</v>
      </c>
      <c r="K30" s="18" t="n">
        <v>0.20053632</v>
      </c>
      <c r="L30" s="20" t="n">
        <v>0.17403273</v>
      </c>
      <c r="M30" s="18" t="n">
        <v>0</v>
      </c>
      <c r="N30" s="20" t="n">
        <v>0</v>
      </c>
      <c r="O30" s="18" t="n">
        <v>0</v>
      </c>
      <c r="P30" s="20" t="n">
        <v>0</v>
      </c>
      <c r="Q30" s="18" t="n">
        <v>1.92540561</v>
      </c>
      <c r="R30" s="20" t="n">
        <v>0.6463636</v>
      </c>
    </row>
    <row r="31" spans="1:18">
      <c r="A31" s="15" t="s">
        <v>589</v>
      </c>
      <c r="B31" s="17" t="n">
        <v>2706</v>
      </c>
      <c r="C31" s="18">
        <f>(2110.0/B31*100)</f>
        <v/>
      </c>
      <c r="D31" s="19" t="n">
        <v>596</v>
      </c>
      <c r="E31" s="18" t="n">
        <v>29.66049865</v>
      </c>
      <c r="F31" s="20" t="n">
        <v>1.8955017</v>
      </c>
      <c r="G31" s="18" t="n">
        <v>67.43025625</v>
      </c>
      <c r="H31" s="20" t="n">
        <v>1.77276218</v>
      </c>
      <c r="I31" s="18" t="n">
        <v>0</v>
      </c>
      <c r="J31" s="20" t="n">
        <v>0</v>
      </c>
      <c r="K31" s="18" t="n">
        <v>0.47606536</v>
      </c>
      <c r="L31" s="20" t="n">
        <v>0.26988618</v>
      </c>
      <c r="M31" s="18" t="n">
        <v>0</v>
      </c>
      <c r="N31" s="20" t="n">
        <v>0</v>
      </c>
      <c r="O31" s="18" t="n">
        <v>0</v>
      </c>
      <c r="P31" s="20" t="n">
        <v>0</v>
      </c>
      <c r="Q31" s="18" t="n">
        <v>2.43317975</v>
      </c>
      <c r="R31" s="20" t="n">
        <v>0.6842842099999999</v>
      </c>
    </row>
    <row r="32" spans="1:18">
      <c r="A32" s="15" t="s">
        <v>590</v>
      </c>
      <c r="B32" s="17" t="n">
        <v>2209</v>
      </c>
      <c r="C32" s="18">
        <f>(1731.0/B32*100)</f>
        <v/>
      </c>
      <c r="D32" s="19" t="n">
        <v>478</v>
      </c>
      <c r="E32" s="18" t="n">
        <v>28.99349596</v>
      </c>
      <c r="F32" s="20" t="n">
        <v>2.36582269</v>
      </c>
      <c r="G32" s="18" t="n">
        <v>70.19341562</v>
      </c>
      <c r="H32" s="20" t="n">
        <v>2.44791609</v>
      </c>
      <c r="I32" s="18" t="n">
        <v>0</v>
      </c>
      <c r="J32" s="20" t="n">
        <v>0</v>
      </c>
      <c r="K32" s="18" t="n">
        <v>0</v>
      </c>
      <c r="L32" s="20" t="n">
        <v>0</v>
      </c>
      <c r="M32" s="18" t="n">
        <v>0</v>
      </c>
      <c r="N32" s="20" t="n">
        <v>0</v>
      </c>
      <c r="O32" s="18" t="n">
        <v>0</v>
      </c>
      <c r="P32" s="20" t="n">
        <v>0</v>
      </c>
      <c r="Q32" s="18" t="n">
        <v>0.81308841</v>
      </c>
      <c r="R32" s="20" t="n">
        <v>0.39053837</v>
      </c>
    </row>
    <row r="33" spans="1:18">
      <c r="A33" s="15" t="s">
        <v>591</v>
      </c>
      <c r="B33" s="17" t="n">
        <v>3651</v>
      </c>
      <c r="C33" s="18">
        <f>(2853.0/B33*100)</f>
        <v/>
      </c>
      <c r="D33" s="19" t="n">
        <v>798</v>
      </c>
      <c r="E33" s="18" t="n">
        <v>22.74230708</v>
      </c>
      <c r="F33" s="20" t="n">
        <v>1.82770361</v>
      </c>
      <c r="G33" s="18" t="n">
        <v>76.66585775</v>
      </c>
      <c r="H33" s="20" t="n">
        <v>1.83511449</v>
      </c>
      <c r="I33" s="18" t="n">
        <v>0</v>
      </c>
      <c r="J33" s="20" t="n">
        <v>0</v>
      </c>
      <c r="K33" s="18" t="n">
        <v>0</v>
      </c>
      <c r="L33" s="20" t="n">
        <v>0</v>
      </c>
      <c r="M33" s="18" t="n">
        <v>0</v>
      </c>
      <c r="N33" s="20" t="n">
        <v>0</v>
      </c>
      <c r="O33" s="18" t="n">
        <v>0</v>
      </c>
      <c r="P33" s="20" t="n">
        <v>0</v>
      </c>
      <c r="Q33" s="18" t="n">
        <v>0.59183517</v>
      </c>
      <c r="R33" s="20" t="n">
        <v>0.33145449</v>
      </c>
    </row>
    <row r="34" spans="1:18">
      <c r="A34" s="15" t="s">
        <v>592</v>
      </c>
      <c r="B34" s="17" t="n">
        <v>3035</v>
      </c>
      <c r="C34" s="18">
        <f>(2398.0/B34*100)</f>
        <v/>
      </c>
      <c r="D34" s="19" t="n">
        <v>637</v>
      </c>
      <c r="E34" s="18" t="n">
        <v>35.74333215</v>
      </c>
      <c r="F34" s="20" t="n">
        <v>2.10193042</v>
      </c>
      <c r="G34" s="18" t="n">
        <v>62.07494924</v>
      </c>
      <c r="H34" s="20" t="n">
        <v>1.97211911</v>
      </c>
      <c r="I34" s="18" t="n">
        <v>0</v>
      </c>
      <c r="J34" s="20" t="n">
        <v>0</v>
      </c>
      <c r="K34" s="18" t="n">
        <v>0.1247445</v>
      </c>
      <c r="L34" s="20" t="n">
        <v>0.12452843</v>
      </c>
      <c r="M34" s="18" t="n">
        <v>0</v>
      </c>
      <c r="N34" s="20" t="n">
        <v>0</v>
      </c>
      <c r="O34" s="18" t="n">
        <v>0</v>
      </c>
      <c r="P34" s="20" t="n">
        <v>0</v>
      </c>
      <c r="Q34" s="18" t="n">
        <v>2.05697412</v>
      </c>
      <c r="R34" s="20" t="n">
        <v>0.6287716800000001</v>
      </c>
    </row>
    <row r="35" spans="1:18">
      <c r="A35" s="15" t="s">
        <v>593</v>
      </c>
      <c r="B35" s="17" t="n">
        <v>2901</v>
      </c>
      <c r="C35" s="18">
        <f>(2264.0/B35*100)</f>
        <v/>
      </c>
      <c r="D35" s="19" t="n">
        <v>637</v>
      </c>
      <c r="E35" s="18" t="n">
        <v>29.94899785</v>
      </c>
      <c r="F35" s="20" t="n">
        <v>2.22821695</v>
      </c>
      <c r="G35" s="18" t="n">
        <v>69.41972697</v>
      </c>
      <c r="H35" s="20" t="n">
        <v>2.24345866</v>
      </c>
      <c r="I35" s="18" t="n">
        <v>0</v>
      </c>
      <c r="J35" s="20" t="n">
        <v>0</v>
      </c>
      <c r="K35" s="18" t="n">
        <v>0.06820848</v>
      </c>
      <c r="L35" s="20" t="n">
        <v>0.06867946</v>
      </c>
      <c r="M35" s="18" t="n">
        <v>0</v>
      </c>
      <c r="N35" s="20" t="n">
        <v>0</v>
      </c>
      <c r="O35" s="18" t="n">
        <v>0</v>
      </c>
      <c r="P35" s="20" t="n">
        <v>0</v>
      </c>
      <c r="Q35" s="18" t="n">
        <v>0.5630667</v>
      </c>
      <c r="R35" s="20" t="n">
        <v>0.27162319</v>
      </c>
    </row>
    <row r="36" spans="1:18">
      <c r="A36" s="15" t="s">
        <v>594</v>
      </c>
      <c r="B36" s="17" t="n">
        <v>3404</v>
      </c>
      <c r="C36" s="18">
        <f>(2631.0/B36*100)</f>
        <v/>
      </c>
      <c r="D36" s="19" t="n">
        <v>773</v>
      </c>
      <c r="E36" s="18" t="n">
        <v>25.00674161</v>
      </c>
      <c r="F36" s="20" t="n">
        <v>1.61837433</v>
      </c>
      <c r="G36" s="18" t="n">
        <v>72.02106209999999</v>
      </c>
      <c r="H36" s="20" t="n">
        <v>1.66919046</v>
      </c>
      <c r="I36" s="18" t="n">
        <v>0</v>
      </c>
      <c r="J36" s="20" t="n">
        <v>0</v>
      </c>
      <c r="K36" s="18" t="n">
        <v>0.1612216</v>
      </c>
      <c r="L36" s="20" t="n">
        <v>0.16842001</v>
      </c>
      <c r="M36" s="18" t="n">
        <v>0</v>
      </c>
      <c r="N36" s="20" t="n">
        <v>0</v>
      </c>
      <c r="O36" s="18" t="n">
        <v>0</v>
      </c>
      <c r="P36" s="20" t="n">
        <v>0</v>
      </c>
      <c r="Q36" s="18" t="n">
        <v>2.81097469</v>
      </c>
      <c r="R36" s="20" t="n">
        <v>0.58595008</v>
      </c>
    </row>
    <row r="37" spans="1:18">
      <c r="A37" s="15" t="s">
        <v>595</v>
      </c>
      <c r="B37" s="17" t="n">
        <v>2731</v>
      </c>
      <c r="C37" s="18">
        <f>(2155.0/B37*100)</f>
        <v/>
      </c>
      <c r="D37" s="19" t="n">
        <v>576</v>
      </c>
      <c r="E37" s="18" t="n">
        <v>27.46291147</v>
      </c>
      <c r="F37" s="20" t="n">
        <v>2.10485766</v>
      </c>
      <c r="G37" s="18" t="n">
        <v>68.48394797</v>
      </c>
      <c r="H37" s="20" t="n">
        <v>2.08963138</v>
      </c>
      <c r="I37" s="18" t="n">
        <v>0</v>
      </c>
      <c r="J37" s="20" t="n">
        <v>0</v>
      </c>
      <c r="K37" s="18" t="n">
        <v>0.79322495</v>
      </c>
      <c r="L37" s="20" t="n">
        <v>0.27451418</v>
      </c>
      <c r="M37" s="18" t="n">
        <v>0</v>
      </c>
      <c r="N37" s="20" t="n">
        <v>0</v>
      </c>
      <c r="O37" s="18" t="n">
        <v>0</v>
      </c>
      <c r="P37" s="20" t="n">
        <v>0</v>
      </c>
      <c r="Q37" s="18" t="n">
        <v>3.25991561</v>
      </c>
      <c r="R37" s="20" t="n">
        <v>0.70977717</v>
      </c>
    </row>
    <row r="38" spans="1:18">
      <c r="A38" s="15" t="s">
        <v>596</v>
      </c>
      <c r="B38" s="17" t="n">
        <v>2807</v>
      </c>
      <c r="C38" s="18">
        <f>(2180.0/B38*100)</f>
        <v/>
      </c>
      <c r="D38" s="19" t="n">
        <v>627</v>
      </c>
      <c r="E38" s="18" t="n">
        <v>34.15221759</v>
      </c>
      <c r="F38" s="20" t="n">
        <v>2.1656423</v>
      </c>
      <c r="G38" s="18" t="n">
        <v>63.64760795</v>
      </c>
      <c r="H38" s="20" t="n">
        <v>2.24699006</v>
      </c>
      <c r="I38" s="18" t="n">
        <v>0</v>
      </c>
      <c r="J38" s="20" t="n">
        <v>0</v>
      </c>
      <c r="K38" s="18" t="n">
        <v>0.21753447</v>
      </c>
      <c r="L38" s="20" t="n">
        <v>0.2275377</v>
      </c>
      <c r="M38" s="18" t="n">
        <v>0</v>
      </c>
      <c r="N38" s="20" t="n">
        <v>0</v>
      </c>
      <c r="O38" s="18" t="n">
        <v>0</v>
      </c>
      <c r="P38" s="20" t="n">
        <v>0</v>
      </c>
      <c r="Q38" s="18" t="n">
        <v>1.98263998</v>
      </c>
      <c r="R38" s="20" t="n">
        <v>0.54551777</v>
      </c>
    </row>
    <row r="39" spans="1:18">
      <c r="A39" s="15" t="s">
        <v>597</v>
      </c>
      <c r="B39" s="17" t="n">
        <v>2938</v>
      </c>
      <c r="C39" s="18">
        <f>(2280.0/B39*100)</f>
        <v/>
      </c>
      <c r="D39" s="19" t="n">
        <v>658</v>
      </c>
      <c r="E39" s="18" t="n">
        <v>43.3441609</v>
      </c>
      <c r="F39" s="20" t="n">
        <v>2.43968253</v>
      </c>
      <c r="G39" s="18" t="n">
        <v>55.02259398</v>
      </c>
      <c r="H39" s="20" t="n">
        <v>2.52072557</v>
      </c>
      <c r="I39" s="18" t="n">
        <v>0</v>
      </c>
      <c r="J39" s="20" t="n">
        <v>0</v>
      </c>
      <c r="K39" s="18" t="n">
        <v>0.14294093</v>
      </c>
      <c r="L39" s="20" t="n">
        <v>0.14363249</v>
      </c>
      <c r="M39" s="18" t="n">
        <v>0</v>
      </c>
      <c r="N39" s="20" t="n">
        <v>0</v>
      </c>
      <c r="O39" s="18" t="n">
        <v>0</v>
      </c>
      <c r="P39" s="20" t="n">
        <v>0</v>
      </c>
      <c r="Q39" s="18" t="n">
        <v>1.4903042</v>
      </c>
      <c r="R39" s="20" t="n">
        <v>0.54349537</v>
      </c>
    </row>
    <row r="40" spans="1:18">
      <c r="A40" s="15" t="s">
        <v>598</v>
      </c>
      <c r="B40" s="17" t="n">
        <v>6922</v>
      </c>
      <c r="C40" s="18">
        <f>(5389.0/B40*100)</f>
        <v/>
      </c>
      <c r="D40" s="19" t="n">
        <v>1533</v>
      </c>
      <c r="E40" s="18" t="n">
        <v>25.37473932</v>
      </c>
      <c r="F40" s="20" t="n">
        <v>1.5276274</v>
      </c>
      <c r="G40" s="18" t="n">
        <v>71.79441914</v>
      </c>
      <c r="H40" s="20" t="n">
        <v>1.77491058</v>
      </c>
      <c r="I40" s="18" t="n">
        <v>0</v>
      </c>
      <c r="J40" s="20" t="n">
        <v>0</v>
      </c>
      <c r="K40" s="18" t="n">
        <v>0.08454884999999999</v>
      </c>
      <c r="L40" s="20" t="n">
        <v>0.08610259000000001</v>
      </c>
      <c r="M40" s="18" t="n">
        <v>0</v>
      </c>
      <c r="N40" s="20" t="n">
        <v>0</v>
      </c>
      <c r="O40" s="18" t="n">
        <v>0</v>
      </c>
      <c r="P40" s="20" t="n">
        <v>0</v>
      </c>
      <c r="Q40" s="18" t="n">
        <v>2.7462927</v>
      </c>
      <c r="R40" s="20" t="n">
        <v>0.607703</v>
      </c>
    </row>
    <row r="41" spans="1:18">
      <c r="A41" s="15" t="s">
        <v>599</v>
      </c>
      <c r="B41" s="17" t="n">
        <v>2854</v>
      </c>
      <c r="C41" s="18">
        <f>(2259.0/B41*100)</f>
        <v/>
      </c>
      <c r="D41" s="19" t="n">
        <v>595</v>
      </c>
      <c r="E41" s="18" t="n">
        <v>26.75847084</v>
      </c>
      <c r="F41" s="20" t="n">
        <v>2.16948594</v>
      </c>
      <c r="G41" s="18" t="n">
        <v>71.57616786</v>
      </c>
      <c r="H41" s="20" t="n">
        <v>2.23257539</v>
      </c>
      <c r="I41" s="18" t="n">
        <v>0</v>
      </c>
      <c r="J41" s="20" t="n">
        <v>0</v>
      </c>
      <c r="K41" s="18" t="n">
        <v>0.19097199</v>
      </c>
      <c r="L41" s="20" t="n">
        <v>0.19269626</v>
      </c>
      <c r="M41" s="18" t="n">
        <v>0</v>
      </c>
      <c r="N41" s="20" t="n">
        <v>0</v>
      </c>
      <c r="O41" s="18" t="n">
        <v>0</v>
      </c>
      <c r="P41" s="20" t="n">
        <v>0</v>
      </c>
      <c r="Q41" s="18" t="n">
        <v>1.47438931</v>
      </c>
      <c r="R41" s="20" t="n">
        <v>0.499038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(9914.0/B46*100)</f>
        <v/>
      </c>
      <c r="D46" s="19" t="n">
        <v>2159</v>
      </c>
      <c r="E46" s="18" t="n">
        <v>43.49750558</v>
      </c>
      <c r="F46" s="20" t="n">
        <v>1.57107885</v>
      </c>
      <c r="G46" s="18" t="n">
        <v>47.4331977</v>
      </c>
      <c r="H46" s="20" t="n">
        <v>1.43855117</v>
      </c>
      <c r="I46" s="18" t="n">
        <v>0</v>
      </c>
      <c r="J46" s="20" t="n">
        <v>0</v>
      </c>
      <c r="K46" s="18" t="n">
        <v>1.42347689</v>
      </c>
      <c r="L46" s="20" t="n">
        <v>0.381016</v>
      </c>
      <c r="M46" s="18" t="n">
        <v>0</v>
      </c>
      <c r="N46" s="20" t="n">
        <v>0</v>
      </c>
      <c r="O46" s="18" t="n">
        <v>0</v>
      </c>
      <c r="P46" s="20" t="n">
        <v>0</v>
      </c>
      <c r="Q46" s="18" t="n">
        <v>7.64581983</v>
      </c>
      <c r="R46" s="20" t="n">
        <v>0.8604187</v>
      </c>
    </row>
    <row r="47" spans="1:18">
      <c r="A47" s="15" t="s">
        <v>606</v>
      </c>
      <c r="B47" s="17" t="n">
        <v>2823</v>
      </c>
      <c r="C47" s="18">
        <f>(2196.0/B47*100)</f>
        <v/>
      </c>
      <c r="D47" s="19" t="n">
        <v>627</v>
      </c>
      <c r="E47" s="18" t="n">
        <v>38.77239027</v>
      </c>
      <c r="F47" s="20" t="n">
        <v>2.47933582</v>
      </c>
      <c r="G47" s="18" t="n">
        <v>56.68376854</v>
      </c>
      <c r="H47" s="20" t="n">
        <v>2.62254507</v>
      </c>
      <c r="I47" s="18" t="n">
        <v>0</v>
      </c>
      <c r="J47" s="20" t="n">
        <v>0</v>
      </c>
      <c r="K47" s="18" t="n">
        <v>0.6403958</v>
      </c>
      <c r="L47" s="20" t="n">
        <v>0.33613016</v>
      </c>
      <c r="M47" s="18" t="n">
        <v>0</v>
      </c>
      <c r="N47" s="20" t="n">
        <v>0</v>
      </c>
      <c r="O47" s="18" t="n">
        <v>0</v>
      </c>
      <c r="P47" s="20" t="n">
        <v>0</v>
      </c>
      <c r="Q47" s="18" t="n">
        <v>3.90344539</v>
      </c>
      <c r="R47" s="20" t="n">
        <v>0.69971541</v>
      </c>
    </row>
    <row r="48" spans="1:18">
      <c r="A48" s="15" t="s">
        <v>607</v>
      </c>
      <c r="B48" s="17" t="n">
        <v>4682</v>
      </c>
      <c r="C48" s="18">
        <f>(3684.0/B48*100)</f>
        <v/>
      </c>
      <c r="D48" s="19" t="n">
        <v>998</v>
      </c>
      <c r="E48" s="18" t="n">
        <v>21.98927362</v>
      </c>
      <c r="F48" s="20" t="n">
        <v>2.01637088</v>
      </c>
      <c r="G48" s="18" t="n">
        <v>76.04121893</v>
      </c>
      <c r="H48" s="20" t="n">
        <v>2.07072639</v>
      </c>
      <c r="I48" s="18" t="n">
        <v>0</v>
      </c>
      <c r="J48" s="20" t="n">
        <v>0</v>
      </c>
      <c r="K48" s="18" t="n">
        <v>1.1719013</v>
      </c>
      <c r="L48" s="20" t="n">
        <v>0.48945611</v>
      </c>
      <c r="M48" s="18" t="n">
        <v>0</v>
      </c>
      <c r="N48" s="20" t="n">
        <v>0</v>
      </c>
      <c r="O48" s="18" t="n">
        <v>0</v>
      </c>
      <c r="P48" s="20" t="n">
        <v>0</v>
      </c>
      <c r="Q48" s="18" t="n">
        <v>0.79760615</v>
      </c>
      <c r="R48" s="20" t="n">
        <v>0.33745002</v>
      </c>
    </row>
    <row r="49" spans="1:18">
      <c r="A49" s="15" t="s">
        <v>608</v>
      </c>
      <c r="B49" s="17" t="n">
        <v>6158</v>
      </c>
      <c r="C49" s="18">
        <f>(4814.0/B49*100)</f>
        <v/>
      </c>
      <c r="D49" s="19" t="n">
        <v>1344</v>
      </c>
      <c r="E49" s="18" t="n">
        <v>40.85064115</v>
      </c>
      <c r="F49" s="20" t="n">
        <v>1.9525751</v>
      </c>
      <c r="G49" s="18" t="n">
        <v>55.1718602</v>
      </c>
      <c r="H49" s="20" t="n">
        <v>2.01646874</v>
      </c>
      <c r="I49" s="18" t="n">
        <v>0</v>
      </c>
      <c r="J49" s="20" t="n">
        <v>0</v>
      </c>
      <c r="K49" s="18" t="n">
        <v>1.50043854</v>
      </c>
      <c r="L49" s="20" t="n">
        <v>0.40476087</v>
      </c>
      <c r="M49" s="18" t="n">
        <v>0</v>
      </c>
      <c r="N49" s="20" t="n">
        <v>0</v>
      </c>
      <c r="O49" s="18" t="n">
        <v>0</v>
      </c>
      <c r="P49" s="20" t="n">
        <v>0</v>
      </c>
      <c r="Q49" s="18" t="n">
        <v>2.47706011</v>
      </c>
      <c r="R49" s="20" t="n">
        <v>0.52575136</v>
      </c>
    </row>
    <row r="50" spans="1:18">
      <c r="A50" s="15" t="s">
        <v>609</v>
      </c>
      <c r="B50" s="17" t="n">
        <v>3494</v>
      </c>
      <c r="C50" s="18">
        <f>(2817.0/B50*100)</f>
        <v/>
      </c>
      <c r="D50" s="19" t="n">
        <v>677</v>
      </c>
      <c r="E50" s="18" t="n">
        <v>38.23603092</v>
      </c>
      <c r="F50" s="20" t="n">
        <v>2.0822727</v>
      </c>
      <c r="G50" s="18" t="n">
        <v>57.84925293</v>
      </c>
      <c r="H50" s="20" t="n">
        <v>2.09146447</v>
      </c>
      <c r="I50" s="18" t="n">
        <v>0</v>
      </c>
      <c r="J50" s="20" t="n">
        <v>0</v>
      </c>
      <c r="K50" s="18" t="n">
        <v>1.36197531</v>
      </c>
      <c r="L50" s="20" t="n">
        <v>0.60035649</v>
      </c>
      <c r="M50" s="18" t="n">
        <v>0</v>
      </c>
      <c r="N50" s="20" t="n">
        <v>0</v>
      </c>
      <c r="O50" s="18" t="n">
        <v>0</v>
      </c>
      <c r="P50" s="20" t="n">
        <v>0</v>
      </c>
      <c r="Q50" s="18" t="n">
        <v>2.55274085</v>
      </c>
      <c r="R50" s="20" t="n">
        <v>0.5975736699999999</v>
      </c>
    </row>
    <row r="51" spans="1:18">
      <c r="A51" s="15" t="s">
        <v>610</v>
      </c>
      <c r="B51" s="17" t="n">
        <v>3013</v>
      </c>
      <c r="C51" s="18">
        <f>(2368.0/B51*100)</f>
        <v/>
      </c>
      <c r="D51" s="19" t="n">
        <v>645</v>
      </c>
      <c r="E51" s="18" t="n">
        <v>34.31273815</v>
      </c>
      <c r="F51" s="20" t="n">
        <v>2.32757009</v>
      </c>
      <c r="G51" s="18" t="n">
        <v>63.89208987</v>
      </c>
      <c r="H51" s="20" t="n">
        <v>2.38400666</v>
      </c>
      <c r="I51" s="18" t="n">
        <v>0</v>
      </c>
      <c r="J51" s="20" t="n">
        <v>0</v>
      </c>
      <c r="K51" s="18" t="n">
        <v>0</v>
      </c>
      <c r="L51" s="20" t="n">
        <v>0</v>
      </c>
      <c r="M51" s="18" t="n">
        <v>0</v>
      </c>
      <c r="N51" s="20" t="n">
        <v>0</v>
      </c>
      <c r="O51" s="18" t="n">
        <v>0</v>
      </c>
      <c r="P51" s="20" t="n">
        <v>0</v>
      </c>
      <c r="Q51" s="18" t="n">
        <v>1.79517198</v>
      </c>
      <c r="R51" s="20" t="n">
        <v>0.48616464</v>
      </c>
    </row>
    <row r="52" spans="1:18">
      <c r="A52" s="15" t="s">
        <v>611</v>
      </c>
      <c r="B52" s="17" t="n">
        <v>2760</v>
      </c>
      <c r="C52" s="18">
        <f>(2164.0/B52*100)</f>
        <v/>
      </c>
      <c r="D52" s="19" t="n">
        <v>596</v>
      </c>
      <c r="E52" s="18" t="n">
        <v>39.20349645</v>
      </c>
      <c r="F52" s="20" t="n">
        <v>2.02350904</v>
      </c>
      <c r="G52" s="18" t="n">
        <v>57.10264989</v>
      </c>
      <c r="H52" s="20" t="n">
        <v>2.07982622</v>
      </c>
      <c r="I52" s="18" t="n">
        <v>0</v>
      </c>
      <c r="J52" s="20" t="n">
        <v>0</v>
      </c>
      <c r="K52" s="18" t="n">
        <v>0.22393117</v>
      </c>
      <c r="L52" s="20" t="n">
        <v>0.22379738</v>
      </c>
      <c r="M52" s="18" t="n">
        <v>0</v>
      </c>
      <c r="N52" s="20" t="n">
        <v>0</v>
      </c>
      <c r="O52" s="18" t="n">
        <v>0</v>
      </c>
      <c r="P52" s="20" t="n">
        <v>0</v>
      </c>
      <c r="Q52" s="18" t="n">
        <v>3.4699225</v>
      </c>
      <c r="R52" s="20" t="n">
        <v>0.80198159</v>
      </c>
    </row>
    <row r="53" spans="1:18">
      <c r="A53" s="15" t="s">
        <v>612</v>
      </c>
      <c r="B53" s="17" t="n">
        <v>2474</v>
      </c>
      <c r="C53" s="18">
        <f>(1888.0/B53*100)</f>
        <v/>
      </c>
      <c r="D53" s="19" t="n">
        <v>586</v>
      </c>
      <c r="E53" s="18" t="n">
        <v>54.18616225</v>
      </c>
      <c r="F53" s="20" t="n">
        <v>2.35289049</v>
      </c>
      <c r="G53" s="18" t="n">
        <v>28.9904258</v>
      </c>
      <c r="H53" s="20" t="n">
        <v>2.33363735</v>
      </c>
      <c r="I53" s="18" t="n">
        <v>0</v>
      </c>
      <c r="J53" s="20" t="n">
        <v>0</v>
      </c>
      <c r="K53" s="18" t="n">
        <v>11.72411392</v>
      </c>
      <c r="L53" s="20" t="n">
        <v>1.51405623</v>
      </c>
      <c r="M53" s="18" t="n">
        <v>0</v>
      </c>
      <c r="N53" s="20" t="n">
        <v>0</v>
      </c>
      <c r="O53" s="18" t="n">
        <v>0</v>
      </c>
      <c r="P53" s="20" t="n">
        <v>0</v>
      </c>
      <c r="Q53" s="18" t="n">
        <v>5.09929802</v>
      </c>
      <c r="R53" s="20" t="n">
        <v>1.22434124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(2069.0/B55*100)</f>
        <v/>
      </c>
      <c r="D55" s="19" t="n">
        <v>606</v>
      </c>
      <c r="E55" s="18" t="n">
        <v>14.81720105</v>
      </c>
      <c r="F55" s="20" t="n">
        <v>1.54840618</v>
      </c>
      <c r="G55" s="18" t="n">
        <v>83.04823096</v>
      </c>
      <c r="H55" s="20" t="n">
        <v>1.65394304</v>
      </c>
      <c r="I55" s="18" t="n">
        <v>0</v>
      </c>
      <c r="J55" s="20" t="n">
        <v>0</v>
      </c>
      <c r="K55" s="18" t="n">
        <v>0</v>
      </c>
      <c r="L55" s="20" t="n">
        <v>0</v>
      </c>
      <c r="M55" s="18" t="n">
        <v>0</v>
      </c>
      <c r="N55" s="20" t="n">
        <v>0</v>
      </c>
      <c r="O55" s="18" t="n">
        <v>0</v>
      </c>
      <c r="P55" s="20" t="n">
        <v>0</v>
      </c>
      <c r="Q55" s="18" t="n">
        <v>2.13456799</v>
      </c>
      <c r="R55" s="20" t="n">
        <v>0.60901447</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(2489.0/B61*100)</f>
        <v/>
      </c>
      <c r="D61" s="19" t="n">
        <v>712</v>
      </c>
      <c r="E61" s="18" t="n">
        <v>38.76974904</v>
      </c>
      <c r="F61" s="20" t="n">
        <v>2.14676724</v>
      </c>
      <c r="G61" s="18" t="n">
        <v>58.89225025</v>
      </c>
      <c r="H61" s="20" t="n">
        <v>2.15562856</v>
      </c>
      <c r="I61" s="18" t="n">
        <v>0</v>
      </c>
      <c r="J61" s="20" t="n">
        <v>0</v>
      </c>
      <c r="K61" s="18" t="n">
        <v>0.66528483</v>
      </c>
      <c r="L61" s="20" t="n">
        <v>0.44245728</v>
      </c>
      <c r="M61" s="18" t="n">
        <v>0</v>
      </c>
      <c r="N61" s="20" t="n">
        <v>0</v>
      </c>
      <c r="O61" s="18" t="n">
        <v>0</v>
      </c>
      <c r="P61" s="20" t="n">
        <v>0</v>
      </c>
      <c r="Q61" s="18" t="n">
        <v>1.67271588</v>
      </c>
      <c r="R61" s="20" t="n">
        <v>0.51338312</v>
      </c>
    </row>
    <row r="62" spans="1:18">
      <c r="A62" s="15" t="s">
        <v>622</v>
      </c>
      <c r="B62" s="17" t="n">
        <v>2230</v>
      </c>
      <c r="C62" s="18">
        <f>(1746.0/B62*100)</f>
        <v/>
      </c>
      <c r="D62" s="19" t="n">
        <v>484</v>
      </c>
      <c r="E62" s="18" t="n">
        <v>15.7040632</v>
      </c>
      <c r="F62" s="20" t="n">
        <v>1.5806427</v>
      </c>
      <c r="G62" s="18" t="n">
        <v>84.09049447</v>
      </c>
      <c r="H62" s="20" t="n">
        <v>1.5908354</v>
      </c>
      <c r="I62" s="18" t="n">
        <v>0</v>
      </c>
      <c r="J62" s="20" t="n">
        <v>0</v>
      </c>
      <c r="K62" s="18" t="n">
        <v>0</v>
      </c>
      <c r="L62" s="20" t="n">
        <v>0</v>
      </c>
      <c r="M62" s="18" t="n">
        <v>0</v>
      </c>
      <c r="N62" s="20" t="n">
        <v>0</v>
      </c>
      <c r="O62" s="18" t="n">
        <v>0</v>
      </c>
      <c r="P62" s="20" t="n">
        <v>0</v>
      </c>
      <c r="Q62" s="18" t="n">
        <v>0.20544233</v>
      </c>
      <c r="R62" s="20" t="n">
        <v>0.20478324</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(2158.0/B67*100)</f>
        <v/>
      </c>
      <c r="D67" s="19" t="n">
        <v>613</v>
      </c>
      <c r="E67" s="18" t="n">
        <v>47.25048251</v>
      </c>
      <c r="F67" s="20" t="n">
        <v>1.87947131</v>
      </c>
      <c r="G67" s="18" t="n">
        <v>45.22273541</v>
      </c>
      <c r="H67" s="20" t="n">
        <v>1.91453645</v>
      </c>
      <c r="I67" s="18" t="n">
        <v>0</v>
      </c>
      <c r="J67" s="20" t="n">
        <v>0</v>
      </c>
      <c r="K67" s="18" t="n">
        <v>0.44804192</v>
      </c>
      <c r="L67" s="20" t="n">
        <v>0.26291651</v>
      </c>
      <c r="M67" s="18" t="n">
        <v>0</v>
      </c>
      <c r="N67" s="20" t="n">
        <v>0</v>
      </c>
      <c r="O67" s="18" t="n">
        <v>0</v>
      </c>
      <c r="P67" s="20" t="n">
        <v>0</v>
      </c>
      <c r="Q67" s="18" t="n">
        <v>7.07874015</v>
      </c>
      <c r="R67" s="20" t="n">
        <v>1.05302415</v>
      </c>
    </row>
    <row r="68" spans="1:18">
      <c r="A68" s="15" t="s">
        <v>628</v>
      </c>
      <c r="B68" s="17" t="n">
        <v>3460</v>
      </c>
      <c r="C68" s="18">
        <f>(2800.0/B68*100)</f>
        <v/>
      </c>
      <c r="D68" s="19" t="n">
        <v>660</v>
      </c>
      <c r="E68" s="18" t="n">
        <v>49.82479171</v>
      </c>
      <c r="F68" s="20" t="n">
        <v>2.40907411</v>
      </c>
      <c r="G68" s="18" t="n">
        <v>47.54013552</v>
      </c>
      <c r="H68" s="20" t="n">
        <v>2.49614096</v>
      </c>
      <c r="I68" s="18" t="n">
        <v>0</v>
      </c>
      <c r="J68" s="20" t="n">
        <v>0</v>
      </c>
      <c r="K68" s="18" t="n">
        <v>0.2669616</v>
      </c>
      <c r="L68" s="20" t="n">
        <v>0.19164717</v>
      </c>
      <c r="M68" s="18" t="n">
        <v>0</v>
      </c>
      <c r="N68" s="20" t="n">
        <v>0</v>
      </c>
      <c r="O68" s="18" t="n">
        <v>0</v>
      </c>
      <c r="P68" s="20" t="n">
        <v>0</v>
      </c>
      <c r="Q68" s="18" t="n">
        <v>2.36811117</v>
      </c>
      <c r="R68" s="20" t="n">
        <v>0.59498606</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(4687.0/B70*100)</f>
        <v/>
      </c>
      <c r="D70" s="19" t="n">
        <v>1347</v>
      </c>
      <c r="E70" s="18" t="n">
        <v>39.26696435</v>
      </c>
      <c r="F70" s="20" t="n">
        <v>1.45143322</v>
      </c>
      <c r="G70" s="18" t="n">
        <v>55.71035866</v>
      </c>
      <c r="H70" s="20" t="n">
        <v>1.39867993</v>
      </c>
      <c r="I70" s="18" t="n">
        <v>0</v>
      </c>
      <c r="J70" s="20" t="n">
        <v>0</v>
      </c>
      <c r="K70" s="18" t="n">
        <v>1.38762002</v>
      </c>
      <c r="L70" s="20" t="n">
        <v>0.3357645</v>
      </c>
      <c r="M70" s="18" t="n">
        <v>0</v>
      </c>
      <c r="N70" s="20" t="n">
        <v>0</v>
      </c>
      <c r="O70" s="18" t="n">
        <v>0</v>
      </c>
      <c r="P70" s="20" t="n">
        <v>0</v>
      </c>
      <c r="Q70" s="18" t="n">
        <v>3.63505697</v>
      </c>
      <c r="R70" s="20" t="n">
        <v>0.47793108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(2432.0/B72*100)</f>
        <v/>
      </c>
      <c r="D72" s="19" t="n">
        <v>675</v>
      </c>
      <c r="E72" s="18" t="n">
        <v>35.57234927</v>
      </c>
      <c r="F72" s="20" t="n">
        <v>2.31626</v>
      </c>
      <c r="G72" s="18" t="n">
        <v>60.65814128</v>
      </c>
      <c r="H72" s="20" t="n">
        <v>2.49983739</v>
      </c>
      <c r="I72" s="18" t="n">
        <v>0</v>
      </c>
      <c r="J72" s="20" t="n">
        <v>0</v>
      </c>
      <c r="K72" s="18" t="n">
        <v>0.47354018</v>
      </c>
      <c r="L72" s="20" t="n">
        <v>0.20761094</v>
      </c>
      <c r="M72" s="18" t="n">
        <v>0</v>
      </c>
      <c r="N72" s="20" t="n">
        <v>0</v>
      </c>
      <c r="O72" s="18" t="n">
        <v>0</v>
      </c>
      <c r="P72" s="20" t="n">
        <v>0</v>
      </c>
      <c r="Q72" s="18" t="n">
        <v>3.29596927</v>
      </c>
      <c r="R72" s="20" t="n">
        <v>0.74998167</v>
      </c>
    </row>
    <row r="73" spans="1:18">
      <c r="A73" s="15" t="s">
        <v>633</v>
      </c>
      <c r="B73" s="17" t="n">
        <v>2973</v>
      </c>
      <c r="C73" s="18">
        <f>(2328.0/B73*100)</f>
        <v/>
      </c>
      <c r="D73" s="19" t="n">
        <v>645</v>
      </c>
      <c r="E73" s="18" t="n">
        <v>14.89493602</v>
      </c>
      <c r="F73" s="20" t="n">
        <v>1.68130997</v>
      </c>
      <c r="G73" s="18" t="n">
        <v>83.92833296000001</v>
      </c>
      <c r="H73" s="20" t="n">
        <v>1.72387042</v>
      </c>
      <c r="I73" s="18" t="n">
        <v>0</v>
      </c>
      <c r="J73" s="20" t="n">
        <v>0</v>
      </c>
      <c r="K73" s="18" t="n">
        <v>0</v>
      </c>
      <c r="L73" s="20" t="n">
        <v>0</v>
      </c>
      <c r="M73" s="18" t="n">
        <v>0</v>
      </c>
      <c r="N73" s="20" t="n">
        <v>0</v>
      </c>
      <c r="O73" s="18" t="n">
        <v>0</v>
      </c>
      <c r="P73" s="20" t="n">
        <v>0</v>
      </c>
      <c r="Q73" s="18" t="n">
        <v>1.17673102</v>
      </c>
      <c r="R73" s="20" t="n">
        <v>0.43302813</v>
      </c>
    </row>
    <row r="74" spans="1:18">
      <c r="A74" s="15" t="s">
        <v>634</v>
      </c>
      <c r="B74" s="17" t="n">
        <v>3819</v>
      </c>
      <c r="C74" s="18">
        <f>(3013.0/B74*100)</f>
        <v/>
      </c>
      <c r="D74" s="19" t="n">
        <v>806</v>
      </c>
      <c r="E74" s="18" t="n">
        <v>17.10711129</v>
      </c>
      <c r="F74" s="20" t="n">
        <v>1.40188085</v>
      </c>
      <c r="G74" s="18" t="n">
        <v>81.59407021</v>
      </c>
      <c r="H74" s="20" t="n">
        <v>1.49149993</v>
      </c>
      <c r="I74" s="18" t="n">
        <v>0</v>
      </c>
      <c r="J74" s="20" t="n">
        <v>0</v>
      </c>
      <c r="K74" s="18" t="n">
        <v>0.19101494</v>
      </c>
      <c r="L74" s="20" t="n">
        <v>0.27024971</v>
      </c>
      <c r="M74" s="18" t="n">
        <v>0</v>
      </c>
      <c r="N74" s="20" t="n">
        <v>0</v>
      </c>
      <c r="O74" s="18" t="n">
        <v>0</v>
      </c>
      <c r="P74" s="20" t="n">
        <v>0</v>
      </c>
      <c r="Q74" s="18" t="n">
        <v>1.10780357</v>
      </c>
      <c r="R74" s="20" t="n">
        <v>0.40245786</v>
      </c>
    </row>
    <row r="75" spans="1:18">
      <c r="A75" s="15" t="s">
        <v>635</v>
      </c>
      <c r="B75" s="17" t="n">
        <v>4652</v>
      </c>
      <c r="C75" s="18">
        <f>(3647.0/B75*100)</f>
        <v/>
      </c>
      <c r="D75" s="19" t="n">
        <v>1005</v>
      </c>
      <c r="E75" s="18" t="n">
        <v>32.90727451</v>
      </c>
      <c r="F75" s="20" t="n">
        <v>1.64625318</v>
      </c>
      <c r="G75" s="18" t="n">
        <v>65.41707378</v>
      </c>
      <c r="H75" s="20" t="n">
        <v>1.66575913</v>
      </c>
      <c r="I75" s="18" t="n">
        <v>0</v>
      </c>
      <c r="J75" s="20" t="n">
        <v>0</v>
      </c>
      <c r="K75" s="18" t="n">
        <v>0.14337456</v>
      </c>
      <c r="L75" s="20" t="n">
        <v>0.14304405</v>
      </c>
      <c r="M75" s="18" t="n">
        <v>0</v>
      </c>
      <c r="N75" s="20" t="n">
        <v>0</v>
      </c>
      <c r="O75" s="18" t="n">
        <v>0</v>
      </c>
      <c r="P75" s="20" t="n">
        <v>0</v>
      </c>
      <c r="Q75" s="18" t="n">
        <v>1.53227715</v>
      </c>
      <c r="R75" s="20" t="n">
        <v>0.39946897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(2367.0/B77*100)</f>
        <v/>
      </c>
      <c r="D77" s="19" t="n">
        <v>602</v>
      </c>
      <c r="E77" s="18" t="n">
        <v>37.7826771</v>
      </c>
      <c r="F77" s="20" t="n">
        <v>1.86908558</v>
      </c>
      <c r="G77" s="18" t="n">
        <v>54.35395504</v>
      </c>
      <c r="H77" s="20" t="n">
        <v>2.09016736</v>
      </c>
      <c r="I77" s="18" t="n">
        <v>0</v>
      </c>
      <c r="J77" s="20" t="n">
        <v>0</v>
      </c>
      <c r="K77" s="18" t="n">
        <v>2.66658321</v>
      </c>
      <c r="L77" s="20" t="n">
        <v>0.68430724</v>
      </c>
      <c r="M77" s="18" t="n">
        <v>0</v>
      </c>
      <c r="N77" s="20" t="n">
        <v>0</v>
      </c>
      <c r="O77" s="18" t="n">
        <v>0</v>
      </c>
      <c r="P77" s="20" t="n">
        <v>0</v>
      </c>
      <c r="Q77" s="18" t="n">
        <v>5.19678464</v>
      </c>
      <c r="R77" s="20" t="n">
        <v>1.06721101</v>
      </c>
    </row>
    <row r="78" spans="1:18">
      <c r="A78" s="15" t="s">
        <v>638</v>
      </c>
      <c r="B78" s="17" t="n">
        <v>7115</v>
      </c>
      <c r="C78" s="18">
        <f>(5534.0/B78*100)</f>
        <v/>
      </c>
      <c r="D78" s="19" t="n">
        <v>1581</v>
      </c>
      <c r="E78" s="18" t="n">
        <v>38.17258999</v>
      </c>
      <c r="F78" s="20" t="n">
        <v>1.92727001</v>
      </c>
      <c r="G78" s="18" t="n">
        <v>58.60840362</v>
      </c>
      <c r="H78" s="20" t="n">
        <v>1.99390021</v>
      </c>
      <c r="I78" s="18" t="n">
        <v>0</v>
      </c>
      <c r="J78" s="20" t="n">
        <v>0</v>
      </c>
      <c r="K78" s="18" t="n">
        <v>0.80337837</v>
      </c>
      <c r="L78" s="20" t="n">
        <v>0.19106409</v>
      </c>
      <c r="M78" s="18" t="n">
        <v>0</v>
      </c>
      <c r="N78" s="20" t="n">
        <v>0</v>
      </c>
      <c r="O78" s="18" t="n">
        <v>0</v>
      </c>
      <c r="P78" s="20" t="n">
        <v>0</v>
      </c>
      <c r="Q78" s="18" t="n">
        <v>2.41562802</v>
      </c>
      <c r="R78" s="20" t="n">
        <v>0.43214344</v>
      </c>
    </row>
    <row r="79" spans="1:18">
      <c r="A79" s="15" t="s">
        <v>639</v>
      </c>
      <c r="B79" s="17" t="n">
        <v>3154</v>
      </c>
      <c r="C79" s="18">
        <f>(2447.0/B79*100)</f>
        <v/>
      </c>
      <c r="D79" s="19" t="n">
        <v>707</v>
      </c>
      <c r="E79" s="18" t="n">
        <v>39.06778496</v>
      </c>
      <c r="F79" s="20" t="n">
        <v>2.12433748</v>
      </c>
      <c r="G79" s="18" t="n">
        <v>53.39164183</v>
      </c>
      <c r="H79" s="20" t="n">
        <v>1.90085253</v>
      </c>
      <c r="I79" s="18" t="n">
        <v>0</v>
      </c>
      <c r="J79" s="20" t="n">
        <v>0</v>
      </c>
      <c r="K79" s="18" t="n">
        <v>0.6271684199999999</v>
      </c>
      <c r="L79" s="20" t="n">
        <v>0.31261761</v>
      </c>
      <c r="M79" s="18" t="n">
        <v>0</v>
      </c>
      <c r="N79" s="20" t="n">
        <v>0</v>
      </c>
      <c r="O79" s="18" t="n">
        <v>0</v>
      </c>
      <c r="P79" s="20" t="n">
        <v>0</v>
      </c>
      <c r="Q79" s="18" t="n">
        <v>6.91340479</v>
      </c>
      <c r="R79" s="20" t="n">
        <v>0.9588593</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(12423.0/B82*100)</f>
        <v/>
      </c>
      <c r="D82" s="19" t="n">
        <v>3538</v>
      </c>
      <c r="E82" s="18" t="n">
        <v>24.57357389</v>
      </c>
      <c r="F82" s="20" t="n">
        <v>0.79371949</v>
      </c>
      <c r="G82" s="18" t="n">
        <v>72.87672809999999</v>
      </c>
      <c r="H82" s="20" t="n">
        <v>0.90739208</v>
      </c>
      <c r="I82" s="18" t="n">
        <v>0</v>
      </c>
      <c r="J82" s="20" t="n">
        <v>0</v>
      </c>
      <c r="K82" s="18" t="n">
        <v>0.25483755</v>
      </c>
      <c r="L82" s="20" t="n">
        <v>0.10793948</v>
      </c>
      <c r="M82" s="18" t="n">
        <v>0</v>
      </c>
      <c r="N82" s="20" t="n">
        <v>0</v>
      </c>
      <c r="O82" s="18" t="n">
        <v>0</v>
      </c>
      <c r="P82" s="20" t="n">
        <v>0</v>
      </c>
      <c r="Q82" s="18" t="n">
        <v>2.29486046</v>
      </c>
      <c r="R82" s="20" t="n">
        <v>0.38159685</v>
      </c>
    </row>
    <row r="83" spans="1:18">
      <c r="A83" s="15" t="s">
        <v>643</v>
      </c>
      <c r="B83" s="17" t="n">
        <v>808</v>
      </c>
      <c r="C83" s="18">
        <f>(619.0/B83*100)</f>
        <v/>
      </c>
      <c r="D83" s="19" t="n">
        <v>189</v>
      </c>
      <c r="E83" s="18" t="n">
        <v>21.83741254</v>
      </c>
      <c r="F83" s="20" t="n">
        <v>3.32199709</v>
      </c>
      <c r="G83" s="18" t="n">
        <v>77.22150189</v>
      </c>
      <c r="H83" s="20" t="n">
        <v>3.4131667</v>
      </c>
      <c r="I83" s="18" t="n">
        <v>0</v>
      </c>
      <c r="J83" s="20" t="n">
        <v>0</v>
      </c>
      <c r="K83" s="18" t="n">
        <v>0</v>
      </c>
      <c r="L83" s="20" t="n">
        <v>0</v>
      </c>
      <c r="M83" s="18" t="n">
        <v>0</v>
      </c>
      <c r="N83" s="20" t="n">
        <v>0</v>
      </c>
      <c r="O83" s="18" t="n">
        <v>0</v>
      </c>
      <c r="P83" s="20" t="n">
        <v>0</v>
      </c>
      <c r="Q83" s="18" t="n">
        <v>0.94108556</v>
      </c>
      <c r="R83" s="20" t="n">
        <v>0.64116202</v>
      </c>
    </row>
    <row r="84" spans="1:18">
      <c r="A84" s="23" t="s">
        <v>644</v>
      </c>
      <c r="B84" s="24" t="n">
        <v>938</v>
      </c>
      <c r="C84" s="25">
        <f>(716.0/B84*100)</f>
        <v/>
      </c>
      <c r="D84" s="19" t="n">
        <v>222</v>
      </c>
      <c r="E84" s="18" t="n">
        <v>32.03370182</v>
      </c>
      <c r="F84" s="20" t="n">
        <v>2.95766027</v>
      </c>
      <c r="G84" s="18" t="n">
        <v>67.96629818</v>
      </c>
      <c r="H84" s="20" t="n">
        <v>2.95766027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(5629.0/B7*100)</f>
        <v/>
      </c>
      <c r="D7" s="19" t="n">
        <v>1534</v>
      </c>
      <c r="E7" s="18" t="n">
        <v>50.28560067</v>
      </c>
      <c r="F7" s="20" t="n">
        <v>1.26029536</v>
      </c>
      <c r="G7" s="18" t="n">
        <v>48.78806014</v>
      </c>
      <c r="H7" s="20" t="n">
        <v>1.29664837</v>
      </c>
      <c r="I7" s="18" t="n">
        <v>0</v>
      </c>
      <c r="J7" s="20" t="n">
        <v>0</v>
      </c>
      <c r="K7" s="18" t="n">
        <v>0.38466426</v>
      </c>
      <c r="L7" s="20" t="n">
        <v>0.20817817</v>
      </c>
      <c r="M7" s="18" t="n">
        <v>0</v>
      </c>
      <c r="N7" s="20" t="n">
        <v>0</v>
      </c>
      <c r="O7" s="18" t="n">
        <v>0</v>
      </c>
      <c r="P7" s="20" t="n">
        <v>0</v>
      </c>
      <c r="Q7" s="18" t="n">
        <v>0.5416749199999999</v>
      </c>
      <c r="R7" s="20" t="n">
        <v>0.20403275</v>
      </c>
    </row>
    <row r="8" spans="1:18">
      <c r="A8" s="15" t="s">
        <v>566</v>
      </c>
      <c r="B8" s="17" t="n">
        <v>3443</v>
      </c>
      <c r="C8" s="18">
        <f>(2669.0/B8*100)</f>
        <v/>
      </c>
      <c r="D8" s="19" t="n">
        <v>774</v>
      </c>
      <c r="E8" s="18" t="n">
        <v>66.22131009</v>
      </c>
      <c r="F8" s="20" t="n">
        <v>1.66336784</v>
      </c>
      <c r="G8" s="18" t="n">
        <v>32.30224182</v>
      </c>
      <c r="H8" s="20" t="n">
        <v>1.74728588</v>
      </c>
      <c r="I8" s="18" t="n">
        <v>0</v>
      </c>
      <c r="J8" s="20" t="n">
        <v>0</v>
      </c>
      <c r="K8" s="18" t="n">
        <v>0</v>
      </c>
      <c r="L8" s="20" t="n">
        <v>0</v>
      </c>
      <c r="M8" s="18" t="n">
        <v>0</v>
      </c>
      <c r="N8" s="20" t="n">
        <v>0</v>
      </c>
      <c r="O8" s="18" t="n">
        <v>0</v>
      </c>
      <c r="P8" s="20" t="n">
        <v>0</v>
      </c>
      <c r="Q8" s="18" t="n">
        <v>1.47644809</v>
      </c>
      <c r="R8" s="20" t="n">
        <v>0.49224926</v>
      </c>
    </row>
    <row r="9" spans="1:18">
      <c r="A9" s="15" t="s">
        <v>567</v>
      </c>
      <c r="B9" s="17" t="n">
        <v>4752</v>
      </c>
      <c r="C9" s="18">
        <f>(3715.0/B9*100)</f>
        <v/>
      </c>
      <c r="D9" s="19" t="n">
        <v>1037</v>
      </c>
      <c r="E9" s="18" t="n">
        <v>58.41828337</v>
      </c>
      <c r="F9" s="20" t="n">
        <v>1.65461798</v>
      </c>
      <c r="G9" s="18" t="n">
        <v>39.95298441</v>
      </c>
      <c r="H9" s="20" t="n">
        <v>1.64873261</v>
      </c>
      <c r="I9" s="18" t="n">
        <v>0</v>
      </c>
      <c r="J9" s="20" t="n">
        <v>0</v>
      </c>
      <c r="K9" s="18" t="n">
        <v>0.40040522</v>
      </c>
      <c r="L9" s="20" t="n">
        <v>0.20752508</v>
      </c>
      <c r="M9" s="18" t="n">
        <v>0</v>
      </c>
      <c r="N9" s="20" t="n">
        <v>0</v>
      </c>
      <c r="O9" s="18" t="n">
        <v>0</v>
      </c>
      <c r="P9" s="20" t="n">
        <v>0</v>
      </c>
      <c r="Q9" s="18" t="n">
        <v>1.228327</v>
      </c>
      <c r="R9" s="20" t="n">
        <v>0.37937399</v>
      </c>
    </row>
    <row r="10" spans="1:18">
      <c r="A10" s="15" t="s">
        <v>568</v>
      </c>
      <c r="B10" s="17" t="n">
        <v>10022</v>
      </c>
      <c r="C10" s="18">
        <f>(7821.0/B10*100)</f>
        <v/>
      </c>
      <c r="D10" s="19" t="n">
        <v>2201</v>
      </c>
      <c r="E10" s="18" t="n">
        <v>60.07929642</v>
      </c>
      <c r="F10" s="20" t="n">
        <v>1.74097638</v>
      </c>
      <c r="G10" s="18" t="n">
        <v>39.14133429</v>
      </c>
      <c r="H10" s="20" t="n">
        <v>1.70426765</v>
      </c>
      <c r="I10" s="18" t="n">
        <v>0</v>
      </c>
      <c r="J10" s="20" t="n">
        <v>0</v>
      </c>
      <c r="K10" s="18" t="n">
        <v>0.46625594</v>
      </c>
      <c r="L10" s="20" t="n">
        <v>0.23645583</v>
      </c>
      <c r="M10" s="18" t="n">
        <v>0</v>
      </c>
      <c r="N10" s="20" t="n">
        <v>0</v>
      </c>
      <c r="O10" s="18" t="n">
        <v>0</v>
      </c>
      <c r="P10" s="20" t="n">
        <v>0</v>
      </c>
      <c r="Q10" s="18" t="n">
        <v>0.31311335</v>
      </c>
      <c r="R10" s="20" t="n">
        <v>0.14834045</v>
      </c>
    </row>
    <row r="11" spans="1:18">
      <c r="A11" s="15" t="s">
        <v>569</v>
      </c>
      <c r="B11" s="17" t="n">
        <v>3500</v>
      </c>
      <c r="C11" s="18">
        <f>(2723.0/B11*100)</f>
        <v/>
      </c>
      <c r="D11" s="19" t="n">
        <v>777</v>
      </c>
      <c r="E11" s="18" t="n">
        <v>65.96246907</v>
      </c>
      <c r="F11" s="20" t="n">
        <v>2.08718282</v>
      </c>
      <c r="G11" s="18" t="n">
        <v>31.02279772</v>
      </c>
      <c r="H11" s="20" t="n">
        <v>2.08707435</v>
      </c>
      <c r="I11" s="18" t="n">
        <v>0</v>
      </c>
      <c r="J11" s="20" t="n">
        <v>0</v>
      </c>
      <c r="K11" s="18" t="n">
        <v>0.9047958699999999</v>
      </c>
      <c r="L11" s="20" t="n">
        <v>0.44535335</v>
      </c>
      <c r="M11" s="18" t="n">
        <v>0</v>
      </c>
      <c r="N11" s="20" t="n">
        <v>0</v>
      </c>
      <c r="O11" s="18" t="n">
        <v>0</v>
      </c>
      <c r="P11" s="20" t="n">
        <v>0</v>
      </c>
      <c r="Q11" s="18" t="n">
        <v>2.10993733</v>
      </c>
      <c r="R11" s="20" t="n">
        <v>0.56550234</v>
      </c>
    </row>
    <row r="12" spans="1:18">
      <c r="A12" s="15" t="s">
        <v>570</v>
      </c>
      <c r="B12" s="17" t="n">
        <v>3422</v>
      </c>
      <c r="C12" s="18">
        <f>(2705.0/B12*100)</f>
        <v/>
      </c>
      <c r="D12" s="19" t="n">
        <v>717</v>
      </c>
      <c r="E12" s="18" t="n">
        <v>70.14739350000001</v>
      </c>
      <c r="F12" s="20" t="n">
        <v>2.0304397</v>
      </c>
      <c r="G12" s="18" t="n">
        <v>29.24629606</v>
      </c>
      <c r="H12" s="20" t="n">
        <v>2.04748335</v>
      </c>
      <c r="I12" s="18" t="n">
        <v>0</v>
      </c>
      <c r="J12" s="20" t="n">
        <v>0</v>
      </c>
      <c r="K12" s="18" t="n">
        <v>0.12154152</v>
      </c>
      <c r="L12" s="20" t="n">
        <v>0.11537642</v>
      </c>
      <c r="M12" s="18" t="n">
        <v>0</v>
      </c>
      <c r="N12" s="20" t="n">
        <v>0</v>
      </c>
      <c r="O12" s="18" t="n">
        <v>0</v>
      </c>
      <c r="P12" s="20" t="n">
        <v>0</v>
      </c>
      <c r="Q12" s="18" t="n">
        <v>0.48476892</v>
      </c>
      <c r="R12" s="20" t="n">
        <v>0.32007445</v>
      </c>
    </row>
    <row r="13" spans="1:18">
      <c r="A13" s="15" t="s">
        <v>571</v>
      </c>
      <c r="B13" s="17" t="n">
        <v>3602</v>
      </c>
      <c r="C13" s="18">
        <f>(2901.0/B13*100)</f>
        <v/>
      </c>
      <c r="D13" s="19" t="n">
        <v>701</v>
      </c>
      <c r="E13" s="18" t="n">
        <v>59.66738218</v>
      </c>
      <c r="F13" s="20" t="n">
        <v>2.13893379</v>
      </c>
      <c r="G13" s="18" t="n">
        <v>39.68620694</v>
      </c>
      <c r="H13" s="20" t="n">
        <v>2.12348698</v>
      </c>
      <c r="I13" s="18" t="n">
        <v>0</v>
      </c>
      <c r="J13" s="20" t="n">
        <v>0</v>
      </c>
      <c r="K13" s="18" t="n">
        <v>0.26494039</v>
      </c>
      <c r="L13" s="20" t="n">
        <v>0.20366638</v>
      </c>
      <c r="M13" s="18" t="n">
        <v>0</v>
      </c>
      <c r="N13" s="20" t="n">
        <v>0</v>
      </c>
      <c r="O13" s="18" t="n">
        <v>0</v>
      </c>
      <c r="P13" s="20" t="n">
        <v>0</v>
      </c>
      <c r="Q13" s="18" t="n">
        <v>0.38147049</v>
      </c>
      <c r="R13" s="20" t="n">
        <v>0.19741707</v>
      </c>
    </row>
    <row r="14" spans="1:18">
      <c r="A14" s="15" t="s">
        <v>572</v>
      </c>
      <c r="B14" s="17" t="n">
        <v>2788</v>
      </c>
      <c r="C14" s="18">
        <f>(2155.0/B14*100)</f>
        <v/>
      </c>
      <c r="D14" s="19" t="n">
        <v>633</v>
      </c>
      <c r="E14" s="18" t="n">
        <v>47.81195892</v>
      </c>
      <c r="F14" s="20" t="n">
        <v>2.36545496</v>
      </c>
      <c r="G14" s="18" t="n">
        <v>51.56425523</v>
      </c>
      <c r="H14" s="20" t="n">
        <v>2.29289225</v>
      </c>
      <c r="I14" s="18" t="n">
        <v>0</v>
      </c>
      <c r="J14" s="20" t="n">
        <v>0</v>
      </c>
      <c r="K14" s="18" t="n">
        <v>0.14619345</v>
      </c>
      <c r="L14" s="20" t="n">
        <v>0.14719719</v>
      </c>
      <c r="M14" s="18" t="n">
        <v>0</v>
      </c>
      <c r="N14" s="20" t="n">
        <v>0</v>
      </c>
      <c r="O14" s="18" t="n">
        <v>0</v>
      </c>
      <c r="P14" s="20" t="n">
        <v>0</v>
      </c>
      <c r="Q14" s="18" t="n">
        <v>0.4775924</v>
      </c>
      <c r="R14" s="20" t="n">
        <v>0.37677688</v>
      </c>
    </row>
    <row r="15" spans="1:18">
      <c r="A15" s="15" t="s">
        <v>573</v>
      </c>
      <c r="B15" s="17" t="n">
        <v>2863</v>
      </c>
      <c r="C15" s="18">
        <f>(2226.0/B15*100)</f>
        <v/>
      </c>
      <c r="D15" s="19" t="n">
        <v>637</v>
      </c>
      <c r="E15" s="18" t="n">
        <v>51.62841606</v>
      </c>
      <c r="F15" s="20" t="n">
        <v>1.85619201</v>
      </c>
      <c r="G15" s="18" t="n">
        <v>48.05738132</v>
      </c>
      <c r="H15" s="20" t="n">
        <v>1.82000033</v>
      </c>
      <c r="I15" s="18" t="n">
        <v>0</v>
      </c>
      <c r="J15" s="20" t="n">
        <v>0</v>
      </c>
      <c r="K15" s="18" t="n">
        <v>0</v>
      </c>
      <c r="L15" s="20" t="n">
        <v>0</v>
      </c>
      <c r="M15" s="18" t="n">
        <v>0</v>
      </c>
      <c r="N15" s="20" t="n">
        <v>0</v>
      </c>
      <c r="O15" s="18" t="n">
        <v>0</v>
      </c>
      <c r="P15" s="20" t="n">
        <v>0</v>
      </c>
      <c r="Q15" s="18" t="n">
        <v>0.31420262</v>
      </c>
      <c r="R15" s="20" t="n">
        <v>0.22466714</v>
      </c>
    </row>
    <row r="16" spans="1:18">
      <c r="A16" s="15" t="s">
        <v>574</v>
      </c>
      <c r="B16" s="17" t="n">
        <v>3111</v>
      </c>
      <c r="C16" s="18">
        <f>(2436.0/B16*100)</f>
        <v/>
      </c>
      <c r="D16" s="19" t="n">
        <v>675</v>
      </c>
      <c r="E16" s="18" t="n">
        <v>62.62345373</v>
      </c>
      <c r="F16" s="20" t="n">
        <v>2.10790343</v>
      </c>
      <c r="G16" s="18" t="n">
        <v>35.13911751</v>
      </c>
      <c r="H16" s="20" t="n">
        <v>2.05043344</v>
      </c>
      <c r="I16" s="18" t="n">
        <v>0</v>
      </c>
      <c r="J16" s="20" t="n">
        <v>0</v>
      </c>
      <c r="K16" s="18" t="n">
        <v>0.96342511</v>
      </c>
      <c r="L16" s="20" t="n">
        <v>0.36693206</v>
      </c>
      <c r="M16" s="18" t="n">
        <v>0</v>
      </c>
      <c r="N16" s="20" t="n">
        <v>0</v>
      </c>
      <c r="O16" s="18" t="n">
        <v>0</v>
      </c>
      <c r="P16" s="20" t="n">
        <v>0</v>
      </c>
      <c r="Q16" s="18" t="n">
        <v>1.27400366</v>
      </c>
      <c r="R16" s="20" t="n">
        <v>0.35867459</v>
      </c>
    </row>
    <row r="17" spans="1:18">
      <c r="A17" s="15" t="s">
        <v>575</v>
      </c>
      <c r="B17" s="17" t="n">
        <v>3197</v>
      </c>
      <c r="C17" s="18">
        <f>(2549.0/B17*100)</f>
        <v/>
      </c>
      <c r="D17" s="19" t="n">
        <v>648</v>
      </c>
      <c r="E17" s="18" t="n">
        <v>66.61062271</v>
      </c>
      <c r="F17" s="20" t="n">
        <v>2.21844163</v>
      </c>
      <c r="G17" s="18" t="n">
        <v>32.16681972</v>
      </c>
      <c r="H17" s="20" t="n">
        <v>2.22612223</v>
      </c>
      <c r="I17" s="18" t="n">
        <v>0</v>
      </c>
      <c r="J17" s="20" t="n">
        <v>0</v>
      </c>
      <c r="K17" s="18" t="n">
        <v>0.322367</v>
      </c>
      <c r="L17" s="20" t="n">
        <v>0.2286456</v>
      </c>
      <c r="M17" s="18" t="n">
        <v>0</v>
      </c>
      <c r="N17" s="20" t="n">
        <v>0</v>
      </c>
      <c r="O17" s="18" t="n">
        <v>0</v>
      </c>
      <c r="P17" s="20" t="n">
        <v>0</v>
      </c>
      <c r="Q17" s="18" t="n">
        <v>0.90019056</v>
      </c>
      <c r="R17" s="20" t="n">
        <v>0.38199249</v>
      </c>
    </row>
    <row r="18" spans="1:18">
      <c r="A18" s="15" t="s">
        <v>576</v>
      </c>
      <c r="B18" s="17" t="n">
        <v>2706</v>
      </c>
      <c r="C18" s="18">
        <f>(2111.0/B18*100)</f>
        <v/>
      </c>
      <c r="D18" s="19" t="n">
        <v>595</v>
      </c>
      <c r="E18" s="18" t="n">
        <v>77.28986988</v>
      </c>
      <c r="F18" s="20" t="n">
        <v>2.13090002</v>
      </c>
      <c r="G18" s="18" t="n">
        <v>20.74431251</v>
      </c>
      <c r="H18" s="20" t="n">
        <v>2.1028821</v>
      </c>
      <c r="I18" s="18" t="n">
        <v>0</v>
      </c>
      <c r="J18" s="20" t="n">
        <v>0</v>
      </c>
      <c r="K18" s="18" t="n">
        <v>0.64546107</v>
      </c>
      <c r="L18" s="20" t="n">
        <v>0.33948914</v>
      </c>
      <c r="M18" s="18" t="n">
        <v>0</v>
      </c>
      <c r="N18" s="20" t="n">
        <v>0</v>
      </c>
      <c r="O18" s="18" t="n">
        <v>0</v>
      </c>
      <c r="P18" s="20" t="n">
        <v>0</v>
      </c>
      <c r="Q18" s="18" t="n">
        <v>1.32035655</v>
      </c>
      <c r="R18" s="20" t="n">
        <v>0.57418233</v>
      </c>
    </row>
    <row r="19" spans="1:18">
      <c r="A19" s="15" t="s">
        <v>577</v>
      </c>
      <c r="B19" s="17" t="n">
        <v>2850</v>
      </c>
      <c r="C19" s="18">
        <f>(2194.0/B19*100)</f>
        <v/>
      </c>
      <c r="D19" s="19" t="n">
        <v>656</v>
      </c>
      <c r="E19" s="18" t="n">
        <v>65.48181470999999</v>
      </c>
      <c r="F19" s="20" t="n">
        <v>1.83254791</v>
      </c>
      <c r="G19" s="18" t="n">
        <v>33.74437013</v>
      </c>
      <c r="H19" s="20" t="n">
        <v>1.75647182</v>
      </c>
      <c r="I19" s="18" t="n">
        <v>0</v>
      </c>
      <c r="J19" s="20" t="n">
        <v>0</v>
      </c>
      <c r="K19" s="18" t="n">
        <v>0.14099704</v>
      </c>
      <c r="L19" s="20" t="n">
        <v>0.11998699</v>
      </c>
      <c r="M19" s="18" t="n">
        <v>0</v>
      </c>
      <c r="N19" s="20" t="n">
        <v>0</v>
      </c>
      <c r="O19" s="18" t="n">
        <v>0</v>
      </c>
      <c r="P19" s="20" t="n">
        <v>0</v>
      </c>
      <c r="Q19" s="18" t="n">
        <v>0.63281812</v>
      </c>
      <c r="R19" s="20" t="n">
        <v>0.38348446</v>
      </c>
    </row>
    <row r="20" spans="1:18">
      <c r="A20" s="15" t="s">
        <v>578</v>
      </c>
      <c r="B20" s="17" t="n">
        <v>1741</v>
      </c>
      <c r="C20" s="18">
        <f>(1368.0/B20*100)</f>
        <v/>
      </c>
      <c r="D20" s="19" t="n">
        <v>373</v>
      </c>
      <c r="E20" s="18" t="n">
        <v>70.70898706</v>
      </c>
      <c r="F20" s="20" t="n">
        <v>2.20514841</v>
      </c>
      <c r="G20" s="18" t="n">
        <v>27.99205822</v>
      </c>
      <c r="H20" s="20" t="n">
        <v>2.20832742</v>
      </c>
      <c r="I20" s="18" t="n">
        <v>0</v>
      </c>
      <c r="J20" s="20" t="n">
        <v>0</v>
      </c>
      <c r="K20" s="18" t="n">
        <v>0.25555332</v>
      </c>
      <c r="L20" s="20" t="n">
        <v>0.24451774</v>
      </c>
      <c r="M20" s="18" t="n">
        <v>0</v>
      </c>
      <c r="N20" s="20" t="n">
        <v>0</v>
      </c>
      <c r="O20" s="18" t="n">
        <v>0</v>
      </c>
      <c r="P20" s="20" t="n">
        <v>0</v>
      </c>
      <c r="Q20" s="18" t="n">
        <v>1.0434014</v>
      </c>
      <c r="R20" s="20" t="n">
        <v>0.52427264</v>
      </c>
    </row>
    <row r="21" spans="1:18">
      <c r="A21" s="15" t="s">
        <v>579</v>
      </c>
      <c r="B21" s="17" t="n">
        <v>2833</v>
      </c>
      <c r="C21" s="18">
        <f>(2233.0/B21*100)</f>
        <v/>
      </c>
      <c r="D21" s="19" t="n">
        <v>600</v>
      </c>
      <c r="E21" s="18" t="n">
        <v>56.94925551</v>
      </c>
      <c r="F21" s="20" t="n">
        <v>2.4745647</v>
      </c>
      <c r="G21" s="18" t="n">
        <v>42.21486142</v>
      </c>
      <c r="H21" s="20" t="n">
        <v>2.41700839</v>
      </c>
      <c r="I21" s="18" t="n">
        <v>0</v>
      </c>
      <c r="J21" s="20" t="n">
        <v>0</v>
      </c>
      <c r="K21" s="18" t="n">
        <v>0.36584927</v>
      </c>
      <c r="L21" s="20" t="n">
        <v>0.25311404</v>
      </c>
      <c r="M21" s="18" t="n">
        <v>0</v>
      </c>
      <c r="N21" s="20" t="n">
        <v>0</v>
      </c>
      <c r="O21" s="18" t="n">
        <v>0</v>
      </c>
      <c r="P21" s="20" t="n">
        <v>0</v>
      </c>
      <c r="Q21" s="18" t="n">
        <v>0.4700338</v>
      </c>
      <c r="R21" s="20" t="n">
        <v>0.28839361</v>
      </c>
    </row>
    <row r="22" spans="1:18">
      <c r="A22" s="15" t="s">
        <v>580</v>
      </c>
      <c r="B22" s="17" t="n">
        <v>3667</v>
      </c>
      <c r="C22" s="18">
        <f>(2872.0/B22*100)</f>
        <v/>
      </c>
      <c r="D22" s="19" t="n">
        <v>795</v>
      </c>
      <c r="E22" s="18" t="n">
        <v>72.40205994</v>
      </c>
      <c r="F22" s="20" t="n">
        <v>1.89717321</v>
      </c>
      <c r="G22" s="18" t="n">
        <v>24.45702399</v>
      </c>
      <c r="H22" s="20" t="n">
        <v>1.83918535</v>
      </c>
      <c r="I22" s="18" t="n">
        <v>0</v>
      </c>
      <c r="J22" s="20" t="n">
        <v>0</v>
      </c>
      <c r="K22" s="18" t="n">
        <v>1.05424036</v>
      </c>
      <c r="L22" s="20" t="n">
        <v>0.3879539</v>
      </c>
      <c r="M22" s="18" t="n">
        <v>0</v>
      </c>
      <c r="N22" s="20" t="n">
        <v>0</v>
      </c>
      <c r="O22" s="18" t="n">
        <v>0</v>
      </c>
      <c r="P22" s="20" t="n">
        <v>0</v>
      </c>
      <c r="Q22" s="18" t="n">
        <v>2.08667572</v>
      </c>
      <c r="R22" s="20" t="n">
        <v>0.59098277</v>
      </c>
    </row>
    <row r="23" spans="1:18">
      <c r="A23" s="15" t="s">
        <v>581</v>
      </c>
      <c r="B23" s="17" t="n">
        <v>5792</v>
      </c>
      <c r="C23" s="18">
        <f>(4482.0/B23*100)</f>
        <v/>
      </c>
      <c r="D23" s="19" t="n">
        <v>1310</v>
      </c>
      <c r="E23" s="18" t="n">
        <v>49.59294845</v>
      </c>
      <c r="F23" s="20" t="n">
        <v>2.37805458</v>
      </c>
      <c r="G23" s="18" t="n">
        <v>48.77239991</v>
      </c>
      <c r="H23" s="20" t="n">
        <v>2.45820386</v>
      </c>
      <c r="I23" s="18" t="n">
        <v>0</v>
      </c>
      <c r="J23" s="20" t="n">
        <v>0</v>
      </c>
      <c r="K23" s="18" t="n">
        <v>0.30930415</v>
      </c>
      <c r="L23" s="20" t="n">
        <v>0.32216739</v>
      </c>
      <c r="M23" s="18" t="n">
        <v>0</v>
      </c>
      <c r="N23" s="20" t="n">
        <v>0</v>
      </c>
      <c r="O23" s="18" t="n">
        <v>0</v>
      </c>
      <c r="P23" s="20" t="n">
        <v>0</v>
      </c>
      <c r="Q23" s="18" t="n">
        <v>1.3253475</v>
      </c>
      <c r="R23" s="20" t="n">
        <v>0.53578536</v>
      </c>
    </row>
    <row r="24" spans="1:18">
      <c r="A24" s="15" t="s">
        <v>582</v>
      </c>
      <c r="B24" s="17" t="n">
        <v>3309</v>
      </c>
      <c r="C24" s="18">
        <f>(2604.0/B24*100)</f>
        <v/>
      </c>
      <c r="D24" s="19" t="n">
        <v>705</v>
      </c>
      <c r="E24" s="18" t="n">
        <v>62.84221507</v>
      </c>
      <c r="F24" s="20" t="n">
        <v>1.87059378</v>
      </c>
      <c r="G24" s="18" t="n">
        <v>36.46558937</v>
      </c>
      <c r="H24" s="20" t="n">
        <v>1.81428116</v>
      </c>
      <c r="I24" s="18" t="n">
        <v>0</v>
      </c>
      <c r="J24" s="20" t="n">
        <v>0</v>
      </c>
      <c r="K24" s="18" t="n">
        <v>0.14684606</v>
      </c>
      <c r="L24" s="20" t="n">
        <v>0.14837612</v>
      </c>
      <c r="M24" s="18" t="n">
        <v>0</v>
      </c>
      <c r="N24" s="20" t="n">
        <v>0</v>
      </c>
      <c r="O24" s="18" t="n">
        <v>0</v>
      </c>
      <c r="P24" s="20" t="n">
        <v>0</v>
      </c>
      <c r="Q24" s="18" t="n">
        <v>0.54534951</v>
      </c>
      <c r="R24" s="20" t="n">
        <v>0.278164</v>
      </c>
    </row>
    <row r="25" spans="1:18">
      <c r="A25" s="15" t="s">
        <v>583</v>
      </c>
      <c r="B25" s="17" t="n">
        <v>2669</v>
      </c>
      <c r="C25" s="18">
        <f>(2091.0/B25*100)</f>
        <v/>
      </c>
      <c r="D25" s="19" t="n">
        <v>578</v>
      </c>
      <c r="E25" s="18" t="n">
        <v>54.04767021</v>
      </c>
      <c r="F25" s="20" t="n">
        <v>1.82861459</v>
      </c>
      <c r="G25" s="18" t="n">
        <v>45.3169595</v>
      </c>
      <c r="H25" s="20" t="n">
        <v>1.91506524</v>
      </c>
      <c r="I25" s="18" t="n">
        <v>0</v>
      </c>
      <c r="J25" s="20" t="n">
        <v>0</v>
      </c>
      <c r="K25" s="18" t="n">
        <v>0</v>
      </c>
      <c r="L25" s="20" t="n">
        <v>0</v>
      </c>
      <c r="M25" s="18" t="n">
        <v>0</v>
      </c>
      <c r="N25" s="20" t="n">
        <v>0</v>
      </c>
      <c r="O25" s="18" t="n">
        <v>0</v>
      </c>
      <c r="P25" s="20" t="n">
        <v>0</v>
      </c>
      <c r="Q25" s="18" t="n">
        <v>0.63537028</v>
      </c>
      <c r="R25" s="20" t="n">
        <v>0.36101392</v>
      </c>
    </row>
    <row r="26" spans="1:18">
      <c r="A26" s="15" t="s">
        <v>584</v>
      </c>
      <c r="B26" s="17" t="n">
        <v>2419</v>
      </c>
      <c r="C26" s="18">
        <f>(1857.0/B26*100)</f>
        <v/>
      </c>
      <c r="D26" s="19" t="n">
        <v>562</v>
      </c>
      <c r="E26" s="18" t="n">
        <v>76.9925786</v>
      </c>
      <c r="F26" s="20" t="n">
        <v>1.67827581</v>
      </c>
      <c r="G26" s="18" t="n">
        <v>22.84853463</v>
      </c>
      <c r="H26" s="20" t="n">
        <v>1.69191492</v>
      </c>
      <c r="I26" s="18" t="n">
        <v>0</v>
      </c>
      <c r="J26" s="20" t="n">
        <v>0</v>
      </c>
      <c r="K26" s="18" t="n">
        <v>0</v>
      </c>
      <c r="L26" s="20" t="n">
        <v>0</v>
      </c>
      <c r="M26" s="18" t="n">
        <v>0</v>
      </c>
      <c r="N26" s="20" t="n">
        <v>0</v>
      </c>
      <c r="O26" s="18" t="n">
        <v>0</v>
      </c>
      <c r="P26" s="20" t="n">
        <v>0</v>
      </c>
      <c r="Q26" s="18" t="n">
        <v>0.15888677</v>
      </c>
      <c r="R26" s="20" t="n">
        <v>0.15926481</v>
      </c>
    </row>
    <row r="27" spans="1:18">
      <c r="A27" s="15" t="s">
        <v>585</v>
      </c>
      <c r="B27" s="17" t="n">
        <v>2683</v>
      </c>
      <c r="C27" s="18">
        <f>(2126.0/B27*100)</f>
        <v/>
      </c>
      <c r="D27" s="19" t="n">
        <v>557</v>
      </c>
      <c r="E27" s="18" t="n">
        <v>64.04605226</v>
      </c>
      <c r="F27" s="20" t="n">
        <v>2.17097976</v>
      </c>
      <c r="G27" s="18" t="n">
        <v>32.71992541</v>
      </c>
      <c r="H27" s="20" t="n">
        <v>1.98982108</v>
      </c>
      <c r="I27" s="18" t="n">
        <v>0</v>
      </c>
      <c r="J27" s="20" t="n">
        <v>0</v>
      </c>
      <c r="K27" s="18" t="n">
        <v>0.17305046</v>
      </c>
      <c r="L27" s="20" t="n">
        <v>0.17392042</v>
      </c>
      <c r="M27" s="18" t="n">
        <v>0</v>
      </c>
      <c r="N27" s="20" t="n">
        <v>0</v>
      </c>
      <c r="O27" s="18" t="n">
        <v>0</v>
      </c>
      <c r="P27" s="20" t="n">
        <v>0</v>
      </c>
      <c r="Q27" s="18" t="n">
        <v>3.06097187</v>
      </c>
      <c r="R27" s="20" t="n">
        <v>0.78906437</v>
      </c>
    </row>
    <row r="28" spans="1:18">
      <c r="A28" s="15" t="s">
        <v>586</v>
      </c>
      <c r="B28" s="17" t="n">
        <v>3803</v>
      </c>
      <c r="C28" s="18">
        <f>(2980.0/B28*100)</f>
        <v/>
      </c>
      <c r="D28" s="19" t="n">
        <v>823</v>
      </c>
      <c r="E28" s="18" t="n">
        <v>76.89135614999999</v>
      </c>
      <c r="F28" s="20" t="n">
        <v>1.50723451</v>
      </c>
      <c r="G28" s="18" t="n">
        <v>21.45294073</v>
      </c>
      <c r="H28" s="20" t="n">
        <v>1.62627918</v>
      </c>
      <c r="I28" s="18" t="n">
        <v>0</v>
      </c>
      <c r="J28" s="20" t="n">
        <v>0</v>
      </c>
      <c r="K28" s="18" t="n">
        <v>0.79697818</v>
      </c>
      <c r="L28" s="20" t="n">
        <v>0.35693875</v>
      </c>
      <c r="M28" s="18" t="n">
        <v>0</v>
      </c>
      <c r="N28" s="20" t="n">
        <v>0</v>
      </c>
      <c r="O28" s="18" t="n">
        <v>0</v>
      </c>
      <c r="P28" s="20" t="n">
        <v>0</v>
      </c>
      <c r="Q28" s="18" t="n">
        <v>0.8587249300000001</v>
      </c>
      <c r="R28" s="20" t="n">
        <v>0.45929097</v>
      </c>
    </row>
    <row r="29" spans="1:18">
      <c r="A29" s="15" t="s">
        <v>587</v>
      </c>
      <c r="B29" s="17" t="n">
        <v>2700</v>
      </c>
      <c r="C29" s="18">
        <f>(2113.0/B29*100)</f>
        <v/>
      </c>
      <c r="D29" s="19" t="n">
        <v>587</v>
      </c>
      <c r="E29" s="18" t="n">
        <v>49.55011966</v>
      </c>
      <c r="F29" s="20" t="n">
        <v>1.80516246</v>
      </c>
      <c r="G29" s="18" t="n">
        <v>49.82825079</v>
      </c>
      <c r="H29" s="20" t="n">
        <v>1.85132526</v>
      </c>
      <c r="I29" s="18" t="n">
        <v>0</v>
      </c>
      <c r="J29" s="20" t="n">
        <v>0</v>
      </c>
      <c r="K29" s="18" t="n">
        <v>0.62162954</v>
      </c>
      <c r="L29" s="20" t="n">
        <v>0.34165928</v>
      </c>
      <c r="M29" s="18" t="n">
        <v>0</v>
      </c>
      <c r="N29" s="20" t="n">
        <v>0</v>
      </c>
      <c r="O29" s="18" t="n">
        <v>0</v>
      </c>
      <c r="P29" s="20" t="n">
        <v>0</v>
      </c>
      <c r="Q29" s="18" t="n">
        <v>0</v>
      </c>
      <c r="R29" s="20" t="n">
        <v>0</v>
      </c>
    </row>
    <row r="30" spans="1:18">
      <c r="A30" s="15" t="s">
        <v>588</v>
      </c>
      <c r="B30" s="17" t="n">
        <v>2257</v>
      </c>
      <c r="C30" s="18">
        <f>(1777.0/B30*100)</f>
        <v/>
      </c>
      <c r="D30" s="19" t="n">
        <v>480</v>
      </c>
      <c r="E30" s="18" t="n">
        <v>48.69300413</v>
      </c>
      <c r="F30" s="20" t="n">
        <v>2.6179229</v>
      </c>
      <c r="G30" s="18" t="n">
        <v>49.35252967</v>
      </c>
      <c r="H30" s="20" t="n">
        <v>2.65718702</v>
      </c>
      <c r="I30" s="18" t="n">
        <v>0</v>
      </c>
      <c r="J30" s="20" t="n">
        <v>0</v>
      </c>
      <c r="K30" s="18" t="n">
        <v>0.20053632</v>
      </c>
      <c r="L30" s="20" t="n">
        <v>0.17403273</v>
      </c>
      <c r="M30" s="18" t="n">
        <v>0</v>
      </c>
      <c r="N30" s="20" t="n">
        <v>0</v>
      </c>
      <c r="O30" s="18" t="n">
        <v>0</v>
      </c>
      <c r="P30" s="20" t="n">
        <v>0</v>
      </c>
      <c r="Q30" s="18" t="n">
        <v>1.75392987</v>
      </c>
      <c r="R30" s="20" t="n">
        <v>0.5598781</v>
      </c>
    </row>
    <row r="31" spans="1:18">
      <c r="A31" s="15" t="s">
        <v>589</v>
      </c>
      <c r="B31" s="17" t="n">
        <v>2706</v>
      </c>
      <c r="C31" s="18">
        <f>(2110.0/B31*100)</f>
        <v/>
      </c>
      <c r="D31" s="19" t="n">
        <v>596</v>
      </c>
      <c r="E31" s="18" t="n">
        <v>60.92693548</v>
      </c>
      <c r="F31" s="20" t="n">
        <v>2.13736369</v>
      </c>
      <c r="G31" s="18" t="n">
        <v>37.43162901</v>
      </c>
      <c r="H31" s="20" t="n">
        <v>2.10247061</v>
      </c>
      <c r="I31" s="18" t="n">
        <v>0</v>
      </c>
      <c r="J31" s="20" t="n">
        <v>0</v>
      </c>
      <c r="K31" s="18" t="n">
        <v>0.47606536</v>
      </c>
      <c r="L31" s="20" t="n">
        <v>0.26988618</v>
      </c>
      <c r="M31" s="18" t="n">
        <v>0</v>
      </c>
      <c r="N31" s="20" t="n">
        <v>0</v>
      </c>
      <c r="O31" s="18" t="n">
        <v>0</v>
      </c>
      <c r="P31" s="20" t="n">
        <v>0</v>
      </c>
      <c r="Q31" s="18" t="n">
        <v>1.16537015</v>
      </c>
      <c r="R31" s="20" t="n">
        <v>0.43908833</v>
      </c>
    </row>
    <row r="32" spans="1:18">
      <c r="A32" s="15" t="s">
        <v>590</v>
      </c>
      <c r="B32" s="17" t="n">
        <v>2209</v>
      </c>
      <c r="C32" s="18">
        <f>(1732.0/B32*100)</f>
        <v/>
      </c>
      <c r="D32" s="19" t="n">
        <v>477</v>
      </c>
      <c r="E32" s="18" t="n">
        <v>75.73007192</v>
      </c>
      <c r="F32" s="20" t="n">
        <v>2.26106585</v>
      </c>
      <c r="G32" s="18" t="n">
        <v>23.68636215</v>
      </c>
      <c r="H32" s="20" t="n">
        <v>2.25632911</v>
      </c>
      <c r="I32" s="18" t="n">
        <v>0</v>
      </c>
      <c r="J32" s="20" t="n">
        <v>0</v>
      </c>
      <c r="K32" s="18" t="n">
        <v>0</v>
      </c>
      <c r="L32" s="20" t="n">
        <v>0</v>
      </c>
      <c r="M32" s="18" t="n">
        <v>0</v>
      </c>
      <c r="N32" s="20" t="n">
        <v>0</v>
      </c>
      <c r="O32" s="18" t="n">
        <v>0</v>
      </c>
      <c r="P32" s="20" t="n">
        <v>0</v>
      </c>
      <c r="Q32" s="18" t="n">
        <v>0.58356593</v>
      </c>
      <c r="R32" s="20" t="n">
        <v>0.33026509</v>
      </c>
    </row>
    <row r="33" spans="1:18">
      <c r="A33" s="15" t="s">
        <v>591</v>
      </c>
      <c r="B33" s="17" t="n">
        <v>3651</v>
      </c>
      <c r="C33" s="18">
        <f>(2854.0/B33*100)</f>
        <v/>
      </c>
      <c r="D33" s="19" t="n">
        <v>797</v>
      </c>
      <c r="E33" s="18" t="n">
        <v>53.4177124</v>
      </c>
      <c r="F33" s="20" t="n">
        <v>1.92098323</v>
      </c>
      <c r="G33" s="18" t="n">
        <v>45.45006762</v>
      </c>
      <c r="H33" s="20" t="n">
        <v>1.91439897</v>
      </c>
      <c r="I33" s="18" t="n">
        <v>0</v>
      </c>
      <c r="J33" s="20" t="n">
        <v>0</v>
      </c>
      <c r="K33" s="18" t="n">
        <v>0.0264856</v>
      </c>
      <c r="L33" s="20" t="n">
        <v>0.0273819</v>
      </c>
      <c r="M33" s="18" t="n">
        <v>0</v>
      </c>
      <c r="N33" s="20" t="n">
        <v>0</v>
      </c>
      <c r="O33" s="18" t="n">
        <v>0</v>
      </c>
      <c r="P33" s="20" t="n">
        <v>0</v>
      </c>
      <c r="Q33" s="18" t="n">
        <v>1.10573438</v>
      </c>
      <c r="R33" s="20" t="n">
        <v>0.38932268</v>
      </c>
    </row>
    <row r="34" spans="1:18">
      <c r="A34" s="15" t="s">
        <v>592</v>
      </c>
      <c r="B34" s="17" t="n">
        <v>3035</v>
      </c>
      <c r="C34" s="18">
        <f>(2401.0/B34*100)</f>
        <v/>
      </c>
      <c r="D34" s="19" t="n">
        <v>634</v>
      </c>
      <c r="E34" s="18" t="n">
        <v>83.05344153999999</v>
      </c>
      <c r="F34" s="20" t="n">
        <v>1.61318331</v>
      </c>
      <c r="G34" s="18" t="n">
        <v>16.19550201</v>
      </c>
      <c r="H34" s="20" t="n">
        <v>1.60438019</v>
      </c>
      <c r="I34" s="18" t="n">
        <v>0</v>
      </c>
      <c r="J34" s="20" t="n">
        <v>0</v>
      </c>
      <c r="K34" s="18" t="n">
        <v>0.12526652</v>
      </c>
      <c r="L34" s="20" t="n">
        <v>0.12504683</v>
      </c>
      <c r="M34" s="18" t="n">
        <v>0</v>
      </c>
      <c r="N34" s="20" t="n">
        <v>0</v>
      </c>
      <c r="O34" s="18" t="n">
        <v>0</v>
      </c>
      <c r="P34" s="20" t="n">
        <v>0</v>
      </c>
      <c r="Q34" s="18" t="n">
        <v>0.62578993</v>
      </c>
      <c r="R34" s="20" t="n">
        <v>0.34375658</v>
      </c>
    </row>
    <row r="35" spans="1:18">
      <c r="A35" s="15" t="s">
        <v>593</v>
      </c>
      <c r="B35" s="17" t="n">
        <v>2901</v>
      </c>
      <c r="C35" s="18">
        <f>(2264.0/B35*100)</f>
        <v/>
      </c>
      <c r="D35" s="19" t="n">
        <v>637</v>
      </c>
      <c r="E35" s="18" t="n">
        <v>64.12085897</v>
      </c>
      <c r="F35" s="20" t="n">
        <v>2.62154139</v>
      </c>
      <c r="G35" s="18" t="n">
        <v>34.54896309</v>
      </c>
      <c r="H35" s="20" t="n">
        <v>2.54478128</v>
      </c>
      <c r="I35" s="18" t="n">
        <v>0</v>
      </c>
      <c r="J35" s="20" t="n">
        <v>0</v>
      </c>
      <c r="K35" s="18" t="n">
        <v>0.06820848</v>
      </c>
      <c r="L35" s="20" t="n">
        <v>0.06867946</v>
      </c>
      <c r="M35" s="18" t="n">
        <v>0</v>
      </c>
      <c r="N35" s="20" t="n">
        <v>0</v>
      </c>
      <c r="O35" s="18" t="n">
        <v>0</v>
      </c>
      <c r="P35" s="20" t="n">
        <v>0</v>
      </c>
      <c r="Q35" s="18" t="n">
        <v>1.26196946</v>
      </c>
      <c r="R35" s="20" t="n">
        <v>0.5518907199999999</v>
      </c>
    </row>
    <row r="36" spans="1:18">
      <c r="A36" s="15" t="s">
        <v>594</v>
      </c>
      <c r="B36" s="17" t="n">
        <v>3404</v>
      </c>
      <c r="C36" s="18">
        <f>(2633.0/B36*100)</f>
        <v/>
      </c>
      <c r="D36" s="19" t="n">
        <v>771</v>
      </c>
      <c r="E36" s="18" t="n">
        <v>54.2190363</v>
      </c>
      <c r="F36" s="20" t="n">
        <v>2.03435314</v>
      </c>
      <c r="G36" s="18" t="n">
        <v>44.4516153</v>
      </c>
      <c r="H36" s="20" t="n">
        <v>1.95146242</v>
      </c>
      <c r="I36" s="18" t="n">
        <v>0</v>
      </c>
      <c r="J36" s="20" t="n">
        <v>0</v>
      </c>
      <c r="K36" s="18" t="n">
        <v>0.16162417</v>
      </c>
      <c r="L36" s="20" t="n">
        <v>0.16885198</v>
      </c>
      <c r="M36" s="18" t="n">
        <v>0</v>
      </c>
      <c r="N36" s="20" t="n">
        <v>0</v>
      </c>
      <c r="O36" s="18" t="n">
        <v>0</v>
      </c>
      <c r="P36" s="20" t="n">
        <v>0</v>
      </c>
      <c r="Q36" s="18" t="n">
        <v>1.16772422</v>
      </c>
      <c r="R36" s="20" t="n">
        <v>0.46138634</v>
      </c>
    </row>
    <row r="37" spans="1:18">
      <c r="A37" s="15" t="s">
        <v>595</v>
      </c>
      <c r="B37" s="17" t="n">
        <v>2731</v>
      </c>
      <c r="C37" s="18">
        <f>(2158.0/B37*100)</f>
        <v/>
      </c>
      <c r="D37" s="19" t="n">
        <v>573</v>
      </c>
      <c r="E37" s="18" t="n">
        <v>56.93844912</v>
      </c>
      <c r="F37" s="20" t="n">
        <v>2.27399465</v>
      </c>
      <c r="G37" s="18" t="n">
        <v>40.44336025</v>
      </c>
      <c r="H37" s="20" t="n">
        <v>2.28740625</v>
      </c>
      <c r="I37" s="18" t="n">
        <v>0</v>
      </c>
      <c r="J37" s="20" t="n">
        <v>0</v>
      </c>
      <c r="K37" s="18" t="n">
        <v>0.79736559</v>
      </c>
      <c r="L37" s="20" t="n">
        <v>0.27596651</v>
      </c>
      <c r="M37" s="18" t="n">
        <v>0</v>
      </c>
      <c r="N37" s="20" t="n">
        <v>0</v>
      </c>
      <c r="O37" s="18" t="n">
        <v>0</v>
      </c>
      <c r="P37" s="20" t="n">
        <v>0</v>
      </c>
      <c r="Q37" s="18" t="n">
        <v>1.82082504</v>
      </c>
      <c r="R37" s="20" t="n">
        <v>0.58517128</v>
      </c>
    </row>
    <row r="38" spans="1:18">
      <c r="A38" s="15" t="s">
        <v>596</v>
      </c>
      <c r="B38" s="17" t="n">
        <v>2807</v>
      </c>
      <c r="C38" s="18">
        <f>(2180.0/B38*100)</f>
        <v/>
      </c>
      <c r="D38" s="19" t="n">
        <v>627</v>
      </c>
      <c r="E38" s="18" t="n">
        <v>68.79774205</v>
      </c>
      <c r="F38" s="20" t="n">
        <v>2.17624834</v>
      </c>
      <c r="G38" s="18" t="n">
        <v>29.94088621</v>
      </c>
      <c r="H38" s="20" t="n">
        <v>2.11839147</v>
      </c>
      <c r="I38" s="18" t="n">
        <v>0</v>
      </c>
      <c r="J38" s="20" t="n">
        <v>0</v>
      </c>
      <c r="K38" s="18" t="n">
        <v>0.23836351</v>
      </c>
      <c r="L38" s="20" t="n">
        <v>0.22798097</v>
      </c>
      <c r="M38" s="18" t="n">
        <v>0</v>
      </c>
      <c r="N38" s="20" t="n">
        <v>0</v>
      </c>
      <c r="O38" s="18" t="n">
        <v>0</v>
      </c>
      <c r="P38" s="20" t="n">
        <v>0</v>
      </c>
      <c r="Q38" s="18" t="n">
        <v>1.02300823</v>
      </c>
      <c r="R38" s="20" t="n">
        <v>0.52706514</v>
      </c>
    </row>
    <row r="39" spans="1:18">
      <c r="A39" s="15" t="s">
        <v>597</v>
      </c>
      <c r="B39" s="17" t="n">
        <v>2938</v>
      </c>
      <c r="C39" s="18">
        <f>(2280.0/B39*100)</f>
        <v/>
      </c>
      <c r="D39" s="19" t="n">
        <v>658</v>
      </c>
      <c r="E39" s="18" t="n">
        <v>66.76197191999999</v>
      </c>
      <c r="F39" s="20" t="n">
        <v>2.17883738</v>
      </c>
      <c r="G39" s="18" t="n">
        <v>32.16379329</v>
      </c>
      <c r="H39" s="20" t="n">
        <v>2.22682481</v>
      </c>
      <c r="I39" s="18" t="n">
        <v>0</v>
      </c>
      <c r="J39" s="20" t="n">
        <v>0</v>
      </c>
      <c r="K39" s="18" t="n">
        <v>0.14294093</v>
      </c>
      <c r="L39" s="20" t="n">
        <v>0.14363249</v>
      </c>
      <c r="M39" s="18" t="n">
        <v>0</v>
      </c>
      <c r="N39" s="20" t="n">
        <v>0</v>
      </c>
      <c r="O39" s="18" t="n">
        <v>0</v>
      </c>
      <c r="P39" s="20" t="n">
        <v>0</v>
      </c>
      <c r="Q39" s="18" t="n">
        <v>0.93129387</v>
      </c>
      <c r="R39" s="20" t="n">
        <v>0.42717847</v>
      </c>
    </row>
    <row r="40" spans="1:18">
      <c r="A40" s="15" t="s">
        <v>598</v>
      </c>
      <c r="B40" s="17" t="n">
        <v>6922</v>
      </c>
      <c r="C40" s="18">
        <f>(5391.0/B40*100)</f>
        <v/>
      </c>
      <c r="D40" s="19" t="n">
        <v>1531</v>
      </c>
      <c r="E40" s="18" t="n">
        <v>46.055665</v>
      </c>
      <c r="F40" s="20" t="n">
        <v>2.21380173</v>
      </c>
      <c r="G40" s="18" t="n">
        <v>52.78531845</v>
      </c>
      <c r="H40" s="20" t="n">
        <v>2.31136701</v>
      </c>
      <c r="I40" s="18" t="n">
        <v>0</v>
      </c>
      <c r="J40" s="20" t="n">
        <v>0</v>
      </c>
      <c r="K40" s="18" t="n">
        <v>0.08474449000000001</v>
      </c>
      <c r="L40" s="20" t="n">
        <v>0.08630152000000001</v>
      </c>
      <c r="M40" s="18" t="n">
        <v>0</v>
      </c>
      <c r="N40" s="20" t="n">
        <v>0</v>
      </c>
      <c r="O40" s="18" t="n">
        <v>0</v>
      </c>
      <c r="P40" s="20" t="n">
        <v>0</v>
      </c>
      <c r="Q40" s="18" t="n">
        <v>1.07427206</v>
      </c>
      <c r="R40" s="20" t="n">
        <v>0.39358382</v>
      </c>
    </row>
    <row r="41" spans="1:18">
      <c r="A41" s="15" t="s">
        <v>599</v>
      </c>
      <c r="B41" s="17" t="n">
        <v>2854</v>
      </c>
      <c r="C41" s="18">
        <f>(2259.0/B41*100)</f>
        <v/>
      </c>
      <c r="D41" s="19" t="n">
        <v>595</v>
      </c>
      <c r="E41" s="18" t="n">
        <v>66.33318543</v>
      </c>
      <c r="F41" s="20" t="n">
        <v>2.08612394</v>
      </c>
      <c r="G41" s="18" t="n">
        <v>32.95650806</v>
      </c>
      <c r="H41" s="20" t="n">
        <v>2.10899802</v>
      </c>
      <c r="I41" s="18" t="n">
        <v>0</v>
      </c>
      <c r="J41" s="20" t="n">
        <v>0</v>
      </c>
      <c r="K41" s="18" t="n">
        <v>0.19092609</v>
      </c>
      <c r="L41" s="20" t="n">
        <v>0.19262864</v>
      </c>
      <c r="M41" s="18" t="n">
        <v>0</v>
      </c>
      <c r="N41" s="20" t="n">
        <v>0</v>
      </c>
      <c r="O41" s="18" t="n">
        <v>0</v>
      </c>
      <c r="P41" s="20" t="n">
        <v>0</v>
      </c>
      <c r="Q41" s="18" t="n">
        <v>0.51938042</v>
      </c>
      <c r="R41" s="20" t="n">
        <v>0.31826639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(9952.0/B46*100)</f>
        <v/>
      </c>
      <c r="D46" s="19" t="n">
        <v>2121</v>
      </c>
      <c r="E46" s="18" t="n">
        <v>62.66308349</v>
      </c>
      <c r="F46" s="20" t="n">
        <v>1.51449522</v>
      </c>
      <c r="G46" s="18" t="n">
        <v>33.96398886</v>
      </c>
      <c r="H46" s="20" t="n">
        <v>1.50182382</v>
      </c>
      <c r="I46" s="18" t="n">
        <v>0</v>
      </c>
      <c r="J46" s="20" t="n">
        <v>0</v>
      </c>
      <c r="K46" s="18" t="n">
        <v>1.55822355</v>
      </c>
      <c r="L46" s="20" t="n">
        <v>0.39675098</v>
      </c>
      <c r="M46" s="18" t="n">
        <v>0</v>
      </c>
      <c r="N46" s="20" t="n">
        <v>0</v>
      </c>
      <c r="O46" s="18" t="n">
        <v>0</v>
      </c>
      <c r="P46" s="20" t="n">
        <v>0</v>
      </c>
      <c r="Q46" s="18" t="n">
        <v>1.81470409</v>
      </c>
      <c r="R46" s="20" t="n">
        <v>0.39221335</v>
      </c>
    </row>
    <row r="47" spans="1:18">
      <c r="A47" s="15" t="s">
        <v>606</v>
      </c>
      <c r="B47" s="17" t="n">
        <v>2823</v>
      </c>
      <c r="C47" s="18">
        <f>(2197.0/B47*100)</f>
        <v/>
      </c>
      <c r="D47" s="19" t="n">
        <v>626</v>
      </c>
      <c r="E47" s="18" t="n">
        <v>67.66001754</v>
      </c>
      <c r="F47" s="20" t="n">
        <v>2.03038123</v>
      </c>
      <c r="G47" s="18" t="n">
        <v>30.77312536</v>
      </c>
      <c r="H47" s="20" t="n">
        <v>2.12227381</v>
      </c>
      <c r="I47" s="18" t="n">
        <v>0</v>
      </c>
      <c r="J47" s="20" t="n">
        <v>0</v>
      </c>
      <c r="K47" s="18" t="n">
        <v>0.64140866</v>
      </c>
      <c r="L47" s="20" t="n">
        <v>0.33664803</v>
      </c>
      <c r="M47" s="18" t="n">
        <v>0</v>
      </c>
      <c r="N47" s="20" t="n">
        <v>0</v>
      </c>
      <c r="O47" s="18" t="n">
        <v>0</v>
      </c>
      <c r="P47" s="20" t="n">
        <v>0</v>
      </c>
      <c r="Q47" s="18" t="n">
        <v>0.92544844</v>
      </c>
      <c r="R47" s="20" t="n">
        <v>0.33364339</v>
      </c>
    </row>
    <row r="48" spans="1:18">
      <c r="A48" s="15" t="s">
        <v>607</v>
      </c>
      <c r="B48" s="17" t="n">
        <v>4682</v>
      </c>
      <c r="C48" s="18">
        <f>(3684.0/B48*100)</f>
        <v/>
      </c>
      <c r="D48" s="19" t="n">
        <v>998</v>
      </c>
      <c r="E48" s="18" t="n">
        <v>41.79985288</v>
      </c>
      <c r="F48" s="20" t="n">
        <v>2.2906098</v>
      </c>
      <c r="G48" s="18" t="n">
        <v>56.71226308</v>
      </c>
      <c r="H48" s="20" t="n">
        <v>2.35048344</v>
      </c>
      <c r="I48" s="18" t="n">
        <v>0</v>
      </c>
      <c r="J48" s="20" t="n">
        <v>0</v>
      </c>
      <c r="K48" s="18" t="n">
        <v>1.1719013</v>
      </c>
      <c r="L48" s="20" t="n">
        <v>0.48945611</v>
      </c>
      <c r="M48" s="18" t="n">
        <v>0</v>
      </c>
      <c r="N48" s="20" t="n">
        <v>0</v>
      </c>
      <c r="O48" s="18" t="n">
        <v>0</v>
      </c>
      <c r="P48" s="20" t="n">
        <v>0</v>
      </c>
      <c r="Q48" s="18" t="n">
        <v>0.31598274</v>
      </c>
      <c r="R48" s="20" t="n">
        <v>0.22321705</v>
      </c>
    </row>
    <row r="49" spans="1:18">
      <c r="A49" s="15" t="s">
        <v>608</v>
      </c>
      <c r="B49" s="17" t="n">
        <v>6158</v>
      </c>
      <c r="C49" s="18">
        <f>(4816.0/B49*100)</f>
        <v/>
      </c>
      <c r="D49" s="19" t="n">
        <v>1342</v>
      </c>
      <c r="E49" s="18" t="n">
        <v>68.34835988</v>
      </c>
      <c r="F49" s="20" t="n">
        <v>1.66080232</v>
      </c>
      <c r="G49" s="18" t="n">
        <v>28.6428607</v>
      </c>
      <c r="H49" s="20" t="n">
        <v>1.65905511</v>
      </c>
      <c r="I49" s="18" t="n">
        <v>0</v>
      </c>
      <c r="J49" s="20" t="n">
        <v>0</v>
      </c>
      <c r="K49" s="18" t="n">
        <v>2.02603456</v>
      </c>
      <c r="L49" s="20" t="n">
        <v>0.48475124</v>
      </c>
      <c r="M49" s="18" t="n">
        <v>0</v>
      </c>
      <c r="N49" s="20" t="n">
        <v>0</v>
      </c>
      <c r="O49" s="18" t="n">
        <v>0</v>
      </c>
      <c r="P49" s="20" t="n">
        <v>0</v>
      </c>
      <c r="Q49" s="18" t="n">
        <v>0.98274485</v>
      </c>
      <c r="R49" s="20" t="n">
        <v>0.32785896</v>
      </c>
    </row>
    <row r="50" spans="1:18">
      <c r="A50" s="15" t="s">
        <v>609</v>
      </c>
      <c r="B50" s="17" t="n">
        <v>3494</v>
      </c>
      <c r="C50" s="18">
        <f>(2818.0/B50*100)</f>
        <v/>
      </c>
      <c r="D50" s="19" t="n">
        <v>676</v>
      </c>
      <c r="E50" s="18" t="n">
        <v>60.113844</v>
      </c>
      <c r="F50" s="20" t="n">
        <v>2.21843111</v>
      </c>
      <c r="G50" s="18" t="n">
        <v>37.17689277</v>
      </c>
      <c r="H50" s="20" t="n">
        <v>2.35293173</v>
      </c>
      <c r="I50" s="18" t="n">
        <v>0</v>
      </c>
      <c r="J50" s="20" t="n">
        <v>0</v>
      </c>
      <c r="K50" s="18" t="n">
        <v>1.36451527</v>
      </c>
      <c r="L50" s="20" t="n">
        <v>0.60150863</v>
      </c>
      <c r="M50" s="18" t="n">
        <v>0</v>
      </c>
      <c r="N50" s="20" t="n">
        <v>0</v>
      </c>
      <c r="O50" s="18" t="n">
        <v>0</v>
      </c>
      <c r="P50" s="20" t="n">
        <v>0</v>
      </c>
      <c r="Q50" s="18" t="n">
        <v>1.34474796</v>
      </c>
      <c r="R50" s="20" t="n">
        <v>0.49531346</v>
      </c>
    </row>
    <row r="51" spans="1:18">
      <c r="A51" s="15" t="s">
        <v>610</v>
      </c>
      <c r="B51" s="17" t="n">
        <v>3013</v>
      </c>
      <c r="C51" s="18">
        <f>(2369.0/B51*100)</f>
        <v/>
      </c>
      <c r="D51" s="19" t="n">
        <v>644</v>
      </c>
      <c r="E51" s="18" t="n">
        <v>82.67311737999999</v>
      </c>
      <c r="F51" s="20" t="n">
        <v>1.39683526</v>
      </c>
      <c r="G51" s="18" t="n">
        <v>16.1659301</v>
      </c>
      <c r="H51" s="20" t="n">
        <v>1.34374792</v>
      </c>
      <c r="I51" s="18" t="n">
        <v>0</v>
      </c>
      <c r="J51" s="20" t="n">
        <v>0</v>
      </c>
      <c r="K51" s="18" t="n">
        <v>0</v>
      </c>
      <c r="L51" s="20" t="n">
        <v>0</v>
      </c>
      <c r="M51" s="18" t="n">
        <v>0</v>
      </c>
      <c r="N51" s="20" t="n">
        <v>0</v>
      </c>
      <c r="O51" s="18" t="n">
        <v>0</v>
      </c>
      <c r="P51" s="20" t="n">
        <v>0</v>
      </c>
      <c r="Q51" s="18" t="n">
        <v>1.16095252</v>
      </c>
      <c r="R51" s="20" t="n">
        <v>0.43474368</v>
      </c>
    </row>
    <row r="52" spans="1:18">
      <c r="A52" s="15" t="s">
        <v>611</v>
      </c>
      <c r="B52" s="17" t="n">
        <v>2760</v>
      </c>
      <c r="C52" s="18">
        <f>(2165.0/B52*100)</f>
        <v/>
      </c>
      <c r="D52" s="19" t="n">
        <v>595</v>
      </c>
      <c r="E52" s="18" t="n">
        <v>74.95213115</v>
      </c>
      <c r="F52" s="20" t="n">
        <v>1.97240059</v>
      </c>
      <c r="G52" s="18" t="n">
        <v>23.47260832</v>
      </c>
      <c r="H52" s="20" t="n">
        <v>1.97817801</v>
      </c>
      <c r="I52" s="18" t="n">
        <v>0</v>
      </c>
      <c r="J52" s="20" t="n">
        <v>0</v>
      </c>
      <c r="K52" s="18" t="n">
        <v>0.2243306</v>
      </c>
      <c r="L52" s="20" t="n">
        <v>0.22420707</v>
      </c>
      <c r="M52" s="18" t="n">
        <v>0</v>
      </c>
      <c r="N52" s="20" t="n">
        <v>0</v>
      </c>
      <c r="O52" s="18" t="n">
        <v>0</v>
      </c>
      <c r="P52" s="20" t="n">
        <v>0</v>
      </c>
      <c r="Q52" s="18" t="n">
        <v>1.35092993</v>
      </c>
      <c r="R52" s="20" t="n">
        <v>0.46186219</v>
      </c>
    </row>
    <row r="53" spans="1:18">
      <c r="A53" s="15" t="s">
        <v>612</v>
      </c>
      <c r="B53" s="17" t="n">
        <v>2474</v>
      </c>
      <c r="C53" s="18">
        <f>(1888.0/B53*100)</f>
        <v/>
      </c>
      <c r="D53" s="19" t="n">
        <v>586</v>
      </c>
      <c r="E53" s="18" t="n">
        <v>68.72272595</v>
      </c>
      <c r="F53" s="20" t="n">
        <v>2.02209794</v>
      </c>
      <c r="G53" s="18" t="n">
        <v>16.43999752</v>
      </c>
      <c r="H53" s="20" t="n">
        <v>1.68769819</v>
      </c>
      <c r="I53" s="18" t="n">
        <v>0</v>
      </c>
      <c r="J53" s="20" t="n">
        <v>0</v>
      </c>
      <c r="K53" s="18" t="n">
        <v>12.06440478</v>
      </c>
      <c r="L53" s="20" t="n">
        <v>1.54057089</v>
      </c>
      <c r="M53" s="18" t="n">
        <v>0</v>
      </c>
      <c r="N53" s="20" t="n">
        <v>0</v>
      </c>
      <c r="O53" s="18" t="n">
        <v>0</v>
      </c>
      <c r="P53" s="20" t="n">
        <v>0</v>
      </c>
      <c r="Q53" s="18" t="n">
        <v>2.77287175</v>
      </c>
      <c r="R53" s="20" t="n">
        <v>0.87960673</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(2069.0/B55*100)</f>
        <v/>
      </c>
      <c r="D55" s="19" t="n">
        <v>606</v>
      </c>
      <c r="E55" s="18" t="n">
        <v>41.00743893</v>
      </c>
      <c r="F55" s="20" t="n">
        <v>2.29656531</v>
      </c>
      <c r="G55" s="18" t="n">
        <v>58.8613568</v>
      </c>
      <c r="H55" s="20" t="n">
        <v>2.3076067</v>
      </c>
      <c r="I55" s="18" t="n">
        <v>0</v>
      </c>
      <c r="J55" s="20" t="n">
        <v>0</v>
      </c>
      <c r="K55" s="18" t="n">
        <v>0</v>
      </c>
      <c r="L55" s="20" t="n">
        <v>0</v>
      </c>
      <c r="M55" s="18" t="n">
        <v>0</v>
      </c>
      <c r="N55" s="20" t="n">
        <v>0</v>
      </c>
      <c r="O55" s="18" t="n">
        <v>0</v>
      </c>
      <c r="P55" s="20" t="n">
        <v>0</v>
      </c>
      <c r="Q55" s="18" t="n">
        <v>0.13120427</v>
      </c>
      <c r="R55" s="20" t="n">
        <v>0.13232446</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(2490.0/B61*100)</f>
        <v/>
      </c>
      <c r="D61" s="19" t="n">
        <v>711</v>
      </c>
      <c r="E61" s="18" t="n">
        <v>52.94592351</v>
      </c>
      <c r="F61" s="20" t="n">
        <v>1.77883036</v>
      </c>
      <c r="G61" s="18" t="n">
        <v>46.35750162</v>
      </c>
      <c r="H61" s="20" t="n">
        <v>1.71062582</v>
      </c>
      <c r="I61" s="18" t="n">
        <v>0</v>
      </c>
      <c r="J61" s="20" t="n">
        <v>0</v>
      </c>
      <c r="K61" s="18" t="n">
        <v>0.6656153</v>
      </c>
      <c r="L61" s="20" t="n">
        <v>0.44288846</v>
      </c>
      <c r="M61" s="18" t="n">
        <v>0</v>
      </c>
      <c r="N61" s="20" t="n">
        <v>0</v>
      </c>
      <c r="O61" s="18" t="n">
        <v>0</v>
      </c>
      <c r="P61" s="20" t="n">
        <v>0</v>
      </c>
      <c r="Q61" s="18" t="n">
        <v>0.03095957</v>
      </c>
      <c r="R61" s="20" t="n">
        <v>0.03127933</v>
      </c>
    </row>
    <row r="62" spans="1:18">
      <c r="A62" s="15" t="s">
        <v>622</v>
      </c>
      <c r="B62" s="17" t="n">
        <v>2230</v>
      </c>
      <c r="C62" s="18">
        <f>(1746.0/B62*100)</f>
        <v/>
      </c>
      <c r="D62" s="19" t="n">
        <v>484</v>
      </c>
      <c r="E62" s="18" t="n">
        <v>46.71121752</v>
      </c>
      <c r="F62" s="20" t="n">
        <v>2.43500235</v>
      </c>
      <c r="G62" s="18" t="n">
        <v>53.28878248</v>
      </c>
      <c r="H62" s="20" t="n">
        <v>2.43500235</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(2157.0/B67*100)</f>
        <v/>
      </c>
      <c r="D67" s="19" t="n">
        <v>614</v>
      </c>
      <c r="E67" s="18" t="n">
        <v>86.37593053000001</v>
      </c>
      <c r="F67" s="20" t="n">
        <v>1.43255599</v>
      </c>
      <c r="G67" s="18" t="n">
        <v>10.27944055</v>
      </c>
      <c r="H67" s="20" t="n">
        <v>1.26184825</v>
      </c>
      <c r="I67" s="18" t="n">
        <v>0</v>
      </c>
      <c r="J67" s="20" t="n">
        <v>0</v>
      </c>
      <c r="K67" s="18" t="n">
        <v>0.44737405</v>
      </c>
      <c r="L67" s="20" t="n">
        <v>0.26252554</v>
      </c>
      <c r="M67" s="18" t="n">
        <v>0</v>
      </c>
      <c r="N67" s="20" t="n">
        <v>0</v>
      </c>
      <c r="O67" s="18" t="n">
        <v>0</v>
      </c>
      <c r="P67" s="20" t="n">
        <v>0</v>
      </c>
      <c r="Q67" s="18" t="n">
        <v>2.89725487</v>
      </c>
      <c r="R67" s="20" t="n">
        <v>0.68040062</v>
      </c>
    </row>
    <row r="68" spans="1:18">
      <c r="A68" s="15" t="s">
        <v>628</v>
      </c>
      <c r="B68" s="17" t="n">
        <v>3460</v>
      </c>
      <c r="C68" s="18">
        <f>(2805.0/B68*100)</f>
        <v/>
      </c>
      <c r="D68" s="19" t="n">
        <v>655</v>
      </c>
      <c r="E68" s="18" t="n">
        <v>65.64149147000001</v>
      </c>
      <c r="F68" s="20" t="n">
        <v>1.89378546</v>
      </c>
      <c r="G68" s="18" t="n">
        <v>32.14039238</v>
      </c>
      <c r="H68" s="20" t="n">
        <v>2.02534087</v>
      </c>
      <c r="I68" s="18" t="n">
        <v>0</v>
      </c>
      <c r="J68" s="20" t="n">
        <v>0</v>
      </c>
      <c r="K68" s="18" t="n">
        <v>0.26891951</v>
      </c>
      <c r="L68" s="20" t="n">
        <v>0.19338209</v>
      </c>
      <c r="M68" s="18" t="n">
        <v>0</v>
      </c>
      <c r="N68" s="20" t="n">
        <v>0</v>
      </c>
      <c r="O68" s="18" t="n">
        <v>0</v>
      </c>
      <c r="P68" s="20" t="n">
        <v>0</v>
      </c>
      <c r="Q68" s="18" t="n">
        <v>1.94919664</v>
      </c>
      <c r="R68" s="20" t="n">
        <v>0.54075244</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(4687.0/B70*100)</f>
        <v/>
      </c>
      <c r="D70" s="19" t="n">
        <v>1347</v>
      </c>
      <c r="E70" s="18" t="n">
        <v>72.11710984</v>
      </c>
      <c r="F70" s="20" t="n">
        <v>1.36932291</v>
      </c>
      <c r="G70" s="18" t="n">
        <v>25.2241907</v>
      </c>
      <c r="H70" s="20" t="n">
        <v>1.27718396</v>
      </c>
      <c r="I70" s="18" t="n">
        <v>0</v>
      </c>
      <c r="J70" s="20" t="n">
        <v>0</v>
      </c>
      <c r="K70" s="18" t="n">
        <v>1.46216129</v>
      </c>
      <c r="L70" s="20" t="n">
        <v>0.34485636</v>
      </c>
      <c r="M70" s="18" t="n">
        <v>0</v>
      </c>
      <c r="N70" s="20" t="n">
        <v>0</v>
      </c>
      <c r="O70" s="18" t="n">
        <v>0</v>
      </c>
      <c r="P70" s="20" t="n">
        <v>0</v>
      </c>
      <c r="Q70" s="18" t="n">
        <v>1.19653817</v>
      </c>
      <c r="R70" s="20" t="n">
        <v>0.29551438</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(2432.0/B72*100)</f>
        <v/>
      </c>
      <c r="D72" s="19" t="n">
        <v>675</v>
      </c>
      <c r="E72" s="18" t="n">
        <v>63.37550535</v>
      </c>
      <c r="F72" s="20" t="n">
        <v>2.24615321</v>
      </c>
      <c r="G72" s="18" t="n">
        <v>35.60371135</v>
      </c>
      <c r="H72" s="20" t="n">
        <v>2.30391664</v>
      </c>
      <c r="I72" s="18" t="n">
        <v>0</v>
      </c>
      <c r="J72" s="20" t="n">
        <v>0</v>
      </c>
      <c r="K72" s="18" t="n">
        <v>0.47354018</v>
      </c>
      <c r="L72" s="20" t="n">
        <v>0.20761094</v>
      </c>
      <c r="M72" s="18" t="n">
        <v>0</v>
      </c>
      <c r="N72" s="20" t="n">
        <v>0</v>
      </c>
      <c r="O72" s="18" t="n">
        <v>0</v>
      </c>
      <c r="P72" s="20" t="n">
        <v>0</v>
      </c>
      <c r="Q72" s="18" t="n">
        <v>0.54724312</v>
      </c>
      <c r="R72" s="20" t="n">
        <v>0.2634809</v>
      </c>
    </row>
    <row r="73" spans="1:18">
      <c r="A73" s="15" t="s">
        <v>633</v>
      </c>
      <c r="B73" s="17" t="n">
        <v>2973</v>
      </c>
      <c r="C73" s="18">
        <f>(2328.0/B73*100)</f>
        <v/>
      </c>
      <c r="D73" s="19" t="n">
        <v>645</v>
      </c>
      <c r="E73" s="18" t="n">
        <v>43.54584205</v>
      </c>
      <c r="F73" s="20" t="n">
        <v>2.1535802</v>
      </c>
      <c r="G73" s="18" t="n">
        <v>56.25460096</v>
      </c>
      <c r="H73" s="20" t="n">
        <v>2.16716287</v>
      </c>
      <c r="I73" s="18" t="n">
        <v>0</v>
      </c>
      <c r="J73" s="20" t="n">
        <v>0</v>
      </c>
      <c r="K73" s="18" t="n">
        <v>0</v>
      </c>
      <c r="L73" s="20" t="n">
        <v>0</v>
      </c>
      <c r="M73" s="18" t="n">
        <v>0</v>
      </c>
      <c r="N73" s="20" t="n">
        <v>0</v>
      </c>
      <c r="O73" s="18" t="n">
        <v>0</v>
      </c>
      <c r="P73" s="20" t="n">
        <v>0</v>
      </c>
      <c r="Q73" s="18" t="n">
        <v>0.199557</v>
      </c>
      <c r="R73" s="20" t="n">
        <v>0.20116832</v>
      </c>
    </row>
    <row r="74" spans="1:18">
      <c r="A74" s="15" t="s">
        <v>634</v>
      </c>
      <c r="B74" s="17" t="n">
        <v>3819</v>
      </c>
      <c r="C74" s="18">
        <f>(3013.0/B74*100)</f>
        <v/>
      </c>
      <c r="D74" s="19" t="n">
        <v>806</v>
      </c>
      <c r="E74" s="18" t="n">
        <v>31.80740431</v>
      </c>
      <c r="F74" s="20" t="n">
        <v>1.83494856</v>
      </c>
      <c r="G74" s="18" t="n">
        <v>67.7467731</v>
      </c>
      <c r="H74" s="20" t="n">
        <v>1.77697368</v>
      </c>
      <c r="I74" s="18" t="n">
        <v>0</v>
      </c>
      <c r="J74" s="20" t="n">
        <v>0</v>
      </c>
      <c r="K74" s="18" t="n">
        <v>0.19101494</v>
      </c>
      <c r="L74" s="20" t="n">
        <v>0.27024971</v>
      </c>
      <c r="M74" s="18" t="n">
        <v>0</v>
      </c>
      <c r="N74" s="20" t="n">
        <v>0</v>
      </c>
      <c r="O74" s="18" t="n">
        <v>0</v>
      </c>
      <c r="P74" s="20" t="n">
        <v>0</v>
      </c>
      <c r="Q74" s="18" t="n">
        <v>0.25480766</v>
      </c>
      <c r="R74" s="20" t="n">
        <v>0.18210956</v>
      </c>
    </row>
    <row r="75" spans="1:18">
      <c r="A75" s="15" t="s">
        <v>635</v>
      </c>
      <c r="B75" s="17" t="n">
        <v>4652</v>
      </c>
      <c r="C75" s="18">
        <f>(3650.0/B75*100)</f>
        <v/>
      </c>
      <c r="D75" s="19" t="n">
        <v>1002</v>
      </c>
      <c r="E75" s="18" t="n">
        <v>78.53602001</v>
      </c>
      <c r="F75" s="20" t="n">
        <v>1.5223996</v>
      </c>
      <c r="G75" s="18" t="n">
        <v>20.97787727</v>
      </c>
      <c r="H75" s="20" t="n">
        <v>1.51083704</v>
      </c>
      <c r="I75" s="18" t="n">
        <v>0</v>
      </c>
      <c r="J75" s="20" t="n">
        <v>0</v>
      </c>
      <c r="K75" s="18" t="n">
        <v>0.14378933</v>
      </c>
      <c r="L75" s="20" t="n">
        <v>0.14345507</v>
      </c>
      <c r="M75" s="18" t="n">
        <v>0</v>
      </c>
      <c r="N75" s="20" t="n">
        <v>0</v>
      </c>
      <c r="O75" s="18" t="n">
        <v>0</v>
      </c>
      <c r="P75" s="20" t="n">
        <v>0</v>
      </c>
      <c r="Q75" s="18" t="n">
        <v>0.34231339</v>
      </c>
      <c r="R75" s="20" t="n">
        <v>0.21214185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(2371.0/B77*100)</f>
        <v/>
      </c>
      <c r="D77" s="19" t="n">
        <v>598</v>
      </c>
      <c r="E77" s="18" t="n">
        <v>81.78039067</v>
      </c>
      <c r="F77" s="20" t="n">
        <v>1.54571067</v>
      </c>
      <c r="G77" s="18" t="n">
        <v>13.458843</v>
      </c>
      <c r="H77" s="20" t="n">
        <v>1.50262073</v>
      </c>
      <c r="I77" s="18" t="n">
        <v>0</v>
      </c>
      <c r="J77" s="20" t="n">
        <v>0</v>
      </c>
      <c r="K77" s="18" t="n">
        <v>2.84400573</v>
      </c>
      <c r="L77" s="20" t="n">
        <v>0.70845391</v>
      </c>
      <c r="M77" s="18" t="n">
        <v>0</v>
      </c>
      <c r="N77" s="20" t="n">
        <v>0</v>
      </c>
      <c r="O77" s="18" t="n">
        <v>0</v>
      </c>
      <c r="P77" s="20" t="n">
        <v>0</v>
      </c>
      <c r="Q77" s="18" t="n">
        <v>1.91676059</v>
      </c>
      <c r="R77" s="20" t="n">
        <v>0.63388417</v>
      </c>
    </row>
    <row r="78" spans="1:18">
      <c r="A78" s="15" t="s">
        <v>638</v>
      </c>
      <c r="B78" s="17" t="n">
        <v>7115</v>
      </c>
      <c r="C78" s="18">
        <f>(5535.0/B78*100)</f>
        <v/>
      </c>
      <c r="D78" s="19" t="n">
        <v>1580</v>
      </c>
      <c r="E78" s="18" t="n">
        <v>70.35006869</v>
      </c>
      <c r="F78" s="20" t="n">
        <v>1.36909835</v>
      </c>
      <c r="G78" s="18" t="n">
        <v>28.00867991</v>
      </c>
      <c r="H78" s="20" t="n">
        <v>1.3664135</v>
      </c>
      <c r="I78" s="18" t="n">
        <v>0</v>
      </c>
      <c r="J78" s="20" t="n">
        <v>0</v>
      </c>
      <c r="K78" s="18" t="n">
        <v>0.80361432</v>
      </c>
      <c r="L78" s="20" t="n">
        <v>0.19111897</v>
      </c>
      <c r="M78" s="18" t="n">
        <v>0</v>
      </c>
      <c r="N78" s="20" t="n">
        <v>0</v>
      </c>
      <c r="O78" s="18" t="n">
        <v>0</v>
      </c>
      <c r="P78" s="20" t="n">
        <v>0</v>
      </c>
      <c r="Q78" s="18" t="n">
        <v>0.83763708</v>
      </c>
      <c r="R78" s="20" t="n">
        <v>0.29025153</v>
      </c>
    </row>
    <row r="79" spans="1:18">
      <c r="A79" s="15" t="s">
        <v>639</v>
      </c>
      <c r="B79" s="17" t="n">
        <v>3154</v>
      </c>
      <c r="C79" s="18">
        <f>(2452.0/B79*100)</f>
        <v/>
      </c>
      <c r="D79" s="19" t="n">
        <v>702</v>
      </c>
      <c r="E79" s="18" t="n">
        <v>64.66054539</v>
      </c>
      <c r="F79" s="20" t="n">
        <v>1.90154313</v>
      </c>
      <c r="G79" s="18" t="n">
        <v>31.55036399</v>
      </c>
      <c r="H79" s="20" t="n">
        <v>1.69299647</v>
      </c>
      <c r="I79" s="18" t="n">
        <v>0</v>
      </c>
      <c r="J79" s="20" t="n">
        <v>0</v>
      </c>
      <c r="K79" s="18" t="n">
        <v>0.63138472</v>
      </c>
      <c r="L79" s="20" t="n">
        <v>0.31501743</v>
      </c>
      <c r="M79" s="18" t="n">
        <v>0</v>
      </c>
      <c r="N79" s="20" t="n">
        <v>0</v>
      </c>
      <c r="O79" s="18" t="n">
        <v>0</v>
      </c>
      <c r="P79" s="20" t="n">
        <v>0</v>
      </c>
      <c r="Q79" s="18" t="n">
        <v>3.1577059</v>
      </c>
      <c r="R79" s="20" t="n">
        <v>0.69965897</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(12428.0/B82*100)</f>
        <v/>
      </c>
      <c r="D82" s="19" t="n">
        <v>3533</v>
      </c>
      <c r="E82" s="18" t="n">
        <v>51.80793721</v>
      </c>
      <c r="F82" s="20" t="n">
        <v>1.42736678</v>
      </c>
      <c r="G82" s="18" t="n">
        <v>47.16063424</v>
      </c>
      <c r="H82" s="20" t="n">
        <v>1.4090404</v>
      </c>
      <c r="I82" s="18" t="n">
        <v>0</v>
      </c>
      <c r="J82" s="20" t="n">
        <v>0</v>
      </c>
      <c r="K82" s="18" t="n">
        <v>0.25536602</v>
      </c>
      <c r="L82" s="20" t="n">
        <v>0.10816401</v>
      </c>
      <c r="M82" s="18" t="n">
        <v>0</v>
      </c>
      <c r="N82" s="20" t="n">
        <v>0</v>
      </c>
      <c r="O82" s="18" t="n">
        <v>0</v>
      </c>
      <c r="P82" s="20" t="n">
        <v>0</v>
      </c>
      <c r="Q82" s="18" t="n">
        <v>0.77606253</v>
      </c>
      <c r="R82" s="20" t="n">
        <v>0.24657982</v>
      </c>
    </row>
    <row r="83" spans="1:18">
      <c r="A83" s="15" t="s">
        <v>643</v>
      </c>
      <c r="B83" s="17" t="n">
        <v>808</v>
      </c>
      <c r="C83" s="18">
        <f>(619.0/B83*100)</f>
        <v/>
      </c>
      <c r="D83" s="19" t="n">
        <v>189</v>
      </c>
      <c r="E83" s="18" t="n">
        <v>64.71037969</v>
      </c>
      <c r="F83" s="20" t="n">
        <v>4.48940943</v>
      </c>
      <c r="G83" s="18" t="n">
        <v>33.87029067</v>
      </c>
      <c r="H83" s="20" t="n">
        <v>4.72188883</v>
      </c>
      <c r="I83" s="18" t="n">
        <v>0</v>
      </c>
      <c r="J83" s="20" t="n">
        <v>0</v>
      </c>
      <c r="K83" s="18" t="n">
        <v>0</v>
      </c>
      <c r="L83" s="20" t="n">
        <v>0</v>
      </c>
      <c r="M83" s="18" t="n">
        <v>0</v>
      </c>
      <c r="N83" s="20" t="n">
        <v>0</v>
      </c>
      <c r="O83" s="18" t="n">
        <v>0</v>
      </c>
      <c r="P83" s="20" t="n">
        <v>0</v>
      </c>
      <c r="Q83" s="18" t="n">
        <v>1.41932964</v>
      </c>
      <c r="R83" s="20" t="n">
        <v>1.05191912</v>
      </c>
    </row>
    <row r="84" spans="1:18">
      <c r="A84" s="23" t="s">
        <v>644</v>
      </c>
      <c r="B84" s="24" t="n">
        <v>938</v>
      </c>
      <c r="C84" s="25">
        <f>(716.0/B84*100)</f>
        <v/>
      </c>
      <c r="D84" s="19" t="n">
        <v>222</v>
      </c>
      <c r="E84" s="18" t="n">
        <v>66.83432688000001</v>
      </c>
      <c r="F84" s="20" t="n">
        <v>3.68173006</v>
      </c>
      <c r="G84" s="18" t="n">
        <v>32.62684728</v>
      </c>
      <c r="H84" s="20" t="n">
        <v>3.62153537</v>
      </c>
      <c r="I84" s="18" t="n">
        <v>0</v>
      </c>
      <c r="J84" s="20" t="n">
        <v>0</v>
      </c>
      <c r="K84" s="18" t="n">
        <v>0</v>
      </c>
      <c r="L84" s="20" t="n">
        <v>0</v>
      </c>
      <c r="M84" s="18" t="n">
        <v>0</v>
      </c>
      <c r="N84" s="20" t="n">
        <v>0</v>
      </c>
      <c r="O84" s="18" t="n">
        <v>0</v>
      </c>
      <c r="P84" s="20" t="n">
        <v>0</v>
      </c>
      <c r="Q84" s="18" t="n">
        <v>0.53882583</v>
      </c>
      <c r="R84" s="20" t="n">
        <v>0.51259572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(5651.0/B7*100)</f>
        <v/>
      </c>
      <c r="D7" s="19" t="n">
        <v>1512</v>
      </c>
      <c r="E7" s="18" t="n">
        <v>54.19019544</v>
      </c>
      <c r="F7" s="20" t="n">
        <v>1.8220771</v>
      </c>
      <c r="G7" s="18" t="n">
        <v>39.79906815</v>
      </c>
      <c r="H7" s="20" t="n">
        <v>1.58643518</v>
      </c>
      <c r="I7" s="18" t="n">
        <v>0</v>
      </c>
      <c r="J7" s="20" t="n">
        <v>0</v>
      </c>
      <c r="K7" s="18" t="n">
        <v>0.57289333</v>
      </c>
      <c r="L7" s="20" t="n">
        <v>0.23846555</v>
      </c>
      <c r="M7" s="18" t="n">
        <v>0.10417915</v>
      </c>
      <c r="N7" s="20" t="n">
        <v>0.09746876</v>
      </c>
      <c r="O7" s="18" t="n">
        <v>0</v>
      </c>
      <c r="P7" s="20" t="n">
        <v>0</v>
      </c>
      <c r="Q7" s="18" t="n">
        <v>5.33366393</v>
      </c>
      <c r="R7" s="20" t="n">
        <v>0.69950706</v>
      </c>
    </row>
    <row r="8" spans="1:18">
      <c r="A8" s="15" t="s">
        <v>566</v>
      </c>
      <c r="B8" s="17" t="n">
        <v>3443</v>
      </c>
      <c r="C8" s="18">
        <f>(2673.0/B8*100)</f>
        <v/>
      </c>
      <c r="D8" s="19" t="n">
        <v>770</v>
      </c>
      <c r="E8" s="18" t="n">
        <v>56.11002354</v>
      </c>
      <c r="F8" s="20" t="n">
        <v>1.72897883</v>
      </c>
      <c r="G8" s="18" t="n">
        <v>25.79752269</v>
      </c>
      <c r="H8" s="20" t="n">
        <v>1.79492604</v>
      </c>
      <c r="I8" s="18" t="n">
        <v>0</v>
      </c>
      <c r="J8" s="20" t="n">
        <v>0</v>
      </c>
      <c r="K8" s="18" t="n">
        <v>0.1169765</v>
      </c>
      <c r="L8" s="20" t="n">
        <v>0.11631556</v>
      </c>
      <c r="M8" s="18" t="n">
        <v>0</v>
      </c>
      <c r="N8" s="20" t="n">
        <v>0</v>
      </c>
      <c r="O8" s="18" t="n">
        <v>0</v>
      </c>
      <c r="P8" s="20" t="n">
        <v>0</v>
      </c>
      <c r="Q8" s="18" t="n">
        <v>17.97547728</v>
      </c>
      <c r="R8" s="20" t="n">
        <v>1.83891155</v>
      </c>
    </row>
    <row r="9" spans="1:18">
      <c r="A9" s="15" t="s">
        <v>567</v>
      </c>
      <c r="B9" s="17" t="n">
        <v>4752</v>
      </c>
      <c r="C9" s="18">
        <f>(3737.0/B9*100)</f>
        <v/>
      </c>
      <c r="D9" s="19" t="n">
        <v>1015</v>
      </c>
      <c r="E9" s="18" t="n">
        <v>61.83772168</v>
      </c>
      <c r="F9" s="20" t="n">
        <v>1.57655906</v>
      </c>
      <c r="G9" s="18" t="n">
        <v>23.68160521</v>
      </c>
      <c r="H9" s="20" t="n">
        <v>1.25778152</v>
      </c>
      <c r="I9" s="18" t="n">
        <v>0</v>
      </c>
      <c r="J9" s="20" t="n">
        <v>0</v>
      </c>
      <c r="K9" s="18" t="n">
        <v>0.40937261</v>
      </c>
      <c r="L9" s="20" t="n">
        <v>0.21226232</v>
      </c>
      <c r="M9" s="18" t="n">
        <v>0.37424854</v>
      </c>
      <c r="N9" s="20" t="n">
        <v>0.22236508</v>
      </c>
      <c r="O9" s="18" t="n">
        <v>0</v>
      </c>
      <c r="P9" s="20" t="n">
        <v>0</v>
      </c>
      <c r="Q9" s="18" t="n">
        <v>13.69705196</v>
      </c>
      <c r="R9" s="20" t="n">
        <v>1.21852504</v>
      </c>
    </row>
    <row r="10" spans="1:18">
      <c r="A10" s="15" t="s">
        <v>568</v>
      </c>
      <c r="B10" s="17" t="n">
        <v>10022</v>
      </c>
      <c r="C10" s="18">
        <f>(7832.0/B10*100)</f>
        <v/>
      </c>
      <c r="D10" s="19" t="n">
        <v>2190</v>
      </c>
      <c r="E10" s="18" t="n">
        <v>56.57921275</v>
      </c>
      <c r="F10" s="20" t="n">
        <v>1.44873824</v>
      </c>
      <c r="G10" s="18" t="n">
        <v>38.85232211</v>
      </c>
      <c r="H10" s="20" t="n">
        <v>1.37678862</v>
      </c>
      <c r="I10" s="18" t="n">
        <v>0</v>
      </c>
      <c r="J10" s="20" t="n">
        <v>0</v>
      </c>
      <c r="K10" s="18" t="n">
        <v>0.5343304</v>
      </c>
      <c r="L10" s="20" t="n">
        <v>0.24325043</v>
      </c>
      <c r="M10" s="18" t="n">
        <v>0</v>
      </c>
      <c r="N10" s="20" t="n">
        <v>0</v>
      </c>
      <c r="O10" s="18" t="n">
        <v>0</v>
      </c>
      <c r="P10" s="20" t="n">
        <v>0</v>
      </c>
      <c r="Q10" s="18" t="n">
        <v>4.03413475</v>
      </c>
      <c r="R10" s="20" t="n">
        <v>0.48451416</v>
      </c>
    </row>
    <row r="11" spans="1:18">
      <c r="A11" s="15" t="s">
        <v>569</v>
      </c>
      <c r="B11" s="17" t="n">
        <v>3500</v>
      </c>
      <c r="C11" s="18">
        <f>(2733.0/B11*100)</f>
        <v/>
      </c>
      <c r="D11" s="19" t="n">
        <v>767</v>
      </c>
      <c r="E11" s="18" t="n">
        <v>61.22296012</v>
      </c>
      <c r="F11" s="20" t="n">
        <v>2.01100731</v>
      </c>
      <c r="G11" s="18" t="n">
        <v>18.44656537</v>
      </c>
      <c r="H11" s="20" t="n">
        <v>1.84420685</v>
      </c>
      <c r="I11" s="18" t="n">
        <v>0</v>
      </c>
      <c r="J11" s="20" t="n">
        <v>0</v>
      </c>
      <c r="K11" s="18" t="n">
        <v>0.91602498</v>
      </c>
      <c r="L11" s="20" t="n">
        <v>0.4510282</v>
      </c>
      <c r="M11" s="18" t="n">
        <v>0.05713116</v>
      </c>
      <c r="N11" s="20" t="n">
        <v>0.06274415999999999</v>
      </c>
      <c r="O11" s="18" t="n">
        <v>0</v>
      </c>
      <c r="P11" s="20" t="n">
        <v>0</v>
      </c>
      <c r="Q11" s="18" t="n">
        <v>19.35731837</v>
      </c>
      <c r="R11" s="20" t="n">
        <v>1.58863178</v>
      </c>
    </row>
    <row r="12" spans="1:18">
      <c r="A12" s="15" t="s">
        <v>570</v>
      </c>
      <c r="B12" s="17" t="n">
        <v>3422</v>
      </c>
      <c r="C12" s="18">
        <f>(2709.0/B12*100)</f>
        <v/>
      </c>
      <c r="D12" s="19" t="n">
        <v>713</v>
      </c>
      <c r="E12" s="18" t="n">
        <v>58.25996914</v>
      </c>
      <c r="F12" s="20" t="n">
        <v>2.0059542</v>
      </c>
      <c r="G12" s="18" t="n">
        <v>23.10835218</v>
      </c>
      <c r="H12" s="20" t="n">
        <v>1.6504975</v>
      </c>
      <c r="I12" s="18" t="n">
        <v>0</v>
      </c>
      <c r="J12" s="20" t="n">
        <v>0</v>
      </c>
      <c r="K12" s="18" t="n">
        <v>0.20228776</v>
      </c>
      <c r="L12" s="20" t="n">
        <v>0.13987903</v>
      </c>
      <c r="M12" s="18" t="n">
        <v>0.05187368</v>
      </c>
      <c r="N12" s="20" t="n">
        <v>0.0517603</v>
      </c>
      <c r="O12" s="18" t="n">
        <v>0</v>
      </c>
      <c r="P12" s="20" t="n">
        <v>0</v>
      </c>
      <c r="Q12" s="18" t="n">
        <v>18.37751724</v>
      </c>
      <c r="R12" s="20" t="n">
        <v>1.72660178</v>
      </c>
    </row>
    <row r="13" spans="1:18">
      <c r="A13" s="15" t="s">
        <v>571</v>
      </c>
      <c r="B13" s="17" t="n">
        <v>3602</v>
      </c>
      <c r="C13" s="18">
        <f>(2916.0/B13*100)</f>
        <v/>
      </c>
      <c r="D13" s="19" t="n">
        <v>686</v>
      </c>
      <c r="E13" s="18" t="n">
        <v>64.42845563</v>
      </c>
      <c r="F13" s="20" t="n">
        <v>2.12121811</v>
      </c>
      <c r="G13" s="18" t="n">
        <v>24.86061244</v>
      </c>
      <c r="H13" s="20" t="n">
        <v>2.10332159</v>
      </c>
      <c r="I13" s="18" t="n">
        <v>0</v>
      </c>
      <c r="J13" s="20" t="n">
        <v>0</v>
      </c>
      <c r="K13" s="18" t="n">
        <v>0.43831436</v>
      </c>
      <c r="L13" s="20" t="n">
        <v>0.27235099</v>
      </c>
      <c r="M13" s="18" t="n">
        <v>0</v>
      </c>
      <c r="N13" s="20" t="n">
        <v>0</v>
      </c>
      <c r="O13" s="18" t="n">
        <v>0</v>
      </c>
      <c r="P13" s="20" t="n">
        <v>0</v>
      </c>
      <c r="Q13" s="18" t="n">
        <v>10.27261758</v>
      </c>
      <c r="R13" s="20" t="n">
        <v>1.40225331</v>
      </c>
    </row>
    <row r="14" spans="1:18">
      <c r="A14" s="15" t="s">
        <v>572</v>
      </c>
      <c r="B14" s="17" t="n">
        <v>2788</v>
      </c>
      <c r="C14" s="18">
        <f>(2159.0/B14*100)</f>
        <v/>
      </c>
      <c r="D14" s="19" t="n">
        <v>629</v>
      </c>
      <c r="E14" s="18" t="n">
        <v>63.48344588</v>
      </c>
      <c r="F14" s="20" t="n">
        <v>1.97562336</v>
      </c>
      <c r="G14" s="18" t="n">
        <v>28.85887366</v>
      </c>
      <c r="H14" s="20" t="n">
        <v>1.86815122</v>
      </c>
      <c r="I14" s="18" t="n">
        <v>0</v>
      </c>
      <c r="J14" s="20" t="n">
        <v>0</v>
      </c>
      <c r="K14" s="18" t="n">
        <v>0.30789781</v>
      </c>
      <c r="L14" s="20" t="n">
        <v>0.22004774</v>
      </c>
      <c r="M14" s="18" t="n">
        <v>0</v>
      </c>
      <c r="N14" s="20" t="n">
        <v>0</v>
      </c>
      <c r="O14" s="18" t="n">
        <v>0</v>
      </c>
      <c r="P14" s="20" t="n">
        <v>0</v>
      </c>
      <c r="Q14" s="18" t="n">
        <v>7.34978265</v>
      </c>
      <c r="R14" s="20" t="n">
        <v>1.0423942</v>
      </c>
    </row>
    <row r="15" spans="1:18">
      <c r="A15" s="15" t="s">
        <v>573</v>
      </c>
      <c r="B15" s="17" t="n">
        <v>2863</v>
      </c>
      <c r="C15" s="18">
        <f>(2231.0/B15*100)</f>
        <v/>
      </c>
      <c r="D15" s="19" t="n">
        <v>632</v>
      </c>
      <c r="E15" s="18" t="n">
        <v>49.40038719</v>
      </c>
      <c r="F15" s="20" t="n">
        <v>1.81154499</v>
      </c>
      <c r="G15" s="18" t="n">
        <v>45.23257189</v>
      </c>
      <c r="H15" s="20" t="n">
        <v>1.9927343</v>
      </c>
      <c r="I15" s="18" t="n">
        <v>0</v>
      </c>
      <c r="J15" s="20" t="n">
        <v>0</v>
      </c>
      <c r="K15" s="18" t="n">
        <v>0</v>
      </c>
      <c r="L15" s="20" t="n">
        <v>0</v>
      </c>
      <c r="M15" s="18" t="n">
        <v>0</v>
      </c>
      <c r="N15" s="20" t="n">
        <v>0</v>
      </c>
      <c r="O15" s="18" t="n">
        <v>0</v>
      </c>
      <c r="P15" s="20" t="n">
        <v>0</v>
      </c>
      <c r="Q15" s="18" t="n">
        <v>5.36704092</v>
      </c>
      <c r="R15" s="20" t="n">
        <v>0.84782951</v>
      </c>
    </row>
    <row r="16" spans="1:18">
      <c r="A16" s="15" t="s">
        <v>574</v>
      </c>
      <c r="B16" s="17" t="n">
        <v>3111</v>
      </c>
      <c r="C16" s="18">
        <f>(2443.0/B16*100)</f>
        <v/>
      </c>
      <c r="D16" s="19" t="n">
        <v>668</v>
      </c>
      <c r="E16" s="18" t="n">
        <v>54.28850311</v>
      </c>
      <c r="F16" s="20" t="n">
        <v>2.29257842</v>
      </c>
      <c r="G16" s="18" t="n">
        <v>22.80972623</v>
      </c>
      <c r="H16" s="20" t="n">
        <v>1.7802272</v>
      </c>
      <c r="I16" s="18" t="n">
        <v>0</v>
      </c>
      <c r="J16" s="20" t="n">
        <v>0</v>
      </c>
      <c r="K16" s="18" t="n">
        <v>1.58848524</v>
      </c>
      <c r="L16" s="20" t="n">
        <v>0.47837777</v>
      </c>
      <c r="M16" s="18" t="n">
        <v>0</v>
      </c>
      <c r="N16" s="20" t="n">
        <v>0</v>
      </c>
      <c r="O16" s="18" t="n">
        <v>0</v>
      </c>
      <c r="P16" s="20" t="n">
        <v>0</v>
      </c>
      <c r="Q16" s="18" t="n">
        <v>21.31328541</v>
      </c>
      <c r="R16" s="20" t="n">
        <v>1.8141196</v>
      </c>
    </row>
    <row r="17" spans="1:18">
      <c r="A17" s="15" t="s">
        <v>575</v>
      </c>
      <c r="B17" s="17" t="n">
        <v>3197</v>
      </c>
      <c r="C17" s="18">
        <f>(2554.0/B17*100)</f>
        <v/>
      </c>
      <c r="D17" s="19" t="n">
        <v>643</v>
      </c>
      <c r="E17" s="18" t="n">
        <v>59.89799732</v>
      </c>
      <c r="F17" s="20" t="n">
        <v>2.24340831</v>
      </c>
      <c r="G17" s="18" t="n">
        <v>24.38933196</v>
      </c>
      <c r="H17" s="20" t="n">
        <v>1.60358764</v>
      </c>
      <c r="I17" s="18" t="n">
        <v>0</v>
      </c>
      <c r="J17" s="20" t="n">
        <v>0</v>
      </c>
      <c r="K17" s="18" t="n">
        <v>0.32478119</v>
      </c>
      <c r="L17" s="20" t="n">
        <v>0.23048651</v>
      </c>
      <c r="M17" s="18" t="n">
        <v>0</v>
      </c>
      <c r="N17" s="20" t="n">
        <v>0</v>
      </c>
      <c r="O17" s="18" t="n">
        <v>0</v>
      </c>
      <c r="P17" s="20" t="n">
        <v>0</v>
      </c>
      <c r="Q17" s="18" t="n">
        <v>15.38788953</v>
      </c>
      <c r="R17" s="20" t="n">
        <v>1.6212593</v>
      </c>
    </row>
    <row r="18" spans="1:18">
      <c r="A18" s="15" t="s">
        <v>576</v>
      </c>
      <c r="B18" s="17" t="n">
        <v>2706</v>
      </c>
      <c r="C18" s="18">
        <f>(2113.0/B18*100)</f>
        <v/>
      </c>
      <c r="D18" s="19" t="n">
        <v>593</v>
      </c>
      <c r="E18" s="18" t="n">
        <v>58.81954812</v>
      </c>
      <c r="F18" s="20" t="n">
        <v>1.91109641</v>
      </c>
      <c r="G18" s="18" t="n">
        <v>26.04629652</v>
      </c>
      <c r="H18" s="20" t="n">
        <v>1.6565362</v>
      </c>
      <c r="I18" s="18" t="n">
        <v>0</v>
      </c>
      <c r="J18" s="20" t="n">
        <v>0</v>
      </c>
      <c r="K18" s="18" t="n">
        <v>0.68880481</v>
      </c>
      <c r="L18" s="20" t="n">
        <v>0.3435782</v>
      </c>
      <c r="M18" s="18" t="n">
        <v>0</v>
      </c>
      <c r="N18" s="20" t="n">
        <v>0</v>
      </c>
      <c r="O18" s="18" t="n">
        <v>0</v>
      </c>
      <c r="P18" s="20" t="n">
        <v>0</v>
      </c>
      <c r="Q18" s="18" t="n">
        <v>14.44535055</v>
      </c>
      <c r="R18" s="20" t="n">
        <v>1.66678747</v>
      </c>
    </row>
    <row r="19" spans="1:18">
      <c r="A19" s="15" t="s">
        <v>577</v>
      </c>
      <c r="B19" s="17" t="n">
        <v>2850</v>
      </c>
      <c r="C19" s="18">
        <f>(2202.0/B19*100)</f>
        <v/>
      </c>
      <c r="D19" s="19" t="n">
        <v>648</v>
      </c>
      <c r="E19" s="18" t="n">
        <v>60.14938606</v>
      </c>
      <c r="F19" s="20" t="n">
        <v>2.17164806</v>
      </c>
      <c r="G19" s="18" t="n">
        <v>18.11432955</v>
      </c>
      <c r="H19" s="20" t="n">
        <v>1.56595341</v>
      </c>
      <c r="I19" s="18" t="n">
        <v>0</v>
      </c>
      <c r="J19" s="20" t="n">
        <v>0</v>
      </c>
      <c r="K19" s="18" t="n">
        <v>0.1425817</v>
      </c>
      <c r="L19" s="20" t="n">
        <v>0.12134628</v>
      </c>
      <c r="M19" s="18" t="n">
        <v>0</v>
      </c>
      <c r="N19" s="20" t="n">
        <v>0</v>
      </c>
      <c r="O19" s="18" t="n">
        <v>0</v>
      </c>
      <c r="P19" s="20" t="n">
        <v>0</v>
      </c>
      <c r="Q19" s="18" t="n">
        <v>21.59370268</v>
      </c>
      <c r="R19" s="20" t="n">
        <v>2.01692668</v>
      </c>
    </row>
    <row r="20" spans="1:18">
      <c r="A20" s="15" t="s">
        <v>578</v>
      </c>
      <c r="B20" s="17" t="n">
        <v>1741</v>
      </c>
      <c r="C20" s="18">
        <f>(1374.0/B20*100)</f>
        <v/>
      </c>
      <c r="D20" s="19" t="n">
        <v>367</v>
      </c>
      <c r="E20" s="18" t="n">
        <v>65.03020282999999</v>
      </c>
      <c r="F20" s="20" t="n">
        <v>2.21581269</v>
      </c>
      <c r="G20" s="18" t="n">
        <v>24.64004475</v>
      </c>
      <c r="H20" s="20" t="n">
        <v>2.22484082</v>
      </c>
      <c r="I20" s="18" t="n">
        <v>0</v>
      </c>
      <c r="J20" s="20" t="n">
        <v>0</v>
      </c>
      <c r="K20" s="18" t="n">
        <v>0.2598712</v>
      </c>
      <c r="L20" s="20" t="n">
        <v>0.24858642</v>
      </c>
      <c r="M20" s="18" t="n">
        <v>0.4198196</v>
      </c>
      <c r="N20" s="20" t="n">
        <v>0.40488142</v>
      </c>
      <c r="O20" s="18" t="n">
        <v>0</v>
      </c>
      <c r="P20" s="20" t="n">
        <v>0</v>
      </c>
      <c r="Q20" s="18" t="n">
        <v>9.650061620000001</v>
      </c>
      <c r="R20" s="20" t="n">
        <v>1.5746984</v>
      </c>
    </row>
    <row r="21" spans="1:18">
      <c r="A21" s="15" t="s">
        <v>579</v>
      </c>
      <c r="B21" s="17" t="n">
        <v>2833</v>
      </c>
      <c r="C21" s="18">
        <f>(2237.0/B21*100)</f>
        <v/>
      </c>
      <c r="D21" s="19" t="n">
        <v>596</v>
      </c>
      <c r="E21" s="18" t="n">
        <v>54.54336223</v>
      </c>
      <c r="F21" s="20" t="n">
        <v>2.06676092</v>
      </c>
      <c r="G21" s="18" t="n">
        <v>42.03292185</v>
      </c>
      <c r="H21" s="20" t="n">
        <v>2.20479693</v>
      </c>
      <c r="I21" s="18" t="n">
        <v>0</v>
      </c>
      <c r="J21" s="20" t="n">
        <v>0</v>
      </c>
      <c r="K21" s="18" t="n">
        <v>0.36779188</v>
      </c>
      <c r="L21" s="20" t="n">
        <v>0.25503448</v>
      </c>
      <c r="M21" s="18" t="n">
        <v>0</v>
      </c>
      <c r="N21" s="20" t="n">
        <v>0</v>
      </c>
      <c r="O21" s="18" t="n">
        <v>0</v>
      </c>
      <c r="P21" s="20" t="n">
        <v>0</v>
      </c>
      <c r="Q21" s="18" t="n">
        <v>3.05592404</v>
      </c>
      <c r="R21" s="20" t="n">
        <v>0.75590323</v>
      </c>
    </row>
    <row r="22" spans="1:18">
      <c r="A22" s="15" t="s">
        <v>580</v>
      </c>
      <c r="B22" s="17" t="n">
        <v>3667</v>
      </c>
      <c r="C22" s="18">
        <f>(2889.0/B22*100)</f>
        <v/>
      </c>
      <c r="D22" s="19" t="n">
        <v>778</v>
      </c>
      <c r="E22" s="18" t="n">
        <v>63.4599002</v>
      </c>
      <c r="F22" s="20" t="n">
        <v>1.90179962</v>
      </c>
      <c r="G22" s="18" t="n">
        <v>19.33262795</v>
      </c>
      <c r="H22" s="20" t="n">
        <v>1.66653337</v>
      </c>
      <c r="I22" s="18" t="n">
        <v>0</v>
      </c>
      <c r="J22" s="20" t="n">
        <v>0</v>
      </c>
      <c r="K22" s="18" t="n">
        <v>1.21692113</v>
      </c>
      <c r="L22" s="20" t="n">
        <v>0.41994016</v>
      </c>
      <c r="M22" s="18" t="n">
        <v>0</v>
      </c>
      <c r="N22" s="20" t="n">
        <v>0</v>
      </c>
      <c r="O22" s="18" t="n">
        <v>0</v>
      </c>
      <c r="P22" s="20" t="n">
        <v>0</v>
      </c>
      <c r="Q22" s="18" t="n">
        <v>15.99055072</v>
      </c>
      <c r="R22" s="20" t="n">
        <v>1.44486787</v>
      </c>
    </row>
    <row r="23" spans="1:18">
      <c r="A23" s="15" t="s">
        <v>581</v>
      </c>
      <c r="B23" s="17" t="n">
        <v>5792</v>
      </c>
      <c r="C23" s="18">
        <f>(4496.0/B23*100)</f>
        <v/>
      </c>
      <c r="D23" s="19" t="n">
        <v>1296</v>
      </c>
      <c r="E23" s="18" t="n">
        <v>60.44062879</v>
      </c>
      <c r="F23" s="20" t="n">
        <v>1.82155052</v>
      </c>
      <c r="G23" s="18" t="n">
        <v>19.52389154</v>
      </c>
      <c r="H23" s="20" t="n">
        <v>1.55002118</v>
      </c>
      <c r="I23" s="18" t="n">
        <v>0</v>
      </c>
      <c r="J23" s="20" t="n">
        <v>0</v>
      </c>
      <c r="K23" s="18" t="n">
        <v>0.39472269</v>
      </c>
      <c r="L23" s="20" t="n">
        <v>0.33381306</v>
      </c>
      <c r="M23" s="18" t="n">
        <v>0</v>
      </c>
      <c r="N23" s="20" t="n">
        <v>0</v>
      </c>
      <c r="O23" s="18" t="n">
        <v>0</v>
      </c>
      <c r="P23" s="20" t="n">
        <v>0</v>
      </c>
      <c r="Q23" s="18" t="n">
        <v>19.64075699</v>
      </c>
      <c r="R23" s="20" t="n">
        <v>1.70321673</v>
      </c>
    </row>
    <row r="24" spans="1:18">
      <c r="A24" s="15" t="s">
        <v>582</v>
      </c>
      <c r="B24" s="17" t="n">
        <v>3309</v>
      </c>
      <c r="C24" s="18">
        <f>(2609.0/B24*100)</f>
        <v/>
      </c>
      <c r="D24" s="19" t="n">
        <v>700</v>
      </c>
      <c r="E24" s="18" t="n">
        <v>54.12797983</v>
      </c>
      <c r="F24" s="20" t="n">
        <v>1.5758372</v>
      </c>
      <c r="G24" s="18" t="n">
        <v>32.57595015</v>
      </c>
      <c r="H24" s="20" t="n">
        <v>1.62978136</v>
      </c>
      <c r="I24" s="18" t="n">
        <v>0</v>
      </c>
      <c r="J24" s="20" t="n">
        <v>0</v>
      </c>
      <c r="K24" s="18" t="n">
        <v>0.27802499</v>
      </c>
      <c r="L24" s="20" t="n">
        <v>0.19738838</v>
      </c>
      <c r="M24" s="18" t="n">
        <v>0</v>
      </c>
      <c r="N24" s="20" t="n">
        <v>0</v>
      </c>
      <c r="O24" s="18" t="n">
        <v>0</v>
      </c>
      <c r="P24" s="20" t="n">
        <v>0</v>
      </c>
      <c r="Q24" s="18" t="n">
        <v>13.01804504</v>
      </c>
      <c r="R24" s="20" t="n">
        <v>1.32430726</v>
      </c>
    </row>
    <row r="25" spans="1:18">
      <c r="A25" s="15" t="s">
        <v>583</v>
      </c>
      <c r="B25" s="17" t="n">
        <v>2669</v>
      </c>
      <c r="C25" s="18">
        <f>(2091.0/B25*100)</f>
        <v/>
      </c>
      <c r="D25" s="19" t="n">
        <v>578</v>
      </c>
      <c r="E25" s="18" t="n">
        <v>69.92035108</v>
      </c>
      <c r="F25" s="20" t="n">
        <v>2.06257045</v>
      </c>
      <c r="G25" s="18" t="n">
        <v>22.4019203</v>
      </c>
      <c r="H25" s="20" t="n">
        <v>1.82400159</v>
      </c>
      <c r="I25" s="18" t="n">
        <v>0</v>
      </c>
      <c r="J25" s="20" t="n">
        <v>0</v>
      </c>
      <c r="K25" s="18" t="n">
        <v>0</v>
      </c>
      <c r="L25" s="20" t="n">
        <v>0</v>
      </c>
      <c r="M25" s="18" t="n">
        <v>0</v>
      </c>
      <c r="N25" s="20" t="n">
        <v>0</v>
      </c>
      <c r="O25" s="18" t="n">
        <v>0</v>
      </c>
      <c r="P25" s="20" t="n">
        <v>0</v>
      </c>
      <c r="Q25" s="18" t="n">
        <v>7.67772862</v>
      </c>
      <c r="R25" s="20" t="n">
        <v>1.04009463</v>
      </c>
    </row>
    <row r="26" spans="1:18">
      <c r="A26" s="15" t="s">
        <v>584</v>
      </c>
      <c r="B26" s="17" t="n">
        <v>2419</v>
      </c>
      <c r="C26" s="18">
        <f>(1861.0/B26*100)</f>
        <v/>
      </c>
      <c r="D26" s="19" t="n">
        <v>558</v>
      </c>
      <c r="E26" s="18" t="n">
        <v>74.28948893</v>
      </c>
      <c r="F26" s="20" t="n">
        <v>2.19656615</v>
      </c>
      <c r="G26" s="18" t="n">
        <v>18.07242358</v>
      </c>
      <c r="H26" s="20" t="n">
        <v>1.87282717</v>
      </c>
      <c r="I26" s="18" t="n">
        <v>0</v>
      </c>
      <c r="J26" s="20" t="n">
        <v>0</v>
      </c>
      <c r="K26" s="18" t="n">
        <v>0</v>
      </c>
      <c r="L26" s="20" t="n">
        <v>0</v>
      </c>
      <c r="M26" s="18" t="n">
        <v>0</v>
      </c>
      <c r="N26" s="20" t="n">
        <v>0</v>
      </c>
      <c r="O26" s="18" t="n">
        <v>0</v>
      </c>
      <c r="P26" s="20" t="n">
        <v>0</v>
      </c>
      <c r="Q26" s="18" t="n">
        <v>7.63808749</v>
      </c>
      <c r="R26" s="20" t="n">
        <v>1.16526568</v>
      </c>
    </row>
    <row r="27" spans="1:18">
      <c r="A27" s="15" t="s">
        <v>585</v>
      </c>
      <c r="B27" s="17" t="n">
        <v>2683</v>
      </c>
      <c r="C27" s="18">
        <f>(2137.0/B27*100)</f>
        <v/>
      </c>
      <c r="D27" s="19" t="n">
        <v>546</v>
      </c>
      <c r="E27" s="18" t="n">
        <v>61.4265205</v>
      </c>
      <c r="F27" s="20" t="n">
        <v>2.00729194</v>
      </c>
      <c r="G27" s="18" t="n">
        <v>22.93685096</v>
      </c>
      <c r="H27" s="20" t="n">
        <v>1.99152357</v>
      </c>
      <c r="I27" s="18" t="n">
        <v>0</v>
      </c>
      <c r="J27" s="20" t="n">
        <v>0</v>
      </c>
      <c r="K27" s="18" t="n">
        <v>0.3564504</v>
      </c>
      <c r="L27" s="20" t="n">
        <v>0.25249434</v>
      </c>
      <c r="M27" s="18" t="n">
        <v>0</v>
      </c>
      <c r="N27" s="20" t="n">
        <v>0</v>
      </c>
      <c r="O27" s="18" t="n">
        <v>0</v>
      </c>
      <c r="P27" s="20" t="n">
        <v>0</v>
      </c>
      <c r="Q27" s="18" t="n">
        <v>15.28017813</v>
      </c>
      <c r="R27" s="20" t="n">
        <v>1.48936279</v>
      </c>
    </row>
    <row r="28" spans="1:18">
      <c r="A28" s="15" t="s">
        <v>586</v>
      </c>
      <c r="B28" s="17" t="n">
        <v>3803</v>
      </c>
      <c r="C28" s="18">
        <f>(3011.0/B28*100)</f>
        <v/>
      </c>
      <c r="D28" s="19" t="n">
        <v>792</v>
      </c>
      <c r="E28" s="18" t="n">
        <v>76.30720559</v>
      </c>
      <c r="F28" s="20" t="n">
        <v>1.65295383</v>
      </c>
      <c r="G28" s="18" t="n">
        <v>17.36186892</v>
      </c>
      <c r="H28" s="20" t="n">
        <v>1.66750266</v>
      </c>
      <c r="I28" s="18" t="n">
        <v>0</v>
      </c>
      <c r="J28" s="20" t="n">
        <v>0</v>
      </c>
      <c r="K28" s="18" t="n">
        <v>1.31814651</v>
      </c>
      <c r="L28" s="20" t="n">
        <v>0.5032697900000001</v>
      </c>
      <c r="M28" s="18" t="n">
        <v>0</v>
      </c>
      <c r="N28" s="20" t="n">
        <v>0</v>
      </c>
      <c r="O28" s="18" t="n">
        <v>0</v>
      </c>
      <c r="P28" s="20" t="n">
        <v>0</v>
      </c>
      <c r="Q28" s="18" t="n">
        <v>5.01277898</v>
      </c>
      <c r="R28" s="20" t="n">
        <v>1.05250959</v>
      </c>
    </row>
    <row r="29" spans="1:18">
      <c r="A29" s="15" t="s">
        <v>587</v>
      </c>
      <c r="B29" s="17" t="n">
        <v>2700</v>
      </c>
      <c r="C29" s="18">
        <f>(2113.0/B29*100)</f>
        <v/>
      </c>
      <c r="D29" s="19" t="n">
        <v>587</v>
      </c>
      <c r="E29" s="18" t="n">
        <v>70.85524540999999</v>
      </c>
      <c r="F29" s="20" t="n">
        <v>2.00569214</v>
      </c>
      <c r="G29" s="18" t="n">
        <v>24.78927732</v>
      </c>
      <c r="H29" s="20" t="n">
        <v>1.92795846</v>
      </c>
      <c r="I29" s="18" t="n">
        <v>0</v>
      </c>
      <c r="J29" s="20" t="n">
        <v>0</v>
      </c>
      <c r="K29" s="18" t="n">
        <v>0.62162954</v>
      </c>
      <c r="L29" s="20" t="n">
        <v>0.34165928</v>
      </c>
      <c r="M29" s="18" t="n">
        <v>0</v>
      </c>
      <c r="N29" s="20" t="n">
        <v>0</v>
      </c>
      <c r="O29" s="18" t="n">
        <v>0</v>
      </c>
      <c r="P29" s="20" t="n">
        <v>0</v>
      </c>
      <c r="Q29" s="18" t="n">
        <v>3.73384773</v>
      </c>
      <c r="R29" s="20" t="n">
        <v>0.74485516</v>
      </c>
    </row>
    <row r="30" spans="1:18">
      <c r="A30" s="15" t="s">
        <v>588</v>
      </c>
      <c r="B30" s="17" t="n">
        <v>2257</v>
      </c>
      <c r="C30" s="18">
        <f>(1786.0/B30*100)</f>
        <v/>
      </c>
      <c r="D30" s="19" t="n">
        <v>471</v>
      </c>
      <c r="E30" s="18" t="n">
        <v>58.10016434</v>
      </c>
      <c r="F30" s="20" t="n">
        <v>2.39676977</v>
      </c>
      <c r="G30" s="18" t="n">
        <v>31.35535442</v>
      </c>
      <c r="H30" s="20" t="n">
        <v>2.27151752</v>
      </c>
      <c r="I30" s="18" t="n">
        <v>0</v>
      </c>
      <c r="J30" s="20" t="n">
        <v>0</v>
      </c>
      <c r="K30" s="18" t="n">
        <v>0.4184824</v>
      </c>
      <c r="L30" s="20" t="n">
        <v>0.27897187</v>
      </c>
      <c r="M30" s="18" t="n">
        <v>0.34665165</v>
      </c>
      <c r="N30" s="20" t="n">
        <v>0.2457746</v>
      </c>
      <c r="O30" s="18" t="n">
        <v>0</v>
      </c>
      <c r="P30" s="20" t="n">
        <v>0</v>
      </c>
      <c r="Q30" s="18" t="n">
        <v>9.779347189999999</v>
      </c>
      <c r="R30" s="20" t="n">
        <v>1.58275412</v>
      </c>
    </row>
    <row r="31" spans="1:18">
      <c r="A31" s="15" t="s">
        <v>589</v>
      </c>
      <c r="B31" s="17" t="n">
        <v>2706</v>
      </c>
      <c r="C31" s="18">
        <f>(2120.0/B31*100)</f>
        <v/>
      </c>
      <c r="D31" s="19" t="n">
        <v>586</v>
      </c>
      <c r="E31" s="18" t="n">
        <v>58.06694183</v>
      </c>
      <c r="F31" s="20" t="n">
        <v>2.3539568</v>
      </c>
      <c r="G31" s="18" t="n">
        <v>30.11649984</v>
      </c>
      <c r="H31" s="20" t="n">
        <v>2.06346249</v>
      </c>
      <c r="I31" s="18" t="n">
        <v>0</v>
      </c>
      <c r="J31" s="20" t="n">
        <v>0</v>
      </c>
      <c r="K31" s="18" t="n">
        <v>0.99133444</v>
      </c>
      <c r="L31" s="20" t="n">
        <v>0.32444233</v>
      </c>
      <c r="M31" s="18" t="n">
        <v>0.31800272</v>
      </c>
      <c r="N31" s="20" t="n">
        <v>0.23038783</v>
      </c>
      <c r="O31" s="18" t="n">
        <v>0</v>
      </c>
      <c r="P31" s="20" t="n">
        <v>0</v>
      </c>
      <c r="Q31" s="18" t="n">
        <v>10.50722117</v>
      </c>
      <c r="R31" s="20" t="n">
        <v>1.19500635</v>
      </c>
    </row>
    <row r="32" spans="1:18">
      <c r="A32" s="15" t="s">
        <v>590</v>
      </c>
      <c r="B32" s="17" t="n">
        <v>2209</v>
      </c>
      <c r="C32" s="18">
        <f>(1735.0/B32*100)</f>
        <v/>
      </c>
      <c r="D32" s="19" t="n">
        <v>474</v>
      </c>
      <c r="E32" s="18" t="n">
        <v>68.33018267</v>
      </c>
      <c r="F32" s="20" t="n">
        <v>1.93067615</v>
      </c>
      <c r="G32" s="18" t="n">
        <v>17.68565601</v>
      </c>
      <c r="H32" s="20" t="n">
        <v>1.52143243</v>
      </c>
      <c r="I32" s="18" t="n">
        <v>0</v>
      </c>
      <c r="J32" s="20" t="n">
        <v>0</v>
      </c>
      <c r="K32" s="18" t="n">
        <v>0</v>
      </c>
      <c r="L32" s="20" t="n">
        <v>0</v>
      </c>
      <c r="M32" s="18" t="n">
        <v>0</v>
      </c>
      <c r="N32" s="20" t="n">
        <v>0</v>
      </c>
      <c r="O32" s="18" t="n">
        <v>0</v>
      </c>
      <c r="P32" s="20" t="n">
        <v>0</v>
      </c>
      <c r="Q32" s="18" t="n">
        <v>13.98416132</v>
      </c>
      <c r="R32" s="20" t="n">
        <v>1.50136694</v>
      </c>
    </row>
    <row r="33" spans="1:18">
      <c r="A33" s="15" t="s">
        <v>591</v>
      </c>
      <c r="B33" s="17" t="n">
        <v>3651</v>
      </c>
      <c r="C33" s="18">
        <f>(2872.0/B33*100)</f>
        <v/>
      </c>
      <c r="D33" s="19" t="n">
        <v>779</v>
      </c>
      <c r="E33" s="18" t="n">
        <v>55.68149713</v>
      </c>
      <c r="F33" s="20" t="n">
        <v>2.33017147</v>
      </c>
      <c r="G33" s="18" t="n">
        <v>29.94411162</v>
      </c>
      <c r="H33" s="20" t="n">
        <v>1.78272882</v>
      </c>
      <c r="I33" s="18" t="n">
        <v>0</v>
      </c>
      <c r="J33" s="20" t="n">
        <v>0</v>
      </c>
      <c r="K33" s="18" t="n">
        <v>0.0272196</v>
      </c>
      <c r="L33" s="20" t="n">
        <v>0.02817</v>
      </c>
      <c r="M33" s="18" t="n">
        <v>0.0481036</v>
      </c>
      <c r="N33" s="20" t="n">
        <v>0.0599656</v>
      </c>
      <c r="O33" s="18" t="n">
        <v>0</v>
      </c>
      <c r="P33" s="20" t="n">
        <v>0</v>
      </c>
      <c r="Q33" s="18" t="n">
        <v>14.29906806</v>
      </c>
      <c r="R33" s="20" t="n">
        <v>1.49228617</v>
      </c>
    </row>
    <row r="34" spans="1:18">
      <c r="A34" s="15" t="s">
        <v>592</v>
      </c>
      <c r="B34" s="17" t="n">
        <v>3035</v>
      </c>
      <c r="C34" s="18">
        <f>(2412.0/B34*100)</f>
        <v/>
      </c>
      <c r="D34" s="19" t="n">
        <v>623</v>
      </c>
      <c r="E34" s="18" t="n">
        <v>66.98799268</v>
      </c>
      <c r="F34" s="20" t="n">
        <v>1.84257489</v>
      </c>
      <c r="G34" s="18" t="n">
        <v>14.06335987</v>
      </c>
      <c r="H34" s="20" t="n">
        <v>1.35018218</v>
      </c>
      <c r="I34" s="18" t="n">
        <v>0</v>
      </c>
      <c r="J34" s="20" t="n">
        <v>0</v>
      </c>
      <c r="K34" s="18" t="n">
        <v>0.36949785</v>
      </c>
      <c r="L34" s="20" t="n">
        <v>0.27015456</v>
      </c>
      <c r="M34" s="18" t="n">
        <v>0.46735837</v>
      </c>
      <c r="N34" s="20" t="n">
        <v>0.34745051</v>
      </c>
      <c r="O34" s="18" t="n">
        <v>0</v>
      </c>
      <c r="P34" s="20" t="n">
        <v>0</v>
      </c>
      <c r="Q34" s="18" t="n">
        <v>18.11179124</v>
      </c>
      <c r="R34" s="20" t="n">
        <v>1.72745705</v>
      </c>
    </row>
    <row r="35" spans="1:18">
      <c r="A35" s="15" t="s">
        <v>593</v>
      </c>
      <c r="B35" s="17" t="n">
        <v>2901</v>
      </c>
      <c r="C35" s="18">
        <f>(2264.0/B35*100)</f>
        <v/>
      </c>
      <c r="D35" s="19" t="n">
        <v>637</v>
      </c>
      <c r="E35" s="18" t="n">
        <v>59.28481335</v>
      </c>
      <c r="F35" s="20" t="n">
        <v>2.59606354</v>
      </c>
      <c r="G35" s="18" t="n">
        <v>31.34787316</v>
      </c>
      <c r="H35" s="20" t="n">
        <v>2.49509212</v>
      </c>
      <c r="I35" s="18" t="n">
        <v>0</v>
      </c>
      <c r="J35" s="20" t="n">
        <v>0</v>
      </c>
      <c r="K35" s="18" t="n">
        <v>0.06849421</v>
      </c>
      <c r="L35" s="20" t="n">
        <v>0.06896855</v>
      </c>
      <c r="M35" s="18" t="n">
        <v>0</v>
      </c>
      <c r="N35" s="20" t="n">
        <v>0</v>
      </c>
      <c r="O35" s="18" t="n">
        <v>0</v>
      </c>
      <c r="P35" s="20" t="n">
        <v>0</v>
      </c>
      <c r="Q35" s="18" t="n">
        <v>9.29881928</v>
      </c>
      <c r="R35" s="20" t="n">
        <v>1.34640406</v>
      </c>
    </row>
    <row r="36" spans="1:18">
      <c r="A36" s="15" t="s">
        <v>594</v>
      </c>
      <c r="B36" s="17" t="n">
        <v>3404</v>
      </c>
      <c r="C36" s="18">
        <f>(2654.0/B36*100)</f>
        <v/>
      </c>
      <c r="D36" s="19" t="n">
        <v>750</v>
      </c>
      <c r="E36" s="18" t="n">
        <v>53.08349979</v>
      </c>
      <c r="F36" s="20" t="n">
        <v>1.87535744</v>
      </c>
      <c r="G36" s="18" t="n">
        <v>40.46463437</v>
      </c>
      <c r="H36" s="20" t="n">
        <v>1.90532555</v>
      </c>
      <c r="I36" s="18" t="n">
        <v>0</v>
      </c>
      <c r="J36" s="20" t="n">
        <v>0</v>
      </c>
      <c r="K36" s="18" t="n">
        <v>0.16621648</v>
      </c>
      <c r="L36" s="20" t="n">
        <v>0.17361593</v>
      </c>
      <c r="M36" s="18" t="n">
        <v>0.12717336</v>
      </c>
      <c r="N36" s="20" t="n">
        <v>0.12695553</v>
      </c>
      <c r="O36" s="18" t="n">
        <v>0</v>
      </c>
      <c r="P36" s="20" t="n">
        <v>0</v>
      </c>
      <c r="Q36" s="18" t="n">
        <v>6.15847601</v>
      </c>
      <c r="R36" s="20" t="n">
        <v>1.04171583</v>
      </c>
    </row>
    <row r="37" spans="1:18">
      <c r="A37" s="15" t="s">
        <v>595</v>
      </c>
      <c r="B37" s="17" t="n">
        <v>2731</v>
      </c>
      <c r="C37" s="18">
        <f>(2174.0/B37*100)</f>
        <v/>
      </c>
      <c r="D37" s="19" t="n">
        <v>557</v>
      </c>
      <c r="E37" s="18" t="n">
        <v>47.86959192</v>
      </c>
      <c r="F37" s="20" t="n">
        <v>2.28872984</v>
      </c>
      <c r="G37" s="18" t="n">
        <v>38.53033919</v>
      </c>
      <c r="H37" s="20" t="n">
        <v>2.19375863</v>
      </c>
      <c r="I37" s="18" t="n">
        <v>0</v>
      </c>
      <c r="J37" s="20" t="n">
        <v>0</v>
      </c>
      <c r="K37" s="18" t="n">
        <v>1.3027997</v>
      </c>
      <c r="L37" s="20" t="n">
        <v>0.3974423</v>
      </c>
      <c r="M37" s="18" t="n">
        <v>0</v>
      </c>
      <c r="N37" s="20" t="n">
        <v>0</v>
      </c>
      <c r="O37" s="18" t="n">
        <v>0</v>
      </c>
      <c r="P37" s="20" t="n">
        <v>0</v>
      </c>
      <c r="Q37" s="18" t="n">
        <v>12.29726919</v>
      </c>
      <c r="R37" s="20" t="n">
        <v>1.21244217</v>
      </c>
    </row>
    <row r="38" spans="1:18">
      <c r="A38" s="15" t="s">
        <v>596</v>
      </c>
      <c r="B38" s="17" t="n">
        <v>2807</v>
      </c>
      <c r="C38" s="18">
        <f>(2187.0/B38*100)</f>
        <v/>
      </c>
      <c r="D38" s="19" t="n">
        <v>620</v>
      </c>
      <c r="E38" s="18" t="n">
        <v>53.78179064</v>
      </c>
      <c r="F38" s="20" t="n">
        <v>2.24037598</v>
      </c>
      <c r="G38" s="18" t="n">
        <v>29.91788722</v>
      </c>
      <c r="H38" s="20" t="n">
        <v>2.32997093</v>
      </c>
      <c r="I38" s="18" t="n">
        <v>0</v>
      </c>
      <c r="J38" s="20" t="n">
        <v>0</v>
      </c>
      <c r="K38" s="18" t="n">
        <v>0.61293643</v>
      </c>
      <c r="L38" s="20" t="n">
        <v>0.3510347</v>
      </c>
      <c r="M38" s="18" t="n">
        <v>1.37954646</v>
      </c>
      <c r="N38" s="20" t="n">
        <v>0.56397824</v>
      </c>
      <c r="O38" s="18" t="n">
        <v>0</v>
      </c>
      <c r="P38" s="20" t="n">
        <v>0</v>
      </c>
      <c r="Q38" s="18" t="n">
        <v>14.30783925</v>
      </c>
      <c r="R38" s="20" t="n">
        <v>1.62479325</v>
      </c>
    </row>
    <row r="39" spans="1:18">
      <c r="A39" s="15" t="s">
        <v>597</v>
      </c>
      <c r="B39" s="17" t="n">
        <v>2938</v>
      </c>
      <c r="C39" s="18">
        <f>(2279.0/B39*100)</f>
        <v/>
      </c>
      <c r="D39" s="19" t="n">
        <v>659</v>
      </c>
      <c r="E39" s="18" t="n">
        <v>75.87579036</v>
      </c>
      <c r="F39" s="20" t="n">
        <v>1.52067815</v>
      </c>
      <c r="G39" s="18" t="n">
        <v>9.62395132</v>
      </c>
      <c r="H39" s="20" t="n">
        <v>1.20721429</v>
      </c>
      <c r="I39" s="18" t="n">
        <v>0</v>
      </c>
      <c r="J39" s="20" t="n">
        <v>0</v>
      </c>
      <c r="K39" s="18" t="n">
        <v>0.14270234</v>
      </c>
      <c r="L39" s="20" t="n">
        <v>0.14338508</v>
      </c>
      <c r="M39" s="18" t="n">
        <v>0.23405378</v>
      </c>
      <c r="N39" s="20" t="n">
        <v>0.1626937</v>
      </c>
      <c r="O39" s="18" t="n">
        <v>0</v>
      </c>
      <c r="P39" s="20" t="n">
        <v>0</v>
      </c>
      <c r="Q39" s="18" t="n">
        <v>14.1235022</v>
      </c>
      <c r="R39" s="20" t="n">
        <v>1.51554568</v>
      </c>
    </row>
    <row r="40" spans="1:18">
      <c r="A40" s="15" t="s">
        <v>598</v>
      </c>
      <c r="B40" s="17" t="n">
        <v>6922</v>
      </c>
      <c r="C40" s="18">
        <f>(5396.0/B40*100)</f>
        <v/>
      </c>
      <c r="D40" s="19" t="n">
        <v>1526</v>
      </c>
      <c r="E40" s="18" t="n">
        <v>50.20575413</v>
      </c>
      <c r="F40" s="20" t="n">
        <v>2.11076279</v>
      </c>
      <c r="G40" s="18" t="n">
        <v>41.54274314</v>
      </c>
      <c r="H40" s="20" t="n">
        <v>2.12637369</v>
      </c>
      <c r="I40" s="18" t="n">
        <v>0</v>
      </c>
      <c r="J40" s="20" t="n">
        <v>0</v>
      </c>
      <c r="K40" s="18" t="n">
        <v>0.3140968</v>
      </c>
      <c r="L40" s="20" t="n">
        <v>0.22312848</v>
      </c>
      <c r="M40" s="18" t="n">
        <v>0</v>
      </c>
      <c r="N40" s="20" t="n">
        <v>0</v>
      </c>
      <c r="O40" s="18" t="n">
        <v>0</v>
      </c>
      <c r="P40" s="20" t="n">
        <v>0</v>
      </c>
      <c r="Q40" s="18" t="n">
        <v>7.93740593</v>
      </c>
      <c r="R40" s="20" t="n">
        <v>1.10312621</v>
      </c>
    </row>
    <row r="41" spans="1:18">
      <c r="A41" s="15" t="s">
        <v>599</v>
      </c>
      <c r="B41" s="17" t="n">
        <v>2854</v>
      </c>
      <c r="C41" s="18">
        <f>(2275.0/B41*100)</f>
        <v/>
      </c>
      <c r="D41" s="19" t="n">
        <v>579</v>
      </c>
      <c r="E41" s="18" t="n">
        <v>66.48350254</v>
      </c>
      <c r="F41" s="20" t="n">
        <v>2.2875153</v>
      </c>
      <c r="G41" s="18" t="n">
        <v>31.36555133</v>
      </c>
      <c r="H41" s="20" t="n">
        <v>2.3781256</v>
      </c>
      <c r="I41" s="18" t="n">
        <v>0</v>
      </c>
      <c r="J41" s="20" t="n">
        <v>0</v>
      </c>
      <c r="K41" s="18" t="n">
        <v>0.19583664</v>
      </c>
      <c r="L41" s="20" t="n">
        <v>0.19757965</v>
      </c>
      <c r="M41" s="18" t="n">
        <v>0</v>
      </c>
      <c r="N41" s="20" t="n">
        <v>0</v>
      </c>
      <c r="O41" s="18" t="n">
        <v>0</v>
      </c>
      <c r="P41" s="20" t="n">
        <v>0</v>
      </c>
      <c r="Q41" s="18" t="n">
        <v>1.9551095</v>
      </c>
      <c r="R41" s="20" t="n">
        <v>0.5685241599999999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(10136.0/B46*100)</f>
        <v/>
      </c>
      <c r="D46" s="19" t="n">
        <v>1937</v>
      </c>
      <c r="E46" s="18" t="n">
        <v>57.07734689</v>
      </c>
      <c r="F46" s="20" t="n">
        <v>1.57036339</v>
      </c>
      <c r="G46" s="18" t="n">
        <v>19.34171782</v>
      </c>
      <c r="H46" s="20" t="n">
        <v>1.37862314</v>
      </c>
      <c r="I46" s="18" t="n">
        <v>0</v>
      </c>
      <c r="J46" s="20" t="n">
        <v>0</v>
      </c>
      <c r="K46" s="18" t="n">
        <v>2.15856969</v>
      </c>
      <c r="L46" s="20" t="n">
        <v>0.58513151</v>
      </c>
      <c r="M46" s="18" t="n">
        <v>0.28037206</v>
      </c>
      <c r="N46" s="20" t="n">
        <v>0.09923414999999999</v>
      </c>
      <c r="O46" s="18" t="n">
        <v>0</v>
      </c>
      <c r="P46" s="20" t="n">
        <v>0</v>
      </c>
      <c r="Q46" s="18" t="n">
        <v>21.14199353</v>
      </c>
      <c r="R46" s="20" t="n">
        <v>1.3955538</v>
      </c>
    </row>
    <row r="47" spans="1:18">
      <c r="A47" s="15" t="s">
        <v>606</v>
      </c>
      <c r="B47" s="17" t="n">
        <v>2823</v>
      </c>
      <c r="C47" s="18">
        <f>(2206.0/B47*100)</f>
        <v/>
      </c>
      <c r="D47" s="19" t="n">
        <v>617</v>
      </c>
      <c r="E47" s="18" t="n">
        <v>46.37815649</v>
      </c>
      <c r="F47" s="20" t="n">
        <v>2.38428247</v>
      </c>
      <c r="G47" s="18" t="n">
        <v>25.44420573</v>
      </c>
      <c r="H47" s="20" t="n">
        <v>2.10358532</v>
      </c>
      <c r="I47" s="18" t="n">
        <v>0</v>
      </c>
      <c r="J47" s="20" t="n">
        <v>0</v>
      </c>
      <c r="K47" s="18" t="n">
        <v>0.95968288</v>
      </c>
      <c r="L47" s="20" t="n">
        <v>0.40246848</v>
      </c>
      <c r="M47" s="18" t="n">
        <v>0.1607039</v>
      </c>
      <c r="N47" s="20" t="n">
        <v>0.159744</v>
      </c>
      <c r="O47" s="18" t="n">
        <v>0</v>
      </c>
      <c r="P47" s="20" t="n">
        <v>0</v>
      </c>
      <c r="Q47" s="18" t="n">
        <v>27.057251</v>
      </c>
      <c r="R47" s="20" t="n">
        <v>2.27606831</v>
      </c>
    </row>
    <row r="48" spans="1:18">
      <c r="A48" s="15" t="s">
        <v>607</v>
      </c>
      <c r="B48" s="17" t="n">
        <v>4682</v>
      </c>
      <c r="C48" s="18">
        <f>(3688.0/B48*100)</f>
        <v/>
      </c>
      <c r="D48" s="19" t="n">
        <v>994</v>
      </c>
      <c r="E48" s="18" t="n">
        <v>62.68777357</v>
      </c>
      <c r="F48" s="20" t="n">
        <v>1.9993016</v>
      </c>
      <c r="G48" s="18" t="n">
        <v>26.6541993</v>
      </c>
      <c r="H48" s="20" t="n">
        <v>2.26595368</v>
      </c>
      <c r="I48" s="18" t="n">
        <v>0</v>
      </c>
      <c r="J48" s="20" t="n">
        <v>0</v>
      </c>
      <c r="K48" s="18" t="n">
        <v>1.17925899</v>
      </c>
      <c r="L48" s="20" t="n">
        <v>0.49099414</v>
      </c>
      <c r="M48" s="18" t="n">
        <v>0.17835441</v>
      </c>
      <c r="N48" s="20" t="n">
        <v>0.17752275</v>
      </c>
      <c r="O48" s="18" t="n">
        <v>0</v>
      </c>
      <c r="P48" s="20" t="n">
        <v>0</v>
      </c>
      <c r="Q48" s="18" t="n">
        <v>9.30041372</v>
      </c>
      <c r="R48" s="20" t="n">
        <v>1.23820117</v>
      </c>
    </row>
    <row r="49" spans="1:18">
      <c r="A49" s="15" t="s">
        <v>608</v>
      </c>
      <c r="B49" s="17" t="n">
        <v>6158</v>
      </c>
      <c r="C49" s="18">
        <f>(4836.0/B49*100)</f>
        <v/>
      </c>
      <c r="D49" s="19" t="n">
        <v>1322</v>
      </c>
      <c r="E49" s="18" t="n">
        <v>71.99542277</v>
      </c>
      <c r="F49" s="20" t="n">
        <v>1.46224218</v>
      </c>
      <c r="G49" s="18" t="n">
        <v>20.13775874</v>
      </c>
      <c r="H49" s="20" t="n">
        <v>1.3916042</v>
      </c>
      <c r="I49" s="18" t="n">
        <v>0</v>
      </c>
      <c r="J49" s="20" t="n">
        <v>0</v>
      </c>
      <c r="K49" s="18" t="n">
        <v>2.46329444</v>
      </c>
      <c r="L49" s="20" t="n">
        <v>0.53700285</v>
      </c>
      <c r="M49" s="18" t="n">
        <v>0.02801777</v>
      </c>
      <c r="N49" s="20" t="n">
        <v>0.02119939</v>
      </c>
      <c r="O49" s="18" t="n">
        <v>0</v>
      </c>
      <c r="P49" s="20" t="n">
        <v>0</v>
      </c>
      <c r="Q49" s="18" t="n">
        <v>5.37550628</v>
      </c>
      <c r="R49" s="20" t="n">
        <v>0.79628325</v>
      </c>
    </row>
    <row r="50" spans="1:18">
      <c r="A50" s="15" t="s">
        <v>609</v>
      </c>
      <c r="B50" s="17" t="n">
        <v>3494</v>
      </c>
      <c r="C50" s="18">
        <f>(2846.0/B50*100)</f>
        <v/>
      </c>
      <c r="D50" s="19" t="n">
        <v>648</v>
      </c>
      <c r="E50" s="18" t="n">
        <v>81.85815526</v>
      </c>
      <c r="F50" s="20" t="n">
        <v>1.6420576</v>
      </c>
      <c r="G50" s="18" t="n">
        <v>8.460184720000001</v>
      </c>
      <c r="H50" s="20" t="n">
        <v>1.11751829</v>
      </c>
      <c r="I50" s="18" t="n">
        <v>0</v>
      </c>
      <c r="J50" s="20" t="n">
        <v>0</v>
      </c>
      <c r="K50" s="18" t="n">
        <v>1.61800837</v>
      </c>
      <c r="L50" s="20" t="n">
        <v>0.63484907</v>
      </c>
      <c r="M50" s="18" t="n">
        <v>0</v>
      </c>
      <c r="N50" s="20" t="n">
        <v>0</v>
      </c>
      <c r="O50" s="18" t="n">
        <v>0</v>
      </c>
      <c r="P50" s="20" t="n">
        <v>0</v>
      </c>
      <c r="Q50" s="18" t="n">
        <v>8.06365164</v>
      </c>
      <c r="R50" s="20" t="n">
        <v>1.08608232</v>
      </c>
    </row>
    <row r="51" spans="1:18">
      <c r="A51" s="15" t="s">
        <v>610</v>
      </c>
      <c r="B51" s="17" t="n">
        <v>3013</v>
      </c>
      <c r="C51" s="18">
        <f>(2374.0/B51*100)</f>
        <v/>
      </c>
      <c r="D51" s="19" t="n">
        <v>639</v>
      </c>
      <c r="E51" s="18" t="n">
        <v>54.82446997</v>
      </c>
      <c r="F51" s="20" t="n">
        <v>1.96141092</v>
      </c>
      <c r="G51" s="18" t="n">
        <v>24.73937663</v>
      </c>
      <c r="H51" s="20" t="n">
        <v>1.77232265</v>
      </c>
      <c r="I51" s="18" t="n">
        <v>0</v>
      </c>
      <c r="J51" s="20" t="n">
        <v>0</v>
      </c>
      <c r="K51" s="18" t="n">
        <v>0</v>
      </c>
      <c r="L51" s="20" t="n">
        <v>0</v>
      </c>
      <c r="M51" s="18" t="n">
        <v>0</v>
      </c>
      <c r="N51" s="20" t="n">
        <v>0</v>
      </c>
      <c r="O51" s="18" t="n">
        <v>0</v>
      </c>
      <c r="P51" s="20" t="n">
        <v>0</v>
      </c>
      <c r="Q51" s="18" t="n">
        <v>20.4361534</v>
      </c>
      <c r="R51" s="20" t="n">
        <v>1.97550073</v>
      </c>
    </row>
    <row r="52" spans="1:18">
      <c r="A52" s="15" t="s">
        <v>611</v>
      </c>
      <c r="B52" s="17" t="n">
        <v>2760</v>
      </c>
      <c r="C52" s="18">
        <f>(2175.0/B52*100)</f>
        <v/>
      </c>
      <c r="D52" s="19" t="n">
        <v>585</v>
      </c>
      <c r="E52" s="18" t="n">
        <v>61.4439917</v>
      </c>
      <c r="F52" s="20" t="n">
        <v>2.14494654</v>
      </c>
      <c r="G52" s="18" t="n">
        <v>20.7460632</v>
      </c>
      <c r="H52" s="20" t="n">
        <v>1.86434416</v>
      </c>
      <c r="I52" s="18" t="n">
        <v>0</v>
      </c>
      <c r="J52" s="20" t="n">
        <v>0</v>
      </c>
      <c r="K52" s="18" t="n">
        <v>0.22788867</v>
      </c>
      <c r="L52" s="20" t="n">
        <v>0.22779379</v>
      </c>
      <c r="M52" s="18" t="n">
        <v>0</v>
      </c>
      <c r="N52" s="20" t="n">
        <v>0</v>
      </c>
      <c r="O52" s="18" t="n">
        <v>0</v>
      </c>
      <c r="P52" s="20" t="n">
        <v>0</v>
      </c>
      <c r="Q52" s="18" t="n">
        <v>17.58205643</v>
      </c>
      <c r="R52" s="20" t="n">
        <v>1.67439206</v>
      </c>
    </row>
    <row r="53" spans="1:18">
      <c r="A53" s="15" t="s">
        <v>612</v>
      </c>
      <c r="B53" s="17" t="n">
        <v>2474</v>
      </c>
      <c r="C53" s="18">
        <f>(1891.0/B53*100)</f>
        <v/>
      </c>
      <c r="D53" s="19" t="n">
        <v>583</v>
      </c>
      <c r="E53" s="18" t="n">
        <v>58.16788862</v>
      </c>
      <c r="F53" s="20" t="n">
        <v>2.36994288</v>
      </c>
      <c r="G53" s="18" t="n">
        <v>3.45611119</v>
      </c>
      <c r="H53" s="20" t="n">
        <v>0.76549299</v>
      </c>
      <c r="I53" s="18" t="n">
        <v>0</v>
      </c>
      <c r="J53" s="20" t="n">
        <v>0</v>
      </c>
      <c r="K53" s="18" t="n">
        <v>14.388801</v>
      </c>
      <c r="L53" s="20" t="n">
        <v>1.5750469</v>
      </c>
      <c r="M53" s="18" t="n">
        <v>0.76611311</v>
      </c>
      <c r="N53" s="20" t="n">
        <v>0.83892942</v>
      </c>
      <c r="O53" s="18" t="n">
        <v>0</v>
      </c>
      <c r="P53" s="20" t="n">
        <v>0</v>
      </c>
      <c r="Q53" s="18" t="n">
        <v>23.22108608</v>
      </c>
      <c r="R53" s="20" t="n">
        <v>1.93198628</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(2071.0/B55*100)</f>
        <v/>
      </c>
      <c r="D55" s="19" t="n">
        <v>604</v>
      </c>
      <c r="E55" s="18" t="n">
        <v>50.06347091</v>
      </c>
      <c r="F55" s="20" t="n">
        <v>1.78342747</v>
      </c>
      <c r="G55" s="18" t="n">
        <v>45.07089187</v>
      </c>
      <c r="H55" s="20" t="n">
        <v>1.90470697</v>
      </c>
      <c r="I55" s="18" t="n">
        <v>0</v>
      </c>
      <c r="J55" s="20" t="n">
        <v>0</v>
      </c>
      <c r="K55" s="18" t="n">
        <v>0</v>
      </c>
      <c r="L55" s="20" t="n">
        <v>0</v>
      </c>
      <c r="M55" s="18" t="n">
        <v>0.17431411</v>
      </c>
      <c r="N55" s="20" t="n">
        <v>0.17385606</v>
      </c>
      <c r="O55" s="18" t="n">
        <v>0</v>
      </c>
      <c r="P55" s="20" t="n">
        <v>0</v>
      </c>
      <c r="Q55" s="18" t="n">
        <v>4.69132311</v>
      </c>
      <c r="R55" s="20" t="n">
        <v>0.88034583</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(2495.0/B61*100)</f>
        <v/>
      </c>
      <c r="D61" s="19" t="n">
        <v>706</v>
      </c>
      <c r="E61" s="18" t="n">
        <v>64.96598636</v>
      </c>
      <c r="F61" s="20" t="n">
        <v>2.45051923</v>
      </c>
      <c r="G61" s="18" t="n">
        <v>17.42562346</v>
      </c>
      <c r="H61" s="20" t="n">
        <v>1.72246903</v>
      </c>
      <c r="I61" s="18" t="n">
        <v>0</v>
      </c>
      <c r="J61" s="20" t="n">
        <v>0</v>
      </c>
      <c r="K61" s="18" t="n">
        <v>0.74485611</v>
      </c>
      <c r="L61" s="20" t="n">
        <v>0.4507537</v>
      </c>
      <c r="M61" s="18" t="n">
        <v>0</v>
      </c>
      <c r="N61" s="20" t="n">
        <v>0</v>
      </c>
      <c r="O61" s="18" t="n">
        <v>0</v>
      </c>
      <c r="P61" s="20" t="n">
        <v>0</v>
      </c>
      <c r="Q61" s="18" t="n">
        <v>16.86353406</v>
      </c>
      <c r="R61" s="20" t="n">
        <v>1.78815402</v>
      </c>
    </row>
    <row r="62" spans="1:18">
      <c r="A62" s="15" t="s">
        <v>622</v>
      </c>
      <c r="B62" s="17" t="n">
        <v>2230</v>
      </c>
      <c r="C62" s="18">
        <f>(1753.0/B62*100)</f>
        <v/>
      </c>
      <c r="D62" s="19" t="n">
        <v>477</v>
      </c>
      <c r="E62" s="18" t="n">
        <v>61.73097454</v>
      </c>
      <c r="F62" s="20" t="n">
        <v>1.94100565</v>
      </c>
      <c r="G62" s="18" t="n">
        <v>36.38453284</v>
      </c>
      <c r="H62" s="20" t="n">
        <v>1.88088167</v>
      </c>
      <c r="I62" s="18" t="n">
        <v>0</v>
      </c>
      <c r="J62" s="20" t="n">
        <v>0</v>
      </c>
      <c r="K62" s="18" t="n">
        <v>0</v>
      </c>
      <c r="L62" s="20" t="n">
        <v>0</v>
      </c>
      <c r="M62" s="18" t="n">
        <v>0.2106577</v>
      </c>
      <c r="N62" s="20" t="n">
        <v>0.2095529</v>
      </c>
      <c r="O62" s="18" t="n">
        <v>0</v>
      </c>
      <c r="P62" s="20" t="n">
        <v>0</v>
      </c>
      <c r="Q62" s="18" t="n">
        <v>1.67383491</v>
      </c>
      <c r="R62" s="20" t="n">
        <v>0.50781443</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(2167.0/B67*100)</f>
        <v/>
      </c>
      <c r="D67" s="19" t="n">
        <v>604</v>
      </c>
      <c r="E67" s="18" t="n">
        <v>39.89754762</v>
      </c>
      <c r="F67" s="20" t="n">
        <v>2.18062131</v>
      </c>
      <c r="G67" s="18" t="n">
        <v>4.82608405</v>
      </c>
      <c r="H67" s="20" t="n">
        <v>0.78459796</v>
      </c>
      <c r="I67" s="18" t="n">
        <v>0</v>
      </c>
      <c r="J67" s="20" t="n">
        <v>0</v>
      </c>
      <c r="K67" s="18" t="n">
        <v>0.45530229</v>
      </c>
      <c r="L67" s="20" t="n">
        <v>0.26709188</v>
      </c>
      <c r="M67" s="18" t="n">
        <v>32.13803444</v>
      </c>
      <c r="N67" s="20" t="n">
        <v>2.16197549</v>
      </c>
      <c r="O67" s="18" t="n">
        <v>0</v>
      </c>
      <c r="P67" s="20" t="n">
        <v>0</v>
      </c>
      <c r="Q67" s="18" t="n">
        <v>22.6830316</v>
      </c>
      <c r="R67" s="20" t="n">
        <v>1.66561805</v>
      </c>
    </row>
    <row r="68" spans="1:18">
      <c r="A68" s="15" t="s">
        <v>628</v>
      </c>
      <c r="B68" s="17" t="n">
        <v>3460</v>
      </c>
      <c r="C68" s="18">
        <f>(2844.0/B68*100)</f>
        <v/>
      </c>
      <c r="D68" s="19" t="n">
        <v>616</v>
      </c>
      <c r="E68" s="18" t="n">
        <v>77.26767518</v>
      </c>
      <c r="F68" s="20" t="n">
        <v>1.81995978</v>
      </c>
      <c r="G68" s="18" t="n">
        <v>10.59690525</v>
      </c>
      <c r="H68" s="20" t="n">
        <v>1.42615565</v>
      </c>
      <c r="I68" s="18" t="n">
        <v>0</v>
      </c>
      <c r="J68" s="20" t="n">
        <v>0</v>
      </c>
      <c r="K68" s="18" t="n">
        <v>0.31922799</v>
      </c>
      <c r="L68" s="20" t="n">
        <v>0.20952351</v>
      </c>
      <c r="M68" s="18" t="n">
        <v>0.44206801</v>
      </c>
      <c r="N68" s="20" t="n">
        <v>0.31122595</v>
      </c>
      <c r="O68" s="18" t="n">
        <v>0</v>
      </c>
      <c r="P68" s="20" t="n">
        <v>0</v>
      </c>
      <c r="Q68" s="18" t="n">
        <v>11.37412356</v>
      </c>
      <c r="R68" s="20" t="n">
        <v>1.55649033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(4678.0/B70*100)</f>
        <v/>
      </c>
      <c r="D70" s="19" t="n">
        <v>1356</v>
      </c>
      <c r="E70" s="18" t="n">
        <v>59.37244833</v>
      </c>
      <c r="F70" s="20" t="n">
        <v>1.45332941</v>
      </c>
      <c r="G70" s="18" t="n">
        <v>28.24998863</v>
      </c>
      <c r="H70" s="20" t="n">
        <v>1.31671774</v>
      </c>
      <c r="I70" s="18" t="n">
        <v>0</v>
      </c>
      <c r="J70" s="20" t="n">
        <v>0</v>
      </c>
      <c r="K70" s="18" t="n">
        <v>2.04404489</v>
      </c>
      <c r="L70" s="20" t="n">
        <v>0.36979517</v>
      </c>
      <c r="M70" s="18" t="n">
        <v>0.07170934</v>
      </c>
      <c r="N70" s="20" t="n">
        <v>0.07194505</v>
      </c>
      <c r="O70" s="18" t="n">
        <v>0</v>
      </c>
      <c r="P70" s="20" t="n">
        <v>0</v>
      </c>
      <c r="Q70" s="18" t="n">
        <v>10.2618088</v>
      </c>
      <c r="R70" s="20" t="n">
        <v>0.80738807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(2442.0/B72*100)</f>
        <v/>
      </c>
      <c r="D72" s="19" t="n">
        <v>665</v>
      </c>
      <c r="E72" s="18" t="n">
        <v>69.50148846</v>
      </c>
      <c r="F72" s="20" t="n">
        <v>1.64800737</v>
      </c>
      <c r="G72" s="18" t="n">
        <v>17.77098743</v>
      </c>
      <c r="H72" s="20" t="n">
        <v>1.46914831</v>
      </c>
      <c r="I72" s="18" t="n">
        <v>0</v>
      </c>
      <c r="J72" s="20" t="n">
        <v>0</v>
      </c>
      <c r="K72" s="18" t="n">
        <v>0.60533161</v>
      </c>
      <c r="L72" s="20" t="n">
        <v>0.22402138</v>
      </c>
      <c r="M72" s="18" t="n">
        <v>0</v>
      </c>
      <c r="N72" s="20" t="n">
        <v>0</v>
      </c>
      <c r="O72" s="18" t="n">
        <v>0</v>
      </c>
      <c r="P72" s="20" t="n">
        <v>0</v>
      </c>
      <c r="Q72" s="18" t="n">
        <v>12.1221925</v>
      </c>
      <c r="R72" s="20" t="n">
        <v>1.63562895</v>
      </c>
    </row>
    <row r="73" spans="1:18">
      <c r="A73" s="15" t="s">
        <v>633</v>
      </c>
      <c r="B73" s="17" t="n">
        <v>2973</v>
      </c>
      <c r="C73" s="18">
        <f>(2333.0/B73*100)</f>
        <v/>
      </c>
      <c r="D73" s="19" t="n">
        <v>640</v>
      </c>
      <c r="E73" s="18" t="n">
        <v>48.75666786</v>
      </c>
      <c r="F73" s="20" t="n">
        <v>2.19007094</v>
      </c>
      <c r="G73" s="18" t="n">
        <v>47.65596875</v>
      </c>
      <c r="H73" s="20" t="n">
        <v>2.25662725</v>
      </c>
      <c r="I73" s="18" t="n">
        <v>0</v>
      </c>
      <c r="J73" s="20" t="n">
        <v>0</v>
      </c>
      <c r="K73" s="18" t="n">
        <v>0</v>
      </c>
      <c r="L73" s="20" t="n">
        <v>0</v>
      </c>
      <c r="M73" s="18" t="n">
        <v>0</v>
      </c>
      <c r="N73" s="20" t="n">
        <v>0</v>
      </c>
      <c r="O73" s="18" t="n">
        <v>0</v>
      </c>
      <c r="P73" s="20" t="n">
        <v>0</v>
      </c>
      <c r="Q73" s="18" t="n">
        <v>3.58736339</v>
      </c>
      <c r="R73" s="20" t="n">
        <v>0.69234829</v>
      </c>
    </row>
    <row r="74" spans="1:18">
      <c r="A74" s="15" t="s">
        <v>634</v>
      </c>
      <c r="B74" s="17" t="n">
        <v>3819</v>
      </c>
      <c r="C74" s="18">
        <f>(3013.0/B74*100)</f>
        <v/>
      </c>
      <c r="D74" s="19" t="n">
        <v>806</v>
      </c>
      <c r="E74" s="18" t="n">
        <v>61.349602</v>
      </c>
      <c r="F74" s="20" t="n">
        <v>2.16914113</v>
      </c>
      <c r="G74" s="18" t="n">
        <v>33.84727348</v>
      </c>
      <c r="H74" s="20" t="n">
        <v>2.29865975</v>
      </c>
      <c r="I74" s="18" t="n">
        <v>0</v>
      </c>
      <c r="J74" s="20" t="n">
        <v>0</v>
      </c>
      <c r="K74" s="18" t="n">
        <v>0.19101494</v>
      </c>
      <c r="L74" s="20" t="n">
        <v>0.27024971</v>
      </c>
      <c r="M74" s="18" t="n">
        <v>0</v>
      </c>
      <c r="N74" s="20" t="n">
        <v>0</v>
      </c>
      <c r="O74" s="18" t="n">
        <v>0</v>
      </c>
      <c r="P74" s="20" t="n">
        <v>0</v>
      </c>
      <c r="Q74" s="18" t="n">
        <v>4.61210958</v>
      </c>
      <c r="R74" s="20" t="n">
        <v>0.62139088</v>
      </c>
    </row>
    <row r="75" spans="1:18">
      <c r="A75" s="15" t="s">
        <v>635</v>
      </c>
      <c r="B75" s="17" t="n">
        <v>4652</v>
      </c>
      <c r="C75" s="18">
        <f>(3675.0/B75*100)</f>
        <v/>
      </c>
      <c r="D75" s="19" t="n">
        <v>977</v>
      </c>
      <c r="E75" s="18" t="n">
        <v>83.03520992</v>
      </c>
      <c r="F75" s="20" t="n">
        <v>1.66641536</v>
      </c>
      <c r="G75" s="18" t="n">
        <v>14.0938101</v>
      </c>
      <c r="H75" s="20" t="n">
        <v>1.51803425</v>
      </c>
      <c r="I75" s="18" t="n">
        <v>0</v>
      </c>
      <c r="J75" s="20" t="n">
        <v>0</v>
      </c>
      <c r="K75" s="18" t="n">
        <v>0.14740571</v>
      </c>
      <c r="L75" s="20" t="n">
        <v>0.14681801</v>
      </c>
      <c r="M75" s="18" t="n">
        <v>0</v>
      </c>
      <c r="N75" s="20" t="n">
        <v>0</v>
      </c>
      <c r="O75" s="18" t="n">
        <v>0</v>
      </c>
      <c r="P75" s="20" t="n">
        <v>0</v>
      </c>
      <c r="Q75" s="18" t="n">
        <v>2.72357426</v>
      </c>
      <c r="R75" s="20" t="n">
        <v>0.76121765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(2391.0/B77*100)</f>
        <v/>
      </c>
      <c r="D77" s="19" t="n">
        <v>578</v>
      </c>
      <c r="E77" s="18" t="n">
        <v>69.19047805</v>
      </c>
      <c r="F77" s="20" t="n">
        <v>2.13758005</v>
      </c>
      <c r="G77" s="18" t="n">
        <v>4.26035708</v>
      </c>
      <c r="H77" s="20" t="n">
        <v>1.06021963</v>
      </c>
      <c r="I77" s="18" t="n">
        <v>0</v>
      </c>
      <c r="J77" s="20" t="n">
        <v>0</v>
      </c>
      <c r="K77" s="18" t="n">
        <v>3.6130629</v>
      </c>
      <c r="L77" s="20" t="n">
        <v>0.79917307</v>
      </c>
      <c r="M77" s="18" t="n">
        <v>1.06927975</v>
      </c>
      <c r="N77" s="20" t="n">
        <v>0.48627416</v>
      </c>
      <c r="O77" s="18" t="n">
        <v>0</v>
      </c>
      <c r="P77" s="20" t="n">
        <v>0</v>
      </c>
      <c r="Q77" s="18" t="n">
        <v>21.86682222</v>
      </c>
      <c r="R77" s="20" t="n">
        <v>1.83124283</v>
      </c>
    </row>
    <row r="78" spans="1:18">
      <c r="A78" s="15" t="s">
        <v>638</v>
      </c>
      <c r="B78" s="17" t="n">
        <v>7115</v>
      </c>
      <c r="C78" s="18">
        <f>(5543.0/B78*100)</f>
        <v/>
      </c>
      <c r="D78" s="19" t="n">
        <v>1572</v>
      </c>
      <c r="E78" s="18" t="n">
        <v>73.58793021</v>
      </c>
      <c r="F78" s="20" t="n">
        <v>1.52417312</v>
      </c>
      <c r="G78" s="18" t="n">
        <v>19.44391612</v>
      </c>
      <c r="H78" s="20" t="n">
        <v>1.4454974</v>
      </c>
      <c r="I78" s="18" t="n">
        <v>0</v>
      </c>
      <c r="J78" s="20" t="n">
        <v>0</v>
      </c>
      <c r="K78" s="18" t="n">
        <v>1.26871499</v>
      </c>
      <c r="L78" s="20" t="n">
        <v>0.30329077</v>
      </c>
      <c r="M78" s="18" t="n">
        <v>0.08524809999999999</v>
      </c>
      <c r="N78" s="20" t="n">
        <v>0.051256</v>
      </c>
      <c r="O78" s="18" t="n">
        <v>0</v>
      </c>
      <c r="P78" s="20" t="n">
        <v>0</v>
      </c>
      <c r="Q78" s="18" t="n">
        <v>5.61419059</v>
      </c>
      <c r="R78" s="20" t="n">
        <v>0.71191787</v>
      </c>
    </row>
    <row r="79" spans="1:18">
      <c r="A79" s="15" t="s">
        <v>639</v>
      </c>
      <c r="B79" s="17" t="n">
        <v>3154</v>
      </c>
      <c r="C79" s="18">
        <f>(2475.0/B79*100)</f>
        <v/>
      </c>
      <c r="D79" s="19" t="n">
        <v>679</v>
      </c>
      <c r="E79" s="18" t="n">
        <v>47.39778931</v>
      </c>
      <c r="F79" s="20" t="n">
        <v>2.14115235</v>
      </c>
      <c r="G79" s="18" t="n">
        <v>25.26257675</v>
      </c>
      <c r="H79" s="20" t="n">
        <v>1.93809813</v>
      </c>
      <c r="I79" s="18" t="n">
        <v>0</v>
      </c>
      <c r="J79" s="20" t="n">
        <v>0</v>
      </c>
      <c r="K79" s="18" t="n">
        <v>0.65264575</v>
      </c>
      <c r="L79" s="20" t="n">
        <v>0.32527112</v>
      </c>
      <c r="M79" s="18" t="n">
        <v>0.34267945</v>
      </c>
      <c r="N79" s="20" t="n">
        <v>0.24777211</v>
      </c>
      <c r="O79" s="18" t="n">
        <v>0</v>
      </c>
      <c r="P79" s="20" t="n">
        <v>0</v>
      </c>
      <c r="Q79" s="18" t="n">
        <v>26.34430874</v>
      </c>
      <c r="R79" s="20" t="n">
        <v>1.8575112</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(12486.0/B82*100)</f>
        <v/>
      </c>
      <c r="D82" s="19" t="n">
        <v>3475</v>
      </c>
      <c r="E82" s="18" t="n">
        <v>53.77607644</v>
      </c>
      <c r="F82" s="20" t="n">
        <v>1.14761534</v>
      </c>
      <c r="G82" s="18" t="n">
        <v>39.56735636</v>
      </c>
      <c r="H82" s="20" t="n">
        <v>1.14706994</v>
      </c>
      <c r="I82" s="18" t="n">
        <v>0</v>
      </c>
      <c r="J82" s="20" t="n">
        <v>0</v>
      </c>
      <c r="K82" s="18" t="n">
        <v>0.324465</v>
      </c>
      <c r="L82" s="20" t="n">
        <v>0.11627022</v>
      </c>
      <c r="M82" s="18" t="n">
        <v>0.07659813</v>
      </c>
      <c r="N82" s="20" t="n">
        <v>0.07691282000000001</v>
      </c>
      <c r="O82" s="18" t="n">
        <v>0</v>
      </c>
      <c r="P82" s="20" t="n">
        <v>0</v>
      </c>
      <c r="Q82" s="18" t="n">
        <v>6.25550407</v>
      </c>
      <c r="R82" s="20" t="n">
        <v>0.66176918</v>
      </c>
    </row>
    <row r="83" spans="1:18">
      <c r="A83" s="15" t="s">
        <v>643</v>
      </c>
      <c r="B83" s="17" t="n">
        <v>808</v>
      </c>
      <c r="C83" s="18">
        <f>(619.0/B83*100)</f>
        <v/>
      </c>
      <c r="D83" s="19" t="n">
        <v>189</v>
      </c>
      <c r="E83" s="18" t="n">
        <v>55.23160411</v>
      </c>
      <c r="F83" s="20" t="n">
        <v>4.73200393</v>
      </c>
      <c r="G83" s="18" t="n">
        <v>42.73627059</v>
      </c>
      <c r="H83" s="20" t="n">
        <v>4.58419443</v>
      </c>
      <c r="I83" s="18" t="n">
        <v>0</v>
      </c>
      <c r="J83" s="20" t="n">
        <v>0</v>
      </c>
      <c r="K83" s="18" t="n">
        <v>0</v>
      </c>
      <c r="L83" s="20" t="n">
        <v>0</v>
      </c>
      <c r="M83" s="18" t="n">
        <v>0</v>
      </c>
      <c r="N83" s="20" t="n">
        <v>0</v>
      </c>
      <c r="O83" s="18" t="n">
        <v>0</v>
      </c>
      <c r="P83" s="20" t="n">
        <v>0</v>
      </c>
      <c r="Q83" s="18" t="n">
        <v>2.0321253</v>
      </c>
      <c r="R83" s="20" t="n">
        <v>0.87052681</v>
      </c>
    </row>
    <row r="84" spans="1:18">
      <c r="A84" s="23" t="s">
        <v>644</v>
      </c>
      <c r="B84" s="24" t="n">
        <v>938</v>
      </c>
      <c r="C84" s="25">
        <f>(719.0/B84*100)</f>
        <v/>
      </c>
      <c r="D84" s="19" t="n">
        <v>219</v>
      </c>
      <c r="E84" s="18" t="n">
        <v>72.07930926</v>
      </c>
      <c r="F84" s="20" t="n">
        <v>4.49687063</v>
      </c>
      <c r="G84" s="18" t="n">
        <v>26.318562</v>
      </c>
      <c r="H84" s="20" t="n">
        <v>4.51058154</v>
      </c>
      <c r="I84" s="18" t="n">
        <v>0</v>
      </c>
      <c r="J84" s="20" t="n">
        <v>0</v>
      </c>
      <c r="K84" s="18" t="n">
        <v>0</v>
      </c>
      <c r="L84" s="20" t="n">
        <v>0</v>
      </c>
      <c r="M84" s="18" t="n">
        <v>0</v>
      </c>
      <c r="N84" s="20" t="n">
        <v>0</v>
      </c>
      <c r="O84" s="18" t="n">
        <v>0</v>
      </c>
      <c r="P84" s="20" t="n">
        <v>0</v>
      </c>
      <c r="Q84" s="18" t="n">
        <v>1.60212875</v>
      </c>
      <c r="R84" s="20" t="n">
        <v>0.89152136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(5647.0/B7*100)</f>
        <v/>
      </c>
      <c r="D7" s="19" t="n">
        <v>1516</v>
      </c>
      <c r="E7" s="18" t="n">
        <v>10.80520223</v>
      </c>
      <c r="F7" s="20" t="n">
        <v>0.97939654</v>
      </c>
      <c r="G7" s="18" t="n">
        <v>87.39948841</v>
      </c>
      <c r="H7" s="20" t="n">
        <v>1.09754188</v>
      </c>
      <c r="I7" s="18" t="n">
        <v>0</v>
      </c>
      <c r="J7" s="20" t="n">
        <v>0</v>
      </c>
      <c r="K7" s="18" t="n">
        <v>0.79405564</v>
      </c>
      <c r="L7" s="20" t="n">
        <v>0.28521694</v>
      </c>
      <c r="M7" s="18" t="n">
        <v>0</v>
      </c>
      <c r="N7" s="20" t="n">
        <v>0</v>
      </c>
      <c r="O7" s="18" t="n">
        <v>0</v>
      </c>
      <c r="P7" s="20" t="n">
        <v>0</v>
      </c>
      <c r="Q7" s="18" t="n">
        <v>1.00125372</v>
      </c>
      <c r="R7" s="20" t="n">
        <v>0.30197557</v>
      </c>
    </row>
    <row r="8" spans="1:18">
      <c r="A8" s="15" t="s">
        <v>566</v>
      </c>
      <c r="B8" s="17" t="n">
        <v>3443</v>
      </c>
      <c r="C8" s="18">
        <f>(2672.0/B8*100)</f>
        <v/>
      </c>
      <c r="D8" s="19" t="n">
        <v>771</v>
      </c>
      <c r="E8" s="18" t="n">
        <v>12.65436027</v>
      </c>
      <c r="F8" s="20" t="n">
        <v>1.39527229</v>
      </c>
      <c r="G8" s="18" t="n">
        <v>86.30870725</v>
      </c>
      <c r="H8" s="20" t="n">
        <v>1.53438354</v>
      </c>
      <c r="I8" s="18" t="n">
        <v>0</v>
      </c>
      <c r="J8" s="20" t="n">
        <v>0</v>
      </c>
      <c r="K8" s="18" t="n">
        <v>0.11674701</v>
      </c>
      <c r="L8" s="20" t="n">
        <v>0.11609765</v>
      </c>
      <c r="M8" s="18" t="n">
        <v>0</v>
      </c>
      <c r="N8" s="20" t="n">
        <v>0</v>
      </c>
      <c r="O8" s="18" t="n">
        <v>0</v>
      </c>
      <c r="P8" s="20" t="n">
        <v>0</v>
      </c>
      <c r="Q8" s="18" t="n">
        <v>0.9201854699999999</v>
      </c>
      <c r="R8" s="20" t="n">
        <v>0.42692985</v>
      </c>
    </row>
    <row r="9" spans="1:18">
      <c r="A9" s="15" t="s">
        <v>567</v>
      </c>
      <c r="B9" s="17" t="n">
        <v>4752</v>
      </c>
      <c r="C9" s="18">
        <f>(3728.0/B9*100)</f>
        <v/>
      </c>
      <c r="D9" s="19" t="n">
        <v>1024</v>
      </c>
      <c r="E9" s="18" t="n">
        <v>12.90386592</v>
      </c>
      <c r="F9" s="20" t="n">
        <v>1.01127845</v>
      </c>
      <c r="G9" s="18" t="n">
        <v>85.69734433000001</v>
      </c>
      <c r="H9" s="20" t="n">
        <v>1.212629</v>
      </c>
      <c r="I9" s="18" t="n">
        <v>0</v>
      </c>
      <c r="J9" s="20" t="n">
        <v>0</v>
      </c>
      <c r="K9" s="18" t="n">
        <v>0.50601539</v>
      </c>
      <c r="L9" s="20" t="n">
        <v>0.26244695</v>
      </c>
      <c r="M9" s="18" t="n">
        <v>0</v>
      </c>
      <c r="N9" s="20" t="n">
        <v>0</v>
      </c>
      <c r="O9" s="18" t="n">
        <v>0</v>
      </c>
      <c r="P9" s="20" t="n">
        <v>0</v>
      </c>
      <c r="Q9" s="18" t="n">
        <v>0.89277437</v>
      </c>
      <c r="R9" s="20" t="n">
        <v>0.32595349</v>
      </c>
    </row>
    <row r="10" spans="1:18">
      <c r="A10" s="15" t="s">
        <v>568</v>
      </c>
      <c r="B10" s="17" t="n">
        <v>10022</v>
      </c>
      <c r="C10" s="18">
        <f>(7831.0/B10*100)</f>
        <v/>
      </c>
      <c r="D10" s="19" t="n">
        <v>2191</v>
      </c>
      <c r="E10" s="18" t="n">
        <v>7.88439727</v>
      </c>
      <c r="F10" s="20" t="n">
        <v>0.81765954</v>
      </c>
      <c r="G10" s="18" t="n">
        <v>90.99732435999999</v>
      </c>
      <c r="H10" s="20" t="n">
        <v>0.8244275599999999</v>
      </c>
      <c r="I10" s="18" t="n">
        <v>0</v>
      </c>
      <c r="J10" s="20" t="n">
        <v>0</v>
      </c>
      <c r="K10" s="18" t="n">
        <v>0.6979065</v>
      </c>
      <c r="L10" s="20" t="n">
        <v>0.27185092</v>
      </c>
      <c r="M10" s="18" t="n">
        <v>0</v>
      </c>
      <c r="N10" s="20" t="n">
        <v>0</v>
      </c>
      <c r="O10" s="18" t="n">
        <v>0</v>
      </c>
      <c r="P10" s="20" t="n">
        <v>0</v>
      </c>
      <c r="Q10" s="18" t="n">
        <v>0.42037187</v>
      </c>
      <c r="R10" s="20" t="n">
        <v>0.18011453</v>
      </c>
    </row>
    <row r="11" spans="1:18">
      <c r="A11" s="15" t="s">
        <v>569</v>
      </c>
      <c r="B11" s="17" t="n">
        <v>3500</v>
      </c>
      <c r="C11" s="18">
        <f>(2728.0/B11*100)</f>
        <v/>
      </c>
      <c r="D11" s="19" t="n">
        <v>772</v>
      </c>
      <c r="E11" s="18" t="n">
        <v>9.35014994</v>
      </c>
      <c r="F11" s="20" t="n">
        <v>0.95813565</v>
      </c>
      <c r="G11" s="18" t="n">
        <v>88.25381848000001</v>
      </c>
      <c r="H11" s="20" t="n">
        <v>1.21971749</v>
      </c>
      <c r="I11" s="18" t="n">
        <v>0</v>
      </c>
      <c r="J11" s="20" t="n">
        <v>0</v>
      </c>
      <c r="K11" s="18" t="n">
        <v>1.05907443</v>
      </c>
      <c r="L11" s="20" t="n">
        <v>0.46720984</v>
      </c>
      <c r="M11" s="18" t="n">
        <v>0</v>
      </c>
      <c r="N11" s="20" t="n">
        <v>0</v>
      </c>
      <c r="O11" s="18" t="n">
        <v>0</v>
      </c>
      <c r="P11" s="20" t="n">
        <v>0</v>
      </c>
      <c r="Q11" s="18" t="n">
        <v>1.33695716</v>
      </c>
      <c r="R11" s="20" t="n">
        <v>0.42613995</v>
      </c>
    </row>
    <row r="12" spans="1:18">
      <c r="A12" s="15" t="s">
        <v>570</v>
      </c>
      <c r="B12" s="17" t="n">
        <v>3422</v>
      </c>
      <c r="C12" s="18">
        <f>(2709.0/B12*100)</f>
        <v/>
      </c>
      <c r="D12" s="19" t="n">
        <v>713</v>
      </c>
      <c r="E12" s="18" t="n">
        <v>21.89446419</v>
      </c>
      <c r="F12" s="20" t="n">
        <v>1.85095354</v>
      </c>
      <c r="G12" s="18" t="n">
        <v>76.95657751</v>
      </c>
      <c r="H12" s="20" t="n">
        <v>1.90364644</v>
      </c>
      <c r="I12" s="18" t="n">
        <v>0</v>
      </c>
      <c r="J12" s="20" t="n">
        <v>0</v>
      </c>
      <c r="K12" s="18" t="n">
        <v>0.20228776</v>
      </c>
      <c r="L12" s="20" t="n">
        <v>0.13987903</v>
      </c>
      <c r="M12" s="18" t="n">
        <v>0</v>
      </c>
      <c r="N12" s="20" t="n">
        <v>0</v>
      </c>
      <c r="O12" s="18" t="n">
        <v>0</v>
      </c>
      <c r="P12" s="20" t="n">
        <v>0</v>
      </c>
      <c r="Q12" s="18" t="n">
        <v>0.9466705399999999</v>
      </c>
      <c r="R12" s="20" t="n">
        <v>0.37588615</v>
      </c>
    </row>
    <row r="13" spans="1:18">
      <c r="A13" s="15" t="s">
        <v>571</v>
      </c>
      <c r="B13" s="17" t="n">
        <v>3602</v>
      </c>
      <c r="C13" s="18">
        <f>(2912.0/B13*100)</f>
        <v/>
      </c>
      <c r="D13" s="19" t="n">
        <v>690</v>
      </c>
      <c r="E13" s="18" t="n">
        <v>19.57865095</v>
      </c>
      <c r="F13" s="20" t="n">
        <v>1.70062991</v>
      </c>
      <c r="G13" s="18" t="n">
        <v>79.19724755999999</v>
      </c>
      <c r="H13" s="20" t="n">
        <v>1.761498</v>
      </c>
      <c r="I13" s="18" t="n">
        <v>0</v>
      </c>
      <c r="J13" s="20" t="n">
        <v>0</v>
      </c>
      <c r="K13" s="18" t="n">
        <v>0.56004319</v>
      </c>
      <c r="L13" s="20" t="n">
        <v>0.29655406</v>
      </c>
      <c r="M13" s="18" t="n">
        <v>0</v>
      </c>
      <c r="N13" s="20" t="n">
        <v>0</v>
      </c>
      <c r="O13" s="18" t="n">
        <v>0</v>
      </c>
      <c r="P13" s="20" t="n">
        <v>0</v>
      </c>
      <c r="Q13" s="18" t="n">
        <v>0.66405831</v>
      </c>
      <c r="R13" s="20" t="n">
        <v>0.29469957</v>
      </c>
    </row>
    <row r="14" spans="1:18">
      <c r="A14" s="15" t="s">
        <v>572</v>
      </c>
      <c r="B14" s="17" t="n">
        <v>2788</v>
      </c>
      <c r="C14" s="18">
        <f>(2157.0/B14*100)</f>
        <v/>
      </c>
      <c r="D14" s="19" t="n">
        <v>631</v>
      </c>
      <c r="E14" s="18" t="n">
        <v>11.2506481</v>
      </c>
      <c r="F14" s="20" t="n">
        <v>1.42638563</v>
      </c>
      <c r="G14" s="18" t="n">
        <v>88.17698682</v>
      </c>
      <c r="H14" s="20" t="n">
        <v>1.47111978</v>
      </c>
      <c r="I14" s="18" t="n">
        <v>0</v>
      </c>
      <c r="J14" s="20" t="n">
        <v>0</v>
      </c>
      <c r="K14" s="18" t="n">
        <v>0.30705494</v>
      </c>
      <c r="L14" s="20" t="n">
        <v>0.2193893</v>
      </c>
      <c r="M14" s="18" t="n">
        <v>0</v>
      </c>
      <c r="N14" s="20" t="n">
        <v>0</v>
      </c>
      <c r="O14" s="18" t="n">
        <v>0</v>
      </c>
      <c r="P14" s="20" t="n">
        <v>0</v>
      </c>
      <c r="Q14" s="18" t="n">
        <v>0.26531014</v>
      </c>
      <c r="R14" s="20" t="n">
        <v>0.18421408</v>
      </c>
    </row>
    <row r="15" spans="1:18">
      <c r="A15" s="15" t="s">
        <v>573</v>
      </c>
      <c r="B15" s="17" t="n">
        <v>2863</v>
      </c>
      <c r="C15" s="18">
        <f>(2229.0/B15*100)</f>
        <v/>
      </c>
      <c r="D15" s="19" t="n">
        <v>634</v>
      </c>
      <c r="E15" s="18" t="n">
        <v>3.99472727</v>
      </c>
      <c r="F15" s="20" t="n">
        <v>0.79279506</v>
      </c>
      <c r="G15" s="18" t="n">
        <v>95.20115237</v>
      </c>
      <c r="H15" s="20" t="n">
        <v>0.8442774199999999</v>
      </c>
      <c r="I15" s="18" t="n">
        <v>0</v>
      </c>
      <c r="J15" s="20" t="n">
        <v>0</v>
      </c>
      <c r="K15" s="18" t="n">
        <v>0</v>
      </c>
      <c r="L15" s="20" t="n">
        <v>0</v>
      </c>
      <c r="M15" s="18" t="n">
        <v>0</v>
      </c>
      <c r="N15" s="20" t="n">
        <v>0</v>
      </c>
      <c r="O15" s="18" t="n">
        <v>0</v>
      </c>
      <c r="P15" s="20" t="n">
        <v>0</v>
      </c>
      <c r="Q15" s="18" t="n">
        <v>0.80412036</v>
      </c>
      <c r="R15" s="20" t="n">
        <v>0.36286806</v>
      </c>
    </row>
    <row r="16" spans="1:18">
      <c r="A16" s="15" t="s">
        <v>574</v>
      </c>
      <c r="B16" s="17" t="n">
        <v>3111</v>
      </c>
      <c r="C16" s="18">
        <f>(2441.0/B16*100)</f>
        <v/>
      </c>
      <c r="D16" s="19" t="n">
        <v>670</v>
      </c>
      <c r="E16" s="18" t="n">
        <v>12.56936335</v>
      </c>
      <c r="F16" s="20" t="n">
        <v>1.11348345</v>
      </c>
      <c r="G16" s="18" t="n">
        <v>83.89533975000001</v>
      </c>
      <c r="H16" s="20" t="n">
        <v>1.37073869</v>
      </c>
      <c r="I16" s="18" t="n">
        <v>0</v>
      </c>
      <c r="J16" s="20" t="n">
        <v>0</v>
      </c>
      <c r="K16" s="18" t="n">
        <v>1.58453101</v>
      </c>
      <c r="L16" s="20" t="n">
        <v>0.47663504</v>
      </c>
      <c r="M16" s="18" t="n">
        <v>0</v>
      </c>
      <c r="N16" s="20" t="n">
        <v>0</v>
      </c>
      <c r="O16" s="18" t="n">
        <v>0</v>
      </c>
      <c r="P16" s="20" t="n">
        <v>0</v>
      </c>
      <c r="Q16" s="18" t="n">
        <v>1.95076589</v>
      </c>
      <c r="R16" s="20" t="n">
        <v>0.58316417</v>
      </c>
    </row>
    <row r="17" spans="1:18">
      <c r="A17" s="15" t="s">
        <v>575</v>
      </c>
      <c r="B17" s="17" t="n">
        <v>3197</v>
      </c>
      <c r="C17" s="18">
        <f>(2553.0/B17*100)</f>
        <v/>
      </c>
      <c r="D17" s="19" t="n">
        <v>644</v>
      </c>
      <c r="E17" s="18" t="n">
        <v>9.01069182</v>
      </c>
      <c r="F17" s="20" t="n">
        <v>1.15850983</v>
      </c>
      <c r="G17" s="18" t="n">
        <v>90.09285620999999</v>
      </c>
      <c r="H17" s="20" t="n">
        <v>1.17104777</v>
      </c>
      <c r="I17" s="18" t="n">
        <v>0</v>
      </c>
      <c r="J17" s="20" t="n">
        <v>0</v>
      </c>
      <c r="K17" s="18" t="n">
        <v>0.46285408</v>
      </c>
      <c r="L17" s="20" t="n">
        <v>0.2691934</v>
      </c>
      <c r="M17" s="18" t="n">
        <v>0</v>
      </c>
      <c r="N17" s="20" t="n">
        <v>0</v>
      </c>
      <c r="O17" s="18" t="n">
        <v>0</v>
      </c>
      <c r="P17" s="20" t="n">
        <v>0</v>
      </c>
      <c r="Q17" s="18" t="n">
        <v>0.4335979</v>
      </c>
      <c r="R17" s="20" t="n">
        <v>0.25110726</v>
      </c>
    </row>
    <row r="18" spans="1:18">
      <c r="A18" s="15" t="s">
        <v>576</v>
      </c>
      <c r="B18" s="17" t="n">
        <v>2706</v>
      </c>
      <c r="C18" s="18">
        <f>(2113.0/B18*100)</f>
        <v/>
      </c>
      <c r="D18" s="19" t="n">
        <v>593</v>
      </c>
      <c r="E18" s="18" t="n">
        <v>35.09432854</v>
      </c>
      <c r="F18" s="20" t="n">
        <v>1.7980313</v>
      </c>
      <c r="G18" s="18" t="n">
        <v>62.42605953</v>
      </c>
      <c r="H18" s="20" t="n">
        <v>1.87250579</v>
      </c>
      <c r="I18" s="18" t="n">
        <v>0</v>
      </c>
      <c r="J18" s="20" t="n">
        <v>0</v>
      </c>
      <c r="K18" s="18" t="n">
        <v>0.87431307</v>
      </c>
      <c r="L18" s="20" t="n">
        <v>0.38991647</v>
      </c>
      <c r="M18" s="18" t="n">
        <v>0</v>
      </c>
      <c r="N18" s="20" t="n">
        <v>0</v>
      </c>
      <c r="O18" s="18" t="n">
        <v>0</v>
      </c>
      <c r="P18" s="20" t="n">
        <v>0</v>
      </c>
      <c r="Q18" s="18" t="n">
        <v>1.60529886</v>
      </c>
      <c r="R18" s="20" t="n">
        <v>0.4731385</v>
      </c>
    </row>
    <row r="19" spans="1:18">
      <c r="A19" s="15" t="s">
        <v>577</v>
      </c>
      <c r="B19" s="17" t="n">
        <v>2850</v>
      </c>
      <c r="C19" s="18">
        <f>(2199.0/B19*100)</f>
        <v/>
      </c>
      <c r="D19" s="19" t="n">
        <v>651</v>
      </c>
      <c r="E19" s="18" t="n">
        <v>19.13207385</v>
      </c>
      <c r="F19" s="20" t="n">
        <v>1.61101544</v>
      </c>
      <c r="G19" s="18" t="n">
        <v>80.20420547000001</v>
      </c>
      <c r="H19" s="20" t="n">
        <v>1.66809345</v>
      </c>
      <c r="I19" s="18" t="n">
        <v>0</v>
      </c>
      <c r="J19" s="20" t="n">
        <v>0</v>
      </c>
      <c r="K19" s="18" t="n">
        <v>0.14192212</v>
      </c>
      <c r="L19" s="20" t="n">
        <v>0.12078</v>
      </c>
      <c r="M19" s="18" t="n">
        <v>0</v>
      </c>
      <c r="N19" s="20" t="n">
        <v>0</v>
      </c>
      <c r="O19" s="18" t="n">
        <v>0</v>
      </c>
      <c r="P19" s="20" t="n">
        <v>0</v>
      </c>
      <c r="Q19" s="18" t="n">
        <v>0.52179857</v>
      </c>
      <c r="R19" s="20" t="n">
        <v>0.25467935</v>
      </c>
    </row>
    <row r="20" spans="1:18">
      <c r="A20" s="15" t="s">
        <v>578</v>
      </c>
      <c r="B20" s="17" t="n">
        <v>1741</v>
      </c>
      <c r="C20" s="18">
        <f>(1372.0/B20*100)</f>
        <v/>
      </c>
      <c r="D20" s="19" t="n">
        <v>369</v>
      </c>
      <c r="E20" s="18" t="n">
        <v>11.21244275</v>
      </c>
      <c r="F20" s="20" t="n">
        <v>1.69032378</v>
      </c>
      <c r="G20" s="18" t="n">
        <v>87.76328272000001</v>
      </c>
      <c r="H20" s="20" t="n">
        <v>1.75682794</v>
      </c>
      <c r="I20" s="18" t="n">
        <v>0</v>
      </c>
      <c r="J20" s="20" t="n">
        <v>0</v>
      </c>
      <c r="K20" s="18" t="n">
        <v>0.50165339</v>
      </c>
      <c r="L20" s="20" t="n">
        <v>0.34479566</v>
      </c>
      <c r="M20" s="18" t="n">
        <v>0</v>
      </c>
      <c r="N20" s="20" t="n">
        <v>0</v>
      </c>
      <c r="O20" s="18" t="n">
        <v>0</v>
      </c>
      <c r="P20" s="20" t="n">
        <v>0</v>
      </c>
      <c r="Q20" s="18" t="n">
        <v>0.52262114</v>
      </c>
      <c r="R20" s="20" t="n">
        <v>0.37547708</v>
      </c>
    </row>
    <row r="21" spans="1:18">
      <c r="A21" s="15" t="s">
        <v>579</v>
      </c>
      <c r="B21" s="17" t="n">
        <v>2833</v>
      </c>
      <c r="C21" s="18">
        <f>(2235.0/B21*100)</f>
        <v/>
      </c>
      <c r="D21" s="19" t="n">
        <v>598</v>
      </c>
      <c r="E21" s="18" t="n">
        <v>10.7587272</v>
      </c>
      <c r="F21" s="20" t="n">
        <v>1.20062205</v>
      </c>
      <c r="G21" s="18" t="n">
        <v>88.4329747</v>
      </c>
      <c r="H21" s="20" t="n">
        <v>1.30026813</v>
      </c>
      <c r="I21" s="18" t="n">
        <v>0</v>
      </c>
      <c r="J21" s="20" t="n">
        <v>0</v>
      </c>
      <c r="K21" s="18" t="n">
        <v>0.36649748</v>
      </c>
      <c r="L21" s="20" t="n">
        <v>0.25355469</v>
      </c>
      <c r="M21" s="18" t="n">
        <v>0</v>
      </c>
      <c r="N21" s="20" t="n">
        <v>0</v>
      </c>
      <c r="O21" s="18" t="n">
        <v>0</v>
      </c>
      <c r="P21" s="20" t="n">
        <v>0</v>
      </c>
      <c r="Q21" s="18" t="n">
        <v>0.44180062</v>
      </c>
      <c r="R21" s="20" t="n">
        <v>0.32245212</v>
      </c>
    </row>
    <row r="22" spans="1:18">
      <c r="A22" s="15" t="s">
        <v>580</v>
      </c>
      <c r="B22" s="17" t="n">
        <v>3667</v>
      </c>
      <c r="C22" s="18">
        <f>(2881.0/B22*100)</f>
        <v/>
      </c>
      <c r="D22" s="19" t="n">
        <v>786</v>
      </c>
      <c r="E22" s="18" t="n">
        <v>16.58777506</v>
      </c>
      <c r="F22" s="20" t="n">
        <v>1.38796458</v>
      </c>
      <c r="G22" s="18" t="n">
        <v>79.77061024</v>
      </c>
      <c r="H22" s="20" t="n">
        <v>1.65265114</v>
      </c>
      <c r="I22" s="18" t="n">
        <v>0</v>
      </c>
      <c r="J22" s="20" t="n">
        <v>0</v>
      </c>
      <c r="K22" s="18" t="n">
        <v>1.2039614</v>
      </c>
      <c r="L22" s="20" t="n">
        <v>0.41616446</v>
      </c>
      <c r="M22" s="18" t="n">
        <v>0</v>
      </c>
      <c r="N22" s="20" t="n">
        <v>0</v>
      </c>
      <c r="O22" s="18" t="n">
        <v>0</v>
      </c>
      <c r="P22" s="20" t="n">
        <v>0</v>
      </c>
      <c r="Q22" s="18" t="n">
        <v>2.4376533</v>
      </c>
      <c r="R22" s="20" t="n">
        <v>0.67356285</v>
      </c>
    </row>
    <row r="23" spans="1:18">
      <c r="A23" s="15" t="s">
        <v>581</v>
      </c>
      <c r="B23" s="17" t="n">
        <v>5792</v>
      </c>
      <c r="C23" s="18">
        <f>(4488.0/B23*100)</f>
        <v/>
      </c>
      <c r="D23" s="19" t="n">
        <v>1304</v>
      </c>
      <c r="E23" s="18" t="n">
        <v>15.11851641</v>
      </c>
      <c r="F23" s="20" t="n">
        <v>1.73923179</v>
      </c>
      <c r="G23" s="18" t="n">
        <v>83.66049391999999</v>
      </c>
      <c r="H23" s="20" t="n">
        <v>1.86740695</v>
      </c>
      <c r="I23" s="18" t="n">
        <v>0</v>
      </c>
      <c r="J23" s="20" t="n">
        <v>0</v>
      </c>
      <c r="K23" s="18" t="n">
        <v>0.60041301</v>
      </c>
      <c r="L23" s="20" t="n">
        <v>0.37615989</v>
      </c>
      <c r="M23" s="18" t="n">
        <v>0</v>
      </c>
      <c r="N23" s="20" t="n">
        <v>0</v>
      </c>
      <c r="O23" s="18" t="n">
        <v>0</v>
      </c>
      <c r="P23" s="20" t="n">
        <v>0</v>
      </c>
      <c r="Q23" s="18" t="n">
        <v>0.62057666</v>
      </c>
      <c r="R23" s="20" t="n">
        <v>0.25611012</v>
      </c>
    </row>
    <row r="24" spans="1:18">
      <c r="A24" s="15" t="s">
        <v>582</v>
      </c>
      <c r="B24" s="17" t="n">
        <v>3309</v>
      </c>
      <c r="C24" s="18">
        <f>(2607.0/B24*100)</f>
        <v/>
      </c>
      <c r="D24" s="19" t="n">
        <v>702</v>
      </c>
      <c r="E24" s="18" t="n">
        <v>11.46025654</v>
      </c>
      <c r="F24" s="20" t="n">
        <v>1.09153128</v>
      </c>
      <c r="G24" s="18" t="n">
        <v>87.724892</v>
      </c>
      <c r="H24" s="20" t="n">
        <v>1.10733582</v>
      </c>
      <c r="I24" s="18" t="n">
        <v>0</v>
      </c>
      <c r="J24" s="20" t="n">
        <v>0</v>
      </c>
      <c r="K24" s="18" t="n">
        <v>0.27727351</v>
      </c>
      <c r="L24" s="20" t="n">
        <v>0.19688434</v>
      </c>
      <c r="M24" s="18" t="n">
        <v>0</v>
      </c>
      <c r="N24" s="20" t="n">
        <v>0</v>
      </c>
      <c r="O24" s="18" t="n">
        <v>0</v>
      </c>
      <c r="P24" s="20" t="n">
        <v>0</v>
      </c>
      <c r="Q24" s="18" t="n">
        <v>0.53757795</v>
      </c>
      <c r="R24" s="20" t="n">
        <v>0.27098666</v>
      </c>
    </row>
    <row r="25" spans="1:18">
      <c r="A25" s="15" t="s">
        <v>583</v>
      </c>
      <c r="B25" s="17" t="n">
        <v>2669</v>
      </c>
      <c r="C25" s="18">
        <f>(2091.0/B25*100)</f>
        <v/>
      </c>
      <c r="D25" s="19" t="n">
        <v>578</v>
      </c>
      <c r="E25" s="18" t="n">
        <v>16.9931046</v>
      </c>
      <c r="F25" s="20" t="n">
        <v>1.5313595</v>
      </c>
      <c r="G25" s="18" t="n">
        <v>82.64367824999999</v>
      </c>
      <c r="H25" s="20" t="n">
        <v>1.53696835</v>
      </c>
      <c r="I25" s="18" t="n">
        <v>0</v>
      </c>
      <c r="J25" s="20" t="n">
        <v>0</v>
      </c>
      <c r="K25" s="18" t="n">
        <v>0</v>
      </c>
      <c r="L25" s="20" t="n">
        <v>0</v>
      </c>
      <c r="M25" s="18" t="n">
        <v>0</v>
      </c>
      <c r="N25" s="20" t="n">
        <v>0</v>
      </c>
      <c r="O25" s="18" t="n">
        <v>0</v>
      </c>
      <c r="P25" s="20" t="n">
        <v>0</v>
      </c>
      <c r="Q25" s="18" t="n">
        <v>0.36321715</v>
      </c>
      <c r="R25" s="20" t="n">
        <v>0.22411448</v>
      </c>
    </row>
    <row r="26" spans="1:18">
      <c r="A26" s="15" t="s">
        <v>584</v>
      </c>
      <c r="B26" s="17" t="n">
        <v>2419</v>
      </c>
      <c r="C26" s="18">
        <f>(1860.0/B26*100)</f>
        <v/>
      </c>
      <c r="D26" s="19" t="n">
        <v>559</v>
      </c>
      <c r="E26" s="18" t="n">
        <v>17.50601361</v>
      </c>
      <c r="F26" s="20" t="n">
        <v>1.70520269</v>
      </c>
      <c r="G26" s="18" t="n">
        <v>81.96745654</v>
      </c>
      <c r="H26" s="20" t="n">
        <v>1.74082286</v>
      </c>
      <c r="I26" s="18" t="n">
        <v>0</v>
      </c>
      <c r="J26" s="20" t="n">
        <v>0</v>
      </c>
      <c r="K26" s="18" t="n">
        <v>0</v>
      </c>
      <c r="L26" s="20" t="n">
        <v>0</v>
      </c>
      <c r="M26" s="18" t="n">
        <v>0</v>
      </c>
      <c r="N26" s="20" t="n">
        <v>0</v>
      </c>
      <c r="O26" s="18" t="n">
        <v>0</v>
      </c>
      <c r="P26" s="20" t="n">
        <v>0</v>
      </c>
      <c r="Q26" s="18" t="n">
        <v>0.52652985</v>
      </c>
      <c r="R26" s="20" t="n">
        <v>0.30832492</v>
      </c>
    </row>
    <row r="27" spans="1:18">
      <c r="A27" s="15" t="s">
        <v>585</v>
      </c>
      <c r="B27" s="17" t="n">
        <v>2683</v>
      </c>
      <c r="C27" s="18">
        <f>(2131.0/B27*100)</f>
        <v/>
      </c>
      <c r="D27" s="19" t="n">
        <v>552</v>
      </c>
      <c r="E27" s="18" t="n">
        <v>16.45038076</v>
      </c>
      <c r="F27" s="20" t="n">
        <v>1.44128921</v>
      </c>
      <c r="G27" s="18" t="n">
        <v>82.27917056</v>
      </c>
      <c r="H27" s="20" t="n">
        <v>1.46742068</v>
      </c>
      <c r="I27" s="18" t="n">
        <v>0</v>
      </c>
      <c r="J27" s="20" t="n">
        <v>0</v>
      </c>
      <c r="K27" s="18" t="n">
        <v>0.35266284</v>
      </c>
      <c r="L27" s="20" t="n">
        <v>0.24983934</v>
      </c>
      <c r="M27" s="18" t="n">
        <v>0</v>
      </c>
      <c r="N27" s="20" t="n">
        <v>0</v>
      </c>
      <c r="O27" s="18" t="n">
        <v>0</v>
      </c>
      <c r="P27" s="20" t="n">
        <v>0</v>
      </c>
      <c r="Q27" s="18" t="n">
        <v>0.91778584</v>
      </c>
      <c r="R27" s="20" t="n">
        <v>0.40777139</v>
      </c>
    </row>
    <row r="28" spans="1:18">
      <c r="A28" s="15" t="s">
        <v>586</v>
      </c>
      <c r="B28" s="17" t="n">
        <v>3803</v>
      </c>
      <c r="C28" s="18">
        <f>(3003.0/B28*100)</f>
        <v/>
      </c>
      <c r="D28" s="19" t="n">
        <v>800</v>
      </c>
      <c r="E28" s="18" t="n">
        <v>21.37083471</v>
      </c>
      <c r="F28" s="20" t="n">
        <v>1.494616</v>
      </c>
      <c r="G28" s="18" t="n">
        <v>76.61027721000001</v>
      </c>
      <c r="H28" s="20" t="n">
        <v>1.59739383</v>
      </c>
      <c r="I28" s="18" t="n">
        <v>0</v>
      </c>
      <c r="J28" s="20" t="n">
        <v>0</v>
      </c>
      <c r="K28" s="18" t="n">
        <v>1.42573251</v>
      </c>
      <c r="L28" s="20" t="n">
        <v>0.510541</v>
      </c>
      <c r="M28" s="18" t="n">
        <v>0</v>
      </c>
      <c r="N28" s="20" t="n">
        <v>0</v>
      </c>
      <c r="O28" s="18" t="n">
        <v>0</v>
      </c>
      <c r="P28" s="20" t="n">
        <v>0</v>
      </c>
      <c r="Q28" s="18" t="n">
        <v>0.59315557</v>
      </c>
      <c r="R28" s="20" t="n">
        <v>0.29016876</v>
      </c>
    </row>
    <row r="29" spans="1:18">
      <c r="A29" s="15" t="s">
        <v>587</v>
      </c>
      <c r="B29" s="17" t="n">
        <v>2700</v>
      </c>
      <c r="C29" s="18">
        <f>(2113.0/B29*100)</f>
        <v/>
      </c>
      <c r="D29" s="19" t="n">
        <v>587</v>
      </c>
      <c r="E29" s="18" t="n">
        <v>15.19321139</v>
      </c>
      <c r="F29" s="20" t="n">
        <v>1.43849234</v>
      </c>
      <c r="G29" s="18" t="n">
        <v>83.96529735</v>
      </c>
      <c r="H29" s="20" t="n">
        <v>1.54891467</v>
      </c>
      <c r="I29" s="18" t="n">
        <v>0</v>
      </c>
      <c r="J29" s="20" t="n">
        <v>0</v>
      </c>
      <c r="K29" s="18" t="n">
        <v>0.62162954</v>
      </c>
      <c r="L29" s="20" t="n">
        <v>0.34165928</v>
      </c>
      <c r="M29" s="18" t="n">
        <v>0</v>
      </c>
      <c r="N29" s="20" t="n">
        <v>0</v>
      </c>
      <c r="O29" s="18" t="n">
        <v>0</v>
      </c>
      <c r="P29" s="20" t="n">
        <v>0</v>
      </c>
      <c r="Q29" s="18" t="n">
        <v>0.21986171</v>
      </c>
      <c r="R29" s="20" t="n">
        <v>0.16623738</v>
      </c>
    </row>
    <row r="30" spans="1:18">
      <c r="A30" s="15" t="s">
        <v>588</v>
      </c>
      <c r="B30" s="17" t="n">
        <v>2257</v>
      </c>
      <c r="C30" s="18">
        <f>(1786.0/B30*100)</f>
        <v/>
      </c>
      <c r="D30" s="19" t="n">
        <v>471</v>
      </c>
      <c r="E30" s="18" t="n">
        <v>12.87434439</v>
      </c>
      <c r="F30" s="20" t="n">
        <v>1.47126656</v>
      </c>
      <c r="G30" s="18" t="n">
        <v>85.35735330999999</v>
      </c>
      <c r="H30" s="20" t="n">
        <v>1.4916881</v>
      </c>
      <c r="I30" s="18" t="n">
        <v>0</v>
      </c>
      <c r="J30" s="20" t="n">
        <v>0</v>
      </c>
      <c r="K30" s="18" t="n">
        <v>0.4184824</v>
      </c>
      <c r="L30" s="20" t="n">
        <v>0.27897187</v>
      </c>
      <c r="M30" s="18" t="n">
        <v>0</v>
      </c>
      <c r="N30" s="20" t="n">
        <v>0</v>
      </c>
      <c r="O30" s="18" t="n">
        <v>0</v>
      </c>
      <c r="P30" s="20" t="n">
        <v>0</v>
      </c>
      <c r="Q30" s="18" t="n">
        <v>1.3498199</v>
      </c>
      <c r="R30" s="20" t="n">
        <v>0.53354559</v>
      </c>
    </row>
    <row r="31" spans="1:18">
      <c r="A31" s="15" t="s">
        <v>589</v>
      </c>
      <c r="B31" s="17" t="n">
        <v>2706</v>
      </c>
      <c r="C31" s="18">
        <f>(2115.0/B31*100)</f>
        <v/>
      </c>
      <c r="D31" s="19" t="n">
        <v>591</v>
      </c>
      <c r="E31" s="18" t="n">
        <v>14.9908363</v>
      </c>
      <c r="F31" s="20" t="n">
        <v>1.52113229</v>
      </c>
      <c r="G31" s="18" t="n">
        <v>82.25664008</v>
      </c>
      <c r="H31" s="20" t="n">
        <v>1.60027372</v>
      </c>
      <c r="I31" s="18" t="n">
        <v>0</v>
      </c>
      <c r="J31" s="20" t="n">
        <v>0</v>
      </c>
      <c r="K31" s="18" t="n">
        <v>1.14571246</v>
      </c>
      <c r="L31" s="20" t="n">
        <v>0.35830922</v>
      </c>
      <c r="M31" s="18" t="n">
        <v>0</v>
      </c>
      <c r="N31" s="20" t="n">
        <v>0</v>
      </c>
      <c r="O31" s="18" t="n">
        <v>0</v>
      </c>
      <c r="P31" s="20" t="n">
        <v>0</v>
      </c>
      <c r="Q31" s="18" t="n">
        <v>1.60681116</v>
      </c>
      <c r="R31" s="20" t="n">
        <v>0.51663516</v>
      </c>
    </row>
    <row r="32" spans="1:18">
      <c r="A32" s="15" t="s">
        <v>590</v>
      </c>
      <c r="B32" s="17" t="n">
        <v>2209</v>
      </c>
      <c r="C32" s="18">
        <f>(1735.0/B32*100)</f>
        <v/>
      </c>
      <c r="D32" s="19" t="n">
        <v>474</v>
      </c>
      <c r="E32" s="18" t="n">
        <v>22.27351066</v>
      </c>
      <c r="F32" s="20" t="n">
        <v>1.84645937</v>
      </c>
      <c r="G32" s="18" t="n">
        <v>77.72648934</v>
      </c>
      <c r="H32" s="20" t="n">
        <v>1.84645937</v>
      </c>
      <c r="I32" s="18" t="n">
        <v>0</v>
      </c>
      <c r="J32" s="20" t="n">
        <v>0</v>
      </c>
      <c r="K32" s="18" t="n">
        <v>0</v>
      </c>
      <c r="L32" s="20" t="n">
        <v>0</v>
      </c>
      <c r="M32" s="18" t="n">
        <v>0</v>
      </c>
      <c r="N32" s="20" t="n">
        <v>0</v>
      </c>
      <c r="O32" s="18" t="n">
        <v>0</v>
      </c>
      <c r="P32" s="20" t="n">
        <v>0</v>
      </c>
      <c r="Q32" s="18" t="n">
        <v>0</v>
      </c>
      <c r="R32" s="20" t="n">
        <v>0</v>
      </c>
    </row>
    <row r="33" spans="1:18">
      <c r="A33" s="15" t="s">
        <v>591</v>
      </c>
      <c r="B33" s="17" t="n">
        <v>3651</v>
      </c>
      <c r="C33" s="18">
        <f>(2866.0/B33*100)</f>
        <v/>
      </c>
      <c r="D33" s="19" t="n">
        <v>785</v>
      </c>
      <c r="E33" s="18" t="n">
        <v>12.85697312</v>
      </c>
      <c r="F33" s="20" t="n">
        <v>1.36524948</v>
      </c>
      <c r="G33" s="18" t="n">
        <v>86.4766121</v>
      </c>
      <c r="H33" s="20" t="n">
        <v>1.41593414</v>
      </c>
      <c r="I33" s="18" t="n">
        <v>0</v>
      </c>
      <c r="J33" s="20" t="n">
        <v>0</v>
      </c>
      <c r="K33" s="18" t="n">
        <v>0.20190609</v>
      </c>
      <c r="L33" s="20" t="n">
        <v>0.17752422</v>
      </c>
      <c r="M33" s="18" t="n">
        <v>0</v>
      </c>
      <c r="N33" s="20" t="n">
        <v>0</v>
      </c>
      <c r="O33" s="18" t="n">
        <v>0</v>
      </c>
      <c r="P33" s="20" t="n">
        <v>0</v>
      </c>
      <c r="Q33" s="18" t="n">
        <v>0.46450869</v>
      </c>
      <c r="R33" s="20" t="n">
        <v>0.26704657</v>
      </c>
    </row>
    <row r="34" spans="1:18">
      <c r="A34" s="15" t="s">
        <v>592</v>
      </c>
      <c r="B34" s="17" t="n">
        <v>3035</v>
      </c>
      <c r="C34" s="18">
        <f>(2408.0/B34*100)</f>
        <v/>
      </c>
      <c r="D34" s="19" t="n">
        <v>627</v>
      </c>
      <c r="E34" s="18" t="n">
        <v>19.25828462</v>
      </c>
      <c r="F34" s="20" t="n">
        <v>1.63375454</v>
      </c>
      <c r="G34" s="18" t="n">
        <v>79.01425548</v>
      </c>
      <c r="H34" s="20" t="n">
        <v>1.74328495</v>
      </c>
      <c r="I34" s="18" t="n">
        <v>0</v>
      </c>
      <c r="J34" s="20" t="n">
        <v>0</v>
      </c>
      <c r="K34" s="18" t="n">
        <v>0.36733628</v>
      </c>
      <c r="L34" s="20" t="n">
        <v>0.26827795</v>
      </c>
      <c r="M34" s="18" t="n">
        <v>0</v>
      </c>
      <c r="N34" s="20" t="n">
        <v>0</v>
      </c>
      <c r="O34" s="18" t="n">
        <v>0</v>
      </c>
      <c r="P34" s="20" t="n">
        <v>0</v>
      </c>
      <c r="Q34" s="18" t="n">
        <v>1.36012362</v>
      </c>
      <c r="R34" s="20" t="n">
        <v>0.51871433</v>
      </c>
    </row>
    <row r="35" spans="1:18">
      <c r="A35" s="15" t="s">
        <v>593</v>
      </c>
      <c r="B35" s="17" t="n">
        <v>2901</v>
      </c>
      <c r="C35" s="18">
        <f>(2264.0/B35*100)</f>
        <v/>
      </c>
      <c r="D35" s="19" t="n">
        <v>637</v>
      </c>
      <c r="E35" s="18" t="n">
        <v>11.98734683</v>
      </c>
      <c r="F35" s="20" t="n">
        <v>1.39386809</v>
      </c>
      <c r="G35" s="18" t="n">
        <v>87.16630471000001</v>
      </c>
      <c r="H35" s="20" t="n">
        <v>1.42261453</v>
      </c>
      <c r="I35" s="18" t="n">
        <v>0</v>
      </c>
      <c r="J35" s="20" t="n">
        <v>0</v>
      </c>
      <c r="K35" s="18" t="n">
        <v>0.06820848</v>
      </c>
      <c r="L35" s="20" t="n">
        <v>0.06867946</v>
      </c>
      <c r="M35" s="18" t="n">
        <v>0</v>
      </c>
      <c r="N35" s="20" t="n">
        <v>0</v>
      </c>
      <c r="O35" s="18" t="n">
        <v>0</v>
      </c>
      <c r="P35" s="20" t="n">
        <v>0</v>
      </c>
      <c r="Q35" s="18" t="n">
        <v>0.77813998</v>
      </c>
      <c r="R35" s="20" t="n">
        <v>0.29185222</v>
      </c>
    </row>
    <row r="36" spans="1:18">
      <c r="A36" s="15" t="s">
        <v>594</v>
      </c>
      <c r="B36" s="17" t="n">
        <v>3404</v>
      </c>
      <c r="C36" s="18">
        <f>(2646.0/B36*100)</f>
        <v/>
      </c>
      <c r="D36" s="19" t="n">
        <v>758</v>
      </c>
      <c r="E36" s="18" t="n">
        <v>8.48142913</v>
      </c>
      <c r="F36" s="20" t="n">
        <v>1.0887494</v>
      </c>
      <c r="G36" s="18" t="n">
        <v>90.73273775</v>
      </c>
      <c r="H36" s="20" t="n">
        <v>1.12756548</v>
      </c>
      <c r="I36" s="18" t="n">
        <v>0</v>
      </c>
      <c r="J36" s="20" t="n">
        <v>0</v>
      </c>
      <c r="K36" s="18" t="n">
        <v>0.26533223</v>
      </c>
      <c r="L36" s="20" t="n">
        <v>0.19898648</v>
      </c>
      <c r="M36" s="18" t="n">
        <v>0</v>
      </c>
      <c r="N36" s="20" t="n">
        <v>0</v>
      </c>
      <c r="O36" s="18" t="n">
        <v>0</v>
      </c>
      <c r="P36" s="20" t="n">
        <v>0</v>
      </c>
      <c r="Q36" s="18" t="n">
        <v>0.5205008800000001</v>
      </c>
      <c r="R36" s="20" t="n">
        <v>0.23910419</v>
      </c>
    </row>
    <row r="37" spans="1:18">
      <c r="A37" s="15" t="s">
        <v>595</v>
      </c>
      <c r="B37" s="17" t="n">
        <v>2731</v>
      </c>
      <c r="C37" s="18">
        <f>(2167.0/B37*100)</f>
        <v/>
      </c>
      <c r="D37" s="19" t="n">
        <v>564</v>
      </c>
      <c r="E37" s="18" t="n">
        <v>11.69845251</v>
      </c>
      <c r="F37" s="20" t="n">
        <v>1.46760966</v>
      </c>
      <c r="G37" s="18" t="n">
        <v>85.59312319999999</v>
      </c>
      <c r="H37" s="20" t="n">
        <v>1.51668906</v>
      </c>
      <c r="I37" s="18" t="n">
        <v>0</v>
      </c>
      <c r="J37" s="20" t="n">
        <v>0</v>
      </c>
      <c r="K37" s="18" t="n">
        <v>1.28705028</v>
      </c>
      <c r="L37" s="20" t="n">
        <v>0.39273589</v>
      </c>
      <c r="M37" s="18" t="n">
        <v>0</v>
      </c>
      <c r="N37" s="20" t="n">
        <v>0</v>
      </c>
      <c r="O37" s="18" t="n">
        <v>0</v>
      </c>
      <c r="P37" s="20" t="n">
        <v>0</v>
      </c>
      <c r="Q37" s="18" t="n">
        <v>1.42137401</v>
      </c>
      <c r="R37" s="20" t="n">
        <v>0.49255229</v>
      </c>
    </row>
    <row r="38" spans="1:18">
      <c r="A38" s="15" t="s">
        <v>596</v>
      </c>
      <c r="B38" s="17" t="n">
        <v>2807</v>
      </c>
      <c r="C38" s="18">
        <f>(2186.0/B38*100)</f>
        <v/>
      </c>
      <c r="D38" s="19" t="n">
        <v>621</v>
      </c>
      <c r="E38" s="18" t="n">
        <v>13.49500713</v>
      </c>
      <c r="F38" s="20" t="n">
        <v>1.53282433</v>
      </c>
      <c r="G38" s="18" t="n">
        <v>85.03604704999999</v>
      </c>
      <c r="H38" s="20" t="n">
        <v>1.53720181</v>
      </c>
      <c r="I38" s="18" t="n">
        <v>0</v>
      </c>
      <c r="J38" s="20" t="n">
        <v>0</v>
      </c>
      <c r="K38" s="18" t="n">
        <v>0.90793485</v>
      </c>
      <c r="L38" s="20" t="n">
        <v>0.40875656</v>
      </c>
      <c r="M38" s="18" t="n">
        <v>0</v>
      </c>
      <c r="N38" s="20" t="n">
        <v>0</v>
      </c>
      <c r="O38" s="18" t="n">
        <v>0</v>
      </c>
      <c r="P38" s="20" t="n">
        <v>0</v>
      </c>
      <c r="Q38" s="18" t="n">
        <v>0.56101097</v>
      </c>
      <c r="R38" s="20" t="n">
        <v>0.30185177</v>
      </c>
    </row>
    <row r="39" spans="1:18">
      <c r="A39" s="15" t="s">
        <v>597</v>
      </c>
      <c r="B39" s="17" t="n">
        <v>2938</v>
      </c>
      <c r="C39" s="18">
        <f>(2280.0/B39*100)</f>
        <v/>
      </c>
      <c r="D39" s="19" t="n">
        <v>658</v>
      </c>
      <c r="E39" s="18" t="n">
        <v>31.24671073</v>
      </c>
      <c r="F39" s="20" t="n">
        <v>1.8984439</v>
      </c>
      <c r="G39" s="18" t="n">
        <v>67.33364369</v>
      </c>
      <c r="H39" s="20" t="n">
        <v>1.87186763</v>
      </c>
      <c r="I39" s="18" t="n">
        <v>0</v>
      </c>
      <c r="J39" s="20" t="n">
        <v>0</v>
      </c>
      <c r="K39" s="18" t="n">
        <v>0.14294093</v>
      </c>
      <c r="L39" s="20" t="n">
        <v>0.14363249</v>
      </c>
      <c r="M39" s="18" t="n">
        <v>0</v>
      </c>
      <c r="N39" s="20" t="n">
        <v>0</v>
      </c>
      <c r="O39" s="18" t="n">
        <v>0</v>
      </c>
      <c r="P39" s="20" t="n">
        <v>0</v>
      </c>
      <c r="Q39" s="18" t="n">
        <v>1.27670465</v>
      </c>
      <c r="R39" s="20" t="n">
        <v>0.46096819</v>
      </c>
    </row>
    <row r="40" spans="1:18">
      <c r="A40" s="15" t="s">
        <v>598</v>
      </c>
      <c r="B40" s="17" t="n">
        <v>6922</v>
      </c>
      <c r="C40" s="18">
        <f>(5394.0/B40*100)</f>
        <v/>
      </c>
      <c r="D40" s="19" t="n">
        <v>1528</v>
      </c>
      <c r="E40" s="18" t="n">
        <v>11.67137041</v>
      </c>
      <c r="F40" s="20" t="n">
        <v>1.03553877</v>
      </c>
      <c r="G40" s="18" t="n">
        <v>86.54107137</v>
      </c>
      <c r="H40" s="20" t="n">
        <v>1.09611005</v>
      </c>
      <c r="I40" s="18" t="n">
        <v>0</v>
      </c>
      <c r="J40" s="20" t="n">
        <v>0</v>
      </c>
      <c r="K40" s="18" t="n">
        <v>0.32767317</v>
      </c>
      <c r="L40" s="20" t="n">
        <v>0.22272405</v>
      </c>
      <c r="M40" s="18" t="n">
        <v>0</v>
      </c>
      <c r="N40" s="20" t="n">
        <v>0</v>
      </c>
      <c r="O40" s="18" t="n">
        <v>0</v>
      </c>
      <c r="P40" s="20" t="n">
        <v>0</v>
      </c>
      <c r="Q40" s="18" t="n">
        <v>1.45988506</v>
      </c>
      <c r="R40" s="20" t="n">
        <v>0.44875531</v>
      </c>
    </row>
    <row r="41" spans="1:18">
      <c r="A41" s="15" t="s">
        <v>599</v>
      </c>
      <c r="B41" s="17" t="n">
        <v>2854</v>
      </c>
      <c r="C41" s="18">
        <f>(2271.0/B41*100)</f>
        <v/>
      </c>
      <c r="D41" s="19" t="n">
        <v>583</v>
      </c>
      <c r="E41" s="18" t="n">
        <v>15.07117576</v>
      </c>
      <c r="F41" s="20" t="n">
        <v>1.76558779</v>
      </c>
      <c r="G41" s="18" t="n">
        <v>83.66885268999999</v>
      </c>
      <c r="H41" s="20" t="n">
        <v>1.79712696</v>
      </c>
      <c r="I41" s="18" t="n">
        <v>0</v>
      </c>
      <c r="J41" s="20" t="n">
        <v>0</v>
      </c>
      <c r="K41" s="18" t="n">
        <v>0.19468384</v>
      </c>
      <c r="L41" s="20" t="n">
        <v>0.19645817</v>
      </c>
      <c r="M41" s="18" t="n">
        <v>0</v>
      </c>
      <c r="N41" s="20" t="n">
        <v>0</v>
      </c>
      <c r="O41" s="18" t="n">
        <v>0</v>
      </c>
      <c r="P41" s="20" t="n">
        <v>0</v>
      </c>
      <c r="Q41" s="18" t="n">
        <v>1.06528771</v>
      </c>
      <c r="R41" s="20" t="n">
        <v>0.45337156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(10060.0/B46*100)</f>
        <v/>
      </c>
      <c r="D46" s="19" t="n">
        <v>2013</v>
      </c>
      <c r="E46" s="18" t="n">
        <v>20.24489808</v>
      </c>
      <c r="F46" s="20" t="n">
        <v>1.31196718</v>
      </c>
      <c r="G46" s="18" t="n">
        <v>75.41879329</v>
      </c>
      <c r="H46" s="20" t="n">
        <v>1.40114897</v>
      </c>
      <c r="I46" s="18" t="n">
        <v>0</v>
      </c>
      <c r="J46" s="20" t="n">
        <v>0</v>
      </c>
      <c r="K46" s="18" t="n">
        <v>2.22485969</v>
      </c>
      <c r="L46" s="20" t="n">
        <v>0.59222154</v>
      </c>
      <c r="M46" s="18" t="n">
        <v>0</v>
      </c>
      <c r="N46" s="20" t="n">
        <v>0</v>
      </c>
      <c r="O46" s="18" t="n">
        <v>0</v>
      </c>
      <c r="P46" s="20" t="n">
        <v>0</v>
      </c>
      <c r="Q46" s="18" t="n">
        <v>2.11144894</v>
      </c>
      <c r="R46" s="20" t="n">
        <v>0.47366123</v>
      </c>
    </row>
    <row r="47" spans="1:18">
      <c r="A47" s="15" t="s">
        <v>606</v>
      </c>
      <c r="B47" s="17" t="n">
        <v>2823</v>
      </c>
      <c r="C47" s="18">
        <f>(2201.0/B47*100)</f>
        <v/>
      </c>
      <c r="D47" s="19" t="n">
        <v>622</v>
      </c>
      <c r="E47" s="18" t="n">
        <v>22.5654522</v>
      </c>
      <c r="F47" s="20" t="n">
        <v>1.80009596</v>
      </c>
      <c r="G47" s="18" t="n">
        <v>75.53242709</v>
      </c>
      <c r="H47" s="20" t="n">
        <v>1.88236443</v>
      </c>
      <c r="I47" s="18" t="n">
        <v>0</v>
      </c>
      <c r="J47" s="20" t="n">
        <v>0</v>
      </c>
      <c r="K47" s="18" t="n">
        <v>0.95261417</v>
      </c>
      <c r="L47" s="20" t="n">
        <v>0.39957235</v>
      </c>
      <c r="M47" s="18" t="n">
        <v>0</v>
      </c>
      <c r="N47" s="20" t="n">
        <v>0</v>
      </c>
      <c r="O47" s="18" t="n">
        <v>0</v>
      </c>
      <c r="P47" s="20" t="n">
        <v>0</v>
      </c>
      <c r="Q47" s="18" t="n">
        <v>0.94950654</v>
      </c>
      <c r="R47" s="20" t="n">
        <v>0.34948542</v>
      </c>
    </row>
    <row r="48" spans="1:18">
      <c r="A48" s="15" t="s">
        <v>607</v>
      </c>
      <c r="B48" s="17" t="n">
        <v>4682</v>
      </c>
      <c r="C48" s="18">
        <f>(3686.0/B48*100)</f>
        <v/>
      </c>
      <c r="D48" s="19" t="n">
        <v>996</v>
      </c>
      <c r="E48" s="18" t="n">
        <v>8.42044772</v>
      </c>
      <c r="F48" s="20" t="n">
        <v>1.28956329</v>
      </c>
      <c r="G48" s="18" t="n">
        <v>90.12039333</v>
      </c>
      <c r="H48" s="20" t="n">
        <v>1.41751007</v>
      </c>
      <c r="I48" s="18" t="n">
        <v>0</v>
      </c>
      <c r="J48" s="20" t="n">
        <v>0</v>
      </c>
      <c r="K48" s="18" t="n">
        <v>1.17614745</v>
      </c>
      <c r="L48" s="20" t="n">
        <v>0.49031654</v>
      </c>
      <c r="M48" s="18" t="n">
        <v>0</v>
      </c>
      <c r="N48" s="20" t="n">
        <v>0</v>
      </c>
      <c r="O48" s="18" t="n">
        <v>0</v>
      </c>
      <c r="P48" s="20" t="n">
        <v>0</v>
      </c>
      <c r="Q48" s="18" t="n">
        <v>0.2830115</v>
      </c>
      <c r="R48" s="20" t="n">
        <v>0.19293846</v>
      </c>
    </row>
    <row r="49" spans="1:18">
      <c r="A49" s="15" t="s">
        <v>608</v>
      </c>
      <c r="B49" s="17" t="n">
        <v>6158</v>
      </c>
      <c r="C49" s="18">
        <f>(4827.0/B49*100)</f>
        <v/>
      </c>
      <c r="D49" s="19" t="n">
        <v>1331</v>
      </c>
      <c r="E49" s="18" t="n">
        <v>15.61654812</v>
      </c>
      <c r="F49" s="20" t="n">
        <v>1.24596355</v>
      </c>
      <c r="G49" s="18" t="n">
        <v>80.00483515000001</v>
      </c>
      <c r="H49" s="20" t="n">
        <v>1.41845725</v>
      </c>
      <c r="I49" s="18" t="n">
        <v>0</v>
      </c>
      <c r="J49" s="20" t="n">
        <v>0</v>
      </c>
      <c r="K49" s="18" t="n">
        <v>2.7992373</v>
      </c>
      <c r="L49" s="20" t="n">
        <v>0.56332379</v>
      </c>
      <c r="M49" s="18" t="n">
        <v>0</v>
      </c>
      <c r="N49" s="20" t="n">
        <v>0</v>
      </c>
      <c r="O49" s="18" t="n">
        <v>0</v>
      </c>
      <c r="P49" s="20" t="n">
        <v>0</v>
      </c>
      <c r="Q49" s="18" t="n">
        <v>1.57937943</v>
      </c>
      <c r="R49" s="20" t="n">
        <v>0.51346023</v>
      </c>
    </row>
    <row r="50" spans="1:18">
      <c r="A50" s="15" t="s">
        <v>609</v>
      </c>
      <c r="B50" s="17" t="n">
        <v>3494</v>
      </c>
      <c r="C50" s="18">
        <f>(2834.0/B50*100)</f>
        <v/>
      </c>
      <c r="D50" s="19" t="n">
        <v>660</v>
      </c>
      <c r="E50" s="18" t="n">
        <v>12.49885116</v>
      </c>
      <c r="F50" s="20" t="n">
        <v>1.36815897</v>
      </c>
      <c r="G50" s="18" t="n">
        <v>84.96813227</v>
      </c>
      <c r="H50" s="20" t="n">
        <v>1.61333567</v>
      </c>
      <c r="I50" s="18" t="n">
        <v>0</v>
      </c>
      <c r="J50" s="20" t="n">
        <v>0</v>
      </c>
      <c r="K50" s="18" t="n">
        <v>1.58588533</v>
      </c>
      <c r="L50" s="20" t="n">
        <v>0.62262059</v>
      </c>
      <c r="M50" s="18" t="n">
        <v>0</v>
      </c>
      <c r="N50" s="20" t="n">
        <v>0</v>
      </c>
      <c r="O50" s="18" t="n">
        <v>0</v>
      </c>
      <c r="P50" s="20" t="n">
        <v>0</v>
      </c>
      <c r="Q50" s="18" t="n">
        <v>0.94713123</v>
      </c>
      <c r="R50" s="20" t="n">
        <v>0.42815791</v>
      </c>
    </row>
    <row r="51" spans="1:18">
      <c r="A51" s="15" t="s">
        <v>610</v>
      </c>
      <c r="B51" s="17" t="n">
        <v>3013</v>
      </c>
      <c r="C51" s="18">
        <f>(2374.0/B51*100)</f>
        <v/>
      </c>
      <c r="D51" s="19" t="n">
        <v>639</v>
      </c>
      <c r="E51" s="18" t="n">
        <v>16.58336852</v>
      </c>
      <c r="F51" s="20" t="n">
        <v>1.10767976</v>
      </c>
      <c r="G51" s="18" t="n">
        <v>82.9403959</v>
      </c>
      <c r="H51" s="20" t="n">
        <v>1.08971579</v>
      </c>
      <c r="I51" s="18" t="n">
        <v>0</v>
      </c>
      <c r="J51" s="20" t="n">
        <v>0</v>
      </c>
      <c r="K51" s="18" t="n">
        <v>0</v>
      </c>
      <c r="L51" s="20" t="n">
        <v>0</v>
      </c>
      <c r="M51" s="18" t="n">
        <v>0</v>
      </c>
      <c r="N51" s="20" t="n">
        <v>0</v>
      </c>
      <c r="O51" s="18" t="n">
        <v>0</v>
      </c>
      <c r="P51" s="20" t="n">
        <v>0</v>
      </c>
      <c r="Q51" s="18" t="n">
        <v>0.47623558</v>
      </c>
      <c r="R51" s="20" t="n">
        <v>0.33318595</v>
      </c>
    </row>
    <row r="52" spans="1:18">
      <c r="A52" s="15" t="s">
        <v>611</v>
      </c>
      <c r="B52" s="17" t="n">
        <v>2760</v>
      </c>
      <c r="C52" s="18">
        <f>(2171.0/B52*100)</f>
        <v/>
      </c>
      <c r="D52" s="19" t="n">
        <v>589</v>
      </c>
      <c r="E52" s="18" t="n">
        <v>38.78941404</v>
      </c>
      <c r="F52" s="20" t="n">
        <v>1.88944504</v>
      </c>
      <c r="G52" s="18" t="n">
        <v>59.67633641</v>
      </c>
      <c r="H52" s="20" t="n">
        <v>1.93035134</v>
      </c>
      <c r="I52" s="18" t="n">
        <v>0</v>
      </c>
      <c r="J52" s="20" t="n">
        <v>0</v>
      </c>
      <c r="K52" s="18" t="n">
        <v>0.22629385</v>
      </c>
      <c r="L52" s="20" t="n">
        <v>0.22618242</v>
      </c>
      <c r="M52" s="18" t="n">
        <v>0</v>
      </c>
      <c r="N52" s="20" t="n">
        <v>0</v>
      </c>
      <c r="O52" s="18" t="n">
        <v>0</v>
      </c>
      <c r="P52" s="20" t="n">
        <v>0</v>
      </c>
      <c r="Q52" s="18" t="n">
        <v>1.3079557</v>
      </c>
      <c r="R52" s="20" t="n">
        <v>0.43101178</v>
      </c>
    </row>
    <row r="53" spans="1:18">
      <c r="A53" s="15" t="s">
        <v>612</v>
      </c>
      <c r="B53" s="17" t="n">
        <v>2474</v>
      </c>
      <c r="C53" s="18">
        <f>(1889.0/B53*100)</f>
        <v/>
      </c>
      <c r="D53" s="19" t="n">
        <v>585</v>
      </c>
      <c r="E53" s="18" t="n">
        <v>22.79361666</v>
      </c>
      <c r="F53" s="20" t="n">
        <v>2.06121968</v>
      </c>
      <c r="G53" s="18" t="n">
        <v>59.11863075</v>
      </c>
      <c r="H53" s="20" t="n">
        <v>2.30397806</v>
      </c>
      <c r="I53" s="18" t="n">
        <v>0</v>
      </c>
      <c r="J53" s="20" t="n">
        <v>0</v>
      </c>
      <c r="K53" s="18" t="n">
        <v>15.57135303</v>
      </c>
      <c r="L53" s="20" t="n">
        <v>1.67536204</v>
      </c>
      <c r="M53" s="18" t="n">
        <v>0</v>
      </c>
      <c r="N53" s="20" t="n">
        <v>0</v>
      </c>
      <c r="O53" s="18" t="n">
        <v>0</v>
      </c>
      <c r="P53" s="20" t="n">
        <v>0</v>
      </c>
      <c r="Q53" s="18" t="n">
        <v>2.51639955</v>
      </c>
      <c r="R53" s="20" t="n">
        <v>0.724821</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(2071.0/B55*100)</f>
        <v/>
      </c>
      <c r="D55" s="19" t="n">
        <v>604</v>
      </c>
      <c r="E55" s="18" t="n">
        <v>9.78406695</v>
      </c>
      <c r="F55" s="20" t="n">
        <v>1.39263957</v>
      </c>
      <c r="G55" s="18" t="n">
        <v>89.89908106</v>
      </c>
      <c r="H55" s="20" t="n">
        <v>1.36195531</v>
      </c>
      <c r="I55" s="18" t="n">
        <v>0</v>
      </c>
      <c r="J55" s="20" t="n">
        <v>0</v>
      </c>
      <c r="K55" s="18" t="n">
        <v>0.13631152</v>
      </c>
      <c r="L55" s="20" t="n">
        <v>0.13596709</v>
      </c>
      <c r="M55" s="18" t="n">
        <v>0</v>
      </c>
      <c r="N55" s="20" t="n">
        <v>0</v>
      </c>
      <c r="O55" s="18" t="n">
        <v>0</v>
      </c>
      <c r="P55" s="20" t="n">
        <v>0</v>
      </c>
      <c r="Q55" s="18" t="n">
        <v>0.18054048</v>
      </c>
      <c r="R55" s="20" t="n">
        <v>0.17681609</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(2495.0/B61*100)</f>
        <v/>
      </c>
      <c r="D61" s="19" t="n">
        <v>706</v>
      </c>
      <c r="E61" s="18" t="n">
        <v>12.68569721</v>
      </c>
      <c r="F61" s="20" t="n">
        <v>1.43814998</v>
      </c>
      <c r="G61" s="18" t="n">
        <v>86.10103965</v>
      </c>
      <c r="H61" s="20" t="n">
        <v>1.46985795</v>
      </c>
      <c r="I61" s="18" t="n">
        <v>0</v>
      </c>
      <c r="J61" s="20" t="n">
        <v>0</v>
      </c>
      <c r="K61" s="18" t="n">
        <v>0.90204808</v>
      </c>
      <c r="L61" s="20" t="n">
        <v>0.47749871</v>
      </c>
      <c r="M61" s="18" t="n">
        <v>0</v>
      </c>
      <c r="N61" s="20" t="n">
        <v>0</v>
      </c>
      <c r="O61" s="18" t="n">
        <v>0</v>
      </c>
      <c r="P61" s="20" t="n">
        <v>0</v>
      </c>
      <c r="Q61" s="18" t="n">
        <v>0.31121506</v>
      </c>
      <c r="R61" s="20" t="n">
        <v>0.19484071</v>
      </c>
    </row>
    <row r="62" spans="1:18">
      <c r="A62" s="15" t="s">
        <v>622</v>
      </c>
      <c r="B62" s="17" t="n">
        <v>2230</v>
      </c>
      <c r="C62" s="18">
        <f>(1751.0/B62*100)</f>
        <v/>
      </c>
      <c r="D62" s="19" t="n">
        <v>479</v>
      </c>
      <c r="E62" s="18" t="n">
        <v>6.92198684</v>
      </c>
      <c r="F62" s="20" t="n">
        <v>1.10763772</v>
      </c>
      <c r="G62" s="18" t="n">
        <v>92.8704386</v>
      </c>
      <c r="H62" s="20" t="n">
        <v>1.09491546</v>
      </c>
      <c r="I62" s="18" t="n">
        <v>0</v>
      </c>
      <c r="J62" s="20" t="n">
        <v>0</v>
      </c>
      <c r="K62" s="18" t="n">
        <v>0</v>
      </c>
      <c r="L62" s="20" t="n">
        <v>0</v>
      </c>
      <c r="M62" s="18" t="n">
        <v>0</v>
      </c>
      <c r="N62" s="20" t="n">
        <v>0</v>
      </c>
      <c r="O62" s="18" t="n">
        <v>0</v>
      </c>
      <c r="P62" s="20" t="n">
        <v>0</v>
      </c>
      <c r="Q62" s="18" t="n">
        <v>0.20757456</v>
      </c>
      <c r="R62" s="20" t="n">
        <v>0.20825665</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(2165.0/B67*100)</f>
        <v/>
      </c>
      <c r="D67" s="19" t="n">
        <v>606</v>
      </c>
      <c r="E67" s="18" t="n">
        <v>24.50462096</v>
      </c>
      <c r="F67" s="20" t="n">
        <v>1.71637642</v>
      </c>
      <c r="G67" s="18" t="n">
        <v>71.7462046</v>
      </c>
      <c r="H67" s="20" t="n">
        <v>1.868189</v>
      </c>
      <c r="I67" s="18" t="n">
        <v>0</v>
      </c>
      <c r="J67" s="20" t="n">
        <v>0</v>
      </c>
      <c r="K67" s="18" t="n">
        <v>0.45367866</v>
      </c>
      <c r="L67" s="20" t="n">
        <v>0.26612523</v>
      </c>
      <c r="M67" s="18" t="n">
        <v>0</v>
      </c>
      <c r="N67" s="20" t="n">
        <v>0</v>
      </c>
      <c r="O67" s="18" t="n">
        <v>0</v>
      </c>
      <c r="P67" s="20" t="n">
        <v>0</v>
      </c>
      <c r="Q67" s="18" t="n">
        <v>3.29549578</v>
      </c>
      <c r="R67" s="20" t="n">
        <v>0.73635313</v>
      </c>
    </row>
    <row r="68" spans="1:18">
      <c r="A68" s="15" t="s">
        <v>628</v>
      </c>
      <c r="B68" s="17" t="n">
        <v>3460</v>
      </c>
      <c r="C68" s="18">
        <f>(2834.0/B68*100)</f>
        <v/>
      </c>
      <c r="D68" s="19" t="n">
        <v>626</v>
      </c>
      <c r="E68" s="18" t="n">
        <v>19.42652066</v>
      </c>
      <c r="F68" s="20" t="n">
        <v>1.8232549</v>
      </c>
      <c r="G68" s="18" t="n">
        <v>78.61959174</v>
      </c>
      <c r="H68" s="20" t="n">
        <v>1.91133664</v>
      </c>
      <c r="I68" s="18" t="n">
        <v>0</v>
      </c>
      <c r="J68" s="20" t="n">
        <v>0</v>
      </c>
      <c r="K68" s="18" t="n">
        <v>0.43760996</v>
      </c>
      <c r="L68" s="20" t="n">
        <v>0.24130709</v>
      </c>
      <c r="M68" s="18" t="n">
        <v>0</v>
      </c>
      <c r="N68" s="20" t="n">
        <v>0</v>
      </c>
      <c r="O68" s="18" t="n">
        <v>0</v>
      </c>
      <c r="P68" s="20" t="n">
        <v>0</v>
      </c>
      <c r="Q68" s="18" t="n">
        <v>1.51627763</v>
      </c>
      <c r="R68" s="20" t="n">
        <v>0.5262599100000001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(4680.0/B70*100)</f>
        <v/>
      </c>
      <c r="D70" s="19" t="n">
        <v>1354</v>
      </c>
      <c r="E70" s="18" t="n">
        <v>18.92901966</v>
      </c>
      <c r="F70" s="20" t="n">
        <v>1.18983383</v>
      </c>
      <c r="G70" s="18" t="n">
        <v>77.14475476</v>
      </c>
      <c r="H70" s="20" t="n">
        <v>1.27375828</v>
      </c>
      <c r="I70" s="18" t="n">
        <v>0</v>
      </c>
      <c r="J70" s="20" t="n">
        <v>0</v>
      </c>
      <c r="K70" s="18" t="n">
        <v>2.41275785</v>
      </c>
      <c r="L70" s="20" t="n">
        <v>0.40589716</v>
      </c>
      <c r="M70" s="18" t="n">
        <v>0</v>
      </c>
      <c r="N70" s="20" t="n">
        <v>0</v>
      </c>
      <c r="O70" s="18" t="n">
        <v>0</v>
      </c>
      <c r="P70" s="20" t="n">
        <v>0</v>
      </c>
      <c r="Q70" s="18" t="n">
        <v>1.51346773</v>
      </c>
      <c r="R70" s="20" t="n">
        <v>0.34641027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(2440.0/B72*100)</f>
        <v/>
      </c>
      <c r="D72" s="19" t="n">
        <v>667</v>
      </c>
      <c r="E72" s="18" t="n">
        <v>15.33251258</v>
      </c>
      <c r="F72" s="20" t="n">
        <v>2.020442</v>
      </c>
      <c r="G72" s="18" t="n">
        <v>82.79362394</v>
      </c>
      <c r="H72" s="20" t="n">
        <v>2.12584345</v>
      </c>
      <c r="I72" s="18" t="n">
        <v>0</v>
      </c>
      <c r="J72" s="20" t="n">
        <v>0</v>
      </c>
      <c r="K72" s="18" t="n">
        <v>0.60339617</v>
      </c>
      <c r="L72" s="20" t="n">
        <v>0.22330506</v>
      </c>
      <c r="M72" s="18" t="n">
        <v>0</v>
      </c>
      <c r="N72" s="20" t="n">
        <v>0</v>
      </c>
      <c r="O72" s="18" t="n">
        <v>0</v>
      </c>
      <c r="P72" s="20" t="n">
        <v>0</v>
      </c>
      <c r="Q72" s="18" t="n">
        <v>1.2704673</v>
      </c>
      <c r="R72" s="20" t="n">
        <v>0.54039868</v>
      </c>
    </row>
    <row r="73" spans="1:18">
      <c r="A73" s="15" t="s">
        <v>633</v>
      </c>
      <c r="B73" s="17" t="n">
        <v>2973</v>
      </c>
      <c r="C73" s="18">
        <f>(2333.0/B73*100)</f>
        <v/>
      </c>
      <c r="D73" s="19" t="n">
        <v>640</v>
      </c>
      <c r="E73" s="18" t="n">
        <v>7.71270092</v>
      </c>
      <c r="F73" s="20" t="n">
        <v>1.16061115</v>
      </c>
      <c r="G73" s="18" t="n">
        <v>91.87034258</v>
      </c>
      <c r="H73" s="20" t="n">
        <v>1.21055726</v>
      </c>
      <c r="I73" s="18" t="n">
        <v>0</v>
      </c>
      <c r="J73" s="20" t="n">
        <v>0</v>
      </c>
      <c r="K73" s="18" t="n">
        <v>0</v>
      </c>
      <c r="L73" s="20" t="n">
        <v>0</v>
      </c>
      <c r="M73" s="18" t="n">
        <v>0</v>
      </c>
      <c r="N73" s="20" t="n">
        <v>0</v>
      </c>
      <c r="O73" s="18" t="n">
        <v>0</v>
      </c>
      <c r="P73" s="20" t="n">
        <v>0</v>
      </c>
      <c r="Q73" s="18" t="n">
        <v>0.4169565</v>
      </c>
      <c r="R73" s="20" t="n">
        <v>0.25156072</v>
      </c>
    </row>
    <row r="74" spans="1:18">
      <c r="A74" s="15" t="s">
        <v>634</v>
      </c>
      <c r="B74" s="17" t="n">
        <v>3819</v>
      </c>
      <c r="C74" s="18">
        <f>(3013.0/B74*100)</f>
        <v/>
      </c>
      <c r="D74" s="19" t="n">
        <v>806</v>
      </c>
      <c r="E74" s="18" t="n">
        <v>10.73118313</v>
      </c>
      <c r="F74" s="20" t="n">
        <v>1.09551832</v>
      </c>
      <c r="G74" s="18" t="n">
        <v>88.82505352</v>
      </c>
      <c r="H74" s="20" t="n">
        <v>1.13671668</v>
      </c>
      <c r="I74" s="18" t="n">
        <v>0</v>
      </c>
      <c r="J74" s="20" t="n">
        <v>0</v>
      </c>
      <c r="K74" s="18" t="n">
        <v>0.19101494</v>
      </c>
      <c r="L74" s="20" t="n">
        <v>0.27024971</v>
      </c>
      <c r="M74" s="18" t="n">
        <v>0</v>
      </c>
      <c r="N74" s="20" t="n">
        <v>0</v>
      </c>
      <c r="O74" s="18" t="n">
        <v>0</v>
      </c>
      <c r="P74" s="20" t="n">
        <v>0</v>
      </c>
      <c r="Q74" s="18" t="n">
        <v>0.25274842</v>
      </c>
      <c r="R74" s="20" t="n">
        <v>0.18073224</v>
      </c>
    </row>
    <row r="75" spans="1:18">
      <c r="A75" s="15" t="s">
        <v>635</v>
      </c>
      <c r="B75" s="17" t="n">
        <v>4652</v>
      </c>
      <c r="C75" s="18">
        <f>(3670.0/B75*100)</f>
        <v/>
      </c>
      <c r="D75" s="19" t="n">
        <v>982</v>
      </c>
      <c r="E75" s="18" t="n">
        <v>20.15807288</v>
      </c>
      <c r="F75" s="20" t="n">
        <v>1.54891616</v>
      </c>
      <c r="G75" s="18" t="n">
        <v>79.40124127999999</v>
      </c>
      <c r="H75" s="20" t="n">
        <v>1.59925464</v>
      </c>
      <c r="I75" s="18" t="n">
        <v>0</v>
      </c>
      <c r="J75" s="20" t="n">
        <v>0</v>
      </c>
      <c r="K75" s="18" t="n">
        <v>0.14629851</v>
      </c>
      <c r="L75" s="20" t="n">
        <v>0.14596119</v>
      </c>
      <c r="M75" s="18" t="n">
        <v>0</v>
      </c>
      <c r="N75" s="20" t="n">
        <v>0</v>
      </c>
      <c r="O75" s="18" t="n">
        <v>0</v>
      </c>
      <c r="P75" s="20" t="n">
        <v>0</v>
      </c>
      <c r="Q75" s="18" t="n">
        <v>0.29438732</v>
      </c>
      <c r="R75" s="20" t="n">
        <v>0.20752387</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(2385.0/B77*100)</f>
        <v/>
      </c>
      <c r="D77" s="19" t="n">
        <v>584</v>
      </c>
      <c r="E77" s="18" t="n">
        <v>29.80049136</v>
      </c>
      <c r="F77" s="20" t="n">
        <v>2.15049201</v>
      </c>
      <c r="G77" s="18" t="n">
        <v>64.35667273</v>
      </c>
      <c r="H77" s="20" t="n">
        <v>2.26720055</v>
      </c>
      <c r="I77" s="18" t="n">
        <v>0</v>
      </c>
      <c r="J77" s="20" t="n">
        <v>0</v>
      </c>
      <c r="K77" s="18" t="n">
        <v>3.93340055</v>
      </c>
      <c r="L77" s="20" t="n">
        <v>0.86504568</v>
      </c>
      <c r="M77" s="18" t="n">
        <v>0</v>
      </c>
      <c r="N77" s="20" t="n">
        <v>0</v>
      </c>
      <c r="O77" s="18" t="n">
        <v>0</v>
      </c>
      <c r="P77" s="20" t="n">
        <v>0</v>
      </c>
      <c r="Q77" s="18" t="n">
        <v>1.90943537</v>
      </c>
      <c r="R77" s="20" t="n">
        <v>0.50149979</v>
      </c>
    </row>
    <row r="78" spans="1:18">
      <c r="A78" s="15" t="s">
        <v>638</v>
      </c>
      <c r="B78" s="17" t="n">
        <v>7115</v>
      </c>
      <c r="C78" s="18">
        <f>(5541.0/B78*100)</f>
        <v/>
      </c>
      <c r="D78" s="19" t="n">
        <v>1574</v>
      </c>
      <c r="E78" s="18" t="n">
        <v>15.19236821</v>
      </c>
      <c r="F78" s="20" t="n">
        <v>1.2159238</v>
      </c>
      <c r="G78" s="18" t="n">
        <v>82.65374885999999</v>
      </c>
      <c r="H78" s="20" t="n">
        <v>1.20168954</v>
      </c>
      <c r="I78" s="18" t="n">
        <v>0</v>
      </c>
      <c r="J78" s="20" t="n">
        <v>0</v>
      </c>
      <c r="K78" s="18" t="n">
        <v>1.28796183</v>
      </c>
      <c r="L78" s="20" t="n">
        <v>0.30406229</v>
      </c>
      <c r="M78" s="18" t="n">
        <v>0</v>
      </c>
      <c r="N78" s="20" t="n">
        <v>0</v>
      </c>
      <c r="O78" s="18" t="n">
        <v>0</v>
      </c>
      <c r="P78" s="20" t="n">
        <v>0</v>
      </c>
      <c r="Q78" s="18" t="n">
        <v>0.86592111</v>
      </c>
      <c r="R78" s="20" t="n">
        <v>0.37733182</v>
      </c>
    </row>
    <row r="79" spans="1:18">
      <c r="A79" s="15" t="s">
        <v>639</v>
      </c>
      <c r="B79" s="17" t="n">
        <v>3154</v>
      </c>
      <c r="C79" s="18">
        <f>(2464.0/B79*100)</f>
        <v/>
      </c>
      <c r="D79" s="19" t="n">
        <v>690</v>
      </c>
      <c r="E79" s="18" t="n">
        <v>13.51284053</v>
      </c>
      <c r="F79" s="20" t="n">
        <v>1.16697941</v>
      </c>
      <c r="G79" s="18" t="n">
        <v>84.29636305</v>
      </c>
      <c r="H79" s="20" t="n">
        <v>1.37909944</v>
      </c>
      <c r="I79" s="18" t="n">
        <v>0</v>
      </c>
      <c r="J79" s="20" t="n">
        <v>0</v>
      </c>
      <c r="K79" s="18" t="n">
        <v>0.8892698</v>
      </c>
      <c r="L79" s="20" t="n">
        <v>0.40253949</v>
      </c>
      <c r="M79" s="18" t="n">
        <v>0</v>
      </c>
      <c r="N79" s="20" t="n">
        <v>0</v>
      </c>
      <c r="O79" s="18" t="n">
        <v>0</v>
      </c>
      <c r="P79" s="20" t="n">
        <v>0</v>
      </c>
      <c r="Q79" s="18" t="n">
        <v>1.30152662</v>
      </c>
      <c r="R79" s="20" t="n">
        <v>0.61744207</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(12458.0/B82*100)</f>
        <v/>
      </c>
      <c r="D82" s="19" t="n">
        <v>3503</v>
      </c>
      <c r="E82" s="18" t="n">
        <v>8.651527679999999</v>
      </c>
      <c r="F82" s="20" t="n">
        <v>0.70434675</v>
      </c>
      <c r="G82" s="18" t="n">
        <v>90.39935746</v>
      </c>
      <c r="H82" s="20" t="n">
        <v>0.75351838</v>
      </c>
      <c r="I82" s="18" t="n">
        <v>0</v>
      </c>
      <c r="J82" s="20" t="n">
        <v>0</v>
      </c>
      <c r="K82" s="18" t="n">
        <v>0.33398022</v>
      </c>
      <c r="L82" s="20" t="n">
        <v>0.11590502</v>
      </c>
      <c r="M82" s="18" t="n">
        <v>0</v>
      </c>
      <c r="N82" s="20" t="n">
        <v>0</v>
      </c>
      <c r="O82" s="18" t="n">
        <v>0</v>
      </c>
      <c r="P82" s="20" t="n">
        <v>0</v>
      </c>
      <c r="Q82" s="18" t="n">
        <v>0.61513465</v>
      </c>
      <c r="R82" s="20" t="n">
        <v>0.16865738</v>
      </c>
    </row>
    <row r="83" spans="1:18">
      <c r="A83" s="15" t="s">
        <v>643</v>
      </c>
      <c r="B83" s="17" t="n">
        <v>808</v>
      </c>
      <c r="C83" s="18">
        <f>(619.0/B83*100)</f>
        <v/>
      </c>
      <c r="D83" s="19" t="n">
        <v>189</v>
      </c>
      <c r="E83" s="18" t="n">
        <v>12.53457657</v>
      </c>
      <c r="F83" s="20" t="n">
        <v>2.83556761</v>
      </c>
      <c r="G83" s="18" t="n">
        <v>87.46542343</v>
      </c>
      <c r="H83" s="20" t="n">
        <v>2.83556761</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(719.0/B84*100)</f>
        <v/>
      </c>
      <c r="D84" s="19" t="n">
        <v>219</v>
      </c>
      <c r="E84" s="18" t="n">
        <v>10.34805794</v>
      </c>
      <c r="F84" s="20" t="n">
        <v>2.23037544</v>
      </c>
      <c r="G84" s="18" t="n">
        <v>89.65194206</v>
      </c>
      <c r="H84" s="20" t="n">
        <v>2.23037544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(5651.0/B7*100)</f>
        <v/>
      </c>
      <c r="D7" s="19" t="n">
        <v>1512</v>
      </c>
      <c r="E7" s="18" t="n">
        <v>52.72360382</v>
      </c>
      <c r="F7" s="20" t="n">
        <v>1.35780276</v>
      </c>
      <c r="G7" s="18" t="n">
        <v>45.062266</v>
      </c>
      <c r="H7" s="20" t="n">
        <v>1.44803559</v>
      </c>
      <c r="I7" s="18" t="n">
        <v>0</v>
      </c>
      <c r="J7" s="20" t="n">
        <v>0</v>
      </c>
      <c r="K7" s="18" t="n">
        <v>0.9129021899999999</v>
      </c>
      <c r="L7" s="20" t="n">
        <v>0.30407833</v>
      </c>
      <c r="M7" s="18" t="n">
        <v>0</v>
      </c>
      <c r="N7" s="20" t="n">
        <v>0</v>
      </c>
      <c r="O7" s="18" t="n">
        <v>0</v>
      </c>
      <c r="P7" s="20" t="n">
        <v>0</v>
      </c>
      <c r="Q7" s="18" t="n">
        <v>1.301228</v>
      </c>
      <c r="R7" s="20" t="n">
        <v>0.30168974</v>
      </c>
    </row>
    <row r="8" spans="1:18">
      <c r="A8" s="15" t="s">
        <v>566</v>
      </c>
      <c r="B8" s="17" t="n">
        <v>3443</v>
      </c>
      <c r="C8" s="18">
        <f>(2673.0/B8*100)</f>
        <v/>
      </c>
      <c r="D8" s="19" t="n">
        <v>770</v>
      </c>
      <c r="E8" s="18" t="n">
        <v>40.03150122</v>
      </c>
      <c r="F8" s="20" t="n">
        <v>1.91911499</v>
      </c>
      <c r="G8" s="18" t="n">
        <v>58.82139262</v>
      </c>
      <c r="H8" s="20" t="n">
        <v>1.94017551</v>
      </c>
      <c r="I8" s="18" t="n">
        <v>0</v>
      </c>
      <c r="J8" s="20" t="n">
        <v>0</v>
      </c>
      <c r="K8" s="18" t="n">
        <v>0.1169765</v>
      </c>
      <c r="L8" s="20" t="n">
        <v>0.11631556</v>
      </c>
      <c r="M8" s="18" t="n">
        <v>0</v>
      </c>
      <c r="N8" s="20" t="n">
        <v>0</v>
      </c>
      <c r="O8" s="18" t="n">
        <v>0</v>
      </c>
      <c r="P8" s="20" t="n">
        <v>0</v>
      </c>
      <c r="Q8" s="18" t="n">
        <v>1.03012967</v>
      </c>
      <c r="R8" s="20" t="n">
        <v>0.42630878</v>
      </c>
    </row>
    <row r="9" spans="1:18">
      <c r="A9" s="15" t="s">
        <v>567</v>
      </c>
      <c r="B9" s="17" t="n">
        <v>4752</v>
      </c>
      <c r="C9" s="18">
        <f>(3736.0/B9*100)</f>
        <v/>
      </c>
      <c r="D9" s="19" t="n">
        <v>1016</v>
      </c>
      <c r="E9" s="18" t="n">
        <v>49.61043098</v>
      </c>
      <c r="F9" s="20" t="n">
        <v>2.01865027</v>
      </c>
      <c r="G9" s="18" t="n">
        <v>47.48805742</v>
      </c>
      <c r="H9" s="20" t="n">
        <v>2.01414712</v>
      </c>
      <c r="I9" s="18" t="n">
        <v>0</v>
      </c>
      <c r="J9" s="20" t="n">
        <v>0</v>
      </c>
      <c r="K9" s="18" t="n">
        <v>0.761833</v>
      </c>
      <c r="L9" s="20" t="n">
        <v>0.30452331</v>
      </c>
      <c r="M9" s="18" t="n">
        <v>0</v>
      </c>
      <c r="N9" s="20" t="n">
        <v>0</v>
      </c>
      <c r="O9" s="18" t="n">
        <v>0</v>
      </c>
      <c r="P9" s="20" t="n">
        <v>0</v>
      </c>
      <c r="Q9" s="18" t="n">
        <v>2.1396786</v>
      </c>
      <c r="R9" s="20" t="n">
        <v>0.47079267</v>
      </c>
    </row>
    <row r="10" spans="1:18">
      <c r="A10" s="15" t="s">
        <v>568</v>
      </c>
      <c r="B10" s="17" t="n">
        <v>10022</v>
      </c>
      <c r="C10" s="18">
        <f>(7832.0/B10*100)</f>
        <v/>
      </c>
      <c r="D10" s="19" t="n">
        <v>2190</v>
      </c>
      <c r="E10" s="18" t="n">
        <v>42.33755447</v>
      </c>
      <c r="F10" s="20" t="n">
        <v>1.5218454</v>
      </c>
      <c r="G10" s="18" t="n">
        <v>55.49301583</v>
      </c>
      <c r="H10" s="20" t="n">
        <v>1.50796521</v>
      </c>
      <c r="I10" s="18" t="n">
        <v>0</v>
      </c>
      <c r="J10" s="20" t="n">
        <v>0</v>
      </c>
      <c r="K10" s="18" t="n">
        <v>1.03395894</v>
      </c>
      <c r="L10" s="20" t="n">
        <v>0.32352471</v>
      </c>
      <c r="M10" s="18" t="n">
        <v>0</v>
      </c>
      <c r="N10" s="20" t="n">
        <v>0</v>
      </c>
      <c r="O10" s="18" t="n">
        <v>0</v>
      </c>
      <c r="P10" s="20" t="n">
        <v>0</v>
      </c>
      <c r="Q10" s="18" t="n">
        <v>1.13547076</v>
      </c>
      <c r="R10" s="20" t="n">
        <v>0.28356096</v>
      </c>
    </row>
    <row r="11" spans="1:18">
      <c r="A11" s="15" t="s">
        <v>569</v>
      </c>
      <c r="B11" s="17" t="n">
        <v>3500</v>
      </c>
      <c r="C11" s="18">
        <f>(2733.0/B11*100)</f>
        <v/>
      </c>
      <c r="D11" s="19" t="n">
        <v>767</v>
      </c>
      <c r="E11" s="18" t="n">
        <v>53.84095708</v>
      </c>
      <c r="F11" s="20" t="n">
        <v>2.19620479</v>
      </c>
      <c r="G11" s="18" t="n">
        <v>39.9483143</v>
      </c>
      <c r="H11" s="20" t="n">
        <v>2.18105932</v>
      </c>
      <c r="I11" s="18" t="n">
        <v>0</v>
      </c>
      <c r="J11" s="20" t="n">
        <v>0</v>
      </c>
      <c r="K11" s="18" t="n">
        <v>1.48758081</v>
      </c>
      <c r="L11" s="20" t="n">
        <v>0.41705296</v>
      </c>
      <c r="M11" s="18" t="n">
        <v>0</v>
      </c>
      <c r="N11" s="20" t="n">
        <v>0</v>
      </c>
      <c r="O11" s="18" t="n">
        <v>0</v>
      </c>
      <c r="P11" s="20" t="n">
        <v>0</v>
      </c>
      <c r="Q11" s="18" t="n">
        <v>4.7231478</v>
      </c>
      <c r="R11" s="20" t="n">
        <v>0.95790365</v>
      </c>
    </row>
    <row r="12" spans="1:18">
      <c r="A12" s="15" t="s">
        <v>570</v>
      </c>
      <c r="B12" s="17" t="n">
        <v>3422</v>
      </c>
      <c r="C12" s="18">
        <f>(2709.0/B12*100)</f>
        <v/>
      </c>
      <c r="D12" s="19" t="n">
        <v>713</v>
      </c>
      <c r="E12" s="18" t="n">
        <v>50.54179624</v>
      </c>
      <c r="F12" s="20" t="n">
        <v>2.38840476</v>
      </c>
      <c r="G12" s="18" t="n">
        <v>47.32012279</v>
      </c>
      <c r="H12" s="20" t="n">
        <v>2.42965769</v>
      </c>
      <c r="I12" s="18" t="n">
        <v>0</v>
      </c>
      <c r="J12" s="20" t="n">
        <v>0</v>
      </c>
      <c r="K12" s="18" t="n">
        <v>0.20228776</v>
      </c>
      <c r="L12" s="20" t="n">
        <v>0.13987903</v>
      </c>
      <c r="M12" s="18" t="n">
        <v>0</v>
      </c>
      <c r="N12" s="20" t="n">
        <v>0</v>
      </c>
      <c r="O12" s="18" t="n">
        <v>0</v>
      </c>
      <c r="P12" s="20" t="n">
        <v>0</v>
      </c>
      <c r="Q12" s="18" t="n">
        <v>1.93579321</v>
      </c>
      <c r="R12" s="20" t="n">
        <v>0.58216438</v>
      </c>
    </row>
    <row r="13" spans="1:18">
      <c r="A13" s="15" t="s">
        <v>571</v>
      </c>
      <c r="B13" s="17" t="n">
        <v>3602</v>
      </c>
      <c r="C13" s="18">
        <f>(2915.0/B13*100)</f>
        <v/>
      </c>
      <c r="D13" s="19" t="n">
        <v>687</v>
      </c>
      <c r="E13" s="18" t="n">
        <v>63.36353467</v>
      </c>
      <c r="F13" s="20" t="n">
        <v>2.19974719</v>
      </c>
      <c r="G13" s="18" t="n">
        <v>34.19592879</v>
      </c>
      <c r="H13" s="20" t="n">
        <v>2.10353977</v>
      </c>
      <c r="I13" s="18" t="n">
        <v>0</v>
      </c>
      <c r="J13" s="20" t="n">
        <v>0</v>
      </c>
      <c r="K13" s="18" t="n">
        <v>0.84934357</v>
      </c>
      <c r="L13" s="20" t="n">
        <v>0.41603645</v>
      </c>
      <c r="M13" s="18" t="n">
        <v>0</v>
      </c>
      <c r="N13" s="20" t="n">
        <v>0</v>
      </c>
      <c r="O13" s="18" t="n">
        <v>0</v>
      </c>
      <c r="P13" s="20" t="n">
        <v>0</v>
      </c>
      <c r="Q13" s="18" t="n">
        <v>1.59119297</v>
      </c>
      <c r="R13" s="20" t="n">
        <v>0.42432036</v>
      </c>
    </row>
    <row r="14" spans="1:18">
      <c r="A14" s="15" t="s">
        <v>572</v>
      </c>
      <c r="B14" s="17" t="n">
        <v>2788</v>
      </c>
      <c r="C14" s="18">
        <f>(2159.0/B14*100)</f>
        <v/>
      </c>
      <c r="D14" s="19" t="n">
        <v>629</v>
      </c>
      <c r="E14" s="18" t="n">
        <v>30.96335754</v>
      </c>
      <c r="F14" s="20" t="n">
        <v>1.99911494</v>
      </c>
      <c r="G14" s="18" t="n">
        <v>67.94500676</v>
      </c>
      <c r="H14" s="20" t="n">
        <v>2.06870947</v>
      </c>
      <c r="I14" s="18" t="n">
        <v>0</v>
      </c>
      <c r="J14" s="20" t="n">
        <v>0</v>
      </c>
      <c r="K14" s="18" t="n">
        <v>0.5607390799999999</v>
      </c>
      <c r="L14" s="20" t="n">
        <v>0.28774103</v>
      </c>
      <c r="M14" s="18" t="n">
        <v>0</v>
      </c>
      <c r="N14" s="20" t="n">
        <v>0</v>
      </c>
      <c r="O14" s="18" t="n">
        <v>0</v>
      </c>
      <c r="P14" s="20" t="n">
        <v>0</v>
      </c>
      <c r="Q14" s="18" t="n">
        <v>0.53089661</v>
      </c>
      <c r="R14" s="20" t="n">
        <v>0.26591064</v>
      </c>
    </row>
    <row r="15" spans="1:18">
      <c r="A15" s="15" t="s">
        <v>573</v>
      </c>
      <c r="B15" s="17" t="n">
        <v>2863</v>
      </c>
      <c r="C15" s="18">
        <f>(2231.0/B15*100)</f>
        <v/>
      </c>
      <c r="D15" s="19" t="n">
        <v>632</v>
      </c>
      <c r="E15" s="18" t="n">
        <v>61.93257817</v>
      </c>
      <c r="F15" s="20" t="n">
        <v>2.00719982</v>
      </c>
      <c r="G15" s="18" t="n">
        <v>36.90627609</v>
      </c>
      <c r="H15" s="20" t="n">
        <v>2.0386574</v>
      </c>
      <c r="I15" s="18" t="n">
        <v>0</v>
      </c>
      <c r="J15" s="20" t="n">
        <v>0</v>
      </c>
      <c r="K15" s="18" t="n">
        <v>0.1702169</v>
      </c>
      <c r="L15" s="20" t="n">
        <v>0.1756844</v>
      </c>
      <c r="M15" s="18" t="n">
        <v>0</v>
      </c>
      <c r="N15" s="20" t="n">
        <v>0</v>
      </c>
      <c r="O15" s="18" t="n">
        <v>0</v>
      </c>
      <c r="P15" s="20" t="n">
        <v>0</v>
      </c>
      <c r="Q15" s="18" t="n">
        <v>0.99092884</v>
      </c>
      <c r="R15" s="20" t="n">
        <v>0.40499321</v>
      </c>
    </row>
    <row r="16" spans="1:18">
      <c r="A16" s="15" t="s">
        <v>574</v>
      </c>
      <c r="B16" s="17" t="n">
        <v>3111</v>
      </c>
      <c r="C16" s="18">
        <f>(2443.0/B16*100)</f>
        <v/>
      </c>
      <c r="D16" s="19" t="n">
        <v>668</v>
      </c>
      <c r="E16" s="18" t="n">
        <v>43.46920095</v>
      </c>
      <c r="F16" s="20" t="n">
        <v>1.83472069</v>
      </c>
      <c r="G16" s="18" t="n">
        <v>52.34999427</v>
      </c>
      <c r="H16" s="20" t="n">
        <v>1.92263567</v>
      </c>
      <c r="I16" s="18" t="n">
        <v>0</v>
      </c>
      <c r="J16" s="20" t="n">
        <v>0</v>
      </c>
      <c r="K16" s="18" t="n">
        <v>2.01813932</v>
      </c>
      <c r="L16" s="20" t="n">
        <v>0.53075195</v>
      </c>
      <c r="M16" s="18" t="n">
        <v>0</v>
      </c>
      <c r="N16" s="20" t="n">
        <v>0</v>
      </c>
      <c r="O16" s="18" t="n">
        <v>0</v>
      </c>
      <c r="P16" s="20" t="n">
        <v>0</v>
      </c>
      <c r="Q16" s="18" t="n">
        <v>2.16266546</v>
      </c>
      <c r="R16" s="20" t="n">
        <v>0.62324448</v>
      </c>
    </row>
    <row r="17" spans="1:18">
      <c r="A17" s="15" t="s">
        <v>575</v>
      </c>
      <c r="B17" s="17" t="n">
        <v>3197</v>
      </c>
      <c r="C17" s="18">
        <f>(2554.0/B17*100)</f>
        <v/>
      </c>
      <c r="D17" s="19" t="n">
        <v>643</v>
      </c>
      <c r="E17" s="18" t="n">
        <v>32.55044545</v>
      </c>
      <c r="F17" s="20" t="n">
        <v>1.89807687</v>
      </c>
      <c r="G17" s="18" t="n">
        <v>65.83107092</v>
      </c>
      <c r="H17" s="20" t="n">
        <v>1.83430552</v>
      </c>
      <c r="I17" s="18" t="n">
        <v>0</v>
      </c>
      <c r="J17" s="20" t="n">
        <v>0</v>
      </c>
      <c r="K17" s="18" t="n">
        <v>0.46347495</v>
      </c>
      <c r="L17" s="20" t="n">
        <v>0.26954702</v>
      </c>
      <c r="M17" s="18" t="n">
        <v>0</v>
      </c>
      <c r="N17" s="20" t="n">
        <v>0</v>
      </c>
      <c r="O17" s="18" t="n">
        <v>0</v>
      </c>
      <c r="P17" s="20" t="n">
        <v>0</v>
      </c>
      <c r="Q17" s="18" t="n">
        <v>1.15500868</v>
      </c>
      <c r="R17" s="20" t="n">
        <v>0.39117531</v>
      </c>
    </row>
    <row r="18" spans="1:18">
      <c r="A18" s="15" t="s">
        <v>576</v>
      </c>
      <c r="B18" s="17" t="n">
        <v>2706</v>
      </c>
      <c r="C18" s="18">
        <f>(2113.0/B18*100)</f>
        <v/>
      </c>
      <c r="D18" s="19" t="n">
        <v>593</v>
      </c>
      <c r="E18" s="18" t="n">
        <v>57.35593325</v>
      </c>
      <c r="F18" s="20" t="n">
        <v>2.16175956</v>
      </c>
      <c r="G18" s="18" t="n">
        <v>39.44345298</v>
      </c>
      <c r="H18" s="20" t="n">
        <v>2.24014291</v>
      </c>
      <c r="I18" s="18" t="n">
        <v>0</v>
      </c>
      <c r="J18" s="20" t="n">
        <v>0</v>
      </c>
      <c r="K18" s="18" t="n">
        <v>0.87431307</v>
      </c>
      <c r="L18" s="20" t="n">
        <v>0.38991647</v>
      </c>
      <c r="M18" s="18" t="n">
        <v>0</v>
      </c>
      <c r="N18" s="20" t="n">
        <v>0</v>
      </c>
      <c r="O18" s="18" t="n">
        <v>0</v>
      </c>
      <c r="P18" s="20" t="n">
        <v>0</v>
      </c>
      <c r="Q18" s="18" t="n">
        <v>2.3263007</v>
      </c>
      <c r="R18" s="20" t="n">
        <v>0.62942159</v>
      </c>
    </row>
    <row r="19" spans="1:18">
      <c r="A19" s="15" t="s">
        <v>577</v>
      </c>
      <c r="B19" s="17" t="n">
        <v>2850</v>
      </c>
      <c r="C19" s="18">
        <f>(2202.0/B19*100)</f>
        <v/>
      </c>
      <c r="D19" s="19" t="n">
        <v>648</v>
      </c>
      <c r="E19" s="18" t="n">
        <v>50.99447768</v>
      </c>
      <c r="F19" s="20" t="n">
        <v>2.13582873</v>
      </c>
      <c r="G19" s="18" t="n">
        <v>46.8478845</v>
      </c>
      <c r="H19" s="20" t="n">
        <v>2.05166275</v>
      </c>
      <c r="I19" s="18" t="n">
        <v>0</v>
      </c>
      <c r="J19" s="20" t="n">
        <v>0</v>
      </c>
      <c r="K19" s="18" t="n">
        <v>0.1425817</v>
      </c>
      <c r="L19" s="20" t="n">
        <v>0.12134628</v>
      </c>
      <c r="M19" s="18" t="n">
        <v>0</v>
      </c>
      <c r="N19" s="20" t="n">
        <v>0</v>
      </c>
      <c r="O19" s="18" t="n">
        <v>0</v>
      </c>
      <c r="P19" s="20" t="n">
        <v>0</v>
      </c>
      <c r="Q19" s="18" t="n">
        <v>2.01505612</v>
      </c>
      <c r="R19" s="20" t="n">
        <v>0.58818021</v>
      </c>
    </row>
    <row r="20" spans="1:18">
      <c r="A20" s="15" t="s">
        <v>578</v>
      </c>
      <c r="B20" s="17" t="n">
        <v>1741</v>
      </c>
      <c r="C20" s="18">
        <f>(1374.0/B20*100)</f>
        <v/>
      </c>
      <c r="D20" s="19" t="n">
        <v>367</v>
      </c>
      <c r="E20" s="18" t="n">
        <v>51.7188925</v>
      </c>
      <c r="F20" s="20" t="n">
        <v>2.50241321</v>
      </c>
      <c r="G20" s="18" t="n">
        <v>45.31067764</v>
      </c>
      <c r="H20" s="20" t="n">
        <v>2.58809724</v>
      </c>
      <c r="I20" s="18" t="n">
        <v>0</v>
      </c>
      <c r="J20" s="20" t="n">
        <v>0</v>
      </c>
      <c r="K20" s="18" t="n">
        <v>0.74835015</v>
      </c>
      <c r="L20" s="20" t="n">
        <v>0.42139316</v>
      </c>
      <c r="M20" s="18" t="n">
        <v>0</v>
      </c>
      <c r="N20" s="20" t="n">
        <v>0</v>
      </c>
      <c r="O20" s="18" t="n">
        <v>0</v>
      </c>
      <c r="P20" s="20" t="n">
        <v>0</v>
      </c>
      <c r="Q20" s="18" t="n">
        <v>2.22207971</v>
      </c>
      <c r="R20" s="20" t="n">
        <v>0.86864652</v>
      </c>
    </row>
    <row r="21" spans="1:18">
      <c r="A21" s="15" t="s">
        <v>579</v>
      </c>
      <c r="B21" s="17" t="n">
        <v>2833</v>
      </c>
      <c r="C21" s="18">
        <f>(2237.0/B21*100)</f>
        <v/>
      </c>
      <c r="D21" s="19" t="n">
        <v>596</v>
      </c>
      <c r="E21" s="18" t="n">
        <v>54.93147232</v>
      </c>
      <c r="F21" s="20" t="n">
        <v>2.10758276</v>
      </c>
      <c r="G21" s="18" t="n">
        <v>43.92948634</v>
      </c>
      <c r="H21" s="20" t="n">
        <v>2.11971599</v>
      </c>
      <c r="I21" s="18" t="n">
        <v>0</v>
      </c>
      <c r="J21" s="20" t="n">
        <v>0</v>
      </c>
      <c r="K21" s="18" t="n">
        <v>0.36779188</v>
      </c>
      <c r="L21" s="20" t="n">
        <v>0.25503448</v>
      </c>
      <c r="M21" s="18" t="n">
        <v>0</v>
      </c>
      <c r="N21" s="20" t="n">
        <v>0</v>
      </c>
      <c r="O21" s="18" t="n">
        <v>0</v>
      </c>
      <c r="P21" s="20" t="n">
        <v>0</v>
      </c>
      <c r="Q21" s="18" t="n">
        <v>0.7712494600000001</v>
      </c>
      <c r="R21" s="20" t="n">
        <v>0.35313165</v>
      </c>
    </row>
    <row r="22" spans="1:18">
      <c r="A22" s="15" t="s">
        <v>580</v>
      </c>
      <c r="B22" s="17" t="n">
        <v>3667</v>
      </c>
      <c r="C22" s="18">
        <f>(2887.0/B22*100)</f>
        <v/>
      </c>
      <c r="D22" s="19" t="n">
        <v>780</v>
      </c>
      <c r="E22" s="18" t="n">
        <v>48.26817069</v>
      </c>
      <c r="F22" s="20" t="n">
        <v>2.01761385</v>
      </c>
      <c r="G22" s="18" t="n">
        <v>45.77928089</v>
      </c>
      <c r="H22" s="20" t="n">
        <v>2.18847652</v>
      </c>
      <c r="I22" s="18" t="n">
        <v>0</v>
      </c>
      <c r="J22" s="20" t="n">
        <v>0</v>
      </c>
      <c r="K22" s="18" t="n">
        <v>1.21340023</v>
      </c>
      <c r="L22" s="20" t="n">
        <v>0.41931065</v>
      </c>
      <c r="M22" s="18" t="n">
        <v>0</v>
      </c>
      <c r="N22" s="20" t="n">
        <v>0</v>
      </c>
      <c r="O22" s="18" t="n">
        <v>0</v>
      </c>
      <c r="P22" s="20" t="n">
        <v>0</v>
      </c>
      <c r="Q22" s="18" t="n">
        <v>4.73914819</v>
      </c>
      <c r="R22" s="20" t="n">
        <v>1.04951047</v>
      </c>
    </row>
    <row r="23" spans="1:18">
      <c r="A23" s="15" t="s">
        <v>581</v>
      </c>
      <c r="B23" s="17" t="n">
        <v>5792</v>
      </c>
      <c r="C23" s="18">
        <f>(4494.0/B23*100)</f>
        <v/>
      </c>
      <c r="D23" s="19" t="n">
        <v>1298</v>
      </c>
      <c r="E23" s="18" t="n">
        <v>38.82470677</v>
      </c>
      <c r="F23" s="20" t="n">
        <v>2.32497293</v>
      </c>
      <c r="G23" s="18" t="n">
        <v>55.9853679</v>
      </c>
      <c r="H23" s="20" t="n">
        <v>2.52490542</v>
      </c>
      <c r="I23" s="18" t="n">
        <v>0</v>
      </c>
      <c r="J23" s="20" t="n">
        <v>0</v>
      </c>
      <c r="K23" s="18" t="n">
        <v>0.99920693</v>
      </c>
      <c r="L23" s="20" t="n">
        <v>0.43623047</v>
      </c>
      <c r="M23" s="18" t="n">
        <v>0</v>
      </c>
      <c r="N23" s="20" t="n">
        <v>0</v>
      </c>
      <c r="O23" s="18" t="n">
        <v>0</v>
      </c>
      <c r="P23" s="20" t="n">
        <v>0</v>
      </c>
      <c r="Q23" s="18" t="n">
        <v>4.19071841</v>
      </c>
      <c r="R23" s="20" t="n">
        <v>0.82583282</v>
      </c>
    </row>
    <row r="24" spans="1:18">
      <c r="A24" s="15" t="s">
        <v>582</v>
      </c>
      <c r="B24" s="17" t="n">
        <v>3309</v>
      </c>
      <c r="C24" s="18">
        <f>(2610.0/B24*100)</f>
        <v/>
      </c>
      <c r="D24" s="19" t="n">
        <v>699</v>
      </c>
      <c r="E24" s="18" t="n">
        <v>23.21962465</v>
      </c>
      <c r="F24" s="20" t="n">
        <v>1.28545738</v>
      </c>
      <c r="G24" s="18" t="n">
        <v>75.48038520999999</v>
      </c>
      <c r="H24" s="20" t="n">
        <v>1.32126088</v>
      </c>
      <c r="I24" s="18" t="n">
        <v>0</v>
      </c>
      <c r="J24" s="20" t="n">
        <v>0</v>
      </c>
      <c r="K24" s="18" t="n">
        <v>0.27825745</v>
      </c>
      <c r="L24" s="20" t="n">
        <v>0.19755046</v>
      </c>
      <c r="M24" s="18" t="n">
        <v>0</v>
      </c>
      <c r="N24" s="20" t="n">
        <v>0</v>
      </c>
      <c r="O24" s="18" t="n">
        <v>0</v>
      </c>
      <c r="P24" s="20" t="n">
        <v>0</v>
      </c>
      <c r="Q24" s="18" t="n">
        <v>1.0217327</v>
      </c>
      <c r="R24" s="20" t="n">
        <v>0.39579568</v>
      </c>
    </row>
    <row r="25" spans="1:18">
      <c r="A25" s="15" t="s">
        <v>583</v>
      </c>
      <c r="B25" s="17" t="n">
        <v>2669</v>
      </c>
      <c r="C25" s="18">
        <f>(2091.0/B25*100)</f>
        <v/>
      </c>
      <c r="D25" s="19" t="n">
        <v>578</v>
      </c>
      <c r="E25" s="18" t="n">
        <v>30.17573452</v>
      </c>
      <c r="F25" s="20" t="n">
        <v>1.96237589</v>
      </c>
      <c r="G25" s="18" t="n">
        <v>68.92824401</v>
      </c>
      <c r="H25" s="20" t="n">
        <v>1.99539807</v>
      </c>
      <c r="I25" s="18" t="n">
        <v>0</v>
      </c>
      <c r="J25" s="20" t="n">
        <v>0</v>
      </c>
      <c r="K25" s="18" t="n">
        <v>0</v>
      </c>
      <c r="L25" s="20" t="n">
        <v>0</v>
      </c>
      <c r="M25" s="18" t="n">
        <v>0</v>
      </c>
      <c r="N25" s="20" t="n">
        <v>0</v>
      </c>
      <c r="O25" s="18" t="n">
        <v>0</v>
      </c>
      <c r="P25" s="20" t="n">
        <v>0</v>
      </c>
      <c r="Q25" s="18" t="n">
        <v>0.89602147</v>
      </c>
      <c r="R25" s="20" t="n">
        <v>0.39845857</v>
      </c>
    </row>
    <row r="26" spans="1:18">
      <c r="A26" s="15" t="s">
        <v>584</v>
      </c>
      <c r="B26" s="17" t="n">
        <v>2419</v>
      </c>
      <c r="C26" s="18">
        <f>(1861.0/B26*100)</f>
        <v/>
      </c>
      <c r="D26" s="19" t="n">
        <v>558</v>
      </c>
      <c r="E26" s="18" t="n">
        <v>30.01968558</v>
      </c>
      <c r="F26" s="20" t="n">
        <v>2.06702582</v>
      </c>
      <c r="G26" s="18" t="n">
        <v>68.46884102999999</v>
      </c>
      <c r="H26" s="20" t="n">
        <v>2.06999252</v>
      </c>
      <c r="I26" s="18" t="n">
        <v>0</v>
      </c>
      <c r="J26" s="20" t="n">
        <v>0</v>
      </c>
      <c r="K26" s="18" t="n">
        <v>0</v>
      </c>
      <c r="L26" s="20" t="n">
        <v>0</v>
      </c>
      <c r="M26" s="18" t="n">
        <v>0</v>
      </c>
      <c r="N26" s="20" t="n">
        <v>0</v>
      </c>
      <c r="O26" s="18" t="n">
        <v>0</v>
      </c>
      <c r="P26" s="20" t="n">
        <v>0</v>
      </c>
      <c r="Q26" s="18" t="n">
        <v>1.51147339</v>
      </c>
      <c r="R26" s="20" t="n">
        <v>0.74325986</v>
      </c>
    </row>
    <row r="27" spans="1:18">
      <c r="A27" s="15" t="s">
        <v>585</v>
      </c>
      <c r="B27" s="17" t="n">
        <v>2683</v>
      </c>
      <c r="C27" s="18">
        <f>(2137.0/B27*100)</f>
        <v/>
      </c>
      <c r="D27" s="19" t="n">
        <v>546</v>
      </c>
      <c r="E27" s="18" t="n">
        <v>45.37981872</v>
      </c>
      <c r="F27" s="20" t="n">
        <v>2.18160476</v>
      </c>
      <c r="G27" s="18" t="n">
        <v>52.25107604</v>
      </c>
      <c r="H27" s="20" t="n">
        <v>2.21328139</v>
      </c>
      <c r="I27" s="18" t="n">
        <v>0</v>
      </c>
      <c r="J27" s="20" t="n">
        <v>0</v>
      </c>
      <c r="K27" s="18" t="n">
        <v>0.3564504</v>
      </c>
      <c r="L27" s="20" t="n">
        <v>0.25249434</v>
      </c>
      <c r="M27" s="18" t="n">
        <v>0</v>
      </c>
      <c r="N27" s="20" t="n">
        <v>0</v>
      </c>
      <c r="O27" s="18" t="n">
        <v>0</v>
      </c>
      <c r="P27" s="20" t="n">
        <v>0</v>
      </c>
      <c r="Q27" s="18" t="n">
        <v>2.01265484</v>
      </c>
      <c r="R27" s="20" t="n">
        <v>0.61415159</v>
      </c>
    </row>
    <row r="28" spans="1:18">
      <c r="A28" s="15" t="s">
        <v>586</v>
      </c>
      <c r="B28" s="17" t="n">
        <v>3803</v>
      </c>
      <c r="C28" s="18">
        <f>(3011.0/B28*100)</f>
        <v/>
      </c>
      <c r="D28" s="19" t="n">
        <v>792</v>
      </c>
      <c r="E28" s="18" t="n">
        <v>68.20234044999999</v>
      </c>
      <c r="F28" s="20" t="n">
        <v>1.62468993</v>
      </c>
      <c r="G28" s="18" t="n">
        <v>27.44597943</v>
      </c>
      <c r="H28" s="20" t="n">
        <v>1.58565554</v>
      </c>
      <c r="I28" s="18" t="n">
        <v>0</v>
      </c>
      <c r="J28" s="20" t="n">
        <v>0</v>
      </c>
      <c r="K28" s="18" t="n">
        <v>1.56990184</v>
      </c>
      <c r="L28" s="20" t="n">
        <v>0.52690959</v>
      </c>
      <c r="M28" s="18" t="n">
        <v>0</v>
      </c>
      <c r="N28" s="20" t="n">
        <v>0</v>
      </c>
      <c r="O28" s="18" t="n">
        <v>0</v>
      </c>
      <c r="P28" s="20" t="n">
        <v>0</v>
      </c>
      <c r="Q28" s="18" t="n">
        <v>2.78177828</v>
      </c>
      <c r="R28" s="20" t="n">
        <v>0.65974891</v>
      </c>
    </row>
    <row r="29" spans="1:18">
      <c r="A29" s="15" t="s">
        <v>587</v>
      </c>
      <c r="B29" s="17" t="n">
        <v>2700</v>
      </c>
      <c r="C29" s="18">
        <f>(2113.0/B29*100)</f>
        <v/>
      </c>
      <c r="D29" s="19" t="n">
        <v>587</v>
      </c>
      <c r="E29" s="18" t="n">
        <v>57.34359542</v>
      </c>
      <c r="F29" s="20" t="n">
        <v>2.26251483</v>
      </c>
      <c r="G29" s="18" t="n">
        <v>41.84250131</v>
      </c>
      <c r="H29" s="20" t="n">
        <v>2.307812</v>
      </c>
      <c r="I29" s="18" t="n">
        <v>0</v>
      </c>
      <c r="J29" s="20" t="n">
        <v>0</v>
      </c>
      <c r="K29" s="18" t="n">
        <v>0.62162954</v>
      </c>
      <c r="L29" s="20" t="n">
        <v>0.34165928</v>
      </c>
      <c r="M29" s="18" t="n">
        <v>0</v>
      </c>
      <c r="N29" s="20" t="n">
        <v>0</v>
      </c>
      <c r="O29" s="18" t="n">
        <v>0</v>
      </c>
      <c r="P29" s="20" t="n">
        <v>0</v>
      </c>
      <c r="Q29" s="18" t="n">
        <v>0.19227372</v>
      </c>
      <c r="R29" s="20" t="n">
        <v>0.18176667</v>
      </c>
    </row>
    <row r="30" spans="1:18">
      <c r="A30" s="15" t="s">
        <v>588</v>
      </c>
      <c r="B30" s="17" t="n">
        <v>2257</v>
      </c>
      <c r="C30" s="18">
        <f>(1786.0/B30*100)</f>
        <v/>
      </c>
      <c r="D30" s="19" t="n">
        <v>471</v>
      </c>
      <c r="E30" s="18" t="n">
        <v>48.46777848</v>
      </c>
      <c r="F30" s="20" t="n">
        <v>2.39124731</v>
      </c>
      <c r="G30" s="18" t="n">
        <v>48.53940469</v>
      </c>
      <c r="H30" s="20" t="n">
        <v>2.53621842</v>
      </c>
      <c r="I30" s="18" t="n">
        <v>0</v>
      </c>
      <c r="J30" s="20" t="n">
        <v>0</v>
      </c>
      <c r="K30" s="18" t="n">
        <v>0.65399134</v>
      </c>
      <c r="L30" s="20" t="n">
        <v>0.34205471</v>
      </c>
      <c r="M30" s="18" t="n">
        <v>0</v>
      </c>
      <c r="N30" s="20" t="n">
        <v>0</v>
      </c>
      <c r="O30" s="18" t="n">
        <v>0</v>
      </c>
      <c r="P30" s="20" t="n">
        <v>0</v>
      </c>
      <c r="Q30" s="18" t="n">
        <v>2.3388255</v>
      </c>
      <c r="R30" s="20" t="n">
        <v>0.83344584</v>
      </c>
    </row>
    <row r="31" spans="1:18">
      <c r="A31" s="15" t="s">
        <v>589</v>
      </c>
      <c r="B31" s="17" t="n">
        <v>2706</v>
      </c>
      <c r="C31" s="18">
        <f>(2120.0/B31*100)</f>
        <v/>
      </c>
      <c r="D31" s="19" t="n">
        <v>586</v>
      </c>
      <c r="E31" s="18" t="n">
        <v>57.05620704</v>
      </c>
      <c r="F31" s="20" t="n">
        <v>2.20883493</v>
      </c>
      <c r="G31" s="18" t="n">
        <v>38.46773995</v>
      </c>
      <c r="H31" s="20" t="n">
        <v>2.10888982</v>
      </c>
      <c r="I31" s="18" t="n">
        <v>0</v>
      </c>
      <c r="J31" s="20" t="n">
        <v>0</v>
      </c>
      <c r="K31" s="18" t="n">
        <v>1.15487567</v>
      </c>
      <c r="L31" s="20" t="n">
        <v>0.36127053</v>
      </c>
      <c r="M31" s="18" t="n">
        <v>0</v>
      </c>
      <c r="N31" s="20" t="n">
        <v>0</v>
      </c>
      <c r="O31" s="18" t="n">
        <v>0</v>
      </c>
      <c r="P31" s="20" t="n">
        <v>0</v>
      </c>
      <c r="Q31" s="18" t="n">
        <v>3.32117734</v>
      </c>
      <c r="R31" s="20" t="n">
        <v>0.71073049</v>
      </c>
    </row>
    <row r="32" spans="1:18">
      <c r="A32" s="15" t="s">
        <v>590</v>
      </c>
      <c r="B32" s="17" t="n">
        <v>2209</v>
      </c>
      <c r="C32" s="18">
        <f>(1735.0/B32*100)</f>
        <v/>
      </c>
      <c r="D32" s="19" t="n">
        <v>474</v>
      </c>
      <c r="E32" s="18" t="n">
        <v>53.17982922</v>
      </c>
      <c r="F32" s="20" t="n">
        <v>2.29182204</v>
      </c>
      <c r="G32" s="18" t="n">
        <v>46.20473797</v>
      </c>
      <c r="H32" s="20" t="n">
        <v>2.2881936</v>
      </c>
      <c r="I32" s="18" t="n">
        <v>0</v>
      </c>
      <c r="J32" s="20" t="n">
        <v>0</v>
      </c>
      <c r="K32" s="18" t="n">
        <v>0.18427884</v>
      </c>
      <c r="L32" s="20" t="n">
        <v>0.18431202</v>
      </c>
      <c r="M32" s="18" t="n">
        <v>0</v>
      </c>
      <c r="N32" s="20" t="n">
        <v>0</v>
      </c>
      <c r="O32" s="18" t="n">
        <v>0</v>
      </c>
      <c r="P32" s="20" t="n">
        <v>0</v>
      </c>
      <c r="Q32" s="18" t="n">
        <v>0.43115396</v>
      </c>
      <c r="R32" s="20" t="n">
        <v>0.29096579</v>
      </c>
    </row>
    <row r="33" spans="1:18">
      <c r="A33" s="15" t="s">
        <v>591</v>
      </c>
      <c r="B33" s="17" t="n">
        <v>3651</v>
      </c>
      <c r="C33" s="18">
        <f>(2871.0/B33*100)</f>
        <v/>
      </c>
      <c r="D33" s="19" t="n">
        <v>780</v>
      </c>
      <c r="E33" s="18" t="n">
        <v>43.76869527</v>
      </c>
      <c r="F33" s="20" t="n">
        <v>1.94735636</v>
      </c>
      <c r="G33" s="18" t="n">
        <v>55.43394708</v>
      </c>
      <c r="H33" s="20" t="n">
        <v>2.01258602</v>
      </c>
      <c r="I33" s="18" t="n">
        <v>0</v>
      </c>
      <c r="J33" s="20" t="n">
        <v>0</v>
      </c>
      <c r="K33" s="18" t="n">
        <v>0.20321957</v>
      </c>
      <c r="L33" s="20" t="n">
        <v>0.17880149</v>
      </c>
      <c r="M33" s="18" t="n">
        <v>0</v>
      </c>
      <c r="N33" s="20" t="n">
        <v>0</v>
      </c>
      <c r="O33" s="18" t="n">
        <v>0</v>
      </c>
      <c r="P33" s="20" t="n">
        <v>0</v>
      </c>
      <c r="Q33" s="18" t="n">
        <v>0.59413808</v>
      </c>
      <c r="R33" s="20" t="n">
        <v>0.31591569</v>
      </c>
    </row>
    <row r="34" spans="1:18">
      <c r="A34" s="15" t="s">
        <v>592</v>
      </c>
      <c r="B34" s="17" t="n">
        <v>3035</v>
      </c>
      <c r="C34" s="18">
        <f>(2413.0/B34*100)</f>
        <v/>
      </c>
      <c r="D34" s="19" t="n">
        <v>622</v>
      </c>
      <c r="E34" s="18" t="n">
        <v>49.30978893</v>
      </c>
      <c r="F34" s="20" t="n">
        <v>2.07923499</v>
      </c>
      <c r="G34" s="18" t="n">
        <v>46.73234373</v>
      </c>
      <c r="H34" s="20" t="n">
        <v>2.23024196</v>
      </c>
      <c r="I34" s="18" t="n">
        <v>0</v>
      </c>
      <c r="J34" s="20" t="n">
        <v>0</v>
      </c>
      <c r="K34" s="18" t="n">
        <v>0.36981759</v>
      </c>
      <c r="L34" s="20" t="n">
        <v>0.27039301</v>
      </c>
      <c r="M34" s="18" t="n">
        <v>0</v>
      </c>
      <c r="N34" s="20" t="n">
        <v>0</v>
      </c>
      <c r="O34" s="18" t="n">
        <v>0</v>
      </c>
      <c r="P34" s="20" t="n">
        <v>0</v>
      </c>
      <c r="Q34" s="18" t="n">
        <v>3.58804975</v>
      </c>
      <c r="R34" s="20" t="n">
        <v>0.86574184</v>
      </c>
    </row>
    <row r="35" spans="1:18">
      <c r="A35" s="15" t="s">
        <v>593</v>
      </c>
      <c r="B35" s="17" t="n">
        <v>2901</v>
      </c>
      <c r="C35" s="18">
        <f>(2265.0/B35*100)</f>
        <v/>
      </c>
      <c r="D35" s="19" t="n">
        <v>636</v>
      </c>
      <c r="E35" s="18" t="n">
        <v>37.38023786</v>
      </c>
      <c r="F35" s="20" t="n">
        <v>2.12515454</v>
      </c>
      <c r="G35" s="18" t="n">
        <v>61.73505511</v>
      </c>
      <c r="H35" s="20" t="n">
        <v>2.14395223</v>
      </c>
      <c r="I35" s="18" t="n">
        <v>0</v>
      </c>
      <c r="J35" s="20" t="n">
        <v>0</v>
      </c>
      <c r="K35" s="18" t="n">
        <v>0.06853333</v>
      </c>
      <c r="L35" s="20" t="n">
        <v>0.06900731</v>
      </c>
      <c r="M35" s="18" t="n">
        <v>0</v>
      </c>
      <c r="N35" s="20" t="n">
        <v>0</v>
      </c>
      <c r="O35" s="18" t="n">
        <v>0</v>
      </c>
      <c r="P35" s="20" t="n">
        <v>0</v>
      </c>
      <c r="Q35" s="18" t="n">
        <v>0.8161737</v>
      </c>
      <c r="R35" s="20" t="n">
        <v>0.37408997</v>
      </c>
    </row>
    <row r="36" spans="1:18">
      <c r="A36" s="15" t="s">
        <v>594</v>
      </c>
      <c r="B36" s="17" t="n">
        <v>3404</v>
      </c>
      <c r="C36" s="18">
        <f>(2653.0/B36*100)</f>
        <v/>
      </c>
      <c r="D36" s="19" t="n">
        <v>751</v>
      </c>
      <c r="E36" s="18" t="n">
        <v>32.33270782</v>
      </c>
      <c r="F36" s="20" t="n">
        <v>1.86597583</v>
      </c>
      <c r="G36" s="18" t="n">
        <v>64.2497267</v>
      </c>
      <c r="H36" s="20" t="n">
        <v>1.83635292</v>
      </c>
      <c r="I36" s="18" t="n">
        <v>0</v>
      </c>
      <c r="J36" s="20" t="n">
        <v>0</v>
      </c>
      <c r="K36" s="18" t="n">
        <v>0.51155678</v>
      </c>
      <c r="L36" s="20" t="n">
        <v>0.26667665</v>
      </c>
      <c r="M36" s="18" t="n">
        <v>0</v>
      </c>
      <c r="N36" s="20" t="n">
        <v>0</v>
      </c>
      <c r="O36" s="18" t="n">
        <v>0</v>
      </c>
      <c r="P36" s="20" t="n">
        <v>0</v>
      </c>
      <c r="Q36" s="18" t="n">
        <v>2.90600871</v>
      </c>
      <c r="R36" s="20" t="n">
        <v>0.60955727</v>
      </c>
    </row>
    <row r="37" spans="1:18">
      <c r="A37" s="15" t="s">
        <v>595</v>
      </c>
      <c r="B37" s="17" t="n">
        <v>2731</v>
      </c>
      <c r="C37" s="18">
        <f>(2174.0/B37*100)</f>
        <v/>
      </c>
      <c r="D37" s="19" t="n">
        <v>557</v>
      </c>
      <c r="E37" s="18" t="n">
        <v>48.38692991</v>
      </c>
      <c r="F37" s="20" t="n">
        <v>2.09121605</v>
      </c>
      <c r="G37" s="18" t="n">
        <v>45.08515224</v>
      </c>
      <c r="H37" s="20" t="n">
        <v>2.13866859</v>
      </c>
      <c r="I37" s="18" t="n">
        <v>0</v>
      </c>
      <c r="J37" s="20" t="n">
        <v>0</v>
      </c>
      <c r="K37" s="18" t="n">
        <v>1.3027997</v>
      </c>
      <c r="L37" s="20" t="n">
        <v>0.3974423</v>
      </c>
      <c r="M37" s="18" t="n">
        <v>0</v>
      </c>
      <c r="N37" s="20" t="n">
        <v>0</v>
      </c>
      <c r="O37" s="18" t="n">
        <v>0</v>
      </c>
      <c r="P37" s="20" t="n">
        <v>0</v>
      </c>
      <c r="Q37" s="18" t="n">
        <v>5.22511815</v>
      </c>
      <c r="R37" s="20" t="n">
        <v>0.91569851</v>
      </c>
    </row>
    <row r="38" spans="1:18">
      <c r="A38" s="15" t="s">
        <v>596</v>
      </c>
      <c r="B38" s="17" t="n">
        <v>2807</v>
      </c>
      <c r="C38" s="18">
        <f>(2187.0/B38*100)</f>
        <v/>
      </c>
      <c r="D38" s="19" t="n">
        <v>620</v>
      </c>
      <c r="E38" s="18" t="n">
        <v>38.13523402</v>
      </c>
      <c r="F38" s="20" t="n">
        <v>2.25704286</v>
      </c>
      <c r="G38" s="18" t="n">
        <v>59.8589007</v>
      </c>
      <c r="H38" s="20" t="n">
        <v>2.24027941</v>
      </c>
      <c r="I38" s="18" t="n">
        <v>0</v>
      </c>
      <c r="J38" s="20" t="n">
        <v>0</v>
      </c>
      <c r="K38" s="18" t="n">
        <v>0.90927483</v>
      </c>
      <c r="L38" s="20" t="n">
        <v>0.40931332</v>
      </c>
      <c r="M38" s="18" t="n">
        <v>0</v>
      </c>
      <c r="N38" s="20" t="n">
        <v>0</v>
      </c>
      <c r="O38" s="18" t="n">
        <v>0</v>
      </c>
      <c r="P38" s="20" t="n">
        <v>0</v>
      </c>
      <c r="Q38" s="18" t="n">
        <v>1.09659045</v>
      </c>
      <c r="R38" s="20" t="n">
        <v>0.45674221</v>
      </c>
    </row>
    <row r="39" spans="1:18">
      <c r="A39" s="15" t="s">
        <v>597</v>
      </c>
      <c r="B39" s="17" t="n">
        <v>2938</v>
      </c>
      <c r="C39" s="18">
        <f>(2280.0/B39*100)</f>
        <v/>
      </c>
      <c r="D39" s="19" t="n">
        <v>658</v>
      </c>
      <c r="E39" s="18" t="n">
        <v>88.00364672000001</v>
      </c>
      <c r="F39" s="20" t="n">
        <v>1.31605394</v>
      </c>
      <c r="G39" s="18" t="n">
        <v>7.91187497</v>
      </c>
      <c r="H39" s="20" t="n">
        <v>1.00452681</v>
      </c>
      <c r="I39" s="18" t="n">
        <v>0</v>
      </c>
      <c r="J39" s="20" t="n">
        <v>0</v>
      </c>
      <c r="K39" s="18" t="n">
        <v>0.14294093</v>
      </c>
      <c r="L39" s="20" t="n">
        <v>0.14363249</v>
      </c>
      <c r="M39" s="18" t="n">
        <v>0</v>
      </c>
      <c r="N39" s="20" t="n">
        <v>0</v>
      </c>
      <c r="O39" s="18" t="n">
        <v>0</v>
      </c>
      <c r="P39" s="20" t="n">
        <v>0</v>
      </c>
      <c r="Q39" s="18" t="n">
        <v>3.94153739</v>
      </c>
      <c r="R39" s="20" t="n">
        <v>0.91448505</v>
      </c>
    </row>
    <row r="40" spans="1:18">
      <c r="A40" s="15" t="s">
        <v>598</v>
      </c>
      <c r="B40" s="17" t="n">
        <v>6922</v>
      </c>
      <c r="C40" s="18">
        <f>(5396.0/B40*100)</f>
        <v/>
      </c>
      <c r="D40" s="19" t="n">
        <v>1526</v>
      </c>
      <c r="E40" s="18" t="n">
        <v>53.9932937</v>
      </c>
      <c r="F40" s="20" t="n">
        <v>2.1492834</v>
      </c>
      <c r="G40" s="18" t="n">
        <v>44.28681694</v>
      </c>
      <c r="H40" s="20" t="n">
        <v>2.06632054</v>
      </c>
      <c r="I40" s="18" t="n">
        <v>0</v>
      </c>
      <c r="J40" s="20" t="n">
        <v>0</v>
      </c>
      <c r="K40" s="18" t="n">
        <v>0.491368</v>
      </c>
      <c r="L40" s="20" t="n">
        <v>0.27651527</v>
      </c>
      <c r="M40" s="18" t="n">
        <v>0</v>
      </c>
      <c r="N40" s="20" t="n">
        <v>0</v>
      </c>
      <c r="O40" s="18" t="n">
        <v>0</v>
      </c>
      <c r="P40" s="20" t="n">
        <v>0</v>
      </c>
      <c r="Q40" s="18" t="n">
        <v>1.22852135</v>
      </c>
      <c r="R40" s="20" t="n">
        <v>0.44379082</v>
      </c>
    </row>
    <row r="41" spans="1:18">
      <c r="A41" s="15" t="s">
        <v>599</v>
      </c>
      <c r="B41" s="17" t="n">
        <v>2854</v>
      </c>
      <c r="C41" s="18">
        <f>(2275.0/B41*100)</f>
        <v/>
      </c>
      <c r="D41" s="19" t="n">
        <v>579</v>
      </c>
      <c r="E41" s="18" t="n">
        <v>56.97665798</v>
      </c>
      <c r="F41" s="20" t="n">
        <v>2.37800591</v>
      </c>
      <c r="G41" s="18" t="n">
        <v>41.86730913</v>
      </c>
      <c r="H41" s="20" t="n">
        <v>2.355664</v>
      </c>
      <c r="I41" s="18" t="n">
        <v>0</v>
      </c>
      <c r="J41" s="20" t="n">
        <v>0</v>
      </c>
      <c r="K41" s="18" t="n">
        <v>0.19583664</v>
      </c>
      <c r="L41" s="20" t="n">
        <v>0.19757965</v>
      </c>
      <c r="M41" s="18" t="n">
        <v>0</v>
      </c>
      <c r="N41" s="20" t="n">
        <v>0</v>
      </c>
      <c r="O41" s="18" t="n">
        <v>0</v>
      </c>
      <c r="P41" s="20" t="n">
        <v>0</v>
      </c>
      <c r="Q41" s="18" t="n">
        <v>0.96019624</v>
      </c>
      <c r="R41" s="20" t="n">
        <v>0.43064863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(10125.0/B46*100)</f>
        <v/>
      </c>
      <c r="D46" s="19" t="n">
        <v>1948</v>
      </c>
      <c r="E46" s="18" t="n">
        <v>57.8629879</v>
      </c>
      <c r="F46" s="20" t="n">
        <v>1.57108685</v>
      </c>
      <c r="G46" s="18" t="n">
        <v>29.54681503</v>
      </c>
      <c r="H46" s="20" t="n">
        <v>1.65595451</v>
      </c>
      <c r="I46" s="18" t="n">
        <v>0</v>
      </c>
      <c r="J46" s="20" t="n">
        <v>0</v>
      </c>
      <c r="K46" s="18" t="n">
        <v>2.89286718</v>
      </c>
      <c r="L46" s="20" t="n">
        <v>0.7373482</v>
      </c>
      <c r="M46" s="18" t="n">
        <v>0</v>
      </c>
      <c r="N46" s="20" t="n">
        <v>0</v>
      </c>
      <c r="O46" s="18" t="n">
        <v>0</v>
      </c>
      <c r="P46" s="20" t="n">
        <v>0</v>
      </c>
      <c r="Q46" s="18" t="n">
        <v>9.6973299</v>
      </c>
      <c r="R46" s="20" t="n">
        <v>1.11889525</v>
      </c>
    </row>
    <row r="47" spans="1:18">
      <c r="A47" s="15" t="s">
        <v>606</v>
      </c>
      <c r="B47" s="17" t="n">
        <v>2823</v>
      </c>
      <c r="C47" s="18">
        <f>(2206.0/B47*100)</f>
        <v/>
      </c>
      <c r="D47" s="19" t="n">
        <v>617</v>
      </c>
      <c r="E47" s="18" t="n">
        <v>63.48072187</v>
      </c>
      <c r="F47" s="20" t="n">
        <v>2.20561155</v>
      </c>
      <c r="G47" s="18" t="n">
        <v>30.53464589</v>
      </c>
      <c r="H47" s="20" t="n">
        <v>2.24771246</v>
      </c>
      <c r="I47" s="18" t="n">
        <v>0</v>
      </c>
      <c r="J47" s="20" t="n">
        <v>0</v>
      </c>
      <c r="K47" s="18" t="n">
        <v>1.11706527</v>
      </c>
      <c r="L47" s="20" t="n">
        <v>0.4278236</v>
      </c>
      <c r="M47" s="18" t="n">
        <v>0</v>
      </c>
      <c r="N47" s="20" t="n">
        <v>0</v>
      </c>
      <c r="O47" s="18" t="n">
        <v>0</v>
      </c>
      <c r="P47" s="20" t="n">
        <v>0</v>
      </c>
      <c r="Q47" s="18" t="n">
        <v>4.86756697</v>
      </c>
      <c r="R47" s="20" t="n">
        <v>0.8680158100000001</v>
      </c>
    </row>
    <row r="48" spans="1:18">
      <c r="A48" s="15" t="s">
        <v>607</v>
      </c>
      <c r="B48" s="17" t="n">
        <v>4682</v>
      </c>
      <c r="C48" s="18">
        <f>(3687.0/B48*100)</f>
        <v/>
      </c>
      <c r="D48" s="19" t="n">
        <v>995</v>
      </c>
      <c r="E48" s="18" t="n">
        <v>37.30875643</v>
      </c>
      <c r="F48" s="20" t="n">
        <v>2.09015095</v>
      </c>
      <c r="G48" s="18" t="n">
        <v>58.00014594</v>
      </c>
      <c r="H48" s="20" t="n">
        <v>2.41262478</v>
      </c>
      <c r="I48" s="18" t="n">
        <v>0</v>
      </c>
      <c r="J48" s="20" t="n">
        <v>0</v>
      </c>
      <c r="K48" s="18" t="n">
        <v>1.17755331</v>
      </c>
      <c r="L48" s="20" t="n">
        <v>0.49082369</v>
      </c>
      <c r="M48" s="18" t="n">
        <v>0</v>
      </c>
      <c r="N48" s="20" t="n">
        <v>0</v>
      </c>
      <c r="O48" s="18" t="n">
        <v>0</v>
      </c>
      <c r="P48" s="20" t="n">
        <v>0</v>
      </c>
      <c r="Q48" s="18" t="n">
        <v>3.51354431</v>
      </c>
      <c r="R48" s="20" t="n">
        <v>0.76843206</v>
      </c>
    </row>
    <row r="49" spans="1:18">
      <c r="A49" s="15" t="s">
        <v>608</v>
      </c>
      <c r="B49" s="17" t="n">
        <v>6158</v>
      </c>
      <c r="C49" s="18">
        <f>(4835.0/B49*100)</f>
        <v/>
      </c>
      <c r="D49" s="19" t="n">
        <v>1323</v>
      </c>
      <c r="E49" s="18" t="n">
        <v>64.48527921</v>
      </c>
      <c r="F49" s="20" t="n">
        <v>1.94323691</v>
      </c>
      <c r="G49" s="18" t="n">
        <v>27.42005635</v>
      </c>
      <c r="H49" s="20" t="n">
        <v>1.96804769</v>
      </c>
      <c r="I49" s="18" t="n">
        <v>0</v>
      </c>
      <c r="J49" s="20" t="n">
        <v>0</v>
      </c>
      <c r="K49" s="18" t="n">
        <v>3.3430284</v>
      </c>
      <c r="L49" s="20" t="n">
        <v>0.6058155200000001</v>
      </c>
      <c r="M49" s="18" t="n">
        <v>0</v>
      </c>
      <c r="N49" s="20" t="n">
        <v>0</v>
      </c>
      <c r="O49" s="18" t="n">
        <v>0</v>
      </c>
      <c r="P49" s="20" t="n">
        <v>0</v>
      </c>
      <c r="Q49" s="18" t="n">
        <v>4.75163604</v>
      </c>
      <c r="R49" s="20" t="n">
        <v>0.78653918</v>
      </c>
    </row>
    <row r="50" spans="1:18">
      <c r="A50" s="15" t="s">
        <v>609</v>
      </c>
      <c r="B50" s="17" t="n">
        <v>3494</v>
      </c>
      <c r="C50" s="18">
        <f>(2845.0/B50*100)</f>
        <v/>
      </c>
      <c r="D50" s="19" t="n">
        <v>649</v>
      </c>
      <c r="E50" s="18" t="n">
        <v>63.85428444</v>
      </c>
      <c r="F50" s="20" t="n">
        <v>2.15601785</v>
      </c>
      <c r="G50" s="18" t="n">
        <v>31.78423146</v>
      </c>
      <c r="H50" s="20" t="n">
        <v>2.1869959</v>
      </c>
      <c r="I50" s="18" t="n">
        <v>0</v>
      </c>
      <c r="J50" s="20" t="n">
        <v>0</v>
      </c>
      <c r="K50" s="18" t="n">
        <v>1.61602038</v>
      </c>
      <c r="L50" s="20" t="n">
        <v>0.63408928</v>
      </c>
      <c r="M50" s="18" t="n">
        <v>0</v>
      </c>
      <c r="N50" s="20" t="n">
        <v>0</v>
      </c>
      <c r="O50" s="18" t="n">
        <v>0</v>
      </c>
      <c r="P50" s="20" t="n">
        <v>0</v>
      </c>
      <c r="Q50" s="18" t="n">
        <v>2.74546373</v>
      </c>
      <c r="R50" s="20" t="n">
        <v>0.68802895</v>
      </c>
    </row>
    <row r="51" spans="1:18">
      <c r="A51" s="15" t="s">
        <v>610</v>
      </c>
      <c r="B51" s="17" t="n">
        <v>3013</v>
      </c>
      <c r="C51" s="18">
        <f>(2374.0/B51*100)</f>
        <v/>
      </c>
      <c r="D51" s="19" t="n">
        <v>639</v>
      </c>
      <c r="E51" s="18" t="n">
        <v>63.35250505</v>
      </c>
      <c r="F51" s="20" t="n">
        <v>1.84639376</v>
      </c>
      <c r="G51" s="18" t="n">
        <v>33.70294733</v>
      </c>
      <c r="H51" s="20" t="n">
        <v>1.98363051</v>
      </c>
      <c r="I51" s="18" t="n">
        <v>0</v>
      </c>
      <c r="J51" s="20" t="n">
        <v>0</v>
      </c>
      <c r="K51" s="18" t="n">
        <v>0.158687</v>
      </c>
      <c r="L51" s="20" t="n">
        <v>0.16031678</v>
      </c>
      <c r="M51" s="18" t="n">
        <v>0</v>
      </c>
      <c r="N51" s="20" t="n">
        <v>0</v>
      </c>
      <c r="O51" s="18" t="n">
        <v>0</v>
      </c>
      <c r="P51" s="20" t="n">
        <v>0</v>
      </c>
      <c r="Q51" s="18" t="n">
        <v>2.78586062</v>
      </c>
      <c r="R51" s="20" t="n">
        <v>0.72721779</v>
      </c>
    </row>
    <row r="52" spans="1:18">
      <c r="A52" s="15" t="s">
        <v>611</v>
      </c>
      <c r="B52" s="17" t="n">
        <v>2760</v>
      </c>
      <c r="C52" s="18">
        <f>(2174.0/B52*100)</f>
        <v/>
      </c>
      <c r="D52" s="19" t="n">
        <v>586</v>
      </c>
      <c r="E52" s="18" t="n">
        <v>71.24402818</v>
      </c>
      <c r="F52" s="20" t="n">
        <v>1.89721991</v>
      </c>
      <c r="G52" s="18" t="n">
        <v>25.04234943</v>
      </c>
      <c r="H52" s="20" t="n">
        <v>1.83379159</v>
      </c>
      <c r="I52" s="18" t="n">
        <v>0</v>
      </c>
      <c r="J52" s="20" t="n">
        <v>0</v>
      </c>
      <c r="K52" s="18" t="n">
        <v>0.41213804</v>
      </c>
      <c r="L52" s="20" t="n">
        <v>0.29154821</v>
      </c>
      <c r="M52" s="18" t="n">
        <v>0</v>
      </c>
      <c r="N52" s="20" t="n">
        <v>0</v>
      </c>
      <c r="O52" s="18" t="n">
        <v>0</v>
      </c>
      <c r="P52" s="20" t="n">
        <v>0</v>
      </c>
      <c r="Q52" s="18" t="n">
        <v>3.30148436</v>
      </c>
      <c r="R52" s="20" t="n">
        <v>0.80256557</v>
      </c>
    </row>
    <row r="53" spans="1:18">
      <c r="A53" s="15" t="s">
        <v>612</v>
      </c>
      <c r="B53" s="17" t="n">
        <v>2474</v>
      </c>
      <c r="C53" s="18">
        <f>(1890.0/B53*100)</f>
        <v/>
      </c>
      <c r="D53" s="19" t="n">
        <v>584</v>
      </c>
      <c r="E53" s="18" t="n">
        <v>54.26808524</v>
      </c>
      <c r="F53" s="20" t="n">
        <v>2.71197292</v>
      </c>
      <c r="G53" s="18" t="n">
        <v>8.30801739</v>
      </c>
      <c r="H53" s="20" t="n">
        <v>1.44535869</v>
      </c>
      <c r="I53" s="18" t="n">
        <v>0</v>
      </c>
      <c r="J53" s="20" t="n">
        <v>0</v>
      </c>
      <c r="K53" s="18" t="n">
        <v>18.54236773</v>
      </c>
      <c r="L53" s="20" t="n">
        <v>1.91349168</v>
      </c>
      <c r="M53" s="18" t="n">
        <v>0</v>
      </c>
      <c r="N53" s="20" t="n">
        <v>0</v>
      </c>
      <c r="O53" s="18" t="n">
        <v>0</v>
      </c>
      <c r="P53" s="20" t="n">
        <v>0</v>
      </c>
      <c r="Q53" s="18" t="n">
        <v>18.88152964</v>
      </c>
      <c r="R53" s="20" t="n">
        <v>1.84047417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(2071.0/B55*100)</f>
        <v/>
      </c>
      <c r="D55" s="19" t="n">
        <v>604</v>
      </c>
      <c r="E55" s="18" t="n">
        <v>30.27695606</v>
      </c>
      <c r="F55" s="20" t="n">
        <v>2.16977724</v>
      </c>
      <c r="G55" s="18" t="n">
        <v>68.7305187</v>
      </c>
      <c r="H55" s="20" t="n">
        <v>2.14147301</v>
      </c>
      <c r="I55" s="18" t="n">
        <v>0</v>
      </c>
      <c r="J55" s="20" t="n">
        <v>0</v>
      </c>
      <c r="K55" s="18" t="n">
        <v>0.13631152</v>
      </c>
      <c r="L55" s="20" t="n">
        <v>0.13596709</v>
      </c>
      <c r="M55" s="18" t="n">
        <v>0</v>
      </c>
      <c r="N55" s="20" t="n">
        <v>0</v>
      </c>
      <c r="O55" s="18" t="n">
        <v>0</v>
      </c>
      <c r="P55" s="20" t="n">
        <v>0</v>
      </c>
      <c r="Q55" s="18" t="n">
        <v>0.85621372</v>
      </c>
      <c r="R55" s="20" t="n">
        <v>0.41464694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(2496.0/B61*100)</f>
        <v/>
      </c>
      <c r="D61" s="19" t="n">
        <v>705</v>
      </c>
      <c r="E61" s="18" t="n">
        <v>35.28731838</v>
      </c>
      <c r="F61" s="20" t="n">
        <v>1.96792332</v>
      </c>
      <c r="G61" s="18" t="n">
        <v>61.92580393</v>
      </c>
      <c r="H61" s="20" t="n">
        <v>2.01511465</v>
      </c>
      <c r="I61" s="18" t="n">
        <v>0</v>
      </c>
      <c r="J61" s="20" t="n">
        <v>0</v>
      </c>
      <c r="K61" s="18" t="n">
        <v>0.90353693</v>
      </c>
      <c r="L61" s="20" t="n">
        <v>0.47828806</v>
      </c>
      <c r="M61" s="18" t="n">
        <v>0</v>
      </c>
      <c r="N61" s="20" t="n">
        <v>0</v>
      </c>
      <c r="O61" s="18" t="n">
        <v>0</v>
      </c>
      <c r="P61" s="20" t="n">
        <v>0</v>
      </c>
      <c r="Q61" s="18" t="n">
        <v>1.88334076</v>
      </c>
      <c r="R61" s="20" t="n">
        <v>0.6444389</v>
      </c>
    </row>
    <row r="62" spans="1:18">
      <c r="A62" s="15" t="s">
        <v>622</v>
      </c>
      <c r="B62" s="17" t="n">
        <v>2230</v>
      </c>
      <c r="C62" s="18">
        <f>(1753.0/B62*100)</f>
        <v/>
      </c>
      <c r="D62" s="19" t="n">
        <v>477</v>
      </c>
      <c r="E62" s="18" t="n">
        <v>50.14713564</v>
      </c>
      <c r="F62" s="20" t="n">
        <v>2.19007062</v>
      </c>
      <c r="G62" s="18" t="n">
        <v>49.85286436</v>
      </c>
      <c r="H62" s="20" t="n">
        <v>2.19007062</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(2167.0/B67*100)</f>
        <v/>
      </c>
      <c r="D67" s="19" t="n">
        <v>604</v>
      </c>
      <c r="E67" s="18" t="n">
        <v>67.37123468</v>
      </c>
      <c r="F67" s="20" t="n">
        <v>2.043042</v>
      </c>
      <c r="G67" s="18" t="n">
        <v>19.09011082</v>
      </c>
      <c r="H67" s="20" t="n">
        <v>1.86767723</v>
      </c>
      <c r="I67" s="18" t="n">
        <v>0</v>
      </c>
      <c r="J67" s="20" t="n">
        <v>0</v>
      </c>
      <c r="K67" s="18" t="n">
        <v>0.59974258</v>
      </c>
      <c r="L67" s="20" t="n">
        <v>0.30399768</v>
      </c>
      <c r="M67" s="18" t="n">
        <v>0</v>
      </c>
      <c r="N67" s="20" t="n">
        <v>0</v>
      </c>
      <c r="O67" s="18" t="n">
        <v>0</v>
      </c>
      <c r="P67" s="20" t="n">
        <v>0</v>
      </c>
      <c r="Q67" s="18" t="n">
        <v>12.93891192</v>
      </c>
      <c r="R67" s="20" t="n">
        <v>1.36463872</v>
      </c>
    </row>
    <row r="68" spans="1:18">
      <c r="A68" s="15" t="s">
        <v>628</v>
      </c>
      <c r="B68" s="17" t="n">
        <v>3460</v>
      </c>
      <c r="C68" s="18">
        <f>(2843.0/B68*100)</f>
        <v/>
      </c>
      <c r="D68" s="19" t="n">
        <v>617</v>
      </c>
      <c r="E68" s="18" t="n">
        <v>67.02563356</v>
      </c>
      <c r="F68" s="20" t="n">
        <v>2.20071483</v>
      </c>
      <c r="G68" s="18" t="n">
        <v>24.63878653</v>
      </c>
      <c r="H68" s="20" t="n">
        <v>2.17234587</v>
      </c>
      <c r="I68" s="18" t="n">
        <v>0</v>
      </c>
      <c r="J68" s="20" t="n">
        <v>0</v>
      </c>
      <c r="K68" s="18" t="n">
        <v>0.44491105</v>
      </c>
      <c r="L68" s="20" t="n">
        <v>0.24538336</v>
      </c>
      <c r="M68" s="18" t="n">
        <v>0</v>
      </c>
      <c r="N68" s="20" t="n">
        <v>0</v>
      </c>
      <c r="O68" s="18" t="n">
        <v>0</v>
      </c>
      <c r="P68" s="20" t="n">
        <v>0</v>
      </c>
      <c r="Q68" s="18" t="n">
        <v>7.89066886</v>
      </c>
      <c r="R68" s="20" t="n">
        <v>1.06622243</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(4681.0/B70*100)</f>
        <v/>
      </c>
      <c r="D70" s="19" t="n">
        <v>1353</v>
      </c>
      <c r="E70" s="18" t="n">
        <v>78.48592858000001</v>
      </c>
      <c r="F70" s="20" t="n">
        <v>1.04348232</v>
      </c>
      <c r="G70" s="18" t="n">
        <v>15.25071354</v>
      </c>
      <c r="H70" s="20" t="n">
        <v>0.93901865</v>
      </c>
      <c r="I70" s="18" t="n">
        <v>0</v>
      </c>
      <c r="J70" s="20" t="n">
        <v>0</v>
      </c>
      <c r="K70" s="18" t="n">
        <v>2.94114886</v>
      </c>
      <c r="L70" s="20" t="n">
        <v>0.47500061</v>
      </c>
      <c r="M70" s="18" t="n">
        <v>0</v>
      </c>
      <c r="N70" s="20" t="n">
        <v>0</v>
      </c>
      <c r="O70" s="18" t="n">
        <v>0</v>
      </c>
      <c r="P70" s="20" t="n">
        <v>0</v>
      </c>
      <c r="Q70" s="18" t="n">
        <v>3.32220902</v>
      </c>
      <c r="R70" s="20" t="n">
        <v>0.43587113</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(2442.0/B72*100)</f>
        <v/>
      </c>
      <c r="D72" s="19" t="n">
        <v>665</v>
      </c>
      <c r="E72" s="18" t="n">
        <v>40.78599829</v>
      </c>
      <c r="F72" s="20" t="n">
        <v>3.08334525</v>
      </c>
      <c r="G72" s="18" t="n">
        <v>56.07620244</v>
      </c>
      <c r="H72" s="20" t="n">
        <v>3.18662198</v>
      </c>
      <c r="I72" s="18" t="n">
        <v>0</v>
      </c>
      <c r="J72" s="20" t="n">
        <v>0</v>
      </c>
      <c r="K72" s="18" t="n">
        <v>0.60533161</v>
      </c>
      <c r="L72" s="20" t="n">
        <v>0.22402138</v>
      </c>
      <c r="M72" s="18" t="n">
        <v>0</v>
      </c>
      <c r="N72" s="20" t="n">
        <v>0</v>
      </c>
      <c r="O72" s="18" t="n">
        <v>0</v>
      </c>
      <c r="P72" s="20" t="n">
        <v>0</v>
      </c>
      <c r="Q72" s="18" t="n">
        <v>2.53246767</v>
      </c>
      <c r="R72" s="20" t="n">
        <v>0.60269799</v>
      </c>
    </row>
    <row r="73" spans="1:18">
      <c r="A73" s="15" t="s">
        <v>633</v>
      </c>
      <c r="B73" s="17" t="n">
        <v>2973</v>
      </c>
      <c r="C73" s="18">
        <f>(2333.0/B73*100)</f>
        <v/>
      </c>
      <c r="D73" s="19" t="n">
        <v>640</v>
      </c>
      <c r="E73" s="18" t="n">
        <v>43.54503473</v>
      </c>
      <c r="F73" s="20" t="n">
        <v>2.13946274</v>
      </c>
      <c r="G73" s="18" t="n">
        <v>55.72292191</v>
      </c>
      <c r="H73" s="20" t="n">
        <v>2.0634585</v>
      </c>
      <c r="I73" s="18" t="n">
        <v>0</v>
      </c>
      <c r="J73" s="20" t="n">
        <v>0</v>
      </c>
      <c r="K73" s="18" t="n">
        <v>0</v>
      </c>
      <c r="L73" s="20" t="n">
        <v>0</v>
      </c>
      <c r="M73" s="18" t="n">
        <v>0</v>
      </c>
      <c r="N73" s="20" t="n">
        <v>0</v>
      </c>
      <c r="O73" s="18" t="n">
        <v>0</v>
      </c>
      <c r="P73" s="20" t="n">
        <v>0</v>
      </c>
      <c r="Q73" s="18" t="n">
        <v>0.73204336</v>
      </c>
      <c r="R73" s="20" t="n">
        <v>0.36135826</v>
      </c>
    </row>
    <row r="74" spans="1:18">
      <c r="A74" s="15" t="s">
        <v>634</v>
      </c>
      <c r="B74" s="17" t="n">
        <v>3819</v>
      </c>
      <c r="C74" s="18">
        <f>(3013.0/B74*100)</f>
        <v/>
      </c>
      <c r="D74" s="19" t="n">
        <v>806</v>
      </c>
      <c r="E74" s="18" t="n">
        <v>30.53780717</v>
      </c>
      <c r="F74" s="20" t="n">
        <v>1.67066762</v>
      </c>
      <c r="G74" s="18" t="n">
        <v>68.82106878</v>
      </c>
      <c r="H74" s="20" t="n">
        <v>1.67096896</v>
      </c>
      <c r="I74" s="18" t="n">
        <v>0</v>
      </c>
      <c r="J74" s="20" t="n">
        <v>0</v>
      </c>
      <c r="K74" s="18" t="n">
        <v>0.19101494</v>
      </c>
      <c r="L74" s="20" t="n">
        <v>0.27024971</v>
      </c>
      <c r="M74" s="18" t="n">
        <v>0</v>
      </c>
      <c r="N74" s="20" t="n">
        <v>0</v>
      </c>
      <c r="O74" s="18" t="n">
        <v>0</v>
      </c>
      <c r="P74" s="20" t="n">
        <v>0</v>
      </c>
      <c r="Q74" s="18" t="n">
        <v>0.45010911</v>
      </c>
      <c r="R74" s="20" t="n">
        <v>0.23253542</v>
      </c>
    </row>
    <row r="75" spans="1:18">
      <c r="A75" s="15" t="s">
        <v>635</v>
      </c>
      <c r="B75" s="17" t="n">
        <v>4652</v>
      </c>
      <c r="C75" s="18">
        <f>(3677.0/B75*100)</f>
        <v/>
      </c>
      <c r="D75" s="19" t="n">
        <v>975</v>
      </c>
      <c r="E75" s="18" t="n">
        <v>75.74677856</v>
      </c>
      <c r="F75" s="20" t="n">
        <v>1.9117833</v>
      </c>
      <c r="G75" s="18" t="n">
        <v>23.03381278</v>
      </c>
      <c r="H75" s="20" t="n">
        <v>1.90041337</v>
      </c>
      <c r="I75" s="18" t="n">
        <v>0</v>
      </c>
      <c r="J75" s="20" t="n">
        <v>0</v>
      </c>
      <c r="K75" s="18" t="n">
        <v>0.14763941</v>
      </c>
      <c r="L75" s="20" t="n">
        <v>0.14708878</v>
      </c>
      <c r="M75" s="18" t="n">
        <v>0</v>
      </c>
      <c r="N75" s="20" t="n">
        <v>0</v>
      </c>
      <c r="O75" s="18" t="n">
        <v>0</v>
      </c>
      <c r="P75" s="20" t="n">
        <v>0</v>
      </c>
      <c r="Q75" s="18" t="n">
        <v>1.07176925</v>
      </c>
      <c r="R75" s="20" t="n">
        <v>0.41408378</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(2392.0/B77*100)</f>
        <v/>
      </c>
      <c r="D77" s="19" t="n">
        <v>577</v>
      </c>
      <c r="E77" s="18" t="n">
        <v>85.66249920999999</v>
      </c>
      <c r="F77" s="20" t="n">
        <v>1.468669</v>
      </c>
      <c r="G77" s="18" t="n">
        <v>4.07980565</v>
      </c>
      <c r="H77" s="20" t="n">
        <v>0.70611756</v>
      </c>
      <c r="I77" s="18" t="n">
        <v>0</v>
      </c>
      <c r="J77" s="20" t="n">
        <v>0</v>
      </c>
      <c r="K77" s="18" t="n">
        <v>4.29557856</v>
      </c>
      <c r="L77" s="20" t="n">
        <v>0.89393304</v>
      </c>
      <c r="M77" s="18" t="n">
        <v>0</v>
      </c>
      <c r="N77" s="20" t="n">
        <v>0</v>
      </c>
      <c r="O77" s="18" t="n">
        <v>0</v>
      </c>
      <c r="P77" s="20" t="n">
        <v>0</v>
      </c>
      <c r="Q77" s="18" t="n">
        <v>5.96211658</v>
      </c>
      <c r="R77" s="20" t="n">
        <v>1.00404354</v>
      </c>
    </row>
    <row r="78" spans="1:18">
      <c r="A78" s="15" t="s">
        <v>638</v>
      </c>
      <c r="B78" s="17" t="n">
        <v>7115</v>
      </c>
      <c r="C78" s="18">
        <f>(5543.0/B78*100)</f>
        <v/>
      </c>
      <c r="D78" s="19" t="n">
        <v>1572</v>
      </c>
      <c r="E78" s="18" t="n">
        <v>77.75734405999999</v>
      </c>
      <c r="F78" s="20" t="n">
        <v>1.49761013</v>
      </c>
      <c r="G78" s="18" t="n">
        <v>18.74413372</v>
      </c>
      <c r="H78" s="20" t="n">
        <v>1.43900599</v>
      </c>
      <c r="I78" s="18" t="n">
        <v>0</v>
      </c>
      <c r="J78" s="20" t="n">
        <v>0</v>
      </c>
      <c r="K78" s="18" t="n">
        <v>1.59079619</v>
      </c>
      <c r="L78" s="20" t="n">
        <v>0.35205983</v>
      </c>
      <c r="M78" s="18" t="n">
        <v>0</v>
      </c>
      <c r="N78" s="20" t="n">
        <v>0</v>
      </c>
      <c r="O78" s="18" t="n">
        <v>0</v>
      </c>
      <c r="P78" s="20" t="n">
        <v>0</v>
      </c>
      <c r="Q78" s="18" t="n">
        <v>1.90772602</v>
      </c>
      <c r="R78" s="20" t="n">
        <v>0.47608553</v>
      </c>
    </row>
    <row r="79" spans="1:18">
      <c r="A79" s="15" t="s">
        <v>639</v>
      </c>
      <c r="B79" s="17" t="n">
        <v>3154</v>
      </c>
      <c r="C79" s="18">
        <f>(2474.0/B79*100)</f>
        <v/>
      </c>
      <c r="D79" s="19" t="n">
        <v>680</v>
      </c>
      <c r="E79" s="18" t="n">
        <v>56.48648225</v>
      </c>
      <c r="F79" s="20" t="n">
        <v>2.25858578</v>
      </c>
      <c r="G79" s="18" t="n">
        <v>35.84972383</v>
      </c>
      <c r="H79" s="20" t="n">
        <v>2.08251999</v>
      </c>
      <c r="I79" s="18" t="n">
        <v>0</v>
      </c>
      <c r="J79" s="20" t="n">
        <v>0</v>
      </c>
      <c r="K79" s="18" t="n">
        <v>1.41688332</v>
      </c>
      <c r="L79" s="20" t="n">
        <v>0.49352868</v>
      </c>
      <c r="M79" s="18" t="n">
        <v>0</v>
      </c>
      <c r="N79" s="20" t="n">
        <v>0</v>
      </c>
      <c r="O79" s="18" t="n">
        <v>0</v>
      </c>
      <c r="P79" s="20" t="n">
        <v>0</v>
      </c>
      <c r="Q79" s="18" t="n">
        <v>6.2469106</v>
      </c>
      <c r="R79" s="20" t="n">
        <v>1.04233396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(12486.0/B82*100)</f>
        <v/>
      </c>
      <c r="D82" s="19" t="n">
        <v>3475</v>
      </c>
      <c r="E82" s="18" t="n">
        <v>33.94130547</v>
      </c>
      <c r="F82" s="20" t="n">
        <v>1.15154935</v>
      </c>
      <c r="G82" s="18" t="n">
        <v>62.59015872</v>
      </c>
      <c r="H82" s="20" t="n">
        <v>1.19285403</v>
      </c>
      <c r="I82" s="18" t="n">
        <v>0</v>
      </c>
      <c r="J82" s="20" t="n">
        <v>0</v>
      </c>
      <c r="K82" s="18" t="n">
        <v>0.55261413</v>
      </c>
      <c r="L82" s="20" t="n">
        <v>0.15538956</v>
      </c>
      <c r="M82" s="18" t="n">
        <v>0</v>
      </c>
      <c r="N82" s="20" t="n">
        <v>0</v>
      </c>
      <c r="O82" s="18" t="n">
        <v>0</v>
      </c>
      <c r="P82" s="20" t="n">
        <v>0</v>
      </c>
      <c r="Q82" s="18" t="n">
        <v>2.91592168</v>
      </c>
      <c r="R82" s="20" t="n">
        <v>0.49556918</v>
      </c>
    </row>
    <row r="83" spans="1:18">
      <c r="A83" s="15" t="s">
        <v>643</v>
      </c>
      <c r="B83" s="17" t="n">
        <v>808</v>
      </c>
      <c r="C83" s="18">
        <f>(619.0/B83*100)</f>
        <v/>
      </c>
      <c r="D83" s="19" t="n">
        <v>189</v>
      </c>
      <c r="E83" s="18" t="n">
        <v>42.14916261</v>
      </c>
      <c r="F83" s="20" t="n">
        <v>4.62735192</v>
      </c>
      <c r="G83" s="18" t="n">
        <v>57.11965291</v>
      </c>
      <c r="H83" s="20" t="n">
        <v>4.6242997</v>
      </c>
      <c r="I83" s="18" t="n">
        <v>0</v>
      </c>
      <c r="J83" s="20" t="n">
        <v>0</v>
      </c>
      <c r="K83" s="18" t="n">
        <v>0</v>
      </c>
      <c r="L83" s="20" t="n">
        <v>0</v>
      </c>
      <c r="M83" s="18" t="n">
        <v>0</v>
      </c>
      <c r="N83" s="20" t="n">
        <v>0</v>
      </c>
      <c r="O83" s="18" t="n">
        <v>0</v>
      </c>
      <c r="P83" s="20" t="n">
        <v>0</v>
      </c>
      <c r="Q83" s="18" t="n">
        <v>0.73118448</v>
      </c>
      <c r="R83" s="20" t="n">
        <v>0.58917122</v>
      </c>
    </row>
    <row r="84" spans="1:18">
      <c r="A84" s="23" t="s">
        <v>644</v>
      </c>
      <c r="B84" s="24" t="n">
        <v>938</v>
      </c>
      <c r="C84" s="25">
        <f>(719.0/B84*100)</f>
        <v/>
      </c>
      <c r="D84" s="19" t="n">
        <v>219</v>
      </c>
      <c r="E84" s="18" t="n">
        <v>55.01523628</v>
      </c>
      <c r="F84" s="20" t="n">
        <v>4.3579546</v>
      </c>
      <c r="G84" s="18" t="n">
        <v>44.98476372</v>
      </c>
      <c r="H84" s="20" t="n">
        <v>4.3579546</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(5666.0/B7*100)</f>
        <v/>
      </c>
      <c r="D7" s="19" t="n">
        <v>1497</v>
      </c>
      <c r="E7" s="18" t="n">
        <v>34.12715507</v>
      </c>
      <c r="F7" s="20" t="n">
        <v>1.47476524</v>
      </c>
      <c r="G7" s="18" t="n">
        <v>64.55854296</v>
      </c>
      <c r="H7" s="20" t="n">
        <v>1.59413718</v>
      </c>
      <c r="I7" s="18" t="n">
        <v>0</v>
      </c>
      <c r="J7" s="20" t="n">
        <v>0</v>
      </c>
      <c r="K7" s="18" t="n">
        <v>0.91866285</v>
      </c>
      <c r="L7" s="20" t="n">
        <v>0.30584659</v>
      </c>
      <c r="M7" s="18" t="n">
        <v>0</v>
      </c>
      <c r="N7" s="20" t="n">
        <v>0</v>
      </c>
      <c r="O7" s="18" t="n">
        <v>0</v>
      </c>
      <c r="P7" s="20" t="n">
        <v>0</v>
      </c>
      <c r="Q7" s="18" t="n">
        <v>0.39563913</v>
      </c>
      <c r="R7" s="20" t="n">
        <v>0.19424382</v>
      </c>
    </row>
    <row r="8" spans="1:18">
      <c r="A8" s="15" t="s">
        <v>566</v>
      </c>
      <c r="B8" s="17" t="n">
        <v>3443</v>
      </c>
      <c r="C8" s="18">
        <f>(2677.0/B8*100)</f>
        <v/>
      </c>
      <c r="D8" s="19" t="n">
        <v>766</v>
      </c>
      <c r="E8" s="18" t="n">
        <v>40.993848</v>
      </c>
      <c r="F8" s="20" t="n">
        <v>2.05942017</v>
      </c>
      <c r="G8" s="18" t="n">
        <v>58.44195856</v>
      </c>
      <c r="H8" s="20" t="n">
        <v>2.07955476</v>
      </c>
      <c r="I8" s="18" t="n">
        <v>0</v>
      </c>
      <c r="J8" s="20" t="n">
        <v>0</v>
      </c>
      <c r="K8" s="18" t="n">
        <v>0.24293464</v>
      </c>
      <c r="L8" s="20" t="n">
        <v>0.171192</v>
      </c>
      <c r="M8" s="18" t="n">
        <v>0</v>
      </c>
      <c r="N8" s="20" t="n">
        <v>0</v>
      </c>
      <c r="O8" s="18" t="n">
        <v>0</v>
      </c>
      <c r="P8" s="20" t="n">
        <v>0</v>
      </c>
      <c r="Q8" s="18" t="n">
        <v>0.3212588</v>
      </c>
      <c r="R8" s="20" t="n">
        <v>0.16662714</v>
      </c>
    </row>
    <row r="9" spans="1:18">
      <c r="A9" s="15" t="s">
        <v>567</v>
      </c>
      <c r="B9" s="17" t="n">
        <v>4752</v>
      </c>
      <c r="C9" s="18">
        <f>(3744.0/B9*100)</f>
        <v/>
      </c>
      <c r="D9" s="19" t="n">
        <v>1008</v>
      </c>
      <c r="E9" s="18" t="n">
        <v>42.0751399</v>
      </c>
      <c r="F9" s="20" t="n">
        <v>1.70166197</v>
      </c>
      <c r="G9" s="18" t="n">
        <v>56.31206903</v>
      </c>
      <c r="H9" s="20" t="n">
        <v>1.70519371</v>
      </c>
      <c r="I9" s="18" t="n">
        <v>0</v>
      </c>
      <c r="J9" s="20" t="n">
        <v>0</v>
      </c>
      <c r="K9" s="18" t="n">
        <v>0.8152206</v>
      </c>
      <c r="L9" s="20" t="n">
        <v>0.31086744</v>
      </c>
      <c r="M9" s="18" t="n">
        <v>0</v>
      </c>
      <c r="N9" s="20" t="n">
        <v>0</v>
      </c>
      <c r="O9" s="18" t="n">
        <v>0</v>
      </c>
      <c r="P9" s="20" t="n">
        <v>0</v>
      </c>
      <c r="Q9" s="18" t="n">
        <v>0.79757047</v>
      </c>
      <c r="R9" s="20" t="n">
        <v>0.26131991</v>
      </c>
    </row>
    <row r="10" spans="1:18">
      <c r="A10" s="15" t="s">
        <v>568</v>
      </c>
      <c r="B10" s="17" t="n">
        <v>10022</v>
      </c>
      <c r="C10" s="18">
        <f>(7836.0/B10*100)</f>
        <v/>
      </c>
      <c r="D10" s="19" t="n">
        <v>2186</v>
      </c>
      <c r="E10" s="18" t="n">
        <v>32.42897414</v>
      </c>
      <c r="F10" s="20" t="n">
        <v>1.22100459</v>
      </c>
      <c r="G10" s="18" t="n">
        <v>65.97035983000001</v>
      </c>
      <c r="H10" s="20" t="n">
        <v>1.31363038</v>
      </c>
      <c r="I10" s="18" t="n">
        <v>0</v>
      </c>
      <c r="J10" s="20" t="n">
        <v>0</v>
      </c>
      <c r="K10" s="18" t="n">
        <v>1.08196427</v>
      </c>
      <c r="L10" s="20" t="n">
        <v>0.32881804</v>
      </c>
      <c r="M10" s="18" t="n">
        <v>0</v>
      </c>
      <c r="N10" s="20" t="n">
        <v>0</v>
      </c>
      <c r="O10" s="18" t="n">
        <v>0</v>
      </c>
      <c r="P10" s="20" t="n">
        <v>0</v>
      </c>
      <c r="Q10" s="18" t="n">
        <v>0.51870176</v>
      </c>
      <c r="R10" s="20" t="n">
        <v>0.22696681</v>
      </c>
    </row>
    <row r="11" spans="1:18">
      <c r="A11" s="15" t="s">
        <v>569</v>
      </c>
      <c r="B11" s="17" t="n">
        <v>3500</v>
      </c>
      <c r="C11" s="18">
        <f>(2738.0/B11*100)</f>
        <v/>
      </c>
      <c r="D11" s="19" t="n">
        <v>762</v>
      </c>
      <c r="E11" s="18" t="n">
        <v>53.20666147</v>
      </c>
      <c r="F11" s="20" t="n">
        <v>1.80383838</v>
      </c>
      <c r="G11" s="18" t="n">
        <v>44.44502533</v>
      </c>
      <c r="H11" s="20" t="n">
        <v>1.91953377</v>
      </c>
      <c r="I11" s="18" t="n">
        <v>0</v>
      </c>
      <c r="J11" s="20" t="n">
        <v>0</v>
      </c>
      <c r="K11" s="18" t="n">
        <v>1.94031954</v>
      </c>
      <c r="L11" s="20" t="n">
        <v>0.44395339</v>
      </c>
      <c r="M11" s="18" t="n">
        <v>0</v>
      </c>
      <c r="N11" s="20" t="n">
        <v>0</v>
      </c>
      <c r="O11" s="18" t="n">
        <v>0</v>
      </c>
      <c r="P11" s="20" t="n">
        <v>0</v>
      </c>
      <c r="Q11" s="18" t="n">
        <v>0.40799366</v>
      </c>
      <c r="R11" s="20" t="n">
        <v>0.2540882</v>
      </c>
    </row>
    <row r="12" spans="1:18">
      <c r="A12" s="15" t="s">
        <v>570</v>
      </c>
      <c r="B12" s="17" t="n">
        <v>3422</v>
      </c>
      <c r="C12" s="18">
        <f>(2711.0/B12*100)</f>
        <v/>
      </c>
      <c r="D12" s="19" t="n">
        <v>711</v>
      </c>
      <c r="E12" s="18" t="n">
        <v>43.52648289</v>
      </c>
      <c r="F12" s="20" t="n">
        <v>2.26043531</v>
      </c>
      <c r="G12" s="18" t="n">
        <v>55.94845937</v>
      </c>
      <c r="H12" s="20" t="n">
        <v>2.23082262</v>
      </c>
      <c r="I12" s="18" t="n">
        <v>0</v>
      </c>
      <c r="J12" s="20" t="n">
        <v>0</v>
      </c>
      <c r="K12" s="18" t="n">
        <v>0.20265768</v>
      </c>
      <c r="L12" s="20" t="n">
        <v>0.14013095</v>
      </c>
      <c r="M12" s="18" t="n">
        <v>0</v>
      </c>
      <c r="N12" s="20" t="n">
        <v>0</v>
      </c>
      <c r="O12" s="18" t="n">
        <v>0</v>
      </c>
      <c r="P12" s="20" t="n">
        <v>0</v>
      </c>
      <c r="Q12" s="18" t="n">
        <v>0.32240006</v>
      </c>
      <c r="R12" s="20" t="n">
        <v>0.29370247</v>
      </c>
    </row>
    <row r="13" spans="1:18">
      <c r="A13" s="15" t="s">
        <v>571</v>
      </c>
      <c r="B13" s="17" t="n">
        <v>3602</v>
      </c>
      <c r="C13" s="18">
        <f>(2916.0/B13*100)</f>
        <v/>
      </c>
      <c r="D13" s="19" t="n">
        <v>686</v>
      </c>
      <c r="E13" s="18" t="n">
        <v>40.28601117</v>
      </c>
      <c r="F13" s="20" t="n">
        <v>2.32068675</v>
      </c>
      <c r="G13" s="18" t="n">
        <v>58.86248902</v>
      </c>
      <c r="H13" s="20" t="n">
        <v>2.30582104</v>
      </c>
      <c r="I13" s="18" t="n">
        <v>0</v>
      </c>
      <c r="J13" s="20" t="n">
        <v>0</v>
      </c>
      <c r="K13" s="18" t="n">
        <v>0.85149981</v>
      </c>
      <c r="L13" s="20" t="n">
        <v>0.41624956</v>
      </c>
      <c r="M13" s="18" t="n">
        <v>0</v>
      </c>
      <c r="N13" s="20" t="n">
        <v>0</v>
      </c>
      <c r="O13" s="18" t="n">
        <v>0</v>
      </c>
      <c r="P13" s="20" t="n">
        <v>0</v>
      </c>
      <c r="Q13" s="18" t="n">
        <v>0</v>
      </c>
      <c r="R13" s="20" t="n">
        <v>0</v>
      </c>
    </row>
    <row r="14" spans="1:18">
      <c r="A14" s="15" t="s">
        <v>572</v>
      </c>
      <c r="B14" s="17" t="n">
        <v>2788</v>
      </c>
      <c r="C14" s="18">
        <f>(2162.0/B14*100)</f>
        <v/>
      </c>
      <c r="D14" s="19" t="n">
        <v>626</v>
      </c>
      <c r="E14" s="18" t="n">
        <v>37.4725883</v>
      </c>
      <c r="F14" s="20" t="n">
        <v>2.31716998</v>
      </c>
      <c r="G14" s="18" t="n">
        <v>61.83658178</v>
      </c>
      <c r="H14" s="20" t="n">
        <v>2.30533308</v>
      </c>
      <c r="I14" s="18" t="n">
        <v>0</v>
      </c>
      <c r="J14" s="20" t="n">
        <v>0</v>
      </c>
      <c r="K14" s="18" t="n">
        <v>0.69082992</v>
      </c>
      <c r="L14" s="20" t="n">
        <v>0.31691293</v>
      </c>
      <c r="M14" s="18" t="n">
        <v>0</v>
      </c>
      <c r="N14" s="20" t="n">
        <v>0</v>
      </c>
      <c r="O14" s="18" t="n">
        <v>0</v>
      </c>
      <c r="P14" s="20" t="n">
        <v>0</v>
      </c>
      <c r="Q14" s="18" t="n">
        <v>0</v>
      </c>
      <c r="R14" s="20" t="n">
        <v>0</v>
      </c>
    </row>
    <row r="15" spans="1:18">
      <c r="A15" s="15" t="s">
        <v>573</v>
      </c>
      <c r="B15" s="17" t="n">
        <v>2863</v>
      </c>
      <c r="C15" s="18">
        <f>(2231.0/B15*100)</f>
        <v/>
      </c>
      <c r="D15" s="19" t="n">
        <v>632</v>
      </c>
      <c r="E15" s="18" t="n">
        <v>29.95034103</v>
      </c>
      <c r="F15" s="20" t="n">
        <v>1.92205849</v>
      </c>
      <c r="G15" s="18" t="n">
        <v>69.87944207</v>
      </c>
      <c r="H15" s="20" t="n">
        <v>1.9399577</v>
      </c>
      <c r="I15" s="18" t="n">
        <v>0</v>
      </c>
      <c r="J15" s="20" t="n">
        <v>0</v>
      </c>
      <c r="K15" s="18" t="n">
        <v>0.1702169</v>
      </c>
      <c r="L15" s="20" t="n">
        <v>0.1756844</v>
      </c>
      <c r="M15" s="18" t="n">
        <v>0</v>
      </c>
      <c r="N15" s="20" t="n">
        <v>0</v>
      </c>
      <c r="O15" s="18" t="n">
        <v>0</v>
      </c>
      <c r="P15" s="20" t="n">
        <v>0</v>
      </c>
      <c r="Q15" s="18" t="n">
        <v>0</v>
      </c>
      <c r="R15" s="20" t="n">
        <v>0</v>
      </c>
    </row>
    <row r="16" spans="1:18">
      <c r="A16" s="15" t="s">
        <v>574</v>
      </c>
      <c r="B16" s="17" t="n">
        <v>3111</v>
      </c>
      <c r="C16" s="18">
        <f>(2450.0/B16*100)</f>
        <v/>
      </c>
      <c r="D16" s="19" t="n">
        <v>661</v>
      </c>
      <c r="E16" s="18" t="n">
        <v>37.60785278</v>
      </c>
      <c r="F16" s="20" t="n">
        <v>1.8007374</v>
      </c>
      <c r="G16" s="18" t="n">
        <v>59.92236515</v>
      </c>
      <c r="H16" s="20" t="n">
        <v>1.85152645</v>
      </c>
      <c r="I16" s="18" t="n">
        <v>0</v>
      </c>
      <c r="J16" s="20" t="n">
        <v>0</v>
      </c>
      <c r="K16" s="18" t="n">
        <v>2.04160275</v>
      </c>
      <c r="L16" s="20" t="n">
        <v>0.53632094</v>
      </c>
      <c r="M16" s="18" t="n">
        <v>0</v>
      </c>
      <c r="N16" s="20" t="n">
        <v>0</v>
      </c>
      <c r="O16" s="18" t="n">
        <v>0</v>
      </c>
      <c r="P16" s="20" t="n">
        <v>0</v>
      </c>
      <c r="Q16" s="18" t="n">
        <v>0.42817933</v>
      </c>
      <c r="R16" s="20" t="n">
        <v>0.25229048</v>
      </c>
    </row>
    <row r="17" spans="1:18">
      <c r="A17" s="15" t="s">
        <v>575</v>
      </c>
      <c r="B17" s="17" t="n">
        <v>3197</v>
      </c>
      <c r="C17" s="18">
        <f>(2557.0/B17*100)</f>
        <v/>
      </c>
      <c r="D17" s="19" t="n">
        <v>640</v>
      </c>
      <c r="E17" s="18" t="n">
        <v>34.13079587</v>
      </c>
      <c r="F17" s="20" t="n">
        <v>2.01321293</v>
      </c>
      <c r="G17" s="18" t="n">
        <v>65.21223829</v>
      </c>
      <c r="H17" s="20" t="n">
        <v>1.93130187</v>
      </c>
      <c r="I17" s="18" t="n">
        <v>0</v>
      </c>
      <c r="J17" s="20" t="n">
        <v>0</v>
      </c>
      <c r="K17" s="18" t="n">
        <v>0.46557847</v>
      </c>
      <c r="L17" s="20" t="n">
        <v>0.27078419</v>
      </c>
      <c r="M17" s="18" t="n">
        <v>0</v>
      </c>
      <c r="N17" s="20" t="n">
        <v>0</v>
      </c>
      <c r="O17" s="18" t="n">
        <v>0</v>
      </c>
      <c r="P17" s="20" t="n">
        <v>0</v>
      </c>
      <c r="Q17" s="18" t="n">
        <v>0.19138737</v>
      </c>
      <c r="R17" s="20" t="n">
        <v>0.18924057</v>
      </c>
    </row>
    <row r="18" spans="1:18">
      <c r="A18" s="15" t="s">
        <v>576</v>
      </c>
      <c r="B18" s="17" t="n">
        <v>2706</v>
      </c>
      <c r="C18" s="18">
        <f>(2116.0/B18*100)</f>
        <v/>
      </c>
      <c r="D18" s="19" t="n">
        <v>590</v>
      </c>
      <c r="E18" s="18" t="n">
        <v>50.96016952</v>
      </c>
      <c r="F18" s="20" t="n">
        <v>2.01917333</v>
      </c>
      <c r="G18" s="18" t="n">
        <v>47.34600183</v>
      </c>
      <c r="H18" s="20" t="n">
        <v>2.16466456</v>
      </c>
      <c r="I18" s="18" t="n">
        <v>0</v>
      </c>
      <c r="J18" s="20" t="n">
        <v>0</v>
      </c>
      <c r="K18" s="18" t="n">
        <v>1.43552099</v>
      </c>
      <c r="L18" s="20" t="n">
        <v>0.50599567</v>
      </c>
      <c r="M18" s="18" t="n">
        <v>0</v>
      </c>
      <c r="N18" s="20" t="n">
        <v>0</v>
      </c>
      <c r="O18" s="18" t="n">
        <v>0</v>
      </c>
      <c r="P18" s="20" t="n">
        <v>0</v>
      </c>
      <c r="Q18" s="18" t="n">
        <v>0.25830766</v>
      </c>
      <c r="R18" s="20" t="n">
        <v>0.19404917</v>
      </c>
    </row>
    <row r="19" spans="1:18">
      <c r="A19" s="15" t="s">
        <v>577</v>
      </c>
      <c r="B19" s="17" t="n">
        <v>2850</v>
      </c>
      <c r="C19" s="18">
        <f>(2206.0/B19*100)</f>
        <v/>
      </c>
      <c r="D19" s="19" t="n">
        <v>644</v>
      </c>
      <c r="E19" s="18" t="n">
        <v>43.57237475</v>
      </c>
      <c r="F19" s="20" t="n">
        <v>1.9525905</v>
      </c>
      <c r="G19" s="18" t="n">
        <v>55.03284478</v>
      </c>
      <c r="H19" s="20" t="n">
        <v>1.94833119</v>
      </c>
      <c r="I19" s="18" t="n">
        <v>0</v>
      </c>
      <c r="J19" s="20" t="n">
        <v>0</v>
      </c>
      <c r="K19" s="18" t="n">
        <v>0.14363313</v>
      </c>
      <c r="L19" s="20" t="n">
        <v>0.12224668</v>
      </c>
      <c r="M19" s="18" t="n">
        <v>0</v>
      </c>
      <c r="N19" s="20" t="n">
        <v>0</v>
      </c>
      <c r="O19" s="18" t="n">
        <v>0</v>
      </c>
      <c r="P19" s="20" t="n">
        <v>0</v>
      </c>
      <c r="Q19" s="18" t="n">
        <v>1.25114734</v>
      </c>
      <c r="R19" s="20" t="n">
        <v>0.49312047</v>
      </c>
    </row>
    <row r="20" spans="1:18">
      <c r="A20" s="15" t="s">
        <v>578</v>
      </c>
      <c r="B20" s="17" t="n">
        <v>1741</v>
      </c>
      <c r="C20" s="18">
        <f>(1374.0/B20*100)</f>
        <v/>
      </c>
      <c r="D20" s="19" t="n">
        <v>367</v>
      </c>
      <c r="E20" s="18" t="n">
        <v>45.33700352</v>
      </c>
      <c r="F20" s="20" t="n">
        <v>2.77686748</v>
      </c>
      <c r="G20" s="18" t="n">
        <v>53.66086586</v>
      </c>
      <c r="H20" s="20" t="n">
        <v>2.82615298</v>
      </c>
      <c r="I20" s="18" t="n">
        <v>0</v>
      </c>
      <c r="J20" s="20" t="n">
        <v>0</v>
      </c>
      <c r="K20" s="18" t="n">
        <v>0.74835015</v>
      </c>
      <c r="L20" s="20" t="n">
        <v>0.42139316</v>
      </c>
      <c r="M20" s="18" t="n">
        <v>0</v>
      </c>
      <c r="N20" s="20" t="n">
        <v>0</v>
      </c>
      <c r="O20" s="18" t="n">
        <v>0</v>
      </c>
      <c r="P20" s="20" t="n">
        <v>0</v>
      </c>
      <c r="Q20" s="18" t="n">
        <v>0.25378046</v>
      </c>
      <c r="R20" s="20" t="n">
        <v>0.2552699</v>
      </c>
    </row>
    <row r="21" spans="1:18">
      <c r="A21" s="15" t="s">
        <v>579</v>
      </c>
      <c r="B21" s="17" t="n">
        <v>2833</v>
      </c>
      <c r="C21" s="18">
        <f>(2239.0/B21*100)</f>
        <v/>
      </c>
      <c r="D21" s="19" t="n">
        <v>594</v>
      </c>
      <c r="E21" s="18" t="n">
        <v>42.22579448</v>
      </c>
      <c r="F21" s="20" t="n">
        <v>1.94632427</v>
      </c>
      <c r="G21" s="18" t="n">
        <v>56.72330896</v>
      </c>
      <c r="H21" s="20" t="n">
        <v>1.95608827</v>
      </c>
      <c r="I21" s="18" t="n">
        <v>0</v>
      </c>
      <c r="J21" s="20" t="n">
        <v>0</v>
      </c>
      <c r="K21" s="18" t="n">
        <v>0.52684355</v>
      </c>
      <c r="L21" s="20" t="n">
        <v>0.29793781</v>
      </c>
      <c r="M21" s="18" t="n">
        <v>0</v>
      </c>
      <c r="N21" s="20" t="n">
        <v>0</v>
      </c>
      <c r="O21" s="18" t="n">
        <v>0</v>
      </c>
      <c r="P21" s="20" t="n">
        <v>0</v>
      </c>
      <c r="Q21" s="18" t="n">
        <v>0.52405301</v>
      </c>
      <c r="R21" s="20" t="n">
        <v>0.31534597</v>
      </c>
    </row>
    <row r="22" spans="1:18">
      <c r="A22" s="15" t="s">
        <v>580</v>
      </c>
      <c r="B22" s="17" t="n">
        <v>3667</v>
      </c>
      <c r="C22" s="18">
        <f>(2891.0/B22*100)</f>
        <v/>
      </c>
      <c r="D22" s="19" t="n">
        <v>776</v>
      </c>
      <c r="E22" s="18" t="n">
        <v>50.09211278</v>
      </c>
      <c r="F22" s="20" t="n">
        <v>1.85412227</v>
      </c>
      <c r="G22" s="18" t="n">
        <v>47.1648054</v>
      </c>
      <c r="H22" s="20" t="n">
        <v>1.7869003</v>
      </c>
      <c r="I22" s="18" t="n">
        <v>0</v>
      </c>
      <c r="J22" s="20" t="n">
        <v>0</v>
      </c>
      <c r="K22" s="18" t="n">
        <v>1.71550651</v>
      </c>
      <c r="L22" s="20" t="n">
        <v>0.48539442</v>
      </c>
      <c r="M22" s="18" t="n">
        <v>0</v>
      </c>
      <c r="N22" s="20" t="n">
        <v>0</v>
      </c>
      <c r="O22" s="18" t="n">
        <v>0</v>
      </c>
      <c r="P22" s="20" t="n">
        <v>0</v>
      </c>
      <c r="Q22" s="18" t="n">
        <v>1.02757531</v>
      </c>
      <c r="R22" s="20" t="n">
        <v>0.38450967</v>
      </c>
    </row>
    <row r="23" spans="1:18">
      <c r="A23" s="15" t="s">
        <v>581</v>
      </c>
      <c r="B23" s="17" t="n">
        <v>5792</v>
      </c>
      <c r="C23" s="18">
        <f>(4499.0/B23*100)</f>
        <v/>
      </c>
      <c r="D23" s="19" t="n">
        <v>1293</v>
      </c>
      <c r="E23" s="18" t="n">
        <v>49.11199557</v>
      </c>
      <c r="F23" s="20" t="n">
        <v>2.09978461</v>
      </c>
      <c r="G23" s="18" t="n">
        <v>49.16750654</v>
      </c>
      <c r="H23" s="20" t="n">
        <v>2.20678899</v>
      </c>
      <c r="I23" s="18" t="n">
        <v>0</v>
      </c>
      <c r="J23" s="20" t="n">
        <v>0</v>
      </c>
      <c r="K23" s="18" t="n">
        <v>1.04289011</v>
      </c>
      <c r="L23" s="20" t="n">
        <v>0.43959876</v>
      </c>
      <c r="M23" s="18" t="n">
        <v>0</v>
      </c>
      <c r="N23" s="20" t="n">
        <v>0</v>
      </c>
      <c r="O23" s="18" t="n">
        <v>0</v>
      </c>
      <c r="P23" s="20" t="n">
        <v>0</v>
      </c>
      <c r="Q23" s="18" t="n">
        <v>0.67760779</v>
      </c>
      <c r="R23" s="20" t="n">
        <v>0.32334991</v>
      </c>
    </row>
    <row r="24" spans="1:18">
      <c r="A24" s="15" t="s">
        <v>582</v>
      </c>
      <c r="B24" s="17" t="n">
        <v>3309</v>
      </c>
      <c r="C24" s="18">
        <f>(2611.0/B24*100)</f>
        <v/>
      </c>
      <c r="D24" s="19" t="n">
        <v>698</v>
      </c>
      <c r="E24" s="18" t="n">
        <v>36.68866451</v>
      </c>
      <c r="F24" s="20" t="n">
        <v>1.58893231</v>
      </c>
      <c r="G24" s="18" t="n">
        <v>62.57565234</v>
      </c>
      <c r="H24" s="20" t="n">
        <v>1.57316935</v>
      </c>
      <c r="I24" s="18" t="n">
        <v>0</v>
      </c>
      <c r="J24" s="20" t="n">
        <v>0</v>
      </c>
      <c r="K24" s="18" t="n">
        <v>0.27881718</v>
      </c>
      <c r="L24" s="20" t="n">
        <v>0.19794968</v>
      </c>
      <c r="M24" s="18" t="n">
        <v>0</v>
      </c>
      <c r="N24" s="20" t="n">
        <v>0</v>
      </c>
      <c r="O24" s="18" t="n">
        <v>0</v>
      </c>
      <c r="P24" s="20" t="n">
        <v>0</v>
      </c>
      <c r="Q24" s="18" t="n">
        <v>0.45686597</v>
      </c>
      <c r="R24" s="20" t="n">
        <v>0.22952019</v>
      </c>
    </row>
    <row r="25" spans="1:18">
      <c r="A25" s="15" t="s">
        <v>583</v>
      </c>
      <c r="B25" s="17" t="n">
        <v>2669</v>
      </c>
      <c r="C25" s="18">
        <f>(2091.0/B25*100)</f>
        <v/>
      </c>
      <c r="D25" s="19" t="n">
        <v>578</v>
      </c>
      <c r="E25" s="18" t="n">
        <v>43.37605207</v>
      </c>
      <c r="F25" s="20" t="n">
        <v>1.77502947</v>
      </c>
      <c r="G25" s="18" t="n">
        <v>56.62394793</v>
      </c>
      <c r="H25" s="20" t="n">
        <v>1.77502947</v>
      </c>
      <c r="I25" s="18" t="n">
        <v>0</v>
      </c>
      <c r="J25" s="20" t="n">
        <v>0</v>
      </c>
      <c r="K25" s="18" t="n">
        <v>0</v>
      </c>
      <c r="L25" s="20" t="n">
        <v>0</v>
      </c>
      <c r="M25" s="18" t="n">
        <v>0</v>
      </c>
      <c r="N25" s="20" t="n">
        <v>0</v>
      </c>
      <c r="O25" s="18" t="n">
        <v>0</v>
      </c>
      <c r="P25" s="20" t="n">
        <v>0</v>
      </c>
      <c r="Q25" s="18" t="n">
        <v>0</v>
      </c>
      <c r="R25" s="20" t="n">
        <v>0</v>
      </c>
    </row>
    <row r="26" spans="1:18">
      <c r="A26" s="15" t="s">
        <v>584</v>
      </c>
      <c r="B26" s="17" t="n">
        <v>2419</v>
      </c>
      <c r="C26" s="18">
        <f>(1863.0/B26*100)</f>
        <v/>
      </c>
      <c r="D26" s="19" t="n">
        <v>556</v>
      </c>
      <c r="E26" s="18" t="n">
        <v>50.20520713</v>
      </c>
      <c r="F26" s="20" t="n">
        <v>2.28462634</v>
      </c>
      <c r="G26" s="18" t="n">
        <v>49.33464549</v>
      </c>
      <c r="H26" s="20" t="n">
        <v>2.28102005</v>
      </c>
      <c r="I26" s="18" t="n">
        <v>0</v>
      </c>
      <c r="J26" s="20" t="n">
        <v>0</v>
      </c>
      <c r="K26" s="18" t="n">
        <v>0</v>
      </c>
      <c r="L26" s="20" t="n">
        <v>0</v>
      </c>
      <c r="M26" s="18" t="n">
        <v>0</v>
      </c>
      <c r="N26" s="20" t="n">
        <v>0</v>
      </c>
      <c r="O26" s="18" t="n">
        <v>0</v>
      </c>
      <c r="P26" s="20" t="n">
        <v>0</v>
      </c>
      <c r="Q26" s="18" t="n">
        <v>0.46014738</v>
      </c>
      <c r="R26" s="20" t="n">
        <v>0.27175779</v>
      </c>
    </row>
    <row r="27" spans="1:18">
      <c r="A27" s="15" t="s">
        <v>585</v>
      </c>
      <c r="B27" s="17" t="n">
        <v>2683</v>
      </c>
      <c r="C27" s="18">
        <f>(2141.0/B27*100)</f>
        <v/>
      </c>
      <c r="D27" s="19" t="n">
        <v>542</v>
      </c>
      <c r="E27" s="18" t="n">
        <v>38.97306123</v>
      </c>
      <c r="F27" s="20" t="n">
        <v>2.02336561</v>
      </c>
      <c r="G27" s="18" t="n">
        <v>59.18485364</v>
      </c>
      <c r="H27" s="20" t="n">
        <v>2.07333161</v>
      </c>
      <c r="I27" s="18" t="n">
        <v>0</v>
      </c>
      <c r="J27" s="20" t="n">
        <v>0</v>
      </c>
      <c r="K27" s="18" t="n">
        <v>0.5422666</v>
      </c>
      <c r="L27" s="20" t="n">
        <v>0.31162427</v>
      </c>
      <c r="M27" s="18" t="n">
        <v>0</v>
      </c>
      <c r="N27" s="20" t="n">
        <v>0</v>
      </c>
      <c r="O27" s="18" t="n">
        <v>0</v>
      </c>
      <c r="P27" s="20" t="n">
        <v>0</v>
      </c>
      <c r="Q27" s="18" t="n">
        <v>1.29981853</v>
      </c>
      <c r="R27" s="20" t="n">
        <v>0.50029642</v>
      </c>
    </row>
    <row r="28" spans="1:18">
      <c r="A28" s="15" t="s">
        <v>586</v>
      </c>
      <c r="B28" s="17" t="n">
        <v>3803</v>
      </c>
      <c r="C28" s="18">
        <f>(3018.0/B28*100)</f>
        <v/>
      </c>
      <c r="D28" s="19" t="n">
        <v>785</v>
      </c>
      <c r="E28" s="18" t="n">
        <v>58.55328145</v>
      </c>
      <c r="F28" s="20" t="n">
        <v>2.18661157</v>
      </c>
      <c r="G28" s="18" t="n">
        <v>39.31325642</v>
      </c>
      <c r="H28" s="20" t="n">
        <v>2.23034855</v>
      </c>
      <c r="I28" s="18" t="n">
        <v>0</v>
      </c>
      <c r="J28" s="20" t="n">
        <v>0</v>
      </c>
      <c r="K28" s="18" t="n">
        <v>1.71337086</v>
      </c>
      <c r="L28" s="20" t="n">
        <v>0.5456904</v>
      </c>
      <c r="M28" s="18" t="n">
        <v>0</v>
      </c>
      <c r="N28" s="20" t="n">
        <v>0</v>
      </c>
      <c r="O28" s="18" t="n">
        <v>0</v>
      </c>
      <c r="P28" s="20" t="n">
        <v>0</v>
      </c>
      <c r="Q28" s="18" t="n">
        <v>0.42009127</v>
      </c>
      <c r="R28" s="20" t="n">
        <v>0.21254041</v>
      </c>
    </row>
    <row r="29" spans="1:18">
      <c r="A29" s="15" t="s">
        <v>587</v>
      </c>
      <c r="B29" s="17" t="n">
        <v>2700</v>
      </c>
      <c r="C29" s="18">
        <f>(2113.0/B29*100)</f>
        <v/>
      </c>
      <c r="D29" s="19" t="n">
        <v>587</v>
      </c>
      <c r="E29" s="18" t="n">
        <v>46.85436409</v>
      </c>
      <c r="F29" s="20" t="n">
        <v>1.9204116</v>
      </c>
      <c r="G29" s="18" t="n">
        <v>52.16628452</v>
      </c>
      <c r="H29" s="20" t="n">
        <v>1.93196825</v>
      </c>
      <c r="I29" s="18" t="n">
        <v>0</v>
      </c>
      <c r="J29" s="20" t="n">
        <v>0</v>
      </c>
      <c r="K29" s="18" t="n">
        <v>0.81724197</v>
      </c>
      <c r="L29" s="20" t="n">
        <v>0.39343178</v>
      </c>
      <c r="M29" s="18" t="n">
        <v>0</v>
      </c>
      <c r="N29" s="20" t="n">
        <v>0</v>
      </c>
      <c r="O29" s="18" t="n">
        <v>0</v>
      </c>
      <c r="P29" s="20" t="n">
        <v>0</v>
      </c>
      <c r="Q29" s="18" t="n">
        <v>0.16210942</v>
      </c>
      <c r="R29" s="20" t="n">
        <v>0.16940988</v>
      </c>
    </row>
    <row r="30" spans="1:18">
      <c r="A30" s="15" t="s">
        <v>588</v>
      </c>
      <c r="B30" s="17" t="n">
        <v>2257</v>
      </c>
      <c r="C30" s="18">
        <f>(1790.0/B30*100)</f>
        <v/>
      </c>
      <c r="D30" s="19" t="n">
        <v>467</v>
      </c>
      <c r="E30" s="18" t="n">
        <v>28.80538072</v>
      </c>
      <c r="F30" s="20" t="n">
        <v>2.29657354</v>
      </c>
      <c r="G30" s="18" t="n">
        <v>69.65765463</v>
      </c>
      <c r="H30" s="20" t="n">
        <v>2.14301353</v>
      </c>
      <c r="I30" s="18" t="n">
        <v>0</v>
      </c>
      <c r="J30" s="20" t="n">
        <v>0</v>
      </c>
      <c r="K30" s="18" t="n">
        <v>0.66005193</v>
      </c>
      <c r="L30" s="20" t="n">
        <v>0.34527117</v>
      </c>
      <c r="M30" s="18" t="n">
        <v>0</v>
      </c>
      <c r="N30" s="20" t="n">
        <v>0</v>
      </c>
      <c r="O30" s="18" t="n">
        <v>0</v>
      </c>
      <c r="P30" s="20" t="n">
        <v>0</v>
      </c>
      <c r="Q30" s="18" t="n">
        <v>0.87691272</v>
      </c>
      <c r="R30" s="20" t="n">
        <v>0.44175279</v>
      </c>
    </row>
    <row r="31" spans="1:18">
      <c r="A31" s="15" t="s">
        <v>589</v>
      </c>
      <c r="B31" s="17" t="n">
        <v>2706</v>
      </c>
      <c r="C31" s="18">
        <f>(2124.0/B31*100)</f>
        <v/>
      </c>
      <c r="D31" s="19" t="n">
        <v>582</v>
      </c>
      <c r="E31" s="18" t="n">
        <v>49.2615088</v>
      </c>
      <c r="F31" s="20" t="n">
        <v>2.01797937</v>
      </c>
      <c r="G31" s="18" t="n">
        <v>48.80856466</v>
      </c>
      <c r="H31" s="20" t="n">
        <v>1.97506999</v>
      </c>
      <c r="I31" s="18" t="n">
        <v>0</v>
      </c>
      <c r="J31" s="20" t="n">
        <v>0</v>
      </c>
      <c r="K31" s="18" t="n">
        <v>1.52529272</v>
      </c>
      <c r="L31" s="20" t="n">
        <v>0.4509883</v>
      </c>
      <c r="M31" s="18" t="n">
        <v>0</v>
      </c>
      <c r="N31" s="20" t="n">
        <v>0</v>
      </c>
      <c r="O31" s="18" t="n">
        <v>0</v>
      </c>
      <c r="P31" s="20" t="n">
        <v>0</v>
      </c>
      <c r="Q31" s="18" t="n">
        <v>0.40463382</v>
      </c>
      <c r="R31" s="20" t="n">
        <v>0.25507299</v>
      </c>
    </row>
    <row r="32" spans="1:18">
      <c r="A32" s="15" t="s">
        <v>590</v>
      </c>
      <c r="B32" s="17" t="n">
        <v>2209</v>
      </c>
      <c r="C32" s="18">
        <f>(1738.0/B32*100)</f>
        <v/>
      </c>
      <c r="D32" s="19" t="n">
        <v>471</v>
      </c>
      <c r="E32" s="18" t="n">
        <v>46.01848755</v>
      </c>
      <c r="F32" s="20" t="n">
        <v>2.23750835</v>
      </c>
      <c r="G32" s="18" t="n">
        <v>53.40268018</v>
      </c>
      <c r="H32" s="20" t="n">
        <v>2.31580485</v>
      </c>
      <c r="I32" s="18" t="n">
        <v>0</v>
      </c>
      <c r="J32" s="20" t="n">
        <v>0</v>
      </c>
      <c r="K32" s="18" t="n">
        <v>0.37081864</v>
      </c>
      <c r="L32" s="20" t="n">
        <v>0.26155904</v>
      </c>
      <c r="M32" s="18" t="n">
        <v>0</v>
      </c>
      <c r="N32" s="20" t="n">
        <v>0</v>
      </c>
      <c r="O32" s="18" t="n">
        <v>0</v>
      </c>
      <c r="P32" s="20" t="n">
        <v>0</v>
      </c>
      <c r="Q32" s="18" t="n">
        <v>0.20801364</v>
      </c>
      <c r="R32" s="20" t="n">
        <v>0.18771778</v>
      </c>
    </row>
    <row r="33" spans="1:18">
      <c r="A33" s="15" t="s">
        <v>591</v>
      </c>
      <c r="B33" s="17" t="n">
        <v>3651</v>
      </c>
      <c r="C33" s="18">
        <f>(2887.0/B33*100)</f>
        <v/>
      </c>
      <c r="D33" s="19" t="n">
        <v>764</v>
      </c>
      <c r="E33" s="18" t="n">
        <v>43.41979601</v>
      </c>
      <c r="F33" s="20" t="n">
        <v>2.00385386</v>
      </c>
      <c r="G33" s="18" t="n">
        <v>55.84159546</v>
      </c>
      <c r="H33" s="20" t="n">
        <v>2.04309804</v>
      </c>
      <c r="I33" s="18" t="n">
        <v>0</v>
      </c>
      <c r="J33" s="20" t="n">
        <v>0</v>
      </c>
      <c r="K33" s="18" t="n">
        <v>0.55641284</v>
      </c>
      <c r="L33" s="20" t="n">
        <v>0.31144145</v>
      </c>
      <c r="M33" s="18" t="n">
        <v>0</v>
      </c>
      <c r="N33" s="20" t="n">
        <v>0</v>
      </c>
      <c r="O33" s="18" t="n">
        <v>0</v>
      </c>
      <c r="P33" s="20" t="n">
        <v>0</v>
      </c>
      <c r="Q33" s="18" t="n">
        <v>0.18219568</v>
      </c>
      <c r="R33" s="20" t="n">
        <v>0.16228514</v>
      </c>
    </row>
    <row r="34" spans="1:18">
      <c r="A34" s="15" t="s">
        <v>592</v>
      </c>
      <c r="B34" s="17" t="n">
        <v>3035</v>
      </c>
      <c r="C34" s="18">
        <f>(2418.0/B34*100)</f>
        <v/>
      </c>
      <c r="D34" s="19" t="n">
        <v>617</v>
      </c>
      <c r="E34" s="18" t="n">
        <v>47.98205484</v>
      </c>
      <c r="F34" s="20" t="n">
        <v>2.51089888</v>
      </c>
      <c r="G34" s="18" t="n">
        <v>50.52596564</v>
      </c>
      <c r="H34" s="20" t="n">
        <v>2.60350329</v>
      </c>
      <c r="I34" s="18" t="n">
        <v>0</v>
      </c>
      <c r="J34" s="20" t="n">
        <v>0</v>
      </c>
      <c r="K34" s="18" t="n">
        <v>0.37332649</v>
      </c>
      <c r="L34" s="20" t="n">
        <v>0.27325553</v>
      </c>
      <c r="M34" s="18" t="n">
        <v>0</v>
      </c>
      <c r="N34" s="20" t="n">
        <v>0</v>
      </c>
      <c r="O34" s="18" t="n">
        <v>0</v>
      </c>
      <c r="P34" s="20" t="n">
        <v>0</v>
      </c>
      <c r="Q34" s="18" t="n">
        <v>1.11865302</v>
      </c>
      <c r="R34" s="20" t="n">
        <v>0.48524673</v>
      </c>
    </row>
    <row r="35" spans="1:18">
      <c r="A35" s="15" t="s">
        <v>593</v>
      </c>
      <c r="B35" s="17" t="n">
        <v>2901</v>
      </c>
      <c r="C35" s="18">
        <f>(2266.0/B35*100)</f>
        <v/>
      </c>
      <c r="D35" s="19" t="n">
        <v>635</v>
      </c>
      <c r="E35" s="18" t="n">
        <v>52.70237309</v>
      </c>
      <c r="F35" s="20" t="n">
        <v>2.52076121</v>
      </c>
      <c r="G35" s="18" t="n">
        <v>46.94810648</v>
      </c>
      <c r="H35" s="20" t="n">
        <v>2.52897906</v>
      </c>
      <c r="I35" s="18" t="n">
        <v>0</v>
      </c>
      <c r="J35" s="20" t="n">
        <v>0</v>
      </c>
      <c r="K35" s="18" t="n">
        <v>0.06863132</v>
      </c>
      <c r="L35" s="20" t="n">
        <v>0.06910711</v>
      </c>
      <c r="M35" s="18" t="n">
        <v>0</v>
      </c>
      <c r="N35" s="20" t="n">
        <v>0</v>
      </c>
      <c r="O35" s="18" t="n">
        <v>0</v>
      </c>
      <c r="P35" s="20" t="n">
        <v>0</v>
      </c>
      <c r="Q35" s="18" t="n">
        <v>0.28088912</v>
      </c>
      <c r="R35" s="20" t="n">
        <v>0.17193725</v>
      </c>
    </row>
    <row r="36" spans="1:18">
      <c r="A36" s="15" t="s">
        <v>594</v>
      </c>
      <c r="B36" s="17" t="n">
        <v>3404</v>
      </c>
      <c r="C36" s="18">
        <f>(2660.0/B36*100)</f>
        <v/>
      </c>
      <c r="D36" s="19" t="n">
        <v>744</v>
      </c>
      <c r="E36" s="18" t="n">
        <v>41.49591912</v>
      </c>
      <c r="F36" s="20" t="n">
        <v>2.0774981</v>
      </c>
      <c r="G36" s="18" t="n">
        <v>57.40957144</v>
      </c>
      <c r="H36" s="20" t="n">
        <v>2.13824788</v>
      </c>
      <c r="I36" s="18" t="n">
        <v>0</v>
      </c>
      <c r="J36" s="20" t="n">
        <v>0</v>
      </c>
      <c r="K36" s="18" t="n">
        <v>0.65043621</v>
      </c>
      <c r="L36" s="20" t="n">
        <v>0.30065668</v>
      </c>
      <c r="M36" s="18" t="n">
        <v>0</v>
      </c>
      <c r="N36" s="20" t="n">
        <v>0</v>
      </c>
      <c r="O36" s="18" t="n">
        <v>0</v>
      </c>
      <c r="P36" s="20" t="n">
        <v>0</v>
      </c>
      <c r="Q36" s="18" t="n">
        <v>0.44407324</v>
      </c>
      <c r="R36" s="20" t="n">
        <v>0.27636066</v>
      </c>
    </row>
    <row r="37" spans="1:18">
      <c r="A37" s="15" t="s">
        <v>595</v>
      </c>
      <c r="B37" s="17" t="n">
        <v>2731</v>
      </c>
      <c r="C37" s="18">
        <f>(2178.0/B37*100)</f>
        <v/>
      </c>
      <c r="D37" s="19" t="n">
        <v>553</v>
      </c>
      <c r="E37" s="18" t="n">
        <v>46.11515509</v>
      </c>
      <c r="F37" s="20" t="n">
        <v>2.4115614</v>
      </c>
      <c r="G37" s="18" t="n">
        <v>51.88988228</v>
      </c>
      <c r="H37" s="20" t="n">
        <v>2.37636271</v>
      </c>
      <c r="I37" s="18" t="n">
        <v>0</v>
      </c>
      <c r="J37" s="20" t="n">
        <v>0</v>
      </c>
      <c r="K37" s="18" t="n">
        <v>1.50917171</v>
      </c>
      <c r="L37" s="20" t="n">
        <v>0.43824522</v>
      </c>
      <c r="M37" s="18" t="n">
        <v>0</v>
      </c>
      <c r="N37" s="20" t="n">
        <v>0</v>
      </c>
      <c r="O37" s="18" t="n">
        <v>0</v>
      </c>
      <c r="P37" s="20" t="n">
        <v>0</v>
      </c>
      <c r="Q37" s="18" t="n">
        <v>0.48579092</v>
      </c>
      <c r="R37" s="20" t="n">
        <v>0.28783244</v>
      </c>
    </row>
    <row r="38" spans="1:18">
      <c r="A38" s="15" t="s">
        <v>596</v>
      </c>
      <c r="B38" s="17" t="n">
        <v>2807</v>
      </c>
      <c r="C38" s="18">
        <f>(2187.0/B38*100)</f>
        <v/>
      </c>
      <c r="D38" s="19" t="n">
        <v>620</v>
      </c>
      <c r="E38" s="18" t="n">
        <v>37.0818483</v>
      </c>
      <c r="F38" s="20" t="n">
        <v>2.16096908</v>
      </c>
      <c r="G38" s="18" t="n">
        <v>61.98797613</v>
      </c>
      <c r="H38" s="20" t="n">
        <v>2.20219818</v>
      </c>
      <c r="I38" s="18" t="n">
        <v>0</v>
      </c>
      <c r="J38" s="20" t="n">
        <v>0</v>
      </c>
      <c r="K38" s="18" t="n">
        <v>0.93017558</v>
      </c>
      <c r="L38" s="20" t="n">
        <v>0.40945685</v>
      </c>
      <c r="M38" s="18" t="n">
        <v>0</v>
      </c>
      <c r="N38" s="20" t="n">
        <v>0</v>
      </c>
      <c r="O38" s="18" t="n">
        <v>0</v>
      </c>
      <c r="P38" s="20" t="n">
        <v>0</v>
      </c>
      <c r="Q38" s="18" t="n">
        <v>0</v>
      </c>
      <c r="R38" s="20" t="n">
        <v>0</v>
      </c>
    </row>
    <row r="39" spans="1:18">
      <c r="A39" s="15" t="s">
        <v>597</v>
      </c>
      <c r="B39" s="17" t="n">
        <v>2938</v>
      </c>
      <c r="C39" s="18">
        <f>(2279.0/B39*100)</f>
        <v/>
      </c>
      <c r="D39" s="19" t="n">
        <v>659</v>
      </c>
      <c r="E39" s="18" t="n">
        <v>56.57321422</v>
      </c>
      <c r="F39" s="20" t="n">
        <v>2.10350223</v>
      </c>
      <c r="G39" s="18" t="n">
        <v>42.50680056</v>
      </c>
      <c r="H39" s="20" t="n">
        <v>2.07589335</v>
      </c>
      <c r="I39" s="18" t="n">
        <v>0</v>
      </c>
      <c r="J39" s="20" t="n">
        <v>0</v>
      </c>
      <c r="K39" s="18" t="n">
        <v>0.14272201</v>
      </c>
      <c r="L39" s="20" t="n">
        <v>0.14338665</v>
      </c>
      <c r="M39" s="18" t="n">
        <v>0</v>
      </c>
      <c r="N39" s="20" t="n">
        <v>0</v>
      </c>
      <c r="O39" s="18" t="n">
        <v>0</v>
      </c>
      <c r="P39" s="20" t="n">
        <v>0</v>
      </c>
      <c r="Q39" s="18" t="n">
        <v>0.77726321</v>
      </c>
      <c r="R39" s="20" t="n">
        <v>0.30940235</v>
      </c>
    </row>
    <row r="40" spans="1:18">
      <c r="A40" s="15" t="s">
        <v>598</v>
      </c>
      <c r="B40" s="17" t="n">
        <v>6922</v>
      </c>
      <c r="C40" s="18">
        <f>(5399.0/B40*100)</f>
        <v/>
      </c>
      <c r="D40" s="19" t="n">
        <v>1523</v>
      </c>
      <c r="E40" s="18" t="n">
        <v>40.70102085</v>
      </c>
      <c r="F40" s="20" t="n">
        <v>1.89518295</v>
      </c>
      <c r="G40" s="18" t="n">
        <v>58.46205377</v>
      </c>
      <c r="H40" s="20" t="n">
        <v>1.86301273</v>
      </c>
      <c r="I40" s="18" t="n">
        <v>0</v>
      </c>
      <c r="J40" s="20" t="n">
        <v>0</v>
      </c>
      <c r="K40" s="18" t="n">
        <v>0.52178909</v>
      </c>
      <c r="L40" s="20" t="n">
        <v>0.27909846</v>
      </c>
      <c r="M40" s="18" t="n">
        <v>0</v>
      </c>
      <c r="N40" s="20" t="n">
        <v>0</v>
      </c>
      <c r="O40" s="18" t="n">
        <v>0</v>
      </c>
      <c r="P40" s="20" t="n">
        <v>0</v>
      </c>
      <c r="Q40" s="18" t="n">
        <v>0.31513629</v>
      </c>
      <c r="R40" s="20" t="n">
        <v>0.1810679</v>
      </c>
    </row>
    <row r="41" spans="1:18">
      <c r="A41" s="15" t="s">
        <v>599</v>
      </c>
      <c r="B41" s="17" t="n">
        <v>2854</v>
      </c>
      <c r="C41" s="18">
        <f>(2279.0/B41*100)</f>
        <v/>
      </c>
      <c r="D41" s="19" t="n">
        <v>575</v>
      </c>
      <c r="E41" s="18" t="n">
        <v>40.23190255</v>
      </c>
      <c r="F41" s="20" t="n">
        <v>2.26470554</v>
      </c>
      <c r="G41" s="18" t="n">
        <v>59.43042461</v>
      </c>
      <c r="H41" s="20" t="n">
        <v>2.30253746</v>
      </c>
      <c r="I41" s="18" t="n">
        <v>0</v>
      </c>
      <c r="J41" s="20" t="n">
        <v>0</v>
      </c>
      <c r="K41" s="18" t="n">
        <v>0.33767284</v>
      </c>
      <c r="L41" s="20" t="n">
        <v>0.24370236</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(10185.0/B46*100)</f>
        <v/>
      </c>
      <c r="D46" s="19" t="n">
        <v>1888</v>
      </c>
      <c r="E46" s="18" t="n">
        <v>48.94464446</v>
      </c>
      <c r="F46" s="20" t="n">
        <v>1.48371115</v>
      </c>
      <c r="G46" s="18" t="n">
        <v>47.30099396</v>
      </c>
      <c r="H46" s="20" t="n">
        <v>1.46094893</v>
      </c>
      <c r="I46" s="18" t="n">
        <v>0</v>
      </c>
      <c r="J46" s="20" t="n">
        <v>0</v>
      </c>
      <c r="K46" s="18" t="n">
        <v>3.1316047</v>
      </c>
      <c r="L46" s="20" t="n">
        <v>0.79802543</v>
      </c>
      <c r="M46" s="18" t="n">
        <v>0</v>
      </c>
      <c r="N46" s="20" t="n">
        <v>0</v>
      </c>
      <c r="O46" s="18" t="n">
        <v>0</v>
      </c>
      <c r="P46" s="20" t="n">
        <v>0</v>
      </c>
      <c r="Q46" s="18" t="n">
        <v>0.62275688</v>
      </c>
      <c r="R46" s="20" t="n">
        <v>0.21049323</v>
      </c>
    </row>
    <row r="47" spans="1:18">
      <c r="A47" s="15" t="s">
        <v>606</v>
      </c>
      <c r="B47" s="17" t="n">
        <v>2823</v>
      </c>
      <c r="C47" s="18">
        <f>(2213.0/B47*100)</f>
        <v/>
      </c>
      <c r="D47" s="19" t="n">
        <v>610</v>
      </c>
      <c r="E47" s="18" t="n">
        <v>50.31914487</v>
      </c>
      <c r="F47" s="20" t="n">
        <v>2.14138278</v>
      </c>
      <c r="G47" s="18" t="n">
        <v>47.51432859</v>
      </c>
      <c r="H47" s="20" t="n">
        <v>2.11550651</v>
      </c>
      <c r="I47" s="18" t="n">
        <v>0</v>
      </c>
      <c r="J47" s="20" t="n">
        <v>0</v>
      </c>
      <c r="K47" s="18" t="n">
        <v>1.30043374</v>
      </c>
      <c r="L47" s="20" t="n">
        <v>0.46147178</v>
      </c>
      <c r="M47" s="18" t="n">
        <v>0</v>
      </c>
      <c r="N47" s="20" t="n">
        <v>0</v>
      </c>
      <c r="O47" s="18" t="n">
        <v>0</v>
      </c>
      <c r="P47" s="20" t="n">
        <v>0</v>
      </c>
      <c r="Q47" s="18" t="n">
        <v>0.8660928</v>
      </c>
      <c r="R47" s="20" t="n">
        <v>0.38485214</v>
      </c>
    </row>
    <row r="48" spans="1:18">
      <c r="A48" s="15" t="s">
        <v>607</v>
      </c>
      <c r="B48" s="17" t="n">
        <v>4682</v>
      </c>
      <c r="C48" s="18">
        <f>(3690.0/B48*100)</f>
        <v/>
      </c>
      <c r="D48" s="19" t="n">
        <v>992</v>
      </c>
      <c r="E48" s="18" t="n">
        <v>55.97546552</v>
      </c>
      <c r="F48" s="20" t="n">
        <v>1.98558278</v>
      </c>
      <c r="G48" s="18" t="n">
        <v>42.68724161</v>
      </c>
      <c r="H48" s="20" t="n">
        <v>2.03246699</v>
      </c>
      <c r="I48" s="18" t="n">
        <v>0</v>
      </c>
      <c r="J48" s="20" t="n">
        <v>0</v>
      </c>
      <c r="K48" s="18" t="n">
        <v>1.17996116</v>
      </c>
      <c r="L48" s="20" t="n">
        <v>0.49195496</v>
      </c>
      <c r="M48" s="18" t="n">
        <v>0</v>
      </c>
      <c r="N48" s="20" t="n">
        <v>0</v>
      </c>
      <c r="O48" s="18" t="n">
        <v>0</v>
      </c>
      <c r="P48" s="20" t="n">
        <v>0</v>
      </c>
      <c r="Q48" s="18" t="n">
        <v>0.15733171</v>
      </c>
      <c r="R48" s="20" t="n">
        <v>0.15228115</v>
      </c>
    </row>
    <row r="49" spans="1:18">
      <c r="A49" s="15" t="s">
        <v>608</v>
      </c>
      <c r="B49" s="17" t="n">
        <v>6158</v>
      </c>
      <c r="C49" s="18">
        <f>(4841.0/B49*100)</f>
        <v/>
      </c>
      <c r="D49" s="19" t="n">
        <v>1317</v>
      </c>
      <c r="E49" s="18" t="n">
        <v>53.23067541</v>
      </c>
      <c r="F49" s="20" t="n">
        <v>1.78208892</v>
      </c>
      <c r="G49" s="18" t="n">
        <v>42.47401105</v>
      </c>
      <c r="H49" s="20" t="n">
        <v>1.91551765</v>
      </c>
      <c r="I49" s="18" t="n">
        <v>0</v>
      </c>
      <c r="J49" s="20" t="n">
        <v>0</v>
      </c>
      <c r="K49" s="18" t="n">
        <v>3.83995563</v>
      </c>
      <c r="L49" s="20" t="n">
        <v>0.64661833</v>
      </c>
      <c r="M49" s="18" t="n">
        <v>0</v>
      </c>
      <c r="N49" s="20" t="n">
        <v>0</v>
      </c>
      <c r="O49" s="18" t="n">
        <v>0</v>
      </c>
      <c r="P49" s="20" t="n">
        <v>0</v>
      </c>
      <c r="Q49" s="18" t="n">
        <v>0.45535791</v>
      </c>
      <c r="R49" s="20" t="n">
        <v>0.23618226</v>
      </c>
    </row>
    <row r="50" spans="1:18">
      <c r="A50" s="15" t="s">
        <v>609</v>
      </c>
      <c r="B50" s="17" t="n">
        <v>3494</v>
      </c>
      <c r="C50" s="18">
        <f>(2850.0/B50*100)</f>
        <v/>
      </c>
      <c r="D50" s="19" t="n">
        <v>644</v>
      </c>
      <c r="E50" s="18" t="n">
        <v>47.25856208</v>
      </c>
      <c r="F50" s="20" t="n">
        <v>1.94569739</v>
      </c>
      <c r="G50" s="18" t="n">
        <v>51.00723422</v>
      </c>
      <c r="H50" s="20" t="n">
        <v>2.03240193</v>
      </c>
      <c r="I50" s="18" t="n">
        <v>0</v>
      </c>
      <c r="J50" s="20" t="n">
        <v>0</v>
      </c>
      <c r="K50" s="18" t="n">
        <v>1.63009983</v>
      </c>
      <c r="L50" s="20" t="n">
        <v>0.63960957</v>
      </c>
      <c r="M50" s="18" t="n">
        <v>0</v>
      </c>
      <c r="N50" s="20" t="n">
        <v>0</v>
      </c>
      <c r="O50" s="18" t="n">
        <v>0</v>
      </c>
      <c r="P50" s="20" t="n">
        <v>0</v>
      </c>
      <c r="Q50" s="18" t="n">
        <v>0.10410388</v>
      </c>
      <c r="R50" s="20" t="n">
        <v>0.10490714</v>
      </c>
    </row>
    <row r="51" spans="1:18">
      <c r="A51" s="15" t="s">
        <v>610</v>
      </c>
      <c r="B51" s="17" t="n">
        <v>3013</v>
      </c>
      <c r="C51" s="18">
        <f>(2379.0/B51*100)</f>
        <v/>
      </c>
      <c r="D51" s="19" t="n">
        <v>634</v>
      </c>
      <c r="E51" s="18" t="n">
        <v>59.01046651</v>
      </c>
      <c r="F51" s="20" t="n">
        <v>1.99228669</v>
      </c>
      <c r="G51" s="18" t="n">
        <v>40.42040856</v>
      </c>
      <c r="H51" s="20" t="n">
        <v>1.97899489</v>
      </c>
      <c r="I51" s="18" t="n">
        <v>0</v>
      </c>
      <c r="J51" s="20" t="n">
        <v>0</v>
      </c>
      <c r="K51" s="18" t="n">
        <v>0.42889665</v>
      </c>
      <c r="L51" s="20" t="n">
        <v>0.25090741</v>
      </c>
      <c r="M51" s="18" t="n">
        <v>0</v>
      </c>
      <c r="N51" s="20" t="n">
        <v>0</v>
      </c>
      <c r="O51" s="18" t="n">
        <v>0</v>
      </c>
      <c r="P51" s="20" t="n">
        <v>0</v>
      </c>
      <c r="Q51" s="18" t="n">
        <v>0.14022828</v>
      </c>
      <c r="R51" s="20" t="n">
        <v>0.13863658</v>
      </c>
    </row>
    <row r="52" spans="1:18">
      <c r="A52" s="15" t="s">
        <v>611</v>
      </c>
      <c r="B52" s="17" t="n">
        <v>2760</v>
      </c>
      <c r="C52" s="18">
        <f>(2176.0/B52*100)</f>
        <v/>
      </c>
      <c r="D52" s="19" t="n">
        <v>584</v>
      </c>
      <c r="E52" s="18" t="n">
        <v>62.50301881</v>
      </c>
      <c r="F52" s="20" t="n">
        <v>2.14239919</v>
      </c>
      <c r="G52" s="18" t="n">
        <v>36.59687024</v>
      </c>
      <c r="H52" s="20" t="n">
        <v>2.14442937</v>
      </c>
      <c r="I52" s="18" t="n">
        <v>0</v>
      </c>
      <c r="J52" s="20" t="n">
        <v>0</v>
      </c>
      <c r="K52" s="18" t="n">
        <v>0.5500953200000001</v>
      </c>
      <c r="L52" s="20" t="n">
        <v>0.3243224</v>
      </c>
      <c r="M52" s="18" t="n">
        <v>0</v>
      </c>
      <c r="N52" s="20" t="n">
        <v>0</v>
      </c>
      <c r="O52" s="18" t="n">
        <v>0</v>
      </c>
      <c r="P52" s="20" t="n">
        <v>0</v>
      </c>
      <c r="Q52" s="18" t="n">
        <v>0.35001563</v>
      </c>
      <c r="R52" s="20" t="n">
        <v>0.25570653</v>
      </c>
    </row>
    <row r="53" spans="1:18">
      <c r="A53" s="15" t="s">
        <v>612</v>
      </c>
      <c r="B53" s="17" t="n">
        <v>2474</v>
      </c>
      <c r="C53" s="18">
        <f>(1891.0/B53*100)</f>
        <v/>
      </c>
      <c r="D53" s="19" t="n">
        <v>583</v>
      </c>
      <c r="E53" s="18" t="n">
        <v>43.66672561</v>
      </c>
      <c r="F53" s="20" t="n">
        <v>2.14347241</v>
      </c>
      <c r="G53" s="18" t="n">
        <v>34.12489632</v>
      </c>
      <c r="H53" s="20" t="n">
        <v>2.30006881</v>
      </c>
      <c r="I53" s="18" t="n">
        <v>0</v>
      </c>
      <c r="J53" s="20" t="n">
        <v>0</v>
      </c>
      <c r="K53" s="18" t="n">
        <v>20.06618881</v>
      </c>
      <c r="L53" s="20" t="n">
        <v>1.94052504</v>
      </c>
      <c r="M53" s="18" t="n">
        <v>0</v>
      </c>
      <c r="N53" s="20" t="n">
        <v>0</v>
      </c>
      <c r="O53" s="18" t="n">
        <v>0</v>
      </c>
      <c r="P53" s="20" t="n">
        <v>0</v>
      </c>
      <c r="Q53" s="18" t="n">
        <v>2.14218926</v>
      </c>
      <c r="R53" s="20" t="n">
        <v>0.91011104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(2074.0/B55*100)</f>
        <v/>
      </c>
      <c r="D55" s="19" t="n">
        <v>601</v>
      </c>
      <c r="E55" s="18" t="n">
        <v>46.0032118</v>
      </c>
      <c r="F55" s="20" t="n">
        <v>1.91234289</v>
      </c>
      <c r="G55" s="18" t="n">
        <v>53.8597785</v>
      </c>
      <c r="H55" s="20" t="n">
        <v>1.91214723</v>
      </c>
      <c r="I55" s="18" t="n">
        <v>0</v>
      </c>
      <c r="J55" s="20" t="n">
        <v>0</v>
      </c>
      <c r="K55" s="18" t="n">
        <v>0.13700969</v>
      </c>
      <c r="L55" s="20" t="n">
        <v>0.13665201</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(2496.0/B61*100)</f>
        <v/>
      </c>
      <c r="D61" s="19" t="n">
        <v>705</v>
      </c>
      <c r="E61" s="18" t="n">
        <v>49.66608982</v>
      </c>
      <c r="F61" s="20" t="n">
        <v>2.07501418</v>
      </c>
      <c r="G61" s="18" t="n">
        <v>49.4315269</v>
      </c>
      <c r="H61" s="20" t="n">
        <v>2.14766187</v>
      </c>
      <c r="I61" s="18" t="n">
        <v>0</v>
      </c>
      <c r="J61" s="20" t="n">
        <v>0</v>
      </c>
      <c r="K61" s="18" t="n">
        <v>0.90238328</v>
      </c>
      <c r="L61" s="20" t="n">
        <v>0.47773997</v>
      </c>
      <c r="M61" s="18" t="n">
        <v>0</v>
      </c>
      <c r="N61" s="20" t="n">
        <v>0</v>
      </c>
      <c r="O61" s="18" t="n">
        <v>0</v>
      </c>
      <c r="P61" s="20" t="n">
        <v>0</v>
      </c>
      <c r="Q61" s="18" t="n">
        <v>0</v>
      </c>
      <c r="R61" s="20" t="n">
        <v>0</v>
      </c>
    </row>
    <row r="62" spans="1:18">
      <c r="A62" s="15" t="s">
        <v>622</v>
      </c>
      <c r="B62" s="17" t="n">
        <v>2230</v>
      </c>
      <c r="C62" s="18">
        <f>(1755.0/B62*100)</f>
        <v/>
      </c>
      <c r="D62" s="19" t="n">
        <v>475</v>
      </c>
      <c r="E62" s="18" t="n">
        <v>46.72896153</v>
      </c>
      <c r="F62" s="20" t="n">
        <v>1.99530966</v>
      </c>
      <c r="G62" s="18" t="n">
        <v>53.27103847</v>
      </c>
      <c r="H62" s="20" t="n">
        <v>1.99530966</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(2172.0/B67*100)</f>
        <v/>
      </c>
      <c r="D67" s="19" t="n">
        <v>599</v>
      </c>
      <c r="E67" s="18" t="n">
        <v>61.59507221</v>
      </c>
      <c r="F67" s="20" t="n">
        <v>2.19355221</v>
      </c>
      <c r="G67" s="18" t="n">
        <v>36.56572042</v>
      </c>
      <c r="H67" s="20" t="n">
        <v>2.22225199</v>
      </c>
      <c r="I67" s="18" t="n">
        <v>0</v>
      </c>
      <c r="J67" s="20" t="n">
        <v>0</v>
      </c>
      <c r="K67" s="18" t="n">
        <v>0.6047928</v>
      </c>
      <c r="L67" s="20" t="n">
        <v>0.30656817</v>
      </c>
      <c r="M67" s="18" t="n">
        <v>0</v>
      </c>
      <c r="N67" s="20" t="n">
        <v>0</v>
      </c>
      <c r="O67" s="18" t="n">
        <v>0</v>
      </c>
      <c r="P67" s="20" t="n">
        <v>0</v>
      </c>
      <c r="Q67" s="18" t="n">
        <v>1.23441458</v>
      </c>
      <c r="R67" s="20" t="n">
        <v>0.43765635</v>
      </c>
    </row>
    <row r="68" spans="1:18">
      <c r="A68" s="15" t="s">
        <v>628</v>
      </c>
      <c r="B68" s="17" t="n">
        <v>3460</v>
      </c>
      <c r="C68" s="18">
        <f>(2855.0/B68*100)</f>
        <v/>
      </c>
      <c r="D68" s="19" t="n">
        <v>605</v>
      </c>
      <c r="E68" s="18" t="n">
        <v>60.41213042</v>
      </c>
      <c r="F68" s="20" t="n">
        <v>1.8190735</v>
      </c>
      <c r="G68" s="18" t="n">
        <v>38.10454141</v>
      </c>
      <c r="H68" s="20" t="n">
        <v>1.88713312</v>
      </c>
      <c r="I68" s="18" t="n">
        <v>0</v>
      </c>
      <c r="J68" s="20" t="n">
        <v>0</v>
      </c>
      <c r="K68" s="18" t="n">
        <v>0.8785081</v>
      </c>
      <c r="L68" s="20" t="n">
        <v>0.40075842</v>
      </c>
      <c r="M68" s="18" t="n">
        <v>0</v>
      </c>
      <c r="N68" s="20" t="n">
        <v>0</v>
      </c>
      <c r="O68" s="18" t="n">
        <v>0</v>
      </c>
      <c r="P68" s="20" t="n">
        <v>0</v>
      </c>
      <c r="Q68" s="18" t="n">
        <v>0.60482007</v>
      </c>
      <c r="R68" s="20" t="n">
        <v>0.3583131</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(4679.0/B70*100)</f>
        <v/>
      </c>
      <c r="D70" s="19" t="n">
        <v>1355</v>
      </c>
      <c r="E70" s="18" t="n">
        <v>59.24045824</v>
      </c>
      <c r="F70" s="20" t="n">
        <v>1.37869344</v>
      </c>
      <c r="G70" s="18" t="n">
        <v>36.93373758</v>
      </c>
      <c r="H70" s="20" t="n">
        <v>1.27419055</v>
      </c>
      <c r="I70" s="18" t="n">
        <v>0</v>
      </c>
      <c r="J70" s="20" t="n">
        <v>0</v>
      </c>
      <c r="K70" s="18" t="n">
        <v>3.23040077</v>
      </c>
      <c r="L70" s="20" t="n">
        <v>0.48592381</v>
      </c>
      <c r="M70" s="18" t="n">
        <v>0</v>
      </c>
      <c r="N70" s="20" t="n">
        <v>0</v>
      </c>
      <c r="O70" s="18" t="n">
        <v>0</v>
      </c>
      <c r="P70" s="20" t="n">
        <v>0</v>
      </c>
      <c r="Q70" s="18" t="n">
        <v>0.59540341</v>
      </c>
      <c r="R70" s="20" t="n">
        <v>0.18936427</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(2451.0/B72*100)</f>
        <v/>
      </c>
      <c r="D72" s="19" t="n">
        <v>656</v>
      </c>
      <c r="E72" s="18" t="n">
        <v>43.25507482</v>
      </c>
      <c r="F72" s="20" t="n">
        <v>2.11548175</v>
      </c>
      <c r="G72" s="18" t="n">
        <v>54.95879564</v>
      </c>
      <c r="H72" s="20" t="n">
        <v>2.13900521</v>
      </c>
      <c r="I72" s="18" t="n">
        <v>0</v>
      </c>
      <c r="J72" s="20" t="n">
        <v>0</v>
      </c>
      <c r="K72" s="18" t="n">
        <v>0.79913361</v>
      </c>
      <c r="L72" s="20" t="n">
        <v>0.28133364</v>
      </c>
      <c r="M72" s="18" t="n">
        <v>0</v>
      </c>
      <c r="N72" s="20" t="n">
        <v>0</v>
      </c>
      <c r="O72" s="18" t="n">
        <v>0</v>
      </c>
      <c r="P72" s="20" t="n">
        <v>0</v>
      </c>
      <c r="Q72" s="18" t="n">
        <v>0.98699593</v>
      </c>
      <c r="R72" s="20" t="n">
        <v>0.39864703</v>
      </c>
    </row>
    <row r="73" spans="1:18">
      <c r="A73" s="15" t="s">
        <v>633</v>
      </c>
      <c r="B73" s="17" t="n">
        <v>2973</v>
      </c>
      <c r="C73" s="18">
        <f>(2333.0/B73*100)</f>
        <v/>
      </c>
      <c r="D73" s="19" t="n">
        <v>640</v>
      </c>
      <c r="E73" s="18" t="n">
        <v>39.27587524</v>
      </c>
      <c r="F73" s="20" t="n">
        <v>1.84891164</v>
      </c>
      <c r="G73" s="18" t="n">
        <v>60.72412476</v>
      </c>
      <c r="H73" s="20" t="n">
        <v>1.84891164</v>
      </c>
      <c r="I73" s="18" t="n">
        <v>0</v>
      </c>
      <c r="J73" s="20" t="n">
        <v>0</v>
      </c>
      <c r="K73" s="18" t="n">
        <v>0</v>
      </c>
      <c r="L73" s="20" t="n">
        <v>0</v>
      </c>
      <c r="M73" s="18" t="n">
        <v>0</v>
      </c>
      <c r="N73" s="20" t="n">
        <v>0</v>
      </c>
      <c r="O73" s="18" t="n">
        <v>0</v>
      </c>
      <c r="P73" s="20" t="n">
        <v>0</v>
      </c>
      <c r="Q73" s="18" t="n">
        <v>0</v>
      </c>
      <c r="R73" s="20" t="n">
        <v>0</v>
      </c>
    </row>
    <row r="74" spans="1:18">
      <c r="A74" s="15" t="s">
        <v>634</v>
      </c>
      <c r="B74" s="17" t="n">
        <v>3819</v>
      </c>
      <c r="C74" s="18">
        <f>(3014.0/B74*100)</f>
        <v/>
      </c>
      <c r="D74" s="19" t="n">
        <v>805</v>
      </c>
      <c r="E74" s="18" t="n">
        <v>55.8023139</v>
      </c>
      <c r="F74" s="20" t="n">
        <v>1.73845895</v>
      </c>
      <c r="G74" s="18" t="n">
        <v>43.89767419</v>
      </c>
      <c r="H74" s="20" t="n">
        <v>1.77409253</v>
      </c>
      <c r="I74" s="18" t="n">
        <v>0</v>
      </c>
      <c r="J74" s="20" t="n">
        <v>0</v>
      </c>
      <c r="K74" s="18" t="n">
        <v>0.30001191</v>
      </c>
      <c r="L74" s="20" t="n">
        <v>0.2912521</v>
      </c>
      <c r="M74" s="18" t="n">
        <v>0</v>
      </c>
      <c r="N74" s="20" t="n">
        <v>0</v>
      </c>
      <c r="O74" s="18" t="n">
        <v>0</v>
      </c>
      <c r="P74" s="20" t="n">
        <v>0</v>
      </c>
      <c r="Q74" s="18" t="n">
        <v>0</v>
      </c>
      <c r="R74" s="20" t="n">
        <v>0</v>
      </c>
    </row>
    <row r="75" spans="1:18">
      <c r="A75" s="15" t="s">
        <v>635</v>
      </c>
      <c r="B75" s="17" t="n">
        <v>4652</v>
      </c>
      <c r="C75" s="18">
        <f>(3687.0/B75*100)</f>
        <v/>
      </c>
      <c r="D75" s="19" t="n">
        <v>965</v>
      </c>
      <c r="E75" s="18" t="n">
        <v>66.16565876999999</v>
      </c>
      <c r="F75" s="20" t="n">
        <v>2.01855784</v>
      </c>
      <c r="G75" s="18" t="n">
        <v>33.24283579</v>
      </c>
      <c r="H75" s="20" t="n">
        <v>2.0193036</v>
      </c>
      <c r="I75" s="18" t="n">
        <v>0</v>
      </c>
      <c r="J75" s="20" t="n">
        <v>0</v>
      </c>
      <c r="K75" s="18" t="n">
        <v>0.1550885</v>
      </c>
      <c r="L75" s="20" t="n">
        <v>0.14865271</v>
      </c>
      <c r="M75" s="18" t="n">
        <v>0</v>
      </c>
      <c r="N75" s="20" t="n">
        <v>0</v>
      </c>
      <c r="O75" s="18" t="n">
        <v>0</v>
      </c>
      <c r="P75" s="20" t="n">
        <v>0</v>
      </c>
      <c r="Q75" s="18" t="n">
        <v>0.43641694</v>
      </c>
      <c r="R75" s="20" t="n">
        <v>0.24851564</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(2401.0/B77*100)</f>
        <v/>
      </c>
      <c r="D77" s="19" t="n">
        <v>568</v>
      </c>
      <c r="E77" s="18" t="n">
        <v>57.17592476</v>
      </c>
      <c r="F77" s="20" t="n">
        <v>1.75320348</v>
      </c>
      <c r="G77" s="18" t="n">
        <v>35.47178652</v>
      </c>
      <c r="H77" s="20" t="n">
        <v>1.81214372</v>
      </c>
      <c r="I77" s="18" t="n">
        <v>0</v>
      </c>
      <c r="J77" s="20" t="n">
        <v>0</v>
      </c>
      <c r="K77" s="18" t="n">
        <v>5.43660943</v>
      </c>
      <c r="L77" s="20" t="n">
        <v>1.08018569</v>
      </c>
      <c r="M77" s="18" t="n">
        <v>0</v>
      </c>
      <c r="N77" s="20" t="n">
        <v>0</v>
      </c>
      <c r="O77" s="18" t="n">
        <v>0</v>
      </c>
      <c r="P77" s="20" t="n">
        <v>0</v>
      </c>
      <c r="Q77" s="18" t="n">
        <v>1.91567929</v>
      </c>
      <c r="R77" s="20" t="n">
        <v>0.5270821999999999</v>
      </c>
    </row>
    <row r="78" spans="1:18">
      <c r="A78" s="15" t="s">
        <v>638</v>
      </c>
      <c r="B78" s="17" t="n">
        <v>7115</v>
      </c>
      <c r="C78" s="18">
        <f>(5542.0/B78*100)</f>
        <v/>
      </c>
      <c r="D78" s="19" t="n">
        <v>1573</v>
      </c>
      <c r="E78" s="18" t="n">
        <v>53.79659797</v>
      </c>
      <c r="F78" s="20" t="n">
        <v>1.70007089</v>
      </c>
      <c r="G78" s="18" t="n">
        <v>44.11946245</v>
      </c>
      <c r="H78" s="20" t="n">
        <v>1.68870705</v>
      </c>
      <c r="I78" s="18" t="n">
        <v>0</v>
      </c>
      <c r="J78" s="20" t="n">
        <v>0</v>
      </c>
      <c r="K78" s="18" t="n">
        <v>1.71101663</v>
      </c>
      <c r="L78" s="20" t="n">
        <v>0.36680845</v>
      </c>
      <c r="M78" s="18" t="n">
        <v>0</v>
      </c>
      <c r="N78" s="20" t="n">
        <v>0</v>
      </c>
      <c r="O78" s="18" t="n">
        <v>0</v>
      </c>
      <c r="P78" s="20" t="n">
        <v>0</v>
      </c>
      <c r="Q78" s="18" t="n">
        <v>0.37292295</v>
      </c>
      <c r="R78" s="20" t="n">
        <v>0.20576715</v>
      </c>
    </row>
    <row r="79" spans="1:18">
      <c r="A79" s="15" t="s">
        <v>639</v>
      </c>
      <c r="B79" s="17" t="n">
        <v>3154</v>
      </c>
      <c r="C79" s="18">
        <f>(2478.0/B79*100)</f>
        <v/>
      </c>
      <c r="D79" s="19" t="n">
        <v>676</v>
      </c>
      <c r="E79" s="18" t="n">
        <v>50.84808121</v>
      </c>
      <c r="F79" s="20" t="n">
        <v>1.93305799</v>
      </c>
      <c r="G79" s="18" t="n">
        <v>46.67728942</v>
      </c>
      <c r="H79" s="20" t="n">
        <v>1.84055023</v>
      </c>
      <c r="I79" s="18" t="n">
        <v>0</v>
      </c>
      <c r="J79" s="20" t="n">
        <v>0</v>
      </c>
      <c r="K79" s="18" t="n">
        <v>1.79842416</v>
      </c>
      <c r="L79" s="20" t="n">
        <v>0.52601513</v>
      </c>
      <c r="M79" s="18" t="n">
        <v>0</v>
      </c>
      <c r="N79" s="20" t="n">
        <v>0</v>
      </c>
      <c r="O79" s="18" t="n">
        <v>0</v>
      </c>
      <c r="P79" s="20" t="n">
        <v>0</v>
      </c>
      <c r="Q79" s="18" t="n">
        <v>0.6762052</v>
      </c>
      <c r="R79" s="20" t="n">
        <v>0.29462873</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(12515.0/B82*100)</f>
        <v/>
      </c>
      <c r="D82" s="19" t="n">
        <v>3446</v>
      </c>
      <c r="E82" s="18" t="n">
        <v>46.23730957</v>
      </c>
      <c r="F82" s="20" t="n">
        <v>1.19769283</v>
      </c>
      <c r="G82" s="18" t="n">
        <v>52.79812622</v>
      </c>
      <c r="H82" s="20" t="n">
        <v>1.25032559</v>
      </c>
      <c r="I82" s="18" t="n">
        <v>0</v>
      </c>
      <c r="J82" s="20" t="n">
        <v>0</v>
      </c>
      <c r="K82" s="18" t="n">
        <v>0.68297535</v>
      </c>
      <c r="L82" s="20" t="n">
        <v>0.18480051</v>
      </c>
      <c r="M82" s="18" t="n">
        <v>0</v>
      </c>
      <c r="N82" s="20" t="n">
        <v>0</v>
      </c>
      <c r="O82" s="18" t="n">
        <v>0</v>
      </c>
      <c r="P82" s="20" t="n">
        <v>0</v>
      </c>
      <c r="Q82" s="18" t="n">
        <v>0.28158886</v>
      </c>
      <c r="R82" s="20" t="n">
        <v>0.16135993</v>
      </c>
    </row>
    <row r="83" spans="1:18">
      <c r="A83" s="15" t="s">
        <v>643</v>
      </c>
      <c r="B83" s="17" t="n">
        <v>808</v>
      </c>
      <c r="C83" s="18">
        <f>(619.0/B83*100)</f>
        <v/>
      </c>
      <c r="D83" s="19" t="n">
        <v>189</v>
      </c>
      <c r="E83" s="18" t="n">
        <v>34.73607717</v>
      </c>
      <c r="F83" s="20" t="n">
        <v>3.61408621</v>
      </c>
      <c r="G83" s="18" t="n">
        <v>65.26392283</v>
      </c>
      <c r="H83" s="20" t="n">
        <v>3.61408621</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(719.0/B84*100)</f>
        <v/>
      </c>
      <c r="D84" s="19" t="n">
        <v>219</v>
      </c>
      <c r="E84" s="18" t="n">
        <v>32.27715959</v>
      </c>
      <c r="F84" s="20" t="n">
        <v>3.77458147</v>
      </c>
      <c r="G84" s="18" t="n">
        <v>67.00407088999999</v>
      </c>
      <c r="H84" s="20" t="n">
        <v>3.66245162</v>
      </c>
      <c r="I84" s="18" t="n">
        <v>0</v>
      </c>
      <c r="J84" s="20" t="n">
        <v>0</v>
      </c>
      <c r="K84" s="18" t="n">
        <v>0</v>
      </c>
      <c r="L84" s="20" t="n">
        <v>0</v>
      </c>
      <c r="M84" s="18" t="n">
        <v>0</v>
      </c>
      <c r="N84" s="20" t="n">
        <v>0</v>
      </c>
      <c r="O84" s="18" t="n">
        <v>0</v>
      </c>
      <c r="P84" s="20" t="n">
        <v>0</v>
      </c>
      <c r="Q84" s="18" t="n">
        <v>0.7187695200000001</v>
      </c>
      <c r="R84" s="20" t="n">
        <v>0.53595739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(5672.0/B7*100)</f>
        <v/>
      </c>
      <c r="D7" s="19" t="n">
        <v>1491</v>
      </c>
      <c r="E7" s="18" t="n">
        <v>41.19716453</v>
      </c>
      <c r="F7" s="20" t="n">
        <v>1.4791039</v>
      </c>
      <c r="G7" s="18" t="n">
        <v>56.79901548</v>
      </c>
      <c r="H7" s="20" t="n">
        <v>1.53055298</v>
      </c>
      <c r="I7" s="18" t="n">
        <v>0</v>
      </c>
      <c r="J7" s="20" t="n">
        <v>0</v>
      </c>
      <c r="K7" s="18" t="n">
        <v>1.40935031</v>
      </c>
      <c r="L7" s="20" t="n">
        <v>0.35517888</v>
      </c>
      <c r="M7" s="18" t="n">
        <v>0</v>
      </c>
      <c r="N7" s="20" t="n">
        <v>0</v>
      </c>
      <c r="O7" s="18" t="n">
        <v>0</v>
      </c>
      <c r="P7" s="20" t="n">
        <v>0</v>
      </c>
      <c r="Q7" s="18" t="n">
        <v>0.59446968</v>
      </c>
      <c r="R7" s="20" t="n">
        <v>0.24361874</v>
      </c>
    </row>
    <row r="8" spans="1:18">
      <c r="A8" s="15" t="s">
        <v>566</v>
      </c>
      <c r="B8" s="17" t="n">
        <v>3443</v>
      </c>
      <c r="C8" s="18">
        <f>(2679.0/B8*100)</f>
        <v/>
      </c>
      <c r="D8" s="19" t="n">
        <v>764</v>
      </c>
      <c r="E8" s="18" t="n">
        <v>47.07789985</v>
      </c>
      <c r="F8" s="20" t="n">
        <v>1.90510261</v>
      </c>
      <c r="G8" s="18" t="n">
        <v>50.07906929</v>
      </c>
      <c r="H8" s="20" t="n">
        <v>1.9911874</v>
      </c>
      <c r="I8" s="18" t="n">
        <v>0</v>
      </c>
      <c r="J8" s="20" t="n">
        <v>0</v>
      </c>
      <c r="K8" s="18" t="n">
        <v>0.84009389</v>
      </c>
      <c r="L8" s="20" t="n">
        <v>0.3708682</v>
      </c>
      <c r="M8" s="18" t="n">
        <v>0</v>
      </c>
      <c r="N8" s="20" t="n">
        <v>0</v>
      </c>
      <c r="O8" s="18" t="n">
        <v>0</v>
      </c>
      <c r="P8" s="20" t="n">
        <v>0</v>
      </c>
      <c r="Q8" s="18" t="n">
        <v>2.00293696</v>
      </c>
      <c r="R8" s="20" t="n">
        <v>0.6691411</v>
      </c>
    </row>
    <row r="9" spans="1:18">
      <c r="A9" s="15" t="s">
        <v>567</v>
      </c>
      <c r="B9" s="17" t="n">
        <v>4752</v>
      </c>
      <c r="C9" s="18">
        <f>(3748.0/B9*100)</f>
        <v/>
      </c>
      <c r="D9" s="19" t="n">
        <v>1004</v>
      </c>
      <c r="E9" s="18" t="n">
        <v>43.52565344</v>
      </c>
      <c r="F9" s="20" t="n">
        <v>1.52200351</v>
      </c>
      <c r="G9" s="18" t="n">
        <v>53.93506715</v>
      </c>
      <c r="H9" s="20" t="n">
        <v>1.42529507</v>
      </c>
      <c r="I9" s="18" t="n">
        <v>0</v>
      </c>
      <c r="J9" s="20" t="n">
        <v>0</v>
      </c>
      <c r="K9" s="18" t="n">
        <v>1.51726855</v>
      </c>
      <c r="L9" s="20" t="n">
        <v>0.39075594</v>
      </c>
      <c r="M9" s="18" t="n">
        <v>0</v>
      </c>
      <c r="N9" s="20" t="n">
        <v>0</v>
      </c>
      <c r="O9" s="18" t="n">
        <v>0</v>
      </c>
      <c r="P9" s="20" t="n">
        <v>0</v>
      </c>
      <c r="Q9" s="18" t="n">
        <v>1.02201086</v>
      </c>
      <c r="R9" s="20" t="n">
        <v>0.3228577</v>
      </c>
    </row>
    <row r="10" spans="1:18">
      <c r="A10" s="15" t="s">
        <v>568</v>
      </c>
      <c r="B10" s="17" t="n">
        <v>10022</v>
      </c>
      <c r="C10" s="18">
        <f>(7842.0/B10*100)</f>
        <v/>
      </c>
      <c r="D10" s="19" t="n">
        <v>2180</v>
      </c>
      <c r="E10" s="18" t="n">
        <v>39.89961117</v>
      </c>
      <c r="F10" s="20" t="n">
        <v>1.70322372</v>
      </c>
      <c r="G10" s="18" t="n">
        <v>58.23343362</v>
      </c>
      <c r="H10" s="20" t="n">
        <v>1.721598</v>
      </c>
      <c r="I10" s="18" t="n">
        <v>0</v>
      </c>
      <c r="J10" s="20" t="n">
        <v>0</v>
      </c>
      <c r="K10" s="18" t="n">
        <v>1.31009022</v>
      </c>
      <c r="L10" s="20" t="n">
        <v>0.35101477</v>
      </c>
      <c r="M10" s="18" t="n">
        <v>0</v>
      </c>
      <c r="N10" s="20" t="n">
        <v>0</v>
      </c>
      <c r="O10" s="18" t="n">
        <v>0</v>
      </c>
      <c r="P10" s="20" t="n">
        <v>0</v>
      </c>
      <c r="Q10" s="18" t="n">
        <v>0.55686499</v>
      </c>
      <c r="R10" s="20" t="n">
        <v>0.18646063</v>
      </c>
    </row>
    <row r="11" spans="1:18">
      <c r="A11" s="15" t="s">
        <v>569</v>
      </c>
      <c r="B11" s="17" t="n">
        <v>3500</v>
      </c>
      <c r="C11" s="18">
        <f>(2744.0/B11*100)</f>
        <v/>
      </c>
      <c r="D11" s="19" t="n">
        <v>756</v>
      </c>
      <c r="E11" s="18" t="n">
        <v>62.47668194</v>
      </c>
      <c r="F11" s="20" t="n">
        <v>1.91278067</v>
      </c>
      <c r="G11" s="18" t="n">
        <v>33.61295785</v>
      </c>
      <c r="H11" s="20" t="n">
        <v>1.88582541</v>
      </c>
      <c r="I11" s="18" t="n">
        <v>0</v>
      </c>
      <c r="J11" s="20" t="n">
        <v>0</v>
      </c>
      <c r="K11" s="18" t="n">
        <v>2.47017135</v>
      </c>
      <c r="L11" s="20" t="n">
        <v>0.56320374</v>
      </c>
      <c r="M11" s="18" t="n">
        <v>0</v>
      </c>
      <c r="N11" s="20" t="n">
        <v>0</v>
      </c>
      <c r="O11" s="18" t="n">
        <v>0</v>
      </c>
      <c r="P11" s="20" t="n">
        <v>0</v>
      </c>
      <c r="Q11" s="18" t="n">
        <v>1.44018886</v>
      </c>
      <c r="R11" s="20" t="n">
        <v>0.55366917</v>
      </c>
    </row>
    <row r="12" spans="1:18">
      <c r="A12" s="15" t="s">
        <v>570</v>
      </c>
      <c r="B12" s="17" t="n">
        <v>3422</v>
      </c>
      <c r="C12" s="18">
        <f>(2714.0/B12*100)</f>
        <v/>
      </c>
      <c r="D12" s="19" t="n">
        <v>708</v>
      </c>
      <c r="E12" s="18" t="n">
        <v>53.17110466</v>
      </c>
      <c r="F12" s="20" t="n">
        <v>2.25942469</v>
      </c>
      <c r="G12" s="18" t="n">
        <v>44.68264623</v>
      </c>
      <c r="H12" s="20" t="n">
        <v>2.24975154</v>
      </c>
      <c r="I12" s="18" t="n">
        <v>0</v>
      </c>
      <c r="J12" s="20" t="n">
        <v>0</v>
      </c>
      <c r="K12" s="18" t="n">
        <v>0.42774934</v>
      </c>
      <c r="L12" s="20" t="n">
        <v>0.23193367</v>
      </c>
      <c r="M12" s="18" t="n">
        <v>0</v>
      </c>
      <c r="N12" s="20" t="n">
        <v>0</v>
      </c>
      <c r="O12" s="18" t="n">
        <v>0</v>
      </c>
      <c r="P12" s="20" t="n">
        <v>0</v>
      </c>
      <c r="Q12" s="18" t="n">
        <v>1.71849977</v>
      </c>
      <c r="R12" s="20" t="n">
        <v>0.67278798</v>
      </c>
    </row>
    <row r="13" spans="1:18">
      <c r="A13" s="15" t="s">
        <v>571</v>
      </c>
      <c r="B13" s="17" t="n">
        <v>3602</v>
      </c>
      <c r="C13" s="18">
        <f>(2920.0/B13*100)</f>
        <v/>
      </c>
      <c r="D13" s="19" t="n">
        <v>682</v>
      </c>
      <c r="E13" s="18" t="n">
        <v>50.20380895</v>
      </c>
      <c r="F13" s="20" t="n">
        <v>2.43841448</v>
      </c>
      <c r="G13" s="18" t="n">
        <v>47.99869197</v>
      </c>
      <c r="H13" s="20" t="n">
        <v>2.34380965</v>
      </c>
      <c r="I13" s="18" t="n">
        <v>0</v>
      </c>
      <c r="J13" s="20" t="n">
        <v>0</v>
      </c>
      <c r="K13" s="18" t="n">
        <v>1.69560657</v>
      </c>
      <c r="L13" s="20" t="n">
        <v>0.54292588</v>
      </c>
      <c r="M13" s="18" t="n">
        <v>0</v>
      </c>
      <c r="N13" s="20" t="n">
        <v>0</v>
      </c>
      <c r="O13" s="18" t="n">
        <v>0</v>
      </c>
      <c r="P13" s="20" t="n">
        <v>0</v>
      </c>
      <c r="Q13" s="18" t="n">
        <v>0.10189251</v>
      </c>
      <c r="R13" s="20" t="n">
        <v>0.10177554</v>
      </c>
    </row>
    <row r="14" spans="1:18">
      <c r="A14" s="15" t="s">
        <v>572</v>
      </c>
      <c r="B14" s="17" t="n">
        <v>2788</v>
      </c>
      <c r="C14" s="18">
        <f>(2164.0/B14*100)</f>
        <v/>
      </c>
      <c r="D14" s="19" t="n">
        <v>624</v>
      </c>
      <c r="E14" s="18" t="n">
        <v>33.48428414</v>
      </c>
      <c r="F14" s="20" t="n">
        <v>2.26513648</v>
      </c>
      <c r="G14" s="18" t="n">
        <v>65.33702243</v>
      </c>
      <c r="H14" s="20" t="n">
        <v>2.34467106</v>
      </c>
      <c r="I14" s="18" t="n">
        <v>0</v>
      </c>
      <c r="J14" s="20" t="n">
        <v>0</v>
      </c>
      <c r="K14" s="18" t="n">
        <v>0.82545749</v>
      </c>
      <c r="L14" s="20" t="n">
        <v>0.34216578</v>
      </c>
      <c r="M14" s="18" t="n">
        <v>0</v>
      </c>
      <c r="N14" s="20" t="n">
        <v>0</v>
      </c>
      <c r="O14" s="18" t="n">
        <v>0</v>
      </c>
      <c r="P14" s="20" t="n">
        <v>0</v>
      </c>
      <c r="Q14" s="18" t="n">
        <v>0.35323594</v>
      </c>
      <c r="R14" s="20" t="n">
        <v>0.34968988</v>
      </c>
    </row>
    <row r="15" spans="1:18">
      <c r="A15" s="15" t="s">
        <v>573</v>
      </c>
      <c r="B15" s="17" t="n">
        <v>2863</v>
      </c>
      <c r="C15" s="18">
        <f>(2232.0/B15*100)</f>
        <v/>
      </c>
      <c r="D15" s="19" t="n">
        <v>631</v>
      </c>
      <c r="E15" s="18" t="n">
        <v>29.88730315</v>
      </c>
      <c r="F15" s="20" t="n">
        <v>1.71192556</v>
      </c>
      <c r="G15" s="18" t="n">
        <v>69.02917526</v>
      </c>
      <c r="H15" s="20" t="n">
        <v>1.69892258</v>
      </c>
      <c r="I15" s="18" t="n">
        <v>0</v>
      </c>
      <c r="J15" s="20" t="n">
        <v>0</v>
      </c>
      <c r="K15" s="18" t="n">
        <v>0.32317894</v>
      </c>
      <c r="L15" s="20" t="n">
        <v>0.2337341</v>
      </c>
      <c r="M15" s="18" t="n">
        <v>0</v>
      </c>
      <c r="N15" s="20" t="n">
        <v>0</v>
      </c>
      <c r="O15" s="18" t="n">
        <v>0</v>
      </c>
      <c r="P15" s="20" t="n">
        <v>0</v>
      </c>
      <c r="Q15" s="18" t="n">
        <v>0.76034264</v>
      </c>
      <c r="R15" s="20" t="n">
        <v>0.33816593</v>
      </c>
    </row>
    <row r="16" spans="1:18">
      <c r="A16" s="15" t="s">
        <v>574</v>
      </c>
      <c r="B16" s="17" t="n">
        <v>3111</v>
      </c>
      <c r="C16" s="18">
        <f>(2449.0/B16*100)</f>
        <v/>
      </c>
      <c r="D16" s="19" t="n">
        <v>662</v>
      </c>
      <c r="E16" s="18" t="n">
        <v>43.97087899</v>
      </c>
      <c r="F16" s="20" t="n">
        <v>1.89950101</v>
      </c>
      <c r="G16" s="18" t="n">
        <v>51.72200996</v>
      </c>
      <c r="H16" s="20" t="n">
        <v>1.87252983</v>
      </c>
      <c r="I16" s="18" t="n">
        <v>0</v>
      </c>
      <c r="J16" s="20" t="n">
        <v>0</v>
      </c>
      <c r="K16" s="18" t="n">
        <v>3.38878793</v>
      </c>
      <c r="L16" s="20" t="n">
        <v>0.76717585</v>
      </c>
      <c r="M16" s="18" t="n">
        <v>0</v>
      </c>
      <c r="N16" s="20" t="n">
        <v>0</v>
      </c>
      <c r="O16" s="18" t="n">
        <v>0</v>
      </c>
      <c r="P16" s="20" t="n">
        <v>0</v>
      </c>
      <c r="Q16" s="18" t="n">
        <v>0.91832313</v>
      </c>
      <c r="R16" s="20" t="n">
        <v>0.41163917</v>
      </c>
    </row>
    <row r="17" spans="1:18">
      <c r="A17" s="15" t="s">
        <v>575</v>
      </c>
      <c r="B17" s="17" t="n">
        <v>3197</v>
      </c>
      <c r="C17" s="18">
        <f>(2557.0/B17*100)</f>
        <v/>
      </c>
      <c r="D17" s="19" t="n">
        <v>640</v>
      </c>
      <c r="E17" s="18" t="n">
        <v>44.02226852</v>
      </c>
      <c r="F17" s="20" t="n">
        <v>2.29914037</v>
      </c>
      <c r="G17" s="18" t="n">
        <v>54.9569402</v>
      </c>
      <c r="H17" s="20" t="n">
        <v>2.34557838</v>
      </c>
      <c r="I17" s="18" t="n">
        <v>0</v>
      </c>
      <c r="J17" s="20" t="n">
        <v>0</v>
      </c>
      <c r="K17" s="18" t="n">
        <v>0.72646644</v>
      </c>
      <c r="L17" s="20" t="n">
        <v>0.32966063</v>
      </c>
      <c r="M17" s="18" t="n">
        <v>0</v>
      </c>
      <c r="N17" s="20" t="n">
        <v>0</v>
      </c>
      <c r="O17" s="18" t="n">
        <v>0</v>
      </c>
      <c r="P17" s="20" t="n">
        <v>0</v>
      </c>
      <c r="Q17" s="18" t="n">
        <v>0.29432483</v>
      </c>
      <c r="R17" s="20" t="n">
        <v>0.20110362</v>
      </c>
    </row>
    <row r="18" spans="1:18">
      <c r="A18" s="15" t="s">
        <v>576</v>
      </c>
      <c r="B18" s="17" t="n">
        <v>2706</v>
      </c>
      <c r="C18" s="18">
        <f>(2115.0/B18*100)</f>
        <v/>
      </c>
      <c r="D18" s="19" t="n">
        <v>591</v>
      </c>
      <c r="E18" s="18" t="n">
        <v>50.07273117</v>
      </c>
      <c r="F18" s="20" t="n">
        <v>2.2737942</v>
      </c>
      <c r="G18" s="18" t="n">
        <v>47.64759152</v>
      </c>
      <c r="H18" s="20" t="n">
        <v>2.17495697</v>
      </c>
      <c r="I18" s="18" t="n">
        <v>0</v>
      </c>
      <c r="J18" s="20" t="n">
        <v>0</v>
      </c>
      <c r="K18" s="18" t="n">
        <v>1.98404962</v>
      </c>
      <c r="L18" s="20" t="n">
        <v>0.65812452</v>
      </c>
      <c r="M18" s="18" t="n">
        <v>0</v>
      </c>
      <c r="N18" s="20" t="n">
        <v>0</v>
      </c>
      <c r="O18" s="18" t="n">
        <v>0</v>
      </c>
      <c r="P18" s="20" t="n">
        <v>0</v>
      </c>
      <c r="Q18" s="18" t="n">
        <v>0.29562769</v>
      </c>
      <c r="R18" s="20" t="n">
        <v>0.2124676</v>
      </c>
    </row>
    <row r="19" spans="1:18">
      <c r="A19" s="15" t="s">
        <v>577</v>
      </c>
      <c r="B19" s="17" t="n">
        <v>2850</v>
      </c>
      <c r="C19" s="18">
        <f>(2206.0/B19*100)</f>
        <v/>
      </c>
      <c r="D19" s="19" t="n">
        <v>644</v>
      </c>
      <c r="E19" s="18" t="n">
        <v>57.03895667</v>
      </c>
      <c r="F19" s="20" t="n">
        <v>1.94525928</v>
      </c>
      <c r="G19" s="18" t="n">
        <v>42.53488327</v>
      </c>
      <c r="H19" s="20" t="n">
        <v>1.96539908</v>
      </c>
      <c r="I19" s="18" t="n">
        <v>0</v>
      </c>
      <c r="J19" s="20" t="n">
        <v>0</v>
      </c>
      <c r="K19" s="18" t="n">
        <v>0.14363313</v>
      </c>
      <c r="L19" s="20" t="n">
        <v>0.12224668</v>
      </c>
      <c r="M19" s="18" t="n">
        <v>0</v>
      </c>
      <c r="N19" s="20" t="n">
        <v>0</v>
      </c>
      <c r="O19" s="18" t="n">
        <v>0</v>
      </c>
      <c r="P19" s="20" t="n">
        <v>0</v>
      </c>
      <c r="Q19" s="18" t="n">
        <v>0.28252692</v>
      </c>
      <c r="R19" s="20" t="n">
        <v>0.20118234</v>
      </c>
    </row>
    <row r="20" spans="1:18">
      <c r="A20" s="15" t="s">
        <v>578</v>
      </c>
      <c r="B20" s="17" t="n">
        <v>1741</v>
      </c>
      <c r="C20" s="18">
        <f>(1376.0/B20*100)</f>
        <v/>
      </c>
      <c r="D20" s="19" t="n">
        <v>365</v>
      </c>
      <c r="E20" s="18" t="n">
        <v>48.63239126</v>
      </c>
      <c r="F20" s="20" t="n">
        <v>2.90183659</v>
      </c>
      <c r="G20" s="18" t="n">
        <v>48.84650794</v>
      </c>
      <c r="H20" s="20" t="n">
        <v>3.013987</v>
      </c>
      <c r="I20" s="18" t="n">
        <v>0</v>
      </c>
      <c r="J20" s="20" t="n">
        <v>0</v>
      </c>
      <c r="K20" s="18" t="n">
        <v>1.26511454</v>
      </c>
      <c r="L20" s="20" t="n">
        <v>0.55224914</v>
      </c>
      <c r="M20" s="18" t="n">
        <v>0</v>
      </c>
      <c r="N20" s="20" t="n">
        <v>0</v>
      </c>
      <c r="O20" s="18" t="n">
        <v>0</v>
      </c>
      <c r="P20" s="20" t="n">
        <v>0</v>
      </c>
      <c r="Q20" s="18" t="n">
        <v>1.25598627</v>
      </c>
      <c r="R20" s="20" t="n">
        <v>0.56783739</v>
      </c>
    </row>
    <row r="21" spans="1:18">
      <c r="A21" s="15" t="s">
        <v>579</v>
      </c>
      <c r="B21" s="17" t="n">
        <v>2833</v>
      </c>
      <c r="C21" s="18">
        <f>(2239.0/B21*100)</f>
        <v/>
      </c>
      <c r="D21" s="19" t="n">
        <v>594</v>
      </c>
      <c r="E21" s="18" t="n">
        <v>43.1516855</v>
      </c>
      <c r="F21" s="20" t="n">
        <v>2.24537087</v>
      </c>
      <c r="G21" s="18" t="n">
        <v>55.46787923</v>
      </c>
      <c r="H21" s="20" t="n">
        <v>2.31789615</v>
      </c>
      <c r="I21" s="18" t="n">
        <v>0</v>
      </c>
      <c r="J21" s="20" t="n">
        <v>0</v>
      </c>
      <c r="K21" s="18" t="n">
        <v>0.65180382</v>
      </c>
      <c r="L21" s="20" t="n">
        <v>0.32061628</v>
      </c>
      <c r="M21" s="18" t="n">
        <v>0</v>
      </c>
      <c r="N21" s="20" t="n">
        <v>0</v>
      </c>
      <c r="O21" s="18" t="n">
        <v>0</v>
      </c>
      <c r="P21" s="20" t="n">
        <v>0</v>
      </c>
      <c r="Q21" s="18" t="n">
        <v>0.72863146</v>
      </c>
      <c r="R21" s="20" t="n">
        <v>0.33330729</v>
      </c>
    </row>
    <row r="22" spans="1:18">
      <c r="A22" s="15" t="s">
        <v>580</v>
      </c>
      <c r="B22" s="17" t="n">
        <v>3667</v>
      </c>
      <c r="C22" s="18">
        <f>(2894.0/B22*100)</f>
        <v/>
      </c>
      <c r="D22" s="19" t="n">
        <v>773</v>
      </c>
      <c r="E22" s="18" t="n">
        <v>42.24382308</v>
      </c>
      <c r="F22" s="20" t="n">
        <v>1.99536171</v>
      </c>
      <c r="G22" s="18" t="n">
        <v>55.31123251</v>
      </c>
      <c r="H22" s="20" t="n">
        <v>1.94528715</v>
      </c>
      <c r="I22" s="18" t="n">
        <v>0</v>
      </c>
      <c r="J22" s="20" t="n">
        <v>0</v>
      </c>
      <c r="K22" s="18" t="n">
        <v>2.08698569</v>
      </c>
      <c r="L22" s="20" t="n">
        <v>0.57999279</v>
      </c>
      <c r="M22" s="18" t="n">
        <v>0</v>
      </c>
      <c r="N22" s="20" t="n">
        <v>0</v>
      </c>
      <c r="O22" s="18" t="n">
        <v>0</v>
      </c>
      <c r="P22" s="20" t="n">
        <v>0</v>
      </c>
      <c r="Q22" s="18" t="n">
        <v>0.35795873</v>
      </c>
      <c r="R22" s="20" t="n">
        <v>0.20372823</v>
      </c>
    </row>
    <row r="23" spans="1:18">
      <c r="A23" s="15" t="s">
        <v>581</v>
      </c>
      <c r="B23" s="17" t="n">
        <v>5792</v>
      </c>
      <c r="C23" s="18">
        <f>(4499.0/B23*100)</f>
        <v/>
      </c>
      <c r="D23" s="19" t="n">
        <v>1293</v>
      </c>
      <c r="E23" s="18" t="n">
        <v>49.2091375</v>
      </c>
      <c r="F23" s="20" t="n">
        <v>2.19610964</v>
      </c>
      <c r="G23" s="18" t="n">
        <v>47.05560507</v>
      </c>
      <c r="H23" s="20" t="n">
        <v>1.96008874</v>
      </c>
      <c r="I23" s="18" t="n">
        <v>0</v>
      </c>
      <c r="J23" s="20" t="n">
        <v>0</v>
      </c>
      <c r="K23" s="18" t="n">
        <v>1.92100776</v>
      </c>
      <c r="L23" s="20" t="n">
        <v>0.70257408</v>
      </c>
      <c r="M23" s="18" t="n">
        <v>0</v>
      </c>
      <c r="N23" s="20" t="n">
        <v>0</v>
      </c>
      <c r="O23" s="18" t="n">
        <v>0</v>
      </c>
      <c r="P23" s="20" t="n">
        <v>0</v>
      </c>
      <c r="Q23" s="18" t="n">
        <v>1.81424967</v>
      </c>
      <c r="R23" s="20" t="n">
        <v>0.52233222</v>
      </c>
    </row>
    <row r="24" spans="1:18">
      <c r="A24" s="15" t="s">
        <v>582</v>
      </c>
      <c r="B24" s="17" t="n">
        <v>3309</v>
      </c>
      <c r="C24" s="18">
        <f>(2612.0/B24*100)</f>
        <v/>
      </c>
      <c r="D24" s="19" t="n">
        <v>697</v>
      </c>
      <c r="E24" s="18" t="n">
        <v>43.03547737</v>
      </c>
      <c r="F24" s="20" t="n">
        <v>1.99851197</v>
      </c>
      <c r="G24" s="18" t="n">
        <v>55.85245518</v>
      </c>
      <c r="H24" s="20" t="n">
        <v>1.99440659</v>
      </c>
      <c r="I24" s="18" t="n">
        <v>0</v>
      </c>
      <c r="J24" s="20" t="n">
        <v>0</v>
      </c>
      <c r="K24" s="18" t="n">
        <v>0.42423325</v>
      </c>
      <c r="L24" s="20" t="n">
        <v>0.24790506</v>
      </c>
      <c r="M24" s="18" t="n">
        <v>0</v>
      </c>
      <c r="N24" s="20" t="n">
        <v>0</v>
      </c>
      <c r="O24" s="18" t="n">
        <v>0</v>
      </c>
      <c r="P24" s="20" t="n">
        <v>0</v>
      </c>
      <c r="Q24" s="18" t="n">
        <v>0.6878342</v>
      </c>
      <c r="R24" s="20" t="n">
        <v>0.29944993</v>
      </c>
    </row>
    <row r="25" spans="1:18">
      <c r="A25" s="15" t="s">
        <v>583</v>
      </c>
      <c r="B25" s="17" t="n">
        <v>2669</v>
      </c>
      <c r="C25" s="18">
        <f>(2091.0/B25*100)</f>
        <v/>
      </c>
      <c r="D25" s="19" t="n">
        <v>578</v>
      </c>
      <c r="E25" s="18" t="n">
        <v>48.18710093</v>
      </c>
      <c r="F25" s="20" t="n">
        <v>2.60222683</v>
      </c>
      <c r="G25" s="18" t="n">
        <v>51.45182502</v>
      </c>
      <c r="H25" s="20" t="n">
        <v>2.60827905</v>
      </c>
      <c r="I25" s="18" t="n">
        <v>0</v>
      </c>
      <c r="J25" s="20" t="n">
        <v>0</v>
      </c>
      <c r="K25" s="18" t="n">
        <v>0</v>
      </c>
      <c r="L25" s="20" t="n">
        <v>0</v>
      </c>
      <c r="M25" s="18" t="n">
        <v>0</v>
      </c>
      <c r="N25" s="20" t="n">
        <v>0</v>
      </c>
      <c r="O25" s="18" t="n">
        <v>0</v>
      </c>
      <c r="P25" s="20" t="n">
        <v>0</v>
      </c>
      <c r="Q25" s="18" t="n">
        <v>0.36107405</v>
      </c>
      <c r="R25" s="20" t="n">
        <v>0.25876487</v>
      </c>
    </row>
    <row r="26" spans="1:18">
      <c r="A26" s="15" t="s">
        <v>584</v>
      </c>
      <c r="B26" s="17" t="n">
        <v>2419</v>
      </c>
      <c r="C26" s="18">
        <f>(1863.0/B26*100)</f>
        <v/>
      </c>
      <c r="D26" s="19" t="n">
        <v>556</v>
      </c>
      <c r="E26" s="18" t="n">
        <v>37.76417552</v>
      </c>
      <c r="F26" s="20" t="n">
        <v>2.3323722</v>
      </c>
      <c r="G26" s="18" t="n">
        <v>61.71497334</v>
      </c>
      <c r="H26" s="20" t="n">
        <v>2.33651753</v>
      </c>
      <c r="I26" s="18" t="n">
        <v>0</v>
      </c>
      <c r="J26" s="20" t="n">
        <v>0</v>
      </c>
      <c r="K26" s="18" t="n">
        <v>0.17824301</v>
      </c>
      <c r="L26" s="20" t="n">
        <v>0.17974663</v>
      </c>
      <c r="M26" s="18" t="n">
        <v>0</v>
      </c>
      <c r="N26" s="20" t="n">
        <v>0</v>
      </c>
      <c r="O26" s="18" t="n">
        <v>0</v>
      </c>
      <c r="P26" s="20" t="n">
        <v>0</v>
      </c>
      <c r="Q26" s="18" t="n">
        <v>0.34260814</v>
      </c>
      <c r="R26" s="20" t="n">
        <v>0.24506693</v>
      </c>
    </row>
    <row r="27" spans="1:18">
      <c r="A27" s="15" t="s">
        <v>585</v>
      </c>
      <c r="B27" s="17" t="n">
        <v>2683</v>
      </c>
      <c r="C27" s="18">
        <f>(2145.0/B27*100)</f>
        <v/>
      </c>
      <c r="D27" s="19" t="n">
        <v>538</v>
      </c>
      <c r="E27" s="18" t="n">
        <v>51.48050343</v>
      </c>
      <c r="F27" s="20" t="n">
        <v>2.2888004</v>
      </c>
      <c r="G27" s="18" t="n">
        <v>46.27516136</v>
      </c>
      <c r="H27" s="20" t="n">
        <v>2.31359654</v>
      </c>
      <c r="I27" s="18" t="n">
        <v>0</v>
      </c>
      <c r="J27" s="20" t="n">
        <v>0</v>
      </c>
      <c r="K27" s="18" t="n">
        <v>0.9154844</v>
      </c>
      <c r="L27" s="20" t="n">
        <v>0.40556929</v>
      </c>
      <c r="M27" s="18" t="n">
        <v>0</v>
      </c>
      <c r="N27" s="20" t="n">
        <v>0</v>
      </c>
      <c r="O27" s="18" t="n">
        <v>0</v>
      </c>
      <c r="P27" s="20" t="n">
        <v>0</v>
      </c>
      <c r="Q27" s="18" t="n">
        <v>1.32885081</v>
      </c>
      <c r="R27" s="20" t="n">
        <v>0.51043139</v>
      </c>
    </row>
    <row r="28" spans="1:18">
      <c r="A28" s="15" t="s">
        <v>586</v>
      </c>
      <c r="B28" s="17" t="n">
        <v>3803</v>
      </c>
      <c r="C28" s="18">
        <f>(3032.0/B28*100)</f>
        <v/>
      </c>
      <c r="D28" s="19" t="n">
        <v>771</v>
      </c>
      <c r="E28" s="18" t="n">
        <v>66.96614334</v>
      </c>
      <c r="F28" s="20" t="n">
        <v>1.9128161</v>
      </c>
      <c r="G28" s="18" t="n">
        <v>30.20963702</v>
      </c>
      <c r="H28" s="20" t="n">
        <v>1.89384662</v>
      </c>
      <c r="I28" s="18" t="n">
        <v>0</v>
      </c>
      <c r="J28" s="20" t="n">
        <v>0</v>
      </c>
      <c r="K28" s="18" t="n">
        <v>1.86587658</v>
      </c>
      <c r="L28" s="20" t="n">
        <v>0.56924898</v>
      </c>
      <c r="M28" s="18" t="n">
        <v>0</v>
      </c>
      <c r="N28" s="20" t="n">
        <v>0</v>
      </c>
      <c r="O28" s="18" t="n">
        <v>0</v>
      </c>
      <c r="P28" s="20" t="n">
        <v>0</v>
      </c>
      <c r="Q28" s="18" t="n">
        <v>0.95834306</v>
      </c>
      <c r="R28" s="20" t="n">
        <v>0.44423472</v>
      </c>
    </row>
    <row r="29" spans="1:18">
      <c r="A29" s="15" t="s">
        <v>587</v>
      </c>
      <c r="B29" s="17" t="n">
        <v>2700</v>
      </c>
      <c r="C29" s="18">
        <f>(2113.0/B29*100)</f>
        <v/>
      </c>
      <c r="D29" s="19" t="n">
        <v>587</v>
      </c>
      <c r="E29" s="18" t="n">
        <v>46.70239792</v>
      </c>
      <c r="F29" s="20" t="n">
        <v>1.89560263</v>
      </c>
      <c r="G29" s="18" t="n">
        <v>52.48036011</v>
      </c>
      <c r="H29" s="20" t="n">
        <v>1.8997663</v>
      </c>
      <c r="I29" s="18" t="n">
        <v>0</v>
      </c>
      <c r="J29" s="20" t="n">
        <v>0</v>
      </c>
      <c r="K29" s="18" t="n">
        <v>0.81724197</v>
      </c>
      <c r="L29" s="20" t="n">
        <v>0.39343178</v>
      </c>
      <c r="M29" s="18" t="n">
        <v>0</v>
      </c>
      <c r="N29" s="20" t="n">
        <v>0</v>
      </c>
      <c r="O29" s="18" t="n">
        <v>0</v>
      </c>
      <c r="P29" s="20" t="n">
        <v>0</v>
      </c>
      <c r="Q29" s="18" t="n">
        <v>0</v>
      </c>
      <c r="R29" s="20" t="n">
        <v>0</v>
      </c>
    </row>
    <row r="30" spans="1:18">
      <c r="A30" s="15" t="s">
        <v>588</v>
      </c>
      <c r="B30" s="17" t="n">
        <v>2257</v>
      </c>
      <c r="C30" s="18">
        <f>(1792.0/B30*100)</f>
        <v/>
      </c>
      <c r="D30" s="19" t="n">
        <v>465</v>
      </c>
      <c r="E30" s="18" t="n">
        <v>39.66214681</v>
      </c>
      <c r="F30" s="20" t="n">
        <v>1.99794454</v>
      </c>
      <c r="G30" s="18" t="n">
        <v>57.77245971</v>
      </c>
      <c r="H30" s="20" t="n">
        <v>1.88309531</v>
      </c>
      <c r="I30" s="18" t="n">
        <v>0</v>
      </c>
      <c r="J30" s="20" t="n">
        <v>0</v>
      </c>
      <c r="K30" s="18" t="n">
        <v>1.36187479</v>
      </c>
      <c r="L30" s="20" t="n">
        <v>0.61792537</v>
      </c>
      <c r="M30" s="18" t="n">
        <v>0</v>
      </c>
      <c r="N30" s="20" t="n">
        <v>0</v>
      </c>
      <c r="O30" s="18" t="n">
        <v>0</v>
      </c>
      <c r="P30" s="20" t="n">
        <v>0</v>
      </c>
      <c r="Q30" s="18" t="n">
        <v>1.20351869</v>
      </c>
      <c r="R30" s="20" t="n">
        <v>0.52859663</v>
      </c>
    </row>
    <row r="31" spans="1:18">
      <c r="A31" s="15" t="s">
        <v>589</v>
      </c>
      <c r="B31" s="17" t="n">
        <v>2706</v>
      </c>
      <c r="C31" s="18">
        <f>(2124.0/B31*100)</f>
        <v/>
      </c>
      <c r="D31" s="19" t="n">
        <v>582</v>
      </c>
      <c r="E31" s="18" t="n">
        <v>54.40760593</v>
      </c>
      <c r="F31" s="20" t="n">
        <v>2.09419518</v>
      </c>
      <c r="G31" s="18" t="n">
        <v>42.16461344</v>
      </c>
      <c r="H31" s="20" t="n">
        <v>1.94677609</v>
      </c>
      <c r="I31" s="18" t="n">
        <v>0</v>
      </c>
      <c r="J31" s="20" t="n">
        <v>0</v>
      </c>
      <c r="K31" s="18" t="n">
        <v>2.3945197</v>
      </c>
      <c r="L31" s="20" t="n">
        <v>0.59005096</v>
      </c>
      <c r="M31" s="18" t="n">
        <v>0</v>
      </c>
      <c r="N31" s="20" t="n">
        <v>0</v>
      </c>
      <c r="O31" s="18" t="n">
        <v>0</v>
      </c>
      <c r="P31" s="20" t="n">
        <v>0</v>
      </c>
      <c r="Q31" s="18" t="n">
        <v>1.03326093</v>
      </c>
      <c r="R31" s="20" t="n">
        <v>0.42343538</v>
      </c>
    </row>
    <row r="32" spans="1:18">
      <c r="A32" s="15" t="s">
        <v>590</v>
      </c>
      <c r="B32" s="17" t="n">
        <v>2209</v>
      </c>
      <c r="C32" s="18">
        <f>(1738.0/B32*100)</f>
        <v/>
      </c>
      <c r="D32" s="19" t="n">
        <v>471</v>
      </c>
      <c r="E32" s="18" t="n">
        <v>45.01760015</v>
      </c>
      <c r="F32" s="20" t="n">
        <v>2.27141245</v>
      </c>
      <c r="G32" s="18" t="n">
        <v>54.43387379</v>
      </c>
      <c r="H32" s="20" t="n">
        <v>2.24682418</v>
      </c>
      <c r="I32" s="18" t="n">
        <v>0</v>
      </c>
      <c r="J32" s="20" t="n">
        <v>0</v>
      </c>
      <c r="K32" s="18" t="n">
        <v>0.37081864</v>
      </c>
      <c r="L32" s="20" t="n">
        <v>0.26155904</v>
      </c>
      <c r="M32" s="18" t="n">
        <v>0</v>
      </c>
      <c r="N32" s="20" t="n">
        <v>0</v>
      </c>
      <c r="O32" s="18" t="n">
        <v>0</v>
      </c>
      <c r="P32" s="20" t="n">
        <v>0</v>
      </c>
      <c r="Q32" s="18" t="n">
        <v>0.17770741</v>
      </c>
      <c r="R32" s="20" t="n">
        <v>0.17770439</v>
      </c>
    </row>
    <row r="33" spans="1:18">
      <c r="A33" s="15" t="s">
        <v>591</v>
      </c>
      <c r="B33" s="17" t="n">
        <v>3651</v>
      </c>
      <c r="C33" s="18">
        <f>(2897.0/B33*100)</f>
        <v/>
      </c>
      <c r="D33" s="19" t="n">
        <v>754</v>
      </c>
      <c r="E33" s="18" t="n">
        <v>54.20173229</v>
      </c>
      <c r="F33" s="20" t="n">
        <v>1.94987702</v>
      </c>
      <c r="G33" s="18" t="n">
        <v>44.73277598</v>
      </c>
      <c r="H33" s="20" t="n">
        <v>1.95531384</v>
      </c>
      <c r="I33" s="18" t="n">
        <v>0</v>
      </c>
      <c r="J33" s="20" t="n">
        <v>0</v>
      </c>
      <c r="K33" s="18" t="n">
        <v>0.8494019</v>
      </c>
      <c r="L33" s="20" t="n">
        <v>0.37314277</v>
      </c>
      <c r="M33" s="18" t="n">
        <v>0</v>
      </c>
      <c r="N33" s="20" t="n">
        <v>0</v>
      </c>
      <c r="O33" s="18" t="n">
        <v>0</v>
      </c>
      <c r="P33" s="20" t="n">
        <v>0</v>
      </c>
      <c r="Q33" s="18" t="n">
        <v>0.21608983</v>
      </c>
      <c r="R33" s="20" t="n">
        <v>0.12446005</v>
      </c>
    </row>
    <row r="34" spans="1:18">
      <c r="A34" s="15" t="s">
        <v>592</v>
      </c>
      <c r="B34" s="17" t="n">
        <v>3035</v>
      </c>
      <c r="C34" s="18">
        <f>(2419.0/B34*100)</f>
        <v/>
      </c>
      <c r="D34" s="19" t="n">
        <v>616</v>
      </c>
      <c r="E34" s="18" t="n">
        <v>55.8007065</v>
      </c>
      <c r="F34" s="20" t="n">
        <v>2.01512412</v>
      </c>
      <c r="G34" s="18" t="n">
        <v>43.05562924</v>
      </c>
      <c r="H34" s="20" t="n">
        <v>2.02937455</v>
      </c>
      <c r="I34" s="18" t="n">
        <v>0</v>
      </c>
      <c r="J34" s="20" t="n">
        <v>0</v>
      </c>
      <c r="K34" s="18" t="n">
        <v>0.53682586</v>
      </c>
      <c r="L34" s="20" t="n">
        <v>0.32276244</v>
      </c>
      <c r="M34" s="18" t="n">
        <v>0</v>
      </c>
      <c r="N34" s="20" t="n">
        <v>0</v>
      </c>
      <c r="O34" s="18" t="n">
        <v>0</v>
      </c>
      <c r="P34" s="20" t="n">
        <v>0</v>
      </c>
      <c r="Q34" s="18" t="n">
        <v>0.6068384</v>
      </c>
      <c r="R34" s="20" t="n">
        <v>0.32298329</v>
      </c>
    </row>
    <row r="35" spans="1:18">
      <c r="A35" s="15" t="s">
        <v>593</v>
      </c>
      <c r="B35" s="17" t="n">
        <v>2901</v>
      </c>
      <c r="C35" s="18">
        <f>(2265.0/B35*100)</f>
        <v/>
      </c>
      <c r="D35" s="19" t="n">
        <v>636</v>
      </c>
      <c r="E35" s="18" t="n">
        <v>46.6642367</v>
      </c>
      <c r="F35" s="20" t="n">
        <v>2.22309891</v>
      </c>
      <c r="G35" s="18" t="n">
        <v>52.57839405</v>
      </c>
      <c r="H35" s="20" t="n">
        <v>2.20092905</v>
      </c>
      <c r="I35" s="18" t="n">
        <v>0</v>
      </c>
      <c r="J35" s="20" t="n">
        <v>0</v>
      </c>
      <c r="K35" s="18" t="n">
        <v>0.42194143</v>
      </c>
      <c r="L35" s="20" t="n">
        <v>0.26249821</v>
      </c>
      <c r="M35" s="18" t="n">
        <v>0</v>
      </c>
      <c r="N35" s="20" t="n">
        <v>0</v>
      </c>
      <c r="O35" s="18" t="n">
        <v>0</v>
      </c>
      <c r="P35" s="20" t="n">
        <v>0</v>
      </c>
      <c r="Q35" s="18" t="n">
        <v>0.33542781</v>
      </c>
      <c r="R35" s="20" t="n">
        <v>0.17000381</v>
      </c>
    </row>
    <row r="36" spans="1:18">
      <c r="A36" s="15" t="s">
        <v>594</v>
      </c>
      <c r="B36" s="17" t="n">
        <v>3404</v>
      </c>
      <c r="C36" s="18">
        <f>(2667.0/B36*100)</f>
        <v/>
      </c>
      <c r="D36" s="19" t="n">
        <v>737</v>
      </c>
      <c r="E36" s="18" t="n">
        <v>54.59424453</v>
      </c>
      <c r="F36" s="20" t="n">
        <v>1.72914393</v>
      </c>
      <c r="G36" s="18" t="n">
        <v>42.9392627</v>
      </c>
      <c r="H36" s="20" t="n">
        <v>1.7942</v>
      </c>
      <c r="I36" s="18" t="n">
        <v>0</v>
      </c>
      <c r="J36" s="20" t="n">
        <v>0</v>
      </c>
      <c r="K36" s="18" t="n">
        <v>1.27588896</v>
      </c>
      <c r="L36" s="20" t="n">
        <v>0.44163766</v>
      </c>
      <c r="M36" s="18" t="n">
        <v>0</v>
      </c>
      <c r="N36" s="20" t="n">
        <v>0</v>
      </c>
      <c r="O36" s="18" t="n">
        <v>0</v>
      </c>
      <c r="P36" s="20" t="n">
        <v>0</v>
      </c>
      <c r="Q36" s="18" t="n">
        <v>1.1906038</v>
      </c>
      <c r="R36" s="20" t="n">
        <v>0.41006953</v>
      </c>
    </row>
    <row r="37" spans="1:18">
      <c r="A37" s="15" t="s">
        <v>595</v>
      </c>
      <c r="B37" s="17" t="n">
        <v>2731</v>
      </c>
      <c r="C37" s="18">
        <f>(2179.0/B37*100)</f>
        <v/>
      </c>
      <c r="D37" s="19" t="n">
        <v>552</v>
      </c>
      <c r="E37" s="18" t="n">
        <v>47.48259788</v>
      </c>
      <c r="F37" s="20" t="n">
        <v>2.26732927</v>
      </c>
      <c r="G37" s="18" t="n">
        <v>48.45180126</v>
      </c>
      <c r="H37" s="20" t="n">
        <v>2.10180017</v>
      </c>
      <c r="I37" s="18" t="n">
        <v>0</v>
      </c>
      <c r="J37" s="20" t="n">
        <v>0</v>
      </c>
      <c r="K37" s="18" t="n">
        <v>2.82490975</v>
      </c>
      <c r="L37" s="20" t="n">
        <v>0.67288635</v>
      </c>
      <c r="M37" s="18" t="n">
        <v>0</v>
      </c>
      <c r="N37" s="20" t="n">
        <v>0</v>
      </c>
      <c r="O37" s="18" t="n">
        <v>0</v>
      </c>
      <c r="P37" s="20" t="n">
        <v>0</v>
      </c>
      <c r="Q37" s="18" t="n">
        <v>1.24069111</v>
      </c>
      <c r="R37" s="20" t="n">
        <v>0.45998287</v>
      </c>
    </row>
    <row r="38" spans="1:18">
      <c r="A38" s="15" t="s">
        <v>596</v>
      </c>
      <c r="B38" s="17" t="n">
        <v>2807</v>
      </c>
      <c r="C38" s="18">
        <f>(2194.0/B38*100)</f>
        <v/>
      </c>
      <c r="D38" s="19" t="n">
        <v>613</v>
      </c>
      <c r="E38" s="18" t="n">
        <v>44.17710054</v>
      </c>
      <c r="F38" s="20" t="n">
        <v>2.37195975</v>
      </c>
      <c r="G38" s="18" t="n">
        <v>53.17772253</v>
      </c>
      <c r="H38" s="20" t="n">
        <v>2.40697074</v>
      </c>
      <c r="I38" s="18" t="n">
        <v>0</v>
      </c>
      <c r="J38" s="20" t="n">
        <v>0</v>
      </c>
      <c r="K38" s="18" t="n">
        <v>1.40345849</v>
      </c>
      <c r="L38" s="20" t="n">
        <v>0.49010418</v>
      </c>
      <c r="M38" s="18" t="n">
        <v>0</v>
      </c>
      <c r="N38" s="20" t="n">
        <v>0</v>
      </c>
      <c r="O38" s="18" t="n">
        <v>0</v>
      </c>
      <c r="P38" s="20" t="n">
        <v>0</v>
      </c>
      <c r="Q38" s="18" t="n">
        <v>1.24171845</v>
      </c>
      <c r="R38" s="20" t="n">
        <v>0.47138073</v>
      </c>
    </row>
    <row r="39" spans="1:18">
      <c r="A39" s="15" t="s">
        <v>597</v>
      </c>
      <c r="B39" s="17" t="n">
        <v>2938</v>
      </c>
      <c r="C39" s="18">
        <f>(2280.0/B39*100)</f>
        <v/>
      </c>
      <c r="D39" s="19" t="n">
        <v>658</v>
      </c>
      <c r="E39" s="18" t="n">
        <v>54.93815241</v>
      </c>
      <c r="F39" s="20" t="n">
        <v>2.1106488</v>
      </c>
      <c r="G39" s="18" t="n">
        <v>43.77602891</v>
      </c>
      <c r="H39" s="20" t="n">
        <v>2.14483276</v>
      </c>
      <c r="I39" s="18" t="n">
        <v>0</v>
      </c>
      <c r="J39" s="20" t="n">
        <v>0</v>
      </c>
      <c r="K39" s="18" t="n">
        <v>0.24798338</v>
      </c>
      <c r="L39" s="20" t="n">
        <v>0.17753393</v>
      </c>
      <c r="M39" s="18" t="n">
        <v>0</v>
      </c>
      <c r="N39" s="20" t="n">
        <v>0</v>
      </c>
      <c r="O39" s="18" t="n">
        <v>0</v>
      </c>
      <c r="P39" s="20" t="n">
        <v>0</v>
      </c>
      <c r="Q39" s="18" t="n">
        <v>1.0378353</v>
      </c>
      <c r="R39" s="20" t="n">
        <v>0.34335627</v>
      </c>
    </row>
    <row r="40" spans="1:18">
      <c r="A40" s="15" t="s">
        <v>598</v>
      </c>
      <c r="B40" s="17" t="n">
        <v>6922</v>
      </c>
      <c r="C40" s="18">
        <f>(5400.0/B40*100)</f>
        <v/>
      </c>
      <c r="D40" s="19" t="n">
        <v>1522</v>
      </c>
      <c r="E40" s="18" t="n">
        <v>41.07580735</v>
      </c>
      <c r="F40" s="20" t="n">
        <v>2.02069673</v>
      </c>
      <c r="G40" s="18" t="n">
        <v>57.36569292</v>
      </c>
      <c r="H40" s="20" t="n">
        <v>2.00486745</v>
      </c>
      <c r="I40" s="18" t="n">
        <v>0</v>
      </c>
      <c r="J40" s="20" t="n">
        <v>0</v>
      </c>
      <c r="K40" s="18" t="n">
        <v>0.78321524</v>
      </c>
      <c r="L40" s="20" t="n">
        <v>0.40066213</v>
      </c>
      <c r="M40" s="18" t="n">
        <v>0</v>
      </c>
      <c r="N40" s="20" t="n">
        <v>0</v>
      </c>
      <c r="O40" s="18" t="n">
        <v>0</v>
      </c>
      <c r="P40" s="20" t="n">
        <v>0</v>
      </c>
      <c r="Q40" s="18" t="n">
        <v>0.77528449</v>
      </c>
      <c r="R40" s="20" t="n">
        <v>0.31012237</v>
      </c>
    </row>
    <row r="41" spans="1:18">
      <c r="A41" s="15" t="s">
        <v>599</v>
      </c>
      <c r="B41" s="17" t="n">
        <v>2854</v>
      </c>
      <c r="C41" s="18">
        <f>(2281.0/B41*100)</f>
        <v/>
      </c>
      <c r="D41" s="19" t="n">
        <v>573</v>
      </c>
      <c r="E41" s="18" t="n">
        <v>41.54106816</v>
      </c>
      <c r="F41" s="20" t="n">
        <v>2.03306996</v>
      </c>
      <c r="G41" s="18" t="n">
        <v>57.23549037</v>
      </c>
      <c r="H41" s="20" t="n">
        <v>2.00465364</v>
      </c>
      <c r="I41" s="18" t="n">
        <v>0</v>
      </c>
      <c r="J41" s="20" t="n">
        <v>0</v>
      </c>
      <c r="K41" s="18" t="n">
        <v>0.33864763</v>
      </c>
      <c r="L41" s="20" t="n">
        <v>0.24439933</v>
      </c>
      <c r="M41" s="18" t="n">
        <v>0</v>
      </c>
      <c r="N41" s="20" t="n">
        <v>0</v>
      </c>
      <c r="O41" s="18" t="n">
        <v>0</v>
      </c>
      <c r="P41" s="20" t="n">
        <v>0</v>
      </c>
      <c r="Q41" s="18" t="n">
        <v>0.88479385</v>
      </c>
      <c r="R41" s="20" t="n">
        <v>0.39402828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(10229.0/B46*100)</f>
        <v/>
      </c>
      <c r="D46" s="19" t="n">
        <v>1844</v>
      </c>
      <c r="E46" s="18" t="n">
        <v>69.18251075000001</v>
      </c>
      <c r="F46" s="20" t="n">
        <v>1.51157568</v>
      </c>
      <c r="G46" s="18" t="n">
        <v>26.28536809</v>
      </c>
      <c r="H46" s="20" t="n">
        <v>1.53930804</v>
      </c>
      <c r="I46" s="18" t="n">
        <v>0</v>
      </c>
      <c r="J46" s="20" t="n">
        <v>0</v>
      </c>
      <c r="K46" s="18" t="n">
        <v>3.71864182</v>
      </c>
      <c r="L46" s="20" t="n">
        <v>0.86704991</v>
      </c>
      <c r="M46" s="18" t="n">
        <v>0</v>
      </c>
      <c r="N46" s="20" t="n">
        <v>0</v>
      </c>
      <c r="O46" s="18" t="n">
        <v>0</v>
      </c>
      <c r="P46" s="20" t="n">
        <v>0</v>
      </c>
      <c r="Q46" s="18" t="n">
        <v>0.81347934</v>
      </c>
      <c r="R46" s="20" t="n">
        <v>0.24396724</v>
      </c>
    </row>
    <row r="47" spans="1:18">
      <c r="A47" s="15" t="s">
        <v>606</v>
      </c>
      <c r="B47" s="17" t="n">
        <v>2823</v>
      </c>
      <c r="C47" s="18">
        <f>(2215.0/B47*100)</f>
        <v/>
      </c>
      <c r="D47" s="19" t="n">
        <v>608</v>
      </c>
      <c r="E47" s="18" t="n">
        <v>50.31534846</v>
      </c>
      <c r="F47" s="20" t="n">
        <v>2.12494293</v>
      </c>
      <c r="G47" s="18" t="n">
        <v>47.44290191</v>
      </c>
      <c r="H47" s="20" t="n">
        <v>2.18861945</v>
      </c>
      <c r="I47" s="18" t="n">
        <v>0</v>
      </c>
      <c r="J47" s="20" t="n">
        <v>0</v>
      </c>
      <c r="K47" s="18" t="n">
        <v>1.76387347</v>
      </c>
      <c r="L47" s="20" t="n">
        <v>0.5639435</v>
      </c>
      <c r="M47" s="18" t="n">
        <v>0</v>
      </c>
      <c r="N47" s="20" t="n">
        <v>0</v>
      </c>
      <c r="O47" s="18" t="n">
        <v>0</v>
      </c>
      <c r="P47" s="20" t="n">
        <v>0</v>
      </c>
      <c r="Q47" s="18" t="n">
        <v>0.47787616</v>
      </c>
      <c r="R47" s="20" t="n">
        <v>0.24215604</v>
      </c>
    </row>
    <row r="48" spans="1:18">
      <c r="A48" s="15" t="s">
        <v>607</v>
      </c>
      <c r="B48" s="17" t="n">
        <v>4682</v>
      </c>
      <c r="C48" s="18">
        <f>(3691.0/B48*100)</f>
        <v/>
      </c>
      <c r="D48" s="19" t="n">
        <v>991</v>
      </c>
      <c r="E48" s="18" t="n">
        <v>37.46725018</v>
      </c>
      <c r="F48" s="20" t="n">
        <v>3.03570275</v>
      </c>
      <c r="G48" s="18" t="n">
        <v>60.63723266</v>
      </c>
      <c r="H48" s="20" t="n">
        <v>3.11125565</v>
      </c>
      <c r="I48" s="18" t="n">
        <v>0</v>
      </c>
      <c r="J48" s="20" t="n">
        <v>0</v>
      </c>
      <c r="K48" s="18" t="n">
        <v>1.35791008</v>
      </c>
      <c r="L48" s="20" t="n">
        <v>0.5248620000000001</v>
      </c>
      <c r="M48" s="18" t="n">
        <v>0</v>
      </c>
      <c r="N48" s="20" t="n">
        <v>0</v>
      </c>
      <c r="O48" s="18" t="n">
        <v>0</v>
      </c>
      <c r="P48" s="20" t="n">
        <v>0</v>
      </c>
      <c r="Q48" s="18" t="n">
        <v>0.53760708</v>
      </c>
      <c r="R48" s="20" t="n">
        <v>0.25766117</v>
      </c>
    </row>
    <row r="49" spans="1:18">
      <c r="A49" s="15" t="s">
        <v>608</v>
      </c>
      <c r="B49" s="17" t="n">
        <v>6158</v>
      </c>
      <c r="C49" s="18">
        <f>(4851.0/B49*100)</f>
        <v/>
      </c>
      <c r="D49" s="19" t="n">
        <v>1307</v>
      </c>
      <c r="E49" s="18" t="n">
        <v>66.75095622000001</v>
      </c>
      <c r="F49" s="20" t="n">
        <v>1.86211182</v>
      </c>
      <c r="G49" s="18" t="n">
        <v>28.24006303</v>
      </c>
      <c r="H49" s="20" t="n">
        <v>1.67666052</v>
      </c>
      <c r="I49" s="18" t="n">
        <v>0</v>
      </c>
      <c r="J49" s="20" t="n">
        <v>0</v>
      </c>
      <c r="K49" s="18" t="n">
        <v>4.60748741</v>
      </c>
      <c r="L49" s="20" t="n">
        <v>0.7345622000000001</v>
      </c>
      <c r="M49" s="18" t="n">
        <v>0</v>
      </c>
      <c r="N49" s="20" t="n">
        <v>0</v>
      </c>
      <c r="O49" s="18" t="n">
        <v>0</v>
      </c>
      <c r="P49" s="20" t="n">
        <v>0</v>
      </c>
      <c r="Q49" s="18" t="n">
        <v>0.40149335</v>
      </c>
      <c r="R49" s="20" t="n">
        <v>0.18999686</v>
      </c>
    </row>
    <row r="50" spans="1:18">
      <c r="A50" s="15" t="s">
        <v>609</v>
      </c>
      <c r="B50" s="17" t="n">
        <v>3494</v>
      </c>
      <c r="C50" s="18">
        <f>(2857.0/B50*100)</f>
        <v/>
      </c>
      <c r="D50" s="19" t="n">
        <v>637</v>
      </c>
      <c r="E50" s="18" t="n">
        <v>71.38767306</v>
      </c>
      <c r="F50" s="20" t="n">
        <v>1.91234219</v>
      </c>
      <c r="G50" s="18" t="n">
        <v>25.84170647</v>
      </c>
      <c r="H50" s="20" t="n">
        <v>1.90511497</v>
      </c>
      <c r="I50" s="18" t="n">
        <v>0</v>
      </c>
      <c r="J50" s="20" t="n">
        <v>0</v>
      </c>
      <c r="K50" s="18" t="n">
        <v>1.98892232</v>
      </c>
      <c r="L50" s="20" t="n">
        <v>0.67570694</v>
      </c>
      <c r="M50" s="18" t="n">
        <v>0</v>
      </c>
      <c r="N50" s="20" t="n">
        <v>0</v>
      </c>
      <c r="O50" s="18" t="n">
        <v>0</v>
      </c>
      <c r="P50" s="20" t="n">
        <v>0</v>
      </c>
      <c r="Q50" s="18" t="n">
        <v>0.78169815</v>
      </c>
      <c r="R50" s="20" t="n">
        <v>0.32547772</v>
      </c>
    </row>
    <row r="51" spans="1:18">
      <c r="A51" s="15" t="s">
        <v>610</v>
      </c>
      <c r="B51" s="17" t="n">
        <v>3013</v>
      </c>
      <c r="C51" s="18">
        <f>(2382.0/B51*100)</f>
        <v/>
      </c>
      <c r="D51" s="19" t="n">
        <v>631</v>
      </c>
      <c r="E51" s="18" t="n">
        <v>52.78669248</v>
      </c>
      <c r="F51" s="20" t="n">
        <v>2.03046111</v>
      </c>
      <c r="G51" s="18" t="n">
        <v>46.08268799</v>
      </c>
      <c r="H51" s="20" t="n">
        <v>2.19429995</v>
      </c>
      <c r="I51" s="18" t="n">
        <v>0</v>
      </c>
      <c r="J51" s="20" t="n">
        <v>0</v>
      </c>
      <c r="K51" s="18" t="n">
        <v>0.43085171</v>
      </c>
      <c r="L51" s="20" t="n">
        <v>0.25204353</v>
      </c>
      <c r="M51" s="18" t="n">
        <v>0</v>
      </c>
      <c r="N51" s="20" t="n">
        <v>0</v>
      </c>
      <c r="O51" s="18" t="n">
        <v>0</v>
      </c>
      <c r="P51" s="20" t="n">
        <v>0</v>
      </c>
      <c r="Q51" s="18" t="n">
        <v>0.69976782</v>
      </c>
      <c r="R51" s="20" t="n">
        <v>0.51111148</v>
      </c>
    </row>
    <row r="52" spans="1:18">
      <c r="A52" s="15" t="s">
        <v>611</v>
      </c>
      <c r="B52" s="17" t="n">
        <v>2760</v>
      </c>
      <c r="C52" s="18">
        <f>(2175.0/B52*100)</f>
        <v/>
      </c>
      <c r="D52" s="19" t="n">
        <v>585</v>
      </c>
      <c r="E52" s="18" t="n">
        <v>55.33191424</v>
      </c>
      <c r="F52" s="20" t="n">
        <v>2.05394384</v>
      </c>
      <c r="G52" s="18" t="n">
        <v>43.30694576</v>
      </c>
      <c r="H52" s="20" t="n">
        <v>2.02459807</v>
      </c>
      <c r="I52" s="18" t="n">
        <v>0</v>
      </c>
      <c r="J52" s="20" t="n">
        <v>0</v>
      </c>
      <c r="K52" s="18" t="n">
        <v>0.82110237</v>
      </c>
      <c r="L52" s="20" t="n">
        <v>0.37659123</v>
      </c>
      <c r="M52" s="18" t="n">
        <v>0</v>
      </c>
      <c r="N52" s="20" t="n">
        <v>0</v>
      </c>
      <c r="O52" s="18" t="n">
        <v>0</v>
      </c>
      <c r="P52" s="20" t="n">
        <v>0</v>
      </c>
      <c r="Q52" s="18" t="n">
        <v>0.54003762</v>
      </c>
      <c r="R52" s="20" t="n">
        <v>0.3189621</v>
      </c>
    </row>
    <row r="53" spans="1:18">
      <c r="A53" s="15" t="s">
        <v>612</v>
      </c>
      <c r="B53" s="17" t="n">
        <v>2474</v>
      </c>
      <c r="C53" s="18">
        <f>(1892.0/B53*100)</f>
        <v/>
      </c>
      <c r="D53" s="19" t="n">
        <v>582</v>
      </c>
      <c r="E53" s="18" t="n">
        <v>61.94459898</v>
      </c>
      <c r="F53" s="20" t="n">
        <v>2.52364995</v>
      </c>
      <c r="G53" s="18" t="n">
        <v>12.18164697</v>
      </c>
      <c r="H53" s="20" t="n">
        <v>1.58086983</v>
      </c>
      <c r="I53" s="18" t="n">
        <v>0</v>
      </c>
      <c r="J53" s="20" t="n">
        <v>0</v>
      </c>
      <c r="K53" s="18" t="n">
        <v>22.27397142</v>
      </c>
      <c r="L53" s="20" t="n">
        <v>1.95341204</v>
      </c>
      <c r="M53" s="18" t="n">
        <v>0</v>
      </c>
      <c r="N53" s="20" t="n">
        <v>0</v>
      </c>
      <c r="O53" s="18" t="n">
        <v>0</v>
      </c>
      <c r="P53" s="20" t="n">
        <v>0</v>
      </c>
      <c r="Q53" s="18" t="n">
        <v>3.59978263</v>
      </c>
      <c r="R53" s="20" t="n">
        <v>1.14693134</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(2074.0/B55*100)</f>
        <v/>
      </c>
      <c r="D55" s="19" t="n">
        <v>601</v>
      </c>
      <c r="E55" s="18" t="n">
        <v>39.16982738</v>
      </c>
      <c r="F55" s="20" t="n">
        <v>1.85403627</v>
      </c>
      <c r="G55" s="18" t="n">
        <v>60.3893553</v>
      </c>
      <c r="H55" s="20" t="n">
        <v>1.90585554</v>
      </c>
      <c r="I55" s="18" t="n">
        <v>0</v>
      </c>
      <c r="J55" s="20" t="n">
        <v>0</v>
      </c>
      <c r="K55" s="18" t="n">
        <v>0.13700969</v>
      </c>
      <c r="L55" s="20" t="n">
        <v>0.13665201</v>
      </c>
      <c r="M55" s="18" t="n">
        <v>0</v>
      </c>
      <c r="N55" s="20" t="n">
        <v>0</v>
      </c>
      <c r="O55" s="18" t="n">
        <v>0</v>
      </c>
      <c r="P55" s="20" t="n">
        <v>0</v>
      </c>
      <c r="Q55" s="18" t="n">
        <v>0.30380762</v>
      </c>
      <c r="R55" s="20" t="n">
        <v>0.29474813</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(2496.0/B61*100)</f>
        <v/>
      </c>
      <c r="D61" s="19" t="n">
        <v>705</v>
      </c>
      <c r="E61" s="18" t="n">
        <v>46.49374529</v>
      </c>
      <c r="F61" s="20" t="n">
        <v>2.09727845</v>
      </c>
      <c r="G61" s="18" t="n">
        <v>51.75699377</v>
      </c>
      <c r="H61" s="20" t="n">
        <v>2.13561375</v>
      </c>
      <c r="I61" s="18" t="n">
        <v>0</v>
      </c>
      <c r="J61" s="20" t="n">
        <v>0</v>
      </c>
      <c r="K61" s="18" t="n">
        <v>0.93436683</v>
      </c>
      <c r="L61" s="20" t="n">
        <v>0.4787902</v>
      </c>
      <c r="M61" s="18" t="n">
        <v>0</v>
      </c>
      <c r="N61" s="20" t="n">
        <v>0</v>
      </c>
      <c r="O61" s="18" t="n">
        <v>0</v>
      </c>
      <c r="P61" s="20" t="n">
        <v>0</v>
      </c>
      <c r="Q61" s="18" t="n">
        <v>0.8148941200000001</v>
      </c>
      <c r="R61" s="20" t="n">
        <v>0.37694387</v>
      </c>
    </row>
    <row r="62" spans="1:18">
      <c r="A62" s="15" t="s">
        <v>622</v>
      </c>
      <c r="B62" s="17" t="n">
        <v>2230</v>
      </c>
      <c r="C62" s="18">
        <f>(1759.0/B62*100)</f>
        <v/>
      </c>
      <c r="D62" s="19" t="n">
        <v>471</v>
      </c>
      <c r="E62" s="18" t="n">
        <v>37.97245684</v>
      </c>
      <c r="F62" s="20" t="n">
        <v>2.1755226</v>
      </c>
      <c r="G62" s="18" t="n">
        <v>61.60026627</v>
      </c>
      <c r="H62" s="20" t="n">
        <v>2.23420655</v>
      </c>
      <c r="I62" s="18" t="n">
        <v>0</v>
      </c>
      <c r="J62" s="20" t="n">
        <v>0</v>
      </c>
      <c r="K62" s="18" t="n">
        <v>0</v>
      </c>
      <c r="L62" s="20" t="n">
        <v>0</v>
      </c>
      <c r="M62" s="18" t="n">
        <v>0</v>
      </c>
      <c r="N62" s="20" t="n">
        <v>0</v>
      </c>
      <c r="O62" s="18" t="n">
        <v>0</v>
      </c>
      <c r="P62" s="20" t="n">
        <v>0</v>
      </c>
      <c r="Q62" s="18" t="n">
        <v>0.42727689</v>
      </c>
      <c r="R62" s="20" t="n">
        <v>0.29966525</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(2171.0/B67*100)</f>
        <v/>
      </c>
      <c r="D67" s="19" t="n">
        <v>600</v>
      </c>
      <c r="E67" s="18" t="n">
        <v>61.23126543</v>
      </c>
      <c r="F67" s="20" t="n">
        <v>2.26905069</v>
      </c>
      <c r="G67" s="18" t="n">
        <v>33.49193682</v>
      </c>
      <c r="H67" s="20" t="n">
        <v>2.19898013</v>
      </c>
      <c r="I67" s="18" t="n">
        <v>0</v>
      </c>
      <c r="J67" s="20" t="n">
        <v>0</v>
      </c>
      <c r="K67" s="18" t="n">
        <v>2.27561936</v>
      </c>
      <c r="L67" s="20" t="n">
        <v>0.62218046</v>
      </c>
      <c r="M67" s="18" t="n">
        <v>0</v>
      </c>
      <c r="N67" s="20" t="n">
        <v>0</v>
      </c>
      <c r="O67" s="18" t="n">
        <v>0</v>
      </c>
      <c r="P67" s="20" t="n">
        <v>0</v>
      </c>
      <c r="Q67" s="18" t="n">
        <v>3.00117839</v>
      </c>
      <c r="R67" s="20" t="n">
        <v>0.64260627</v>
      </c>
    </row>
    <row r="68" spans="1:18">
      <c r="A68" s="15" t="s">
        <v>628</v>
      </c>
      <c r="B68" s="17" t="n">
        <v>3460</v>
      </c>
      <c r="C68" s="18">
        <f>(2863.0/B68*100)</f>
        <v/>
      </c>
      <c r="D68" s="19" t="n">
        <v>597</v>
      </c>
      <c r="E68" s="18" t="n">
        <v>66.51193029</v>
      </c>
      <c r="F68" s="20" t="n">
        <v>1.83809627</v>
      </c>
      <c r="G68" s="18" t="n">
        <v>30.77457246</v>
      </c>
      <c r="H68" s="20" t="n">
        <v>1.82702942</v>
      </c>
      <c r="I68" s="18" t="n">
        <v>0</v>
      </c>
      <c r="J68" s="20" t="n">
        <v>0</v>
      </c>
      <c r="K68" s="18" t="n">
        <v>1.05527867</v>
      </c>
      <c r="L68" s="20" t="n">
        <v>0.43793979</v>
      </c>
      <c r="M68" s="18" t="n">
        <v>0</v>
      </c>
      <c r="N68" s="20" t="n">
        <v>0</v>
      </c>
      <c r="O68" s="18" t="n">
        <v>0</v>
      </c>
      <c r="P68" s="20" t="n">
        <v>0</v>
      </c>
      <c r="Q68" s="18" t="n">
        <v>1.65821857</v>
      </c>
      <c r="R68" s="20" t="n">
        <v>0.52450182</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(4679.0/B70*100)</f>
        <v/>
      </c>
      <c r="D70" s="19" t="n">
        <v>1355</v>
      </c>
      <c r="E70" s="18" t="n">
        <v>56.17464877</v>
      </c>
      <c r="F70" s="20" t="n">
        <v>1.27808302</v>
      </c>
      <c r="G70" s="18" t="n">
        <v>39.17705367</v>
      </c>
      <c r="H70" s="20" t="n">
        <v>1.12694236</v>
      </c>
      <c r="I70" s="18" t="n">
        <v>0</v>
      </c>
      <c r="J70" s="20" t="n">
        <v>0</v>
      </c>
      <c r="K70" s="18" t="n">
        <v>4.09959882</v>
      </c>
      <c r="L70" s="20" t="n">
        <v>0.51324861</v>
      </c>
      <c r="M70" s="18" t="n">
        <v>0</v>
      </c>
      <c r="N70" s="20" t="n">
        <v>0</v>
      </c>
      <c r="O70" s="18" t="n">
        <v>0</v>
      </c>
      <c r="P70" s="20" t="n">
        <v>0</v>
      </c>
      <c r="Q70" s="18" t="n">
        <v>0.54869874</v>
      </c>
      <c r="R70" s="20" t="n">
        <v>0.2097434</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(2454.0/B72*100)</f>
        <v/>
      </c>
      <c r="D72" s="19" t="n">
        <v>653</v>
      </c>
      <c r="E72" s="18" t="n">
        <v>42.90795119</v>
      </c>
      <c r="F72" s="20" t="n">
        <v>2.09810895</v>
      </c>
      <c r="G72" s="18" t="n">
        <v>55.42775114</v>
      </c>
      <c r="H72" s="20" t="n">
        <v>2.24564201</v>
      </c>
      <c r="I72" s="18" t="n">
        <v>0</v>
      </c>
      <c r="J72" s="20" t="n">
        <v>0</v>
      </c>
      <c r="K72" s="18" t="n">
        <v>1.00187889</v>
      </c>
      <c r="L72" s="20" t="n">
        <v>0.34230101</v>
      </c>
      <c r="M72" s="18" t="n">
        <v>0</v>
      </c>
      <c r="N72" s="20" t="n">
        <v>0</v>
      </c>
      <c r="O72" s="18" t="n">
        <v>0</v>
      </c>
      <c r="P72" s="20" t="n">
        <v>0</v>
      </c>
      <c r="Q72" s="18" t="n">
        <v>0.66241878</v>
      </c>
      <c r="R72" s="20" t="n">
        <v>0.28194059</v>
      </c>
    </row>
    <row r="73" spans="1:18">
      <c r="A73" s="15" t="s">
        <v>633</v>
      </c>
      <c r="B73" s="17" t="n">
        <v>2973</v>
      </c>
      <c r="C73" s="18">
        <f>(2335.0/B73*100)</f>
        <v/>
      </c>
      <c r="D73" s="19" t="n">
        <v>638</v>
      </c>
      <c r="E73" s="18" t="n">
        <v>31.60871463</v>
      </c>
      <c r="F73" s="20" t="n">
        <v>1.96454529</v>
      </c>
      <c r="G73" s="18" t="n">
        <v>67.77749163</v>
      </c>
      <c r="H73" s="20" t="n">
        <v>1.91270197</v>
      </c>
      <c r="I73" s="18" t="n">
        <v>0</v>
      </c>
      <c r="J73" s="20" t="n">
        <v>0</v>
      </c>
      <c r="K73" s="18" t="n">
        <v>0.30339302</v>
      </c>
      <c r="L73" s="20" t="n">
        <v>0.21497478</v>
      </c>
      <c r="M73" s="18" t="n">
        <v>0</v>
      </c>
      <c r="N73" s="20" t="n">
        <v>0</v>
      </c>
      <c r="O73" s="18" t="n">
        <v>0</v>
      </c>
      <c r="P73" s="20" t="n">
        <v>0</v>
      </c>
      <c r="Q73" s="18" t="n">
        <v>0.31040071</v>
      </c>
      <c r="R73" s="20" t="n">
        <v>0.21115352</v>
      </c>
    </row>
    <row r="74" spans="1:18">
      <c r="A74" s="15" t="s">
        <v>634</v>
      </c>
      <c r="B74" s="17" t="n">
        <v>3819</v>
      </c>
      <c r="C74" s="18">
        <f>(3014.0/B74*100)</f>
        <v/>
      </c>
      <c r="D74" s="19" t="n">
        <v>805</v>
      </c>
      <c r="E74" s="18" t="n">
        <v>37.74612637</v>
      </c>
      <c r="F74" s="20" t="n">
        <v>2.09482104</v>
      </c>
      <c r="G74" s="18" t="n">
        <v>61.95386172</v>
      </c>
      <c r="H74" s="20" t="n">
        <v>2.15325769</v>
      </c>
      <c r="I74" s="18" t="n">
        <v>0</v>
      </c>
      <c r="J74" s="20" t="n">
        <v>0</v>
      </c>
      <c r="K74" s="18" t="n">
        <v>0.30001191</v>
      </c>
      <c r="L74" s="20" t="n">
        <v>0.2912521</v>
      </c>
      <c r="M74" s="18" t="n">
        <v>0</v>
      </c>
      <c r="N74" s="20" t="n">
        <v>0</v>
      </c>
      <c r="O74" s="18" t="n">
        <v>0</v>
      </c>
      <c r="P74" s="20" t="n">
        <v>0</v>
      </c>
      <c r="Q74" s="18" t="n">
        <v>0</v>
      </c>
      <c r="R74" s="20" t="n">
        <v>0</v>
      </c>
    </row>
    <row r="75" spans="1:18">
      <c r="A75" s="15" t="s">
        <v>635</v>
      </c>
      <c r="B75" s="17" t="n">
        <v>4652</v>
      </c>
      <c r="C75" s="18">
        <f>(3696.0/B75*100)</f>
        <v/>
      </c>
      <c r="D75" s="19" t="n">
        <v>956</v>
      </c>
      <c r="E75" s="18" t="n">
        <v>51.60156181</v>
      </c>
      <c r="F75" s="20" t="n">
        <v>2.16876823</v>
      </c>
      <c r="G75" s="18" t="n">
        <v>47.46718981</v>
      </c>
      <c r="H75" s="20" t="n">
        <v>2.14986964</v>
      </c>
      <c r="I75" s="18" t="n">
        <v>0</v>
      </c>
      <c r="J75" s="20" t="n">
        <v>0</v>
      </c>
      <c r="K75" s="18" t="n">
        <v>0.29952353</v>
      </c>
      <c r="L75" s="20" t="n">
        <v>0.20499087</v>
      </c>
      <c r="M75" s="18" t="n">
        <v>0</v>
      </c>
      <c r="N75" s="20" t="n">
        <v>0</v>
      </c>
      <c r="O75" s="18" t="n">
        <v>0</v>
      </c>
      <c r="P75" s="20" t="n">
        <v>0</v>
      </c>
      <c r="Q75" s="18" t="n">
        <v>0.63172485</v>
      </c>
      <c r="R75" s="20" t="n">
        <v>0.37419975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(2403.0/B77*100)</f>
        <v/>
      </c>
      <c r="D77" s="19" t="n">
        <v>566</v>
      </c>
      <c r="E77" s="18" t="n">
        <v>61.31742956</v>
      </c>
      <c r="F77" s="20" t="n">
        <v>1.93573014</v>
      </c>
      <c r="G77" s="18" t="n">
        <v>29.46398702</v>
      </c>
      <c r="H77" s="20" t="n">
        <v>2.28836627</v>
      </c>
      <c r="I77" s="18" t="n">
        <v>0</v>
      </c>
      <c r="J77" s="20" t="n">
        <v>0</v>
      </c>
      <c r="K77" s="18" t="n">
        <v>6.81036307</v>
      </c>
      <c r="L77" s="20" t="n">
        <v>1.26562768</v>
      </c>
      <c r="M77" s="18" t="n">
        <v>0</v>
      </c>
      <c r="N77" s="20" t="n">
        <v>0</v>
      </c>
      <c r="O77" s="18" t="n">
        <v>0</v>
      </c>
      <c r="P77" s="20" t="n">
        <v>0</v>
      </c>
      <c r="Q77" s="18" t="n">
        <v>2.40822035</v>
      </c>
      <c r="R77" s="20" t="n">
        <v>0.64203207</v>
      </c>
    </row>
    <row r="78" spans="1:18">
      <c r="A78" s="15" t="s">
        <v>638</v>
      </c>
      <c r="B78" s="17" t="n">
        <v>7115</v>
      </c>
      <c r="C78" s="18">
        <f>(5542.0/B78*100)</f>
        <v/>
      </c>
      <c r="D78" s="19" t="n">
        <v>1573</v>
      </c>
      <c r="E78" s="18" t="n">
        <v>56.99582088</v>
      </c>
      <c r="F78" s="20" t="n">
        <v>1.96023772</v>
      </c>
      <c r="G78" s="18" t="n">
        <v>40.17076588</v>
      </c>
      <c r="H78" s="20" t="n">
        <v>1.98913594</v>
      </c>
      <c r="I78" s="18" t="n">
        <v>0</v>
      </c>
      <c r="J78" s="20" t="n">
        <v>0</v>
      </c>
      <c r="K78" s="18" t="n">
        <v>1.85979776</v>
      </c>
      <c r="L78" s="20" t="n">
        <v>0.37897426</v>
      </c>
      <c r="M78" s="18" t="n">
        <v>0</v>
      </c>
      <c r="N78" s="20" t="n">
        <v>0</v>
      </c>
      <c r="O78" s="18" t="n">
        <v>0</v>
      </c>
      <c r="P78" s="20" t="n">
        <v>0</v>
      </c>
      <c r="Q78" s="18" t="n">
        <v>0.97361547</v>
      </c>
      <c r="R78" s="20" t="n">
        <v>0.25011226</v>
      </c>
    </row>
    <row r="79" spans="1:18">
      <c r="A79" s="15" t="s">
        <v>639</v>
      </c>
      <c r="B79" s="17" t="n">
        <v>3154</v>
      </c>
      <c r="C79" s="18">
        <f>(2482.0/B79*100)</f>
        <v/>
      </c>
      <c r="D79" s="19" t="n">
        <v>672</v>
      </c>
      <c r="E79" s="18" t="n">
        <v>59.18536508</v>
      </c>
      <c r="F79" s="20" t="n">
        <v>1.77397124</v>
      </c>
      <c r="G79" s="18" t="n">
        <v>35.24610457</v>
      </c>
      <c r="H79" s="20" t="n">
        <v>1.81499372</v>
      </c>
      <c r="I79" s="18" t="n">
        <v>0</v>
      </c>
      <c r="J79" s="20" t="n">
        <v>0</v>
      </c>
      <c r="K79" s="18" t="n">
        <v>2.88621102</v>
      </c>
      <c r="L79" s="20" t="n">
        <v>0.6225092800000001</v>
      </c>
      <c r="M79" s="18" t="n">
        <v>0</v>
      </c>
      <c r="N79" s="20" t="n">
        <v>0</v>
      </c>
      <c r="O79" s="18" t="n">
        <v>0</v>
      </c>
      <c r="P79" s="20" t="n">
        <v>0</v>
      </c>
      <c r="Q79" s="18" t="n">
        <v>2.68231934</v>
      </c>
      <c r="R79" s="20" t="n">
        <v>0.65410936</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(12532.0/B82*100)</f>
        <v/>
      </c>
      <c r="D82" s="19" t="n">
        <v>3429</v>
      </c>
      <c r="E82" s="18" t="n">
        <v>57.43505879</v>
      </c>
      <c r="F82" s="20" t="n">
        <v>1.33775781</v>
      </c>
      <c r="G82" s="18" t="n">
        <v>40.4371657</v>
      </c>
      <c r="H82" s="20" t="n">
        <v>1.31526594</v>
      </c>
      <c r="I82" s="18" t="n">
        <v>0</v>
      </c>
      <c r="J82" s="20" t="n">
        <v>0</v>
      </c>
      <c r="K82" s="18" t="n">
        <v>1.14122884</v>
      </c>
      <c r="L82" s="20" t="n">
        <v>0.26302129</v>
      </c>
      <c r="M82" s="18" t="n">
        <v>0</v>
      </c>
      <c r="N82" s="20" t="n">
        <v>0</v>
      </c>
      <c r="O82" s="18" t="n">
        <v>0</v>
      </c>
      <c r="P82" s="20" t="n">
        <v>0</v>
      </c>
      <c r="Q82" s="18" t="n">
        <v>0.98654666</v>
      </c>
      <c r="R82" s="20" t="n">
        <v>0.24845903</v>
      </c>
    </row>
    <row r="83" spans="1:18">
      <c r="A83" s="15" t="s">
        <v>643</v>
      </c>
      <c r="B83" s="17" t="n">
        <v>808</v>
      </c>
      <c r="C83" s="18">
        <f>(619.0/B83*100)</f>
        <v/>
      </c>
      <c r="D83" s="19" t="n">
        <v>189</v>
      </c>
      <c r="E83" s="18" t="n">
        <v>33.17374059</v>
      </c>
      <c r="F83" s="20" t="n">
        <v>3.794931</v>
      </c>
      <c r="G83" s="18" t="n">
        <v>66.82625941000001</v>
      </c>
      <c r="H83" s="20" t="n">
        <v>3.794931</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(719.0/B84*100)</f>
        <v/>
      </c>
      <c r="D84" s="19" t="n">
        <v>219</v>
      </c>
      <c r="E84" s="18" t="n">
        <v>48.79011325</v>
      </c>
      <c r="F84" s="20" t="n">
        <v>3.49010958</v>
      </c>
      <c r="G84" s="18" t="n">
        <v>50.66398219</v>
      </c>
      <c r="H84" s="20" t="n">
        <v>3.57217385</v>
      </c>
      <c r="I84" s="18" t="n">
        <v>0</v>
      </c>
      <c r="J84" s="20" t="n">
        <v>0</v>
      </c>
      <c r="K84" s="18" t="n">
        <v>0</v>
      </c>
      <c r="L84" s="20" t="n">
        <v>0</v>
      </c>
      <c r="M84" s="18" t="n">
        <v>0</v>
      </c>
      <c r="N84" s="20" t="n">
        <v>0</v>
      </c>
      <c r="O84" s="18" t="n">
        <v>0</v>
      </c>
      <c r="P84" s="20" t="n">
        <v>0</v>
      </c>
      <c r="Q84" s="18" t="n">
        <v>0.54590456</v>
      </c>
      <c r="R84" s="20" t="n">
        <v>0.51958499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(5678.0/B7*100)</f>
        <v/>
      </c>
      <c r="D7" s="19" t="n">
        <v>1485</v>
      </c>
      <c r="E7" s="18" t="n">
        <v>28.64293541</v>
      </c>
      <c r="F7" s="20" t="n">
        <v>1.31249303</v>
      </c>
      <c r="G7" s="18" t="n">
        <v>69.43730232</v>
      </c>
      <c r="H7" s="20" t="n">
        <v>1.32137491</v>
      </c>
      <c r="I7" s="18" t="n">
        <v>0</v>
      </c>
      <c r="J7" s="20" t="n">
        <v>0</v>
      </c>
      <c r="K7" s="18" t="n">
        <v>1.45249651</v>
      </c>
      <c r="L7" s="20" t="n">
        <v>0.35742414</v>
      </c>
      <c r="M7" s="18" t="n">
        <v>0</v>
      </c>
      <c r="N7" s="20" t="n">
        <v>0</v>
      </c>
      <c r="O7" s="18" t="n">
        <v>0</v>
      </c>
      <c r="P7" s="20" t="n">
        <v>0</v>
      </c>
      <c r="Q7" s="18" t="n">
        <v>0.46726576</v>
      </c>
      <c r="R7" s="20" t="n">
        <v>0.19934871</v>
      </c>
    </row>
    <row r="8" spans="1:18">
      <c r="A8" s="15" t="s">
        <v>566</v>
      </c>
      <c r="B8" s="17" t="n">
        <v>3443</v>
      </c>
      <c r="C8" s="18">
        <f>(2682.0/B8*100)</f>
        <v/>
      </c>
      <c r="D8" s="19" t="n">
        <v>761</v>
      </c>
      <c r="E8" s="18" t="n">
        <v>38.35953913</v>
      </c>
      <c r="F8" s="20" t="n">
        <v>1.98889219</v>
      </c>
      <c r="G8" s="18" t="n">
        <v>58.86146661</v>
      </c>
      <c r="H8" s="20" t="n">
        <v>2.03063287</v>
      </c>
      <c r="I8" s="18" t="n">
        <v>0</v>
      </c>
      <c r="J8" s="20" t="n">
        <v>0</v>
      </c>
      <c r="K8" s="18" t="n">
        <v>1.36469169</v>
      </c>
      <c r="L8" s="20" t="n">
        <v>0.47791417</v>
      </c>
      <c r="M8" s="18" t="n">
        <v>0</v>
      </c>
      <c r="N8" s="20" t="n">
        <v>0</v>
      </c>
      <c r="O8" s="18" t="n">
        <v>0</v>
      </c>
      <c r="P8" s="20" t="n">
        <v>0</v>
      </c>
      <c r="Q8" s="18" t="n">
        <v>1.41430256</v>
      </c>
      <c r="R8" s="20" t="n">
        <v>0.38863925</v>
      </c>
    </row>
    <row r="9" spans="1:18">
      <c r="A9" s="15" t="s">
        <v>567</v>
      </c>
      <c r="B9" s="17" t="n">
        <v>4752</v>
      </c>
      <c r="C9" s="18">
        <f>(3755.0/B9*100)</f>
        <v/>
      </c>
      <c r="D9" s="19" t="n">
        <v>997</v>
      </c>
      <c r="E9" s="18" t="n">
        <v>33.0351458</v>
      </c>
      <c r="F9" s="20" t="n">
        <v>1.70524915</v>
      </c>
      <c r="G9" s="18" t="n">
        <v>62.65999659</v>
      </c>
      <c r="H9" s="20" t="n">
        <v>1.53733873</v>
      </c>
      <c r="I9" s="18" t="n">
        <v>0</v>
      </c>
      <c r="J9" s="20" t="n">
        <v>0</v>
      </c>
      <c r="K9" s="18" t="n">
        <v>2.48514409</v>
      </c>
      <c r="L9" s="20" t="n">
        <v>0.64110866</v>
      </c>
      <c r="M9" s="18" t="n">
        <v>0</v>
      </c>
      <c r="N9" s="20" t="n">
        <v>0</v>
      </c>
      <c r="O9" s="18" t="n">
        <v>0</v>
      </c>
      <c r="P9" s="20" t="n">
        <v>0</v>
      </c>
      <c r="Q9" s="18" t="n">
        <v>1.81971352</v>
      </c>
      <c r="R9" s="20" t="n">
        <v>0.4063148</v>
      </c>
    </row>
    <row r="10" spans="1:18">
      <c r="A10" s="15" t="s">
        <v>568</v>
      </c>
      <c r="B10" s="17" t="n">
        <v>10022</v>
      </c>
      <c r="C10" s="18">
        <f>(7844.0/B10*100)</f>
        <v/>
      </c>
      <c r="D10" s="19" t="n">
        <v>2178</v>
      </c>
      <c r="E10" s="18" t="n">
        <v>27.19547344</v>
      </c>
      <c r="F10" s="20" t="n">
        <v>1.51083065</v>
      </c>
      <c r="G10" s="18" t="n">
        <v>70.59944685000001</v>
      </c>
      <c r="H10" s="20" t="n">
        <v>1.53534012</v>
      </c>
      <c r="I10" s="18" t="n">
        <v>0</v>
      </c>
      <c r="J10" s="20" t="n">
        <v>0</v>
      </c>
      <c r="K10" s="18" t="n">
        <v>1.46003182</v>
      </c>
      <c r="L10" s="20" t="n">
        <v>0.35956933</v>
      </c>
      <c r="M10" s="18" t="n">
        <v>0</v>
      </c>
      <c r="N10" s="20" t="n">
        <v>0</v>
      </c>
      <c r="O10" s="18" t="n">
        <v>0</v>
      </c>
      <c r="P10" s="20" t="n">
        <v>0</v>
      </c>
      <c r="Q10" s="18" t="n">
        <v>0.74504789</v>
      </c>
      <c r="R10" s="20" t="n">
        <v>0.23836474</v>
      </c>
    </row>
    <row r="11" spans="1:18">
      <c r="A11" s="15" t="s">
        <v>569</v>
      </c>
      <c r="B11" s="17" t="n">
        <v>3500</v>
      </c>
      <c r="C11" s="18">
        <f>(2749.0/B11*100)</f>
        <v/>
      </c>
      <c r="D11" s="19" t="n">
        <v>751</v>
      </c>
      <c r="E11" s="18" t="n">
        <v>44.50235762</v>
      </c>
      <c r="F11" s="20" t="n">
        <v>1.77253204</v>
      </c>
      <c r="G11" s="18" t="n">
        <v>51.4783377</v>
      </c>
      <c r="H11" s="20" t="n">
        <v>1.81211304</v>
      </c>
      <c r="I11" s="18" t="n">
        <v>0</v>
      </c>
      <c r="J11" s="20" t="n">
        <v>0</v>
      </c>
      <c r="K11" s="18" t="n">
        <v>2.97255048</v>
      </c>
      <c r="L11" s="20" t="n">
        <v>0.6136736699999999</v>
      </c>
      <c r="M11" s="18" t="n">
        <v>0</v>
      </c>
      <c r="N11" s="20" t="n">
        <v>0</v>
      </c>
      <c r="O11" s="18" t="n">
        <v>0</v>
      </c>
      <c r="P11" s="20" t="n">
        <v>0</v>
      </c>
      <c r="Q11" s="18" t="n">
        <v>1.04675419</v>
      </c>
      <c r="R11" s="20" t="n">
        <v>0.32406434</v>
      </c>
    </row>
    <row r="12" spans="1:18">
      <c r="A12" s="15" t="s">
        <v>570</v>
      </c>
      <c r="B12" s="17" t="n">
        <v>3422</v>
      </c>
      <c r="C12" s="18">
        <f>(2715.0/B12*100)</f>
        <v/>
      </c>
      <c r="D12" s="19" t="n">
        <v>707</v>
      </c>
      <c r="E12" s="18" t="n">
        <v>30.34764895</v>
      </c>
      <c r="F12" s="20" t="n">
        <v>1.79641198</v>
      </c>
      <c r="G12" s="18" t="n">
        <v>67.43427767</v>
      </c>
      <c r="H12" s="20" t="n">
        <v>1.68938473</v>
      </c>
      <c r="I12" s="18" t="n">
        <v>0</v>
      </c>
      <c r="J12" s="20" t="n">
        <v>0</v>
      </c>
      <c r="K12" s="18" t="n">
        <v>0.8365306300000001</v>
      </c>
      <c r="L12" s="20" t="n">
        <v>0.33221019</v>
      </c>
      <c r="M12" s="18" t="n">
        <v>0</v>
      </c>
      <c r="N12" s="20" t="n">
        <v>0</v>
      </c>
      <c r="O12" s="18" t="n">
        <v>0</v>
      </c>
      <c r="P12" s="20" t="n">
        <v>0</v>
      </c>
      <c r="Q12" s="18" t="n">
        <v>1.38154275</v>
      </c>
      <c r="R12" s="20" t="n">
        <v>0.605366</v>
      </c>
    </row>
    <row r="13" spans="1:18">
      <c r="A13" s="15" t="s">
        <v>571</v>
      </c>
      <c r="B13" s="17" t="n">
        <v>3602</v>
      </c>
      <c r="C13" s="18">
        <f>(2925.0/B13*100)</f>
        <v/>
      </c>
      <c r="D13" s="19" t="n">
        <v>677</v>
      </c>
      <c r="E13" s="18" t="n">
        <v>28.84218808</v>
      </c>
      <c r="F13" s="20" t="n">
        <v>2.3725865</v>
      </c>
      <c r="G13" s="18" t="n">
        <v>69.32921411</v>
      </c>
      <c r="H13" s="20" t="n">
        <v>2.45237472</v>
      </c>
      <c r="I13" s="18" t="n">
        <v>0</v>
      </c>
      <c r="J13" s="20" t="n">
        <v>0</v>
      </c>
      <c r="K13" s="18" t="n">
        <v>1.79428796</v>
      </c>
      <c r="L13" s="20" t="n">
        <v>0.5537145</v>
      </c>
      <c r="M13" s="18" t="n">
        <v>0</v>
      </c>
      <c r="N13" s="20" t="n">
        <v>0</v>
      </c>
      <c r="O13" s="18" t="n">
        <v>0</v>
      </c>
      <c r="P13" s="20" t="n">
        <v>0</v>
      </c>
      <c r="Q13" s="18" t="n">
        <v>0.03430985</v>
      </c>
      <c r="R13" s="20" t="n">
        <v>0.03477262</v>
      </c>
    </row>
    <row r="14" spans="1:18">
      <c r="A14" s="15" t="s">
        <v>572</v>
      </c>
      <c r="B14" s="17" t="n">
        <v>2788</v>
      </c>
      <c r="C14" s="18">
        <f>(2165.0/B14*100)</f>
        <v/>
      </c>
      <c r="D14" s="19" t="n">
        <v>623</v>
      </c>
      <c r="E14" s="18" t="n">
        <v>20.51038319</v>
      </c>
      <c r="F14" s="20" t="n">
        <v>1.78244634</v>
      </c>
      <c r="G14" s="18" t="n">
        <v>78.53897281</v>
      </c>
      <c r="H14" s="20" t="n">
        <v>1.84253784</v>
      </c>
      <c r="I14" s="18" t="n">
        <v>0</v>
      </c>
      <c r="J14" s="20" t="n">
        <v>0</v>
      </c>
      <c r="K14" s="18" t="n">
        <v>0.8265388299999999</v>
      </c>
      <c r="L14" s="20" t="n">
        <v>0.34263921</v>
      </c>
      <c r="M14" s="18" t="n">
        <v>0</v>
      </c>
      <c r="N14" s="20" t="n">
        <v>0</v>
      </c>
      <c r="O14" s="18" t="n">
        <v>0</v>
      </c>
      <c r="P14" s="20" t="n">
        <v>0</v>
      </c>
      <c r="Q14" s="18" t="n">
        <v>0.12410517</v>
      </c>
      <c r="R14" s="20" t="n">
        <v>0.12236564</v>
      </c>
    </row>
    <row r="15" spans="1:18">
      <c r="A15" s="15" t="s">
        <v>573</v>
      </c>
      <c r="B15" s="17" t="n">
        <v>2863</v>
      </c>
      <c r="C15" s="18">
        <f>(2235.0/B15*100)</f>
        <v/>
      </c>
      <c r="D15" s="19" t="n">
        <v>628</v>
      </c>
      <c r="E15" s="18" t="n">
        <v>19.62826236</v>
      </c>
      <c r="F15" s="20" t="n">
        <v>1.71583382</v>
      </c>
      <c r="G15" s="18" t="n">
        <v>78.84756177</v>
      </c>
      <c r="H15" s="20" t="n">
        <v>1.7524787</v>
      </c>
      <c r="I15" s="18" t="n">
        <v>0</v>
      </c>
      <c r="J15" s="20" t="n">
        <v>0</v>
      </c>
      <c r="K15" s="18" t="n">
        <v>0.61511234</v>
      </c>
      <c r="L15" s="20" t="n">
        <v>0.31202647</v>
      </c>
      <c r="M15" s="18" t="n">
        <v>0</v>
      </c>
      <c r="N15" s="20" t="n">
        <v>0</v>
      </c>
      <c r="O15" s="18" t="n">
        <v>0</v>
      </c>
      <c r="P15" s="20" t="n">
        <v>0</v>
      </c>
      <c r="Q15" s="18" t="n">
        <v>0.90906354</v>
      </c>
      <c r="R15" s="20" t="n">
        <v>0.37172239</v>
      </c>
    </row>
    <row r="16" spans="1:18">
      <c r="A16" s="15" t="s">
        <v>574</v>
      </c>
      <c r="B16" s="17" t="n">
        <v>3111</v>
      </c>
      <c r="C16" s="18">
        <f>(2451.0/B16*100)</f>
        <v/>
      </c>
      <c r="D16" s="19" t="n">
        <v>660</v>
      </c>
      <c r="E16" s="18" t="n">
        <v>31.54264753</v>
      </c>
      <c r="F16" s="20" t="n">
        <v>1.79123745</v>
      </c>
      <c r="G16" s="18" t="n">
        <v>63.17299531</v>
      </c>
      <c r="H16" s="20" t="n">
        <v>1.77354555</v>
      </c>
      <c r="I16" s="18" t="n">
        <v>0</v>
      </c>
      <c r="J16" s="20" t="n">
        <v>0</v>
      </c>
      <c r="K16" s="18" t="n">
        <v>3.97280913</v>
      </c>
      <c r="L16" s="20" t="n">
        <v>0.81671582</v>
      </c>
      <c r="M16" s="18" t="n">
        <v>0</v>
      </c>
      <c r="N16" s="20" t="n">
        <v>0</v>
      </c>
      <c r="O16" s="18" t="n">
        <v>0</v>
      </c>
      <c r="P16" s="20" t="n">
        <v>0</v>
      </c>
      <c r="Q16" s="18" t="n">
        <v>1.31154803</v>
      </c>
      <c r="R16" s="20" t="n">
        <v>0.46414358</v>
      </c>
    </row>
    <row r="17" spans="1:18">
      <c r="A17" s="15" t="s">
        <v>575</v>
      </c>
      <c r="B17" s="17" t="n">
        <v>3197</v>
      </c>
      <c r="C17" s="18">
        <f>(2559.0/B17*100)</f>
        <v/>
      </c>
      <c r="D17" s="19" t="n">
        <v>638</v>
      </c>
      <c r="E17" s="18" t="n">
        <v>29.34472514</v>
      </c>
      <c r="F17" s="20" t="n">
        <v>2.11491675</v>
      </c>
      <c r="G17" s="18" t="n">
        <v>69.21625363</v>
      </c>
      <c r="H17" s="20" t="n">
        <v>2.1346995</v>
      </c>
      <c r="I17" s="18" t="n">
        <v>0</v>
      </c>
      <c r="J17" s="20" t="n">
        <v>0</v>
      </c>
      <c r="K17" s="18" t="n">
        <v>0.89499171</v>
      </c>
      <c r="L17" s="20" t="n">
        <v>0.36883258</v>
      </c>
      <c r="M17" s="18" t="n">
        <v>0</v>
      </c>
      <c r="N17" s="20" t="n">
        <v>0</v>
      </c>
      <c r="O17" s="18" t="n">
        <v>0</v>
      </c>
      <c r="P17" s="20" t="n">
        <v>0</v>
      </c>
      <c r="Q17" s="18" t="n">
        <v>0.54402952</v>
      </c>
      <c r="R17" s="20" t="n">
        <v>0.27814789</v>
      </c>
    </row>
    <row r="18" spans="1:18">
      <c r="A18" s="15" t="s">
        <v>576</v>
      </c>
      <c r="B18" s="17" t="n">
        <v>2706</v>
      </c>
      <c r="C18" s="18">
        <f>(2115.0/B18*100)</f>
        <v/>
      </c>
      <c r="D18" s="19" t="n">
        <v>591</v>
      </c>
      <c r="E18" s="18" t="n">
        <v>37.86403912</v>
      </c>
      <c r="F18" s="20" t="n">
        <v>2.2351924</v>
      </c>
      <c r="G18" s="18" t="n">
        <v>58.45387567</v>
      </c>
      <c r="H18" s="20" t="n">
        <v>2.12322893</v>
      </c>
      <c r="I18" s="18" t="n">
        <v>0</v>
      </c>
      <c r="J18" s="20" t="n">
        <v>0</v>
      </c>
      <c r="K18" s="18" t="n">
        <v>1.98404962</v>
      </c>
      <c r="L18" s="20" t="n">
        <v>0.65812452</v>
      </c>
      <c r="M18" s="18" t="n">
        <v>0</v>
      </c>
      <c r="N18" s="20" t="n">
        <v>0</v>
      </c>
      <c r="O18" s="18" t="n">
        <v>0</v>
      </c>
      <c r="P18" s="20" t="n">
        <v>0</v>
      </c>
      <c r="Q18" s="18" t="n">
        <v>1.69803559</v>
      </c>
      <c r="R18" s="20" t="n">
        <v>0.4846457</v>
      </c>
    </row>
    <row r="19" spans="1:18">
      <c r="A19" s="15" t="s">
        <v>577</v>
      </c>
      <c r="B19" s="17" t="n">
        <v>2850</v>
      </c>
      <c r="C19" s="18">
        <f>(2207.0/B19*100)</f>
        <v/>
      </c>
      <c r="D19" s="19" t="n">
        <v>643</v>
      </c>
      <c r="E19" s="18" t="n">
        <v>31.93373094</v>
      </c>
      <c r="F19" s="20" t="n">
        <v>1.90608277</v>
      </c>
      <c r="G19" s="18" t="n">
        <v>66.43542259</v>
      </c>
      <c r="H19" s="20" t="n">
        <v>1.92905714</v>
      </c>
      <c r="I19" s="18" t="n">
        <v>0</v>
      </c>
      <c r="J19" s="20" t="n">
        <v>0</v>
      </c>
      <c r="K19" s="18" t="n">
        <v>0.3082749</v>
      </c>
      <c r="L19" s="20" t="n">
        <v>0.20768983</v>
      </c>
      <c r="M19" s="18" t="n">
        <v>0</v>
      </c>
      <c r="N19" s="20" t="n">
        <v>0</v>
      </c>
      <c r="O19" s="18" t="n">
        <v>0</v>
      </c>
      <c r="P19" s="20" t="n">
        <v>0</v>
      </c>
      <c r="Q19" s="18" t="n">
        <v>1.32257157</v>
      </c>
      <c r="R19" s="20" t="n">
        <v>0.38818379</v>
      </c>
    </row>
    <row r="20" spans="1:18">
      <c r="A20" s="15" t="s">
        <v>578</v>
      </c>
      <c r="B20" s="17" t="n">
        <v>1741</v>
      </c>
      <c r="C20" s="18">
        <f>(1378.0/B20*100)</f>
        <v/>
      </c>
      <c r="D20" s="19" t="n">
        <v>363</v>
      </c>
      <c r="E20" s="18" t="n">
        <v>32.39995414</v>
      </c>
      <c r="F20" s="20" t="n">
        <v>2.43419288</v>
      </c>
      <c r="G20" s="18" t="n">
        <v>64.17020342000001</v>
      </c>
      <c r="H20" s="20" t="n">
        <v>2.37653661</v>
      </c>
      <c r="I20" s="18" t="n">
        <v>0</v>
      </c>
      <c r="J20" s="20" t="n">
        <v>0</v>
      </c>
      <c r="K20" s="18" t="n">
        <v>1.52948835</v>
      </c>
      <c r="L20" s="20" t="n">
        <v>0.61404227</v>
      </c>
      <c r="M20" s="18" t="n">
        <v>0</v>
      </c>
      <c r="N20" s="20" t="n">
        <v>0</v>
      </c>
      <c r="O20" s="18" t="n">
        <v>0</v>
      </c>
      <c r="P20" s="20" t="n">
        <v>0</v>
      </c>
      <c r="Q20" s="18" t="n">
        <v>1.90035409</v>
      </c>
      <c r="R20" s="20" t="n">
        <v>0.71100149</v>
      </c>
    </row>
    <row r="21" spans="1:18">
      <c r="A21" s="15" t="s">
        <v>579</v>
      </c>
      <c r="B21" s="17" t="n">
        <v>2833</v>
      </c>
      <c r="C21" s="18">
        <f>(2240.0/B21*100)</f>
        <v/>
      </c>
      <c r="D21" s="19" t="n">
        <v>593</v>
      </c>
      <c r="E21" s="18" t="n">
        <v>33.44397815</v>
      </c>
      <c r="F21" s="20" t="n">
        <v>2.03576322</v>
      </c>
      <c r="G21" s="18" t="n">
        <v>65.23635016</v>
      </c>
      <c r="H21" s="20" t="n">
        <v>1.98917781</v>
      </c>
      <c r="I21" s="18" t="n">
        <v>0</v>
      </c>
      <c r="J21" s="20" t="n">
        <v>0</v>
      </c>
      <c r="K21" s="18" t="n">
        <v>0.81387781</v>
      </c>
      <c r="L21" s="20" t="n">
        <v>0.35725812</v>
      </c>
      <c r="M21" s="18" t="n">
        <v>0</v>
      </c>
      <c r="N21" s="20" t="n">
        <v>0</v>
      </c>
      <c r="O21" s="18" t="n">
        <v>0</v>
      </c>
      <c r="P21" s="20" t="n">
        <v>0</v>
      </c>
      <c r="Q21" s="18" t="n">
        <v>0.50579389</v>
      </c>
      <c r="R21" s="20" t="n">
        <v>0.2673201</v>
      </c>
    </row>
    <row r="22" spans="1:18">
      <c r="A22" s="15" t="s">
        <v>580</v>
      </c>
      <c r="B22" s="17" t="n">
        <v>3667</v>
      </c>
      <c r="C22" s="18">
        <f>(2898.0/B22*100)</f>
        <v/>
      </c>
      <c r="D22" s="19" t="n">
        <v>769</v>
      </c>
      <c r="E22" s="18" t="n">
        <v>35.52529844</v>
      </c>
      <c r="F22" s="20" t="n">
        <v>2.16358656</v>
      </c>
      <c r="G22" s="18" t="n">
        <v>60.13943467</v>
      </c>
      <c r="H22" s="20" t="n">
        <v>2.00036285</v>
      </c>
      <c r="I22" s="18" t="n">
        <v>0</v>
      </c>
      <c r="J22" s="20" t="n">
        <v>0</v>
      </c>
      <c r="K22" s="18" t="n">
        <v>2.72729619</v>
      </c>
      <c r="L22" s="20" t="n">
        <v>0.67352031</v>
      </c>
      <c r="M22" s="18" t="n">
        <v>0</v>
      </c>
      <c r="N22" s="20" t="n">
        <v>0</v>
      </c>
      <c r="O22" s="18" t="n">
        <v>0</v>
      </c>
      <c r="P22" s="20" t="n">
        <v>0</v>
      </c>
      <c r="Q22" s="18" t="n">
        <v>1.6079707</v>
      </c>
      <c r="R22" s="20" t="n">
        <v>0.63815811</v>
      </c>
    </row>
    <row r="23" spans="1:18">
      <c r="A23" s="15" t="s">
        <v>581</v>
      </c>
      <c r="B23" s="17" t="n">
        <v>5792</v>
      </c>
      <c r="C23" s="18">
        <f>(4504.0/B23*100)</f>
        <v/>
      </c>
      <c r="D23" s="19" t="n">
        <v>1288</v>
      </c>
      <c r="E23" s="18" t="n">
        <v>34.94135047</v>
      </c>
      <c r="F23" s="20" t="n">
        <v>1.72143807</v>
      </c>
      <c r="G23" s="18" t="n">
        <v>61.08443652</v>
      </c>
      <c r="H23" s="20" t="n">
        <v>1.79855036</v>
      </c>
      <c r="I23" s="18" t="n">
        <v>0</v>
      </c>
      <c r="J23" s="20" t="n">
        <v>0</v>
      </c>
      <c r="K23" s="18" t="n">
        <v>2.30457131</v>
      </c>
      <c r="L23" s="20" t="n">
        <v>0.70136919</v>
      </c>
      <c r="M23" s="18" t="n">
        <v>0</v>
      </c>
      <c r="N23" s="20" t="n">
        <v>0</v>
      </c>
      <c r="O23" s="18" t="n">
        <v>0</v>
      </c>
      <c r="P23" s="20" t="n">
        <v>0</v>
      </c>
      <c r="Q23" s="18" t="n">
        <v>1.66964171</v>
      </c>
      <c r="R23" s="20" t="n">
        <v>0.45410715</v>
      </c>
    </row>
    <row r="24" spans="1:18">
      <c r="A24" s="15" t="s">
        <v>582</v>
      </c>
      <c r="B24" s="17" t="n">
        <v>3309</v>
      </c>
      <c r="C24" s="18">
        <f>(2614.0/B24*100)</f>
        <v/>
      </c>
      <c r="D24" s="19" t="n">
        <v>695</v>
      </c>
      <c r="E24" s="18" t="n">
        <v>26.75569553</v>
      </c>
      <c r="F24" s="20" t="n">
        <v>1.6971889</v>
      </c>
      <c r="G24" s="18" t="n">
        <v>71.99963235</v>
      </c>
      <c r="H24" s="20" t="n">
        <v>1.74804783</v>
      </c>
      <c r="I24" s="18" t="n">
        <v>0</v>
      </c>
      <c r="J24" s="20" t="n">
        <v>0</v>
      </c>
      <c r="K24" s="18" t="n">
        <v>0.70649428</v>
      </c>
      <c r="L24" s="20" t="n">
        <v>0.31952736</v>
      </c>
      <c r="M24" s="18" t="n">
        <v>0</v>
      </c>
      <c r="N24" s="20" t="n">
        <v>0</v>
      </c>
      <c r="O24" s="18" t="n">
        <v>0</v>
      </c>
      <c r="P24" s="20" t="n">
        <v>0</v>
      </c>
      <c r="Q24" s="18" t="n">
        <v>0.53817784</v>
      </c>
      <c r="R24" s="20" t="n">
        <v>0.29026766</v>
      </c>
    </row>
    <row r="25" spans="1:18">
      <c r="A25" s="15" t="s">
        <v>583</v>
      </c>
      <c r="B25" s="17" t="n">
        <v>2669</v>
      </c>
      <c r="C25" s="18">
        <f>(2091.0/B25*100)</f>
        <v/>
      </c>
      <c r="D25" s="19" t="n">
        <v>578</v>
      </c>
      <c r="E25" s="18" t="n">
        <v>24.58563055</v>
      </c>
      <c r="F25" s="20" t="n">
        <v>1.43872181</v>
      </c>
      <c r="G25" s="18" t="n">
        <v>74.63490410999999</v>
      </c>
      <c r="H25" s="20" t="n">
        <v>1.51151236</v>
      </c>
      <c r="I25" s="18" t="n">
        <v>0</v>
      </c>
      <c r="J25" s="20" t="n">
        <v>0</v>
      </c>
      <c r="K25" s="18" t="n">
        <v>0</v>
      </c>
      <c r="L25" s="20" t="n">
        <v>0</v>
      </c>
      <c r="M25" s="18" t="n">
        <v>0</v>
      </c>
      <c r="N25" s="20" t="n">
        <v>0</v>
      </c>
      <c r="O25" s="18" t="n">
        <v>0</v>
      </c>
      <c r="P25" s="20" t="n">
        <v>0</v>
      </c>
      <c r="Q25" s="18" t="n">
        <v>0.77946534</v>
      </c>
      <c r="R25" s="20" t="n">
        <v>0.36156875</v>
      </c>
    </row>
    <row r="26" spans="1:18">
      <c r="A26" s="15" t="s">
        <v>584</v>
      </c>
      <c r="B26" s="17" t="n">
        <v>2419</v>
      </c>
      <c r="C26" s="18">
        <f>(1863.0/B26*100)</f>
        <v/>
      </c>
      <c r="D26" s="19" t="n">
        <v>556</v>
      </c>
      <c r="E26" s="18" t="n">
        <v>31.02191619</v>
      </c>
      <c r="F26" s="20" t="n">
        <v>2.04696658</v>
      </c>
      <c r="G26" s="18" t="n">
        <v>68.34474600999999</v>
      </c>
      <c r="H26" s="20" t="n">
        <v>2.00986944</v>
      </c>
      <c r="I26" s="18" t="n">
        <v>0</v>
      </c>
      <c r="J26" s="20" t="n">
        <v>0</v>
      </c>
      <c r="K26" s="18" t="n">
        <v>0.17824301</v>
      </c>
      <c r="L26" s="20" t="n">
        <v>0.17974663</v>
      </c>
      <c r="M26" s="18" t="n">
        <v>0</v>
      </c>
      <c r="N26" s="20" t="n">
        <v>0</v>
      </c>
      <c r="O26" s="18" t="n">
        <v>0</v>
      </c>
      <c r="P26" s="20" t="n">
        <v>0</v>
      </c>
      <c r="Q26" s="18" t="n">
        <v>0.45509479</v>
      </c>
      <c r="R26" s="20" t="n">
        <v>0.24204904</v>
      </c>
    </row>
    <row r="27" spans="1:18">
      <c r="A27" s="15" t="s">
        <v>585</v>
      </c>
      <c r="B27" s="17" t="n">
        <v>2683</v>
      </c>
      <c r="C27" s="18">
        <f>(2153.0/B27*100)</f>
        <v/>
      </c>
      <c r="D27" s="19" t="n">
        <v>530</v>
      </c>
      <c r="E27" s="18" t="n">
        <v>38.89560242</v>
      </c>
      <c r="F27" s="20" t="n">
        <v>2.2776839</v>
      </c>
      <c r="G27" s="18" t="n">
        <v>56.59161868</v>
      </c>
      <c r="H27" s="20" t="n">
        <v>2.27509959</v>
      </c>
      <c r="I27" s="18" t="n">
        <v>0</v>
      </c>
      <c r="J27" s="20" t="n">
        <v>0</v>
      </c>
      <c r="K27" s="18" t="n">
        <v>2.27175916</v>
      </c>
      <c r="L27" s="20" t="n">
        <v>0.5926019300000001</v>
      </c>
      <c r="M27" s="18" t="n">
        <v>0</v>
      </c>
      <c r="N27" s="20" t="n">
        <v>0</v>
      </c>
      <c r="O27" s="18" t="n">
        <v>0</v>
      </c>
      <c r="P27" s="20" t="n">
        <v>0</v>
      </c>
      <c r="Q27" s="18" t="n">
        <v>2.24101974</v>
      </c>
      <c r="R27" s="20" t="n">
        <v>0.60096413</v>
      </c>
    </row>
    <row r="28" spans="1:18">
      <c r="A28" s="15" t="s">
        <v>586</v>
      </c>
      <c r="B28" s="17" t="n">
        <v>3803</v>
      </c>
      <c r="C28" s="18">
        <f>(3037.0/B28*100)</f>
        <v/>
      </c>
      <c r="D28" s="19" t="n">
        <v>766</v>
      </c>
      <c r="E28" s="18" t="n">
        <v>51.54199</v>
      </c>
      <c r="F28" s="20" t="n">
        <v>1.73185678</v>
      </c>
      <c r="G28" s="18" t="n">
        <v>45.32398656</v>
      </c>
      <c r="H28" s="20" t="n">
        <v>1.97761069</v>
      </c>
      <c r="I28" s="18" t="n">
        <v>0</v>
      </c>
      <c r="J28" s="20" t="n">
        <v>0</v>
      </c>
      <c r="K28" s="18" t="n">
        <v>1.96421848</v>
      </c>
      <c r="L28" s="20" t="n">
        <v>0.59025899</v>
      </c>
      <c r="M28" s="18" t="n">
        <v>0</v>
      </c>
      <c r="N28" s="20" t="n">
        <v>0</v>
      </c>
      <c r="O28" s="18" t="n">
        <v>0</v>
      </c>
      <c r="P28" s="20" t="n">
        <v>0</v>
      </c>
      <c r="Q28" s="18" t="n">
        <v>1.16980495</v>
      </c>
      <c r="R28" s="20" t="n">
        <v>0.46522206</v>
      </c>
    </row>
    <row r="29" spans="1:18">
      <c r="A29" s="15" t="s">
        <v>587</v>
      </c>
      <c r="B29" s="17" t="n">
        <v>2700</v>
      </c>
      <c r="C29" s="18">
        <f>(2113.0/B29*100)</f>
        <v/>
      </c>
      <c r="D29" s="19" t="n">
        <v>587</v>
      </c>
      <c r="E29" s="18" t="n">
        <v>32.10918849</v>
      </c>
      <c r="F29" s="20" t="n">
        <v>2.30799247</v>
      </c>
      <c r="G29" s="18" t="n">
        <v>66.89958306</v>
      </c>
      <c r="H29" s="20" t="n">
        <v>2.37210178</v>
      </c>
      <c r="I29" s="18" t="n">
        <v>0</v>
      </c>
      <c r="J29" s="20" t="n">
        <v>0</v>
      </c>
      <c r="K29" s="18" t="n">
        <v>0.81724197</v>
      </c>
      <c r="L29" s="20" t="n">
        <v>0.39343178</v>
      </c>
      <c r="M29" s="18" t="n">
        <v>0</v>
      </c>
      <c r="N29" s="20" t="n">
        <v>0</v>
      </c>
      <c r="O29" s="18" t="n">
        <v>0</v>
      </c>
      <c r="P29" s="20" t="n">
        <v>0</v>
      </c>
      <c r="Q29" s="18" t="n">
        <v>0.17398647</v>
      </c>
      <c r="R29" s="20" t="n">
        <v>0.18132441</v>
      </c>
    </row>
    <row r="30" spans="1:18">
      <c r="A30" s="15" t="s">
        <v>588</v>
      </c>
      <c r="B30" s="17" t="n">
        <v>2257</v>
      </c>
      <c r="C30" s="18">
        <f>(1793.0/B30*100)</f>
        <v/>
      </c>
      <c r="D30" s="19" t="n">
        <v>464</v>
      </c>
      <c r="E30" s="18" t="n">
        <v>30.50903899</v>
      </c>
      <c r="F30" s="20" t="n">
        <v>2.3473177</v>
      </c>
      <c r="G30" s="18" t="n">
        <v>65.97597260000001</v>
      </c>
      <c r="H30" s="20" t="n">
        <v>2.55505986</v>
      </c>
      <c r="I30" s="18" t="n">
        <v>0</v>
      </c>
      <c r="J30" s="20" t="n">
        <v>0</v>
      </c>
      <c r="K30" s="18" t="n">
        <v>2.12061463</v>
      </c>
      <c r="L30" s="20" t="n">
        <v>0.76461911</v>
      </c>
      <c r="M30" s="18" t="n">
        <v>0</v>
      </c>
      <c r="N30" s="20" t="n">
        <v>0</v>
      </c>
      <c r="O30" s="18" t="n">
        <v>0</v>
      </c>
      <c r="P30" s="20" t="n">
        <v>0</v>
      </c>
      <c r="Q30" s="18" t="n">
        <v>1.39437378</v>
      </c>
      <c r="R30" s="20" t="n">
        <v>0.64955848</v>
      </c>
    </row>
    <row r="31" spans="1:18">
      <c r="A31" s="15" t="s">
        <v>589</v>
      </c>
      <c r="B31" s="17" t="n">
        <v>2706</v>
      </c>
      <c r="C31" s="18">
        <f>(2128.0/B31*100)</f>
        <v/>
      </c>
      <c r="D31" s="19" t="n">
        <v>578</v>
      </c>
      <c r="E31" s="18" t="n">
        <v>33.07113413</v>
      </c>
      <c r="F31" s="20" t="n">
        <v>1.96172343</v>
      </c>
      <c r="G31" s="18" t="n">
        <v>63.32413695</v>
      </c>
      <c r="H31" s="20" t="n">
        <v>1.93687984</v>
      </c>
      <c r="I31" s="18" t="n">
        <v>0</v>
      </c>
      <c r="J31" s="20" t="n">
        <v>0</v>
      </c>
      <c r="K31" s="18" t="n">
        <v>2.41105685</v>
      </c>
      <c r="L31" s="20" t="n">
        <v>0.59406283</v>
      </c>
      <c r="M31" s="18" t="n">
        <v>0</v>
      </c>
      <c r="N31" s="20" t="n">
        <v>0</v>
      </c>
      <c r="O31" s="18" t="n">
        <v>0</v>
      </c>
      <c r="P31" s="20" t="n">
        <v>0</v>
      </c>
      <c r="Q31" s="18" t="n">
        <v>1.19367208</v>
      </c>
      <c r="R31" s="20" t="n">
        <v>0.4535415</v>
      </c>
    </row>
    <row r="32" spans="1:18">
      <c r="A32" s="15" t="s">
        <v>590</v>
      </c>
      <c r="B32" s="17" t="n">
        <v>2209</v>
      </c>
      <c r="C32" s="18">
        <f>(1740.0/B32*100)</f>
        <v/>
      </c>
      <c r="D32" s="19" t="n">
        <v>469</v>
      </c>
      <c r="E32" s="18" t="n">
        <v>33.92474178</v>
      </c>
      <c r="F32" s="20" t="n">
        <v>2.25223366</v>
      </c>
      <c r="G32" s="18" t="n">
        <v>65.51666882000001</v>
      </c>
      <c r="H32" s="20" t="n">
        <v>2.23497612</v>
      </c>
      <c r="I32" s="18" t="n">
        <v>0</v>
      </c>
      <c r="J32" s="20" t="n">
        <v>0</v>
      </c>
      <c r="K32" s="18" t="n">
        <v>0.37239292</v>
      </c>
      <c r="L32" s="20" t="n">
        <v>0.26268618</v>
      </c>
      <c r="M32" s="18" t="n">
        <v>0</v>
      </c>
      <c r="N32" s="20" t="n">
        <v>0</v>
      </c>
      <c r="O32" s="18" t="n">
        <v>0</v>
      </c>
      <c r="P32" s="20" t="n">
        <v>0</v>
      </c>
      <c r="Q32" s="18" t="n">
        <v>0.18619648</v>
      </c>
      <c r="R32" s="20" t="n">
        <v>0.18540872</v>
      </c>
    </row>
    <row r="33" spans="1:18">
      <c r="A33" s="15" t="s">
        <v>591</v>
      </c>
      <c r="B33" s="17" t="n">
        <v>3651</v>
      </c>
      <c r="C33" s="18">
        <f>(2900.0/B33*100)</f>
        <v/>
      </c>
      <c r="D33" s="19" t="n">
        <v>751</v>
      </c>
      <c r="E33" s="18" t="n">
        <v>33.20256228</v>
      </c>
      <c r="F33" s="20" t="n">
        <v>2.0833386</v>
      </c>
      <c r="G33" s="18" t="n">
        <v>64.64087137</v>
      </c>
      <c r="H33" s="20" t="n">
        <v>2.06296206</v>
      </c>
      <c r="I33" s="18" t="n">
        <v>0</v>
      </c>
      <c r="J33" s="20" t="n">
        <v>0</v>
      </c>
      <c r="K33" s="18" t="n">
        <v>1.30169794</v>
      </c>
      <c r="L33" s="20" t="n">
        <v>0.57810828</v>
      </c>
      <c r="M33" s="18" t="n">
        <v>0</v>
      </c>
      <c r="N33" s="20" t="n">
        <v>0</v>
      </c>
      <c r="O33" s="18" t="n">
        <v>0</v>
      </c>
      <c r="P33" s="20" t="n">
        <v>0</v>
      </c>
      <c r="Q33" s="18" t="n">
        <v>0.85486841</v>
      </c>
      <c r="R33" s="20" t="n">
        <v>0.36818454</v>
      </c>
    </row>
    <row r="34" spans="1:18">
      <c r="A34" s="15" t="s">
        <v>592</v>
      </c>
      <c r="B34" s="17" t="n">
        <v>3035</v>
      </c>
      <c r="C34" s="18">
        <f>(2422.0/B34*100)</f>
        <v/>
      </c>
      <c r="D34" s="19" t="n">
        <v>613</v>
      </c>
      <c r="E34" s="18" t="n">
        <v>35.30061721</v>
      </c>
      <c r="F34" s="20" t="n">
        <v>2.13719249</v>
      </c>
      <c r="G34" s="18" t="n">
        <v>63.10784934</v>
      </c>
      <c r="H34" s="20" t="n">
        <v>2.19792625</v>
      </c>
      <c r="I34" s="18" t="n">
        <v>0</v>
      </c>
      <c r="J34" s="20" t="n">
        <v>0</v>
      </c>
      <c r="K34" s="18" t="n">
        <v>0.68357121</v>
      </c>
      <c r="L34" s="20" t="n">
        <v>0.35883526</v>
      </c>
      <c r="M34" s="18" t="n">
        <v>0</v>
      </c>
      <c r="N34" s="20" t="n">
        <v>0</v>
      </c>
      <c r="O34" s="18" t="n">
        <v>0</v>
      </c>
      <c r="P34" s="20" t="n">
        <v>0</v>
      </c>
      <c r="Q34" s="18" t="n">
        <v>0.90796224</v>
      </c>
      <c r="R34" s="20" t="n">
        <v>0.36581525</v>
      </c>
    </row>
    <row r="35" spans="1:18">
      <c r="A35" s="15" t="s">
        <v>593</v>
      </c>
      <c r="B35" s="17" t="n">
        <v>2901</v>
      </c>
      <c r="C35" s="18">
        <f>(2265.0/B35*100)</f>
        <v/>
      </c>
      <c r="D35" s="19" t="n">
        <v>636</v>
      </c>
      <c r="E35" s="18" t="n">
        <v>24.70929732</v>
      </c>
      <c r="F35" s="20" t="n">
        <v>1.67850543</v>
      </c>
      <c r="G35" s="18" t="n">
        <v>74.11031945000001</v>
      </c>
      <c r="H35" s="20" t="n">
        <v>1.68726884</v>
      </c>
      <c r="I35" s="18" t="n">
        <v>0</v>
      </c>
      <c r="J35" s="20" t="n">
        <v>0</v>
      </c>
      <c r="K35" s="18" t="n">
        <v>0.49982671</v>
      </c>
      <c r="L35" s="20" t="n">
        <v>0.27334683</v>
      </c>
      <c r="M35" s="18" t="n">
        <v>0</v>
      </c>
      <c r="N35" s="20" t="n">
        <v>0</v>
      </c>
      <c r="O35" s="18" t="n">
        <v>0</v>
      </c>
      <c r="P35" s="20" t="n">
        <v>0</v>
      </c>
      <c r="Q35" s="18" t="n">
        <v>0.68055652</v>
      </c>
      <c r="R35" s="20" t="n">
        <v>0.29401001</v>
      </c>
    </row>
    <row r="36" spans="1:18">
      <c r="A36" s="15" t="s">
        <v>594</v>
      </c>
      <c r="B36" s="17" t="n">
        <v>3404</v>
      </c>
      <c r="C36" s="18">
        <f>(2671.0/B36*100)</f>
        <v/>
      </c>
      <c r="D36" s="19" t="n">
        <v>733</v>
      </c>
      <c r="E36" s="18" t="n">
        <v>32.78462504</v>
      </c>
      <c r="F36" s="20" t="n">
        <v>1.68092679</v>
      </c>
      <c r="G36" s="18" t="n">
        <v>64.43152911</v>
      </c>
      <c r="H36" s="20" t="n">
        <v>1.81689986</v>
      </c>
      <c r="I36" s="18" t="n">
        <v>0</v>
      </c>
      <c r="J36" s="20" t="n">
        <v>0</v>
      </c>
      <c r="K36" s="18" t="n">
        <v>1.59676051</v>
      </c>
      <c r="L36" s="20" t="n">
        <v>0.54669502</v>
      </c>
      <c r="M36" s="18" t="n">
        <v>0</v>
      </c>
      <c r="N36" s="20" t="n">
        <v>0</v>
      </c>
      <c r="O36" s="18" t="n">
        <v>0</v>
      </c>
      <c r="P36" s="20" t="n">
        <v>0</v>
      </c>
      <c r="Q36" s="18" t="n">
        <v>1.18708533</v>
      </c>
      <c r="R36" s="20" t="n">
        <v>0.4022486</v>
      </c>
    </row>
    <row r="37" spans="1:18">
      <c r="A37" s="15" t="s">
        <v>595</v>
      </c>
      <c r="B37" s="17" t="n">
        <v>2731</v>
      </c>
      <c r="C37" s="18">
        <f>(2182.0/B37*100)</f>
        <v/>
      </c>
      <c r="D37" s="19" t="n">
        <v>549</v>
      </c>
      <c r="E37" s="18" t="n">
        <v>24.74183242</v>
      </c>
      <c r="F37" s="20" t="n">
        <v>1.96036272</v>
      </c>
      <c r="G37" s="18" t="n">
        <v>68.28483874</v>
      </c>
      <c r="H37" s="20" t="n">
        <v>2.01156436</v>
      </c>
      <c r="I37" s="18" t="n">
        <v>0</v>
      </c>
      <c r="J37" s="20" t="n">
        <v>0</v>
      </c>
      <c r="K37" s="18" t="n">
        <v>3.87637562</v>
      </c>
      <c r="L37" s="20" t="n">
        <v>0.7958487400000001</v>
      </c>
      <c r="M37" s="18" t="n">
        <v>0</v>
      </c>
      <c r="N37" s="20" t="n">
        <v>0</v>
      </c>
      <c r="O37" s="18" t="n">
        <v>0</v>
      </c>
      <c r="P37" s="20" t="n">
        <v>0</v>
      </c>
      <c r="Q37" s="18" t="n">
        <v>3.09695322</v>
      </c>
      <c r="R37" s="20" t="n">
        <v>0.76680971</v>
      </c>
    </row>
    <row r="38" spans="1:18">
      <c r="A38" s="15" t="s">
        <v>596</v>
      </c>
      <c r="B38" s="17" t="n">
        <v>2807</v>
      </c>
      <c r="C38" s="18">
        <f>(2196.0/B38*100)</f>
        <v/>
      </c>
      <c r="D38" s="19" t="n">
        <v>611</v>
      </c>
      <c r="E38" s="18" t="n">
        <v>33.10560376</v>
      </c>
      <c r="F38" s="20" t="n">
        <v>2.35909354</v>
      </c>
      <c r="G38" s="18" t="n">
        <v>63.85023186</v>
      </c>
      <c r="H38" s="20" t="n">
        <v>2.27477463</v>
      </c>
      <c r="I38" s="18" t="n">
        <v>0</v>
      </c>
      <c r="J38" s="20" t="n">
        <v>0</v>
      </c>
      <c r="K38" s="18" t="n">
        <v>2.17246466</v>
      </c>
      <c r="L38" s="20" t="n">
        <v>0.63414527</v>
      </c>
      <c r="M38" s="18" t="n">
        <v>0</v>
      </c>
      <c r="N38" s="20" t="n">
        <v>0</v>
      </c>
      <c r="O38" s="18" t="n">
        <v>0</v>
      </c>
      <c r="P38" s="20" t="n">
        <v>0</v>
      </c>
      <c r="Q38" s="18" t="n">
        <v>0.87169972</v>
      </c>
      <c r="R38" s="20" t="n">
        <v>0.38632358</v>
      </c>
    </row>
    <row r="39" spans="1:18">
      <c r="A39" s="15" t="s">
        <v>597</v>
      </c>
      <c r="B39" s="17" t="n">
        <v>2938</v>
      </c>
      <c r="C39" s="18">
        <f>(2280.0/B39*100)</f>
        <v/>
      </c>
      <c r="D39" s="19" t="n">
        <v>658</v>
      </c>
      <c r="E39" s="18" t="n">
        <v>47.36744249</v>
      </c>
      <c r="F39" s="20" t="n">
        <v>2.04107417</v>
      </c>
      <c r="G39" s="18" t="n">
        <v>51.21723958</v>
      </c>
      <c r="H39" s="20" t="n">
        <v>2.07503349</v>
      </c>
      <c r="I39" s="18" t="n">
        <v>0</v>
      </c>
      <c r="J39" s="20" t="n">
        <v>0</v>
      </c>
      <c r="K39" s="18" t="n">
        <v>0.24798338</v>
      </c>
      <c r="L39" s="20" t="n">
        <v>0.17753393</v>
      </c>
      <c r="M39" s="18" t="n">
        <v>0</v>
      </c>
      <c r="N39" s="20" t="n">
        <v>0</v>
      </c>
      <c r="O39" s="18" t="n">
        <v>0</v>
      </c>
      <c r="P39" s="20" t="n">
        <v>0</v>
      </c>
      <c r="Q39" s="18" t="n">
        <v>1.16733454</v>
      </c>
      <c r="R39" s="20" t="n">
        <v>0.41553139</v>
      </c>
    </row>
    <row r="40" spans="1:18">
      <c r="A40" s="15" t="s">
        <v>598</v>
      </c>
      <c r="B40" s="17" t="n">
        <v>6922</v>
      </c>
      <c r="C40" s="18">
        <f>(5403.0/B40*100)</f>
        <v/>
      </c>
      <c r="D40" s="19" t="n">
        <v>1519</v>
      </c>
      <c r="E40" s="18" t="n">
        <v>32.11905245</v>
      </c>
      <c r="F40" s="20" t="n">
        <v>1.79773415</v>
      </c>
      <c r="G40" s="18" t="n">
        <v>65.91125898</v>
      </c>
      <c r="H40" s="20" t="n">
        <v>1.82154966</v>
      </c>
      <c r="I40" s="18" t="n">
        <v>0</v>
      </c>
      <c r="J40" s="20" t="n">
        <v>0</v>
      </c>
      <c r="K40" s="18" t="n">
        <v>1.09797958</v>
      </c>
      <c r="L40" s="20" t="n">
        <v>0.42527558</v>
      </c>
      <c r="M40" s="18" t="n">
        <v>0</v>
      </c>
      <c r="N40" s="20" t="n">
        <v>0</v>
      </c>
      <c r="O40" s="18" t="n">
        <v>0</v>
      </c>
      <c r="P40" s="20" t="n">
        <v>0</v>
      </c>
      <c r="Q40" s="18" t="n">
        <v>0.87170899</v>
      </c>
      <c r="R40" s="20" t="n">
        <v>0.30635868</v>
      </c>
    </row>
    <row r="41" spans="1:18">
      <c r="A41" s="15" t="s">
        <v>599</v>
      </c>
      <c r="B41" s="17" t="n">
        <v>2854</v>
      </c>
      <c r="C41" s="18">
        <f>(2283.0/B41*100)</f>
        <v/>
      </c>
      <c r="D41" s="19" t="n">
        <v>571</v>
      </c>
      <c r="E41" s="18" t="n">
        <v>34.66417694</v>
      </c>
      <c r="F41" s="20" t="n">
        <v>2.26401395</v>
      </c>
      <c r="G41" s="18" t="n">
        <v>64.6705985</v>
      </c>
      <c r="H41" s="20" t="n">
        <v>2.26005157</v>
      </c>
      <c r="I41" s="18" t="n">
        <v>0</v>
      </c>
      <c r="J41" s="20" t="n">
        <v>0</v>
      </c>
      <c r="K41" s="18" t="n">
        <v>0.33942318</v>
      </c>
      <c r="L41" s="20" t="n">
        <v>0.24492179</v>
      </c>
      <c r="M41" s="18" t="n">
        <v>0</v>
      </c>
      <c r="N41" s="20" t="n">
        <v>0</v>
      </c>
      <c r="O41" s="18" t="n">
        <v>0</v>
      </c>
      <c r="P41" s="20" t="n">
        <v>0</v>
      </c>
      <c r="Q41" s="18" t="n">
        <v>0.32580139</v>
      </c>
      <c r="R41" s="20" t="n">
        <v>0.24971567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(10264.0/B46*100)</f>
        <v/>
      </c>
      <c r="D46" s="19" t="n">
        <v>1809</v>
      </c>
      <c r="E46" s="18" t="n">
        <v>49.23587647</v>
      </c>
      <c r="F46" s="20" t="n">
        <v>1.81062167</v>
      </c>
      <c r="G46" s="18" t="n">
        <v>45.06702578</v>
      </c>
      <c r="H46" s="20" t="n">
        <v>1.75650598</v>
      </c>
      <c r="I46" s="18" t="n">
        <v>0</v>
      </c>
      <c r="J46" s="20" t="n">
        <v>0</v>
      </c>
      <c r="K46" s="18" t="n">
        <v>4.34077333</v>
      </c>
      <c r="L46" s="20" t="n">
        <v>0.91949992</v>
      </c>
      <c r="M46" s="18" t="n">
        <v>0</v>
      </c>
      <c r="N46" s="20" t="n">
        <v>0</v>
      </c>
      <c r="O46" s="18" t="n">
        <v>0</v>
      </c>
      <c r="P46" s="20" t="n">
        <v>0</v>
      </c>
      <c r="Q46" s="18" t="n">
        <v>1.35632442</v>
      </c>
      <c r="R46" s="20" t="n">
        <v>0.38998817</v>
      </c>
    </row>
    <row r="47" spans="1:18">
      <c r="A47" s="15" t="s">
        <v>606</v>
      </c>
      <c r="B47" s="17" t="n">
        <v>2823</v>
      </c>
      <c r="C47" s="18">
        <f>(2216.0/B47*100)</f>
        <v/>
      </c>
      <c r="D47" s="19" t="n">
        <v>607</v>
      </c>
      <c r="E47" s="18" t="n">
        <v>35.7851049</v>
      </c>
      <c r="F47" s="20" t="n">
        <v>2.00692755</v>
      </c>
      <c r="G47" s="18" t="n">
        <v>60.64876912</v>
      </c>
      <c r="H47" s="20" t="n">
        <v>2.29841298</v>
      </c>
      <c r="I47" s="18" t="n">
        <v>0</v>
      </c>
      <c r="J47" s="20" t="n">
        <v>0</v>
      </c>
      <c r="K47" s="18" t="n">
        <v>1.92675957</v>
      </c>
      <c r="L47" s="20" t="n">
        <v>0.6233858</v>
      </c>
      <c r="M47" s="18" t="n">
        <v>0</v>
      </c>
      <c r="N47" s="20" t="n">
        <v>0</v>
      </c>
      <c r="O47" s="18" t="n">
        <v>0</v>
      </c>
      <c r="P47" s="20" t="n">
        <v>0</v>
      </c>
      <c r="Q47" s="18" t="n">
        <v>1.63936642</v>
      </c>
      <c r="R47" s="20" t="n">
        <v>0.52718497</v>
      </c>
    </row>
    <row r="48" spans="1:18">
      <c r="A48" s="15" t="s">
        <v>607</v>
      </c>
      <c r="B48" s="17" t="n">
        <v>4682</v>
      </c>
      <c r="C48" s="18">
        <f>(3693.0/B48*100)</f>
        <v/>
      </c>
      <c r="D48" s="19" t="n">
        <v>989</v>
      </c>
      <c r="E48" s="18" t="n">
        <v>25.07617212</v>
      </c>
      <c r="F48" s="20" t="n">
        <v>2.30350344</v>
      </c>
      <c r="G48" s="18" t="n">
        <v>71.80579173</v>
      </c>
      <c r="H48" s="20" t="n">
        <v>2.34398672</v>
      </c>
      <c r="I48" s="18" t="n">
        <v>0</v>
      </c>
      <c r="J48" s="20" t="n">
        <v>0</v>
      </c>
      <c r="K48" s="18" t="n">
        <v>1.73558922</v>
      </c>
      <c r="L48" s="20" t="n">
        <v>0.70444451</v>
      </c>
      <c r="M48" s="18" t="n">
        <v>0</v>
      </c>
      <c r="N48" s="20" t="n">
        <v>0</v>
      </c>
      <c r="O48" s="18" t="n">
        <v>0</v>
      </c>
      <c r="P48" s="20" t="n">
        <v>0</v>
      </c>
      <c r="Q48" s="18" t="n">
        <v>1.38244693</v>
      </c>
      <c r="R48" s="20" t="n">
        <v>0.42528297</v>
      </c>
    </row>
    <row r="49" spans="1:18">
      <c r="A49" s="15" t="s">
        <v>608</v>
      </c>
      <c r="B49" s="17" t="n">
        <v>6158</v>
      </c>
      <c r="C49" s="18">
        <f>(4861.0/B49*100)</f>
        <v/>
      </c>
      <c r="D49" s="19" t="n">
        <v>1297</v>
      </c>
      <c r="E49" s="18" t="n">
        <v>47.61504682</v>
      </c>
      <c r="F49" s="20" t="n">
        <v>1.85956537</v>
      </c>
      <c r="G49" s="18" t="n">
        <v>46.52878256</v>
      </c>
      <c r="H49" s="20" t="n">
        <v>1.82187648</v>
      </c>
      <c r="I49" s="18" t="n">
        <v>0</v>
      </c>
      <c r="J49" s="20" t="n">
        <v>0</v>
      </c>
      <c r="K49" s="18" t="n">
        <v>5.19865319</v>
      </c>
      <c r="L49" s="20" t="n">
        <v>0.87758755</v>
      </c>
      <c r="M49" s="18" t="n">
        <v>0</v>
      </c>
      <c r="N49" s="20" t="n">
        <v>0</v>
      </c>
      <c r="O49" s="18" t="n">
        <v>0</v>
      </c>
      <c r="P49" s="20" t="n">
        <v>0</v>
      </c>
      <c r="Q49" s="18" t="n">
        <v>0.65751744</v>
      </c>
      <c r="R49" s="20" t="n">
        <v>0.27649009</v>
      </c>
    </row>
    <row r="50" spans="1:18">
      <c r="A50" s="15" t="s">
        <v>609</v>
      </c>
      <c r="B50" s="17" t="n">
        <v>3494</v>
      </c>
      <c r="C50" s="18">
        <f>(2861.0/B50*100)</f>
        <v/>
      </c>
      <c r="D50" s="19" t="n">
        <v>633</v>
      </c>
      <c r="E50" s="18" t="n">
        <v>47.69521361</v>
      </c>
      <c r="F50" s="20" t="n">
        <v>1.89917655</v>
      </c>
      <c r="G50" s="18" t="n">
        <v>48.34562894</v>
      </c>
      <c r="H50" s="20" t="n">
        <v>2.08397242</v>
      </c>
      <c r="I50" s="18" t="n">
        <v>0</v>
      </c>
      <c r="J50" s="20" t="n">
        <v>0</v>
      </c>
      <c r="K50" s="18" t="n">
        <v>2.42817833</v>
      </c>
      <c r="L50" s="20" t="n">
        <v>0.73292042</v>
      </c>
      <c r="M50" s="18" t="n">
        <v>0</v>
      </c>
      <c r="N50" s="20" t="n">
        <v>0</v>
      </c>
      <c r="O50" s="18" t="n">
        <v>0</v>
      </c>
      <c r="P50" s="20" t="n">
        <v>0</v>
      </c>
      <c r="Q50" s="18" t="n">
        <v>1.53097912</v>
      </c>
      <c r="R50" s="20" t="n">
        <v>0.5909376200000001</v>
      </c>
    </row>
    <row r="51" spans="1:18">
      <c r="A51" s="15" t="s">
        <v>610</v>
      </c>
      <c r="B51" s="17" t="n">
        <v>3013</v>
      </c>
      <c r="C51" s="18">
        <f>(2387.0/B51*100)</f>
        <v/>
      </c>
      <c r="D51" s="19" t="n">
        <v>626</v>
      </c>
      <c r="E51" s="18" t="n">
        <v>40.16067277</v>
      </c>
      <c r="F51" s="20" t="n">
        <v>1.95220682</v>
      </c>
      <c r="G51" s="18" t="n">
        <v>57.88372994</v>
      </c>
      <c r="H51" s="20" t="n">
        <v>1.94162606</v>
      </c>
      <c r="I51" s="18" t="n">
        <v>0</v>
      </c>
      <c r="J51" s="20" t="n">
        <v>0</v>
      </c>
      <c r="K51" s="18" t="n">
        <v>0.56332327</v>
      </c>
      <c r="L51" s="20" t="n">
        <v>0.28822974</v>
      </c>
      <c r="M51" s="18" t="n">
        <v>0</v>
      </c>
      <c r="N51" s="20" t="n">
        <v>0</v>
      </c>
      <c r="O51" s="18" t="n">
        <v>0</v>
      </c>
      <c r="P51" s="20" t="n">
        <v>0</v>
      </c>
      <c r="Q51" s="18" t="n">
        <v>1.39227402</v>
      </c>
      <c r="R51" s="20" t="n">
        <v>0.56558463</v>
      </c>
    </row>
    <row r="52" spans="1:18">
      <c r="A52" s="15" t="s">
        <v>611</v>
      </c>
      <c r="B52" s="17" t="n">
        <v>2760</v>
      </c>
      <c r="C52" s="18">
        <f>(2177.0/B52*100)</f>
        <v/>
      </c>
      <c r="D52" s="19" t="n">
        <v>583</v>
      </c>
      <c r="E52" s="18" t="n">
        <v>48.29141656</v>
      </c>
      <c r="F52" s="20" t="n">
        <v>1.81406331</v>
      </c>
      <c r="G52" s="18" t="n">
        <v>49.60040771</v>
      </c>
      <c r="H52" s="20" t="n">
        <v>1.89512882</v>
      </c>
      <c r="I52" s="18" t="n">
        <v>0</v>
      </c>
      <c r="J52" s="20" t="n">
        <v>0</v>
      </c>
      <c r="K52" s="18" t="n">
        <v>1.37260065</v>
      </c>
      <c r="L52" s="20" t="n">
        <v>0.4876844</v>
      </c>
      <c r="M52" s="18" t="n">
        <v>0</v>
      </c>
      <c r="N52" s="20" t="n">
        <v>0</v>
      </c>
      <c r="O52" s="18" t="n">
        <v>0</v>
      </c>
      <c r="P52" s="20" t="n">
        <v>0</v>
      </c>
      <c r="Q52" s="18" t="n">
        <v>0.73557508</v>
      </c>
      <c r="R52" s="20" t="n">
        <v>0.37384924</v>
      </c>
    </row>
    <row r="53" spans="1:18">
      <c r="A53" s="15" t="s">
        <v>612</v>
      </c>
      <c r="B53" s="17" t="n">
        <v>2474</v>
      </c>
      <c r="C53" s="18">
        <f>(1892.0/B53*100)</f>
        <v/>
      </c>
      <c r="D53" s="19" t="n">
        <v>582</v>
      </c>
      <c r="E53" s="18" t="n">
        <v>48.02008605</v>
      </c>
      <c r="F53" s="20" t="n">
        <v>2.51045644</v>
      </c>
      <c r="G53" s="18" t="n">
        <v>25.9942856</v>
      </c>
      <c r="H53" s="20" t="n">
        <v>1.80799464</v>
      </c>
      <c r="I53" s="18" t="n">
        <v>0</v>
      </c>
      <c r="J53" s="20" t="n">
        <v>0</v>
      </c>
      <c r="K53" s="18" t="n">
        <v>22.93395689</v>
      </c>
      <c r="L53" s="20" t="n">
        <v>1.98514389</v>
      </c>
      <c r="M53" s="18" t="n">
        <v>0</v>
      </c>
      <c r="N53" s="20" t="n">
        <v>0</v>
      </c>
      <c r="O53" s="18" t="n">
        <v>0</v>
      </c>
      <c r="P53" s="20" t="n">
        <v>0</v>
      </c>
      <c r="Q53" s="18" t="n">
        <v>3.05167146</v>
      </c>
      <c r="R53" s="20" t="n">
        <v>1.02653967</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(2076.0/B55*100)</f>
        <v/>
      </c>
      <c r="D55" s="19" t="n">
        <v>599</v>
      </c>
      <c r="E55" s="18" t="n">
        <v>26.449125</v>
      </c>
      <c r="F55" s="20" t="n">
        <v>2.33427894</v>
      </c>
      <c r="G55" s="18" t="n">
        <v>72.88277588</v>
      </c>
      <c r="H55" s="20" t="n">
        <v>2.40260702</v>
      </c>
      <c r="I55" s="18" t="n">
        <v>0</v>
      </c>
      <c r="J55" s="20" t="n">
        <v>0</v>
      </c>
      <c r="K55" s="18" t="n">
        <v>0.1376321</v>
      </c>
      <c r="L55" s="20" t="n">
        <v>0.13722842</v>
      </c>
      <c r="M55" s="18" t="n">
        <v>0</v>
      </c>
      <c r="N55" s="20" t="n">
        <v>0</v>
      </c>
      <c r="O55" s="18" t="n">
        <v>0</v>
      </c>
      <c r="P55" s="20" t="n">
        <v>0</v>
      </c>
      <c r="Q55" s="18" t="n">
        <v>0.53046702</v>
      </c>
      <c r="R55" s="20" t="n">
        <v>0.31877554</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(2497.0/B61*100)</f>
        <v/>
      </c>
      <c r="D61" s="19" t="n">
        <v>704</v>
      </c>
      <c r="E61" s="18" t="n">
        <v>33.43798757</v>
      </c>
      <c r="F61" s="20" t="n">
        <v>2.06602385</v>
      </c>
      <c r="G61" s="18" t="n">
        <v>65.34585722999999</v>
      </c>
      <c r="H61" s="20" t="n">
        <v>2.13530439</v>
      </c>
      <c r="I61" s="18" t="n">
        <v>0</v>
      </c>
      <c r="J61" s="20" t="n">
        <v>0</v>
      </c>
      <c r="K61" s="18" t="n">
        <v>0.93576245</v>
      </c>
      <c r="L61" s="20" t="n">
        <v>0.47963756</v>
      </c>
      <c r="M61" s="18" t="n">
        <v>0</v>
      </c>
      <c r="N61" s="20" t="n">
        <v>0</v>
      </c>
      <c r="O61" s="18" t="n">
        <v>0</v>
      </c>
      <c r="P61" s="20" t="n">
        <v>0</v>
      </c>
      <c r="Q61" s="18" t="n">
        <v>0.28039275</v>
      </c>
      <c r="R61" s="20" t="n">
        <v>0.16649147</v>
      </c>
    </row>
    <row r="62" spans="1:18">
      <c r="A62" s="15" t="s">
        <v>622</v>
      </c>
      <c r="B62" s="17" t="n">
        <v>2230</v>
      </c>
      <c r="C62" s="18">
        <f>(1764.0/B62*100)</f>
        <v/>
      </c>
      <c r="D62" s="19" t="n">
        <v>466</v>
      </c>
      <c r="E62" s="18" t="n">
        <v>21.71123393</v>
      </c>
      <c r="F62" s="20" t="n">
        <v>1.92112678</v>
      </c>
      <c r="G62" s="18" t="n">
        <v>78.07538861</v>
      </c>
      <c r="H62" s="20" t="n">
        <v>1.92883919</v>
      </c>
      <c r="I62" s="18" t="n">
        <v>0</v>
      </c>
      <c r="J62" s="20" t="n">
        <v>0</v>
      </c>
      <c r="K62" s="18" t="n">
        <v>0</v>
      </c>
      <c r="L62" s="20" t="n">
        <v>0</v>
      </c>
      <c r="M62" s="18" t="n">
        <v>0</v>
      </c>
      <c r="N62" s="20" t="n">
        <v>0</v>
      </c>
      <c r="O62" s="18" t="n">
        <v>0</v>
      </c>
      <c r="P62" s="20" t="n">
        <v>0</v>
      </c>
      <c r="Q62" s="18" t="n">
        <v>0.21337747</v>
      </c>
      <c r="R62" s="20" t="n">
        <v>0.21277447</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(2174.0/B67*100)</f>
        <v/>
      </c>
      <c r="D67" s="19" t="n">
        <v>597</v>
      </c>
      <c r="E67" s="18" t="n">
        <v>49.23185543</v>
      </c>
      <c r="F67" s="20" t="n">
        <v>1.93294818</v>
      </c>
      <c r="G67" s="18" t="n">
        <v>44.74277584</v>
      </c>
      <c r="H67" s="20" t="n">
        <v>2.05552671</v>
      </c>
      <c r="I67" s="18" t="n">
        <v>0</v>
      </c>
      <c r="J67" s="20" t="n">
        <v>0</v>
      </c>
      <c r="K67" s="18" t="n">
        <v>2.94812145</v>
      </c>
      <c r="L67" s="20" t="n">
        <v>0.70148013</v>
      </c>
      <c r="M67" s="18" t="n">
        <v>0</v>
      </c>
      <c r="N67" s="20" t="n">
        <v>0</v>
      </c>
      <c r="O67" s="18" t="n">
        <v>0</v>
      </c>
      <c r="P67" s="20" t="n">
        <v>0</v>
      </c>
      <c r="Q67" s="18" t="n">
        <v>3.07724728</v>
      </c>
      <c r="R67" s="20" t="n">
        <v>0.74870072</v>
      </c>
    </row>
    <row r="68" spans="1:18">
      <c r="A68" s="15" t="s">
        <v>628</v>
      </c>
      <c r="B68" s="17" t="n">
        <v>3460</v>
      </c>
      <c r="C68" s="18">
        <f>(2876.0/B68*100)</f>
        <v/>
      </c>
      <c r="D68" s="19" t="n">
        <v>584</v>
      </c>
      <c r="E68" s="18" t="n">
        <v>56.4384991</v>
      </c>
      <c r="F68" s="20" t="n">
        <v>1.88603054</v>
      </c>
      <c r="G68" s="18" t="n">
        <v>40.6122811</v>
      </c>
      <c r="H68" s="20" t="n">
        <v>1.94994961</v>
      </c>
      <c r="I68" s="18" t="n">
        <v>0</v>
      </c>
      <c r="J68" s="20" t="n">
        <v>0</v>
      </c>
      <c r="K68" s="18" t="n">
        <v>1.08150231</v>
      </c>
      <c r="L68" s="20" t="n">
        <v>0.44898464</v>
      </c>
      <c r="M68" s="18" t="n">
        <v>0</v>
      </c>
      <c r="N68" s="20" t="n">
        <v>0</v>
      </c>
      <c r="O68" s="18" t="n">
        <v>0</v>
      </c>
      <c r="P68" s="20" t="n">
        <v>0</v>
      </c>
      <c r="Q68" s="18" t="n">
        <v>1.86771749</v>
      </c>
      <c r="R68" s="20" t="n">
        <v>0.58167148</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(4679.0/B70*100)</f>
        <v/>
      </c>
      <c r="D70" s="19" t="n">
        <v>1355</v>
      </c>
      <c r="E70" s="18" t="n">
        <v>41.53306643</v>
      </c>
      <c r="F70" s="20" t="n">
        <v>1.26331625</v>
      </c>
      <c r="G70" s="18" t="n">
        <v>52.61126898</v>
      </c>
      <c r="H70" s="20" t="n">
        <v>1.29136458</v>
      </c>
      <c r="I70" s="18" t="n">
        <v>0</v>
      </c>
      <c r="J70" s="20" t="n">
        <v>0</v>
      </c>
      <c r="K70" s="18" t="n">
        <v>4.74591144</v>
      </c>
      <c r="L70" s="20" t="n">
        <v>0.54268289</v>
      </c>
      <c r="M70" s="18" t="n">
        <v>0</v>
      </c>
      <c r="N70" s="20" t="n">
        <v>0</v>
      </c>
      <c r="O70" s="18" t="n">
        <v>0</v>
      </c>
      <c r="P70" s="20" t="n">
        <v>0</v>
      </c>
      <c r="Q70" s="18" t="n">
        <v>1.10975315</v>
      </c>
      <c r="R70" s="20" t="n">
        <v>0.30595956</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(2456.0/B72*100)</f>
        <v/>
      </c>
      <c r="D72" s="19" t="n">
        <v>651</v>
      </c>
      <c r="E72" s="18" t="n">
        <v>37.53355126</v>
      </c>
      <c r="F72" s="20" t="n">
        <v>1.86101706</v>
      </c>
      <c r="G72" s="18" t="n">
        <v>60.36347012</v>
      </c>
      <c r="H72" s="20" t="n">
        <v>1.87982158</v>
      </c>
      <c r="I72" s="18" t="n">
        <v>0</v>
      </c>
      <c r="J72" s="20" t="n">
        <v>0</v>
      </c>
      <c r="K72" s="18" t="n">
        <v>1.10653703</v>
      </c>
      <c r="L72" s="20" t="n">
        <v>0.35634704</v>
      </c>
      <c r="M72" s="18" t="n">
        <v>0</v>
      </c>
      <c r="N72" s="20" t="n">
        <v>0</v>
      </c>
      <c r="O72" s="18" t="n">
        <v>0</v>
      </c>
      <c r="P72" s="20" t="n">
        <v>0</v>
      </c>
      <c r="Q72" s="18" t="n">
        <v>0.99644158</v>
      </c>
      <c r="R72" s="20" t="n">
        <v>0.36430357</v>
      </c>
    </row>
    <row r="73" spans="1:18">
      <c r="A73" s="15" t="s">
        <v>633</v>
      </c>
      <c r="B73" s="17" t="n">
        <v>2973</v>
      </c>
      <c r="C73" s="18">
        <f>(2336.0/B73*100)</f>
        <v/>
      </c>
      <c r="D73" s="19" t="n">
        <v>637</v>
      </c>
      <c r="E73" s="18" t="n">
        <v>19.7430487</v>
      </c>
      <c r="F73" s="20" t="n">
        <v>1.6861573</v>
      </c>
      <c r="G73" s="18" t="n">
        <v>79.49475783</v>
      </c>
      <c r="H73" s="20" t="n">
        <v>1.66791497</v>
      </c>
      <c r="I73" s="18" t="n">
        <v>0</v>
      </c>
      <c r="J73" s="20" t="n">
        <v>0</v>
      </c>
      <c r="K73" s="18" t="n">
        <v>0.30376409</v>
      </c>
      <c r="L73" s="20" t="n">
        <v>0.21523464</v>
      </c>
      <c r="M73" s="18" t="n">
        <v>0</v>
      </c>
      <c r="N73" s="20" t="n">
        <v>0</v>
      </c>
      <c r="O73" s="18" t="n">
        <v>0</v>
      </c>
      <c r="P73" s="20" t="n">
        <v>0</v>
      </c>
      <c r="Q73" s="18" t="n">
        <v>0.45842938</v>
      </c>
      <c r="R73" s="20" t="n">
        <v>0.25709428</v>
      </c>
    </row>
    <row r="74" spans="1:18">
      <c r="A74" s="15" t="s">
        <v>634</v>
      </c>
      <c r="B74" s="17" t="n">
        <v>3819</v>
      </c>
      <c r="C74" s="18">
        <f>(3015.0/B74*100)</f>
        <v/>
      </c>
      <c r="D74" s="19" t="n">
        <v>804</v>
      </c>
      <c r="E74" s="18" t="n">
        <v>21.99291513</v>
      </c>
      <c r="F74" s="20" t="n">
        <v>1.61664971</v>
      </c>
      <c r="G74" s="18" t="n">
        <v>77.42705961</v>
      </c>
      <c r="H74" s="20" t="n">
        <v>1.59867183</v>
      </c>
      <c r="I74" s="18" t="n">
        <v>0</v>
      </c>
      <c r="J74" s="20" t="n">
        <v>0</v>
      </c>
      <c r="K74" s="18" t="n">
        <v>0.30027096</v>
      </c>
      <c r="L74" s="20" t="n">
        <v>0.29148893</v>
      </c>
      <c r="M74" s="18" t="n">
        <v>0</v>
      </c>
      <c r="N74" s="20" t="n">
        <v>0</v>
      </c>
      <c r="O74" s="18" t="n">
        <v>0</v>
      </c>
      <c r="P74" s="20" t="n">
        <v>0</v>
      </c>
      <c r="Q74" s="18" t="n">
        <v>0.2797543</v>
      </c>
      <c r="R74" s="20" t="n">
        <v>0.20275354</v>
      </c>
    </row>
    <row r="75" spans="1:18">
      <c r="A75" s="15" t="s">
        <v>635</v>
      </c>
      <c r="B75" s="17" t="n">
        <v>4652</v>
      </c>
      <c r="C75" s="18">
        <f>(3704.0/B75*100)</f>
        <v/>
      </c>
      <c r="D75" s="19" t="n">
        <v>948</v>
      </c>
      <c r="E75" s="18" t="n">
        <v>45.29931065</v>
      </c>
      <c r="F75" s="20" t="n">
        <v>1.85349003</v>
      </c>
      <c r="G75" s="18" t="n">
        <v>53.50902311</v>
      </c>
      <c r="H75" s="20" t="n">
        <v>1.87587025</v>
      </c>
      <c r="I75" s="18" t="n">
        <v>0</v>
      </c>
      <c r="J75" s="20" t="n">
        <v>0</v>
      </c>
      <c r="K75" s="18" t="n">
        <v>0.30104452</v>
      </c>
      <c r="L75" s="20" t="n">
        <v>0.20630447</v>
      </c>
      <c r="M75" s="18" t="n">
        <v>0</v>
      </c>
      <c r="N75" s="20" t="n">
        <v>0</v>
      </c>
      <c r="O75" s="18" t="n">
        <v>0</v>
      </c>
      <c r="P75" s="20" t="n">
        <v>0</v>
      </c>
      <c r="Q75" s="18" t="n">
        <v>0.89062172</v>
      </c>
      <c r="R75" s="20" t="n">
        <v>0.38873085</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(2410.0/B77*100)</f>
        <v/>
      </c>
      <c r="D77" s="19" t="n">
        <v>559</v>
      </c>
      <c r="E77" s="18" t="n">
        <v>42.68850221</v>
      </c>
      <c r="F77" s="20" t="n">
        <v>2.30540612</v>
      </c>
      <c r="G77" s="18" t="n">
        <v>47.52334248</v>
      </c>
      <c r="H77" s="20" t="n">
        <v>2.50321796</v>
      </c>
      <c r="I77" s="18" t="n">
        <v>0</v>
      </c>
      <c r="J77" s="20" t="n">
        <v>0</v>
      </c>
      <c r="K77" s="18" t="n">
        <v>7.82076052</v>
      </c>
      <c r="L77" s="20" t="n">
        <v>1.44728534</v>
      </c>
      <c r="M77" s="18" t="n">
        <v>0</v>
      </c>
      <c r="N77" s="20" t="n">
        <v>0</v>
      </c>
      <c r="O77" s="18" t="n">
        <v>0</v>
      </c>
      <c r="P77" s="20" t="n">
        <v>0</v>
      </c>
      <c r="Q77" s="18" t="n">
        <v>1.9673948</v>
      </c>
      <c r="R77" s="20" t="n">
        <v>0.62281789</v>
      </c>
    </row>
    <row r="78" spans="1:18">
      <c r="A78" s="15" t="s">
        <v>638</v>
      </c>
      <c r="B78" s="17" t="n">
        <v>7115</v>
      </c>
      <c r="C78" s="18">
        <f>(5544.0/B78*100)</f>
        <v/>
      </c>
      <c r="D78" s="19" t="n">
        <v>1571</v>
      </c>
      <c r="E78" s="18" t="n">
        <v>42.02579036</v>
      </c>
      <c r="F78" s="20" t="n">
        <v>1.64305882</v>
      </c>
      <c r="G78" s="18" t="n">
        <v>54.60962756</v>
      </c>
      <c r="H78" s="20" t="n">
        <v>1.82056703</v>
      </c>
      <c r="I78" s="18" t="n">
        <v>0</v>
      </c>
      <c r="J78" s="20" t="n">
        <v>0</v>
      </c>
      <c r="K78" s="18" t="n">
        <v>1.97442511</v>
      </c>
      <c r="L78" s="20" t="n">
        <v>0.37355971</v>
      </c>
      <c r="M78" s="18" t="n">
        <v>0</v>
      </c>
      <c r="N78" s="20" t="n">
        <v>0</v>
      </c>
      <c r="O78" s="18" t="n">
        <v>0</v>
      </c>
      <c r="P78" s="20" t="n">
        <v>0</v>
      </c>
      <c r="Q78" s="18" t="n">
        <v>1.39015697</v>
      </c>
      <c r="R78" s="20" t="n">
        <v>0.39153572</v>
      </c>
    </row>
    <row r="79" spans="1:18">
      <c r="A79" s="15" t="s">
        <v>639</v>
      </c>
      <c r="B79" s="17" t="n">
        <v>3154</v>
      </c>
      <c r="C79" s="18">
        <f>(2486.0/B79*100)</f>
        <v/>
      </c>
      <c r="D79" s="19" t="n">
        <v>668</v>
      </c>
      <c r="E79" s="18" t="n">
        <v>44.88518291</v>
      </c>
      <c r="F79" s="20" t="n">
        <v>2.09350487</v>
      </c>
      <c r="G79" s="18" t="n">
        <v>48.45907343</v>
      </c>
      <c r="H79" s="20" t="n">
        <v>1.95683308</v>
      </c>
      <c r="I79" s="18" t="n">
        <v>0</v>
      </c>
      <c r="J79" s="20" t="n">
        <v>0</v>
      </c>
      <c r="K79" s="18" t="n">
        <v>4.48469309</v>
      </c>
      <c r="L79" s="20" t="n">
        <v>0.86939928</v>
      </c>
      <c r="M79" s="18" t="n">
        <v>0</v>
      </c>
      <c r="N79" s="20" t="n">
        <v>0</v>
      </c>
      <c r="O79" s="18" t="n">
        <v>0</v>
      </c>
      <c r="P79" s="20" t="n">
        <v>0</v>
      </c>
      <c r="Q79" s="18" t="n">
        <v>2.17105058</v>
      </c>
      <c r="R79" s="20" t="n">
        <v>0.57872738</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(12547.0/B82*100)</f>
        <v/>
      </c>
      <c r="D82" s="19" t="n">
        <v>3414</v>
      </c>
      <c r="E82" s="18" t="n">
        <v>31.91291293</v>
      </c>
      <c r="F82" s="20" t="n">
        <v>1.04276337</v>
      </c>
      <c r="G82" s="18" t="n">
        <v>65.70765075</v>
      </c>
      <c r="H82" s="20" t="n">
        <v>1.02175595</v>
      </c>
      <c r="I82" s="18" t="n">
        <v>0</v>
      </c>
      <c r="J82" s="20" t="n">
        <v>0</v>
      </c>
      <c r="K82" s="18" t="n">
        <v>1.39904111</v>
      </c>
      <c r="L82" s="20" t="n">
        <v>0.29592944</v>
      </c>
      <c r="M82" s="18" t="n">
        <v>0</v>
      </c>
      <c r="N82" s="20" t="n">
        <v>0</v>
      </c>
      <c r="O82" s="18" t="n">
        <v>0</v>
      </c>
      <c r="P82" s="20" t="n">
        <v>0</v>
      </c>
      <c r="Q82" s="18" t="n">
        <v>0.98039522</v>
      </c>
      <c r="R82" s="20" t="n">
        <v>0.25891855</v>
      </c>
    </row>
    <row r="83" spans="1:18">
      <c r="A83" s="15" t="s">
        <v>643</v>
      </c>
      <c r="B83" s="17" t="n">
        <v>808</v>
      </c>
      <c r="C83" s="18">
        <f>(619.0/B83*100)</f>
        <v/>
      </c>
      <c r="D83" s="19" t="n">
        <v>189</v>
      </c>
      <c r="E83" s="18" t="n">
        <v>27.32172258</v>
      </c>
      <c r="F83" s="20" t="n">
        <v>2.83058552</v>
      </c>
      <c r="G83" s="18" t="n">
        <v>71.7890658</v>
      </c>
      <c r="H83" s="20" t="n">
        <v>2.9336883</v>
      </c>
      <c r="I83" s="18" t="n">
        <v>0</v>
      </c>
      <c r="J83" s="20" t="n">
        <v>0</v>
      </c>
      <c r="K83" s="18" t="n">
        <v>0</v>
      </c>
      <c r="L83" s="20" t="n">
        <v>0</v>
      </c>
      <c r="M83" s="18" t="n">
        <v>0</v>
      </c>
      <c r="N83" s="20" t="n">
        <v>0</v>
      </c>
      <c r="O83" s="18" t="n">
        <v>0</v>
      </c>
      <c r="P83" s="20" t="n">
        <v>0</v>
      </c>
      <c r="Q83" s="18" t="n">
        <v>0.88921162</v>
      </c>
      <c r="R83" s="20" t="n">
        <v>0.62907321</v>
      </c>
    </row>
    <row r="84" spans="1:18">
      <c r="A84" s="23" t="s">
        <v>644</v>
      </c>
      <c r="B84" s="24" t="n">
        <v>938</v>
      </c>
      <c r="C84" s="25">
        <f>(719.0/B84*100)</f>
        <v/>
      </c>
      <c r="D84" s="19" t="n">
        <v>219</v>
      </c>
      <c r="E84" s="18" t="n">
        <v>30.51768052</v>
      </c>
      <c r="F84" s="20" t="n">
        <v>2.8125208</v>
      </c>
      <c r="G84" s="18" t="n">
        <v>68.93641492</v>
      </c>
      <c r="H84" s="20" t="n">
        <v>2.96161539</v>
      </c>
      <c r="I84" s="18" t="n">
        <v>0</v>
      </c>
      <c r="J84" s="20" t="n">
        <v>0</v>
      </c>
      <c r="K84" s="18" t="n">
        <v>0</v>
      </c>
      <c r="L84" s="20" t="n">
        <v>0</v>
      </c>
      <c r="M84" s="18" t="n">
        <v>0</v>
      </c>
      <c r="N84" s="20" t="n">
        <v>0</v>
      </c>
      <c r="O84" s="18" t="n">
        <v>0</v>
      </c>
      <c r="P84" s="20" t="n">
        <v>0</v>
      </c>
      <c r="Q84" s="18" t="n">
        <v>0.54590456</v>
      </c>
      <c r="R84" s="20" t="n">
        <v>0.51958499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(5686.0/B7*100)</f>
        <v/>
      </c>
      <c r="D7" s="19" t="n">
        <v>1477</v>
      </c>
      <c r="E7" s="18" t="n">
        <v>28.91492139</v>
      </c>
      <c r="F7" s="20" t="n">
        <v>1.24627702</v>
      </c>
      <c r="G7" s="18" t="n">
        <v>67.9849076</v>
      </c>
      <c r="H7" s="20" t="n">
        <v>1.38777595</v>
      </c>
      <c r="I7" s="18" t="n">
        <v>0</v>
      </c>
      <c r="J7" s="20" t="n">
        <v>0</v>
      </c>
      <c r="K7" s="18" t="n">
        <v>3.09334151</v>
      </c>
      <c r="L7" s="20" t="n">
        <v>0.48255678</v>
      </c>
      <c r="M7" s="18" t="n">
        <v>0.0068295</v>
      </c>
      <c r="N7" s="20" t="n">
        <v>0.00648439</v>
      </c>
      <c r="O7" s="18" t="n">
        <v>0</v>
      </c>
      <c r="P7" s="20" t="n">
        <v>0</v>
      </c>
      <c r="Q7" s="18" t="n">
        <v>0</v>
      </c>
      <c r="R7" s="20" t="n">
        <v>0</v>
      </c>
    </row>
    <row r="8" spans="1:18">
      <c r="A8" s="15" t="s">
        <v>566</v>
      </c>
      <c r="B8" s="17" t="n">
        <v>3443</v>
      </c>
      <c r="C8" s="18">
        <f>(2684.0/B8*100)</f>
        <v/>
      </c>
      <c r="D8" s="19" t="n">
        <v>759</v>
      </c>
      <c r="E8" s="18" t="n">
        <v>49.87484655</v>
      </c>
      <c r="F8" s="20" t="n">
        <v>2.72473011</v>
      </c>
      <c r="G8" s="18" t="n">
        <v>46.33435846</v>
      </c>
      <c r="H8" s="20" t="n">
        <v>2.56395886</v>
      </c>
      <c r="I8" s="18" t="n">
        <v>0</v>
      </c>
      <c r="J8" s="20" t="n">
        <v>0</v>
      </c>
      <c r="K8" s="18" t="n">
        <v>3.79079499</v>
      </c>
      <c r="L8" s="20" t="n">
        <v>1.08876251</v>
      </c>
      <c r="M8" s="18" t="n">
        <v>0</v>
      </c>
      <c r="N8" s="20" t="n">
        <v>0</v>
      </c>
      <c r="O8" s="18" t="n">
        <v>0</v>
      </c>
      <c r="P8" s="20" t="n">
        <v>0</v>
      </c>
      <c r="Q8" s="18" t="n">
        <v>0</v>
      </c>
      <c r="R8" s="20" t="n">
        <v>0</v>
      </c>
    </row>
    <row r="9" spans="1:18">
      <c r="A9" s="15" t="s">
        <v>567</v>
      </c>
      <c r="B9" s="17" t="n">
        <v>4752</v>
      </c>
      <c r="C9" s="18">
        <f>(3769.0/B9*100)</f>
        <v/>
      </c>
      <c r="D9" s="19" t="n">
        <v>983</v>
      </c>
      <c r="E9" s="18" t="n">
        <v>34.63035089</v>
      </c>
      <c r="F9" s="20" t="n">
        <v>1.93534706</v>
      </c>
      <c r="G9" s="18" t="n">
        <v>60.33727266</v>
      </c>
      <c r="H9" s="20" t="n">
        <v>2.06930537</v>
      </c>
      <c r="I9" s="18" t="n">
        <v>0</v>
      </c>
      <c r="J9" s="20" t="n">
        <v>0</v>
      </c>
      <c r="K9" s="18" t="n">
        <v>4.72490141</v>
      </c>
      <c r="L9" s="20" t="n">
        <v>0.82586701</v>
      </c>
      <c r="M9" s="18" t="n">
        <v>0.30747504</v>
      </c>
      <c r="N9" s="20" t="n">
        <v>0.22391493</v>
      </c>
      <c r="O9" s="18" t="n">
        <v>0</v>
      </c>
      <c r="P9" s="20" t="n">
        <v>0</v>
      </c>
      <c r="Q9" s="18" t="n">
        <v>0</v>
      </c>
      <c r="R9" s="20" t="n">
        <v>0</v>
      </c>
    </row>
    <row r="10" spans="1:18">
      <c r="A10" s="15" t="s">
        <v>568</v>
      </c>
      <c r="B10" s="17" t="n">
        <v>10022</v>
      </c>
      <c r="C10" s="18">
        <f>(7850.0/B10*100)</f>
        <v/>
      </c>
      <c r="D10" s="19" t="n">
        <v>2172</v>
      </c>
      <c r="E10" s="18" t="n">
        <v>25.7172659</v>
      </c>
      <c r="F10" s="20" t="n">
        <v>1.30910351</v>
      </c>
      <c r="G10" s="18" t="n">
        <v>71.74393382</v>
      </c>
      <c r="H10" s="20" t="n">
        <v>1.31475847</v>
      </c>
      <c r="I10" s="18" t="n">
        <v>0</v>
      </c>
      <c r="J10" s="20" t="n">
        <v>0</v>
      </c>
      <c r="K10" s="18" t="n">
        <v>2.53880028</v>
      </c>
      <c r="L10" s="20" t="n">
        <v>0.46546745</v>
      </c>
      <c r="M10" s="18" t="n">
        <v>0</v>
      </c>
      <c r="N10" s="20" t="n">
        <v>0</v>
      </c>
      <c r="O10" s="18" t="n">
        <v>0</v>
      </c>
      <c r="P10" s="20" t="n">
        <v>0</v>
      </c>
      <c r="Q10" s="18" t="n">
        <v>0</v>
      </c>
      <c r="R10" s="20" t="n">
        <v>0</v>
      </c>
    </row>
    <row r="11" spans="1:18">
      <c r="A11" s="15" t="s">
        <v>569</v>
      </c>
      <c r="B11" s="17" t="n">
        <v>3500</v>
      </c>
      <c r="C11" s="18">
        <f>(2752.0/B11*100)</f>
        <v/>
      </c>
      <c r="D11" s="19" t="n">
        <v>748</v>
      </c>
      <c r="E11" s="18" t="n">
        <v>65.10655351</v>
      </c>
      <c r="F11" s="20" t="n">
        <v>1.77562203</v>
      </c>
      <c r="G11" s="18" t="n">
        <v>27.6655148</v>
      </c>
      <c r="H11" s="20" t="n">
        <v>1.80511182</v>
      </c>
      <c r="I11" s="18" t="n">
        <v>0</v>
      </c>
      <c r="J11" s="20" t="n">
        <v>0</v>
      </c>
      <c r="K11" s="18" t="n">
        <v>7.1694596</v>
      </c>
      <c r="L11" s="20" t="n">
        <v>1.06735613</v>
      </c>
      <c r="M11" s="18" t="n">
        <v>0.05847209</v>
      </c>
      <c r="N11" s="20" t="n">
        <v>0.06421449999999999</v>
      </c>
      <c r="O11" s="18" t="n">
        <v>0</v>
      </c>
      <c r="P11" s="20" t="n">
        <v>0</v>
      </c>
      <c r="Q11" s="18" t="n">
        <v>0</v>
      </c>
      <c r="R11" s="20" t="n">
        <v>0</v>
      </c>
    </row>
    <row r="12" spans="1:18">
      <c r="A12" s="15" t="s">
        <v>570</v>
      </c>
      <c r="B12" s="17" t="n">
        <v>3422</v>
      </c>
      <c r="C12" s="18">
        <f>(2722.0/B12*100)</f>
        <v/>
      </c>
      <c r="D12" s="19" t="n">
        <v>700</v>
      </c>
      <c r="E12" s="18" t="n">
        <v>58.07584225</v>
      </c>
      <c r="F12" s="20" t="n">
        <v>2.06459927</v>
      </c>
      <c r="G12" s="18" t="n">
        <v>39.46583672</v>
      </c>
      <c r="H12" s="20" t="n">
        <v>2.03640426</v>
      </c>
      <c r="I12" s="18" t="n">
        <v>0</v>
      </c>
      <c r="J12" s="20" t="n">
        <v>0</v>
      </c>
      <c r="K12" s="18" t="n">
        <v>2.40564309</v>
      </c>
      <c r="L12" s="20" t="n">
        <v>0.59576599</v>
      </c>
      <c r="M12" s="18" t="n">
        <v>0.05267794</v>
      </c>
      <c r="N12" s="20" t="n">
        <v>0.05264359</v>
      </c>
      <c r="O12" s="18" t="n">
        <v>0</v>
      </c>
      <c r="P12" s="20" t="n">
        <v>0</v>
      </c>
      <c r="Q12" s="18" t="n">
        <v>0</v>
      </c>
      <c r="R12" s="20" t="n">
        <v>0</v>
      </c>
    </row>
    <row r="13" spans="1:18">
      <c r="A13" s="15" t="s">
        <v>571</v>
      </c>
      <c r="B13" s="17" t="n">
        <v>3602</v>
      </c>
      <c r="C13" s="18">
        <f>(2929.0/B13*100)</f>
        <v/>
      </c>
      <c r="D13" s="19" t="n">
        <v>673</v>
      </c>
      <c r="E13" s="18" t="n">
        <v>39.16015945</v>
      </c>
      <c r="F13" s="20" t="n">
        <v>2.83744559</v>
      </c>
      <c r="G13" s="18" t="n">
        <v>57.19635233</v>
      </c>
      <c r="H13" s="20" t="n">
        <v>2.68235429</v>
      </c>
      <c r="I13" s="18" t="n">
        <v>0</v>
      </c>
      <c r="J13" s="20" t="n">
        <v>0</v>
      </c>
      <c r="K13" s="18" t="n">
        <v>3.64348822</v>
      </c>
      <c r="L13" s="20" t="n">
        <v>0.67189162</v>
      </c>
      <c r="M13" s="18" t="n">
        <v>0</v>
      </c>
      <c r="N13" s="20" t="n">
        <v>0</v>
      </c>
      <c r="O13" s="18" t="n">
        <v>0</v>
      </c>
      <c r="P13" s="20" t="n">
        <v>0</v>
      </c>
      <c r="Q13" s="18" t="n">
        <v>0</v>
      </c>
      <c r="R13" s="20" t="n">
        <v>0</v>
      </c>
    </row>
    <row r="14" spans="1:18">
      <c r="A14" s="15" t="s">
        <v>572</v>
      </c>
      <c r="B14" s="17" t="n">
        <v>2788</v>
      </c>
      <c r="C14" s="18">
        <f>(2165.0/B14*100)</f>
        <v/>
      </c>
      <c r="D14" s="19" t="n">
        <v>623</v>
      </c>
      <c r="E14" s="18" t="n">
        <v>26.07780682</v>
      </c>
      <c r="F14" s="20" t="n">
        <v>2.05852734</v>
      </c>
      <c r="G14" s="18" t="n">
        <v>72.51192315</v>
      </c>
      <c r="H14" s="20" t="n">
        <v>2.13737565</v>
      </c>
      <c r="I14" s="18" t="n">
        <v>0</v>
      </c>
      <c r="J14" s="20" t="n">
        <v>0</v>
      </c>
      <c r="K14" s="18" t="n">
        <v>1.41027004</v>
      </c>
      <c r="L14" s="20" t="n">
        <v>0.50177293</v>
      </c>
      <c r="M14" s="18" t="n">
        <v>0</v>
      </c>
      <c r="N14" s="20" t="n">
        <v>0</v>
      </c>
      <c r="O14" s="18" t="n">
        <v>0</v>
      </c>
      <c r="P14" s="20" t="n">
        <v>0</v>
      </c>
      <c r="Q14" s="18" t="n">
        <v>0</v>
      </c>
      <c r="R14" s="20" t="n">
        <v>0</v>
      </c>
    </row>
    <row r="15" spans="1:18">
      <c r="A15" s="15" t="s">
        <v>573</v>
      </c>
      <c r="B15" s="17" t="n">
        <v>2863</v>
      </c>
      <c r="C15" s="18">
        <f>(2242.0/B15*100)</f>
        <v/>
      </c>
      <c r="D15" s="19" t="n">
        <v>621</v>
      </c>
      <c r="E15" s="18" t="n">
        <v>26.49723122</v>
      </c>
      <c r="F15" s="20" t="n">
        <v>2.19958871</v>
      </c>
      <c r="G15" s="18" t="n">
        <v>71.94820891000001</v>
      </c>
      <c r="H15" s="20" t="n">
        <v>2.18786533</v>
      </c>
      <c r="I15" s="18" t="n">
        <v>0</v>
      </c>
      <c r="J15" s="20" t="n">
        <v>0</v>
      </c>
      <c r="K15" s="18" t="n">
        <v>1.55455988</v>
      </c>
      <c r="L15" s="20" t="n">
        <v>0.5374246499999999</v>
      </c>
      <c r="M15" s="18" t="n">
        <v>0</v>
      </c>
      <c r="N15" s="20" t="n">
        <v>0</v>
      </c>
      <c r="O15" s="18" t="n">
        <v>0</v>
      </c>
      <c r="P15" s="20" t="n">
        <v>0</v>
      </c>
      <c r="Q15" s="18" t="n">
        <v>0</v>
      </c>
      <c r="R15" s="20" t="n">
        <v>0</v>
      </c>
    </row>
    <row r="16" spans="1:18">
      <c r="A16" s="15" t="s">
        <v>574</v>
      </c>
      <c r="B16" s="17" t="n">
        <v>3111</v>
      </c>
      <c r="C16" s="18">
        <f>(2458.0/B16*100)</f>
        <v/>
      </c>
      <c r="D16" s="19" t="n">
        <v>653</v>
      </c>
      <c r="E16" s="18" t="n">
        <v>31.32822877</v>
      </c>
      <c r="F16" s="20" t="n">
        <v>1.78865171</v>
      </c>
      <c r="G16" s="18" t="n">
        <v>62.91098779</v>
      </c>
      <c r="H16" s="20" t="n">
        <v>1.70244604</v>
      </c>
      <c r="I16" s="18" t="n">
        <v>0</v>
      </c>
      <c r="J16" s="20" t="n">
        <v>0</v>
      </c>
      <c r="K16" s="18" t="n">
        <v>5.76078344</v>
      </c>
      <c r="L16" s="20" t="n">
        <v>0.9766825</v>
      </c>
      <c r="M16" s="18" t="n">
        <v>0</v>
      </c>
      <c r="N16" s="20" t="n">
        <v>0</v>
      </c>
      <c r="O16" s="18" t="n">
        <v>0</v>
      </c>
      <c r="P16" s="20" t="n">
        <v>0</v>
      </c>
      <c r="Q16" s="18" t="n">
        <v>0</v>
      </c>
      <c r="R16" s="20" t="n">
        <v>0</v>
      </c>
    </row>
    <row r="17" spans="1:18">
      <c r="A17" s="15" t="s">
        <v>575</v>
      </c>
      <c r="B17" s="17" t="n">
        <v>3197</v>
      </c>
      <c r="C17" s="18">
        <f>(2567.0/B17*100)</f>
        <v/>
      </c>
      <c r="D17" s="19" t="n">
        <v>630</v>
      </c>
      <c r="E17" s="18" t="n">
        <v>34.31201485</v>
      </c>
      <c r="F17" s="20" t="n">
        <v>2.0679254</v>
      </c>
      <c r="G17" s="18" t="n">
        <v>60.257685</v>
      </c>
      <c r="H17" s="20" t="n">
        <v>2.23909224</v>
      </c>
      <c r="I17" s="18" t="n">
        <v>0</v>
      </c>
      <c r="J17" s="20" t="n">
        <v>0</v>
      </c>
      <c r="K17" s="18" t="n">
        <v>5.43030015</v>
      </c>
      <c r="L17" s="20" t="n">
        <v>1.03314187</v>
      </c>
      <c r="M17" s="18" t="n">
        <v>0</v>
      </c>
      <c r="N17" s="20" t="n">
        <v>0</v>
      </c>
      <c r="O17" s="18" t="n">
        <v>0</v>
      </c>
      <c r="P17" s="20" t="n">
        <v>0</v>
      </c>
      <c r="Q17" s="18" t="n">
        <v>0</v>
      </c>
      <c r="R17" s="20" t="n">
        <v>0</v>
      </c>
    </row>
    <row r="18" spans="1:18">
      <c r="A18" s="15" t="s">
        <v>576</v>
      </c>
      <c r="B18" s="17" t="n">
        <v>2706</v>
      </c>
      <c r="C18" s="18">
        <f>(2117.0/B18*100)</f>
        <v/>
      </c>
      <c r="D18" s="19" t="n">
        <v>589</v>
      </c>
      <c r="E18" s="18" t="n">
        <v>53.44256081</v>
      </c>
      <c r="F18" s="20" t="n">
        <v>2.07505643</v>
      </c>
      <c r="G18" s="18" t="n">
        <v>43.72793384</v>
      </c>
      <c r="H18" s="20" t="n">
        <v>2.08254651</v>
      </c>
      <c r="I18" s="18" t="n">
        <v>0</v>
      </c>
      <c r="J18" s="20" t="n">
        <v>0</v>
      </c>
      <c r="K18" s="18" t="n">
        <v>2.82950535</v>
      </c>
      <c r="L18" s="20" t="n">
        <v>0.84516859</v>
      </c>
      <c r="M18" s="18" t="n">
        <v>0</v>
      </c>
      <c r="N18" s="20" t="n">
        <v>0</v>
      </c>
      <c r="O18" s="18" t="n">
        <v>0</v>
      </c>
      <c r="P18" s="20" t="n">
        <v>0</v>
      </c>
      <c r="Q18" s="18" t="n">
        <v>0</v>
      </c>
      <c r="R18" s="20" t="n">
        <v>0</v>
      </c>
    </row>
    <row r="19" spans="1:18">
      <c r="A19" s="15" t="s">
        <v>577</v>
      </c>
      <c r="B19" s="17" t="n">
        <v>2850</v>
      </c>
      <c r="C19" s="18">
        <f>(2209.0/B19*100)</f>
        <v/>
      </c>
      <c r="D19" s="19" t="n">
        <v>641</v>
      </c>
      <c r="E19" s="18" t="n">
        <v>46.30678684</v>
      </c>
      <c r="F19" s="20" t="n">
        <v>2.24577921</v>
      </c>
      <c r="G19" s="18" t="n">
        <v>51.50805458</v>
      </c>
      <c r="H19" s="20" t="n">
        <v>2.30658099</v>
      </c>
      <c r="I19" s="18" t="n">
        <v>0</v>
      </c>
      <c r="J19" s="20" t="n">
        <v>0</v>
      </c>
      <c r="K19" s="18" t="n">
        <v>2.18515859</v>
      </c>
      <c r="L19" s="20" t="n">
        <v>0.66295392</v>
      </c>
      <c r="M19" s="18" t="n">
        <v>0</v>
      </c>
      <c r="N19" s="20" t="n">
        <v>0</v>
      </c>
      <c r="O19" s="18" t="n">
        <v>0</v>
      </c>
      <c r="P19" s="20" t="n">
        <v>0</v>
      </c>
      <c r="Q19" s="18" t="n">
        <v>0</v>
      </c>
      <c r="R19" s="20" t="n">
        <v>0</v>
      </c>
    </row>
    <row r="20" spans="1:18">
      <c r="A20" s="15" t="s">
        <v>578</v>
      </c>
      <c r="B20" s="17" t="n">
        <v>1741</v>
      </c>
      <c r="C20" s="18">
        <f>(1379.0/B20*100)</f>
        <v/>
      </c>
      <c r="D20" s="19" t="n">
        <v>362</v>
      </c>
      <c r="E20" s="18" t="n">
        <v>48.00502284</v>
      </c>
      <c r="F20" s="20" t="n">
        <v>2.5727862</v>
      </c>
      <c r="G20" s="18" t="n">
        <v>49.22897797</v>
      </c>
      <c r="H20" s="20" t="n">
        <v>2.60654961</v>
      </c>
      <c r="I20" s="18" t="n">
        <v>0</v>
      </c>
      <c r="J20" s="20" t="n">
        <v>0</v>
      </c>
      <c r="K20" s="18" t="n">
        <v>2.34036802</v>
      </c>
      <c r="L20" s="20" t="n">
        <v>0.75300182</v>
      </c>
      <c r="M20" s="18" t="n">
        <v>0.42563117</v>
      </c>
      <c r="N20" s="20" t="n">
        <v>0.41044984</v>
      </c>
      <c r="O20" s="18" t="n">
        <v>0</v>
      </c>
      <c r="P20" s="20" t="n">
        <v>0</v>
      </c>
      <c r="Q20" s="18" t="n">
        <v>0</v>
      </c>
      <c r="R20" s="20" t="n">
        <v>0</v>
      </c>
    </row>
    <row r="21" spans="1:18">
      <c r="A21" s="15" t="s">
        <v>579</v>
      </c>
      <c r="B21" s="17" t="n">
        <v>2833</v>
      </c>
      <c r="C21" s="18">
        <f>(2242.0/B21*100)</f>
        <v/>
      </c>
      <c r="D21" s="19" t="n">
        <v>591</v>
      </c>
      <c r="E21" s="18" t="n">
        <v>27.63785054</v>
      </c>
      <c r="F21" s="20" t="n">
        <v>1.94588807</v>
      </c>
      <c r="G21" s="18" t="n">
        <v>69.21222519</v>
      </c>
      <c r="H21" s="20" t="n">
        <v>2.04779577</v>
      </c>
      <c r="I21" s="18" t="n">
        <v>0</v>
      </c>
      <c r="J21" s="20" t="n">
        <v>0</v>
      </c>
      <c r="K21" s="18" t="n">
        <v>3.14992427</v>
      </c>
      <c r="L21" s="20" t="n">
        <v>0.76028905</v>
      </c>
      <c r="M21" s="18" t="n">
        <v>0</v>
      </c>
      <c r="N21" s="20" t="n">
        <v>0</v>
      </c>
      <c r="O21" s="18" t="n">
        <v>0</v>
      </c>
      <c r="P21" s="20" t="n">
        <v>0</v>
      </c>
      <c r="Q21" s="18" t="n">
        <v>0</v>
      </c>
      <c r="R21" s="20" t="n">
        <v>0</v>
      </c>
    </row>
    <row r="22" spans="1:18">
      <c r="A22" s="15" t="s">
        <v>580</v>
      </c>
      <c r="B22" s="17" t="n">
        <v>3667</v>
      </c>
      <c r="C22" s="18">
        <f>(2900.0/B22*100)</f>
        <v/>
      </c>
      <c r="D22" s="19" t="n">
        <v>767</v>
      </c>
      <c r="E22" s="18" t="n">
        <v>44.68084781</v>
      </c>
      <c r="F22" s="20" t="n">
        <v>2.18590352</v>
      </c>
      <c r="G22" s="18" t="n">
        <v>49.14342262</v>
      </c>
      <c r="H22" s="20" t="n">
        <v>2.20336279</v>
      </c>
      <c r="I22" s="18" t="n">
        <v>0</v>
      </c>
      <c r="J22" s="20" t="n">
        <v>0</v>
      </c>
      <c r="K22" s="18" t="n">
        <v>6.17572957</v>
      </c>
      <c r="L22" s="20" t="n">
        <v>1.05720967</v>
      </c>
      <c r="M22" s="18" t="n">
        <v>0</v>
      </c>
      <c r="N22" s="20" t="n">
        <v>0</v>
      </c>
      <c r="O22" s="18" t="n">
        <v>0</v>
      </c>
      <c r="P22" s="20" t="n">
        <v>0</v>
      </c>
      <c r="Q22" s="18" t="n">
        <v>0</v>
      </c>
      <c r="R22" s="20" t="n">
        <v>0</v>
      </c>
    </row>
    <row r="23" spans="1:18">
      <c r="A23" s="15" t="s">
        <v>581</v>
      </c>
      <c r="B23" s="17" t="n">
        <v>5792</v>
      </c>
      <c r="C23" s="18">
        <f>(4515.0/B23*100)</f>
        <v/>
      </c>
      <c r="D23" s="19" t="n">
        <v>1277</v>
      </c>
      <c r="E23" s="18" t="n">
        <v>46.66107779</v>
      </c>
      <c r="F23" s="20" t="n">
        <v>2.01411961</v>
      </c>
      <c r="G23" s="18" t="n">
        <v>45.30389302</v>
      </c>
      <c r="H23" s="20" t="n">
        <v>2.10019846</v>
      </c>
      <c r="I23" s="18" t="n">
        <v>0</v>
      </c>
      <c r="J23" s="20" t="n">
        <v>0</v>
      </c>
      <c r="K23" s="18" t="n">
        <v>6.62476353</v>
      </c>
      <c r="L23" s="20" t="n">
        <v>0.96974672</v>
      </c>
      <c r="M23" s="18" t="n">
        <v>1.41026566</v>
      </c>
      <c r="N23" s="20" t="n">
        <v>1.25333302</v>
      </c>
      <c r="O23" s="18" t="n">
        <v>0</v>
      </c>
      <c r="P23" s="20" t="n">
        <v>0</v>
      </c>
      <c r="Q23" s="18" t="n">
        <v>0</v>
      </c>
      <c r="R23" s="20" t="n">
        <v>0</v>
      </c>
    </row>
    <row r="24" spans="1:18">
      <c r="A24" s="15" t="s">
        <v>582</v>
      </c>
      <c r="B24" s="17" t="n">
        <v>3309</v>
      </c>
      <c r="C24" s="18">
        <f>(2621.0/B24*100)</f>
        <v/>
      </c>
      <c r="D24" s="19" t="n">
        <v>688</v>
      </c>
      <c r="E24" s="18" t="n">
        <v>25.48731018</v>
      </c>
      <c r="F24" s="20" t="n">
        <v>1.6971241</v>
      </c>
      <c r="G24" s="18" t="n">
        <v>71.83871323</v>
      </c>
      <c r="H24" s="20" t="n">
        <v>1.79228686</v>
      </c>
      <c r="I24" s="18" t="n">
        <v>0</v>
      </c>
      <c r="J24" s="20" t="n">
        <v>0</v>
      </c>
      <c r="K24" s="18" t="n">
        <v>2.6739766</v>
      </c>
      <c r="L24" s="20" t="n">
        <v>0.53058223</v>
      </c>
      <c r="M24" s="18" t="n">
        <v>0</v>
      </c>
      <c r="N24" s="20" t="n">
        <v>0</v>
      </c>
      <c r="O24" s="18" t="n">
        <v>0</v>
      </c>
      <c r="P24" s="20" t="n">
        <v>0</v>
      </c>
      <c r="Q24" s="18" t="n">
        <v>0</v>
      </c>
      <c r="R24" s="20" t="n">
        <v>0</v>
      </c>
    </row>
    <row r="25" spans="1:18">
      <c r="A25" s="15" t="s">
        <v>583</v>
      </c>
      <c r="B25" s="17" t="n">
        <v>2669</v>
      </c>
      <c r="C25" s="18">
        <f>(2091.0/B25*100)</f>
        <v/>
      </c>
      <c r="D25" s="19" t="n">
        <v>578</v>
      </c>
      <c r="E25" s="18" t="n">
        <v>34.66624619</v>
      </c>
      <c r="F25" s="20" t="n">
        <v>1.98310773</v>
      </c>
      <c r="G25" s="18" t="n">
        <v>65.33375381</v>
      </c>
      <c r="H25" s="20" t="n">
        <v>1.98310773</v>
      </c>
      <c r="I25" s="18" t="n">
        <v>0</v>
      </c>
      <c r="J25" s="20" t="n">
        <v>0</v>
      </c>
      <c r="K25" s="18" t="n">
        <v>0</v>
      </c>
      <c r="L25" s="20" t="n">
        <v>0</v>
      </c>
      <c r="M25" s="18" t="n">
        <v>0</v>
      </c>
      <c r="N25" s="20" t="n">
        <v>0</v>
      </c>
      <c r="O25" s="18" t="n">
        <v>0</v>
      </c>
      <c r="P25" s="20" t="n">
        <v>0</v>
      </c>
      <c r="Q25" s="18" t="n">
        <v>0</v>
      </c>
      <c r="R25" s="20" t="n">
        <v>0</v>
      </c>
    </row>
    <row r="26" spans="1:18">
      <c r="A26" s="15" t="s">
        <v>584</v>
      </c>
      <c r="B26" s="17" t="n">
        <v>2419</v>
      </c>
      <c r="C26" s="18">
        <f>(1864.0/B26*100)</f>
        <v/>
      </c>
      <c r="D26" s="19" t="n">
        <v>555</v>
      </c>
      <c r="E26" s="18" t="n">
        <v>41.89712321</v>
      </c>
      <c r="F26" s="20" t="n">
        <v>2.24645497</v>
      </c>
      <c r="G26" s="18" t="n">
        <v>57.67175211</v>
      </c>
      <c r="H26" s="20" t="n">
        <v>2.20737237</v>
      </c>
      <c r="I26" s="18" t="n">
        <v>0</v>
      </c>
      <c r="J26" s="20" t="n">
        <v>0</v>
      </c>
      <c r="K26" s="18" t="n">
        <v>0.43112468</v>
      </c>
      <c r="L26" s="20" t="n">
        <v>0.25431201</v>
      </c>
      <c r="M26" s="18" t="n">
        <v>0</v>
      </c>
      <c r="N26" s="20" t="n">
        <v>0</v>
      </c>
      <c r="O26" s="18" t="n">
        <v>0</v>
      </c>
      <c r="P26" s="20" t="n">
        <v>0</v>
      </c>
      <c r="Q26" s="18" t="n">
        <v>0</v>
      </c>
      <c r="R26" s="20" t="n">
        <v>0</v>
      </c>
    </row>
    <row r="27" spans="1:18">
      <c r="A27" s="15" t="s">
        <v>585</v>
      </c>
      <c r="B27" s="17" t="n">
        <v>2683</v>
      </c>
      <c r="C27" s="18">
        <f>(2161.0/B27*100)</f>
        <v/>
      </c>
      <c r="D27" s="19" t="n">
        <v>522</v>
      </c>
      <c r="E27" s="18" t="n">
        <v>39.92624986</v>
      </c>
      <c r="F27" s="20" t="n">
        <v>1.89143912</v>
      </c>
      <c r="G27" s="18" t="n">
        <v>54.0761085</v>
      </c>
      <c r="H27" s="20" t="n">
        <v>1.88694641</v>
      </c>
      <c r="I27" s="18" t="n">
        <v>0</v>
      </c>
      <c r="J27" s="20" t="n">
        <v>0</v>
      </c>
      <c r="K27" s="18" t="n">
        <v>5.99764164</v>
      </c>
      <c r="L27" s="20" t="n">
        <v>1.00506334</v>
      </c>
      <c r="M27" s="18" t="n">
        <v>0</v>
      </c>
      <c r="N27" s="20" t="n">
        <v>0</v>
      </c>
      <c r="O27" s="18" t="n">
        <v>0</v>
      </c>
      <c r="P27" s="20" t="n">
        <v>0</v>
      </c>
      <c r="Q27" s="18" t="n">
        <v>0</v>
      </c>
      <c r="R27" s="20" t="n">
        <v>0</v>
      </c>
    </row>
    <row r="28" spans="1:18">
      <c r="A28" s="15" t="s">
        <v>586</v>
      </c>
      <c r="B28" s="17" t="n">
        <v>3803</v>
      </c>
      <c r="C28" s="18">
        <f>(3049.0/B28*100)</f>
        <v/>
      </c>
      <c r="D28" s="19" t="n">
        <v>754</v>
      </c>
      <c r="E28" s="18" t="n">
        <v>75.45925631</v>
      </c>
      <c r="F28" s="20" t="n">
        <v>1.60718552</v>
      </c>
      <c r="G28" s="18" t="n">
        <v>21.58088596</v>
      </c>
      <c r="H28" s="20" t="n">
        <v>1.68919142</v>
      </c>
      <c r="I28" s="18" t="n">
        <v>0</v>
      </c>
      <c r="J28" s="20" t="n">
        <v>0</v>
      </c>
      <c r="K28" s="18" t="n">
        <v>2.95985773</v>
      </c>
      <c r="L28" s="20" t="n">
        <v>0.67247614</v>
      </c>
      <c r="M28" s="18" t="n">
        <v>0</v>
      </c>
      <c r="N28" s="20" t="n">
        <v>0</v>
      </c>
      <c r="O28" s="18" t="n">
        <v>0</v>
      </c>
      <c r="P28" s="20" t="n">
        <v>0</v>
      </c>
      <c r="Q28" s="18" t="n">
        <v>0</v>
      </c>
      <c r="R28" s="20" t="n">
        <v>0</v>
      </c>
    </row>
    <row r="29" spans="1:18">
      <c r="A29" s="15" t="s">
        <v>587</v>
      </c>
      <c r="B29" s="17" t="n">
        <v>2700</v>
      </c>
      <c r="C29" s="18">
        <f>(2113.0/B29*100)</f>
        <v/>
      </c>
      <c r="D29" s="19" t="n">
        <v>587</v>
      </c>
      <c r="E29" s="18" t="n">
        <v>32.42128946</v>
      </c>
      <c r="F29" s="20" t="n">
        <v>2.21485539</v>
      </c>
      <c r="G29" s="18" t="n">
        <v>66.33977097</v>
      </c>
      <c r="H29" s="20" t="n">
        <v>2.31241044</v>
      </c>
      <c r="I29" s="18" t="n">
        <v>0</v>
      </c>
      <c r="J29" s="20" t="n">
        <v>0</v>
      </c>
      <c r="K29" s="18" t="n">
        <v>1.23893957</v>
      </c>
      <c r="L29" s="20" t="n">
        <v>0.46618056</v>
      </c>
      <c r="M29" s="18" t="n">
        <v>0</v>
      </c>
      <c r="N29" s="20" t="n">
        <v>0</v>
      </c>
      <c r="O29" s="18" t="n">
        <v>0</v>
      </c>
      <c r="P29" s="20" t="n">
        <v>0</v>
      </c>
      <c r="Q29" s="18" t="n">
        <v>0</v>
      </c>
      <c r="R29" s="20" t="n">
        <v>0</v>
      </c>
    </row>
    <row r="30" spans="1:18">
      <c r="A30" s="15" t="s">
        <v>588</v>
      </c>
      <c r="B30" s="17" t="n">
        <v>2257</v>
      </c>
      <c r="C30" s="18">
        <f>(1801.0/B30*100)</f>
        <v/>
      </c>
      <c r="D30" s="19" t="n">
        <v>456</v>
      </c>
      <c r="E30" s="18" t="n">
        <v>26.13729431</v>
      </c>
      <c r="F30" s="20" t="n">
        <v>1.96503978</v>
      </c>
      <c r="G30" s="18" t="n">
        <v>69.29022143</v>
      </c>
      <c r="H30" s="20" t="n">
        <v>2.08346698</v>
      </c>
      <c r="I30" s="18" t="n">
        <v>0</v>
      </c>
      <c r="J30" s="20" t="n">
        <v>0</v>
      </c>
      <c r="K30" s="18" t="n">
        <v>4.36742028</v>
      </c>
      <c r="L30" s="20" t="n">
        <v>0.80214904</v>
      </c>
      <c r="M30" s="18" t="n">
        <v>0.20506397</v>
      </c>
      <c r="N30" s="20" t="n">
        <v>0.20480834</v>
      </c>
      <c r="O30" s="18" t="n">
        <v>0</v>
      </c>
      <c r="P30" s="20" t="n">
        <v>0</v>
      </c>
      <c r="Q30" s="18" t="n">
        <v>0</v>
      </c>
      <c r="R30" s="20" t="n">
        <v>0</v>
      </c>
    </row>
    <row r="31" spans="1:18">
      <c r="A31" s="15" t="s">
        <v>589</v>
      </c>
      <c r="B31" s="17" t="n">
        <v>2706</v>
      </c>
      <c r="C31" s="18">
        <f>(2132.0/B31*100)</f>
        <v/>
      </c>
      <c r="D31" s="19" t="n">
        <v>574</v>
      </c>
      <c r="E31" s="18" t="n">
        <v>43.85704626</v>
      </c>
      <c r="F31" s="20" t="n">
        <v>2.03534105</v>
      </c>
      <c r="G31" s="18" t="n">
        <v>52.14480196</v>
      </c>
      <c r="H31" s="20" t="n">
        <v>2.05153871</v>
      </c>
      <c r="I31" s="18" t="n">
        <v>0</v>
      </c>
      <c r="J31" s="20" t="n">
        <v>0</v>
      </c>
      <c r="K31" s="18" t="n">
        <v>3.67349744</v>
      </c>
      <c r="L31" s="20" t="n">
        <v>0.89758075</v>
      </c>
      <c r="M31" s="18" t="n">
        <v>0.32465434</v>
      </c>
      <c r="N31" s="20" t="n">
        <v>0.235178</v>
      </c>
      <c r="O31" s="18" t="n">
        <v>0</v>
      </c>
      <c r="P31" s="20" t="n">
        <v>0</v>
      </c>
      <c r="Q31" s="18" t="n">
        <v>0</v>
      </c>
      <c r="R31" s="20" t="n">
        <v>0</v>
      </c>
    </row>
    <row r="32" spans="1:18">
      <c r="A32" s="15" t="s">
        <v>590</v>
      </c>
      <c r="B32" s="17" t="n">
        <v>2209</v>
      </c>
      <c r="C32" s="18">
        <f>(1742.0/B32*100)</f>
        <v/>
      </c>
      <c r="D32" s="19" t="n">
        <v>467</v>
      </c>
      <c r="E32" s="18" t="n">
        <v>42.13977283</v>
      </c>
      <c r="F32" s="20" t="n">
        <v>2.26386673</v>
      </c>
      <c r="G32" s="18" t="n">
        <v>56.36469273</v>
      </c>
      <c r="H32" s="20" t="n">
        <v>2.3574819</v>
      </c>
      <c r="I32" s="18" t="n">
        <v>0</v>
      </c>
      <c r="J32" s="20" t="n">
        <v>0</v>
      </c>
      <c r="K32" s="18" t="n">
        <v>1.49553445</v>
      </c>
      <c r="L32" s="20" t="n">
        <v>0.5773253</v>
      </c>
      <c r="M32" s="18" t="n">
        <v>0</v>
      </c>
      <c r="N32" s="20" t="n">
        <v>0</v>
      </c>
      <c r="O32" s="18" t="n">
        <v>0</v>
      </c>
      <c r="P32" s="20" t="n">
        <v>0</v>
      </c>
      <c r="Q32" s="18" t="n">
        <v>0</v>
      </c>
      <c r="R32" s="20" t="n">
        <v>0</v>
      </c>
    </row>
    <row r="33" spans="1:18">
      <c r="A33" s="15" t="s">
        <v>591</v>
      </c>
      <c r="B33" s="17" t="n">
        <v>3651</v>
      </c>
      <c r="C33" s="18">
        <f>(2920.0/B33*100)</f>
        <v/>
      </c>
      <c r="D33" s="19" t="n">
        <v>731</v>
      </c>
      <c r="E33" s="18" t="n">
        <v>35.53523676</v>
      </c>
      <c r="F33" s="20" t="n">
        <v>2.1574654</v>
      </c>
      <c r="G33" s="18" t="n">
        <v>62.384892</v>
      </c>
      <c r="H33" s="20" t="n">
        <v>2.20952515</v>
      </c>
      <c r="I33" s="18" t="n">
        <v>0</v>
      </c>
      <c r="J33" s="20" t="n">
        <v>0</v>
      </c>
      <c r="K33" s="18" t="n">
        <v>2.07987123</v>
      </c>
      <c r="L33" s="20" t="n">
        <v>0.73411732</v>
      </c>
      <c r="M33" s="18" t="n">
        <v>0</v>
      </c>
      <c r="N33" s="20" t="n">
        <v>0</v>
      </c>
      <c r="O33" s="18" t="n">
        <v>0</v>
      </c>
      <c r="P33" s="20" t="n">
        <v>0</v>
      </c>
      <c r="Q33" s="18" t="n">
        <v>0</v>
      </c>
      <c r="R33" s="20" t="n">
        <v>0</v>
      </c>
    </row>
    <row r="34" spans="1:18">
      <c r="A34" s="15" t="s">
        <v>592</v>
      </c>
      <c r="B34" s="17" t="n">
        <v>3035</v>
      </c>
      <c r="C34" s="18">
        <f>(2427.0/B34*100)</f>
        <v/>
      </c>
      <c r="D34" s="19" t="n">
        <v>608</v>
      </c>
      <c r="E34" s="18" t="n">
        <v>60.80065898</v>
      </c>
      <c r="F34" s="20" t="n">
        <v>2.15120975</v>
      </c>
      <c r="G34" s="18" t="n">
        <v>35.90639044</v>
      </c>
      <c r="H34" s="20" t="n">
        <v>2.01458949</v>
      </c>
      <c r="I34" s="18" t="n">
        <v>0</v>
      </c>
      <c r="J34" s="20" t="n">
        <v>0</v>
      </c>
      <c r="K34" s="18" t="n">
        <v>2.81366056</v>
      </c>
      <c r="L34" s="20" t="n">
        <v>0.71234087</v>
      </c>
      <c r="M34" s="18" t="n">
        <v>0.47929002</v>
      </c>
      <c r="N34" s="20" t="n">
        <v>0.35599478</v>
      </c>
      <c r="O34" s="18" t="n">
        <v>0</v>
      </c>
      <c r="P34" s="20" t="n">
        <v>0</v>
      </c>
      <c r="Q34" s="18" t="n">
        <v>0</v>
      </c>
      <c r="R34" s="20" t="n">
        <v>0</v>
      </c>
    </row>
    <row r="35" spans="1:18">
      <c r="A35" s="15" t="s">
        <v>593</v>
      </c>
      <c r="B35" s="17" t="n">
        <v>2901</v>
      </c>
      <c r="C35" s="18">
        <f>(2266.0/B35*100)</f>
        <v/>
      </c>
      <c r="D35" s="19" t="n">
        <v>635</v>
      </c>
      <c r="E35" s="18" t="n">
        <v>37.61305668</v>
      </c>
      <c r="F35" s="20" t="n">
        <v>2.22271</v>
      </c>
      <c r="G35" s="18" t="n">
        <v>61.03815791</v>
      </c>
      <c r="H35" s="20" t="n">
        <v>2.22224061</v>
      </c>
      <c r="I35" s="18" t="n">
        <v>0</v>
      </c>
      <c r="J35" s="20" t="n">
        <v>0</v>
      </c>
      <c r="K35" s="18" t="n">
        <v>1.34878541</v>
      </c>
      <c r="L35" s="20" t="n">
        <v>0.45007596</v>
      </c>
      <c r="M35" s="18" t="n">
        <v>0</v>
      </c>
      <c r="N35" s="20" t="n">
        <v>0</v>
      </c>
      <c r="O35" s="18" t="n">
        <v>0</v>
      </c>
      <c r="P35" s="20" t="n">
        <v>0</v>
      </c>
      <c r="Q35" s="18" t="n">
        <v>0</v>
      </c>
      <c r="R35" s="20" t="n">
        <v>0</v>
      </c>
    </row>
    <row r="36" spans="1:18">
      <c r="A36" s="15" t="s">
        <v>594</v>
      </c>
      <c r="B36" s="17" t="n">
        <v>3404</v>
      </c>
      <c r="C36" s="18">
        <f>(2679.0/B36*100)</f>
        <v/>
      </c>
      <c r="D36" s="19" t="n">
        <v>725</v>
      </c>
      <c r="E36" s="18" t="n">
        <v>40.77781374</v>
      </c>
      <c r="F36" s="20" t="n">
        <v>2.08931743</v>
      </c>
      <c r="G36" s="18" t="n">
        <v>55.63210664</v>
      </c>
      <c r="H36" s="20" t="n">
        <v>2.05999944</v>
      </c>
      <c r="I36" s="18" t="n">
        <v>0</v>
      </c>
      <c r="J36" s="20" t="n">
        <v>0</v>
      </c>
      <c r="K36" s="18" t="n">
        <v>3.45879198</v>
      </c>
      <c r="L36" s="20" t="n">
        <v>0.72675316</v>
      </c>
      <c r="M36" s="18" t="n">
        <v>0.13128764</v>
      </c>
      <c r="N36" s="20" t="n">
        <v>0.13104863</v>
      </c>
      <c r="O36" s="18" t="n">
        <v>0</v>
      </c>
      <c r="P36" s="20" t="n">
        <v>0</v>
      </c>
      <c r="Q36" s="18" t="n">
        <v>0</v>
      </c>
      <c r="R36" s="20" t="n">
        <v>0</v>
      </c>
    </row>
    <row r="37" spans="1:18">
      <c r="A37" s="15" t="s">
        <v>595</v>
      </c>
      <c r="B37" s="17" t="n">
        <v>2731</v>
      </c>
      <c r="C37" s="18">
        <f>(2187.0/B37*100)</f>
        <v/>
      </c>
      <c r="D37" s="19" t="n">
        <v>544</v>
      </c>
      <c r="E37" s="18" t="n">
        <v>40.88289832</v>
      </c>
      <c r="F37" s="20" t="n">
        <v>2.56783887</v>
      </c>
      <c r="G37" s="18" t="n">
        <v>52.37907401</v>
      </c>
      <c r="H37" s="20" t="n">
        <v>2.57349279</v>
      </c>
      <c r="I37" s="18" t="n">
        <v>0</v>
      </c>
      <c r="J37" s="20" t="n">
        <v>0</v>
      </c>
      <c r="K37" s="18" t="n">
        <v>6.73802767</v>
      </c>
      <c r="L37" s="20" t="n">
        <v>1.05370451</v>
      </c>
      <c r="M37" s="18" t="n">
        <v>0</v>
      </c>
      <c r="N37" s="20" t="n">
        <v>0</v>
      </c>
      <c r="O37" s="18" t="n">
        <v>0</v>
      </c>
      <c r="P37" s="20" t="n">
        <v>0</v>
      </c>
      <c r="Q37" s="18" t="n">
        <v>0</v>
      </c>
      <c r="R37" s="20" t="n">
        <v>0</v>
      </c>
    </row>
    <row r="38" spans="1:18">
      <c r="A38" s="15" t="s">
        <v>596</v>
      </c>
      <c r="B38" s="17" t="n">
        <v>2807</v>
      </c>
      <c r="C38" s="18">
        <f>(2202.0/B38*100)</f>
        <v/>
      </c>
      <c r="D38" s="19" t="n">
        <v>605</v>
      </c>
      <c r="E38" s="18" t="n">
        <v>40.9100409</v>
      </c>
      <c r="F38" s="20" t="n">
        <v>2.30911243</v>
      </c>
      <c r="G38" s="18" t="n">
        <v>53.02520112</v>
      </c>
      <c r="H38" s="20" t="n">
        <v>2.31567297</v>
      </c>
      <c r="I38" s="18" t="n">
        <v>0</v>
      </c>
      <c r="J38" s="20" t="n">
        <v>0</v>
      </c>
      <c r="K38" s="18" t="n">
        <v>3.12610918</v>
      </c>
      <c r="L38" s="20" t="n">
        <v>0.75068215</v>
      </c>
      <c r="M38" s="18" t="n">
        <v>2.93864879</v>
      </c>
      <c r="N38" s="20" t="n">
        <v>0.75124108</v>
      </c>
      <c r="O38" s="18" t="n">
        <v>0</v>
      </c>
      <c r="P38" s="20" t="n">
        <v>0</v>
      </c>
      <c r="Q38" s="18" t="n">
        <v>0</v>
      </c>
      <c r="R38" s="20" t="n">
        <v>0</v>
      </c>
    </row>
    <row r="39" spans="1:18">
      <c r="A39" s="15" t="s">
        <v>597</v>
      </c>
      <c r="B39" s="17" t="n">
        <v>2938</v>
      </c>
      <c r="C39" s="18">
        <f>(2280.0/B39*100)</f>
        <v/>
      </c>
      <c r="D39" s="19" t="n">
        <v>658</v>
      </c>
      <c r="E39" s="18" t="n">
        <v>61.40585516</v>
      </c>
      <c r="F39" s="20" t="n">
        <v>2.47751732</v>
      </c>
      <c r="G39" s="18" t="n">
        <v>36.2641943</v>
      </c>
      <c r="H39" s="20" t="n">
        <v>2.48722774</v>
      </c>
      <c r="I39" s="18" t="n">
        <v>0</v>
      </c>
      <c r="J39" s="20" t="n">
        <v>0</v>
      </c>
      <c r="K39" s="18" t="n">
        <v>2.09534714</v>
      </c>
      <c r="L39" s="20" t="n">
        <v>0.48829081</v>
      </c>
      <c r="M39" s="18" t="n">
        <v>0.2346034</v>
      </c>
      <c r="N39" s="20" t="n">
        <v>0.16309049</v>
      </c>
      <c r="O39" s="18" t="n">
        <v>0</v>
      </c>
      <c r="P39" s="20" t="n">
        <v>0</v>
      </c>
      <c r="Q39" s="18" t="n">
        <v>0</v>
      </c>
      <c r="R39" s="20" t="n">
        <v>0</v>
      </c>
    </row>
    <row r="40" spans="1:18">
      <c r="A40" s="15" t="s">
        <v>598</v>
      </c>
      <c r="B40" s="17" t="n">
        <v>6922</v>
      </c>
      <c r="C40" s="18">
        <f>(5404.0/B40*100)</f>
        <v/>
      </c>
      <c r="D40" s="19" t="n">
        <v>1518</v>
      </c>
      <c r="E40" s="18" t="n">
        <v>25.35632717</v>
      </c>
      <c r="F40" s="20" t="n">
        <v>1.58747872</v>
      </c>
      <c r="G40" s="18" t="n">
        <v>70.92714276</v>
      </c>
      <c r="H40" s="20" t="n">
        <v>1.77939914</v>
      </c>
      <c r="I40" s="18" t="n">
        <v>0</v>
      </c>
      <c r="J40" s="20" t="n">
        <v>0</v>
      </c>
      <c r="K40" s="18" t="n">
        <v>3.71653007</v>
      </c>
      <c r="L40" s="20" t="n">
        <v>0.75259062</v>
      </c>
      <c r="M40" s="18" t="n">
        <v>0</v>
      </c>
      <c r="N40" s="20" t="n">
        <v>0</v>
      </c>
      <c r="O40" s="18" t="n">
        <v>0</v>
      </c>
      <c r="P40" s="20" t="n">
        <v>0</v>
      </c>
      <c r="Q40" s="18" t="n">
        <v>0</v>
      </c>
      <c r="R40" s="20" t="n">
        <v>0</v>
      </c>
    </row>
    <row r="41" spans="1:18">
      <c r="A41" s="15" t="s">
        <v>599</v>
      </c>
      <c r="B41" s="17" t="n">
        <v>2854</v>
      </c>
      <c r="C41" s="18">
        <f>(2287.0/B41*100)</f>
        <v/>
      </c>
      <c r="D41" s="19" t="n">
        <v>567</v>
      </c>
      <c r="E41" s="18" t="n">
        <v>35.31624432</v>
      </c>
      <c r="F41" s="20" t="n">
        <v>2.55141116</v>
      </c>
      <c r="G41" s="18" t="n">
        <v>63.23378105</v>
      </c>
      <c r="H41" s="20" t="n">
        <v>2.60942133</v>
      </c>
      <c r="I41" s="18" t="n">
        <v>0</v>
      </c>
      <c r="J41" s="20" t="n">
        <v>0</v>
      </c>
      <c r="K41" s="18" t="n">
        <v>1.44997463</v>
      </c>
      <c r="L41" s="20" t="n">
        <v>0.575966</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(2691.0/B44*100)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2670</v>
      </c>
      <c r="C45" s="18">
        <f>(2670.0/B45*100)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12073</v>
      </c>
      <c r="C46" s="18">
        <f>(10328.0/B46*100)</f>
        <v/>
      </c>
      <c r="D46" s="19" t="n">
        <v>1745</v>
      </c>
      <c r="E46" s="18" t="n">
        <v>66.27786833</v>
      </c>
      <c r="F46" s="20" t="n">
        <v>1.68212848</v>
      </c>
      <c r="G46" s="18" t="n">
        <v>24.35991607</v>
      </c>
      <c r="H46" s="20" t="n">
        <v>1.52800804</v>
      </c>
      <c r="I46" s="18" t="n">
        <v>0</v>
      </c>
      <c r="J46" s="20" t="n">
        <v>0</v>
      </c>
      <c r="K46" s="18" t="n">
        <v>9.09971412</v>
      </c>
      <c r="L46" s="20" t="n">
        <v>1.04880994</v>
      </c>
      <c r="M46" s="18" t="n">
        <v>0.26250148</v>
      </c>
      <c r="N46" s="20" t="n">
        <v>0.12239107</v>
      </c>
      <c r="O46" s="18" t="n">
        <v>0</v>
      </c>
      <c r="P46" s="20" t="n">
        <v>0</v>
      </c>
      <c r="Q46" s="18" t="n">
        <v>0</v>
      </c>
      <c r="R46" s="20" t="n">
        <v>0</v>
      </c>
    </row>
    <row r="47" spans="1:18">
      <c r="A47" s="15" t="s">
        <v>606</v>
      </c>
      <c r="B47" s="17" t="n">
        <v>2823</v>
      </c>
      <c r="C47" s="18">
        <f>(2217.0/B47*100)</f>
        <v/>
      </c>
      <c r="D47" s="19" t="n">
        <v>606</v>
      </c>
      <c r="E47" s="18" t="n">
        <v>58.19022115</v>
      </c>
      <c r="F47" s="20" t="n">
        <v>2.51778992</v>
      </c>
      <c r="G47" s="18" t="n">
        <v>37.60408961</v>
      </c>
      <c r="H47" s="20" t="n">
        <v>2.57632231</v>
      </c>
      <c r="I47" s="18" t="n">
        <v>0</v>
      </c>
      <c r="J47" s="20" t="n">
        <v>0</v>
      </c>
      <c r="K47" s="18" t="n">
        <v>4.04207021</v>
      </c>
      <c r="L47" s="20" t="n">
        <v>0.89783418</v>
      </c>
      <c r="M47" s="18" t="n">
        <v>0.16361902</v>
      </c>
      <c r="N47" s="20" t="n">
        <v>0.16287494</v>
      </c>
      <c r="O47" s="18" t="n">
        <v>0</v>
      </c>
      <c r="P47" s="20" t="n">
        <v>0</v>
      </c>
      <c r="Q47" s="18" t="n">
        <v>0</v>
      </c>
      <c r="R47" s="20" t="n">
        <v>0</v>
      </c>
    </row>
    <row r="48" spans="1:18">
      <c r="A48" s="15" t="s">
        <v>607</v>
      </c>
      <c r="B48" s="17" t="n">
        <v>4682</v>
      </c>
      <c r="C48" s="18">
        <f>(3696.0/B48*100)</f>
        <v/>
      </c>
      <c r="D48" s="19" t="n">
        <v>986</v>
      </c>
      <c r="E48" s="18" t="n">
        <v>43.95695315</v>
      </c>
      <c r="F48" s="20" t="n">
        <v>2.46823539</v>
      </c>
      <c r="G48" s="18" t="n">
        <v>52.85857497</v>
      </c>
      <c r="H48" s="20" t="n">
        <v>2.60736031</v>
      </c>
      <c r="I48" s="18" t="n">
        <v>0</v>
      </c>
      <c r="J48" s="20" t="n">
        <v>0</v>
      </c>
      <c r="K48" s="18" t="n">
        <v>3.00490834</v>
      </c>
      <c r="L48" s="20" t="n">
        <v>0.9935853</v>
      </c>
      <c r="M48" s="18" t="n">
        <v>0.17956353</v>
      </c>
      <c r="N48" s="20" t="n">
        <v>0.17870464</v>
      </c>
      <c r="O48" s="18" t="n">
        <v>0</v>
      </c>
      <c r="P48" s="20" t="n">
        <v>0</v>
      </c>
      <c r="Q48" s="18" t="n">
        <v>0</v>
      </c>
      <c r="R48" s="20" t="n">
        <v>0</v>
      </c>
    </row>
    <row r="49" spans="1:18">
      <c r="A49" s="15" t="s">
        <v>608</v>
      </c>
      <c r="B49" s="17" t="n">
        <v>6158</v>
      </c>
      <c r="C49" s="18">
        <f>(4873.0/B49*100)</f>
        <v/>
      </c>
      <c r="D49" s="19" t="n">
        <v>1285</v>
      </c>
      <c r="E49" s="18" t="n">
        <v>69.72940069000001</v>
      </c>
      <c r="F49" s="20" t="n">
        <v>1.83958512</v>
      </c>
      <c r="G49" s="18" t="n">
        <v>23.35519095</v>
      </c>
      <c r="H49" s="20" t="n">
        <v>1.72209884</v>
      </c>
      <c r="I49" s="18" t="n">
        <v>0</v>
      </c>
      <c r="J49" s="20" t="n">
        <v>0</v>
      </c>
      <c r="K49" s="18" t="n">
        <v>6.88628812</v>
      </c>
      <c r="L49" s="20" t="n">
        <v>0.99565629</v>
      </c>
      <c r="M49" s="18" t="n">
        <v>0.02912023</v>
      </c>
      <c r="N49" s="20" t="n">
        <v>0.02202812</v>
      </c>
      <c r="O49" s="18" t="n">
        <v>0</v>
      </c>
      <c r="P49" s="20" t="n">
        <v>0</v>
      </c>
      <c r="Q49" s="18" t="n">
        <v>0</v>
      </c>
      <c r="R49" s="20" t="n">
        <v>0</v>
      </c>
    </row>
    <row r="50" spans="1:18">
      <c r="A50" s="15" t="s">
        <v>609</v>
      </c>
      <c r="B50" s="17" t="n">
        <v>3494</v>
      </c>
      <c r="C50" s="18">
        <f>(2867.0/B50*100)</f>
        <v/>
      </c>
      <c r="D50" s="19" t="n">
        <v>627</v>
      </c>
      <c r="E50" s="18" t="n">
        <v>76.33133844</v>
      </c>
      <c r="F50" s="20" t="n">
        <v>2.12901625</v>
      </c>
      <c r="G50" s="18" t="n">
        <v>20.32333588</v>
      </c>
      <c r="H50" s="20" t="n">
        <v>2.06364133</v>
      </c>
      <c r="I50" s="18" t="n">
        <v>0</v>
      </c>
      <c r="J50" s="20" t="n">
        <v>0</v>
      </c>
      <c r="K50" s="18" t="n">
        <v>3.34532568</v>
      </c>
      <c r="L50" s="20" t="n">
        <v>0.82400947</v>
      </c>
      <c r="M50" s="18" t="n">
        <v>0</v>
      </c>
      <c r="N50" s="20" t="n">
        <v>0</v>
      </c>
      <c r="O50" s="18" t="n">
        <v>0</v>
      </c>
      <c r="P50" s="20" t="n">
        <v>0</v>
      </c>
      <c r="Q50" s="18" t="n">
        <v>0</v>
      </c>
      <c r="R50" s="20" t="n">
        <v>0</v>
      </c>
    </row>
    <row r="51" spans="1:18">
      <c r="A51" s="15" t="s">
        <v>610</v>
      </c>
      <c r="B51" s="17" t="n">
        <v>3013</v>
      </c>
      <c r="C51" s="18">
        <f>(2393.0/B51*100)</f>
        <v/>
      </c>
      <c r="D51" s="19" t="n">
        <v>620</v>
      </c>
      <c r="E51" s="18" t="n">
        <v>43.97134005</v>
      </c>
      <c r="F51" s="20" t="n">
        <v>2.39392894</v>
      </c>
      <c r="G51" s="18" t="n">
        <v>54.13945406</v>
      </c>
      <c r="H51" s="20" t="n">
        <v>2.44495333</v>
      </c>
      <c r="I51" s="18" t="n">
        <v>0</v>
      </c>
      <c r="J51" s="20" t="n">
        <v>0</v>
      </c>
      <c r="K51" s="18" t="n">
        <v>1.88920589</v>
      </c>
      <c r="L51" s="20" t="n">
        <v>0.58054342</v>
      </c>
      <c r="M51" s="18" t="n">
        <v>0</v>
      </c>
      <c r="N51" s="20" t="n">
        <v>0</v>
      </c>
      <c r="O51" s="18" t="n">
        <v>0</v>
      </c>
      <c r="P51" s="20" t="n">
        <v>0</v>
      </c>
      <c r="Q51" s="18" t="n">
        <v>0</v>
      </c>
      <c r="R51" s="20" t="n">
        <v>0</v>
      </c>
    </row>
    <row r="52" spans="1:18">
      <c r="A52" s="15" t="s">
        <v>611</v>
      </c>
      <c r="B52" s="17" t="n">
        <v>2760</v>
      </c>
      <c r="C52" s="18">
        <f>(2185.0/B52*100)</f>
        <v/>
      </c>
      <c r="D52" s="19" t="n">
        <v>575</v>
      </c>
      <c r="E52" s="18" t="n">
        <v>57.36926101</v>
      </c>
      <c r="F52" s="20" t="n">
        <v>2.28252264</v>
      </c>
      <c r="G52" s="18" t="n">
        <v>40.40270943</v>
      </c>
      <c r="H52" s="20" t="n">
        <v>2.34334724</v>
      </c>
      <c r="I52" s="18" t="n">
        <v>0</v>
      </c>
      <c r="J52" s="20" t="n">
        <v>0</v>
      </c>
      <c r="K52" s="18" t="n">
        <v>2.22802956</v>
      </c>
      <c r="L52" s="20" t="n">
        <v>0.60637074</v>
      </c>
      <c r="M52" s="18" t="n">
        <v>0</v>
      </c>
      <c r="N52" s="20" t="n">
        <v>0</v>
      </c>
      <c r="O52" s="18" t="n">
        <v>0</v>
      </c>
      <c r="P52" s="20" t="n">
        <v>0</v>
      </c>
      <c r="Q52" s="18" t="n">
        <v>0</v>
      </c>
      <c r="R52" s="20" t="n">
        <v>0</v>
      </c>
    </row>
    <row r="53" spans="1:18">
      <c r="A53" s="15" t="s">
        <v>612</v>
      </c>
      <c r="B53" s="17" t="n">
        <v>2474</v>
      </c>
      <c r="C53" s="18">
        <f>(1893.0/B53*100)</f>
        <v/>
      </c>
      <c r="D53" s="19" t="n">
        <v>581</v>
      </c>
      <c r="E53" s="18" t="n">
        <v>67.23007930999999</v>
      </c>
      <c r="F53" s="20" t="n">
        <v>2.24716108</v>
      </c>
      <c r="G53" s="18" t="n">
        <v>3.55862179</v>
      </c>
      <c r="H53" s="20" t="n">
        <v>0.73602309</v>
      </c>
      <c r="I53" s="18" t="n">
        <v>0</v>
      </c>
      <c r="J53" s="20" t="n">
        <v>0</v>
      </c>
      <c r="K53" s="18" t="n">
        <v>28.4406673</v>
      </c>
      <c r="L53" s="20" t="n">
        <v>2.00473751</v>
      </c>
      <c r="M53" s="18" t="n">
        <v>0.7706316</v>
      </c>
      <c r="N53" s="20" t="n">
        <v>0.84372291</v>
      </c>
      <c r="O53" s="18" t="n">
        <v>0</v>
      </c>
      <c r="P53" s="20" t="n">
        <v>0</v>
      </c>
      <c r="Q53" s="18" t="n">
        <v>0</v>
      </c>
      <c r="R53" s="20" t="n">
        <v>0</v>
      </c>
    </row>
    <row r="54" spans="1:18">
      <c r="A54" s="15" t="s">
        <v>613</v>
      </c>
      <c r="B54" s="17" t="n">
        <v>2557</v>
      </c>
      <c r="C54" s="18">
        <f>(2557.0/B54*100)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2675</v>
      </c>
      <c r="C55" s="18">
        <f>(2078.0/B55*100)</f>
        <v/>
      </c>
      <c r="D55" s="19" t="n">
        <v>597</v>
      </c>
      <c r="E55" s="18" t="n">
        <v>34.95380344</v>
      </c>
      <c r="F55" s="20" t="n">
        <v>1.92243736</v>
      </c>
      <c r="G55" s="18" t="n">
        <v>64.58979196999999</v>
      </c>
      <c r="H55" s="20" t="n">
        <v>1.90791401</v>
      </c>
      <c r="I55" s="18" t="n">
        <v>0</v>
      </c>
      <c r="J55" s="20" t="n">
        <v>0</v>
      </c>
      <c r="K55" s="18" t="n">
        <v>0.45640458</v>
      </c>
      <c r="L55" s="20" t="n">
        <v>0.27131629</v>
      </c>
      <c r="M55" s="18" t="n">
        <v>0</v>
      </c>
      <c r="N55" s="20" t="n">
        <v>0</v>
      </c>
      <c r="O55" s="18" t="n">
        <v>0</v>
      </c>
      <c r="P55" s="20" t="n">
        <v>0</v>
      </c>
      <c r="Q55" s="18" t="n">
        <v>0</v>
      </c>
      <c r="R55" s="20" t="n">
        <v>0</v>
      </c>
    </row>
    <row r="56" spans="1:18">
      <c r="A56" s="15" t="s">
        <v>615</v>
      </c>
      <c r="B56" s="17" t="n">
        <v>3343</v>
      </c>
      <c r="C56" s="18">
        <f>(3343.0/B56*100)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3737</v>
      </c>
      <c r="C57" s="18">
        <f>(3737.0/B57*100)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(2278.0/B59*100)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2451</v>
      </c>
      <c r="C60" s="18">
        <f>(2451.0/B60*100)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3201</v>
      </c>
      <c r="C61" s="18">
        <f>(2499.0/B61*100)</f>
        <v/>
      </c>
      <c r="D61" s="19" t="n">
        <v>702</v>
      </c>
      <c r="E61" s="18" t="n">
        <v>41.18070144</v>
      </c>
      <c r="F61" s="20" t="n">
        <v>2.32191336</v>
      </c>
      <c r="G61" s="18" t="n">
        <v>56.97529725</v>
      </c>
      <c r="H61" s="20" t="n">
        <v>2.36165634</v>
      </c>
      <c r="I61" s="18" t="n">
        <v>0</v>
      </c>
      <c r="J61" s="20" t="n">
        <v>0</v>
      </c>
      <c r="K61" s="18" t="n">
        <v>1.84400131</v>
      </c>
      <c r="L61" s="20" t="n">
        <v>0.6007757</v>
      </c>
      <c r="M61" s="18" t="n">
        <v>0</v>
      </c>
      <c r="N61" s="20" t="n">
        <v>0</v>
      </c>
      <c r="O61" s="18" t="n">
        <v>0</v>
      </c>
      <c r="P61" s="20" t="n">
        <v>0</v>
      </c>
      <c r="Q61" s="18" t="n">
        <v>0</v>
      </c>
      <c r="R61" s="20" t="n">
        <v>0</v>
      </c>
    </row>
    <row r="62" spans="1:18">
      <c r="A62" s="15" t="s">
        <v>622</v>
      </c>
      <c r="B62" s="17" t="n">
        <v>2230</v>
      </c>
      <c r="C62" s="18">
        <f>(1777.0/B62*100)</f>
        <v/>
      </c>
      <c r="D62" s="19" t="n">
        <v>453</v>
      </c>
      <c r="E62" s="18" t="n">
        <v>29.61355019</v>
      </c>
      <c r="F62" s="20" t="n">
        <v>2.11018947</v>
      </c>
      <c r="G62" s="18" t="n">
        <v>70.38644981</v>
      </c>
      <c r="H62" s="20" t="n">
        <v>2.11018947</v>
      </c>
      <c r="I62" s="18" t="n">
        <v>0</v>
      </c>
      <c r="J62" s="20" t="n">
        <v>0</v>
      </c>
      <c r="K62" s="18" t="n">
        <v>0</v>
      </c>
      <c r="L62" s="20" t="n">
        <v>0</v>
      </c>
      <c r="M62" s="18" t="n">
        <v>0</v>
      </c>
      <c r="N62" s="20" t="n">
        <v>0</v>
      </c>
      <c r="O62" s="18" t="n">
        <v>0</v>
      </c>
      <c r="P62" s="20" t="n">
        <v>0</v>
      </c>
      <c r="Q62" s="18" t="n">
        <v>0</v>
      </c>
      <c r="R62" s="20" t="n">
        <v>0</v>
      </c>
    </row>
    <row r="63" spans="1:18">
      <c r="A63" s="15" t="s">
        <v>623</v>
      </c>
      <c r="B63" s="17" t="n">
        <v>2511</v>
      </c>
      <c r="C63" s="18">
        <f>(2511.0/B63*100)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(1790.0/B65*100)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2634</v>
      </c>
      <c r="C66" s="18">
        <f>(2634.0/B66*100)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2771</v>
      </c>
      <c r="C67" s="18">
        <f>(2178.0/B67*100)</f>
        <v/>
      </c>
      <c r="D67" s="19" t="n">
        <v>593</v>
      </c>
      <c r="E67" s="18" t="n">
        <v>63.421799</v>
      </c>
      <c r="F67" s="20" t="n">
        <v>1.90658967</v>
      </c>
      <c r="G67" s="18" t="n">
        <v>29.07133505</v>
      </c>
      <c r="H67" s="20" t="n">
        <v>1.88714781</v>
      </c>
      <c r="I67" s="18" t="n">
        <v>0</v>
      </c>
      <c r="J67" s="20" t="n">
        <v>0</v>
      </c>
      <c r="K67" s="18" t="n">
        <v>7.36172671</v>
      </c>
      <c r="L67" s="20" t="n">
        <v>1.26337111</v>
      </c>
      <c r="M67" s="18" t="n">
        <v>0.14513924</v>
      </c>
      <c r="N67" s="20" t="n">
        <v>0.14578825</v>
      </c>
      <c r="O67" s="18" t="n">
        <v>0</v>
      </c>
      <c r="P67" s="20" t="n">
        <v>0</v>
      </c>
      <c r="Q67" s="18" t="n">
        <v>0</v>
      </c>
      <c r="R67" s="20" t="n">
        <v>0</v>
      </c>
    </row>
    <row r="68" spans="1:18">
      <c r="A68" s="15" t="s">
        <v>628</v>
      </c>
      <c r="B68" s="17" t="n">
        <v>3460</v>
      </c>
      <c r="C68" s="18">
        <f>(2898.0/B68*100)</f>
        <v/>
      </c>
      <c r="D68" s="19" t="n">
        <v>562</v>
      </c>
      <c r="E68" s="18" t="n">
        <v>79.33322011</v>
      </c>
      <c r="F68" s="20" t="n">
        <v>1.72142187</v>
      </c>
      <c r="G68" s="18" t="n">
        <v>16.03906981</v>
      </c>
      <c r="H68" s="20" t="n">
        <v>1.74820772</v>
      </c>
      <c r="I68" s="18" t="n">
        <v>0</v>
      </c>
      <c r="J68" s="20" t="n">
        <v>0</v>
      </c>
      <c r="K68" s="18" t="n">
        <v>4.28134624</v>
      </c>
      <c r="L68" s="20" t="n">
        <v>0.90412426</v>
      </c>
      <c r="M68" s="18" t="n">
        <v>0.34636384</v>
      </c>
      <c r="N68" s="20" t="n">
        <v>0.24271654</v>
      </c>
      <c r="O68" s="18" t="n">
        <v>0</v>
      </c>
      <c r="P68" s="20" t="n">
        <v>0</v>
      </c>
      <c r="Q68" s="18" t="n">
        <v>0</v>
      </c>
      <c r="R68" s="20" t="n">
        <v>0</v>
      </c>
    </row>
    <row r="69" spans="1:18">
      <c r="A69" s="15" t="s">
        <v>629</v>
      </c>
      <c r="B69" s="17" t="n">
        <v>720</v>
      </c>
      <c r="C69" s="18">
        <f>(720.0/B69*100)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6034</v>
      </c>
      <c r="C70" s="18">
        <f>(4677.0/B70*100)</f>
        <v/>
      </c>
      <c r="D70" s="19" t="n">
        <v>1357</v>
      </c>
      <c r="E70" s="18" t="n">
        <v>58.65228549</v>
      </c>
      <c r="F70" s="20" t="n">
        <v>1.52879483</v>
      </c>
      <c r="G70" s="18" t="n">
        <v>34.45551635</v>
      </c>
      <c r="H70" s="20" t="n">
        <v>1.31466167</v>
      </c>
      <c r="I70" s="18" t="n">
        <v>0</v>
      </c>
      <c r="J70" s="20" t="n">
        <v>0</v>
      </c>
      <c r="K70" s="18" t="n">
        <v>6.8205424</v>
      </c>
      <c r="L70" s="20" t="n">
        <v>0.65946228</v>
      </c>
      <c r="M70" s="18" t="n">
        <v>0.07165576</v>
      </c>
      <c r="N70" s="20" t="n">
        <v>0.07189089999999999</v>
      </c>
      <c r="O70" s="18" t="n">
        <v>0</v>
      </c>
      <c r="P70" s="20" t="n">
        <v>0</v>
      </c>
      <c r="Q70" s="18" t="n">
        <v>0</v>
      </c>
      <c r="R70" s="20" t="n">
        <v>0</v>
      </c>
    </row>
    <row r="71" spans="1:18">
      <c r="A71" s="15" t="s">
        <v>631</v>
      </c>
      <c r="B71" s="17" t="n">
        <v>2466</v>
      </c>
      <c r="C71" s="18">
        <f>(2466.0/B71*100)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3107</v>
      </c>
      <c r="C72" s="18">
        <f>(2463.0/B72*100)</f>
        <v/>
      </c>
      <c r="D72" s="19" t="n">
        <v>644</v>
      </c>
      <c r="E72" s="18" t="n">
        <v>48.58037758</v>
      </c>
      <c r="F72" s="20" t="n">
        <v>2.09915301</v>
      </c>
      <c r="G72" s="18" t="n">
        <v>49.00716024</v>
      </c>
      <c r="H72" s="20" t="n">
        <v>2.22036249</v>
      </c>
      <c r="I72" s="18" t="n">
        <v>0</v>
      </c>
      <c r="J72" s="20" t="n">
        <v>0</v>
      </c>
      <c r="K72" s="18" t="n">
        <v>2.41246218</v>
      </c>
      <c r="L72" s="20" t="n">
        <v>0.6759923799999999</v>
      </c>
      <c r="M72" s="18" t="n">
        <v>0</v>
      </c>
      <c r="N72" s="20" t="n">
        <v>0</v>
      </c>
      <c r="O72" s="18" t="n">
        <v>0</v>
      </c>
      <c r="P72" s="20" t="n">
        <v>0</v>
      </c>
      <c r="Q72" s="18" t="n">
        <v>0</v>
      </c>
      <c r="R72" s="20" t="n">
        <v>0</v>
      </c>
    </row>
    <row r="73" spans="1:18">
      <c r="A73" s="15" t="s">
        <v>633</v>
      </c>
      <c r="B73" s="17" t="n">
        <v>2973</v>
      </c>
      <c r="C73" s="18">
        <f>(2338.0/B73*100)</f>
        <v/>
      </c>
      <c r="D73" s="19" t="n">
        <v>635</v>
      </c>
      <c r="E73" s="18" t="n">
        <v>18.3989872</v>
      </c>
      <c r="F73" s="20" t="n">
        <v>1.73737715</v>
      </c>
      <c r="G73" s="18" t="n">
        <v>80.90296028</v>
      </c>
      <c r="H73" s="20" t="n">
        <v>1.76997547</v>
      </c>
      <c r="I73" s="18" t="n">
        <v>0</v>
      </c>
      <c r="J73" s="20" t="n">
        <v>0</v>
      </c>
      <c r="K73" s="18" t="n">
        <v>0.69805251</v>
      </c>
      <c r="L73" s="20" t="n">
        <v>0.31796497</v>
      </c>
      <c r="M73" s="18" t="n">
        <v>0</v>
      </c>
      <c r="N73" s="20" t="n">
        <v>0</v>
      </c>
      <c r="O73" s="18" t="n">
        <v>0</v>
      </c>
      <c r="P73" s="20" t="n">
        <v>0</v>
      </c>
      <c r="Q73" s="18" t="n">
        <v>0</v>
      </c>
      <c r="R73" s="20" t="n">
        <v>0</v>
      </c>
    </row>
    <row r="74" spans="1:18">
      <c r="A74" s="15" t="s">
        <v>634</v>
      </c>
      <c r="B74" s="17" t="n">
        <v>3819</v>
      </c>
      <c r="C74" s="18">
        <f>(3017.0/B74*100)</f>
        <v/>
      </c>
      <c r="D74" s="19" t="n">
        <v>802</v>
      </c>
      <c r="E74" s="18" t="n">
        <v>42.81695109</v>
      </c>
      <c r="F74" s="20" t="n">
        <v>2.3116481</v>
      </c>
      <c r="G74" s="18" t="n">
        <v>56.55685417</v>
      </c>
      <c r="H74" s="20" t="n">
        <v>2.30876402</v>
      </c>
      <c r="I74" s="18" t="n">
        <v>0</v>
      </c>
      <c r="J74" s="20" t="n">
        <v>0</v>
      </c>
      <c r="K74" s="18" t="n">
        <v>0.62619475</v>
      </c>
      <c r="L74" s="20" t="n">
        <v>0.37012071</v>
      </c>
      <c r="M74" s="18" t="n">
        <v>0</v>
      </c>
      <c r="N74" s="20" t="n">
        <v>0</v>
      </c>
      <c r="O74" s="18" t="n">
        <v>0</v>
      </c>
      <c r="P74" s="20" t="n">
        <v>0</v>
      </c>
      <c r="Q74" s="18" t="n">
        <v>0</v>
      </c>
      <c r="R74" s="20" t="n">
        <v>0</v>
      </c>
    </row>
    <row r="75" spans="1:18">
      <c r="A75" s="15" t="s">
        <v>635</v>
      </c>
      <c r="B75" s="17" t="n">
        <v>4652</v>
      </c>
      <c r="C75" s="18">
        <f>(3711.0/B75*100)</f>
        <v/>
      </c>
      <c r="D75" s="19" t="n">
        <v>941</v>
      </c>
      <c r="E75" s="18" t="n">
        <v>71.80777256</v>
      </c>
      <c r="F75" s="20" t="n">
        <v>1.95643811</v>
      </c>
      <c r="G75" s="18" t="n">
        <v>26.88749125</v>
      </c>
      <c r="H75" s="20" t="n">
        <v>1.93810116</v>
      </c>
      <c r="I75" s="18" t="n">
        <v>0</v>
      </c>
      <c r="J75" s="20" t="n">
        <v>0</v>
      </c>
      <c r="K75" s="18" t="n">
        <v>1.00192555</v>
      </c>
      <c r="L75" s="20" t="n">
        <v>0.41914786</v>
      </c>
      <c r="M75" s="18" t="n">
        <v>0.30281064</v>
      </c>
      <c r="N75" s="20" t="n">
        <v>0.21334452</v>
      </c>
      <c r="O75" s="18" t="n">
        <v>0</v>
      </c>
      <c r="P75" s="20" t="n">
        <v>0</v>
      </c>
      <c r="Q75" s="18" t="n">
        <v>0</v>
      </c>
      <c r="R75" s="20" t="n">
        <v>0</v>
      </c>
    </row>
    <row r="76" spans="1:18">
      <c r="A76" s="15" t="s">
        <v>636</v>
      </c>
      <c r="B76" s="17" t="n">
        <v>2453</v>
      </c>
      <c r="C76" s="18">
        <f>(2453.0/B76*100)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2969</v>
      </c>
      <c r="C77" s="18">
        <f>(2415.0/B77*100)</f>
        <v/>
      </c>
      <c r="D77" s="19" t="n">
        <v>554</v>
      </c>
      <c r="E77" s="18" t="n">
        <v>70.6223617</v>
      </c>
      <c r="F77" s="20" t="n">
        <v>2.0260413</v>
      </c>
      <c r="G77" s="18" t="n">
        <v>16.89260073</v>
      </c>
      <c r="H77" s="20" t="n">
        <v>2.02001022</v>
      </c>
      <c r="I77" s="18" t="n">
        <v>0</v>
      </c>
      <c r="J77" s="20" t="n">
        <v>0</v>
      </c>
      <c r="K77" s="18" t="n">
        <v>11.53660808</v>
      </c>
      <c r="L77" s="20" t="n">
        <v>1.71551181</v>
      </c>
      <c r="M77" s="18" t="n">
        <v>0.94842948</v>
      </c>
      <c r="N77" s="20" t="n">
        <v>0.4894167</v>
      </c>
      <c r="O77" s="18" t="n">
        <v>0</v>
      </c>
      <c r="P77" s="20" t="n">
        <v>0</v>
      </c>
      <c r="Q77" s="18" t="n">
        <v>0</v>
      </c>
      <c r="R77" s="20" t="n">
        <v>0</v>
      </c>
    </row>
    <row r="78" spans="1:18">
      <c r="A78" s="15" t="s">
        <v>638</v>
      </c>
      <c r="B78" s="17" t="n">
        <v>7115</v>
      </c>
      <c r="C78" s="18">
        <f>(5549.0/B78*100)</f>
        <v/>
      </c>
      <c r="D78" s="19" t="n">
        <v>1566</v>
      </c>
      <c r="E78" s="18" t="n">
        <v>57.23963799</v>
      </c>
      <c r="F78" s="20" t="n">
        <v>1.45817721</v>
      </c>
      <c r="G78" s="18" t="n">
        <v>38.79609322</v>
      </c>
      <c r="H78" s="20" t="n">
        <v>1.55216296</v>
      </c>
      <c r="I78" s="18" t="n">
        <v>0</v>
      </c>
      <c r="J78" s="20" t="n">
        <v>0</v>
      </c>
      <c r="K78" s="18" t="n">
        <v>3.87878432</v>
      </c>
      <c r="L78" s="20" t="n">
        <v>0.58653321</v>
      </c>
      <c r="M78" s="18" t="n">
        <v>0.08548447000000001</v>
      </c>
      <c r="N78" s="20" t="n">
        <v>0.05140151</v>
      </c>
      <c r="O78" s="18" t="n">
        <v>0</v>
      </c>
      <c r="P78" s="20" t="n">
        <v>0</v>
      </c>
      <c r="Q78" s="18" t="n">
        <v>0</v>
      </c>
      <c r="R78" s="20" t="n">
        <v>0</v>
      </c>
    </row>
    <row r="79" spans="1:18">
      <c r="A79" s="15" t="s">
        <v>639</v>
      </c>
      <c r="B79" s="17" t="n">
        <v>3154</v>
      </c>
      <c r="C79" s="18">
        <f>(2491.0/B79*100)</f>
        <v/>
      </c>
      <c r="D79" s="19" t="n">
        <v>663</v>
      </c>
      <c r="E79" s="18" t="n">
        <v>62.00068543</v>
      </c>
      <c r="F79" s="20" t="n">
        <v>2.20330233</v>
      </c>
      <c r="G79" s="18" t="n">
        <v>28.69625149</v>
      </c>
      <c r="H79" s="20" t="n">
        <v>1.89980021</v>
      </c>
      <c r="I79" s="18" t="n">
        <v>0</v>
      </c>
      <c r="J79" s="20" t="n">
        <v>0</v>
      </c>
      <c r="K79" s="18" t="n">
        <v>8.951678319999999</v>
      </c>
      <c r="L79" s="20" t="n">
        <v>1.18399684</v>
      </c>
      <c r="M79" s="18" t="n">
        <v>0.35138477</v>
      </c>
      <c r="N79" s="20" t="n">
        <v>0.25433452</v>
      </c>
      <c r="O79" s="18" t="n">
        <v>0</v>
      </c>
      <c r="P79" s="20" t="n">
        <v>0</v>
      </c>
      <c r="Q79" s="18" t="n">
        <v>0</v>
      </c>
      <c r="R79" s="20" t="n">
        <v>0</v>
      </c>
    </row>
    <row r="80" spans="1:18">
      <c r="A80" s="15" t="s">
        <v>640</v>
      </c>
      <c r="B80" s="17" t="n">
        <v>3040</v>
      </c>
      <c r="C80" s="18">
        <f>(3040.0/B80*100)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870</v>
      </c>
      <c r="C81" s="18">
        <f>(870.0/B81*100)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15961</v>
      </c>
      <c r="C82" s="18">
        <f>(12577.0/B82*100)</f>
        <v/>
      </c>
      <c r="D82" s="19" t="n">
        <v>3384</v>
      </c>
      <c r="E82" s="18" t="n">
        <v>41.81220088</v>
      </c>
      <c r="F82" s="20" t="n">
        <v>1.3444069</v>
      </c>
      <c r="G82" s="18" t="n">
        <v>54.33515382</v>
      </c>
      <c r="H82" s="20" t="n">
        <v>1.3156715</v>
      </c>
      <c r="I82" s="18" t="n">
        <v>0</v>
      </c>
      <c r="J82" s="20" t="n">
        <v>0</v>
      </c>
      <c r="K82" s="18" t="n">
        <v>3.77397107</v>
      </c>
      <c r="L82" s="20" t="n">
        <v>0.5191017</v>
      </c>
      <c r="M82" s="18" t="n">
        <v>0.07867423</v>
      </c>
      <c r="N82" s="20" t="n">
        <v>0.07901609</v>
      </c>
      <c r="O82" s="18" t="n">
        <v>0</v>
      </c>
      <c r="P82" s="20" t="n">
        <v>0</v>
      </c>
      <c r="Q82" s="18" t="n">
        <v>0</v>
      </c>
      <c r="R82" s="20" t="n">
        <v>0</v>
      </c>
    </row>
    <row r="83" spans="1:18">
      <c r="A83" s="15" t="s">
        <v>643</v>
      </c>
      <c r="B83" s="17" t="n">
        <v>808</v>
      </c>
      <c r="C83" s="18">
        <f>(619.0/B83*100)</f>
        <v/>
      </c>
      <c r="D83" s="19" t="n">
        <v>189</v>
      </c>
      <c r="E83" s="18" t="n">
        <v>25.59389457</v>
      </c>
      <c r="F83" s="20" t="n">
        <v>4.36143317</v>
      </c>
      <c r="G83" s="18" t="n">
        <v>74.40610543</v>
      </c>
      <c r="H83" s="20" t="n">
        <v>4.36143317</v>
      </c>
      <c r="I83" s="18" t="n">
        <v>0</v>
      </c>
      <c r="J83" s="20" t="n">
        <v>0</v>
      </c>
      <c r="K83" s="18" t="n">
        <v>0</v>
      </c>
      <c r="L83" s="20" t="n">
        <v>0</v>
      </c>
      <c r="M83" s="18" t="n">
        <v>0</v>
      </c>
      <c r="N83" s="20" t="n">
        <v>0</v>
      </c>
      <c r="O83" s="18" t="n">
        <v>0</v>
      </c>
      <c r="P83" s="20" t="n">
        <v>0</v>
      </c>
      <c r="Q83" s="18" t="n">
        <v>0</v>
      </c>
      <c r="R83" s="20" t="n">
        <v>0</v>
      </c>
    </row>
    <row r="84" spans="1:18">
      <c r="A84" s="23" t="s">
        <v>644</v>
      </c>
      <c r="B84" s="24" t="n">
        <v>938</v>
      </c>
      <c r="C84" s="25">
        <f>(720.0/B84*100)</f>
        <v/>
      </c>
      <c r="D84" s="19" t="n">
        <v>218</v>
      </c>
      <c r="E84" s="18" t="n">
        <v>45.51452991</v>
      </c>
      <c r="F84" s="20" t="n">
        <v>4.162605</v>
      </c>
      <c r="G84" s="18" t="n">
        <v>53.98166365</v>
      </c>
      <c r="H84" s="20" t="n">
        <v>4.31093575</v>
      </c>
      <c r="I84" s="18" t="n">
        <v>0</v>
      </c>
      <c r="J84" s="20" t="n">
        <v>0</v>
      </c>
      <c r="K84" s="18" t="n">
        <v>0.50380644</v>
      </c>
      <c r="L84" s="20" t="n">
        <v>0.5034284</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40.47702276</v>
      </c>
      <c r="F44" s="20" t="n">
        <v>2.10617738</v>
      </c>
      <c r="G44" s="18" t="n">
        <v>38.1639786</v>
      </c>
      <c r="H44" s="20" t="n">
        <v>2.08555284</v>
      </c>
      <c r="I44" s="18" t="n">
        <v>0</v>
      </c>
      <c r="J44" s="20" t="n">
        <v>0</v>
      </c>
      <c r="K44" s="18" t="n">
        <v>0.91542178</v>
      </c>
      <c r="L44" s="20" t="n">
        <v>0.35319392</v>
      </c>
      <c r="M44" s="18" t="n">
        <v>0</v>
      </c>
      <c r="N44" s="20" t="n">
        <v>0</v>
      </c>
      <c r="O44" s="18" t="n">
        <v>0</v>
      </c>
      <c r="P44" s="20" t="n">
        <v>0</v>
      </c>
      <c r="Q44" s="18" t="n">
        <v>20.44357687</v>
      </c>
      <c r="R44" s="20" t="n">
        <v>1.85409703</v>
      </c>
    </row>
    <row r="45" spans="1:18">
      <c r="A45" s="15" t="s">
        <v>604</v>
      </c>
      <c r="B45" s="17" t="n">
        <v>2670</v>
      </c>
      <c r="C45" s="18">
        <f>(1792.0/B45*100)</f>
        <v/>
      </c>
      <c r="D45" s="19" t="n">
        <v>878</v>
      </c>
      <c r="E45" s="18" t="n">
        <v>57.98021994</v>
      </c>
      <c r="F45" s="20" t="n">
        <v>1.85951929</v>
      </c>
      <c r="G45" s="18" t="n">
        <v>23.11382183</v>
      </c>
      <c r="H45" s="20" t="n">
        <v>1.54979651</v>
      </c>
      <c r="I45" s="18" t="n">
        <v>0</v>
      </c>
      <c r="J45" s="20" t="n">
        <v>0</v>
      </c>
      <c r="K45" s="18" t="n">
        <v>2.42879492</v>
      </c>
      <c r="L45" s="20" t="n">
        <v>0.56560752</v>
      </c>
      <c r="M45" s="18" t="n">
        <v>0.73140344</v>
      </c>
      <c r="N45" s="20" t="n">
        <v>0.35075313</v>
      </c>
      <c r="O45" s="18" t="n">
        <v>0.18952482</v>
      </c>
      <c r="P45" s="20" t="n">
        <v>0.14334695</v>
      </c>
      <c r="Q45" s="18" t="n">
        <v>15.55623504</v>
      </c>
      <c r="R45" s="20" t="n">
        <v>1.41893031</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23.01487016</v>
      </c>
      <c r="F54" s="20" t="n">
        <v>1.4208567</v>
      </c>
      <c r="G54" s="18" t="n">
        <v>35.24628798</v>
      </c>
      <c r="H54" s="20" t="n">
        <v>1.74761843</v>
      </c>
      <c r="I54" s="18" t="n">
        <v>0</v>
      </c>
      <c r="J54" s="20" t="n">
        <v>0</v>
      </c>
      <c r="K54" s="18" t="n">
        <v>1.41371623</v>
      </c>
      <c r="L54" s="20" t="n">
        <v>0.46501212</v>
      </c>
      <c r="M54" s="18" t="n">
        <v>0.1043755</v>
      </c>
      <c r="N54" s="20" t="n">
        <v>0.10429987</v>
      </c>
      <c r="O54" s="18" t="n">
        <v>0.51216938</v>
      </c>
      <c r="P54" s="20" t="n">
        <v>0.2318002</v>
      </c>
      <c r="Q54" s="18" t="n">
        <v>39.70858074</v>
      </c>
      <c r="R54" s="20" t="n">
        <v>1.89434034</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59.51645956</v>
      </c>
      <c r="F56" s="20" t="n">
        <v>1.79808841</v>
      </c>
      <c r="G56" s="18" t="n">
        <v>32.0211777</v>
      </c>
      <c r="H56" s="20" t="n">
        <v>1.75774131</v>
      </c>
      <c r="I56" s="18" t="n">
        <v>0</v>
      </c>
      <c r="J56" s="20" t="n">
        <v>0</v>
      </c>
      <c r="K56" s="18" t="n">
        <v>1.05353668</v>
      </c>
      <c r="L56" s="20" t="n">
        <v>0.34984953</v>
      </c>
      <c r="M56" s="18" t="n">
        <v>0.19817489</v>
      </c>
      <c r="N56" s="20" t="n">
        <v>0.14204607</v>
      </c>
      <c r="O56" s="18" t="n">
        <v>0</v>
      </c>
      <c r="P56" s="20" t="n">
        <v>0</v>
      </c>
      <c r="Q56" s="18" t="n">
        <v>7.21065118</v>
      </c>
      <c r="R56" s="20" t="n">
        <v>1.13566908</v>
      </c>
    </row>
    <row r="57" spans="1:18">
      <c r="A57" s="15" t="s">
        <v>616</v>
      </c>
      <c r="B57" s="17" t="n">
        <v>3737</v>
      </c>
      <c r="C57" s="18">
        <f>(2483.0/B57*100)</f>
        <v/>
      </c>
      <c r="D57" s="19" t="n">
        <v>1254</v>
      </c>
      <c r="E57" s="18" t="n">
        <v>48.9141571</v>
      </c>
      <c r="F57" s="20" t="n">
        <v>1.63525356</v>
      </c>
      <c r="G57" s="18" t="n">
        <v>41.91064283</v>
      </c>
      <c r="H57" s="20" t="n">
        <v>2.09044545</v>
      </c>
      <c r="I57" s="18" t="n">
        <v>0</v>
      </c>
      <c r="J57" s="20" t="n">
        <v>0</v>
      </c>
      <c r="K57" s="18" t="n">
        <v>0.24375863</v>
      </c>
      <c r="L57" s="20" t="n">
        <v>0.12576404</v>
      </c>
      <c r="M57" s="18" t="n">
        <v>0</v>
      </c>
      <c r="N57" s="20" t="n">
        <v>0</v>
      </c>
      <c r="O57" s="18" t="n">
        <v>0</v>
      </c>
      <c r="P57" s="20" t="n">
        <v>0</v>
      </c>
      <c r="Q57" s="18" t="n">
        <v>8.93144144</v>
      </c>
      <c r="R57" s="20" t="n">
        <v>1.20770984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61.95991</v>
      </c>
      <c r="F59" s="20" t="n">
        <v>2.17159019</v>
      </c>
      <c r="G59" s="18" t="n">
        <v>16.82741308</v>
      </c>
      <c r="H59" s="20" t="n">
        <v>1.68887728</v>
      </c>
      <c r="I59" s="18" t="n">
        <v>0</v>
      </c>
      <c r="J59" s="20" t="n">
        <v>0</v>
      </c>
      <c r="K59" s="18" t="n">
        <v>0.30708556</v>
      </c>
      <c r="L59" s="20" t="n">
        <v>0.21478873</v>
      </c>
      <c r="M59" s="18" t="n">
        <v>0.04656219</v>
      </c>
      <c r="N59" s="20" t="n">
        <v>0.04639943</v>
      </c>
      <c r="O59" s="18" t="n">
        <v>0</v>
      </c>
      <c r="P59" s="20" t="n">
        <v>0</v>
      </c>
      <c r="Q59" s="18" t="n">
        <v>20.85902917</v>
      </c>
      <c r="R59" s="20" t="n">
        <v>1.87139629</v>
      </c>
    </row>
    <row r="60" spans="1:18">
      <c r="A60" s="15" t="s">
        <v>620</v>
      </c>
      <c r="B60" s="17" t="n">
        <v>2451</v>
      </c>
      <c r="C60" s="18">
        <f>(1642.0/B60*100)</f>
        <v/>
      </c>
      <c r="D60" s="19" t="n">
        <v>809</v>
      </c>
      <c r="E60" s="18" t="n">
        <v>55.28303878</v>
      </c>
      <c r="F60" s="20" t="n">
        <v>2.02334966</v>
      </c>
      <c r="G60" s="18" t="n">
        <v>21.31105585</v>
      </c>
      <c r="H60" s="20" t="n">
        <v>1.59629046</v>
      </c>
      <c r="I60" s="18" t="n">
        <v>0</v>
      </c>
      <c r="J60" s="20" t="n">
        <v>0</v>
      </c>
      <c r="K60" s="18" t="n">
        <v>2.59063654</v>
      </c>
      <c r="L60" s="20" t="n">
        <v>0.7368346099999999</v>
      </c>
      <c r="M60" s="18" t="n">
        <v>0.12426915</v>
      </c>
      <c r="N60" s="20" t="n">
        <v>0.12440276</v>
      </c>
      <c r="O60" s="18" t="n">
        <v>0.17838942</v>
      </c>
      <c r="P60" s="20" t="n">
        <v>0.12690327</v>
      </c>
      <c r="Q60" s="18" t="n">
        <v>20.51261026</v>
      </c>
      <c r="R60" s="20" t="n">
        <v>1.79383202</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21.66631821</v>
      </c>
      <c r="F63" s="20" t="n">
        <v>1.29549012</v>
      </c>
      <c r="G63" s="18" t="n">
        <v>29.27727816</v>
      </c>
      <c r="H63" s="20" t="n">
        <v>1.51015546</v>
      </c>
      <c r="I63" s="18" t="n">
        <v>0</v>
      </c>
      <c r="J63" s="20" t="n">
        <v>0</v>
      </c>
      <c r="K63" s="18" t="n">
        <v>1.43500711</v>
      </c>
      <c r="L63" s="20" t="n">
        <v>0.4030595</v>
      </c>
      <c r="M63" s="18" t="n">
        <v>0</v>
      </c>
      <c r="N63" s="20" t="n">
        <v>0</v>
      </c>
      <c r="O63" s="18" t="n">
        <v>0</v>
      </c>
      <c r="P63" s="20" t="n">
        <v>0</v>
      </c>
      <c r="Q63" s="18" t="n">
        <v>47.62139653</v>
      </c>
      <c r="R63" s="20" t="n">
        <v>1.53518352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38.79394625</v>
      </c>
      <c r="F65" s="20" t="n">
        <v>1.95437595</v>
      </c>
      <c r="G65" s="18" t="n">
        <v>43.38090533</v>
      </c>
      <c r="H65" s="20" t="n">
        <v>2.04664826</v>
      </c>
      <c r="I65" s="18" t="n">
        <v>0</v>
      </c>
      <c r="J65" s="20" t="n">
        <v>0</v>
      </c>
      <c r="K65" s="18" t="n">
        <v>1.74530734</v>
      </c>
      <c r="L65" s="20" t="n">
        <v>0.61136776</v>
      </c>
      <c r="M65" s="18" t="n">
        <v>0</v>
      </c>
      <c r="N65" s="20" t="n">
        <v>0</v>
      </c>
      <c r="O65" s="18" t="n">
        <v>0</v>
      </c>
      <c r="P65" s="20" t="n">
        <v>0</v>
      </c>
      <c r="Q65" s="18" t="n">
        <v>16.07984109</v>
      </c>
      <c r="R65" s="20" t="n">
        <v>1.65288565</v>
      </c>
    </row>
    <row r="66" spans="1:18">
      <c r="A66" s="15" t="s">
        <v>626</v>
      </c>
      <c r="B66" s="17" t="n">
        <v>2634</v>
      </c>
      <c r="C66" s="18">
        <f>(1775.0/B66*100)</f>
        <v/>
      </c>
      <c r="D66" s="19" t="n">
        <v>859</v>
      </c>
      <c r="E66" s="18" t="n">
        <v>37.12474719</v>
      </c>
      <c r="F66" s="20" t="n">
        <v>1.71548135</v>
      </c>
      <c r="G66" s="18" t="n">
        <v>34.42185551</v>
      </c>
      <c r="H66" s="20" t="n">
        <v>1.84298663</v>
      </c>
      <c r="I66" s="18" t="n">
        <v>0</v>
      </c>
      <c r="J66" s="20" t="n">
        <v>0</v>
      </c>
      <c r="K66" s="18" t="n">
        <v>1.87415895</v>
      </c>
      <c r="L66" s="20" t="n">
        <v>0.37162447</v>
      </c>
      <c r="M66" s="18" t="n">
        <v>0</v>
      </c>
      <c r="N66" s="20" t="n">
        <v>0</v>
      </c>
      <c r="O66" s="18" t="n">
        <v>0</v>
      </c>
      <c r="P66" s="20" t="n">
        <v>0</v>
      </c>
      <c r="Q66" s="18" t="n">
        <v>26.57923835</v>
      </c>
      <c r="R66" s="20" t="n">
        <v>1.84671556</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54.28835097</v>
      </c>
      <c r="F69" s="20" t="n">
        <v>4.43502548</v>
      </c>
      <c r="G69" s="18" t="n">
        <v>36.44315823</v>
      </c>
      <c r="H69" s="20" t="n">
        <v>3.99312858</v>
      </c>
      <c r="I69" s="18" t="n">
        <v>0</v>
      </c>
      <c r="J69" s="20" t="n">
        <v>0</v>
      </c>
      <c r="K69" s="18" t="n">
        <v>0</v>
      </c>
      <c r="L69" s="20" t="n">
        <v>0</v>
      </c>
      <c r="M69" s="18" t="n">
        <v>0</v>
      </c>
      <c r="N69" s="20" t="n">
        <v>0</v>
      </c>
      <c r="O69" s="18" t="n">
        <v>0</v>
      </c>
      <c r="P69" s="20" t="n">
        <v>0</v>
      </c>
      <c r="Q69" s="18" t="n">
        <v>9.2684908</v>
      </c>
      <c r="R69" s="20" t="n">
        <v>1.99399866</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51.33124129</v>
      </c>
      <c r="F71" s="20" t="n">
        <v>1.99857478</v>
      </c>
      <c r="G71" s="18" t="n">
        <v>48.24309808</v>
      </c>
      <c r="H71" s="20" t="n">
        <v>1.98664662</v>
      </c>
      <c r="I71" s="18" t="n">
        <v>0</v>
      </c>
      <c r="J71" s="20" t="n">
        <v>0</v>
      </c>
      <c r="K71" s="18" t="n">
        <v>0</v>
      </c>
      <c r="L71" s="20" t="n">
        <v>0</v>
      </c>
      <c r="M71" s="18" t="n">
        <v>0</v>
      </c>
      <c r="N71" s="20" t="n">
        <v>0</v>
      </c>
      <c r="O71" s="18" t="n">
        <v>0</v>
      </c>
      <c r="P71" s="20" t="n">
        <v>0</v>
      </c>
      <c r="Q71" s="18" t="n">
        <v>0.42566063</v>
      </c>
      <c r="R71" s="20" t="n">
        <v>0.26859131</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46.10061077</v>
      </c>
      <c r="F76" s="20" t="n">
        <v>2.37335082</v>
      </c>
      <c r="G76" s="18" t="n">
        <v>27.36979812</v>
      </c>
      <c r="H76" s="20" t="n">
        <v>1.52825913</v>
      </c>
      <c r="I76" s="18" t="n">
        <v>0</v>
      </c>
      <c r="J76" s="20" t="n">
        <v>0</v>
      </c>
      <c r="K76" s="18" t="n">
        <v>3.55125802</v>
      </c>
      <c r="L76" s="20" t="n">
        <v>0.79910308</v>
      </c>
      <c r="M76" s="18" t="n">
        <v>0</v>
      </c>
      <c r="N76" s="20" t="n">
        <v>0</v>
      </c>
      <c r="O76" s="18" t="n">
        <v>0</v>
      </c>
      <c r="P76" s="20" t="n">
        <v>0</v>
      </c>
      <c r="Q76" s="18" t="n">
        <v>22.9783331</v>
      </c>
      <c r="R76" s="20" t="n">
        <v>1.76396292</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35.20954901</v>
      </c>
      <c r="F80" s="20" t="n">
        <v>2.22823449</v>
      </c>
      <c r="G80" s="18" t="n">
        <v>64.02508643</v>
      </c>
      <c r="H80" s="20" t="n">
        <v>2.23832108</v>
      </c>
      <c r="I80" s="18" t="n">
        <v>0</v>
      </c>
      <c r="J80" s="20" t="n">
        <v>0</v>
      </c>
      <c r="K80" s="18" t="n">
        <v>0</v>
      </c>
      <c r="L80" s="20" t="n">
        <v>0</v>
      </c>
      <c r="M80" s="18" t="n">
        <v>0</v>
      </c>
      <c r="N80" s="20" t="n">
        <v>0</v>
      </c>
      <c r="O80" s="18" t="n">
        <v>0</v>
      </c>
      <c r="P80" s="20" t="n">
        <v>0</v>
      </c>
      <c r="Q80" s="18" t="n">
        <v>0.76536456</v>
      </c>
      <c r="R80" s="20" t="n">
        <v>0.29743674</v>
      </c>
    </row>
    <row r="81" spans="1:18">
      <c r="A81" s="15" t="s">
        <v>641</v>
      </c>
      <c r="B81" s="17" t="n">
        <v>870</v>
      </c>
      <c r="C81" s="18">
        <f>(576.0/B81*100)</f>
        <v/>
      </c>
      <c r="D81" s="19" t="n">
        <v>294</v>
      </c>
      <c r="E81" s="18" t="n">
        <v>37.51756197</v>
      </c>
      <c r="F81" s="20" t="n">
        <v>3.48639169</v>
      </c>
      <c r="G81" s="18" t="n">
        <v>43.89331943</v>
      </c>
      <c r="H81" s="20" t="n">
        <v>4.22782573</v>
      </c>
      <c r="I81" s="18" t="n">
        <v>0</v>
      </c>
      <c r="J81" s="20" t="n">
        <v>0</v>
      </c>
      <c r="K81" s="18" t="n">
        <v>1.57053534</v>
      </c>
      <c r="L81" s="20" t="n">
        <v>0.5670711000000001</v>
      </c>
      <c r="M81" s="18" t="n">
        <v>0</v>
      </c>
      <c r="N81" s="20" t="n">
        <v>0</v>
      </c>
      <c r="O81" s="18" t="n">
        <v>0</v>
      </c>
      <c r="P81" s="20" t="n">
        <v>0</v>
      </c>
      <c r="Q81" s="18" t="n">
        <v>17.01858326</v>
      </c>
      <c r="R81" s="20" t="n">
        <v>2.44939743</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X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549</v>
      </c>
    </row>
    <row r="2" spans="1:24">
      <c r="A2" s="5" t="s">
        <v>852</v>
      </c>
    </row>
    <row customHeight="1" ht="30" r="4" spans="1:24">
      <c r="A4" s="6" t="n"/>
      <c r="B4" s="7" t="s">
        <v>551</v>
      </c>
      <c r="C4" s="7" t="s">
        <v>552</v>
      </c>
      <c r="D4" s="8" t="s">
        <v>551</v>
      </c>
      <c r="E4" s="9" t="s">
        <v>655</v>
      </c>
      <c r="F4" s="10" t="n"/>
      <c r="G4" s="9" t="s">
        <v>656</v>
      </c>
      <c r="H4" s="10" t="n"/>
      <c r="I4" s="9" t="s">
        <v>853</v>
      </c>
      <c r="J4" s="10" t="n"/>
      <c r="K4" s="9" t="s">
        <v>657</v>
      </c>
      <c r="L4" s="10" t="n"/>
      <c r="M4" s="9" t="s">
        <v>658</v>
      </c>
      <c r="N4" s="10" t="n"/>
      <c r="O4" s="9" t="s">
        <v>555</v>
      </c>
      <c r="P4" s="10" t="n"/>
      <c r="Q4" s="9" t="s">
        <v>556</v>
      </c>
      <c r="R4" s="10" t="n"/>
      <c r="S4" s="9" t="s">
        <v>557</v>
      </c>
      <c r="T4" s="10" t="n"/>
      <c r="U4" s="9" t="s">
        <v>558</v>
      </c>
      <c r="V4" s="10" t="n"/>
      <c r="W4" s="9" t="s">
        <v>559</v>
      </c>
      <c r="X4" s="10" t="n"/>
    </row>
    <row r="5" spans="1:24">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c r="W5" s="12" t="s">
        <v>561</v>
      </c>
      <c r="X5" s="11" t="s">
        <v>563</v>
      </c>
    </row>
    <row r="6" spans="1:24">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c r="U7" s="18" t="s">
        <v>603</v>
      </c>
      <c r="V7" s="20" t="s">
        <v>603</v>
      </c>
      <c r="W7" s="18" t="s">
        <v>603</v>
      </c>
      <c r="X7" s="20" t="s">
        <v>603</v>
      </c>
    </row>
    <row r="8" spans="1:24">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c r="U8" s="18" t="s">
        <v>603</v>
      </c>
      <c r="V8" s="20" t="s">
        <v>603</v>
      </c>
      <c r="W8" s="18" t="s">
        <v>603</v>
      </c>
      <c r="X8" s="20" t="s">
        <v>603</v>
      </c>
    </row>
    <row r="9" spans="1:24">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c r="U9" s="18" t="s">
        <v>603</v>
      </c>
      <c r="V9" s="20" t="s">
        <v>603</v>
      </c>
      <c r="W9" s="18" t="s">
        <v>603</v>
      </c>
      <c r="X9" s="20" t="s">
        <v>603</v>
      </c>
    </row>
    <row r="10" spans="1:24">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c r="U10" s="18" t="s">
        <v>603</v>
      </c>
      <c r="V10" s="20" t="s">
        <v>603</v>
      </c>
      <c r="W10" s="18" t="s">
        <v>603</v>
      </c>
      <c r="X10" s="20" t="s">
        <v>603</v>
      </c>
    </row>
    <row r="11" spans="1:24">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c r="U11" s="18" t="s">
        <v>603</v>
      </c>
      <c r="V11" s="20" t="s">
        <v>603</v>
      </c>
      <c r="W11" s="18" t="s">
        <v>603</v>
      </c>
      <c r="X11" s="20" t="s">
        <v>603</v>
      </c>
    </row>
    <row r="12" spans="1:24">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c r="U12" s="18" t="s">
        <v>603</v>
      </c>
      <c r="V12" s="20" t="s">
        <v>603</v>
      </c>
      <c r="W12" s="18" t="s">
        <v>603</v>
      </c>
      <c r="X12" s="20" t="s">
        <v>603</v>
      </c>
    </row>
    <row r="13" spans="1:24">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c r="U13" s="18" t="s">
        <v>603</v>
      </c>
      <c r="V13" s="20" t="s">
        <v>603</v>
      </c>
      <c r="W13" s="18" t="s">
        <v>603</v>
      </c>
      <c r="X13" s="20" t="s">
        <v>603</v>
      </c>
    </row>
    <row r="14" spans="1:24">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c r="U14" s="18" t="s">
        <v>603</v>
      </c>
      <c r="V14" s="20" t="s">
        <v>603</v>
      </c>
      <c r="W14" s="18" t="s">
        <v>603</v>
      </c>
      <c r="X14" s="20" t="s">
        <v>603</v>
      </c>
    </row>
    <row r="15" spans="1:24">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c r="U15" s="18" t="s">
        <v>603</v>
      </c>
      <c r="V15" s="20" t="s">
        <v>603</v>
      </c>
      <c r="W15" s="18" t="s">
        <v>603</v>
      </c>
      <c r="X15" s="20" t="s">
        <v>603</v>
      </c>
    </row>
    <row r="16" spans="1:24">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c r="U16" s="18" t="s">
        <v>603</v>
      </c>
      <c r="V16" s="20" t="s">
        <v>603</v>
      </c>
      <c r="W16" s="18" t="s">
        <v>603</v>
      </c>
      <c r="X16" s="20" t="s">
        <v>603</v>
      </c>
    </row>
    <row r="17" spans="1:24">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c r="U17" s="18" t="s">
        <v>603</v>
      </c>
      <c r="V17" s="20" t="s">
        <v>603</v>
      </c>
      <c r="W17" s="18" t="s">
        <v>603</v>
      </c>
      <c r="X17" s="20" t="s">
        <v>603</v>
      </c>
    </row>
    <row r="18" spans="1:24">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c r="U18" s="18" t="s">
        <v>603</v>
      </c>
      <c r="V18" s="20" t="s">
        <v>603</v>
      </c>
      <c r="W18" s="18" t="s">
        <v>603</v>
      </c>
      <c r="X18" s="20" t="s">
        <v>603</v>
      </c>
    </row>
    <row r="19" spans="1:24">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c r="U19" s="18" t="s">
        <v>603</v>
      </c>
      <c r="V19" s="20" t="s">
        <v>603</v>
      </c>
      <c r="W19" s="18" t="s">
        <v>603</v>
      </c>
      <c r="X19" s="20" t="s">
        <v>603</v>
      </c>
    </row>
    <row r="20" spans="1:24">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c r="U20" s="18" t="s">
        <v>603</v>
      </c>
      <c r="V20" s="20" t="s">
        <v>603</v>
      </c>
      <c r="W20" s="18" t="s">
        <v>603</v>
      </c>
      <c r="X20" s="20" t="s">
        <v>603</v>
      </c>
    </row>
    <row r="21" spans="1:24">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c r="U21" s="18" t="s">
        <v>603</v>
      </c>
      <c r="V21" s="20" t="s">
        <v>603</v>
      </c>
      <c r="W21" s="18" t="s">
        <v>603</v>
      </c>
      <c r="X21" s="20" t="s">
        <v>603</v>
      </c>
    </row>
    <row r="22" spans="1:24">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c r="U22" s="18" t="s">
        <v>603</v>
      </c>
      <c r="V22" s="20" t="s">
        <v>603</v>
      </c>
      <c r="W22" s="18" t="s">
        <v>603</v>
      </c>
      <c r="X22" s="20" t="s">
        <v>603</v>
      </c>
    </row>
    <row r="23" spans="1:24">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c r="U23" s="18" t="s">
        <v>603</v>
      </c>
      <c r="V23" s="20" t="s">
        <v>603</v>
      </c>
      <c r="W23" s="18" t="s">
        <v>603</v>
      </c>
      <c r="X23" s="20" t="s">
        <v>603</v>
      </c>
    </row>
    <row r="24" spans="1:24">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c r="U24" s="18" t="s">
        <v>603</v>
      </c>
      <c r="V24" s="20" t="s">
        <v>603</v>
      </c>
      <c r="W24" s="18" t="s">
        <v>603</v>
      </c>
      <c r="X24" s="20" t="s">
        <v>603</v>
      </c>
    </row>
    <row r="25" spans="1:24">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c r="U25" s="18" t="s">
        <v>603</v>
      </c>
      <c r="V25" s="20" t="s">
        <v>603</v>
      </c>
      <c r="W25" s="18" t="s">
        <v>603</v>
      </c>
      <c r="X25" s="20" t="s">
        <v>603</v>
      </c>
    </row>
    <row r="26" spans="1:24">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c r="U26" s="18" t="s">
        <v>603</v>
      </c>
      <c r="V26" s="20" t="s">
        <v>603</v>
      </c>
      <c r="W26" s="18" t="s">
        <v>603</v>
      </c>
      <c r="X26" s="20" t="s">
        <v>603</v>
      </c>
    </row>
    <row r="27" spans="1:24">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c r="U27" s="18" t="s">
        <v>603</v>
      </c>
      <c r="V27" s="20" t="s">
        <v>603</v>
      </c>
      <c r="W27" s="18" t="s">
        <v>603</v>
      </c>
      <c r="X27" s="20" t="s">
        <v>603</v>
      </c>
    </row>
    <row r="28" spans="1:24">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c r="U28" s="18" t="s">
        <v>603</v>
      </c>
      <c r="V28" s="20" t="s">
        <v>603</v>
      </c>
      <c r="W28" s="18" t="s">
        <v>603</v>
      </c>
      <c r="X28" s="20" t="s">
        <v>603</v>
      </c>
    </row>
    <row r="29" spans="1:24">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c r="U29" s="18" t="s">
        <v>603</v>
      </c>
      <c r="V29" s="20" t="s">
        <v>603</v>
      </c>
      <c r="W29" s="18" t="s">
        <v>603</v>
      </c>
      <c r="X29" s="20" t="s">
        <v>603</v>
      </c>
    </row>
    <row r="30" spans="1:24">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c r="U30" s="18" t="s">
        <v>603</v>
      </c>
      <c r="V30" s="20" t="s">
        <v>603</v>
      </c>
      <c r="W30" s="18" t="s">
        <v>603</v>
      </c>
      <c r="X30" s="20" t="s">
        <v>603</v>
      </c>
    </row>
    <row r="31" spans="1:24">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c r="U31" s="18" t="s">
        <v>603</v>
      </c>
      <c r="V31" s="20" t="s">
        <v>603</v>
      </c>
      <c r="W31" s="18" t="s">
        <v>603</v>
      </c>
      <c r="X31" s="20" t="s">
        <v>603</v>
      </c>
    </row>
    <row r="32" spans="1:24">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c r="U32" s="18" t="s">
        <v>603</v>
      </c>
      <c r="V32" s="20" t="s">
        <v>603</v>
      </c>
      <c r="W32" s="18" t="s">
        <v>603</v>
      </c>
      <c r="X32" s="20" t="s">
        <v>603</v>
      </c>
    </row>
    <row r="33" spans="1:24">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c r="U33" s="18" t="s">
        <v>603</v>
      </c>
      <c r="V33" s="20" t="s">
        <v>603</v>
      </c>
      <c r="W33" s="18" t="s">
        <v>603</v>
      </c>
      <c r="X33" s="20" t="s">
        <v>603</v>
      </c>
    </row>
    <row r="34" spans="1:24">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c r="U34" s="18" t="s">
        <v>603</v>
      </c>
      <c r="V34" s="20" t="s">
        <v>603</v>
      </c>
      <c r="W34" s="18" t="s">
        <v>603</v>
      </c>
      <c r="X34" s="20" t="s">
        <v>603</v>
      </c>
    </row>
    <row r="35" spans="1:24">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c r="U35" s="18" t="s">
        <v>603</v>
      </c>
      <c r="V35" s="20" t="s">
        <v>603</v>
      </c>
      <c r="W35" s="18" t="s">
        <v>603</v>
      </c>
      <c r="X35" s="20" t="s">
        <v>603</v>
      </c>
    </row>
    <row r="36" spans="1:24">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c r="U36" s="18" t="s">
        <v>603</v>
      </c>
      <c r="V36" s="20" t="s">
        <v>603</v>
      </c>
      <c r="W36" s="18" t="s">
        <v>603</v>
      </c>
      <c r="X36" s="20" t="s">
        <v>603</v>
      </c>
    </row>
    <row r="37" spans="1:24">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c r="U37" s="18" t="s">
        <v>603</v>
      </c>
      <c r="V37" s="20" t="s">
        <v>603</v>
      </c>
      <c r="W37" s="18" t="s">
        <v>603</v>
      </c>
      <c r="X37" s="20" t="s">
        <v>603</v>
      </c>
    </row>
    <row r="38" spans="1:24">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c r="U38" s="18" t="s">
        <v>603</v>
      </c>
      <c r="V38" s="20" t="s">
        <v>603</v>
      </c>
      <c r="W38" s="18" t="s">
        <v>603</v>
      </c>
      <c r="X38" s="20" t="s">
        <v>603</v>
      </c>
    </row>
    <row r="39" spans="1:24">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c r="U39" s="18" t="s">
        <v>603</v>
      </c>
      <c r="V39" s="20" t="s">
        <v>603</v>
      </c>
      <c r="W39" s="18" t="s">
        <v>603</v>
      </c>
      <c r="X39" s="20" t="s">
        <v>603</v>
      </c>
    </row>
    <row r="40" spans="1:24">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c r="U40" s="18" t="s">
        <v>603</v>
      </c>
      <c r="V40" s="20" t="s">
        <v>603</v>
      </c>
      <c r="W40" s="18" t="s">
        <v>603</v>
      </c>
      <c r="X40" s="20" t="s">
        <v>603</v>
      </c>
    </row>
    <row r="41" spans="1:24">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c r="U41" s="18" t="s">
        <v>603</v>
      </c>
      <c r="V41" s="20" t="s">
        <v>603</v>
      </c>
      <c r="W41" s="18" t="s">
        <v>603</v>
      </c>
      <c r="X41" s="20" t="s">
        <v>603</v>
      </c>
    </row>
    <row r="42" spans="1:24">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602</v>
      </c>
      <c r="B44" s="17" t="n">
        <v>2691</v>
      </c>
      <c r="C44" s="18">
        <f>(1807.0/B44*100)</f>
        <v/>
      </c>
      <c r="D44" s="19" t="n">
        <v>884</v>
      </c>
      <c r="E44" s="18" t="n">
        <v>14.49912785</v>
      </c>
      <c r="F44" s="20" t="n">
        <v>1.49724077</v>
      </c>
      <c r="G44" s="18" t="n">
        <v>20.50891986</v>
      </c>
      <c r="H44" s="20" t="n">
        <v>1.47567794</v>
      </c>
      <c r="I44" s="18" t="n">
        <v>0</v>
      </c>
      <c r="J44" s="20" t="n">
        <v>0</v>
      </c>
      <c r="K44" s="18" t="n">
        <v>36.81069965</v>
      </c>
      <c r="L44" s="20" t="n">
        <v>2.0744188</v>
      </c>
      <c r="M44" s="18" t="n">
        <v>11.45081621</v>
      </c>
      <c r="N44" s="20" t="n">
        <v>1.32870253</v>
      </c>
      <c r="O44" s="18" t="n">
        <v>0</v>
      </c>
      <c r="P44" s="20" t="n">
        <v>0</v>
      </c>
      <c r="Q44" s="18" t="n">
        <v>1.00729788</v>
      </c>
      <c r="R44" s="20" t="n">
        <v>0.36669356</v>
      </c>
      <c r="S44" s="18" t="n">
        <v>0</v>
      </c>
      <c r="T44" s="20" t="n">
        <v>0</v>
      </c>
      <c r="U44" s="18" t="n">
        <v>0</v>
      </c>
      <c r="V44" s="20" t="n">
        <v>0</v>
      </c>
      <c r="W44" s="18" t="n">
        <v>15.72313855</v>
      </c>
      <c r="X44" s="20" t="n">
        <v>1.44948224</v>
      </c>
    </row>
    <row r="45" spans="1:24">
      <c r="A45" s="15" t="s">
        <v>604</v>
      </c>
      <c r="B45" s="17" t="n">
        <v>2670</v>
      </c>
      <c r="C45" s="18">
        <f>(1792.0/B45*100)</f>
        <v/>
      </c>
      <c r="D45" s="19" t="n">
        <v>878</v>
      </c>
      <c r="E45" s="18" t="n">
        <v>30.03890489</v>
      </c>
      <c r="F45" s="20" t="n">
        <v>1.62548575</v>
      </c>
      <c r="G45" s="18" t="n">
        <v>33.21985696</v>
      </c>
      <c r="H45" s="20" t="n">
        <v>1.6032355</v>
      </c>
      <c r="I45" s="18" t="n">
        <v>0</v>
      </c>
      <c r="J45" s="20" t="n">
        <v>0</v>
      </c>
      <c r="K45" s="18" t="n">
        <v>8.70920785</v>
      </c>
      <c r="L45" s="20" t="n">
        <v>1.56129332</v>
      </c>
      <c r="M45" s="18" t="n">
        <v>5.2156831</v>
      </c>
      <c r="N45" s="20" t="n">
        <v>0.92160332</v>
      </c>
      <c r="O45" s="18" t="n">
        <v>0</v>
      </c>
      <c r="P45" s="20" t="n">
        <v>0</v>
      </c>
      <c r="Q45" s="18" t="n">
        <v>2.7634014</v>
      </c>
      <c r="R45" s="20" t="n">
        <v>0.56377015</v>
      </c>
      <c r="S45" s="18" t="n">
        <v>0.81337442</v>
      </c>
      <c r="T45" s="20" t="n">
        <v>0.35846111</v>
      </c>
      <c r="U45" s="18" t="n">
        <v>0.38076391</v>
      </c>
      <c r="V45" s="20" t="n">
        <v>0.20053407</v>
      </c>
      <c r="W45" s="18" t="n">
        <v>18.85880747</v>
      </c>
      <c r="X45" s="20" t="n">
        <v>1.60130251</v>
      </c>
    </row>
    <row r="46" spans="1:24">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c r="U46" s="18" t="s">
        <v>603</v>
      </c>
      <c r="V46" s="20" t="s">
        <v>603</v>
      </c>
      <c r="W46" s="18" t="s">
        <v>603</v>
      </c>
      <c r="X46" s="20" t="s">
        <v>603</v>
      </c>
    </row>
    <row r="47" spans="1:24">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c r="U47" s="18" t="s">
        <v>603</v>
      </c>
      <c r="V47" s="20" t="s">
        <v>603</v>
      </c>
      <c r="W47" s="18" t="s">
        <v>603</v>
      </c>
      <c r="X47" s="20" t="s">
        <v>603</v>
      </c>
    </row>
    <row r="48" spans="1:24">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c r="U48" s="18" t="s">
        <v>603</v>
      </c>
      <c r="V48" s="20" t="s">
        <v>603</v>
      </c>
      <c r="W48" s="18" t="s">
        <v>603</v>
      </c>
      <c r="X48" s="20" t="s">
        <v>603</v>
      </c>
    </row>
    <row r="49" spans="1:24">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c r="U49" s="18" t="s">
        <v>603</v>
      </c>
      <c r="V49" s="20" t="s">
        <v>603</v>
      </c>
      <c r="W49" s="18" t="s">
        <v>603</v>
      </c>
      <c r="X49" s="20" t="s">
        <v>603</v>
      </c>
    </row>
    <row r="50" spans="1:24">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c r="U50" s="18" t="s">
        <v>603</v>
      </c>
      <c r="V50" s="20" t="s">
        <v>603</v>
      </c>
      <c r="W50" s="18" t="s">
        <v>603</v>
      </c>
      <c r="X50" s="20" t="s">
        <v>603</v>
      </c>
    </row>
    <row r="51" spans="1:24">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c r="U51" s="18" t="s">
        <v>603</v>
      </c>
      <c r="V51" s="20" t="s">
        <v>603</v>
      </c>
      <c r="W51" s="18" t="s">
        <v>603</v>
      </c>
      <c r="X51" s="20" t="s">
        <v>603</v>
      </c>
    </row>
    <row r="52" spans="1:24">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c r="U52" s="18" t="s">
        <v>603</v>
      </c>
      <c r="V52" s="20" t="s">
        <v>603</v>
      </c>
      <c r="W52" s="18" t="s">
        <v>603</v>
      </c>
      <c r="X52" s="20" t="s">
        <v>603</v>
      </c>
    </row>
    <row r="53" spans="1:24">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c r="U53" s="18" t="s">
        <v>603</v>
      </c>
      <c r="V53" s="20" t="s">
        <v>603</v>
      </c>
      <c r="W53" s="18" t="s">
        <v>603</v>
      </c>
      <c r="X53" s="20" t="s">
        <v>603</v>
      </c>
    </row>
    <row r="54" spans="1:24">
      <c r="A54" s="15" t="s">
        <v>613</v>
      </c>
      <c r="B54" s="17" t="n">
        <v>2557</v>
      </c>
      <c r="C54" s="18">
        <f>(1710.0/B54*100)</f>
        <v/>
      </c>
      <c r="D54" s="19" t="n">
        <v>847</v>
      </c>
      <c r="E54" s="18" t="n">
        <v>20.62642563</v>
      </c>
      <c r="F54" s="20" t="n">
        <v>1.57461566</v>
      </c>
      <c r="G54" s="18" t="n">
        <v>20.76287655</v>
      </c>
      <c r="H54" s="20" t="n">
        <v>1.54508733</v>
      </c>
      <c r="I54" s="18" t="n">
        <v>0</v>
      </c>
      <c r="J54" s="20" t="n">
        <v>0</v>
      </c>
      <c r="K54" s="18" t="n">
        <v>15.19065939</v>
      </c>
      <c r="L54" s="20" t="n">
        <v>1.01240318</v>
      </c>
      <c r="M54" s="18" t="n">
        <v>5.55984391</v>
      </c>
      <c r="N54" s="20" t="n">
        <v>0.75730073</v>
      </c>
      <c r="O54" s="18" t="n">
        <v>0</v>
      </c>
      <c r="P54" s="20" t="n">
        <v>0</v>
      </c>
      <c r="Q54" s="18" t="n">
        <v>1.41371623</v>
      </c>
      <c r="R54" s="20" t="n">
        <v>0.46501212</v>
      </c>
      <c r="S54" s="18" t="n">
        <v>0.1043755</v>
      </c>
      <c r="T54" s="20" t="n">
        <v>0.10429987</v>
      </c>
      <c r="U54" s="18" t="n">
        <v>0.09891487</v>
      </c>
      <c r="V54" s="20" t="n">
        <v>0.09914154999999999</v>
      </c>
      <c r="W54" s="18" t="n">
        <v>36.24318792</v>
      </c>
      <c r="X54" s="20" t="n">
        <v>1.73439425</v>
      </c>
    </row>
    <row r="55" spans="1:24">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c r="U55" s="18" t="s">
        <v>603</v>
      </c>
      <c r="V55" s="20" t="s">
        <v>603</v>
      </c>
      <c r="W55" s="18" t="s">
        <v>603</v>
      </c>
      <c r="X55" s="20" t="s">
        <v>603</v>
      </c>
    </row>
    <row r="56" spans="1:24">
      <c r="A56" s="15" t="s">
        <v>615</v>
      </c>
      <c r="B56" s="17" t="n">
        <v>3343</v>
      </c>
      <c r="C56" s="18">
        <f>(2194.0/B56*100)</f>
        <v/>
      </c>
      <c r="D56" s="19" t="n">
        <v>1149</v>
      </c>
      <c r="E56" s="18" t="n">
        <v>33.15987954</v>
      </c>
      <c r="F56" s="20" t="n">
        <v>1.55981234</v>
      </c>
      <c r="G56" s="18" t="n">
        <v>37.60972137</v>
      </c>
      <c r="H56" s="20" t="n">
        <v>1.4778987</v>
      </c>
      <c r="I56" s="18" t="n">
        <v>0</v>
      </c>
      <c r="J56" s="20" t="n">
        <v>0</v>
      </c>
      <c r="K56" s="18" t="n">
        <v>13.40654963</v>
      </c>
      <c r="L56" s="20" t="n">
        <v>1.04352526</v>
      </c>
      <c r="M56" s="18" t="n">
        <v>8.454266199999999</v>
      </c>
      <c r="N56" s="20" t="n">
        <v>0.84600422</v>
      </c>
      <c r="O56" s="18" t="n">
        <v>0</v>
      </c>
      <c r="P56" s="20" t="n">
        <v>0</v>
      </c>
      <c r="Q56" s="18" t="n">
        <v>1.05353668</v>
      </c>
      <c r="R56" s="20" t="n">
        <v>0.34984953</v>
      </c>
      <c r="S56" s="18" t="n">
        <v>0.19817489</v>
      </c>
      <c r="T56" s="20" t="n">
        <v>0.14204607</v>
      </c>
      <c r="U56" s="18" t="n">
        <v>0</v>
      </c>
      <c r="V56" s="20" t="n">
        <v>0</v>
      </c>
      <c r="W56" s="18" t="n">
        <v>6.11787169</v>
      </c>
      <c r="X56" s="20" t="n">
        <v>1.09232601</v>
      </c>
    </row>
    <row r="57" spans="1:24">
      <c r="A57" s="15" t="s">
        <v>616</v>
      </c>
      <c r="B57" s="17" t="n">
        <v>3737</v>
      </c>
      <c r="C57" s="18">
        <f>(2483.0/B57*100)</f>
        <v/>
      </c>
      <c r="D57" s="19" t="n">
        <v>1254</v>
      </c>
      <c r="E57" s="18" t="n">
        <v>18.32510886</v>
      </c>
      <c r="F57" s="20" t="n">
        <v>1.42686812</v>
      </c>
      <c r="G57" s="18" t="n">
        <v>30.20447432</v>
      </c>
      <c r="H57" s="20" t="n">
        <v>1.79733617</v>
      </c>
      <c r="I57" s="18" t="n">
        <v>0</v>
      </c>
      <c r="J57" s="20" t="n">
        <v>0</v>
      </c>
      <c r="K57" s="18" t="n">
        <v>30.78868976</v>
      </c>
      <c r="L57" s="20" t="n">
        <v>1.60422679</v>
      </c>
      <c r="M57" s="18" t="n">
        <v>13.60647106</v>
      </c>
      <c r="N57" s="20" t="n">
        <v>1.16836255</v>
      </c>
      <c r="O57" s="18" t="n">
        <v>0</v>
      </c>
      <c r="P57" s="20" t="n">
        <v>0</v>
      </c>
      <c r="Q57" s="18" t="n">
        <v>0.24375863</v>
      </c>
      <c r="R57" s="20" t="n">
        <v>0.12576404</v>
      </c>
      <c r="S57" s="18" t="n">
        <v>0</v>
      </c>
      <c r="T57" s="20" t="n">
        <v>0</v>
      </c>
      <c r="U57" s="18" t="n">
        <v>0</v>
      </c>
      <c r="V57" s="20" t="n">
        <v>0</v>
      </c>
      <c r="W57" s="18" t="n">
        <v>6.83149738</v>
      </c>
      <c r="X57" s="20" t="n">
        <v>1.00713515</v>
      </c>
    </row>
    <row r="58" spans="1:24">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c r="W58" s="21" t="s">
        <v>618</v>
      </c>
      <c r="X58" s="22" t="s">
        <v>618</v>
      </c>
    </row>
    <row r="59" spans="1:24">
      <c r="A59" s="15" t="s">
        <v>619</v>
      </c>
      <c r="B59" s="17" t="n">
        <v>2278</v>
      </c>
      <c r="C59" s="18">
        <f>(1548.0/B59*100)</f>
        <v/>
      </c>
      <c r="D59" s="19" t="n">
        <v>730</v>
      </c>
      <c r="E59" s="18" t="n">
        <v>41.54297889</v>
      </c>
      <c r="F59" s="20" t="n">
        <v>2.10568505</v>
      </c>
      <c r="G59" s="18" t="n">
        <v>23.05770385</v>
      </c>
      <c r="H59" s="20" t="n">
        <v>1.92796242</v>
      </c>
      <c r="I59" s="18" t="n">
        <v>0</v>
      </c>
      <c r="J59" s="20" t="n">
        <v>0</v>
      </c>
      <c r="K59" s="18" t="n">
        <v>14.91571191</v>
      </c>
      <c r="L59" s="20" t="n">
        <v>1.37208149</v>
      </c>
      <c r="M59" s="18" t="n">
        <v>3.52949055</v>
      </c>
      <c r="N59" s="20" t="n">
        <v>0.65785768</v>
      </c>
      <c r="O59" s="18" t="n">
        <v>0</v>
      </c>
      <c r="P59" s="20" t="n">
        <v>0</v>
      </c>
      <c r="Q59" s="18" t="n">
        <v>0.30708556</v>
      </c>
      <c r="R59" s="20" t="n">
        <v>0.21478873</v>
      </c>
      <c r="S59" s="18" t="n">
        <v>0.09036059</v>
      </c>
      <c r="T59" s="20" t="n">
        <v>0.06428134000000001</v>
      </c>
      <c r="U59" s="18" t="n">
        <v>0</v>
      </c>
      <c r="V59" s="20" t="n">
        <v>0</v>
      </c>
      <c r="W59" s="18" t="n">
        <v>16.55666866</v>
      </c>
      <c r="X59" s="20" t="n">
        <v>1.60403269</v>
      </c>
    </row>
    <row r="60" spans="1:24">
      <c r="A60" s="15" t="s">
        <v>620</v>
      </c>
      <c r="B60" s="17" t="n">
        <v>2451</v>
      </c>
      <c r="C60" s="18">
        <f>(1642.0/B60*100)</f>
        <v/>
      </c>
      <c r="D60" s="19" t="n">
        <v>809</v>
      </c>
      <c r="E60" s="18" t="n">
        <v>15.74184388</v>
      </c>
      <c r="F60" s="20" t="n">
        <v>1.69927154</v>
      </c>
      <c r="G60" s="18" t="n">
        <v>34.65252957</v>
      </c>
      <c r="H60" s="20" t="n">
        <v>1.94853771</v>
      </c>
      <c r="I60" s="18" t="n">
        <v>0</v>
      </c>
      <c r="J60" s="20" t="n">
        <v>0</v>
      </c>
      <c r="K60" s="18" t="n">
        <v>17.42108176</v>
      </c>
      <c r="L60" s="20" t="n">
        <v>1.5682703</v>
      </c>
      <c r="M60" s="18" t="n">
        <v>6.62109161</v>
      </c>
      <c r="N60" s="20" t="n">
        <v>0.96284166</v>
      </c>
      <c r="O60" s="18" t="n">
        <v>0</v>
      </c>
      <c r="P60" s="20" t="n">
        <v>0</v>
      </c>
      <c r="Q60" s="18" t="n">
        <v>2.59063654</v>
      </c>
      <c r="R60" s="20" t="n">
        <v>0.7368346099999999</v>
      </c>
      <c r="S60" s="18" t="n">
        <v>0</v>
      </c>
      <c r="T60" s="20" t="n">
        <v>0</v>
      </c>
      <c r="U60" s="18" t="n">
        <v>0.21573233</v>
      </c>
      <c r="V60" s="20" t="n">
        <v>0.15473032</v>
      </c>
      <c r="W60" s="18" t="n">
        <v>22.75708429</v>
      </c>
      <c r="X60" s="20" t="n">
        <v>2.06763314</v>
      </c>
    </row>
    <row r="61" spans="1:24">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c r="U61" s="18" t="s">
        <v>603</v>
      </c>
      <c r="V61" s="20" t="s">
        <v>603</v>
      </c>
      <c r="W61" s="18" t="s">
        <v>603</v>
      </c>
      <c r="X61" s="20" t="s">
        <v>603</v>
      </c>
    </row>
    <row r="62" spans="1:24">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c r="U62" s="18" t="s">
        <v>603</v>
      </c>
      <c r="V62" s="20" t="s">
        <v>603</v>
      </c>
      <c r="W62" s="18" t="s">
        <v>603</v>
      </c>
      <c r="X62" s="20" t="s">
        <v>603</v>
      </c>
    </row>
    <row r="63" spans="1:24">
      <c r="A63" s="15" t="s">
        <v>623</v>
      </c>
      <c r="B63" s="17" t="n">
        <v>2511</v>
      </c>
      <c r="C63" s="18">
        <f>(1666.0/B63*100)</f>
        <v/>
      </c>
      <c r="D63" s="19" t="n">
        <v>845</v>
      </c>
      <c r="E63" s="18" t="n">
        <v>22.32152129</v>
      </c>
      <c r="F63" s="20" t="n">
        <v>1.32708264</v>
      </c>
      <c r="G63" s="18" t="n">
        <v>15.02062896</v>
      </c>
      <c r="H63" s="20" t="n">
        <v>1.39460868</v>
      </c>
      <c r="I63" s="18" t="n">
        <v>0</v>
      </c>
      <c r="J63" s="20" t="n">
        <v>0</v>
      </c>
      <c r="K63" s="18" t="n">
        <v>8.701953290000001</v>
      </c>
      <c r="L63" s="20" t="n">
        <v>0.92449659</v>
      </c>
      <c r="M63" s="18" t="n">
        <v>10.96723084</v>
      </c>
      <c r="N63" s="20" t="n">
        <v>1.27704708</v>
      </c>
      <c r="O63" s="18" t="n">
        <v>0</v>
      </c>
      <c r="P63" s="20" t="n">
        <v>0</v>
      </c>
      <c r="Q63" s="18" t="n">
        <v>1.43500711</v>
      </c>
      <c r="R63" s="20" t="n">
        <v>0.4030595</v>
      </c>
      <c r="S63" s="18" t="n">
        <v>0</v>
      </c>
      <c r="T63" s="20" t="n">
        <v>0</v>
      </c>
      <c r="U63" s="18" t="n">
        <v>0</v>
      </c>
      <c r="V63" s="20" t="n">
        <v>0</v>
      </c>
      <c r="W63" s="18" t="n">
        <v>41.55365851</v>
      </c>
      <c r="X63" s="20" t="n">
        <v>1.73636124</v>
      </c>
    </row>
    <row r="64" spans="1:24">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c r="W64" s="21" t="s">
        <v>618</v>
      </c>
      <c r="X64" s="22" t="s">
        <v>618</v>
      </c>
    </row>
    <row r="65" spans="1:24">
      <c r="A65" s="15" t="s">
        <v>625</v>
      </c>
      <c r="B65" s="17" t="n">
        <v>1790</v>
      </c>
      <c r="C65" s="18">
        <f>(1197.0/B65*100)</f>
        <v/>
      </c>
      <c r="D65" s="19" t="n">
        <v>593</v>
      </c>
      <c r="E65" s="18" t="n">
        <v>6.45768171</v>
      </c>
      <c r="F65" s="20" t="n">
        <v>1.08837608</v>
      </c>
      <c r="G65" s="18" t="n">
        <v>29.27671464</v>
      </c>
      <c r="H65" s="20" t="n">
        <v>1.79336378</v>
      </c>
      <c r="I65" s="18" t="n">
        <v>0</v>
      </c>
      <c r="J65" s="20" t="n">
        <v>0</v>
      </c>
      <c r="K65" s="18" t="n">
        <v>38.34098929</v>
      </c>
      <c r="L65" s="20" t="n">
        <v>2.12388942</v>
      </c>
      <c r="M65" s="18" t="n">
        <v>9.50482263</v>
      </c>
      <c r="N65" s="20" t="n">
        <v>1.18627146</v>
      </c>
      <c r="O65" s="18" t="n">
        <v>0</v>
      </c>
      <c r="P65" s="20" t="n">
        <v>0</v>
      </c>
      <c r="Q65" s="18" t="n">
        <v>1.74530734</v>
      </c>
      <c r="R65" s="20" t="n">
        <v>0.61136776</v>
      </c>
      <c r="S65" s="18" t="n">
        <v>0</v>
      </c>
      <c r="T65" s="20" t="n">
        <v>0</v>
      </c>
      <c r="U65" s="18" t="n">
        <v>0</v>
      </c>
      <c r="V65" s="20" t="n">
        <v>0</v>
      </c>
      <c r="W65" s="18" t="n">
        <v>14.67448438</v>
      </c>
      <c r="X65" s="20" t="n">
        <v>1.46664796</v>
      </c>
    </row>
    <row r="66" spans="1:24">
      <c r="A66" s="15" t="s">
        <v>626</v>
      </c>
      <c r="B66" s="17" t="n">
        <v>2634</v>
      </c>
      <c r="C66" s="18">
        <f>(1775.0/B66*100)</f>
        <v/>
      </c>
      <c r="D66" s="19" t="n">
        <v>859</v>
      </c>
      <c r="E66" s="18" t="n">
        <v>16.76880939</v>
      </c>
      <c r="F66" s="20" t="n">
        <v>1.33285818</v>
      </c>
      <c r="G66" s="18" t="n">
        <v>24.08412149</v>
      </c>
      <c r="H66" s="20" t="n">
        <v>1.4878473</v>
      </c>
      <c r="I66" s="18" t="n">
        <v>0</v>
      </c>
      <c r="J66" s="20" t="n">
        <v>0</v>
      </c>
      <c r="K66" s="18" t="n">
        <v>22.22264558</v>
      </c>
      <c r="L66" s="20" t="n">
        <v>1.64675483</v>
      </c>
      <c r="M66" s="18" t="n">
        <v>6.76644679</v>
      </c>
      <c r="N66" s="20" t="n">
        <v>0.87289899</v>
      </c>
      <c r="O66" s="18" t="n">
        <v>0</v>
      </c>
      <c r="P66" s="20" t="n">
        <v>0</v>
      </c>
      <c r="Q66" s="18" t="n">
        <v>1.98407158</v>
      </c>
      <c r="R66" s="20" t="n">
        <v>0.38324724</v>
      </c>
      <c r="S66" s="18" t="n">
        <v>0</v>
      </c>
      <c r="T66" s="20" t="n">
        <v>0</v>
      </c>
      <c r="U66" s="18" t="n">
        <v>0</v>
      </c>
      <c r="V66" s="20" t="n">
        <v>0</v>
      </c>
      <c r="W66" s="18" t="n">
        <v>28.17390516</v>
      </c>
      <c r="X66" s="20" t="n">
        <v>1.69835788</v>
      </c>
    </row>
    <row r="67" spans="1:24">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c r="U67" s="18" t="s">
        <v>603</v>
      </c>
      <c r="V67" s="20" t="s">
        <v>603</v>
      </c>
      <c r="W67" s="18" t="s">
        <v>603</v>
      </c>
      <c r="X67" s="20" t="s">
        <v>603</v>
      </c>
    </row>
    <row r="68" spans="1:24">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c r="U68" s="18" t="s">
        <v>603</v>
      </c>
      <c r="V68" s="20" t="s">
        <v>603</v>
      </c>
      <c r="W68" s="18" t="s">
        <v>603</v>
      </c>
      <c r="X68" s="20" t="s">
        <v>603</v>
      </c>
    </row>
    <row r="69" spans="1:24">
      <c r="A69" s="15" t="s">
        <v>629</v>
      </c>
      <c r="B69" s="17" t="n">
        <v>720</v>
      </c>
      <c r="C69" s="18">
        <f>(477.0/B69*100)</f>
        <v/>
      </c>
      <c r="D69" s="19" t="n">
        <v>243</v>
      </c>
      <c r="E69" s="18" t="n">
        <v>19.06981792</v>
      </c>
      <c r="F69" s="20" t="n">
        <v>2.6067354</v>
      </c>
      <c r="G69" s="18" t="n">
        <v>57.60355075</v>
      </c>
      <c r="H69" s="20" t="n">
        <v>3.63933668</v>
      </c>
      <c r="I69" s="18" t="n">
        <v>0</v>
      </c>
      <c r="J69" s="20" t="n">
        <v>0</v>
      </c>
      <c r="K69" s="18" t="n">
        <v>5.56435947</v>
      </c>
      <c r="L69" s="20" t="n">
        <v>1.64802233</v>
      </c>
      <c r="M69" s="18" t="n">
        <v>0.87168214</v>
      </c>
      <c r="N69" s="20" t="n">
        <v>0.61925595</v>
      </c>
      <c r="O69" s="18" t="n">
        <v>0</v>
      </c>
      <c r="P69" s="20" t="n">
        <v>0</v>
      </c>
      <c r="Q69" s="18" t="n">
        <v>0</v>
      </c>
      <c r="R69" s="20" t="n">
        <v>0</v>
      </c>
      <c r="S69" s="18" t="n">
        <v>0</v>
      </c>
      <c r="T69" s="20" t="n">
        <v>0</v>
      </c>
      <c r="U69" s="18" t="n">
        <v>0</v>
      </c>
      <c r="V69" s="20" t="n">
        <v>0</v>
      </c>
      <c r="W69" s="18" t="n">
        <v>16.89058972</v>
      </c>
      <c r="X69" s="20" t="n">
        <v>2.6595212</v>
      </c>
    </row>
    <row r="70" spans="1:24">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c r="U70" s="18" t="s">
        <v>603</v>
      </c>
      <c r="V70" s="20" t="s">
        <v>603</v>
      </c>
      <c r="W70" s="18" t="s">
        <v>603</v>
      </c>
      <c r="X70" s="20" t="s">
        <v>603</v>
      </c>
    </row>
    <row r="71" spans="1:24">
      <c r="A71" s="15" t="s">
        <v>631</v>
      </c>
      <c r="B71" s="17" t="n">
        <v>2466</v>
      </c>
      <c r="C71" s="18">
        <f>(1639.0/B71*100)</f>
        <v/>
      </c>
      <c r="D71" s="19" t="n">
        <v>827</v>
      </c>
      <c r="E71" s="18" t="n">
        <v>25.51868489</v>
      </c>
      <c r="F71" s="20" t="n">
        <v>1.76728257</v>
      </c>
      <c r="G71" s="18" t="n">
        <v>50.08911306</v>
      </c>
      <c r="H71" s="20" t="n">
        <v>2.01368492</v>
      </c>
      <c r="I71" s="18" t="n">
        <v>0</v>
      </c>
      <c r="J71" s="20" t="n">
        <v>0</v>
      </c>
      <c r="K71" s="18" t="n">
        <v>17.12802929</v>
      </c>
      <c r="L71" s="20" t="n">
        <v>1.46232238</v>
      </c>
      <c r="M71" s="18" t="n">
        <v>7.06954324</v>
      </c>
      <c r="N71" s="20" t="n">
        <v>1.01166134</v>
      </c>
      <c r="O71" s="18" t="n">
        <v>0</v>
      </c>
      <c r="P71" s="20" t="n">
        <v>0</v>
      </c>
      <c r="Q71" s="18" t="n">
        <v>0</v>
      </c>
      <c r="R71" s="20" t="n">
        <v>0</v>
      </c>
      <c r="S71" s="18" t="n">
        <v>0</v>
      </c>
      <c r="T71" s="20" t="n">
        <v>0</v>
      </c>
      <c r="U71" s="18" t="n">
        <v>0</v>
      </c>
      <c r="V71" s="20" t="n">
        <v>0</v>
      </c>
      <c r="W71" s="18" t="n">
        <v>0.19462952</v>
      </c>
      <c r="X71" s="20" t="n">
        <v>0.13727814</v>
      </c>
    </row>
    <row r="72" spans="1:24">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c r="U72" s="18" t="s">
        <v>603</v>
      </c>
      <c r="V72" s="20" t="s">
        <v>603</v>
      </c>
      <c r="W72" s="18" t="s">
        <v>603</v>
      </c>
      <c r="X72" s="20" t="s">
        <v>603</v>
      </c>
    </row>
    <row r="73" spans="1:24">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c r="U73" s="18" t="s">
        <v>603</v>
      </c>
      <c r="V73" s="20" t="s">
        <v>603</v>
      </c>
      <c r="W73" s="18" t="s">
        <v>603</v>
      </c>
      <c r="X73" s="20" t="s">
        <v>603</v>
      </c>
    </row>
    <row r="74" spans="1:24">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c r="U74" s="18" t="s">
        <v>603</v>
      </c>
      <c r="V74" s="20" t="s">
        <v>603</v>
      </c>
      <c r="W74" s="18" t="s">
        <v>603</v>
      </c>
      <c r="X74" s="20" t="s">
        <v>603</v>
      </c>
    </row>
    <row r="75" spans="1:24">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c r="U75" s="18" t="s">
        <v>603</v>
      </c>
      <c r="V75" s="20" t="s">
        <v>603</v>
      </c>
      <c r="W75" s="18" t="s">
        <v>603</v>
      </c>
      <c r="X75" s="20" t="s">
        <v>603</v>
      </c>
    </row>
    <row r="76" spans="1:24">
      <c r="A76" s="15" t="s">
        <v>636</v>
      </c>
      <c r="B76" s="17" t="n">
        <v>2453</v>
      </c>
      <c r="C76" s="18">
        <f>(1621.0/B76*100)</f>
        <v/>
      </c>
      <c r="D76" s="19" t="n">
        <v>832</v>
      </c>
      <c r="E76" s="18" t="n">
        <v>9.92346674</v>
      </c>
      <c r="F76" s="20" t="n">
        <v>1.19128999</v>
      </c>
      <c r="G76" s="18" t="n">
        <v>30.62895189</v>
      </c>
      <c r="H76" s="20" t="n">
        <v>1.68590778</v>
      </c>
      <c r="I76" s="18" t="n">
        <v>0</v>
      </c>
      <c r="J76" s="20" t="n">
        <v>0</v>
      </c>
      <c r="K76" s="18" t="n">
        <v>20.45825448</v>
      </c>
      <c r="L76" s="20" t="n">
        <v>1.6594947</v>
      </c>
      <c r="M76" s="18" t="n">
        <v>11.80523898</v>
      </c>
      <c r="N76" s="20" t="n">
        <v>1.19857498</v>
      </c>
      <c r="O76" s="18" t="n">
        <v>0</v>
      </c>
      <c r="P76" s="20" t="n">
        <v>0</v>
      </c>
      <c r="Q76" s="18" t="n">
        <v>3.55125802</v>
      </c>
      <c r="R76" s="20" t="n">
        <v>0.79910308</v>
      </c>
      <c r="S76" s="18" t="n">
        <v>0</v>
      </c>
      <c r="T76" s="20" t="n">
        <v>0</v>
      </c>
      <c r="U76" s="18" t="n">
        <v>0</v>
      </c>
      <c r="V76" s="20" t="n">
        <v>0</v>
      </c>
      <c r="W76" s="18" t="n">
        <v>23.6328299</v>
      </c>
      <c r="X76" s="20" t="n">
        <v>1.59868573</v>
      </c>
    </row>
    <row r="77" spans="1:24">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c r="U77" s="18" t="s">
        <v>603</v>
      </c>
      <c r="V77" s="20" t="s">
        <v>603</v>
      </c>
      <c r="W77" s="18" t="s">
        <v>603</v>
      </c>
      <c r="X77" s="20" t="s">
        <v>603</v>
      </c>
    </row>
    <row r="78" spans="1:24">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c r="U78" s="18" t="s">
        <v>603</v>
      </c>
      <c r="V78" s="20" t="s">
        <v>603</v>
      </c>
      <c r="W78" s="18" t="s">
        <v>603</v>
      </c>
      <c r="X78" s="20" t="s">
        <v>603</v>
      </c>
    </row>
    <row r="79" spans="1:24">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c r="U79" s="18" t="s">
        <v>603</v>
      </c>
      <c r="V79" s="20" t="s">
        <v>603</v>
      </c>
      <c r="W79" s="18" t="s">
        <v>603</v>
      </c>
      <c r="X79" s="20" t="s">
        <v>603</v>
      </c>
    </row>
    <row r="80" spans="1:24">
      <c r="A80" s="15" t="s">
        <v>640</v>
      </c>
      <c r="B80" s="17" t="n">
        <v>3040</v>
      </c>
      <c r="C80" s="18">
        <f>(2023.0/B80*100)</f>
        <v/>
      </c>
      <c r="D80" s="19" t="n">
        <v>1017</v>
      </c>
      <c r="E80" s="18" t="n">
        <v>10.67660235</v>
      </c>
      <c r="F80" s="20" t="n">
        <v>1.0854985</v>
      </c>
      <c r="G80" s="18" t="n">
        <v>39.50655647</v>
      </c>
      <c r="H80" s="20" t="n">
        <v>2.14557795</v>
      </c>
      <c r="I80" s="18" t="n">
        <v>0</v>
      </c>
      <c r="J80" s="20" t="n">
        <v>0</v>
      </c>
      <c r="K80" s="18" t="n">
        <v>31.23506123</v>
      </c>
      <c r="L80" s="20" t="n">
        <v>1.69587339</v>
      </c>
      <c r="M80" s="18" t="n">
        <v>16.75996794</v>
      </c>
      <c r="N80" s="20" t="n">
        <v>1.45339295</v>
      </c>
      <c r="O80" s="18" t="n">
        <v>0</v>
      </c>
      <c r="P80" s="20" t="n">
        <v>0</v>
      </c>
      <c r="Q80" s="18" t="n">
        <v>0</v>
      </c>
      <c r="R80" s="20" t="n">
        <v>0</v>
      </c>
      <c r="S80" s="18" t="n">
        <v>0</v>
      </c>
      <c r="T80" s="20" t="n">
        <v>0</v>
      </c>
      <c r="U80" s="18" t="n">
        <v>0</v>
      </c>
      <c r="V80" s="20" t="n">
        <v>0</v>
      </c>
      <c r="W80" s="18" t="n">
        <v>1.82181201</v>
      </c>
      <c r="X80" s="20" t="n">
        <v>0.56316456</v>
      </c>
    </row>
    <row r="81" spans="1:24">
      <c r="A81" s="15" t="s">
        <v>641</v>
      </c>
      <c r="B81" s="17" t="n">
        <v>870</v>
      </c>
      <c r="C81" s="18">
        <f>(576.0/B81*100)</f>
        <v/>
      </c>
      <c r="D81" s="19" t="n">
        <v>294</v>
      </c>
      <c r="E81" s="18" t="n">
        <v>19.81227356</v>
      </c>
      <c r="F81" s="20" t="n">
        <v>1.63830487</v>
      </c>
      <c r="G81" s="18" t="n">
        <v>24.97758515</v>
      </c>
      <c r="H81" s="20" t="n">
        <v>2.86571668</v>
      </c>
      <c r="I81" s="18" t="n">
        <v>0</v>
      </c>
      <c r="J81" s="20" t="n">
        <v>0</v>
      </c>
      <c r="K81" s="18" t="n">
        <v>18.14927991</v>
      </c>
      <c r="L81" s="20" t="n">
        <v>2.4685947</v>
      </c>
      <c r="M81" s="18" t="n">
        <v>9.133664489999999</v>
      </c>
      <c r="N81" s="20" t="n">
        <v>1.55080879</v>
      </c>
      <c r="O81" s="18" t="n">
        <v>0</v>
      </c>
      <c r="P81" s="20" t="n">
        <v>0</v>
      </c>
      <c r="Q81" s="18" t="n">
        <v>1.57053534</v>
      </c>
      <c r="R81" s="20" t="n">
        <v>0.5670711000000001</v>
      </c>
      <c r="S81" s="18" t="n">
        <v>0</v>
      </c>
      <c r="T81" s="20" t="n">
        <v>0</v>
      </c>
      <c r="U81" s="18" t="n">
        <v>0</v>
      </c>
      <c r="V81" s="20" t="n">
        <v>0</v>
      </c>
      <c r="W81" s="18" t="n">
        <v>26.35666156</v>
      </c>
      <c r="X81" s="20" t="n">
        <v>3.19153694</v>
      </c>
    </row>
    <row r="82" spans="1:24">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c r="U82" s="18" t="s">
        <v>603</v>
      </c>
      <c r="V82" s="20" t="s">
        <v>603</v>
      </c>
      <c r="W82" s="18" t="s">
        <v>603</v>
      </c>
      <c r="X82" s="20" t="s">
        <v>603</v>
      </c>
    </row>
    <row r="83" spans="1:24">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c r="U83" s="18" t="s">
        <v>603</v>
      </c>
      <c r="V83" s="20" t="s">
        <v>603</v>
      </c>
      <c r="W83" s="18" t="s">
        <v>603</v>
      </c>
      <c r="X83" s="20" t="s">
        <v>603</v>
      </c>
    </row>
    <row r="84" spans="1:24">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c r="U84" s="18" t="s">
        <v>603</v>
      </c>
      <c r="V84" s="20" t="s">
        <v>603</v>
      </c>
      <c r="W84" s="18" t="s">
        <v>603</v>
      </c>
      <c r="X84" s="20" t="s">
        <v>603</v>
      </c>
    </row>
    <row r="86" spans="1:24">
      <c r="A86" s="3" t="s">
        <v>645</v>
      </c>
    </row>
    <row r="87" spans="1:24">
      <c r="A87" s="26" t="s">
        <v>646</v>
      </c>
    </row>
    <row r="88" spans="1:24">
      <c r="A88" s="26" t="s">
        <v>647</v>
      </c>
    </row>
    <row customHeight="1" ht="30" r="89" spans="1:24">
      <c r="A89" s="26" t="s">
        <v>648</v>
      </c>
    </row>
    <row customHeight="1" ht="30" r="90" spans="1:24">
      <c r="A90" s="26" t="s">
        <v>649</v>
      </c>
    </row>
    <row customHeight="1" ht="30" r="91" spans="1:24">
      <c r="A91" s="26" t="s">
        <v>650</v>
      </c>
    </row>
    <row customHeight="1" ht="30" r="92" spans="1:24">
      <c r="A92" s="26" t="s">
        <v>651</v>
      </c>
    </row>
    <row customHeight="1" ht="30" r="93" spans="1:24">
      <c r="A93" s="26" t="s">
        <v>652</v>
      </c>
    </row>
    <row customHeight="1" ht="30" r="94" spans="1:24">
      <c r="A94" s="26" t="s">
        <v>653</v>
      </c>
    </row>
  </sheetData>
  <mergeCells count="20">
    <mergeCell ref="E4:F4"/>
    <mergeCell ref="G4:H4"/>
    <mergeCell ref="I4:J4"/>
    <mergeCell ref="K4:L4"/>
    <mergeCell ref="M4:N4"/>
    <mergeCell ref="O4:P4"/>
    <mergeCell ref="Q4:R4"/>
    <mergeCell ref="S4:T4"/>
    <mergeCell ref="U4:V4"/>
    <mergeCell ref="W4:X4"/>
    <mergeCell ref="A1:X1"/>
    <mergeCell ref="A2:X2"/>
    <mergeCell ref="A87:X87"/>
    <mergeCell ref="A88:X88"/>
    <mergeCell ref="A89:X89"/>
    <mergeCell ref="A90:X90"/>
    <mergeCell ref="A91:X91"/>
    <mergeCell ref="A92:X92"/>
    <mergeCell ref="A93:X93"/>
    <mergeCell ref="A94:X94"/>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70.04508797</v>
      </c>
      <c r="F44" s="20" t="n">
        <v>1.3155236</v>
      </c>
      <c r="G44" s="18" t="n">
        <v>24.70283489</v>
      </c>
      <c r="H44" s="20" t="n">
        <v>1.19546245</v>
      </c>
      <c r="I44" s="18" t="n">
        <v>0</v>
      </c>
      <c r="J44" s="20" t="n">
        <v>0</v>
      </c>
      <c r="K44" s="18" t="n">
        <v>1.00729788</v>
      </c>
      <c r="L44" s="20" t="n">
        <v>0.36669356</v>
      </c>
      <c r="M44" s="18" t="n">
        <v>0</v>
      </c>
      <c r="N44" s="20" t="n">
        <v>0</v>
      </c>
      <c r="O44" s="18" t="n">
        <v>0</v>
      </c>
      <c r="P44" s="20" t="n">
        <v>0</v>
      </c>
      <c r="Q44" s="18" t="n">
        <v>4.24477927</v>
      </c>
      <c r="R44" s="20" t="n">
        <v>0.74123478</v>
      </c>
    </row>
    <row r="45" spans="1:18">
      <c r="A45" s="15" t="s">
        <v>604</v>
      </c>
      <c r="B45" s="17" t="n">
        <v>2670</v>
      </c>
      <c r="C45" s="18">
        <f>(1792.0/B45*100)</f>
        <v/>
      </c>
      <c r="D45" s="19" t="n">
        <v>878</v>
      </c>
      <c r="E45" s="18" t="n">
        <v>82.26904265</v>
      </c>
      <c r="F45" s="20" t="n">
        <v>1.40117117</v>
      </c>
      <c r="G45" s="18" t="n">
        <v>11.43377308</v>
      </c>
      <c r="H45" s="20" t="n">
        <v>1.05174201</v>
      </c>
      <c r="I45" s="18" t="n">
        <v>0</v>
      </c>
      <c r="J45" s="20" t="n">
        <v>0</v>
      </c>
      <c r="K45" s="18" t="n">
        <v>3.16517609</v>
      </c>
      <c r="L45" s="20" t="n">
        <v>0.64022219</v>
      </c>
      <c r="M45" s="18" t="n">
        <v>0</v>
      </c>
      <c r="N45" s="20" t="n">
        <v>0</v>
      </c>
      <c r="O45" s="18" t="n">
        <v>0.09104376</v>
      </c>
      <c r="P45" s="20" t="n">
        <v>0.09485564</v>
      </c>
      <c r="Q45" s="18" t="n">
        <v>3.04096443</v>
      </c>
      <c r="R45" s="20" t="n">
        <v>0.63091938</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78.61546382</v>
      </c>
      <c r="F54" s="20" t="n">
        <v>1.35438215</v>
      </c>
      <c r="G54" s="18" t="n">
        <v>14.88350815</v>
      </c>
      <c r="H54" s="20" t="n">
        <v>1.22523981</v>
      </c>
      <c r="I54" s="18" t="n">
        <v>0</v>
      </c>
      <c r="J54" s="20" t="n">
        <v>0</v>
      </c>
      <c r="K54" s="18" t="n">
        <v>1.41371623</v>
      </c>
      <c r="L54" s="20" t="n">
        <v>0.46501212</v>
      </c>
      <c r="M54" s="18" t="n">
        <v>0</v>
      </c>
      <c r="N54" s="20" t="n">
        <v>0</v>
      </c>
      <c r="O54" s="18" t="n">
        <v>0.1086504</v>
      </c>
      <c r="P54" s="20" t="n">
        <v>0.10398886</v>
      </c>
      <c r="Q54" s="18" t="n">
        <v>4.97866141</v>
      </c>
      <c r="R54" s="20" t="n">
        <v>0.7682802399999999</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86.98417800999999</v>
      </c>
      <c r="F56" s="20" t="n">
        <v>1.00979525</v>
      </c>
      <c r="G56" s="18" t="n">
        <v>9.661197489999999</v>
      </c>
      <c r="H56" s="20" t="n">
        <v>0.9414061</v>
      </c>
      <c r="I56" s="18" t="n">
        <v>0</v>
      </c>
      <c r="J56" s="20" t="n">
        <v>0</v>
      </c>
      <c r="K56" s="18" t="n">
        <v>1.05353668</v>
      </c>
      <c r="L56" s="20" t="n">
        <v>0.34984953</v>
      </c>
      <c r="M56" s="18" t="n">
        <v>0.11521592</v>
      </c>
      <c r="N56" s="20" t="n">
        <v>0.11490073</v>
      </c>
      <c r="O56" s="18" t="n">
        <v>0</v>
      </c>
      <c r="P56" s="20" t="n">
        <v>0</v>
      </c>
      <c r="Q56" s="18" t="n">
        <v>2.1858719</v>
      </c>
      <c r="R56" s="20" t="n">
        <v>0.55748122</v>
      </c>
    </row>
    <row r="57" spans="1:18">
      <c r="A57" s="15" t="s">
        <v>616</v>
      </c>
      <c r="B57" s="17" t="n">
        <v>3737</v>
      </c>
      <c r="C57" s="18">
        <f>(2483.0/B57*100)</f>
        <v/>
      </c>
      <c r="D57" s="19" t="n">
        <v>1254</v>
      </c>
      <c r="E57" s="18" t="n">
        <v>84.61684751999999</v>
      </c>
      <c r="F57" s="20" t="n">
        <v>1.09844574</v>
      </c>
      <c r="G57" s="18" t="n">
        <v>13.69595674</v>
      </c>
      <c r="H57" s="20" t="n">
        <v>1.10175748</v>
      </c>
      <c r="I57" s="18" t="n">
        <v>0</v>
      </c>
      <c r="J57" s="20" t="n">
        <v>0</v>
      </c>
      <c r="K57" s="18" t="n">
        <v>0.24375863</v>
      </c>
      <c r="L57" s="20" t="n">
        <v>0.12576404</v>
      </c>
      <c r="M57" s="18" t="n">
        <v>0</v>
      </c>
      <c r="N57" s="20" t="n">
        <v>0</v>
      </c>
      <c r="O57" s="18" t="n">
        <v>0</v>
      </c>
      <c r="P57" s="20" t="n">
        <v>0</v>
      </c>
      <c r="Q57" s="18" t="n">
        <v>1.44343711</v>
      </c>
      <c r="R57" s="20" t="n">
        <v>0.38677783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74.31607584</v>
      </c>
      <c r="F59" s="20" t="n">
        <v>2.03543717</v>
      </c>
      <c r="G59" s="18" t="n">
        <v>23.57605904</v>
      </c>
      <c r="H59" s="20" t="n">
        <v>2.00021556</v>
      </c>
      <c r="I59" s="18" t="n">
        <v>0</v>
      </c>
      <c r="J59" s="20" t="n">
        <v>0</v>
      </c>
      <c r="K59" s="18" t="n">
        <v>0.30708556</v>
      </c>
      <c r="L59" s="20" t="n">
        <v>0.21478873</v>
      </c>
      <c r="M59" s="18" t="n">
        <v>0</v>
      </c>
      <c r="N59" s="20" t="n">
        <v>0</v>
      </c>
      <c r="O59" s="18" t="n">
        <v>0</v>
      </c>
      <c r="P59" s="20" t="n">
        <v>0</v>
      </c>
      <c r="Q59" s="18" t="n">
        <v>1.80077956</v>
      </c>
      <c r="R59" s="20" t="n">
        <v>0.63739112</v>
      </c>
    </row>
    <row r="60" spans="1:18">
      <c r="A60" s="15" t="s">
        <v>620</v>
      </c>
      <c r="B60" s="17" t="n">
        <v>2451</v>
      </c>
      <c r="C60" s="18">
        <f>(1642.0/B60*100)</f>
        <v/>
      </c>
      <c r="D60" s="19" t="n">
        <v>809</v>
      </c>
      <c r="E60" s="18" t="n">
        <v>69.44759062</v>
      </c>
      <c r="F60" s="20" t="n">
        <v>1.75674256</v>
      </c>
      <c r="G60" s="18" t="n">
        <v>24.91232189</v>
      </c>
      <c r="H60" s="20" t="n">
        <v>1.6456082</v>
      </c>
      <c r="I60" s="18" t="n">
        <v>0</v>
      </c>
      <c r="J60" s="20" t="n">
        <v>0</v>
      </c>
      <c r="K60" s="18" t="n">
        <v>2.7322647</v>
      </c>
      <c r="L60" s="20" t="n">
        <v>0.77046409</v>
      </c>
      <c r="M60" s="18" t="n">
        <v>0</v>
      </c>
      <c r="N60" s="20" t="n">
        <v>0</v>
      </c>
      <c r="O60" s="18" t="n">
        <v>0</v>
      </c>
      <c r="P60" s="20" t="n">
        <v>0</v>
      </c>
      <c r="Q60" s="18" t="n">
        <v>2.90782278</v>
      </c>
      <c r="R60" s="20" t="n">
        <v>0.52598547</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75.8508561</v>
      </c>
      <c r="F63" s="20" t="n">
        <v>1.43154808</v>
      </c>
      <c r="G63" s="18" t="n">
        <v>16.58892145</v>
      </c>
      <c r="H63" s="20" t="n">
        <v>1.22092039</v>
      </c>
      <c r="I63" s="18" t="n">
        <v>0</v>
      </c>
      <c r="J63" s="20" t="n">
        <v>0</v>
      </c>
      <c r="K63" s="18" t="n">
        <v>1.43500711</v>
      </c>
      <c r="L63" s="20" t="n">
        <v>0.4030595</v>
      </c>
      <c r="M63" s="18" t="n">
        <v>0</v>
      </c>
      <c r="N63" s="20" t="n">
        <v>0</v>
      </c>
      <c r="O63" s="18" t="n">
        <v>0</v>
      </c>
      <c r="P63" s="20" t="n">
        <v>0</v>
      </c>
      <c r="Q63" s="18" t="n">
        <v>6.12521534</v>
      </c>
      <c r="R63" s="20" t="n">
        <v>0.95624625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63.93445331</v>
      </c>
      <c r="F65" s="20" t="n">
        <v>1.90963357</v>
      </c>
      <c r="G65" s="18" t="n">
        <v>32.77815248</v>
      </c>
      <c r="H65" s="20" t="n">
        <v>1.91082976</v>
      </c>
      <c r="I65" s="18" t="n">
        <v>0</v>
      </c>
      <c r="J65" s="20" t="n">
        <v>0</v>
      </c>
      <c r="K65" s="18" t="n">
        <v>1.74530734</v>
      </c>
      <c r="L65" s="20" t="n">
        <v>0.61136776</v>
      </c>
      <c r="M65" s="18" t="n">
        <v>0</v>
      </c>
      <c r="N65" s="20" t="n">
        <v>0</v>
      </c>
      <c r="O65" s="18" t="n">
        <v>0</v>
      </c>
      <c r="P65" s="20" t="n">
        <v>0</v>
      </c>
      <c r="Q65" s="18" t="n">
        <v>1.54208687</v>
      </c>
      <c r="R65" s="20" t="n">
        <v>0.52479961</v>
      </c>
    </row>
    <row r="66" spans="1:18">
      <c r="A66" s="15" t="s">
        <v>626</v>
      </c>
      <c r="B66" s="17" t="n">
        <v>2634</v>
      </c>
      <c r="C66" s="18">
        <f>(1775.0/B66*100)</f>
        <v/>
      </c>
      <c r="D66" s="19" t="n">
        <v>859</v>
      </c>
      <c r="E66" s="18" t="n">
        <v>66.24075250999999</v>
      </c>
      <c r="F66" s="20" t="n">
        <v>1.88153877</v>
      </c>
      <c r="G66" s="18" t="n">
        <v>23.10292482</v>
      </c>
      <c r="H66" s="20" t="n">
        <v>1.49516176</v>
      </c>
      <c r="I66" s="18" t="n">
        <v>0</v>
      </c>
      <c r="J66" s="20" t="n">
        <v>0</v>
      </c>
      <c r="K66" s="18" t="n">
        <v>2.21407984</v>
      </c>
      <c r="L66" s="20" t="n">
        <v>0.42139586</v>
      </c>
      <c r="M66" s="18" t="n">
        <v>0</v>
      </c>
      <c r="N66" s="20" t="n">
        <v>0</v>
      </c>
      <c r="O66" s="18" t="n">
        <v>0</v>
      </c>
      <c r="P66" s="20" t="n">
        <v>0</v>
      </c>
      <c r="Q66" s="18" t="n">
        <v>8.44224283</v>
      </c>
      <c r="R66" s="20" t="n">
        <v>1.20285061</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78.46608836</v>
      </c>
      <c r="F69" s="20" t="n">
        <v>2.16459652</v>
      </c>
      <c r="G69" s="18" t="n">
        <v>20.22643167</v>
      </c>
      <c r="H69" s="20" t="n">
        <v>2.28884869</v>
      </c>
      <c r="I69" s="18" t="n">
        <v>0</v>
      </c>
      <c r="J69" s="20" t="n">
        <v>0</v>
      </c>
      <c r="K69" s="18" t="n">
        <v>0</v>
      </c>
      <c r="L69" s="20" t="n">
        <v>0</v>
      </c>
      <c r="M69" s="18" t="n">
        <v>0</v>
      </c>
      <c r="N69" s="20" t="n">
        <v>0</v>
      </c>
      <c r="O69" s="18" t="n">
        <v>0</v>
      </c>
      <c r="P69" s="20" t="n">
        <v>0</v>
      </c>
      <c r="Q69" s="18" t="n">
        <v>1.30747997</v>
      </c>
      <c r="R69" s="20" t="n">
        <v>0.76725035</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81.60742049</v>
      </c>
      <c r="F71" s="20" t="n">
        <v>1.32749289</v>
      </c>
      <c r="G71" s="18" t="n">
        <v>18.39257951</v>
      </c>
      <c r="H71" s="20" t="n">
        <v>1.32749289</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70.53613572</v>
      </c>
      <c r="F76" s="20" t="n">
        <v>1.70466995</v>
      </c>
      <c r="G76" s="18" t="n">
        <v>19.39945436</v>
      </c>
      <c r="H76" s="20" t="n">
        <v>1.35618832</v>
      </c>
      <c r="I76" s="18" t="n">
        <v>0</v>
      </c>
      <c r="J76" s="20" t="n">
        <v>0</v>
      </c>
      <c r="K76" s="18" t="n">
        <v>3.61383785</v>
      </c>
      <c r="L76" s="20" t="n">
        <v>0.80199077</v>
      </c>
      <c r="M76" s="18" t="n">
        <v>0</v>
      </c>
      <c r="N76" s="20" t="n">
        <v>0</v>
      </c>
      <c r="O76" s="18" t="n">
        <v>0</v>
      </c>
      <c r="P76" s="20" t="n">
        <v>0</v>
      </c>
      <c r="Q76" s="18" t="n">
        <v>6.45057207</v>
      </c>
      <c r="R76" s="20" t="n">
        <v>0.97330839</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46.81125782</v>
      </c>
      <c r="F80" s="20" t="n">
        <v>1.85170568</v>
      </c>
      <c r="G80" s="18" t="n">
        <v>53.18874218</v>
      </c>
      <c r="H80" s="20" t="n">
        <v>1.85170568</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(576.0/B81*100)</f>
        <v/>
      </c>
      <c r="D81" s="19" t="n">
        <v>294</v>
      </c>
      <c r="E81" s="18" t="n">
        <v>78.21872979</v>
      </c>
      <c r="F81" s="20" t="n">
        <v>2.64462648</v>
      </c>
      <c r="G81" s="18" t="n">
        <v>17.12142191</v>
      </c>
      <c r="H81" s="20" t="n">
        <v>2.73924947</v>
      </c>
      <c r="I81" s="18" t="n">
        <v>0</v>
      </c>
      <c r="J81" s="20" t="n">
        <v>0</v>
      </c>
      <c r="K81" s="18" t="n">
        <v>1.57053534</v>
      </c>
      <c r="L81" s="20" t="n">
        <v>0.5670711000000001</v>
      </c>
      <c r="M81" s="18" t="n">
        <v>0</v>
      </c>
      <c r="N81" s="20" t="n">
        <v>0</v>
      </c>
      <c r="O81" s="18" t="n">
        <v>0</v>
      </c>
      <c r="P81" s="20" t="n">
        <v>0</v>
      </c>
      <c r="Q81" s="18" t="n">
        <v>3.08931296</v>
      </c>
      <c r="R81" s="20" t="n">
        <v>0.97108501</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32.43299811</v>
      </c>
      <c r="F44" s="20" t="n">
        <v>1.84465421</v>
      </c>
      <c r="G44" s="18" t="n">
        <v>60.34961238</v>
      </c>
      <c r="H44" s="20" t="n">
        <v>2.02167125</v>
      </c>
      <c r="I44" s="18" t="n">
        <v>0</v>
      </c>
      <c r="J44" s="20" t="n">
        <v>0</v>
      </c>
      <c r="K44" s="18" t="n">
        <v>1.07574297</v>
      </c>
      <c r="L44" s="20" t="n">
        <v>0.37334102</v>
      </c>
      <c r="M44" s="18" t="n">
        <v>0</v>
      </c>
      <c r="N44" s="20" t="n">
        <v>0</v>
      </c>
      <c r="O44" s="18" t="n">
        <v>2.6905633</v>
      </c>
      <c r="P44" s="20" t="n">
        <v>0.58970278</v>
      </c>
      <c r="Q44" s="18" t="n">
        <v>3.45108324</v>
      </c>
      <c r="R44" s="20" t="n">
        <v>0.6401475599999999</v>
      </c>
    </row>
    <row r="45" spans="1:18">
      <c r="A45" s="15" t="s">
        <v>604</v>
      </c>
      <c r="B45" s="17" t="n">
        <v>2670</v>
      </c>
      <c r="C45" s="18">
        <f>(1792.0/B45*100)</f>
        <v/>
      </c>
      <c r="D45" s="19" t="n">
        <v>878</v>
      </c>
      <c r="E45" s="18" t="n">
        <v>50.98515829</v>
      </c>
      <c r="F45" s="20" t="n">
        <v>1.79392493</v>
      </c>
      <c r="G45" s="18" t="n">
        <v>30.97433037</v>
      </c>
      <c r="H45" s="20" t="n">
        <v>1.76554756</v>
      </c>
      <c r="I45" s="18" t="n">
        <v>0</v>
      </c>
      <c r="J45" s="20" t="n">
        <v>0</v>
      </c>
      <c r="K45" s="18" t="n">
        <v>4.22504683</v>
      </c>
      <c r="L45" s="20" t="n">
        <v>0.8028118400000001</v>
      </c>
      <c r="M45" s="18" t="n">
        <v>0.9869056899999999</v>
      </c>
      <c r="N45" s="20" t="n">
        <v>0.36685809</v>
      </c>
      <c r="O45" s="18" t="n">
        <v>5.52124864</v>
      </c>
      <c r="P45" s="20" t="n">
        <v>0.84866522</v>
      </c>
      <c r="Q45" s="18" t="n">
        <v>7.30731019</v>
      </c>
      <c r="R45" s="20" t="n">
        <v>0.98012924</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36.6922966</v>
      </c>
      <c r="F54" s="20" t="n">
        <v>1.86237589</v>
      </c>
      <c r="G54" s="18" t="n">
        <v>58.29011247</v>
      </c>
      <c r="H54" s="20" t="n">
        <v>1.85928221</v>
      </c>
      <c r="I54" s="18" t="n">
        <v>0</v>
      </c>
      <c r="J54" s="20" t="n">
        <v>0</v>
      </c>
      <c r="K54" s="18" t="n">
        <v>1.52698287</v>
      </c>
      <c r="L54" s="20" t="n">
        <v>0.48178864</v>
      </c>
      <c r="M54" s="18" t="n">
        <v>0</v>
      </c>
      <c r="N54" s="20" t="n">
        <v>0</v>
      </c>
      <c r="O54" s="18" t="n">
        <v>1.96799252</v>
      </c>
      <c r="P54" s="20" t="n">
        <v>0.49415852</v>
      </c>
      <c r="Q54" s="18" t="n">
        <v>1.52261554</v>
      </c>
      <c r="R54" s="20" t="n">
        <v>0.43616237</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65.13907782</v>
      </c>
      <c r="F56" s="20" t="n">
        <v>1.78521946</v>
      </c>
      <c r="G56" s="18" t="n">
        <v>31.32486882</v>
      </c>
      <c r="H56" s="20" t="n">
        <v>1.76455044</v>
      </c>
      <c r="I56" s="18" t="n">
        <v>0</v>
      </c>
      <c r="J56" s="20" t="n">
        <v>0</v>
      </c>
      <c r="K56" s="18" t="n">
        <v>1.19287004</v>
      </c>
      <c r="L56" s="20" t="n">
        <v>0.36387969</v>
      </c>
      <c r="M56" s="18" t="n">
        <v>0</v>
      </c>
      <c r="N56" s="20" t="n">
        <v>0</v>
      </c>
      <c r="O56" s="18" t="n">
        <v>0</v>
      </c>
      <c r="P56" s="20" t="n">
        <v>0</v>
      </c>
      <c r="Q56" s="18" t="n">
        <v>2.34318332</v>
      </c>
      <c r="R56" s="20" t="n">
        <v>0.5937372400000001</v>
      </c>
    </row>
    <row r="57" spans="1:18">
      <c r="A57" s="15" t="s">
        <v>616</v>
      </c>
      <c r="B57" s="17" t="n">
        <v>3737</v>
      </c>
      <c r="C57" s="18">
        <f>(2483.0/B57*100)</f>
        <v/>
      </c>
      <c r="D57" s="19" t="n">
        <v>1254</v>
      </c>
      <c r="E57" s="18" t="n">
        <v>63.4467242</v>
      </c>
      <c r="F57" s="20" t="n">
        <v>1.43516769</v>
      </c>
      <c r="G57" s="18" t="n">
        <v>33.43470637</v>
      </c>
      <c r="H57" s="20" t="n">
        <v>1.57717708</v>
      </c>
      <c r="I57" s="18" t="n">
        <v>0</v>
      </c>
      <c r="J57" s="20" t="n">
        <v>0</v>
      </c>
      <c r="K57" s="18" t="n">
        <v>0.24375863</v>
      </c>
      <c r="L57" s="20" t="n">
        <v>0.12576404</v>
      </c>
      <c r="M57" s="18" t="n">
        <v>0</v>
      </c>
      <c r="N57" s="20" t="n">
        <v>0</v>
      </c>
      <c r="O57" s="18" t="n">
        <v>1.04993092</v>
      </c>
      <c r="P57" s="20" t="n">
        <v>0.33980649</v>
      </c>
      <c r="Q57" s="18" t="n">
        <v>1.82487988</v>
      </c>
      <c r="R57" s="20" t="n">
        <v>0.47954226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52.61554467</v>
      </c>
      <c r="F59" s="20" t="n">
        <v>2.24164475</v>
      </c>
      <c r="G59" s="18" t="n">
        <v>39.46306092</v>
      </c>
      <c r="H59" s="20" t="n">
        <v>2.33006928</v>
      </c>
      <c r="I59" s="18" t="n">
        <v>0</v>
      </c>
      <c r="J59" s="20" t="n">
        <v>0</v>
      </c>
      <c r="K59" s="18" t="n">
        <v>0.30708556</v>
      </c>
      <c r="L59" s="20" t="n">
        <v>0.21478873</v>
      </c>
      <c r="M59" s="18" t="n">
        <v>0</v>
      </c>
      <c r="N59" s="20" t="n">
        <v>0</v>
      </c>
      <c r="O59" s="18" t="n">
        <v>5.41773</v>
      </c>
      <c r="P59" s="20" t="n">
        <v>0.90881483</v>
      </c>
      <c r="Q59" s="18" t="n">
        <v>2.19657885</v>
      </c>
      <c r="R59" s="20" t="n">
        <v>0.59211411</v>
      </c>
    </row>
    <row r="60" spans="1:18">
      <c r="A60" s="15" t="s">
        <v>620</v>
      </c>
      <c r="B60" s="17" t="n">
        <v>2451</v>
      </c>
      <c r="C60" s="18">
        <f>(1642.0/B60*100)</f>
        <v/>
      </c>
      <c r="D60" s="19" t="n">
        <v>809</v>
      </c>
      <c r="E60" s="18" t="n">
        <v>59.28824444</v>
      </c>
      <c r="F60" s="20" t="n">
        <v>2.49456826</v>
      </c>
      <c r="G60" s="18" t="n">
        <v>24.6799688</v>
      </c>
      <c r="H60" s="20" t="n">
        <v>1.90416107</v>
      </c>
      <c r="I60" s="18" t="n">
        <v>0</v>
      </c>
      <c r="J60" s="20" t="n">
        <v>0</v>
      </c>
      <c r="K60" s="18" t="n">
        <v>3.92642064</v>
      </c>
      <c r="L60" s="20" t="n">
        <v>1.10114722</v>
      </c>
      <c r="M60" s="18" t="n">
        <v>0</v>
      </c>
      <c r="N60" s="20" t="n">
        <v>0</v>
      </c>
      <c r="O60" s="18" t="n">
        <v>4.68838008</v>
      </c>
      <c r="P60" s="20" t="n">
        <v>0.88114338</v>
      </c>
      <c r="Q60" s="18" t="n">
        <v>7.41698604</v>
      </c>
      <c r="R60" s="20" t="n">
        <v>0.98365236</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51.927252</v>
      </c>
      <c r="F63" s="20" t="n">
        <v>1.9843569</v>
      </c>
      <c r="G63" s="18" t="n">
        <v>37.22731406</v>
      </c>
      <c r="H63" s="20" t="n">
        <v>2.18690442</v>
      </c>
      <c r="I63" s="18" t="n">
        <v>0</v>
      </c>
      <c r="J63" s="20" t="n">
        <v>0</v>
      </c>
      <c r="K63" s="18" t="n">
        <v>1.54798183</v>
      </c>
      <c r="L63" s="20" t="n">
        <v>0.41946268</v>
      </c>
      <c r="M63" s="18" t="n">
        <v>0</v>
      </c>
      <c r="N63" s="20" t="n">
        <v>0</v>
      </c>
      <c r="O63" s="18" t="n">
        <v>2.16635399</v>
      </c>
      <c r="P63" s="20" t="n">
        <v>0.4965432</v>
      </c>
      <c r="Q63" s="18" t="n">
        <v>7.13109812</v>
      </c>
      <c r="R63" s="20" t="n">
        <v>0.83180291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44.23902651</v>
      </c>
      <c r="F65" s="20" t="n">
        <v>1.9636023</v>
      </c>
      <c r="G65" s="18" t="n">
        <v>52.44030898</v>
      </c>
      <c r="H65" s="20" t="n">
        <v>1.89714723</v>
      </c>
      <c r="I65" s="18" t="n">
        <v>0</v>
      </c>
      <c r="J65" s="20" t="n">
        <v>0</v>
      </c>
      <c r="K65" s="18" t="n">
        <v>1.74530734</v>
      </c>
      <c r="L65" s="20" t="n">
        <v>0.61136776</v>
      </c>
      <c r="M65" s="18" t="n">
        <v>0</v>
      </c>
      <c r="N65" s="20" t="n">
        <v>0</v>
      </c>
      <c r="O65" s="18" t="n">
        <v>0.31184893</v>
      </c>
      <c r="P65" s="20" t="n">
        <v>0.22038031</v>
      </c>
      <c r="Q65" s="18" t="n">
        <v>1.26350825</v>
      </c>
      <c r="R65" s="20" t="n">
        <v>0.48496835</v>
      </c>
    </row>
    <row r="66" spans="1:18">
      <c r="A66" s="15" t="s">
        <v>626</v>
      </c>
      <c r="B66" s="17" t="n">
        <v>2634</v>
      </c>
      <c r="C66" s="18">
        <f>(1775.0/B66*100)</f>
        <v/>
      </c>
      <c r="D66" s="19" t="n">
        <v>859</v>
      </c>
      <c r="E66" s="18" t="n">
        <v>39.87426229</v>
      </c>
      <c r="F66" s="20" t="n">
        <v>1.60625548</v>
      </c>
      <c r="G66" s="18" t="n">
        <v>49.50641295</v>
      </c>
      <c r="H66" s="20" t="n">
        <v>1.76348079</v>
      </c>
      <c r="I66" s="18" t="n">
        <v>0</v>
      </c>
      <c r="J66" s="20" t="n">
        <v>0</v>
      </c>
      <c r="K66" s="18" t="n">
        <v>3.02117472</v>
      </c>
      <c r="L66" s="20" t="n">
        <v>0.51701252</v>
      </c>
      <c r="M66" s="18" t="n">
        <v>4.67838393</v>
      </c>
      <c r="N66" s="20" t="n">
        <v>0.76387513</v>
      </c>
      <c r="O66" s="18" t="n">
        <v>0</v>
      </c>
      <c r="P66" s="20" t="n">
        <v>0</v>
      </c>
      <c r="Q66" s="18" t="n">
        <v>2.91976611</v>
      </c>
      <c r="R66" s="20" t="n">
        <v>0.4473899</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71.37224342</v>
      </c>
      <c r="F69" s="20" t="n">
        <v>2.91865669</v>
      </c>
      <c r="G69" s="18" t="n">
        <v>27.83750204</v>
      </c>
      <c r="H69" s="20" t="n">
        <v>2.78371205</v>
      </c>
      <c r="I69" s="18" t="n">
        <v>0</v>
      </c>
      <c r="J69" s="20" t="n">
        <v>0</v>
      </c>
      <c r="K69" s="18" t="n">
        <v>0</v>
      </c>
      <c r="L69" s="20" t="n">
        <v>0</v>
      </c>
      <c r="M69" s="18" t="n">
        <v>0</v>
      </c>
      <c r="N69" s="20" t="n">
        <v>0</v>
      </c>
      <c r="O69" s="18" t="n">
        <v>0.40810992</v>
      </c>
      <c r="P69" s="20" t="n">
        <v>0.42811442</v>
      </c>
      <c r="Q69" s="18" t="n">
        <v>0.38214461</v>
      </c>
      <c r="R69" s="20" t="n">
        <v>0.3556901</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56.58717938</v>
      </c>
      <c r="F71" s="20" t="n">
        <v>1.66811854</v>
      </c>
      <c r="G71" s="18" t="n">
        <v>43.29570069</v>
      </c>
      <c r="H71" s="20" t="n">
        <v>1.6688292</v>
      </c>
      <c r="I71" s="18" t="n">
        <v>0</v>
      </c>
      <c r="J71" s="20" t="n">
        <v>0</v>
      </c>
      <c r="K71" s="18" t="n">
        <v>0</v>
      </c>
      <c r="L71" s="20" t="n">
        <v>0</v>
      </c>
      <c r="M71" s="18" t="n">
        <v>0</v>
      </c>
      <c r="N71" s="20" t="n">
        <v>0</v>
      </c>
      <c r="O71" s="18" t="n">
        <v>0</v>
      </c>
      <c r="P71" s="20" t="n">
        <v>0</v>
      </c>
      <c r="Q71" s="18" t="n">
        <v>0.11711993</v>
      </c>
      <c r="R71" s="20" t="n">
        <v>0.11628049</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49.56888298</v>
      </c>
      <c r="F76" s="20" t="n">
        <v>1.88535631</v>
      </c>
      <c r="G76" s="18" t="n">
        <v>42.92905692</v>
      </c>
      <c r="H76" s="20" t="n">
        <v>1.93633212</v>
      </c>
      <c r="I76" s="18" t="n">
        <v>0</v>
      </c>
      <c r="J76" s="20" t="n">
        <v>0</v>
      </c>
      <c r="K76" s="18" t="n">
        <v>4.11379465</v>
      </c>
      <c r="L76" s="20" t="n">
        <v>0.85391345</v>
      </c>
      <c r="M76" s="18" t="n">
        <v>0</v>
      </c>
      <c r="N76" s="20" t="n">
        <v>0</v>
      </c>
      <c r="O76" s="18" t="n">
        <v>0.0507514</v>
      </c>
      <c r="P76" s="20" t="n">
        <v>0.05059573</v>
      </c>
      <c r="Q76" s="18" t="n">
        <v>3.33751405</v>
      </c>
      <c r="R76" s="20" t="n">
        <v>0.7961471</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9.96828146</v>
      </c>
      <c r="F80" s="20" t="n">
        <v>1.12232006</v>
      </c>
      <c r="G80" s="18" t="n">
        <v>89.86566003999999</v>
      </c>
      <c r="H80" s="20" t="n">
        <v>1.12734883</v>
      </c>
      <c r="I80" s="18" t="n">
        <v>0</v>
      </c>
      <c r="J80" s="20" t="n">
        <v>0</v>
      </c>
      <c r="K80" s="18" t="n">
        <v>0</v>
      </c>
      <c r="L80" s="20" t="n">
        <v>0</v>
      </c>
      <c r="M80" s="18" t="n">
        <v>0</v>
      </c>
      <c r="N80" s="20" t="n">
        <v>0</v>
      </c>
      <c r="O80" s="18" t="n">
        <v>0</v>
      </c>
      <c r="P80" s="20" t="n">
        <v>0</v>
      </c>
      <c r="Q80" s="18" t="n">
        <v>0.1660585</v>
      </c>
      <c r="R80" s="20" t="n">
        <v>0.1188789</v>
      </c>
    </row>
    <row r="81" spans="1:18">
      <c r="A81" s="15" t="s">
        <v>641</v>
      </c>
      <c r="B81" s="17" t="n">
        <v>870</v>
      </c>
      <c r="C81" s="18">
        <f>(576.0/B81*100)</f>
        <v/>
      </c>
      <c r="D81" s="19" t="n">
        <v>294</v>
      </c>
      <c r="E81" s="18" t="n">
        <v>37.69787584</v>
      </c>
      <c r="F81" s="20" t="n">
        <v>2.54406918</v>
      </c>
      <c r="G81" s="18" t="n">
        <v>55.61061853</v>
      </c>
      <c r="H81" s="20" t="n">
        <v>2.36139687</v>
      </c>
      <c r="I81" s="18" t="n">
        <v>0</v>
      </c>
      <c r="J81" s="20" t="n">
        <v>0</v>
      </c>
      <c r="K81" s="18" t="n">
        <v>2.25698646</v>
      </c>
      <c r="L81" s="20" t="n">
        <v>0.6129247799999999</v>
      </c>
      <c r="M81" s="18" t="n">
        <v>0</v>
      </c>
      <c r="N81" s="20" t="n">
        <v>0</v>
      </c>
      <c r="O81" s="18" t="n">
        <v>0.93054168</v>
      </c>
      <c r="P81" s="20" t="n">
        <v>0.52293651</v>
      </c>
      <c r="Q81" s="18" t="n">
        <v>3.50397749</v>
      </c>
      <c r="R81" s="20" t="n">
        <v>1.10543194</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49.36684997</v>
      </c>
      <c r="F44" s="20" t="n">
        <v>1.99266076</v>
      </c>
      <c r="G44" s="18" t="n">
        <v>33.40169421</v>
      </c>
      <c r="H44" s="20" t="n">
        <v>1.90647745</v>
      </c>
      <c r="I44" s="18" t="n">
        <v>0</v>
      </c>
      <c r="J44" s="20" t="n">
        <v>0</v>
      </c>
      <c r="K44" s="18" t="n">
        <v>1.07574297</v>
      </c>
      <c r="L44" s="20" t="n">
        <v>0.37334102</v>
      </c>
      <c r="M44" s="18" t="n">
        <v>0</v>
      </c>
      <c r="N44" s="20" t="n">
        <v>0</v>
      </c>
      <c r="O44" s="18" t="n">
        <v>0</v>
      </c>
      <c r="P44" s="20" t="n">
        <v>0</v>
      </c>
      <c r="Q44" s="18" t="n">
        <v>16.15571285</v>
      </c>
      <c r="R44" s="20" t="n">
        <v>1.29023448</v>
      </c>
    </row>
    <row r="45" spans="1:18">
      <c r="A45" s="15" t="s">
        <v>604</v>
      </c>
      <c r="B45" s="17" t="n">
        <v>2670</v>
      </c>
      <c r="C45" s="18">
        <f>(1792.0/B45*100)</f>
        <v/>
      </c>
      <c r="D45" s="19" t="n">
        <v>878</v>
      </c>
      <c r="E45" s="18" t="n">
        <v>63.20204126</v>
      </c>
      <c r="F45" s="20" t="n">
        <v>1.69333829</v>
      </c>
      <c r="G45" s="18" t="n">
        <v>11.25936388</v>
      </c>
      <c r="H45" s="20" t="n">
        <v>1.29465424</v>
      </c>
      <c r="I45" s="18" t="n">
        <v>0</v>
      </c>
      <c r="J45" s="20" t="n">
        <v>0</v>
      </c>
      <c r="K45" s="18" t="n">
        <v>4.49101179</v>
      </c>
      <c r="L45" s="20" t="n">
        <v>0.78285094</v>
      </c>
      <c r="M45" s="18" t="n">
        <v>1.71176948</v>
      </c>
      <c r="N45" s="20" t="n">
        <v>0.5789859000000001</v>
      </c>
      <c r="O45" s="18" t="n">
        <v>0.12960426</v>
      </c>
      <c r="P45" s="20" t="n">
        <v>0.13110048</v>
      </c>
      <c r="Q45" s="18" t="n">
        <v>19.20620934</v>
      </c>
      <c r="R45" s="20" t="n">
        <v>1.46592932</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42.98960484</v>
      </c>
      <c r="F54" s="20" t="n">
        <v>1.80547343</v>
      </c>
      <c r="G54" s="18" t="n">
        <v>21.6109283</v>
      </c>
      <c r="H54" s="20" t="n">
        <v>1.50013533</v>
      </c>
      <c r="I54" s="18" t="n">
        <v>0</v>
      </c>
      <c r="J54" s="20" t="n">
        <v>0</v>
      </c>
      <c r="K54" s="18" t="n">
        <v>1.66825357</v>
      </c>
      <c r="L54" s="20" t="n">
        <v>0.4925195</v>
      </c>
      <c r="M54" s="18" t="n">
        <v>0</v>
      </c>
      <c r="N54" s="20" t="n">
        <v>0</v>
      </c>
      <c r="O54" s="18" t="n">
        <v>0.1683643</v>
      </c>
      <c r="P54" s="20" t="n">
        <v>0.11792832</v>
      </c>
      <c r="Q54" s="18" t="n">
        <v>33.562849</v>
      </c>
      <c r="R54" s="20" t="n">
        <v>1.92729744</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62.69122691</v>
      </c>
      <c r="F56" s="20" t="n">
        <v>1.73603113</v>
      </c>
      <c r="G56" s="18" t="n">
        <v>28.999555</v>
      </c>
      <c r="H56" s="20" t="n">
        <v>1.46917165</v>
      </c>
      <c r="I56" s="18" t="n">
        <v>0</v>
      </c>
      <c r="J56" s="20" t="n">
        <v>0</v>
      </c>
      <c r="K56" s="18" t="n">
        <v>1.37425879</v>
      </c>
      <c r="L56" s="20" t="n">
        <v>0.39047565</v>
      </c>
      <c r="M56" s="18" t="n">
        <v>0.08295896</v>
      </c>
      <c r="N56" s="20" t="n">
        <v>0.08332908</v>
      </c>
      <c r="O56" s="18" t="n">
        <v>0</v>
      </c>
      <c r="P56" s="20" t="n">
        <v>0</v>
      </c>
      <c r="Q56" s="18" t="n">
        <v>6.85200035</v>
      </c>
      <c r="R56" s="20" t="n">
        <v>1.10203879</v>
      </c>
    </row>
    <row r="57" spans="1:18">
      <c r="A57" s="15" t="s">
        <v>616</v>
      </c>
      <c r="B57" s="17" t="n">
        <v>3737</v>
      </c>
      <c r="C57" s="18">
        <f>(2483.0/B57*100)</f>
        <v/>
      </c>
      <c r="D57" s="19" t="n">
        <v>1254</v>
      </c>
      <c r="E57" s="18" t="n">
        <v>72.67572896999999</v>
      </c>
      <c r="F57" s="20" t="n">
        <v>1.69933206</v>
      </c>
      <c r="G57" s="18" t="n">
        <v>19.04610792</v>
      </c>
      <c r="H57" s="20" t="n">
        <v>1.37589975</v>
      </c>
      <c r="I57" s="18" t="n">
        <v>0</v>
      </c>
      <c r="J57" s="20" t="n">
        <v>0</v>
      </c>
      <c r="K57" s="18" t="n">
        <v>0.24375863</v>
      </c>
      <c r="L57" s="20" t="n">
        <v>0.12576404</v>
      </c>
      <c r="M57" s="18" t="n">
        <v>0</v>
      </c>
      <c r="N57" s="20" t="n">
        <v>0</v>
      </c>
      <c r="O57" s="18" t="n">
        <v>0</v>
      </c>
      <c r="P57" s="20" t="n">
        <v>0</v>
      </c>
      <c r="Q57" s="18" t="n">
        <v>8.034404479999999</v>
      </c>
      <c r="R57" s="20" t="n">
        <v>1.20085905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70.4698789</v>
      </c>
      <c r="F59" s="20" t="n">
        <v>2.22238383</v>
      </c>
      <c r="G59" s="18" t="n">
        <v>15.67055608</v>
      </c>
      <c r="H59" s="20" t="n">
        <v>1.63381607</v>
      </c>
      <c r="I59" s="18" t="n">
        <v>0</v>
      </c>
      <c r="J59" s="20" t="n">
        <v>0</v>
      </c>
      <c r="K59" s="18" t="n">
        <v>0.30708556</v>
      </c>
      <c r="L59" s="20" t="n">
        <v>0.21478873</v>
      </c>
      <c r="M59" s="18" t="n">
        <v>0</v>
      </c>
      <c r="N59" s="20" t="n">
        <v>0</v>
      </c>
      <c r="O59" s="18" t="n">
        <v>0</v>
      </c>
      <c r="P59" s="20" t="n">
        <v>0</v>
      </c>
      <c r="Q59" s="18" t="n">
        <v>13.55247947</v>
      </c>
      <c r="R59" s="20" t="n">
        <v>1.62147189</v>
      </c>
    </row>
    <row r="60" spans="1:18">
      <c r="A60" s="15" t="s">
        <v>620</v>
      </c>
      <c r="B60" s="17" t="n">
        <v>2451</v>
      </c>
      <c r="C60" s="18">
        <f>(1642.0/B60*100)</f>
        <v/>
      </c>
      <c r="D60" s="19" t="n">
        <v>809</v>
      </c>
      <c r="E60" s="18" t="n">
        <v>49.90850603</v>
      </c>
      <c r="F60" s="20" t="n">
        <v>2.18054797</v>
      </c>
      <c r="G60" s="18" t="n">
        <v>13.68495891</v>
      </c>
      <c r="H60" s="20" t="n">
        <v>1.52396605</v>
      </c>
      <c r="I60" s="18" t="n">
        <v>0</v>
      </c>
      <c r="J60" s="20" t="n">
        <v>0</v>
      </c>
      <c r="K60" s="18" t="n">
        <v>4.20763642</v>
      </c>
      <c r="L60" s="20" t="n">
        <v>1.06781683</v>
      </c>
      <c r="M60" s="18" t="n">
        <v>0.10313166</v>
      </c>
      <c r="N60" s="20" t="n">
        <v>0.09800779</v>
      </c>
      <c r="O60" s="18" t="n">
        <v>0.09146318000000001</v>
      </c>
      <c r="P60" s="20" t="n">
        <v>0.09183329</v>
      </c>
      <c r="Q60" s="18" t="n">
        <v>32.00430379</v>
      </c>
      <c r="R60" s="20" t="n">
        <v>2.20738686</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34.30465108</v>
      </c>
      <c r="F63" s="20" t="n">
        <v>1.64104539</v>
      </c>
      <c r="G63" s="18" t="n">
        <v>23.19602634</v>
      </c>
      <c r="H63" s="20" t="n">
        <v>1.66726557</v>
      </c>
      <c r="I63" s="18" t="n">
        <v>0</v>
      </c>
      <c r="J63" s="20" t="n">
        <v>0</v>
      </c>
      <c r="K63" s="18" t="n">
        <v>1.54798183</v>
      </c>
      <c r="L63" s="20" t="n">
        <v>0.41946268</v>
      </c>
      <c r="M63" s="18" t="n">
        <v>0</v>
      </c>
      <c r="N63" s="20" t="n">
        <v>0</v>
      </c>
      <c r="O63" s="18" t="n">
        <v>0</v>
      </c>
      <c r="P63" s="20" t="n">
        <v>0</v>
      </c>
      <c r="Q63" s="18" t="n">
        <v>40.95134075</v>
      </c>
      <c r="R63" s="20" t="n">
        <v>1.47393361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54.28551494</v>
      </c>
      <c r="F65" s="20" t="n">
        <v>2.19817922</v>
      </c>
      <c r="G65" s="18" t="n">
        <v>25.06044468</v>
      </c>
      <c r="H65" s="20" t="n">
        <v>1.73856584</v>
      </c>
      <c r="I65" s="18" t="n">
        <v>0</v>
      </c>
      <c r="J65" s="20" t="n">
        <v>0</v>
      </c>
      <c r="K65" s="18" t="n">
        <v>1.74530734</v>
      </c>
      <c r="L65" s="20" t="n">
        <v>0.61136776</v>
      </c>
      <c r="M65" s="18" t="n">
        <v>0</v>
      </c>
      <c r="N65" s="20" t="n">
        <v>0</v>
      </c>
      <c r="O65" s="18" t="n">
        <v>0</v>
      </c>
      <c r="P65" s="20" t="n">
        <v>0</v>
      </c>
      <c r="Q65" s="18" t="n">
        <v>18.90873305</v>
      </c>
      <c r="R65" s="20" t="n">
        <v>1.74325392</v>
      </c>
    </row>
    <row r="66" spans="1:18">
      <c r="A66" s="15" t="s">
        <v>626</v>
      </c>
      <c r="B66" s="17" t="n">
        <v>2634</v>
      </c>
      <c r="C66" s="18">
        <f>(1775.0/B66*100)</f>
        <v/>
      </c>
      <c r="D66" s="19" t="n">
        <v>859</v>
      </c>
      <c r="E66" s="18" t="n">
        <v>38.78920948</v>
      </c>
      <c r="F66" s="20" t="n">
        <v>1.77671853</v>
      </c>
      <c r="G66" s="18" t="n">
        <v>34.74638978</v>
      </c>
      <c r="H66" s="20" t="n">
        <v>1.81748227</v>
      </c>
      <c r="I66" s="18" t="n">
        <v>0</v>
      </c>
      <c r="J66" s="20" t="n">
        <v>0</v>
      </c>
      <c r="K66" s="18" t="n">
        <v>3.22330411</v>
      </c>
      <c r="L66" s="20" t="n">
        <v>0.55798546</v>
      </c>
      <c r="M66" s="18" t="n">
        <v>0</v>
      </c>
      <c r="N66" s="20" t="n">
        <v>0</v>
      </c>
      <c r="O66" s="18" t="n">
        <v>0</v>
      </c>
      <c r="P66" s="20" t="n">
        <v>0</v>
      </c>
      <c r="Q66" s="18" t="n">
        <v>23.24109663</v>
      </c>
      <c r="R66" s="20" t="n">
        <v>1.8188075</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83.15605812</v>
      </c>
      <c r="F69" s="20" t="n">
        <v>1.9806951</v>
      </c>
      <c r="G69" s="18" t="n">
        <v>9.55258248</v>
      </c>
      <c r="H69" s="20" t="n">
        <v>1.78874077</v>
      </c>
      <c r="I69" s="18" t="n">
        <v>0</v>
      </c>
      <c r="J69" s="20" t="n">
        <v>0</v>
      </c>
      <c r="K69" s="18" t="n">
        <v>0</v>
      </c>
      <c r="L69" s="20" t="n">
        <v>0</v>
      </c>
      <c r="M69" s="18" t="n">
        <v>0</v>
      </c>
      <c r="N69" s="20" t="n">
        <v>0</v>
      </c>
      <c r="O69" s="18" t="n">
        <v>0</v>
      </c>
      <c r="P69" s="20" t="n">
        <v>0</v>
      </c>
      <c r="Q69" s="18" t="n">
        <v>7.2913594</v>
      </c>
      <c r="R69" s="20" t="n">
        <v>1.52628458</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49.65706179</v>
      </c>
      <c r="F71" s="20" t="n">
        <v>2.05055215</v>
      </c>
      <c r="G71" s="18" t="n">
        <v>50.13007804</v>
      </c>
      <c r="H71" s="20" t="n">
        <v>2.07889899</v>
      </c>
      <c r="I71" s="18" t="n">
        <v>0</v>
      </c>
      <c r="J71" s="20" t="n">
        <v>0</v>
      </c>
      <c r="K71" s="18" t="n">
        <v>0</v>
      </c>
      <c r="L71" s="20" t="n">
        <v>0</v>
      </c>
      <c r="M71" s="18" t="n">
        <v>0</v>
      </c>
      <c r="N71" s="20" t="n">
        <v>0</v>
      </c>
      <c r="O71" s="18" t="n">
        <v>0</v>
      </c>
      <c r="P71" s="20" t="n">
        <v>0</v>
      </c>
      <c r="Q71" s="18" t="n">
        <v>0.21286017</v>
      </c>
      <c r="R71" s="20" t="n">
        <v>0.15066955</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50.56848921</v>
      </c>
      <c r="F76" s="20" t="n">
        <v>1.99633206</v>
      </c>
      <c r="G76" s="18" t="n">
        <v>26.73457908</v>
      </c>
      <c r="H76" s="20" t="n">
        <v>1.6272838</v>
      </c>
      <c r="I76" s="18" t="n">
        <v>0</v>
      </c>
      <c r="J76" s="20" t="n">
        <v>0</v>
      </c>
      <c r="K76" s="18" t="n">
        <v>4.59475432</v>
      </c>
      <c r="L76" s="20" t="n">
        <v>0.9235686</v>
      </c>
      <c r="M76" s="18" t="n">
        <v>0</v>
      </c>
      <c r="N76" s="20" t="n">
        <v>0</v>
      </c>
      <c r="O76" s="18" t="n">
        <v>0</v>
      </c>
      <c r="P76" s="20" t="n">
        <v>0</v>
      </c>
      <c r="Q76" s="18" t="n">
        <v>18.10217738</v>
      </c>
      <c r="R76" s="20" t="n">
        <v>1.69768597</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38.60206732</v>
      </c>
      <c r="F80" s="20" t="n">
        <v>1.74973914</v>
      </c>
      <c r="G80" s="18" t="n">
        <v>60.33400099</v>
      </c>
      <c r="H80" s="20" t="n">
        <v>1.75714237</v>
      </c>
      <c r="I80" s="18" t="n">
        <v>0</v>
      </c>
      <c r="J80" s="20" t="n">
        <v>0</v>
      </c>
      <c r="K80" s="18" t="n">
        <v>0</v>
      </c>
      <c r="L80" s="20" t="n">
        <v>0</v>
      </c>
      <c r="M80" s="18" t="n">
        <v>0</v>
      </c>
      <c r="N80" s="20" t="n">
        <v>0</v>
      </c>
      <c r="O80" s="18" t="n">
        <v>0</v>
      </c>
      <c r="P80" s="20" t="n">
        <v>0</v>
      </c>
      <c r="Q80" s="18" t="n">
        <v>1.06393169</v>
      </c>
      <c r="R80" s="20" t="n">
        <v>0.38011629</v>
      </c>
    </row>
    <row r="81" spans="1:18">
      <c r="A81" s="15" t="s">
        <v>641</v>
      </c>
      <c r="B81" s="17" t="n">
        <v>870</v>
      </c>
      <c r="C81" s="18">
        <f>(576.0/B81*100)</f>
        <v/>
      </c>
      <c r="D81" s="19" t="n">
        <v>294</v>
      </c>
      <c r="E81" s="18" t="n">
        <v>61.09802942</v>
      </c>
      <c r="F81" s="20" t="n">
        <v>2.61712532</v>
      </c>
      <c r="G81" s="18" t="n">
        <v>15.29094146</v>
      </c>
      <c r="H81" s="20" t="n">
        <v>2.42994552</v>
      </c>
      <c r="I81" s="18" t="n">
        <v>0</v>
      </c>
      <c r="J81" s="20" t="n">
        <v>0</v>
      </c>
      <c r="K81" s="18" t="n">
        <v>2.25698646</v>
      </c>
      <c r="L81" s="20" t="n">
        <v>0.6129247799999999</v>
      </c>
      <c r="M81" s="18" t="n">
        <v>0</v>
      </c>
      <c r="N81" s="20" t="n">
        <v>0</v>
      </c>
      <c r="O81" s="18" t="n">
        <v>0</v>
      </c>
      <c r="P81" s="20" t="n">
        <v>0</v>
      </c>
      <c r="Q81" s="18" t="n">
        <v>21.35404265</v>
      </c>
      <c r="R81" s="20" t="n">
        <v>2.95601535</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49.84923746</v>
      </c>
      <c r="F44" s="20" t="n">
        <v>1.90717578</v>
      </c>
      <c r="G44" s="18" t="n">
        <v>47.64947116</v>
      </c>
      <c r="H44" s="20" t="n">
        <v>1.93235061</v>
      </c>
      <c r="I44" s="18" t="n">
        <v>0</v>
      </c>
      <c r="J44" s="20" t="n">
        <v>0</v>
      </c>
      <c r="K44" s="18" t="n">
        <v>1.07574297</v>
      </c>
      <c r="L44" s="20" t="n">
        <v>0.37334102</v>
      </c>
      <c r="M44" s="18" t="n">
        <v>0</v>
      </c>
      <c r="N44" s="20" t="n">
        <v>0</v>
      </c>
      <c r="O44" s="18" t="n">
        <v>0</v>
      </c>
      <c r="P44" s="20" t="n">
        <v>0</v>
      </c>
      <c r="Q44" s="18" t="n">
        <v>1.42554841</v>
      </c>
      <c r="R44" s="20" t="n">
        <v>0.4513978</v>
      </c>
    </row>
    <row r="45" spans="1:18">
      <c r="A45" s="15" t="s">
        <v>604</v>
      </c>
      <c r="B45" s="17" t="n">
        <v>2670</v>
      </c>
      <c r="C45" s="18">
        <f>(1792.0/B45*100)</f>
        <v/>
      </c>
      <c r="D45" s="19" t="n">
        <v>878</v>
      </c>
      <c r="E45" s="18" t="n">
        <v>58.56453432</v>
      </c>
      <c r="F45" s="20" t="n">
        <v>1.68406297</v>
      </c>
      <c r="G45" s="18" t="n">
        <v>33.32898375</v>
      </c>
      <c r="H45" s="20" t="n">
        <v>1.52629927</v>
      </c>
      <c r="I45" s="18" t="n">
        <v>0</v>
      </c>
      <c r="J45" s="20" t="n">
        <v>0</v>
      </c>
      <c r="K45" s="18" t="n">
        <v>4.60602886</v>
      </c>
      <c r="L45" s="20" t="n">
        <v>0.79005647</v>
      </c>
      <c r="M45" s="18" t="n">
        <v>0.27110903</v>
      </c>
      <c r="N45" s="20" t="n">
        <v>0.19335385</v>
      </c>
      <c r="O45" s="18" t="n">
        <v>0</v>
      </c>
      <c r="P45" s="20" t="n">
        <v>0</v>
      </c>
      <c r="Q45" s="18" t="n">
        <v>3.22934404</v>
      </c>
      <c r="R45" s="20" t="n">
        <v>0.69123214</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69.12255593</v>
      </c>
      <c r="F54" s="20" t="n">
        <v>1.7366186</v>
      </c>
      <c r="G54" s="18" t="n">
        <v>27.98651711</v>
      </c>
      <c r="H54" s="20" t="n">
        <v>1.74815998</v>
      </c>
      <c r="I54" s="18" t="n">
        <v>0</v>
      </c>
      <c r="J54" s="20" t="n">
        <v>0</v>
      </c>
      <c r="K54" s="18" t="n">
        <v>1.66825357</v>
      </c>
      <c r="L54" s="20" t="n">
        <v>0.4925195</v>
      </c>
      <c r="M54" s="18" t="n">
        <v>0</v>
      </c>
      <c r="N54" s="20" t="n">
        <v>0</v>
      </c>
      <c r="O54" s="18" t="n">
        <v>0</v>
      </c>
      <c r="P54" s="20" t="n">
        <v>0</v>
      </c>
      <c r="Q54" s="18" t="n">
        <v>1.22267338</v>
      </c>
      <c r="R54" s="20" t="n">
        <v>0.391664</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50.02846332</v>
      </c>
      <c r="F56" s="20" t="n">
        <v>1.82216098</v>
      </c>
      <c r="G56" s="18" t="n">
        <v>47.49371197</v>
      </c>
      <c r="H56" s="20" t="n">
        <v>1.84369503</v>
      </c>
      <c r="I56" s="18" t="n">
        <v>0</v>
      </c>
      <c r="J56" s="20" t="n">
        <v>0</v>
      </c>
      <c r="K56" s="18" t="n">
        <v>1.37425879</v>
      </c>
      <c r="L56" s="20" t="n">
        <v>0.39047565</v>
      </c>
      <c r="M56" s="18" t="n">
        <v>0.08295896</v>
      </c>
      <c r="N56" s="20" t="n">
        <v>0.08332908</v>
      </c>
      <c r="O56" s="18" t="n">
        <v>0</v>
      </c>
      <c r="P56" s="20" t="n">
        <v>0</v>
      </c>
      <c r="Q56" s="18" t="n">
        <v>1.02060696</v>
      </c>
      <c r="R56" s="20" t="n">
        <v>0.36795688</v>
      </c>
    </row>
    <row r="57" spans="1:18">
      <c r="A57" s="15" t="s">
        <v>616</v>
      </c>
      <c r="B57" s="17" t="n">
        <v>3737</v>
      </c>
      <c r="C57" s="18">
        <f>(2483.0/B57*100)</f>
        <v/>
      </c>
      <c r="D57" s="19" t="n">
        <v>1254</v>
      </c>
      <c r="E57" s="18" t="n">
        <v>64.05477446</v>
      </c>
      <c r="F57" s="20" t="n">
        <v>1.73653487</v>
      </c>
      <c r="G57" s="18" t="n">
        <v>35.15364204</v>
      </c>
      <c r="H57" s="20" t="n">
        <v>1.74430053</v>
      </c>
      <c r="I57" s="18" t="n">
        <v>0</v>
      </c>
      <c r="J57" s="20" t="n">
        <v>0</v>
      </c>
      <c r="K57" s="18" t="n">
        <v>0.24375863</v>
      </c>
      <c r="L57" s="20" t="n">
        <v>0.12576404</v>
      </c>
      <c r="M57" s="18" t="n">
        <v>0</v>
      </c>
      <c r="N57" s="20" t="n">
        <v>0</v>
      </c>
      <c r="O57" s="18" t="n">
        <v>0.07818238</v>
      </c>
      <c r="P57" s="20" t="n">
        <v>0.07811187999999999</v>
      </c>
      <c r="Q57" s="18" t="n">
        <v>0.46964249</v>
      </c>
      <c r="R57" s="20" t="n">
        <v>0.20860445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62.78945497</v>
      </c>
      <c r="F59" s="20" t="n">
        <v>1.91127948</v>
      </c>
      <c r="G59" s="18" t="n">
        <v>36.34621639</v>
      </c>
      <c r="H59" s="20" t="n">
        <v>1.84825231</v>
      </c>
      <c r="I59" s="18" t="n">
        <v>0</v>
      </c>
      <c r="J59" s="20" t="n">
        <v>0</v>
      </c>
      <c r="K59" s="18" t="n">
        <v>0.30708556</v>
      </c>
      <c r="L59" s="20" t="n">
        <v>0.21478873</v>
      </c>
      <c r="M59" s="18" t="n">
        <v>0</v>
      </c>
      <c r="N59" s="20" t="n">
        <v>0</v>
      </c>
      <c r="O59" s="18" t="n">
        <v>0</v>
      </c>
      <c r="P59" s="20" t="n">
        <v>0</v>
      </c>
      <c r="Q59" s="18" t="n">
        <v>0.5572430900000001</v>
      </c>
      <c r="R59" s="20" t="n">
        <v>0.24622657</v>
      </c>
    </row>
    <row r="60" spans="1:18">
      <c r="A60" s="15" t="s">
        <v>620</v>
      </c>
      <c r="B60" s="17" t="n">
        <v>2451</v>
      </c>
      <c r="C60" s="18">
        <f>(1642.0/B60*100)</f>
        <v/>
      </c>
      <c r="D60" s="19" t="n">
        <v>809</v>
      </c>
      <c r="E60" s="18" t="n">
        <v>61.52775895</v>
      </c>
      <c r="F60" s="20" t="n">
        <v>1.98454323</v>
      </c>
      <c r="G60" s="18" t="n">
        <v>28.78677119</v>
      </c>
      <c r="H60" s="20" t="n">
        <v>1.8116646</v>
      </c>
      <c r="I60" s="18" t="n">
        <v>0</v>
      </c>
      <c r="J60" s="20" t="n">
        <v>0</v>
      </c>
      <c r="K60" s="18" t="n">
        <v>4.41177074</v>
      </c>
      <c r="L60" s="20" t="n">
        <v>1.07591303</v>
      </c>
      <c r="M60" s="18" t="n">
        <v>0</v>
      </c>
      <c r="N60" s="20" t="n">
        <v>0</v>
      </c>
      <c r="O60" s="18" t="n">
        <v>0</v>
      </c>
      <c r="P60" s="20" t="n">
        <v>0</v>
      </c>
      <c r="Q60" s="18" t="n">
        <v>5.27369912</v>
      </c>
      <c r="R60" s="20" t="n">
        <v>0.91595774</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53.29829817</v>
      </c>
      <c r="F63" s="20" t="n">
        <v>1.75795737</v>
      </c>
      <c r="G63" s="18" t="n">
        <v>42.25440426</v>
      </c>
      <c r="H63" s="20" t="n">
        <v>1.70521289</v>
      </c>
      <c r="I63" s="18" t="n">
        <v>0</v>
      </c>
      <c r="J63" s="20" t="n">
        <v>0</v>
      </c>
      <c r="K63" s="18" t="n">
        <v>1.54798183</v>
      </c>
      <c r="L63" s="20" t="n">
        <v>0.41946268</v>
      </c>
      <c r="M63" s="18" t="n">
        <v>0</v>
      </c>
      <c r="N63" s="20" t="n">
        <v>0</v>
      </c>
      <c r="O63" s="18" t="n">
        <v>0</v>
      </c>
      <c r="P63" s="20" t="n">
        <v>0</v>
      </c>
      <c r="Q63" s="18" t="n">
        <v>2.89931574</v>
      </c>
      <c r="R63" s="20" t="n">
        <v>0.61019893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48.65032911</v>
      </c>
      <c r="F65" s="20" t="n">
        <v>2.0000934</v>
      </c>
      <c r="G65" s="18" t="n">
        <v>48.82510713</v>
      </c>
      <c r="H65" s="20" t="n">
        <v>2.10124615</v>
      </c>
      <c r="I65" s="18" t="n">
        <v>0</v>
      </c>
      <c r="J65" s="20" t="n">
        <v>0</v>
      </c>
      <c r="K65" s="18" t="n">
        <v>1.74530734</v>
      </c>
      <c r="L65" s="20" t="n">
        <v>0.61136776</v>
      </c>
      <c r="M65" s="18" t="n">
        <v>0</v>
      </c>
      <c r="N65" s="20" t="n">
        <v>0</v>
      </c>
      <c r="O65" s="18" t="n">
        <v>0</v>
      </c>
      <c r="P65" s="20" t="n">
        <v>0</v>
      </c>
      <c r="Q65" s="18" t="n">
        <v>0.7792564199999999</v>
      </c>
      <c r="R65" s="20" t="n">
        <v>0.39734719</v>
      </c>
    </row>
    <row r="66" spans="1:18">
      <c r="A66" s="15" t="s">
        <v>626</v>
      </c>
      <c r="B66" s="17" t="n">
        <v>2634</v>
      </c>
      <c r="C66" s="18">
        <f>(1775.0/B66*100)</f>
        <v/>
      </c>
      <c r="D66" s="19" t="n">
        <v>859</v>
      </c>
      <c r="E66" s="18" t="n">
        <v>51.68027606</v>
      </c>
      <c r="F66" s="20" t="n">
        <v>1.74936744</v>
      </c>
      <c r="G66" s="18" t="n">
        <v>43.30453814</v>
      </c>
      <c r="H66" s="20" t="n">
        <v>1.72541812</v>
      </c>
      <c r="I66" s="18" t="n">
        <v>0</v>
      </c>
      <c r="J66" s="20" t="n">
        <v>0</v>
      </c>
      <c r="K66" s="18" t="n">
        <v>3.43636101</v>
      </c>
      <c r="L66" s="20" t="n">
        <v>0.56955483</v>
      </c>
      <c r="M66" s="18" t="n">
        <v>0</v>
      </c>
      <c r="N66" s="20" t="n">
        <v>0</v>
      </c>
      <c r="O66" s="18" t="n">
        <v>0</v>
      </c>
      <c r="P66" s="20" t="n">
        <v>0</v>
      </c>
      <c r="Q66" s="18" t="n">
        <v>1.57882478</v>
      </c>
      <c r="R66" s="20" t="n">
        <v>0.52918263</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72.84148519999999</v>
      </c>
      <c r="F69" s="20" t="n">
        <v>2.88553011</v>
      </c>
      <c r="G69" s="18" t="n">
        <v>27.1585148</v>
      </c>
      <c r="H69" s="20" t="n">
        <v>2.88553011</v>
      </c>
      <c r="I69" s="18" t="n">
        <v>0</v>
      </c>
      <c r="J69" s="20" t="n">
        <v>0</v>
      </c>
      <c r="K69" s="18" t="n">
        <v>0</v>
      </c>
      <c r="L69" s="20" t="n">
        <v>0</v>
      </c>
      <c r="M69" s="18" t="n">
        <v>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62.03338317</v>
      </c>
      <c r="F71" s="20" t="n">
        <v>1.91477849</v>
      </c>
      <c r="G71" s="18" t="n">
        <v>37.96661683</v>
      </c>
      <c r="H71" s="20" t="n">
        <v>1.91477849</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43.09971718</v>
      </c>
      <c r="F76" s="20" t="n">
        <v>2.05383718</v>
      </c>
      <c r="G76" s="18" t="n">
        <v>49.27399395</v>
      </c>
      <c r="H76" s="20" t="n">
        <v>2.24128239</v>
      </c>
      <c r="I76" s="18" t="n">
        <v>0</v>
      </c>
      <c r="J76" s="20" t="n">
        <v>0</v>
      </c>
      <c r="K76" s="18" t="n">
        <v>5.03045411</v>
      </c>
      <c r="L76" s="20" t="n">
        <v>0.96808271</v>
      </c>
      <c r="M76" s="18" t="n">
        <v>0</v>
      </c>
      <c r="N76" s="20" t="n">
        <v>0</v>
      </c>
      <c r="O76" s="18" t="n">
        <v>0</v>
      </c>
      <c r="P76" s="20" t="n">
        <v>0</v>
      </c>
      <c r="Q76" s="18" t="n">
        <v>2.59583476</v>
      </c>
      <c r="R76" s="20" t="n">
        <v>0.80227762</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8.501754160000001</v>
      </c>
      <c r="F80" s="20" t="n">
        <v>1.03960401</v>
      </c>
      <c r="G80" s="18" t="n">
        <v>91.43253996999999</v>
      </c>
      <c r="H80" s="20" t="n">
        <v>1.03105513</v>
      </c>
      <c r="I80" s="18" t="n">
        <v>0</v>
      </c>
      <c r="J80" s="20" t="n">
        <v>0</v>
      </c>
      <c r="K80" s="18" t="n">
        <v>0</v>
      </c>
      <c r="L80" s="20" t="n">
        <v>0</v>
      </c>
      <c r="M80" s="18" t="n">
        <v>0</v>
      </c>
      <c r="N80" s="20" t="n">
        <v>0</v>
      </c>
      <c r="O80" s="18" t="n">
        <v>0</v>
      </c>
      <c r="P80" s="20" t="n">
        <v>0</v>
      </c>
      <c r="Q80" s="18" t="n">
        <v>0.06570587</v>
      </c>
      <c r="R80" s="20" t="n">
        <v>0.06615641</v>
      </c>
    </row>
    <row r="81" spans="1:18">
      <c r="A81" s="15" t="s">
        <v>641</v>
      </c>
      <c r="B81" s="17" t="n">
        <v>870</v>
      </c>
      <c r="C81" s="18">
        <f>(576.0/B81*100)</f>
        <v/>
      </c>
      <c r="D81" s="19" t="n">
        <v>294</v>
      </c>
      <c r="E81" s="18" t="n">
        <v>57.06545111</v>
      </c>
      <c r="F81" s="20" t="n">
        <v>3.49905096</v>
      </c>
      <c r="G81" s="18" t="n">
        <v>37.95241836</v>
      </c>
      <c r="H81" s="20" t="n">
        <v>3.36446166</v>
      </c>
      <c r="I81" s="18" t="n">
        <v>0</v>
      </c>
      <c r="J81" s="20" t="n">
        <v>0</v>
      </c>
      <c r="K81" s="18" t="n">
        <v>2.25698646</v>
      </c>
      <c r="L81" s="20" t="n">
        <v>0.6129247799999999</v>
      </c>
      <c r="M81" s="18" t="n">
        <v>0</v>
      </c>
      <c r="N81" s="20" t="n">
        <v>0</v>
      </c>
      <c r="O81" s="18" t="n">
        <v>0</v>
      </c>
      <c r="P81" s="20" t="n">
        <v>0</v>
      </c>
      <c r="Q81" s="18" t="n">
        <v>2.72514407</v>
      </c>
      <c r="R81" s="20" t="n">
        <v>0.94370023</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66.93297747</v>
      </c>
      <c r="F44" s="20" t="n">
        <v>1.65194344</v>
      </c>
      <c r="G44" s="18" t="n">
        <v>22.41208809</v>
      </c>
      <c r="H44" s="20" t="n">
        <v>1.33813869</v>
      </c>
      <c r="I44" s="18" t="n">
        <v>0</v>
      </c>
      <c r="J44" s="20" t="n">
        <v>0</v>
      </c>
      <c r="K44" s="18" t="n">
        <v>1.25856301</v>
      </c>
      <c r="L44" s="20" t="n">
        <v>0.39838222</v>
      </c>
      <c r="M44" s="18" t="n">
        <v>0</v>
      </c>
      <c r="N44" s="20" t="n">
        <v>0</v>
      </c>
      <c r="O44" s="18" t="n">
        <v>4.40948202</v>
      </c>
      <c r="P44" s="20" t="n">
        <v>0.8549745</v>
      </c>
      <c r="Q44" s="18" t="n">
        <v>4.98688941</v>
      </c>
      <c r="R44" s="20" t="n">
        <v>0.78205808</v>
      </c>
    </row>
    <row r="45" spans="1:18">
      <c r="A45" s="15" t="s">
        <v>604</v>
      </c>
      <c r="B45" s="17" t="n">
        <v>2670</v>
      </c>
      <c r="C45" s="18">
        <f>(1792.0/B45*100)</f>
        <v/>
      </c>
      <c r="D45" s="19" t="n">
        <v>878</v>
      </c>
      <c r="E45" s="18" t="n">
        <v>52.91539011</v>
      </c>
      <c r="F45" s="20" t="n">
        <v>1.85680795</v>
      </c>
      <c r="G45" s="18" t="n">
        <v>29.74676102</v>
      </c>
      <c r="H45" s="20" t="n">
        <v>1.68354697</v>
      </c>
      <c r="I45" s="18" t="n">
        <v>0</v>
      </c>
      <c r="J45" s="20" t="n">
        <v>0</v>
      </c>
      <c r="K45" s="18" t="n">
        <v>4.66345991</v>
      </c>
      <c r="L45" s="20" t="n">
        <v>0.79166855</v>
      </c>
      <c r="M45" s="18" t="n">
        <v>0.8512121499999999</v>
      </c>
      <c r="N45" s="20" t="n">
        <v>0.32781178</v>
      </c>
      <c r="O45" s="18" t="n">
        <v>6.13373551</v>
      </c>
      <c r="P45" s="20" t="n">
        <v>0.88370636</v>
      </c>
      <c r="Q45" s="18" t="n">
        <v>5.6894413</v>
      </c>
      <c r="R45" s="20" t="n">
        <v>0.90731393</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65.1923206</v>
      </c>
      <c r="F54" s="20" t="n">
        <v>1.5530235</v>
      </c>
      <c r="G54" s="18" t="n">
        <v>25.1059563</v>
      </c>
      <c r="H54" s="20" t="n">
        <v>1.54070326</v>
      </c>
      <c r="I54" s="18" t="n">
        <v>0</v>
      </c>
      <c r="J54" s="20" t="n">
        <v>0</v>
      </c>
      <c r="K54" s="18" t="n">
        <v>1.88768013</v>
      </c>
      <c r="L54" s="20" t="n">
        <v>0.51193981</v>
      </c>
      <c r="M54" s="18" t="n">
        <v>0</v>
      </c>
      <c r="N54" s="20" t="n">
        <v>0</v>
      </c>
      <c r="O54" s="18" t="n">
        <v>3.14194942</v>
      </c>
      <c r="P54" s="20" t="n">
        <v>0.58477258</v>
      </c>
      <c r="Q54" s="18" t="n">
        <v>4.67209355</v>
      </c>
      <c r="R54" s="20" t="n">
        <v>0.76569129</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82.19079366</v>
      </c>
      <c r="F56" s="20" t="n">
        <v>1.47893398</v>
      </c>
      <c r="G56" s="18" t="n">
        <v>14.69801478</v>
      </c>
      <c r="H56" s="20" t="n">
        <v>1.39002169</v>
      </c>
      <c r="I56" s="18" t="n">
        <v>0</v>
      </c>
      <c r="J56" s="20" t="n">
        <v>0</v>
      </c>
      <c r="K56" s="18" t="n">
        <v>1.72645291</v>
      </c>
      <c r="L56" s="20" t="n">
        <v>0.41686521</v>
      </c>
      <c r="M56" s="18" t="n">
        <v>0</v>
      </c>
      <c r="N56" s="20" t="n">
        <v>0</v>
      </c>
      <c r="O56" s="18" t="n">
        <v>0</v>
      </c>
      <c r="P56" s="20" t="n">
        <v>0</v>
      </c>
      <c r="Q56" s="18" t="n">
        <v>1.38473865</v>
      </c>
      <c r="R56" s="20" t="n">
        <v>0.41031686</v>
      </c>
    </row>
    <row r="57" spans="1:18">
      <c r="A57" s="15" t="s">
        <v>616</v>
      </c>
      <c r="B57" s="17" t="n">
        <v>3737</v>
      </c>
      <c r="C57" s="18">
        <f>(2483.0/B57*100)</f>
        <v/>
      </c>
      <c r="D57" s="19" t="n">
        <v>1254</v>
      </c>
      <c r="E57" s="18" t="n">
        <v>65.19992505</v>
      </c>
      <c r="F57" s="20" t="n">
        <v>1.50924018</v>
      </c>
      <c r="G57" s="18" t="n">
        <v>28.55733656</v>
      </c>
      <c r="H57" s="20" t="n">
        <v>1.63009648</v>
      </c>
      <c r="I57" s="18" t="n">
        <v>0</v>
      </c>
      <c r="J57" s="20" t="n">
        <v>0</v>
      </c>
      <c r="K57" s="18" t="n">
        <v>0.37416788</v>
      </c>
      <c r="L57" s="20" t="n">
        <v>0.15510551</v>
      </c>
      <c r="M57" s="18" t="n">
        <v>0</v>
      </c>
      <c r="N57" s="20" t="n">
        <v>0</v>
      </c>
      <c r="O57" s="18" t="n">
        <v>2.93673094</v>
      </c>
      <c r="P57" s="20" t="n">
        <v>0.60603231</v>
      </c>
      <c r="Q57" s="18" t="n">
        <v>2.93183957</v>
      </c>
      <c r="R57" s="20" t="n">
        <v>0.52834762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79.02599982</v>
      </c>
      <c r="F59" s="20" t="n">
        <v>1.96762053</v>
      </c>
      <c r="G59" s="18" t="n">
        <v>12.41369183</v>
      </c>
      <c r="H59" s="20" t="n">
        <v>1.41121557</v>
      </c>
      <c r="I59" s="18" t="n">
        <v>0</v>
      </c>
      <c r="J59" s="20" t="n">
        <v>0</v>
      </c>
      <c r="K59" s="18" t="n">
        <v>0.30708556</v>
      </c>
      <c r="L59" s="20" t="n">
        <v>0.21478873</v>
      </c>
      <c r="M59" s="18" t="n">
        <v>0</v>
      </c>
      <c r="N59" s="20" t="n">
        <v>0</v>
      </c>
      <c r="O59" s="18" t="n">
        <v>6.11529165</v>
      </c>
      <c r="P59" s="20" t="n">
        <v>1.18265171</v>
      </c>
      <c r="Q59" s="18" t="n">
        <v>2.13793115</v>
      </c>
      <c r="R59" s="20" t="n">
        <v>0.50994806</v>
      </c>
    </row>
    <row r="60" spans="1:18">
      <c r="A60" s="15" t="s">
        <v>620</v>
      </c>
      <c r="B60" s="17" t="n">
        <v>2451</v>
      </c>
      <c r="C60" s="18">
        <f>(1642.0/B60*100)</f>
        <v/>
      </c>
      <c r="D60" s="19" t="n">
        <v>809</v>
      </c>
      <c r="E60" s="18" t="n">
        <v>61.21408345</v>
      </c>
      <c r="F60" s="20" t="n">
        <v>2.24139912</v>
      </c>
      <c r="G60" s="18" t="n">
        <v>17.92217333</v>
      </c>
      <c r="H60" s="20" t="n">
        <v>1.41679743</v>
      </c>
      <c r="I60" s="18" t="n">
        <v>0</v>
      </c>
      <c r="J60" s="20" t="n">
        <v>0</v>
      </c>
      <c r="K60" s="18" t="n">
        <v>4.95370667</v>
      </c>
      <c r="L60" s="20" t="n">
        <v>1.16362366</v>
      </c>
      <c r="M60" s="18" t="n">
        <v>0</v>
      </c>
      <c r="N60" s="20" t="n">
        <v>0</v>
      </c>
      <c r="O60" s="18" t="n">
        <v>5.90502208</v>
      </c>
      <c r="P60" s="20" t="n">
        <v>1.02412026</v>
      </c>
      <c r="Q60" s="18" t="n">
        <v>10.00501448</v>
      </c>
      <c r="R60" s="20" t="n">
        <v>1.21811008</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65.73398227</v>
      </c>
      <c r="F63" s="20" t="n">
        <v>1.77823121</v>
      </c>
      <c r="G63" s="18" t="n">
        <v>19.91510125</v>
      </c>
      <c r="H63" s="20" t="n">
        <v>1.50612076</v>
      </c>
      <c r="I63" s="18" t="n">
        <v>0</v>
      </c>
      <c r="J63" s="20" t="n">
        <v>0</v>
      </c>
      <c r="K63" s="18" t="n">
        <v>1.78689084</v>
      </c>
      <c r="L63" s="20" t="n">
        <v>0.48205958</v>
      </c>
      <c r="M63" s="18" t="n">
        <v>0</v>
      </c>
      <c r="N63" s="20" t="n">
        <v>0</v>
      </c>
      <c r="O63" s="18" t="n">
        <v>1.85551006</v>
      </c>
      <c r="P63" s="20" t="n">
        <v>0.44515002</v>
      </c>
      <c r="Q63" s="18" t="n">
        <v>10.70851559</v>
      </c>
      <c r="R63" s="20" t="n">
        <v>1.09258373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62.70974053</v>
      </c>
      <c r="F65" s="20" t="n">
        <v>2.05326321</v>
      </c>
      <c r="G65" s="18" t="n">
        <v>32.1756452</v>
      </c>
      <c r="H65" s="20" t="n">
        <v>1.74018031</v>
      </c>
      <c r="I65" s="18" t="n">
        <v>0</v>
      </c>
      <c r="J65" s="20" t="n">
        <v>0</v>
      </c>
      <c r="K65" s="18" t="n">
        <v>2.1315569</v>
      </c>
      <c r="L65" s="20" t="n">
        <v>0.6701208400000001</v>
      </c>
      <c r="M65" s="18" t="n">
        <v>0</v>
      </c>
      <c r="N65" s="20" t="n">
        <v>0</v>
      </c>
      <c r="O65" s="18" t="n">
        <v>0.47103486</v>
      </c>
      <c r="P65" s="20" t="n">
        <v>0.24852754</v>
      </c>
      <c r="Q65" s="18" t="n">
        <v>2.51202251</v>
      </c>
      <c r="R65" s="20" t="n">
        <v>0.7408655200000001</v>
      </c>
    </row>
    <row r="66" spans="1:18">
      <c r="A66" s="15" t="s">
        <v>626</v>
      </c>
      <c r="B66" s="17" t="n">
        <v>2634</v>
      </c>
      <c r="C66" s="18">
        <f>(1775.0/B66*100)</f>
        <v/>
      </c>
      <c r="D66" s="19" t="n">
        <v>859</v>
      </c>
      <c r="E66" s="18" t="n">
        <v>61.02397118</v>
      </c>
      <c r="F66" s="20" t="n">
        <v>1.88934245</v>
      </c>
      <c r="G66" s="18" t="n">
        <v>24.06725506</v>
      </c>
      <c r="H66" s="20" t="n">
        <v>1.51651993</v>
      </c>
      <c r="I66" s="18" t="n">
        <v>0</v>
      </c>
      <c r="J66" s="20" t="n">
        <v>0</v>
      </c>
      <c r="K66" s="18" t="n">
        <v>4.32468239</v>
      </c>
      <c r="L66" s="20" t="n">
        <v>0.68821332</v>
      </c>
      <c r="M66" s="18" t="n">
        <v>6.99141293</v>
      </c>
      <c r="N66" s="20" t="n">
        <v>0.97597578</v>
      </c>
      <c r="O66" s="18" t="n">
        <v>0</v>
      </c>
      <c r="P66" s="20" t="n">
        <v>0</v>
      </c>
      <c r="Q66" s="18" t="n">
        <v>3.59267845</v>
      </c>
      <c r="R66" s="20" t="n">
        <v>0.64393809</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72.56278493000001</v>
      </c>
      <c r="F69" s="20" t="n">
        <v>2.81407751</v>
      </c>
      <c r="G69" s="18" t="n">
        <v>25.60808542</v>
      </c>
      <c r="H69" s="20" t="n">
        <v>2.87174734</v>
      </c>
      <c r="I69" s="18" t="n">
        <v>0</v>
      </c>
      <c r="J69" s="20" t="n">
        <v>0</v>
      </c>
      <c r="K69" s="18" t="n">
        <v>0</v>
      </c>
      <c r="L69" s="20" t="n">
        <v>0</v>
      </c>
      <c r="M69" s="18" t="n">
        <v>0</v>
      </c>
      <c r="N69" s="20" t="n">
        <v>0</v>
      </c>
      <c r="O69" s="18" t="n">
        <v>0</v>
      </c>
      <c r="P69" s="20" t="n">
        <v>0</v>
      </c>
      <c r="Q69" s="18" t="n">
        <v>1.82912965</v>
      </c>
      <c r="R69" s="20" t="n">
        <v>0.87609947</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73.42892260000001</v>
      </c>
      <c r="F71" s="20" t="n">
        <v>1.78402658</v>
      </c>
      <c r="G71" s="18" t="n">
        <v>26.34264512</v>
      </c>
      <c r="H71" s="20" t="n">
        <v>1.78928965</v>
      </c>
      <c r="I71" s="18" t="n">
        <v>0</v>
      </c>
      <c r="J71" s="20" t="n">
        <v>0</v>
      </c>
      <c r="K71" s="18" t="n">
        <v>0</v>
      </c>
      <c r="L71" s="20" t="n">
        <v>0</v>
      </c>
      <c r="M71" s="18" t="n">
        <v>0</v>
      </c>
      <c r="N71" s="20" t="n">
        <v>0</v>
      </c>
      <c r="O71" s="18" t="n">
        <v>0</v>
      </c>
      <c r="P71" s="20" t="n">
        <v>0</v>
      </c>
      <c r="Q71" s="18" t="n">
        <v>0.22843227</v>
      </c>
      <c r="R71" s="20" t="n">
        <v>0.15975391</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64.2440184</v>
      </c>
      <c r="F76" s="20" t="n">
        <v>1.97910356</v>
      </c>
      <c r="G76" s="18" t="n">
        <v>23.92248304</v>
      </c>
      <c r="H76" s="20" t="n">
        <v>1.56502289</v>
      </c>
      <c r="I76" s="18" t="n">
        <v>0</v>
      </c>
      <c r="J76" s="20" t="n">
        <v>0</v>
      </c>
      <c r="K76" s="18" t="n">
        <v>5.38082749</v>
      </c>
      <c r="L76" s="20" t="n">
        <v>0.99439659</v>
      </c>
      <c r="M76" s="18" t="n">
        <v>0</v>
      </c>
      <c r="N76" s="20" t="n">
        <v>0</v>
      </c>
      <c r="O76" s="18" t="n">
        <v>0.42892878</v>
      </c>
      <c r="P76" s="20" t="n">
        <v>0.17229195</v>
      </c>
      <c r="Q76" s="18" t="n">
        <v>6.02374228</v>
      </c>
      <c r="R76" s="20" t="n">
        <v>1.11810907</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14.22258342</v>
      </c>
      <c r="F80" s="20" t="n">
        <v>1.25022707</v>
      </c>
      <c r="G80" s="18" t="n">
        <v>85.67182914999999</v>
      </c>
      <c r="H80" s="20" t="n">
        <v>1.26591754</v>
      </c>
      <c r="I80" s="18" t="n">
        <v>0</v>
      </c>
      <c r="J80" s="20" t="n">
        <v>0</v>
      </c>
      <c r="K80" s="18" t="n">
        <v>0</v>
      </c>
      <c r="L80" s="20" t="n">
        <v>0</v>
      </c>
      <c r="M80" s="18" t="n">
        <v>0</v>
      </c>
      <c r="N80" s="20" t="n">
        <v>0</v>
      </c>
      <c r="O80" s="18" t="n">
        <v>0</v>
      </c>
      <c r="P80" s="20" t="n">
        <v>0</v>
      </c>
      <c r="Q80" s="18" t="n">
        <v>0.10558743</v>
      </c>
      <c r="R80" s="20" t="n">
        <v>0.10583926</v>
      </c>
    </row>
    <row r="81" spans="1:18">
      <c r="A81" s="15" t="s">
        <v>641</v>
      </c>
      <c r="B81" s="17" t="n">
        <v>870</v>
      </c>
      <c r="C81" s="18">
        <f>(576.0/B81*100)</f>
        <v/>
      </c>
      <c r="D81" s="19" t="n">
        <v>294</v>
      </c>
      <c r="E81" s="18" t="n">
        <v>56.66724119</v>
      </c>
      <c r="F81" s="20" t="n">
        <v>3.06438157</v>
      </c>
      <c r="G81" s="18" t="n">
        <v>36.64007256</v>
      </c>
      <c r="H81" s="20" t="n">
        <v>2.76514234</v>
      </c>
      <c r="I81" s="18" t="n">
        <v>0</v>
      </c>
      <c r="J81" s="20" t="n">
        <v>0</v>
      </c>
      <c r="K81" s="18" t="n">
        <v>2.25698646</v>
      </c>
      <c r="L81" s="20" t="n">
        <v>0.6129247799999999</v>
      </c>
      <c r="M81" s="18" t="n">
        <v>0</v>
      </c>
      <c r="N81" s="20" t="n">
        <v>0</v>
      </c>
      <c r="O81" s="18" t="n">
        <v>0.5644702700000001</v>
      </c>
      <c r="P81" s="20" t="n">
        <v>0.43845233</v>
      </c>
      <c r="Q81" s="18" t="n">
        <v>3.87122951</v>
      </c>
      <c r="R81" s="20" t="n">
        <v>1.1153613</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38.65841519</v>
      </c>
      <c r="F44" s="20" t="n">
        <v>2.08114617</v>
      </c>
      <c r="G44" s="18" t="n">
        <v>56.55490159</v>
      </c>
      <c r="H44" s="20" t="n">
        <v>2.04669621</v>
      </c>
      <c r="I44" s="18" t="n">
        <v>0</v>
      </c>
      <c r="J44" s="20" t="n">
        <v>0</v>
      </c>
      <c r="K44" s="18" t="n">
        <v>1.31578223</v>
      </c>
      <c r="L44" s="20" t="n">
        <v>0.40283495</v>
      </c>
      <c r="M44" s="18" t="n">
        <v>0</v>
      </c>
      <c r="N44" s="20" t="n">
        <v>0</v>
      </c>
      <c r="O44" s="18" t="n">
        <v>0.79366504</v>
      </c>
      <c r="P44" s="20" t="n">
        <v>0.34341629</v>
      </c>
      <c r="Q44" s="18" t="n">
        <v>2.67723595</v>
      </c>
      <c r="R44" s="20" t="n">
        <v>0.53194381</v>
      </c>
    </row>
    <row r="45" spans="1:18">
      <c r="A45" s="15" t="s">
        <v>604</v>
      </c>
      <c r="B45" s="17" t="n">
        <v>2670</v>
      </c>
      <c r="C45" s="18">
        <f>(1792.0/B45*100)</f>
        <v/>
      </c>
      <c r="D45" s="19" t="n">
        <v>878</v>
      </c>
      <c r="E45" s="18" t="n">
        <v>68.27246819</v>
      </c>
      <c r="F45" s="20" t="n">
        <v>1.91436836</v>
      </c>
      <c r="G45" s="18" t="n">
        <v>19.23832625</v>
      </c>
      <c r="H45" s="20" t="n">
        <v>1.41180961</v>
      </c>
      <c r="I45" s="18" t="n">
        <v>0</v>
      </c>
      <c r="J45" s="20" t="n">
        <v>0</v>
      </c>
      <c r="K45" s="18" t="n">
        <v>5.30601028</v>
      </c>
      <c r="L45" s="20" t="n">
        <v>0.82659032</v>
      </c>
      <c r="M45" s="18" t="n">
        <v>0.59293368</v>
      </c>
      <c r="N45" s="20" t="n">
        <v>0.25705142</v>
      </c>
      <c r="O45" s="18" t="n">
        <v>2.50505718</v>
      </c>
      <c r="P45" s="20" t="n">
        <v>0.53323265</v>
      </c>
      <c r="Q45" s="18" t="n">
        <v>4.0852044</v>
      </c>
      <c r="R45" s="20" t="n">
        <v>0.7303609599999999</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61.46522942</v>
      </c>
      <c r="F54" s="20" t="n">
        <v>1.72032382</v>
      </c>
      <c r="G54" s="18" t="n">
        <v>33.01641558</v>
      </c>
      <c r="H54" s="20" t="n">
        <v>1.51283669</v>
      </c>
      <c r="I54" s="18" t="n">
        <v>0</v>
      </c>
      <c r="J54" s="20" t="n">
        <v>0</v>
      </c>
      <c r="K54" s="18" t="n">
        <v>2.09413831</v>
      </c>
      <c r="L54" s="20" t="n">
        <v>0.5305898</v>
      </c>
      <c r="M54" s="18" t="n">
        <v>0.10103156</v>
      </c>
      <c r="N54" s="20" t="n">
        <v>0.07383532</v>
      </c>
      <c r="O54" s="18" t="n">
        <v>0.6232593400000001</v>
      </c>
      <c r="P54" s="20" t="n">
        <v>0.28783353</v>
      </c>
      <c r="Q54" s="18" t="n">
        <v>2.69992579</v>
      </c>
      <c r="R54" s="20" t="n">
        <v>0.59685659</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46.86648474</v>
      </c>
      <c r="F56" s="20" t="n">
        <v>1.55258283</v>
      </c>
      <c r="G56" s="18" t="n">
        <v>49.93542994</v>
      </c>
      <c r="H56" s="20" t="n">
        <v>1.62004597</v>
      </c>
      <c r="I56" s="18" t="n">
        <v>0</v>
      </c>
      <c r="J56" s="20" t="n">
        <v>0</v>
      </c>
      <c r="K56" s="18" t="n">
        <v>1.72645291</v>
      </c>
      <c r="L56" s="20" t="n">
        <v>0.41686521</v>
      </c>
      <c r="M56" s="18" t="n">
        <v>0</v>
      </c>
      <c r="N56" s="20" t="n">
        <v>0</v>
      </c>
      <c r="O56" s="18" t="n">
        <v>0</v>
      </c>
      <c r="P56" s="20" t="n">
        <v>0</v>
      </c>
      <c r="Q56" s="18" t="n">
        <v>1.4716324</v>
      </c>
      <c r="R56" s="20" t="n">
        <v>0.45804224</v>
      </c>
    </row>
    <row r="57" spans="1:18">
      <c r="A57" s="15" t="s">
        <v>616</v>
      </c>
      <c r="B57" s="17" t="n">
        <v>3737</v>
      </c>
      <c r="C57" s="18">
        <f>(2483.0/B57*100)</f>
        <v/>
      </c>
      <c r="D57" s="19" t="n">
        <v>1254</v>
      </c>
      <c r="E57" s="18" t="n">
        <v>64.76054748</v>
      </c>
      <c r="F57" s="20" t="n">
        <v>1.56815149</v>
      </c>
      <c r="G57" s="18" t="n">
        <v>32.8546391</v>
      </c>
      <c r="H57" s="20" t="n">
        <v>1.57742024</v>
      </c>
      <c r="I57" s="18" t="n">
        <v>0</v>
      </c>
      <c r="J57" s="20" t="n">
        <v>0</v>
      </c>
      <c r="K57" s="18" t="n">
        <v>0.46882582</v>
      </c>
      <c r="L57" s="20" t="n">
        <v>0.17955963</v>
      </c>
      <c r="M57" s="18" t="n">
        <v>0</v>
      </c>
      <c r="N57" s="20" t="n">
        <v>0</v>
      </c>
      <c r="O57" s="18" t="n">
        <v>0.84192458</v>
      </c>
      <c r="P57" s="20" t="n">
        <v>0.29519001</v>
      </c>
      <c r="Q57" s="18" t="n">
        <v>1.07406302</v>
      </c>
      <c r="R57" s="20" t="n">
        <v>0.29267398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52.61513928</v>
      </c>
      <c r="F59" s="20" t="n">
        <v>2.32765899</v>
      </c>
      <c r="G59" s="18" t="n">
        <v>44.35896687</v>
      </c>
      <c r="H59" s="20" t="n">
        <v>2.25562185</v>
      </c>
      <c r="I59" s="18" t="n">
        <v>0</v>
      </c>
      <c r="J59" s="20" t="n">
        <v>0</v>
      </c>
      <c r="K59" s="18" t="n">
        <v>0.30708556</v>
      </c>
      <c r="L59" s="20" t="n">
        <v>0.21478873</v>
      </c>
      <c r="M59" s="18" t="n">
        <v>0</v>
      </c>
      <c r="N59" s="20" t="n">
        <v>0</v>
      </c>
      <c r="O59" s="18" t="n">
        <v>2.37574735</v>
      </c>
      <c r="P59" s="20" t="n">
        <v>0.72936776</v>
      </c>
      <c r="Q59" s="18" t="n">
        <v>0.34306095</v>
      </c>
      <c r="R59" s="20" t="n">
        <v>0.181811</v>
      </c>
    </row>
    <row r="60" spans="1:18">
      <c r="A60" s="15" t="s">
        <v>620</v>
      </c>
      <c r="B60" s="17" t="n">
        <v>2451</v>
      </c>
      <c r="C60" s="18">
        <f>(1642.0/B60*100)</f>
        <v/>
      </c>
      <c r="D60" s="19" t="n">
        <v>809</v>
      </c>
      <c r="E60" s="18" t="n">
        <v>52.57924927</v>
      </c>
      <c r="F60" s="20" t="n">
        <v>1.78740009</v>
      </c>
      <c r="G60" s="18" t="n">
        <v>33.49718335</v>
      </c>
      <c r="H60" s="20" t="n">
        <v>1.92909268</v>
      </c>
      <c r="I60" s="18" t="n">
        <v>0</v>
      </c>
      <c r="J60" s="20" t="n">
        <v>0</v>
      </c>
      <c r="K60" s="18" t="n">
        <v>5.21537792</v>
      </c>
      <c r="L60" s="20" t="n">
        <v>1.21005279</v>
      </c>
      <c r="M60" s="18" t="n">
        <v>0</v>
      </c>
      <c r="N60" s="20" t="n">
        <v>0</v>
      </c>
      <c r="O60" s="18" t="n">
        <v>6.08374273</v>
      </c>
      <c r="P60" s="20" t="n">
        <v>1.44917561</v>
      </c>
      <c r="Q60" s="18" t="n">
        <v>2.62444673</v>
      </c>
      <c r="R60" s="20" t="n">
        <v>0.55243995</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70.68066597000001</v>
      </c>
      <c r="F63" s="20" t="n">
        <v>1.85526875</v>
      </c>
      <c r="G63" s="18" t="n">
        <v>23.61738272</v>
      </c>
      <c r="H63" s="20" t="n">
        <v>1.73034153</v>
      </c>
      <c r="I63" s="18" t="n">
        <v>0</v>
      </c>
      <c r="J63" s="20" t="n">
        <v>0</v>
      </c>
      <c r="K63" s="18" t="n">
        <v>1.87118131</v>
      </c>
      <c r="L63" s="20" t="n">
        <v>0.48576569</v>
      </c>
      <c r="M63" s="18" t="n">
        <v>0</v>
      </c>
      <c r="N63" s="20" t="n">
        <v>0</v>
      </c>
      <c r="O63" s="18" t="n">
        <v>0.28686495</v>
      </c>
      <c r="P63" s="20" t="n">
        <v>0.1558237</v>
      </c>
      <c r="Q63" s="18" t="n">
        <v>3.54390505</v>
      </c>
      <c r="R63" s="20" t="n">
        <v>0.72375764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47.46071973</v>
      </c>
      <c r="F65" s="20" t="n">
        <v>1.84124057</v>
      </c>
      <c r="G65" s="18" t="n">
        <v>49.02151136</v>
      </c>
      <c r="H65" s="20" t="n">
        <v>1.93730114</v>
      </c>
      <c r="I65" s="18" t="n">
        <v>0</v>
      </c>
      <c r="J65" s="20" t="n">
        <v>0</v>
      </c>
      <c r="K65" s="18" t="n">
        <v>2.1315569</v>
      </c>
      <c r="L65" s="20" t="n">
        <v>0.6701208400000001</v>
      </c>
      <c r="M65" s="18" t="n">
        <v>0</v>
      </c>
      <c r="N65" s="20" t="n">
        <v>0</v>
      </c>
      <c r="O65" s="18" t="n">
        <v>0.30224495</v>
      </c>
      <c r="P65" s="20" t="n">
        <v>0.21573581</v>
      </c>
      <c r="Q65" s="18" t="n">
        <v>1.08396706</v>
      </c>
      <c r="R65" s="20" t="n">
        <v>0.50745943</v>
      </c>
    </row>
    <row r="66" spans="1:18">
      <c r="A66" s="15" t="s">
        <v>626</v>
      </c>
      <c r="B66" s="17" t="n">
        <v>2634</v>
      </c>
      <c r="C66" s="18">
        <f>(1775.0/B66*100)</f>
        <v/>
      </c>
      <c r="D66" s="19" t="n">
        <v>859</v>
      </c>
      <c r="E66" s="18" t="n">
        <v>60.04794821</v>
      </c>
      <c r="F66" s="20" t="n">
        <v>1.83033004</v>
      </c>
      <c r="G66" s="18" t="n">
        <v>30.00834609</v>
      </c>
      <c r="H66" s="20" t="n">
        <v>1.66460698</v>
      </c>
      <c r="I66" s="18" t="n">
        <v>0</v>
      </c>
      <c r="J66" s="20" t="n">
        <v>0</v>
      </c>
      <c r="K66" s="18" t="n">
        <v>5.19036032</v>
      </c>
      <c r="L66" s="20" t="n">
        <v>0.77347649</v>
      </c>
      <c r="M66" s="18" t="n">
        <v>1.84693276</v>
      </c>
      <c r="N66" s="20" t="n">
        <v>0.45117989</v>
      </c>
      <c r="O66" s="18" t="n">
        <v>0</v>
      </c>
      <c r="P66" s="20" t="n">
        <v>0</v>
      </c>
      <c r="Q66" s="18" t="n">
        <v>2.90641262</v>
      </c>
      <c r="R66" s="20" t="n">
        <v>0.66401433</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59.78671743</v>
      </c>
      <c r="F69" s="20" t="n">
        <v>3.04428388</v>
      </c>
      <c r="G69" s="18" t="n">
        <v>39.78839951</v>
      </c>
      <c r="H69" s="20" t="n">
        <v>2.76720289</v>
      </c>
      <c r="I69" s="18" t="n">
        <v>0</v>
      </c>
      <c r="J69" s="20" t="n">
        <v>0</v>
      </c>
      <c r="K69" s="18" t="n">
        <v>0</v>
      </c>
      <c r="L69" s="20" t="n">
        <v>0</v>
      </c>
      <c r="M69" s="18" t="n">
        <v>0</v>
      </c>
      <c r="N69" s="20" t="n">
        <v>0</v>
      </c>
      <c r="O69" s="18" t="n">
        <v>0</v>
      </c>
      <c r="P69" s="20" t="n">
        <v>0</v>
      </c>
      <c r="Q69" s="18" t="n">
        <v>0.42488306</v>
      </c>
      <c r="R69" s="20" t="n">
        <v>0.54531992</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60.8206058</v>
      </c>
      <c r="F71" s="20" t="n">
        <v>1.88989773</v>
      </c>
      <c r="G71" s="18" t="n">
        <v>38.94515433</v>
      </c>
      <c r="H71" s="20" t="n">
        <v>1.88600366</v>
      </c>
      <c r="I71" s="18" t="n">
        <v>0</v>
      </c>
      <c r="J71" s="20" t="n">
        <v>0</v>
      </c>
      <c r="K71" s="18" t="n">
        <v>0</v>
      </c>
      <c r="L71" s="20" t="n">
        <v>0</v>
      </c>
      <c r="M71" s="18" t="n">
        <v>0</v>
      </c>
      <c r="N71" s="20" t="n">
        <v>0</v>
      </c>
      <c r="O71" s="18" t="n">
        <v>0</v>
      </c>
      <c r="P71" s="20" t="n">
        <v>0</v>
      </c>
      <c r="Q71" s="18" t="n">
        <v>0.23423986</v>
      </c>
      <c r="R71" s="20" t="n">
        <v>0.16420322</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58.00390521</v>
      </c>
      <c r="F76" s="20" t="n">
        <v>1.8537677</v>
      </c>
      <c r="G76" s="18" t="n">
        <v>33.96235826</v>
      </c>
      <c r="H76" s="20" t="n">
        <v>1.82153862</v>
      </c>
      <c r="I76" s="18" t="n">
        <v>0</v>
      </c>
      <c r="J76" s="20" t="n">
        <v>0</v>
      </c>
      <c r="K76" s="18" t="n">
        <v>5.72228921</v>
      </c>
      <c r="L76" s="20" t="n">
        <v>1.00990053</v>
      </c>
      <c r="M76" s="18" t="n">
        <v>0</v>
      </c>
      <c r="N76" s="20" t="n">
        <v>0</v>
      </c>
      <c r="O76" s="18" t="n">
        <v>0</v>
      </c>
      <c r="P76" s="20" t="n">
        <v>0</v>
      </c>
      <c r="Q76" s="18" t="n">
        <v>2.31144732</v>
      </c>
      <c r="R76" s="20" t="n">
        <v>0.45364615</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25.06532746</v>
      </c>
      <c r="F80" s="20" t="n">
        <v>1.51951733</v>
      </c>
      <c r="G80" s="18" t="n">
        <v>74.93467253999999</v>
      </c>
      <c r="H80" s="20" t="n">
        <v>1.51951733</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(576.0/B81*100)</f>
        <v/>
      </c>
      <c r="D81" s="19" t="n">
        <v>294</v>
      </c>
      <c r="E81" s="18" t="n">
        <v>54.06371053</v>
      </c>
      <c r="F81" s="20" t="n">
        <v>2.59071044</v>
      </c>
      <c r="G81" s="18" t="n">
        <v>39.87827013</v>
      </c>
      <c r="H81" s="20" t="n">
        <v>2.61262452</v>
      </c>
      <c r="I81" s="18" t="n">
        <v>0</v>
      </c>
      <c r="J81" s="20" t="n">
        <v>0</v>
      </c>
      <c r="K81" s="18" t="n">
        <v>2.66684827</v>
      </c>
      <c r="L81" s="20" t="n">
        <v>0.74604045</v>
      </c>
      <c r="M81" s="18" t="n">
        <v>0</v>
      </c>
      <c r="N81" s="20" t="n">
        <v>0</v>
      </c>
      <c r="O81" s="18" t="n">
        <v>0</v>
      </c>
      <c r="P81" s="20" t="n">
        <v>0</v>
      </c>
      <c r="Q81" s="18" t="n">
        <v>3.39117107</v>
      </c>
      <c r="R81" s="20" t="n">
        <v>1.07007467</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14.49549488</v>
      </c>
      <c r="F44" s="20" t="n">
        <v>1.39810649</v>
      </c>
      <c r="G44" s="18" t="n">
        <v>79.59293983000001</v>
      </c>
      <c r="H44" s="20" t="n">
        <v>1.66302176</v>
      </c>
      <c r="I44" s="18" t="n">
        <v>0</v>
      </c>
      <c r="J44" s="20" t="n">
        <v>0</v>
      </c>
      <c r="K44" s="18" t="n">
        <v>1.39739502</v>
      </c>
      <c r="L44" s="20" t="n">
        <v>0.40977723</v>
      </c>
      <c r="M44" s="18" t="n">
        <v>0</v>
      </c>
      <c r="N44" s="20" t="n">
        <v>0</v>
      </c>
      <c r="O44" s="18" t="n">
        <v>0.54968811</v>
      </c>
      <c r="P44" s="20" t="n">
        <v>0.22695973</v>
      </c>
      <c r="Q44" s="18" t="n">
        <v>3.96448216</v>
      </c>
      <c r="R44" s="20" t="n">
        <v>0.86051648</v>
      </c>
    </row>
    <row r="45" spans="1:18">
      <c r="A45" s="15" t="s">
        <v>604</v>
      </c>
      <c r="B45" s="17" t="n">
        <v>2670</v>
      </c>
      <c r="C45" s="18">
        <f>(1792.0/B45*100)</f>
        <v/>
      </c>
      <c r="D45" s="19" t="n">
        <v>878</v>
      </c>
      <c r="E45" s="18" t="n">
        <v>25.06939853</v>
      </c>
      <c r="F45" s="20" t="n">
        <v>1.61301941</v>
      </c>
      <c r="G45" s="18" t="n">
        <v>62.2169809</v>
      </c>
      <c r="H45" s="20" t="n">
        <v>1.71451676</v>
      </c>
      <c r="I45" s="18" t="n">
        <v>0</v>
      </c>
      <c r="J45" s="20" t="n">
        <v>0</v>
      </c>
      <c r="K45" s="18" t="n">
        <v>5.36952006</v>
      </c>
      <c r="L45" s="20" t="n">
        <v>0.82186785</v>
      </c>
      <c r="M45" s="18" t="n">
        <v>0.50097527</v>
      </c>
      <c r="N45" s="20" t="n">
        <v>0.24019099</v>
      </c>
      <c r="O45" s="18" t="n">
        <v>1.15025704</v>
      </c>
      <c r="P45" s="20" t="n">
        <v>0.37639406</v>
      </c>
      <c r="Q45" s="18" t="n">
        <v>5.6928682</v>
      </c>
      <c r="R45" s="20" t="n">
        <v>0.8642213</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14.00995224</v>
      </c>
      <c r="F54" s="20" t="n">
        <v>1.27488914</v>
      </c>
      <c r="G54" s="18" t="n">
        <v>81.93845281</v>
      </c>
      <c r="H54" s="20" t="n">
        <v>1.4825359</v>
      </c>
      <c r="I54" s="18" t="n">
        <v>0</v>
      </c>
      <c r="J54" s="20" t="n">
        <v>0</v>
      </c>
      <c r="K54" s="18" t="n">
        <v>2.09413831</v>
      </c>
      <c r="L54" s="20" t="n">
        <v>0.5305898</v>
      </c>
      <c r="M54" s="18" t="n">
        <v>0.10103156</v>
      </c>
      <c r="N54" s="20" t="n">
        <v>0.07383532</v>
      </c>
      <c r="O54" s="18" t="n">
        <v>0</v>
      </c>
      <c r="P54" s="20" t="n">
        <v>0</v>
      </c>
      <c r="Q54" s="18" t="n">
        <v>1.85642508</v>
      </c>
      <c r="R54" s="20" t="n">
        <v>0.42267892</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50.55090481</v>
      </c>
      <c r="F56" s="20" t="n">
        <v>1.54623579</v>
      </c>
      <c r="G56" s="18" t="n">
        <v>46.01234389</v>
      </c>
      <c r="H56" s="20" t="n">
        <v>1.6032777</v>
      </c>
      <c r="I56" s="18" t="n">
        <v>0</v>
      </c>
      <c r="J56" s="20" t="n">
        <v>0</v>
      </c>
      <c r="K56" s="18" t="n">
        <v>1.96554137</v>
      </c>
      <c r="L56" s="20" t="n">
        <v>0.43548591</v>
      </c>
      <c r="M56" s="18" t="n">
        <v>0</v>
      </c>
      <c r="N56" s="20" t="n">
        <v>0</v>
      </c>
      <c r="O56" s="18" t="n">
        <v>0</v>
      </c>
      <c r="P56" s="20" t="n">
        <v>0</v>
      </c>
      <c r="Q56" s="18" t="n">
        <v>1.47120993</v>
      </c>
      <c r="R56" s="20" t="n">
        <v>0.44431713</v>
      </c>
    </row>
    <row r="57" spans="1:18">
      <c r="A57" s="15" t="s">
        <v>616</v>
      </c>
      <c r="B57" s="17" t="n">
        <v>3737</v>
      </c>
      <c r="C57" s="18">
        <f>(2483.0/B57*100)</f>
        <v/>
      </c>
      <c r="D57" s="19" t="n">
        <v>1254</v>
      </c>
      <c r="E57" s="18" t="n">
        <v>12.21905144</v>
      </c>
      <c r="F57" s="20" t="n">
        <v>1.34695894</v>
      </c>
      <c r="G57" s="18" t="n">
        <v>85.64713930000001</v>
      </c>
      <c r="H57" s="20" t="n">
        <v>1.43984113</v>
      </c>
      <c r="I57" s="18" t="n">
        <v>0</v>
      </c>
      <c r="J57" s="20" t="n">
        <v>0</v>
      </c>
      <c r="K57" s="18" t="n">
        <v>0.65173041</v>
      </c>
      <c r="L57" s="20" t="n">
        <v>0.24194564</v>
      </c>
      <c r="M57" s="18" t="n">
        <v>0</v>
      </c>
      <c r="N57" s="20" t="n">
        <v>0</v>
      </c>
      <c r="O57" s="18" t="n">
        <v>0.39582343</v>
      </c>
      <c r="P57" s="20" t="n">
        <v>0.21038747</v>
      </c>
      <c r="Q57" s="18" t="n">
        <v>1.08625543</v>
      </c>
      <c r="R57" s="20" t="n">
        <v>0.28633613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21.64439003</v>
      </c>
      <c r="F59" s="20" t="n">
        <v>1.60260815</v>
      </c>
      <c r="G59" s="18" t="n">
        <v>75.37456145</v>
      </c>
      <c r="H59" s="20" t="n">
        <v>1.71988588</v>
      </c>
      <c r="I59" s="18" t="n">
        <v>0</v>
      </c>
      <c r="J59" s="20" t="n">
        <v>0</v>
      </c>
      <c r="K59" s="18" t="n">
        <v>0.30708556</v>
      </c>
      <c r="L59" s="20" t="n">
        <v>0.21478873</v>
      </c>
      <c r="M59" s="18" t="n">
        <v>0</v>
      </c>
      <c r="N59" s="20" t="n">
        <v>0</v>
      </c>
      <c r="O59" s="18" t="n">
        <v>1.97594308</v>
      </c>
      <c r="P59" s="20" t="n">
        <v>0.75154629</v>
      </c>
      <c r="Q59" s="18" t="n">
        <v>0.69801989</v>
      </c>
      <c r="R59" s="20" t="n">
        <v>0.29937904</v>
      </c>
    </row>
    <row r="60" spans="1:18">
      <c r="A60" s="15" t="s">
        <v>620</v>
      </c>
      <c r="B60" s="17" t="n">
        <v>2451</v>
      </c>
      <c r="C60" s="18">
        <f>(1642.0/B60*100)</f>
        <v/>
      </c>
      <c r="D60" s="19" t="n">
        <v>809</v>
      </c>
      <c r="E60" s="18" t="n">
        <v>19.52495834</v>
      </c>
      <c r="F60" s="20" t="n">
        <v>1.77954194</v>
      </c>
      <c r="G60" s="18" t="n">
        <v>69.23729391000001</v>
      </c>
      <c r="H60" s="20" t="n">
        <v>2.18181669</v>
      </c>
      <c r="I60" s="18" t="n">
        <v>0</v>
      </c>
      <c r="J60" s="20" t="n">
        <v>0</v>
      </c>
      <c r="K60" s="18" t="n">
        <v>5.33467936</v>
      </c>
      <c r="L60" s="20" t="n">
        <v>1.22668475</v>
      </c>
      <c r="M60" s="18" t="n">
        <v>0</v>
      </c>
      <c r="N60" s="20" t="n">
        <v>0</v>
      </c>
      <c r="O60" s="18" t="n">
        <v>2.065962</v>
      </c>
      <c r="P60" s="20" t="n">
        <v>0.68513812</v>
      </c>
      <c r="Q60" s="18" t="n">
        <v>3.83710639</v>
      </c>
      <c r="R60" s="20" t="n">
        <v>0.72472828</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18.84684711</v>
      </c>
      <c r="F63" s="20" t="n">
        <v>1.503462</v>
      </c>
      <c r="G63" s="18" t="n">
        <v>75.16274142</v>
      </c>
      <c r="H63" s="20" t="n">
        <v>1.49316765</v>
      </c>
      <c r="I63" s="18" t="n">
        <v>0</v>
      </c>
      <c r="J63" s="20" t="n">
        <v>0</v>
      </c>
      <c r="K63" s="18" t="n">
        <v>2.19002252</v>
      </c>
      <c r="L63" s="20" t="n">
        <v>0.52582238</v>
      </c>
      <c r="M63" s="18" t="n">
        <v>0</v>
      </c>
      <c r="N63" s="20" t="n">
        <v>0</v>
      </c>
      <c r="O63" s="18" t="n">
        <v>0.30489206</v>
      </c>
      <c r="P63" s="20" t="n">
        <v>0.25513219</v>
      </c>
      <c r="Q63" s="18" t="n">
        <v>3.4954969</v>
      </c>
      <c r="R63" s="20" t="n">
        <v>0.67901814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17.09197385</v>
      </c>
      <c r="F65" s="20" t="n">
        <v>1.57827406</v>
      </c>
      <c r="G65" s="18" t="n">
        <v>78.1897945</v>
      </c>
      <c r="H65" s="20" t="n">
        <v>1.67883145</v>
      </c>
      <c r="I65" s="18" t="n">
        <v>0</v>
      </c>
      <c r="J65" s="20" t="n">
        <v>0</v>
      </c>
      <c r="K65" s="18" t="n">
        <v>2.1315569</v>
      </c>
      <c r="L65" s="20" t="n">
        <v>0.6701208400000001</v>
      </c>
      <c r="M65" s="18" t="n">
        <v>0</v>
      </c>
      <c r="N65" s="20" t="n">
        <v>0</v>
      </c>
      <c r="O65" s="18" t="n">
        <v>0.98261778</v>
      </c>
      <c r="P65" s="20" t="n">
        <v>0.43709215</v>
      </c>
      <c r="Q65" s="18" t="n">
        <v>1.60405697</v>
      </c>
      <c r="R65" s="20" t="n">
        <v>0.48619108</v>
      </c>
    </row>
    <row r="66" spans="1:18">
      <c r="A66" s="15" t="s">
        <v>626</v>
      </c>
      <c r="B66" s="17" t="n">
        <v>2634</v>
      </c>
      <c r="C66" s="18">
        <f>(1775.0/B66*100)</f>
        <v/>
      </c>
      <c r="D66" s="19" t="n">
        <v>859</v>
      </c>
      <c r="E66" s="18" t="n">
        <v>12.02799559</v>
      </c>
      <c r="F66" s="20" t="n">
        <v>1.12930466</v>
      </c>
      <c r="G66" s="18" t="n">
        <v>78.64761928</v>
      </c>
      <c r="H66" s="20" t="n">
        <v>1.29351164</v>
      </c>
      <c r="I66" s="18" t="n">
        <v>0</v>
      </c>
      <c r="J66" s="20" t="n">
        <v>0</v>
      </c>
      <c r="K66" s="18" t="n">
        <v>5.67692817</v>
      </c>
      <c r="L66" s="20" t="n">
        <v>0.78234432</v>
      </c>
      <c r="M66" s="18" t="n">
        <v>1.12505742</v>
      </c>
      <c r="N66" s="20" t="n">
        <v>0.29120425</v>
      </c>
      <c r="O66" s="18" t="n">
        <v>0</v>
      </c>
      <c r="P66" s="20" t="n">
        <v>0</v>
      </c>
      <c r="Q66" s="18" t="n">
        <v>2.52239953</v>
      </c>
      <c r="R66" s="20" t="n">
        <v>0.54074071</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25.49442338</v>
      </c>
      <c r="F69" s="20" t="n">
        <v>3.57728787</v>
      </c>
      <c r="G69" s="18" t="n">
        <v>73.01323183</v>
      </c>
      <c r="H69" s="20" t="n">
        <v>3.67283558</v>
      </c>
      <c r="I69" s="18" t="n">
        <v>0</v>
      </c>
      <c r="J69" s="20" t="n">
        <v>0</v>
      </c>
      <c r="K69" s="18" t="n">
        <v>0</v>
      </c>
      <c r="L69" s="20" t="n">
        <v>0</v>
      </c>
      <c r="M69" s="18" t="n">
        <v>0</v>
      </c>
      <c r="N69" s="20" t="n">
        <v>0</v>
      </c>
      <c r="O69" s="18" t="n">
        <v>0</v>
      </c>
      <c r="P69" s="20" t="n">
        <v>0</v>
      </c>
      <c r="Q69" s="18" t="n">
        <v>1.49234479</v>
      </c>
      <c r="R69" s="20" t="n">
        <v>0.91758174</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21.6540848</v>
      </c>
      <c r="F71" s="20" t="n">
        <v>1.42554575</v>
      </c>
      <c r="G71" s="18" t="n">
        <v>78.22879527000001</v>
      </c>
      <c r="H71" s="20" t="n">
        <v>1.455682</v>
      </c>
      <c r="I71" s="18" t="n">
        <v>0</v>
      </c>
      <c r="J71" s="20" t="n">
        <v>0</v>
      </c>
      <c r="K71" s="18" t="n">
        <v>0</v>
      </c>
      <c r="L71" s="20" t="n">
        <v>0</v>
      </c>
      <c r="M71" s="18" t="n">
        <v>0</v>
      </c>
      <c r="N71" s="20" t="n">
        <v>0</v>
      </c>
      <c r="O71" s="18" t="n">
        <v>0</v>
      </c>
      <c r="P71" s="20" t="n">
        <v>0</v>
      </c>
      <c r="Q71" s="18" t="n">
        <v>0.11711993</v>
      </c>
      <c r="R71" s="20" t="n">
        <v>0.11628049</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17.29766921</v>
      </c>
      <c r="F76" s="20" t="n">
        <v>1.42595951</v>
      </c>
      <c r="G76" s="18" t="n">
        <v>74.61187954</v>
      </c>
      <c r="H76" s="20" t="n">
        <v>1.89095327</v>
      </c>
      <c r="I76" s="18" t="n">
        <v>0</v>
      </c>
      <c r="J76" s="20" t="n">
        <v>0</v>
      </c>
      <c r="K76" s="18" t="n">
        <v>5.87057473</v>
      </c>
      <c r="L76" s="20" t="n">
        <v>1.02344529</v>
      </c>
      <c r="M76" s="18" t="n">
        <v>0</v>
      </c>
      <c r="N76" s="20" t="n">
        <v>0</v>
      </c>
      <c r="O76" s="18" t="n">
        <v>0</v>
      </c>
      <c r="P76" s="20" t="n">
        <v>0</v>
      </c>
      <c r="Q76" s="18" t="n">
        <v>2.21987652</v>
      </c>
      <c r="R76" s="20" t="n">
        <v>0.49639568</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0.69682097</v>
      </c>
      <c r="F80" s="20" t="n">
        <v>0.276205</v>
      </c>
      <c r="G80" s="18" t="n">
        <v>99.30317903</v>
      </c>
      <c r="H80" s="20" t="n">
        <v>0.276205</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(576.0/B81*100)</f>
        <v/>
      </c>
      <c r="D81" s="19" t="n">
        <v>294</v>
      </c>
      <c r="E81" s="18" t="n">
        <v>6.40320298</v>
      </c>
      <c r="F81" s="20" t="n">
        <v>1.55403452</v>
      </c>
      <c r="G81" s="18" t="n">
        <v>89.40714244</v>
      </c>
      <c r="H81" s="20" t="n">
        <v>1.80915376</v>
      </c>
      <c r="I81" s="18" t="n">
        <v>0</v>
      </c>
      <c r="J81" s="20" t="n">
        <v>0</v>
      </c>
      <c r="K81" s="18" t="n">
        <v>2.66684827</v>
      </c>
      <c r="L81" s="20" t="n">
        <v>0.74604045</v>
      </c>
      <c r="M81" s="18" t="n">
        <v>0</v>
      </c>
      <c r="N81" s="20" t="n">
        <v>0</v>
      </c>
      <c r="O81" s="18" t="n">
        <v>0</v>
      </c>
      <c r="P81" s="20" t="n">
        <v>0</v>
      </c>
      <c r="Q81" s="18" t="n">
        <v>1.52280631</v>
      </c>
      <c r="R81" s="20" t="n">
        <v>0.47936869</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861</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row>
    <row r="8" spans="1:20">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row>
    <row r="9" spans="1:20">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row>
    <row r="10" spans="1:20">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row>
    <row r="11" spans="1:20">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row>
    <row r="12" spans="1:20">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row>
    <row r="13" spans="1:20">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row>
    <row r="14" spans="1:20">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row>
    <row r="15" spans="1:20">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row>
    <row r="16" spans="1:20">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row>
    <row r="17" spans="1:20">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row>
    <row r="18" spans="1:20">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row>
    <row r="19" spans="1:20">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row>
    <row r="20" spans="1:20">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row>
    <row r="21" spans="1:20">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row>
    <row r="22" spans="1:20">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row>
    <row r="23" spans="1:20">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row>
    <row r="24" spans="1:20">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row>
    <row r="25" spans="1:20">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row>
    <row r="26" spans="1:20">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row>
    <row r="27" spans="1:20">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row>
    <row r="28" spans="1:20">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row>
    <row r="29" spans="1:20">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row>
    <row r="30" spans="1:20">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row>
    <row r="31" spans="1:20">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row>
    <row r="32" spans="1:20">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row>
    <row r="33" spans="1:20">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row>
    <row r="34" spans="1:20">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row>
    <row r="35" spans="1:20">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row>
    <row r="36" spans="1:20">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row>
    <row r="37" spans="1:20">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row>
    <row r="38" spans="1:20">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row>
    <row r="39" spans="1:20">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row>
    <row r="40" spans="1:20">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row>
    <row r="41" spans="1:20">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(1807.0/B44*100)</f>
        <v/>
      </c>
      <c r="D44" s="19" t="n">
        <v>884</v>
      </c>
      <c r="E44" s="18" t="n">
        <v>36.92276442</v>
      </c>
      <c r="F44" s="20" t="n">
        <v>2.01205376</v>
      </c>
      <c r="G44" s="18" t="n">
        <v>19.17838712</v>
      </c>
      <c r="H44" s="20" t="n">
        <v>1.42832168</v>
      </c>
      <c r="I44" s="18" t="n">
        <v>16.58008829</v>
      </c>
      <c r="J44" s="20" t="n">
        <v>2.19409868</v>
      </c>
      <c r="K44" s="18" t="n">
        <v>0</v>
      </c>
      <c r="L44" s="20" t="n">
        <v>0</v>
      </c>
      <c r="M44" s="18" t="n">
        <v>2.01345805</v>
      </c>
      <c r="N44" s="20" t="n">
        <v>0.50298425</v>
      </c>
      <c r="O44" s="18" t="n">
        <v>0</v>
      </c>
      <c r="P44" s="20" t="n">
        <v>0</v>
      </c>
      <c r="Q44" s="18" t="n">
        <v>0</v>
      </c>
      <c r="R44" s="20" t="n">
        <v>0</v>
      </c>
      <c r="S44" s="18" t="n">
        <v>25.30530212</v>
      </c>
      <c r="T44" s="20" t="n">
        <v>1.8454838</v>
      </c>
    </row>
    <row r="45" spans="1:20">
      <c r="A45" s="15" t="s">
        <v>604</v>
      </c>
      <c r="B45" s="17" t="n">
        <v>2670</v>
      </c>
      <c r="C45" s="18">
        <f>(1792.0/B45*100)</f>
        <v/>
      </c>
      <c r="D45" s="19" t="n">
        <v>878</v>
      </c>
      <c r="E45" s="18" t="n">
        <v>38.55434975</v>
      </c>
      <c r="F45" s="20" t="n">
        <v>1.98812902</v>
      </c>
      <c r="G45" s="18" t="n">
        <v>18.67879142</v>
      </c>
      <c r="H45" s="20" t="n">
        <v>1.37603342</v>
      </c>
      <c r="I45" s="18" t="n">
        <v>7.91711085</v>
      </c>
      <c r="J45" s="20" t="n">
        <v>1.00168482</v>
      </c>
      <c r="K45" s="18" t="n">
        <v>0</v>
      </c>
      <c r="L45" s="20" t="n">
        <v>0</v>
      </c>
      <c r="M45" s="18" t="n">
        <v>6.48351214</v>
      </c>
      <c r="N45" s="20" t="n">
        <v>0.85662958</v>
      </c>
      <c r="O45" s="18" t="n">
        <v>1.16322565</v>
      </c>
      <c r="P45" s="20" t="n">
        <v>0.40070886</v>
      </c>
      <c r="Q45" s="18" t="n">
        <v>0.22089762</v>
      </c>
      <c r="R45" s="20" t="n">
        <v>0.16634838</v>
      </c>
      <c r="S45" s="18" t="n">
        <v>26.98211258</v>
      </c>
      <c r="T45" s="20" t="n">
        <v>1.74926345</v>
      </c>
    </row>
    <row r="46" spans="1:20">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row>
    <row r="47" spans="1:20">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row>
    <row r="48" spans="1:20">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row>
    <row r="49" spans="1:20">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row>
    <row r="50" spans="1:20">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row>
    <row r="51" spans="1:20">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row>
    <row r="52" spans="1:20">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row>
    <row r="53" spans="1:20">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row>
    <row r="54" spans="1:20">
      <c r="A54" s="15" t="s">
        <v>613</v>
      </c>
      <c r="B54" s="17" t="n">
        <v>2557</v>
      </c>
      <c r="C54" s="18">
        <f>(1710.0/B54*100)</f>
        <v/>
      </c>
      <c r="D54" s="19" t="n">
        <v>847</v>
      </c>
      <c r="E54" s="18" t="n">
        <v>33.803706</v>
      </c>
      <c r="F54" s="20" t="n">
        <v>2.08448872</v>
      </c>
      <c r="G54" s="18" t="n">
        <v>8.55026507</v>
      </c>
      <c r="H54" s="20" t="n">
        <v>1.06748995</v>
      </c>
      <c r="I54" s="18" t="n">
        <v>12.22620424</v>
      </c>
      <c r="J54" s="20" t="n">
        <v>1.23226609</v>
      </c>
      <c r="K54" s="18" t="n">
        <v>0</v>
      </c>
      <c r="L54" s="20" t="n">
        <v>0</v>
      </c>
      <c r="M54" s="18" t="n">
        <v>2.36990357</v>
      </c>
      <c r="N54" s="20" t="n">
        <v>0.56396434</v>
      </c>
      <c r="O54" s="18" t="n">
        <v>0</v>
      </c>
      <c r="P54" s="20" t="n">
        <v>0</v>
      </c>
      <c r="Q54" s="18" t="n">
        <v>0.8029378700000001</v>
      </c>
      <c r="R54" s="20" t="n">
        <v>0.30768698</v>
      </c>
      <c r="S54" s="18" t="n">
        <v>42.24698324</v>
      </c>
      <c r="T54" s="20" t="n">
        <v>1.85171614</v>
      </c>
    </row>
    <row r="55" spans="1:20">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row>
    <row r="56" spans="1:20">
      <c r="A56" s="15" t="s">
        <v>615</v>
      </c>
      <c r="B56" s="17" t="n">
        <v>3343</v>
      </c>
      <c r="C56" s="18">
        <f>(2194.0/B56*100)</f>
        <v/>
      </c>
      <c r="D56" s="19" t="n">
        <v>1149</v>
      </c>
      <c r="E56" s="18" t="n">
        <v>58.28279657</v>
      </c>
      <c r="F56" s="20" t="n">
        <v>1.72787964</v>
      </c>
      <c r="G56" s="18" t="n">
        <v>19.35728636</v>
      </c>
      <c r="H56" s="20" t="n">
        <v>1.35752579</v>
      </c>
      <c r="I56" s="18" t="n">
        <v>7.72017297</v>
      </c>
      <c r="J56" s="20" t="n">
        <v>0.79774682</v>
      </c>
      <c r="K56" s="18" t="n">
        <v>0</v>
      </c>
      <c r="L56" s="20" t="n">
        <v>0</v>
      </c>
      <c r="M56" s="18" t="n">
        <v>2.13097963</v>
      </c>
      <c r="N56" s="20" t="n">
        <v>0.43333546</v>
      </c>
      <c r="O56" s="18" t="n">
        <v>0</v>
      </c>
      <c r="P56" s="20" t="n">
        <v>0</v>
      </c>
      <c r="Q56" s="18" t="n">
        <v>0</v>
      </c>
      <c r="R56" s="20" t="n">
        <v>0</v>
      </c>
      <c r="S56" s="18" t="n">
        <v>12.50876447</v>
      </c>
      <c r="T56" s="20" t="n">
        <v>1.28235199</v>
      </c>
    </row>
    <row r="57" spans="1:20">
      <c r="A57" s="15" t="s">
        <v>616</v>
      </c>
      <c r="B57" s="17" t="n">
        <v>3737</v>
      </c>
      <c r="C57" s="18">
        <f>(2483.0/B57*100)</f>
        <v/>
      </c>
      <c r="D57" s="19" t="n">
        <v>1254</v>
      </c>
      <c r="E57" s="18" t="n">
        <v>51.21916875</v>
      </c>
      <c r="F57" s="20" t="n">
        <v>2.06040565</v>
      </c>
      <c r="G57" s="18" t="n">
        <v>19.28796173</v>
      </c>
      <c r="H57" s="20" t="n">
        <v>1.42876031</v>
      </c>
      <c r="I57" s="18" t="n">
        <v>8.573659810000001</v>
      </c>
      <c r="J57" s="20" t="n">
        <v>0.97630674</v>
      </c>
      <c r="K57" s="18" t="n">
        <v>0</v>
      </c>
      <c r="L57" s="20" t="n">
        <v>0</v>
      </c>
      <c r="M57" s="18" t="n">
        <v>1.21835402</v>
      </c>
      <c r="N57" s="20" t="n">
        <v>0.35268167</v>
      </c>
      <c r="O57" s="18" t="n">
        <v>0</v>
      </c>
      <c r="P57" s="20" t="n">
        <v>0</v>
      </c>
      <c r="Q57" s="18" t="n">
        <v>0</v>
      </c>
      <c r="R57" s="20" t="n">
        <v>0</v>
      </c>
      <c r="S57" s="18" t="n">
        <v>19.70085569</v>
      </c>
      <c r="T57" s="20" t="n">
        <v>1.98541309</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(1548.0/B59*100)</f>
        <v/>
      </c>
      <c r="D59" s="19" t="n">
        <v>730</v>
      </c>
      <c r="E59" s="18" t="n">
        <v>58.74246246</v>
      </c>
      <c r="F59" s="20" t="n">
        <v>2.22756992</v>
      </c>
      <c r="G59" s="18" t="n">
        <v>16.09114515</v>
      </c>
      <c r="H59" s="20" t="n">
        <v>1.45536182</v>
      </c>
      <c r="I59" s="18" t="n">
        <v>6.31024757</v>
      </c>
      <c r="J59" s="20" t="n">
        <v>1.11047977</v>
      </c>
      <c r="K59" s="18" t="n">
        <v>0</v>
      </c>
      <c r="L59" s="20" t="n">
        <v>0</v>
      </c>
      <c r="M59" s="18" t="n">
        <v>0.67303641</v>
      </c>
      <c r="N59" s="20" t="n">
        <v>0.20677435</v>
      </c>
      <c r="O59" s="18" t="n">
        <v>0</v>
      </c>
      <c r="P59" s="20" t="n">
        <v>0</v>
      </c>
      <c r="Q59" s="18" t="n">
        <v>0.17864279</v>
      </c>
      <c r="R59" s="20" t="n">
        <v>0.17722407</v>
      </c>
      <c r="S59" s="18" t="n">
        <v>18.00446563</v>
      </c>
      <c r="T59" s="20" t="n">
        <v>1.64210506</v>
      </c>
    </row>
    <row r="60" spans="1:20">
      <c r="A60" s="15" t="s">
        <v>620</v>
      </c>
      <c r="B60" s="17" t="n">
        <v>2451</v>
      </c>
      <c r="C60" s="18">
        <f>(1642.0/B60*100)</f>
        <v/>
      </c>
      <c r="D60" s="19" t="n">
        <v>809</v>
      </c>
      <c r="E60" s="18" t="n">
        <v>28.82259883</v>
      </c>
      <c r="F60" s="20" t="n">
        <v>1.82205642</v>
      </c>
      <c r="G60" s="18" t="n">
        <v>11.80232811</v>
      </c>
      <c r="H60" s="20" t="n">
        <v>1.35130997</v>
      </c>
      <c r="I60" s="18" t="n">
        <v>15.98102471</v>
      </c>
      <c r="J60" s="20" t="n">
        <v>1.40998238</v>
      </c>
      <c r="K60" s="18" t="n">
        <v>0</v>
      </c>
      <c r="L60" s="20" t="n">
        <v>0</v>
      </c>
      <c r="M60" s="18" t="n">
        <v>5.78320866</v>
      </c>
      <c r="N60" s="20" t="n">
        <v>1.22824271</v>
      </c>
      <c r="O60" s="18" t="n">
        <v>0</v>
      </c>
      <c r="P60" s="20" t="n">
        <v>0</v>
      </c>
      <c r="Q60" s="18" t="n">
        <v>0.46630242</v>
      </c>
      <c r="R60" s="20" t="n">
        <v>0.23962706</v>
      </c>
      <c r="S60" s="18" t="n">
        <v>37.14453727</v>
      </c>
      <c r="T60" s="20" t="n">
        <v>1.87642304</v>
      </c>
    </row>
    <row r="61" spans="1:20">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row>
    <row r="62" spans="1:20">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row>
    <row r="63" spans="1:20">
      <c r="A63" s="15" t="s">
        <v>623</v>
      </c>
      <c r="B63" s="17" t="n">
        <v>2511</v>
      </c>
      <c r="C63" s="18">
        <f>(1666.0/B63*100)</f>
        <v/>
      </c>
      <c r="D63" s="19" t="n">
        <v>845</v>
      </c>
      <c r="E63" s="18" t="n">
        <v>29.0286337</v>
      </c>
      <c r="F63" s="20" t="n">
        <v>1.65411886</v>
      </c>
      <c r="G63" s="18" t="n">
        <v>17.65679647</v>
      </c>
      <c r="H63" s="20" t="n">
        <v>1.2530825</v>
      </c>
      <c r="I63" s="18" t="n">
        <v>13.10974882</v>
      </c>
      <c r="J63" s="20" t="n">
        <v>1.16686744</v>
      </c>
      <c r="K63" s="18" t="n">
        <v>0</v>
      </c>
      <c r="L63" s="20" t="n">
        <v>0</v>
      </c>
      <c r="M63" s="18" t="n">
        <v>2.5292025</v>
      </c>
      <c r="N63" s="20" t="n">
        <v>0.55170433</v>
      </c>
      <c r="O63" s="18" t="n">
        <v>0</v>
      </c>
      <c r="P63" s="20" t="n">
        <v>0</v>
      </c>
      <c r="Q63" s="18" t="n">
        <v>0</v>
      </c>
      <c r="R63" s="20" t="n">
        <v>0</v>
      </c>
      <c r="S63" s="18" t="n">
        <v>37.67561852</v>
      </c>
      <c r="T63" s="20" t="n">
        <v>1.63170085</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(1197.0/B65*100)</f>
        <v/>
      </c>
      <c r="D65" s="19" t="n">
        <v>593</v>
      </c>
      <c r="E65" s="18" t="n">
        <v>34.53729644</v>
      </c>
      <c r="F65" s="20" t="n">
        <v>1.97048772</v>
      </c>
      <c r="G65" s="18" t="n">
        <v>22.73309746</v>
      </c>
      <c r="H65" s="20" t="n">
        <v>1.68495606</v>
      </c>
      <c r="I65" s="18" t="n">
        <v>27.56962625</v>
      </c>
      <c r="J65" s="20" t="n">
        <v>1.80863646</v>
      </c>
      <c r="K65" s="18" t="n">
        <v>0</v>
      </c>
      <c r="L65" s="20" t="n">
        <v>0</v>
      </c>
      <c r="M65" s="18" t="n">
        <v>2.29002973</v>
      </c>
      <c r="N65" s="20" t="n">
        <v>0.68622635</v>
      </c>
      <c r="O65" s="18" t="n">
        <v>0</v>
      </c>
      <c r="P65" s="20" t="n">
        <v>0</v>
      </c>
      <c r="Q65" s="18" t="n">
        <v>0</v>
      </c>
      <c r="R65" s="20" t="n">
        <v>0</v>
      </c>
      <c r="S65" s="18" t="n">
        <v>12.86995012</v>
      </c>
      <c r="T65" s="20" t="n">
        <v>1.54571321</v>
      </c>
    </row>
    <row r="66" spans="1:20">
      <c r="A66" s="15" t="s">
        <v>626</v>
      </c>
      <c r="B66" s="17" t="n">
        <v>2634</v>
      </c>
      <c r="C66" s="18">
        <f>(1775.0/B66*100)</f>
        <v/>
      </c>
      <c r="D66" s="19" t="n">
        <v>859</v>
      </c>
      <c r="E66" s="18" t="n">
        <v>32.93750737</v>
      </c>
      <c r="F66" s="20" t="n">
        <v>1.5510297</v>
      </c>
      <c r="G66" s="18" t="n">
        <v>17.26786511</v>
      </c>
      <c r="H66" s="20" t="n">
        <v>1.21818981</v>
      </c>
      <c r="I66" s="18" t="n">
        <v>14.06967666</v>
      </c>
      <c r="J66" s="20" t="n">
        <v>1.31622097</v>
      </c>
      <c r="K66" s="18" t="n">
        <v>0</v>
      </c>
      <c r="L66" s="20" t="n">
        <v>0</v>
      </c>
      <c r="M66" s="18" t="n">
        <v>6.29159593</v>
      </c>
      <c r="N66" s="20" t="n">
        <v>0.7829237100000001</v>
      </c>
      <c r="O66" s="18" t="n">
        <v>0</v>
      </c>
      <c r="P66" s="20" t="n">
        <v>0</v>
      </c>
      <c r="Q66" s="18" t="n">
        <v>0</v>
      </c>
      <c r="R66" s="20" t="n">
        <v>0</v>
      </c>
      <c r="S66" s="18" t="n">
        <v>29.43335494</v>
      </c>
      <c r="T66" s="20" t="n">
        <v>1.77688939</v>
      </c>
    </row>
    <row r="67" spans="1:20">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row>
    <row r="68" spans="1:20">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row>
    <row r="69" spans="1:20">
      <c r="A69" s="15" t="s">
        <v>629</v>
      </c>
      <c r="B69" s="17" t="n">
        <v>720</v>
      </c>
      <c r="C69" s="18">
        <f>(477.0/B69*100)</f>
        <v/>
      </c>
      <c r="D69" s="19" t="n">
        <v>243</v>
      </c>
      <c r="E69" s="18" t="n">
        <v>63.74119293</v>
      </c>
      <c r="F69" s="20" t="n">
        <v>3.64055218</v>
      </c>
      <c r="G69" s="18" t="n">
        <v>15.29508928</v>
      </c>
      <c r="H69" s="20" t="n">
        <v>3.06607044</v>
      </c>
      <c r="I69" s="18" t="n">
        <v>7.24333343</v>
      </c>
      <c r="J69" s="20" t="n">
        <v>1.44742294</v>
      </c>
      <c r="K69" s="18" t="n">
        <v>0</v>
      </c>
      <c r="L69" s="20" t="n">
        <v>0</v>
      </c>
      <c r="M69" s="18" t="n">
        <v>0.53329141</v>
      </c>
      <c r="N69" s="20" t="n">
        <v>0.5235083</v>
      </c>
      <c r="O69" s="18" t="n">
        <v>0</v>
      </c>
      <c r="P69" s="20" t="n">
        <v>0</v>
      </c>
      <c r="Q69" s="18" t="n">
        <v>0</v>
      </c>
      <c r="R69" s="20" t="n">
        <v>0</v>
      </c>
      <c r="S69" s="18" t="n">
        <v>13.18709295</v>
      </c>
      <c r="T69" s="20" t="n">
        <v>2.54653057</v>
      </c>
    </row>
    <row r="70" spans="1:20">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row>
    <row r="71" spans="1:20">
      <c r="A71" s="15" t="s">
        <v>631</v>
      </c>
      <c r="B71" s="17" t="n">
        <v>2466</v>
      </c>
      <c r="C71" s="18">
        <f>(1639.0/B71*100)</f>
        <v/>
      </c>
      <c r="D71" s="19" t="n">
        <v>827</v>
      </c>
      <c r="E71" s="18" t="n">
        <v>57.18299476</v>
      </c>
      <c r="F71" s="20" t="n">
        <v>2.00738622</v>
      </c>
      <c r="G71" s="18" t="n">
        <v>24.7911043</v>
      </c>
      <c r="H71" s="20" t="n">
        <v>1.57046177</v>
      </c>
      <c r="I71" s="18" t="n">
        <v>17.81585257</v>
      </c>
      <c r="J71" s="20" t="n">
        <v>1.45821835</v>
      </c>
      <c r="K71" s="18" t="n">
        <v>0</v>
      </c>
      <c r="L71" s="20" t="n">
        <v>0</v>
      </c>
      <c r="M71" s="18" t="n">
        <v>0</v>
      </c>
      <c r="N71" s="20" t="n">
        <v>0</v>
      </c>
      <c r="O71" s="18" t="n">
        <v>0</v>
      </c>
      <c r="P71" s="20" t="n">
        <v>0</v>
      </c>
      <c r="Q71" s="18" t="n">
        <v>0</v>
      </c>
      <c r="R71" s="20" t="n">
        <v>0</v>
      </c>
      <c r="S71" s="18" t="n">
        <v>0.21004837</v>
      </c>
      <c r="T71" s="20" t="n">
        <v>0.1486446</v>
      </c>
    </row>
    <row r="72" spans="1:20">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row>
    <row r="73" spans="1:20">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row>
    <row r="74" spans="1:20">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row>
    <row r="75" spans="1:20">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row>
    <row r="76" spans="1:20">
      <c r="A76" s="15" t="s">
        <v>636</v>
      </c>
      <c r="B76" s="17" t="n">
        <v>2453</v>
      </c>
      <c r="C76" s="18">
        <f>(1621.0/B76*100)</f>
        <v/>
      </c>
      <c r="D76" s="19" t="n">
        <v>832</v>
      </c>
      <c r="E76" s="18" t="n">
        <v>38.04464858</v>
      </c>
      <c r="F76" s="20" t="n">
        <v>1.74223772</v>
      </c>
      <c r="G76" s="18" t="n">
        <v>21.18616639</v>
      </c>
      <c r="H76" s="20" t="n">
        <v>1.59227879</v>
      </c>
      <c r="I76" s="18" t="n">
        <v>10.80583138</v>
      </c>
      <c r="J76" s="20" t="n">
        <v>1.3251352</v>
      </c>
      <c r="K76" s="18" t="n">
        <v>0</v>
      </c>
      <c r="L76" s="20" t="n">
        <v>0</v>
      </c>
      <c r="M76" s="18" t="n">
        <v>7.00221248</v>
      </c>
      <c r="N76" s="20" t="n">
        <v>1.19560293</v>
      </c>
      <c r="O76" s="18" t="n">
        <v>0</v>
      </c>
      <c r="P76" s="20" t="n">
        <v>0</v>
      </c>
      <c r="Q76" s="18" t="n">
        <v>0</v>
      </c>
      <c r="R76" s="20" t="n">
        <v>0</v>
      </c>
      <c r="S76" s="18" t="n">
        <v>22.96114118</v>
      </c>
      <c r="T76" s="20" t="n">
        <v>1.55175614</v>
      </c>
    </row>
    <row r="77" spans="1:20">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row>
    <row r="78" spans="1:20">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row>
    <row r="79" spans="1:20">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row>
    <row r="80" spans="1:20">
      <c r="A80" s="15" t="s">
        <v>640</v>
      </c>
      <c r="B80" s="17" t="n">
        <v>3040</v>
      </c>
      <c r="C80" s="18">
        <f>(2023.0/B80*100)</f>
        <v/>
      </c>
      <c r="D80" s="19" t="n">
        <v>1017</v>
      </c>
      <c r="E80" s="18" t="n">
        <v>36.11193177</v>
      </c>
      <c r="F80" s="20" t="n">
        <v>1.94294577</v>
      </c>
      <c r="G80" s="18" t="n">
        <v>32.0675318</v>
      </c>
      <c r="H80" s="20" t="n">
        <v>1.61093624</v>
      </c>
      <c r="I80" s="18" t="n">
        <v>29.79092579</v>
      </c>
      <c r="J80" s="20" t="n">
        <v>1.97433193</v>
      </c>
      <c r="K80" s="18" t="n">
        <v>0</v>
      </c>
      <c r="L80" s="20" t="n">
        <v>0</v>
      </c>
      <c r="M80" s="18" t="n">
        <v>0</v>
      </c>
      <c r="N80" s="20" t="n">
        <v>0</v>
      </c>
      <c r="O80" s="18" t="n">
        <v>0</v>
      </c>
      <c r="P80" s="20" t="n">
        <v>0</v>
      </c>
      <c r="Q80" s="18" t="n">
        <v>0</v>
      </c>
      <c r="R80" s="20" t="n">
        <v>0</v>
      </c>
      <c r="S80" s="18" t="n">
        <v>2.02961064</v>
      </c>
      <c r="T80" s="20" t="n">
        <v>0.5470474</v>
      </c>
    </row>
    <row r="81" spans="1:20">
      <c r="A81" s="15" t="s">
        <v>641</v>
      </c>
      <c r="B81" s="17" t="n">
        <v>870</v>
      </c>
      <c r="C81" s="18">
        <f>(576.0/B81*100)</f>
        <v/>
      </c>
      <c r="D81" s="19" t="n">
        <v>294</v>
      </c>
      <c r="E81" s="18" t="n">
        <v>32.6638519</v>
      </c>
      <c r="F81" s="20" t="n">
        <v>3.52307925</v>
      </c>
      <c r="G81" s="18" t="n">
        <v>19.18209529</v>
      </c>
      <c r="H81" s="20" t="n">
        <v>2.75166154</v>
      </c>
      <c r="I81" s="18" t="n">
        <v>29.58805893</v>
      </c>
      <c r="J81" s="20" t="n">
        <v>2.85777593</v>
      </c>
      <c r="K81" s="18" t="n">
        <v>0</v>
      </c>
      <c r="L81" s="20" t="n">
        <v>0</v>
      </c>
      <c r="M81" s="18" t="n">
        <v>3.16086876</v>
      </c>
      <c r="N81" s="20" t="n">
        <v>0.74740606</v>
      </c>
      <c r="O81" s="18" t="n">
        <v>0</v>
      </c>
      <c r="P81" s="20" t="n">
        <v>0</v>
      </c>
      <c r="Q81" s="18" t="n">
        <v>0</v>
      </c>
      <c r="R81" s="20" t="n">
        <v>0</v>
      </c>
      <c r="S81" s="18" t="n">
        <v>15.40512513</v>
      </c>
      <c r="T81" s="20" t="n">
        <v>2.8006922</v>
      </c>
    </row>
    <row r="82" spans="1:20">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row>
    <row r="83" spans="1:20">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row>
    <row r="84" spans="1:20">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63.76073976</v>
      </c>
      <c r="F44" s="20" t="n">
        <v>2.12531527</v>
      </c>
      <c r="G44" s="18" t="n">
        <v>27.92506516</v>
      </c>
      <c r="H44" s="20" t="n">
        <v>1.78097505</v>
      </c>
      <c r="I44" s="18" t="n">
        <v>0</v>
      </c>
      <c r="J44" s="20" t="n">
        <v>0</v>
      </c>
      <c r="K44" s="18" t="n">
        <v>2.10537011</v>
      </c>
      <c r="L44" s="20" t="n">
        <v>0.4970497</v>
      </c>
      <c r="M44" s="18" t="n">
        <v>0</v>
      </c>
      <c r="N44" s="20" t="n">
        <v>0</v>
      </c>
      <c r="O44" s="18" t="n">
        <v>0</v>
      </c>
      <c r="P44" s="20" t="n">
        <v>0</v>
      </c>
      <c r="Q44" s="18" t="n">
        <v>6.20882497</v>
      </c>
      <c r="R44" s="20" t="n">
        <v>1.03235556</v>
      </c>
    </row>
    <row r="45" spans="1:18">
      <c r="A45" s="15" t="s">
        <v>604</v>
      </c>
      <c r="B45" s="17" t="n">
        <v>2670</v>
      </c>
      <c r="C45" s="18">
        <f>(1792.0/B45*100)</f>
        <v/>
      </c>
      <c r="D45" s="19" t="n">
        <v>878</v>
      </c>
      <c r="E45" s="18" t="n">
        <v>55.1017535</v>
      </c>
      <c r="F45" s="20" t="n">
        <v>1.80410295</v>
      </c>
      <c r="G45" s="18" t="n">
        <v>32.76497916</v>
      </c>
      <c r="H45" s="20" t="n">
        <v>1.60631873</v>
      </c>
      <c r="I45" s="18" t="n">
        <v>0</v>
      </c>
      <c r="J45" s="20" t="n">
        <v>0</v>
      </c>
      <c r="K45" s="18" t="n">
        <v>6.80474597</v>
      </c>
      <c r="L45" s="20" t="n">
        <v>0.88569933</v>
      </c>
      <c r="M45" s="18" t="n">
        <v>0.44199197</v>
      </c>
      <c r="N45" s="20" t="n">
        <v>0.23510393</v>
      </c>
      <c r="O45" s="18" t="n">
        <v>0</v>
      </c>
      <c r="P45" s="20" t="n">
        <v>0</v>
      </c>
      <c r="Q45" s="18" t="n">
        <v>4.88652941</v>
      </c>
      <c r="R45" s="20" t="n">
        <v>0.75350966</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51.02724808</v>
      </c>
      <c r="F54" s="20" t="n">
        <v>1.81469531</v>
      </c>
      <c r="G54" s="18" t="n">
        <v>44.40988459</v>
      </c>
      <c r="H54" s="20" t="n">
        <v>1.82843296</v>
      </c>
      <c r="I54" s="18" t="n">
        <v>0</v>
      </c>
      <c r="J54" s="20" t="n">
        <v>0</v>
      </c>
      <c r="K54" s="18" t="n">
        <v>2.36990357</v>
      </c>
      <c r="L54" s="20" t="n">
        <v>0.56396434</v>
      </c>
      <c r="M54" s="18" t="n">
        <v>0</v>
      </c>
      <c r="N54" s="20" t="n">
        <v>0</v>
      </c>
      <c r="O54" s="18" t="n">
        <v>0</v>
      </c>
      <c r="P54" s="20" t="n">
        <v>0</v>
      </c>
      <c r="Q54" s="18" t="n">
        <v>2.19296376</v>
      </c>
      <c r="R54" s="20" t="n">
        <v>0.5528117</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58.79003994</v>
      </c>
      <c r="F56" s="20" t="n">
        <v>1.56751876</v>
      </c>
      <c r="G56" s="18" t="n">
        <v>36.07814161</v>
      </c>
      <c r="H56" s="20" t="n">
        <v>1.4974948</v>
      </c>
      <c r="I56" s="18" t="n">
        <v>0</v>
      </c>
      <c r="J56" s="20" t="n">
        <v>0</v>
      </c>
      <c r="K56" s="18" t="n">
        <v>2.54000953</v>
      </c>
      <c r="L56" s="20" t="n">
        <v>0.5285504</v>
      </c>
      <c r="M56" s="18" t="n">
        <v>0</v>
      </c>
      <c r="N56" s="20" t="n">
        <v>0</v>
      </c>
      <c r="O56" s="18" t="n">
        <v>0</v>
      </c>
      <c r="P56" s="20" t="n">
        <v>0</v>
      </c>
      <c r="Q56" s="18" t="n">
        <v>2.59180892</v>
      </c>
      <c r="R56" s="20" t="n">
        <v>0.52675745</v>
      </c>
    </row>
    <row r="57" spans="1:18">
      <c r="A57" s="15" t="s">
        <v>616</v>
      </c>
      <c r="B57" s="17" t="n">
        <v>3737</v>
      </c>
      <c r="C57" s="18">
        <f>(2483.0/B57*100)</f>
        <v/>
      </c>
      <c r="D57" s="19" t="n">
        <v>1254</v>
      </c>
      <c r="E57" s="18" t="n">
        <v>57.65185632</v>
      </c>
      <c r="F57" s="20" t="n">
        <v>1.57652588</v>
      </c>
      <c r="G57" s="18" t="n">
        <v>39.20011341</v>
      </c>
      <c r="H57" s="20" t="n">
        <v>1.55425736</v>
      </c>
      <c r="I57" s="18" t="n">
        <v>0</v>
      </c>
      <c r="J57" s="20" t="n">
        <v>0</v>
      </c>
      <c r="K57" s="18" t="n">
        <v>1.21835402</v>
      </c>
      <c r="L57" s="20" t="n">
        <v>0.35268167</v>
      </c>
      <c r="M57" s="18" t="n">
        <v>0</v>
      </c>
      <c r="N57" s="20" t="n">
        <v>0</v>
      </c>
      <c r="O57" s="18" t="n">
        <v>0</v>
      </c>
      <c r="P57" s="20" t="n">
        <v>0</v>
      </c>
      <c r="Q57" s="18" t="n">
        <v>1.92967625</v>
      </c>
      <c r="R57" s="20" t="n">
        <v>0.39837181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63.90491639</v>
      </c>
      <c r="F59" s="20" t="n">
        <v>2.03591106</v>
      </c>
      <c r="G59" s="18" t="n">
        <v>33.81786256</v>
      </c>
      <c r="H59" s="20" t="n">
        <v>2.00213907</v>
      </c>
      <c r="I59" s="18" t="n">
        <v>0</v>
      </c>
      <c r="J59" s="20" t="n">
        <v>0</v>
      </c>
      <c r="K59" s="18" t="n">
        <v>0.7369505200000001</v>
      </c>
      <c r="L59" s="20" t="n">
        <v>0.21596132</v>
      </c>
      <c r="M59" s="18" t="n">
        <v>0</v>
      </c>
      <c r="N59" s="20" t="n">
        <v>0</v>
      </c>
      <c r="O59" s="18" t="n">
        <v>0</v>
      </c>
      <c r="P59" s="20" t="n">
        <v>0</v>
      </c>
      <c r="Q59" s="18" t="n">
        <v>1.54027053</v>
      </c>
      <c r="R59" s="20" t="n">
        <v>0.51517611</v>
      </c>
    </row>
    <row r="60" spans="1:18">
      <c r="A60" s="15" t="s">
        <v>620</v>
      </c>
      <c r="B60" s="17" t="n">
        <v>2451</v>
      </c>
      <c r="C60" s="18">
        <f>(1642.0/B60*100)</f>
        <v/>
      </c>
      <c r="D60" s="19" t="n">
        <v>809</v>
      </c>
      <c r="E60" s="18" t="n">
        <v>45.10619132</v>
      </c>
      <c r="F60" s="20" t="n">
        <v>1.95546106</v>
      </c>
      <c r="G60" s="18" t="n">
        <v>43.55735946</v>
      </c>
      <c r="H60" s="20" t="n">
        <v>2.09795005</v>
      </c>
      <c r="I60" s="18" t="n">
        <v>0</v>
      </c>
      <c r="J60" s="20" t="n">
        <v>0</v>
      </c>
      <c r="K60" s="18" t="n">
        <v>5.89774377</v>
      </c>
      <c r="L60" s="20" t="n">
        <v>1.22073464</v>
      </c>
      <c r="M60" s="18" t="n">
        <v>0</v>
      </c>
      <c r="N60" s="20" t="n">
        <v>0</v>
      </c>
      <c r="O60" s="18" t="n">
        <v>0</v>
      </c>
      <c r="P60" s="20" t="n">
        <v>0</v>
      </c>
      <c r="Q60" s="18" t="n">
        <v>5.43870546</v>
      </c>
      <c r="R60" s="20" t="n">
        <v>0.95070038</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63.53523476</v>
      </c>
      <c r="F63" s="20" t="n">
        <v>2.00079084</v>
      </c>
      <c r="G63" s="18" t="n">
        <v>29.06674214</v>
      </c>
      <c r="H63" s="20" t="n">
        <v>1.81175716</v>
      </c>
      <c r="I63" s="18" t="n">
        <v>0</v>
      </c>
      <c r="J63" s="20" t="n">
        <v>0</v>
      </c>
      <c r="K63" s="18" t="n">
        <v>2.5292025</v>
      </c>
      <c r="L63" s="20" t="n">
        <v>0.55170433</v>
      </c>
      <c r="M63" s="18" t="n">
        <v>0</v>
      </c>
      <c r="N63" s="20" t="n">
        <v>0</v>
      </c>
      <c r="O63" s="18" t="n">
        <v>0</v>
      </c>
      <c r="P63" s="20" t="n">
        <v>0</v>
      </c>
      <c r="Q63" s="18" t="n">
        <v>4.86882061</v>
      </c>
      <c r="R63" s="20" t="n">
        <v>0.92594612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43.36922096</v>
      </c>
      <c r="F65" s="20" t="n">
        <v>2.28700784</v>
      </c>
      <c r="G65" s="18" t="n">
        <v>52.01253946</v>
      </c>
      <c r="H65" s="20" t="n">
        <v>2.387007</v>
      </c>
      <c r="I65" s="18" t="n">
        <v>0</v>
      </c>
      <c r="J65" s="20" t="n">
        <v>0</v>
      </c>
      <c r="K65" s="18" t="n">
        <v>2.44850255</v>
      </c>
      <c r="L65" s="20" t="n">
        <v>0.7012957</v>
      </c>
      <c r="M65" s="18" t="n">
        <v>0</v>
      </c>
      <c r="N65" s="20" t="n">
        <v>0</v>
      </c>
      <c r="O65" s="18" t="n">
        <v>0</v>
      </c>
      <c r="P65" s="20" t="n">
        <v>0</v>
      </c>
      <c r="Q65" s="18" t="n">
        <v>2.16973703</v>
      </c>
      <c r="R65" s="20" t="n">
        <v>0.59529717</v>
      </c>
    </row>
    <row r="66" spans="1:18">
      <c r="A66" s="15" t="s">
        <v>626</v>
      </c>
      <c r="B66" s="17" t="n">
        <v>2634</v>
      </c>
      <c r="C66" s="18">
        <f>(1775.0/B66*100)</f>
        <v/>
      </c>
      <c r="D66" s="19" t="n">
        <v>859</v>
      </c>
      <c r="E66" s="18" t="n">
        <v>51.74782672</v>
      </c>
      <c r="F66" s="20" t="n">
        <v>1.77815741</v>
      </c>
      <c r="G66" s="18" t="n">
        <v>38.46525717</v>
      </c>
      <c r="H66" s="20" t="n">
        <v>1.79388864</v>
      </c>
      <c r="I66" s="18" t="n">
        <v>0</v>
      </c>
      <c r="J66" s="20" t="n">
        <v>0</v>
      </c>
      <c r="K66" s="18" t="n">
        <v>6.62301154</v>
      </c>
      <c r="L66" s="20" t="n">
        <v>0.81461931</v>
      </c>
      <c r="M66" s="18" t="n">
        <v>0</v>
      </c>
      <c r="N66" s="20" t="n">
        <v>0</v>
      </c>
      <c r="O66" s="18" t="n">
        <v>0</v>
      </c>
      <c r="P66" s="20" t="n">
        <v>0</v>
      </c>
      <c r="Q66" s="18" t="n">
        <v>3.16390458</v>
      </c>
      <c r="R66" s="20" t="n">
        <v>1.11465158</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58.1881218</v>
      </c>
      <c r="F69" s="20" t="n">
        <v>3.41389327</v>
      </c>
      <c r="G69" s="18" t="n">
        <v>39.11416793</v>
      </c>
      <c r="H69" s="20" t="n">
        <v>3.24053386</v>
      </c>
      <c r="I69" s="18" t="n">
        <v>0</v>
      </c>
      <c r="J69" s="20" t="n">
        <v>0</v>
      </c>
      <c r="K69" s="18" t="n">
        <v>0.53329141</v>
      </c>
      <c r="L69" s="20" t="n">
        <v>0.5235083</v>
      </c>
      <c r="M69" s="18" t="n">
        <v>0</v>
      </c>
      <c r="N69" s="20" t="n">
        <v>0</v>
      </c>
      <c r="O69" s="18" t="n">
        <v>0</v>
      </c>
      <c r="P69" s="20" t="n">
        <v>0</v>
      </c>
      <c r="Q69" s="18" t="n">
        <v>2.16441886</v>
      </c>
      <c r="R69" s="20" t="n">
        <v>1.13903531</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54.91608692</v>
      </c>
      <c r="F71" s="20" t="n">
        <v>1.98540857</v>
      </c>
      <c r="G71" s="18" t="n">
        <v>45.08391308</v>
      </c>
      <c r="H71" s="20" t="n">
        <v>1.98540857</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45.15739917</v>
      </c>
      <c r="F76" s="20" t="n">
        <v>2.16510463</v>
      </c>
      <c r="G76" s="18" t="n">
        <v>42.31390315</v>
      </c>
      <c r="H76" s="20" t="n">
        <v>1.85996191</v>
      </c>
      <c r="I76" s="18" t="n">
        <v>0</v>
      </c>
      <c r="J76" s="20" t="n">
        <v>0</v>
      </c>
      <c r="K76" s="18" t="n">
        <v>7.39827063</v>
      </c>
      <c r="L76" s="20" t="n">
        <v>1.24311051</v>
      </c>
      <c r="M76" s="18" t="n">
        <v>0</v>
      </c>
      <c r="N76" s="20" t="n">
        <v>0</v>
      </c>
      <c r="O76" s="18" t="n">
        <v>0</v>
      </c>
      <c r="P76" s="20" t="n">
        <v>0</v>
      </c>
      <c r="Q76" s="18" t="n">
        <v>5.13042705</v>
      </c>
      <c r="R76" s="20" t="n">
        <v>0.8320109999999999</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36.95780897</v>
      </c>
      <c r="F80" s="20" t="n">
        <v>1.74805796</v>
      </c>
      <c r="G80" s="18" t="n">
        <v>62.93756201</v>
      </c>
      <c r="H80" s="20" t="n">
        <v>1.77246673</v>
      </c>
      <c r="I80" s="18" t="n">
        <v>0</v>
      </c>
      <c r="J80" s="20" t="n">
        <v>0</v>
      </c>
      <c r="K80" s="18" t="n">
        <v>0</v>
      </c>
      <c r="L80" s="20" t="n">
        <v>0</v>
      </c>
      <c r="M80" s="18" t="n">
        <v>0</v>
      </c>
      <c r="N80" s="20" t="n">
        <v>0</v>
      </c>
      <c r="O80" s="18" t="n">
        <v>0</v>
      </c>
      <c r="P80" s="20" t="n">
        <v>0</v>
      </c>
      <c r="Q80" s="18" t="n">
        <v>0.10462902</v>
      </c>
      <c r="R80" s="20" t="n">
        <v>0.07740258</v>
      </c>
    </row>
    <row r="81" spans="1:18">
      <c r="A81" s="15" t="s">
        <v>641</v>
      </c>
      <c r="B81" s="17" t="n">
        <v>870</v>
      </c>
      <c r="C81" s="18">
        <f>(576.0/B81*100)</f>
        <v/>
      </c>
      <c r="D81" s="19" t="n">
        <v>294</v>
      </c>
      <c r="E81" s="18" t="n">
        <v>39.07802912</v>
      </c>
      <c r="F81" s="20" t="n">
        <v>2.73516856</v>
      </c>
      <c r="G81" s="18" t="n">
        <v>55.05786247</v>
      </c>
      <c r="H81" s="20" t="n">
        <v>2.67916083</v>
      </c>
      <c r="I81" s="18" t="n">
        <v>0</v>
      </c>
      <c r="J81" s="20" t="n">
        <v>0</v>
      </c>
      <c r="K81" s="18" t="n">
        <v>3.16086876</v>
      </c>
      <c r="L81" s="20" t="n">
        <v>0.74740606</v>
      </c>
      <c r="M81" s="18" t="n">
        <v>0</v>
      </c>
      <c r="N81" s="20" t="n">
        <v>0</v>
      </c>
      <c r="O81" s="18" t="n">
        <v>0</v>
      </c>
      <c r="P81" s="20" t="n">
        <v>0</v>
      </c>
      <c r="Q81" s="18" t="n">
        <v>2.70323965</v>
      </c>
      <c r="R81" s="20" t="n">
        <v>0.92139651</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47.56322869</v>
      </c>
      <c r="F44" s="20" t="n">
        <v>1.78525314</v>
      </c>
      <c r="G44" s="18" t="n">
        <v>24.61345359</v>
      </c>
      <c r="H44" s="20" t="n">
        <v>1.9235559</v>
      </c>
      <c r="I44" s="18" t="n">
        <v>0</v>
      </c>
      <c r="J44" s="20" t="n">
        <v>0</v>
      </c>
      <c r="K44" s="18" t="n">
        <v>2.45605159</v>
      </c>
      <c r="L44" s="20" t="n">
        <v>0.58678712</v>
      </c>
      <c r="M44" s="18" t="n">
        <v>0</v>
      </c>
      <c r="N44" s="20" t="n">
        <v>0</v>
      </c>
      <c r="O44" s="18" t="n">
        <v>0</v>
      </c>
      <c r="P44" s="20" t="n">
        <v>0</v>
      </c>
      <c r="Q44" s="18" t="n">
        <v>25.36726614</v>
      </c>
      <c r="R44" s="20" t="n">
        <v>1.89515497</v>
      </c>
    </row>
    <row r="45" spans="1:18">
      <c r="A45" s="15" t="s">
        <v>604</v>
      </c>
      <c r="B45" s="17" t="n">
        <v>2670</v>
      </c>
      <c r="C45" s="18">
        <f>(1792.0/B45*100)</f>
        <v/>
      </c>
      <c r="D45" s="19" t="n">
        <v>878</v>
      </c>
      <c r="E45" s="18" t="n">
        <v>55.37245682</v>
      </c>
      <c r="F45" s="20" t="n">
        <v>1.88333525</v>
      </c>
      <c r="G45" s="18" t="n">
        <v>18.26726317</v>
      </c>
      <c r="H45" s="20" t="n">
        <v>1.76203099</v>
      </c>
      <c r="I45" s="18" t="n">
        <v>0</v>
      </c>
      <c r="J45" s="20" t="n">
        <v>0</v>
      </c>
      <c r="K45" s="18" t="n">
        <v>7.68065676</v>
      </c>
      <c r="L45" s="20" t="n">
        <v>0.96135295</v>
      </c>
      <c r="M45" s="18" t="n">
        <v>1.23240994</v>
      </c>
      <c r="N45" s="20" t="n">
        <v>0.40102022</v>
      </c>
      <c r="O45" s="18" t="n">
        <v>0.51678619</v>
      </c>
      <c r="P45" s="20" t="n">
        <v>0.23943929</v>
      </c>
      <c r="Q45" s="18" t="n">
        <v>16.93042711</v>
      </c>
      <c r="R45" s="20" t="n">
        <v>1.58996374</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41.01295966</v>
      </c>
      <c r="F54" s="20" t="n">
        <v>1.80883377</v>
      </c>
      <c r="G54" s="18" t="n">
        <v>16.86782007</v>
      </c>
      <c r="H54" s="20" t="n">
        <v>1.11931544</v>
      </c>
      <c r="I54" s="18" t="n">
        <v>0</v>
      </c>
      <c r="J54" s="20" t="n">
        <v>0</v>
      </c>
      <c r="K54" s="18" t="n">
        <v>3.04508082</v>
      </c>
      <c r="L54" s="20" t="n">
        <v>0.5986597</v>
      </c>
      <c r="M54" s="18" t="n">
        <v>0</v>
      </c>
      <c r="N54" s="20" t="n">
        <v>0</v>
      </c>
      <c r="O54" s="18" t="n">
        <v>0.5991279900000001</v>
      </c>
      <c r="P54" s="20" t="n">
        <v>0.28019575</v>
      </c>
      <c r="Q54" s="18" t="n">
        <v>38.47501146</v>
      </c>
      <c r="R54" s="20" t="n">
        <v>1.87137884</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55.8931402</v>
      </c>
      <c r="F56" s="20" t="n">
        <v>1.73305707</v>
      </c>
      <c r="G56" s="18" t="n">
        <v>34.76378328</v>
      </c>
      <c r="H56" s="20" t="n">
        <v>1.70708757</v>
      </c>
      <c r="I56" s="18" t="n">
        <v>0</v>
      </c>
      <c r="J56" s="20" t="n">
        <v>0</v>
      </c>
      <c r="K56" s="18" t="n">
        <v>2.6282128</v>
      </c>
      <c r="L56" s="20" t="n">
        <v>0.55034805</v>
      </c>
      <c r="M56" s="18" t="n">
        <v>0</v>
      </c>
      <c r="N56" s="20" t="n">
        <v>0</v>
      </c>
      <c r="O56" s="18" t="n">
        <v>0</v>
      </c>
      <c r="P56" s="20" t="n">
        <v>0</v>
      </c>
      <c r="Q56" s="18" t="n">
        <v>6.71486372</v>
      </c>
      <c r="R56" s="20" t="n">
        <v>0.99922486</v>
      </c>
    </row>
    <row r="57" spans="1:18">
      <c r="A57" s="15" t="s">
        <v>616</v>
      </c>
      <c r="B57" s="17" t="n">
        <v>3737</v>
      </c>
      <c r="C57" s="18">
        <f>(2483.0/B57*100)</f>
        <v/>
      </c>
      <c r="D57" s="19" t="n">
        <v>1254</v>
      </c>
      <c r="E57" s="18" t="n">
        <v>82.72470491</v>
      </c>
      <c r="F57" s="20" t="n">
        <v>1.44638586</v>
      </c>
      <c r="G57" s="18" t="n">
        <v>7.65908298</v>
      </c>
      <c r="H57" s="20" t="n">
        <v>1.03752404</v>
      </c>
      <c r="I57" s="18" t="n">
        <v>0</v>
      </c>
      <c r="J57" s="20" t="n">
        <v>0</v>
      </c>
      <c r="K57" s="18" t="n">
        <v>2.14079466</v>
      </c>
      <c r="L57" s="20" t="n">
        <v>0.46653809</v>
      </c>
      <c r="M57" s="18" t="n">
        <v>0</v>
      </c>
      <c r="N57" s="20" t="n">
        <v>0</v>
      </c>
      <c r="O57" s="18" t="n">
        <v>0</v>
      </c>
      <c r="P57" s="20" t="n">
        <v>0</v>
      </c>
      <c r="Q57" s="18" t="n">
        <v>7.47541745</v>
      </c>
      <c r="R57" s="20" t="n">
        <v>0.8855551699999999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60.40547388</v>
      </c>
      <c r="F59" s="20" t="n">
        <v>2.00428005</v>
      </c>
      <c r="G59" s="18" t="n">
        <v>18.40501461</v>
      </c>
      <c r="H59" s="20" t="n">
        <v>2.13102261</v>
      </c>
      <c r="I59" s="18" t="n">
        <v>0</v>
      </c>
      <c r="J59" s="20" t="n">
        <v>0</v>
      </c>
      <c r="K59" s="18" t="n">
        <v>0.98039578</v>
      </c>
      <c r="L59" s="20" t="n">
        <v>0.28534581</v>
      </c>
      <c r="M59" s="18" t="n">
        <v>0</v>
      </c>
      <c r="N59" s="20" t="n">
        <v>0</v>
      </c>
      <c r="O59" s="18" t="n">
        <v>0</v>
      </c>
      <c r="P59" s="20" t="n">
        <v>0</v>
      </c>
      <c r="Q59" s="18" t="n">
        <v>20.20911573</v>
      </c>
      <c r="R59" s="20" t="n">
        <v>1.76791026</v>
      </c>
    </row>
    <row r="60" spans="1:18">
      <c r="A60" s="15" t="s">
        <v>620</v>
      </c>
      <c r="B60" s="17" t="n">
        <v>2451</v>
      </c>
      <c r="C60" s="18">
        <f>(1642.0/B60*100)</f>
        <v/>
      </c>
      <c r="D60" s="19" t="n">
        <v>809</v>
      </c>
      <c r="E60" s="18" t="n">
        <v>55.84647238</v>
      </c>
      <c r="F60" s="20" t="n">
        <v>2.04589874</v>
      </c>
      <c r="G60" s="18" t="n">
        <v>10.33047764</v>
      </c>
      <c r="H60" s="20" t="n">
        <v>1.02238641</v>
      </c>
      <c r="I60" s="18" t="n">
        <v>0</v>
      </c>
      <c r="J60" s="20" t="n">
        <v>0</v>
      </c>
      <c r="K60" s="18" t="n">
        <v>6.70631307</v>
      </c>
      <c r="L60" s="20" t="n">
        <v>1.28784444</v>
      </c>
      <c r="M60" s="18" t="n">
        <v>0</v>
      </c>
      <c r="N60" s="20" t="n">
        <v>0</v>
      </c>
      <c r="O60" s="18" t="n">
        <v>0.73195164</v>
      </c>
      <c r="P60" s="20" t="n">
        <v>0.29919721</v>
      </c>
      <c r="Q60" s="18" t="n">
        <v>26.38478527</v>
      </c>
      <c r="R60" s="20" t="n">
        <v>1.71403027</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36.48671448</v>
      </c>
      <c r="F63" s="20" t="n">
        <v>1.61649223</v>
      </c>
      <c r="G63" s="18" t="n">
        <v>19.07080616</v>
      </c>
      <c r="H63" s="20" t="n">
        <v>1.44882662</v>
      </c>
      <c r="I63" s="18" t="n">
        <v>0</v>
      </c>
      <c r="J63" s="20" t="n">
        <v>0</v>
      </c>
      <c r="K63" s="18" t="n">
        <v>2.7368947</v>
      </c>
      <c r="L63" s="20" t="n">
        <v>0.57142491</v>
      </c>
      <c r="M63" s="18" t="n">
        <v>0</v>
      </c>
      <c r="N63" s="20" t="n">
        <v>0</v>
      </c>
      <c r="O63" s="18" t="n">
        <v>0</v>
      </c>
      <c r="P63" s="20" t="n">
        <v>0</v>
      </c>
      <c r="Q63" s="18" t="n">
        <v>41.70558466</v>
      </c>
      <c r="R63" s="20" t="n">
        <v>1.97370506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54.62168723</v>
      </c>
      <c r="F65" s="20" t="n">
        <v>2.07324181</v>
      </c>
      <c r="G65" s="18" t="n">
        <v>27.02250431</v>
      </c>
      <c r="H65" s="20" t="n">
        <v>1.67324592</v>
      </c>
      <c r="I65" s="18" t="n">
        <v>0</v>
      </c>
      <c r="J65" s="20" t="n">
        <v>0</v>
      </c>
      <c r="K65" s="18" t="n">
        <v>3.08665238</v>
      </c>
      <c r="L65" s="20" t="n">
        <v>0.79814253</v>
      </c>
      <c r="M65" s="18" t="n">
        <v>0</v>
      </c>
      <c r="N65" s="20" t="n">
        <v>0</v>
      </c>
      <c r="O65" s="18" t="n">
        <v>0</v>
      </c>
      <c r="P65" s="20" t="n">
        <v>0</v>
      </c>
      <c r="Q65" s="18" t="n">
        <v>15.26915608</v>
      </c>
      <c r="R65" s="20" t="n">
        <v>1.49888566</v>
      </c>
    </row>
    <row r="66" spans="1:18">
      <c r="A66" s="15" t="s">
        <v>626</v>
      </c>
      <c r="B66" s="17" t="n">
        <v>2634</v>
      </c>
      <c r="C66" s="18">
        <f>(1775.0/B66*100)</f>
        <v/>
      </c>
      <c r="D66" s="19" t="n">
        <v>859</v>
      </c>
      <c r="E66" s="18" t="n">
        <v>37.50920628</v>
      </c>
      <c r="F66" s="20" t="n">
        <v>1.5427271</v>
      </c>
      <c r="G66" s="18" t="n">
        <v>27.61561601</v>
      </c>
      <c r="H66" s="20" t="n">
        <v>1.44501444</v>
      </c>
      <c r="I66" s="18" t="n">
        <v>0</v>
      </c>
      <c r="J66" s="20" t="n">
        <v>0</v>
      </c>
      <c r="K66" s="18" t="n">
        <v>7.57198027</v>
      </c>
      <c r="L66" s="20" t="n">
        <v>0.85943365</v>
      </c>
      <c r="M66" s="18" t="n">
        <v>0</v>
      </c>
      <c r="N66" s="20" t="n">
        <v>0</v>
      </c>
      <c r="O66" s="18" t="n">
        <v>0</v>
      </c>
      <c r="P66" s="20" t="n">
        <v>0</v>
      </c>
      <c r="Q66" s="18" t="n">
        <v>27.30319744</v>
      </c>
      <c r="R66" s="20" t="n">
        <v>1.72353162</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75.91393621</v>
      </c>
      <c r="F69" s="20" t="n">
        <v>2.72238165</v>
      </c>
      <c r="G69" s="18" t="n">
        <v>13.3975315</v>
      </c>
      <c r="H69" s="20" t="n">
        <v>1.85369156</v>
      </c>
      <c r="I69" s="18" t="n">
        <v>0</v>
      </c>
      <c r="J69" s="20" t="n">
        <v>0</v>
      </c>
      <c r="K69" s="18" t="n">
        <v>0.53329141</v>
      </c>
      <c r="L69" s="20" t="n">
        <v>0.5235083</v>
      </c>
      <c r="M69" s="18" t="n">
        <v>0</v>
      </c>
      <c r="N69" s="20" t="n">
        <v>0</v>
      </c>
      <c r="O69" s="18" t="n">
        <v>0</v>
      </c>
      <c r="P69" s="20" t="n">
        <v>0</v>
      </c>
      <c r="Q69" s="18" t="n">
        <v>10.15524088</v>
      </c>
      <c r="R69" s="20" t="n">
        <v>2.46087245</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74.17805221</v>
      </c>
      <c r="F71" s="20" t="n">
        <v>1.6285677</v>
      </c>
      <c r="G71" s="18" t="n">
        <v>25.72741497</v>
      </c>
      <c r="H71" s="20" t="n">
        <v>1.60793367</v>
      </c>
      <c r="I71" s="18" t="n">
        <v>0</v>
      </c>
      <c r="J71" s="20" t="n">
        <v>0</v>
      </c>
      <c r="K71" s="18" t="n">
        <v>0</v>
      </c>
      <c r="L71" s="20" t="n">
        <v>0</v>
      </c>
      <c r="M71" s="18" t="n">
        <v>0</v>
      </c>
      <c r="N71" s="20" t="n">
        <v>0</v>
      </c>
      <c r="O71" s="18" t="n">
        <v>0</v>
      </c>
      <c r="P71" s="20" t="n">
        <v>0</v>
      </c>
      <c r="Q71" s="18" t="n">
        <v>0.09453282</v>
      </c>
      <c r="R71" s="20" t="n">
        <v>0.09384479</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58.86216399</v>
      </c>
      <c r="F76" s="20" t="n">
        <v>1.98832751</v>
      </c>
      <c r="G76" s="18" t="n">
        <v>9.01391065</v>
      </c>
      <c r="H76" s="20" t="n">
        <v>0.99460112</v>
      </c>
      <c r="I76" s="18" t="n">
        <v>0</v>
      </c>
      <c r="J76" s="20" t="n">
        <v>0</v>
      </c>
      <c r="K76" s="18" t="n">
        <v>8.14887824</v>
      </c>
      <c r="L76" s="20" t="n">
        <v>1.25999433</v>
      </c>
      <c r="M76" s="18" t="n">
        <v>0</v>
      </c>
      <c r="N76" s="20" t="n">
        <v>0</v>
      </c>
      <c r="O76" s="18" t="n">
        <v>0</v>
      </c>
      <c r="P76" s="20" t="n">
        <v>0</v>
      </c>
      <c r="Q76" s="18" t="n">
        <v>23.97504712</v>
      </c>
      <c r="R76" s="20" t="n">
        <v>1.50443796</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61.02052095</v>
      </c>
      <c r="F80" s="20" t="n">
        <v>2.04579394</v>
      </c>
      <c r="G80" s="18" t="n">
        <v>36.71918857</v>
      </c>
      <c r="H80" s="20" t="n">
        <v>2.05090194</v>
      </c>
      <c r="I80" s="18" t="n">
        <v>0</v>
      </c>
      <c r="J80" s="20" t="n">
        <v>0</v>
      </c>
      <c r="K80" s="18" t="n">
        <v>0</v>
      </c>
      <c r="L80" s="20" t="n">
        <v>0</v>
      </c>
      <c r="M80" s="18" t="n">
        <v>0</v>
      </c>
      <c r="N80" s="20" t="n">
        <v>0</v>
      </c>
      <c r="O80" s="18" t="n">
        <v>0</v>
      </c>
      <c r="P80" s="20" t="n">
        <v>0</v>
      </c>
      <c r="Q80" s="18" t="n">
        <v>2.26029048</v>
      </c>
      <c r="R80" s="20" t="n">
        <v>0.6311796</v>
      </c>
    </row>
    <row r="81" spans="1:18">
      <c r="A81" s="15" t="s">
        <v>641</v>
      </c>
      <c r="B81" s="17" t="n">
        <v>870</v>
      </c>
      <c r="C81" s="18">
        <f>(576.0/B81*100)</f>
        <v/>
      </c>
      <c r="D81" s="19" t="n">
        <v>294</v>
      </c>
      <c r="E81" s="18" t="n">
        <v>54.44805795</v>
      </c>
      <c r="F81" s="20" t="n">
        <v>2.7690564</v>
      </c>
      <c r="G81" s="18" t="n">
        <v>19.7425332</v>
      </c>
      <c r="H81" s="20" t="n">
        <v>1.97874604</v>
      </c>
      <c r="I81" s="18" t="n">
        <v>0</v>
      </c>
      <c r="J81" s="20" t="n">
        <v>0</v>
      </c>
      <c r="K81" s="18" t="n">
        <v>4.06684422</v>
      </c>
      <c r="L81" s="20" t="n">
        <v>0.90170112</v>
      </c>
      <c r="M81" s="18" t="n">
        <v>0</v>
      </c>
      <c r="N81" s="20" t="n">
        <v>0</v>
      </c>
      <c r="O81" s="18" t="n">
        <v>0</v>
      </c>
      <c r="P81" s="20" t="n">
        <v>0</v>
      </c>
      <c r="Q81" s="18" t="n">
        <v>21.74256463</v>
      </c>
      <c r="R81" s="20" t="n">
        <v>2.99449151</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88.43673517000001</v>
      </c>
      <c r="F44" s="20" t="n">
        <v>1.01192543</v>
      </c>
      <c r="G44" s="18" t="n">
        <v>3.80009088</v>
      </c>
      <c r="H44" s="20" t="n">
        <v>0.6275745700000001</v>
      </c>
      <c r="I44" s="18" t="n">
        <v>0</v>
      </c>
      <c r="J44" s="20" t="n">
        <v>0</v>
      </c>
      <c r="K44" s="18" t="n">
        <v>2.79377407</v>
      </c>
      <c r="L44" s="20" t="n">
        <v>0.63504313</v>
      </c>
      <c r="M44" s="18" t="n">
        <v>0</v>
      </c>
      <c r="N44" s="20" t="n">
        <v>0</v>
      </c>
      <c r="O44" s="18" t="n">
        <v>0.45150743</v>
      </c>
      <c r="P44" s="20" t="n">
        <v>0.20369767</v>
      </c>
      <c r="Q44" s="18" t="n">
        <v>4.51789246</v>
      </c>
      <c r="R44" s="20" t="n">
        <v>0.71242994</v>
      </c>
    </row>
    <row r="45" spans="1:18">
      <c r="A45" s="15" t="s">
        <v>604</v>
      </c>
      <c r="B45" s="17" t="n">
        <v>2670</v>
      </c>
      <c r="C45" s="18">
        <f>(1792.0/B45*100)</f>
        <v/>
      </c>
      <c r="D45" s="19" t="n">
        <v>878</v>
      </c>
      <c r="E45" s="18" t="n">
        <v>75.28750844</v>
      </c>
      <c r="F45" s="20" t="n">
        <v>1.41479571</v>
      </c>
      <c r="G45" s="18" t="n">
        <v>3.09172484</v>
      </c>
      <c r="H45" s="20" t="n">
        <v>0.57126031</v>
      </c>
      <c r="I45" s="18" t="n">
        <v>0</v>
      </c>
      <c r="J45" s="20" t="n">
        <v>0</v>
      </c>
      <c r="K45" s="18" t="n">
        <v>8.357649329999999</v>
      </c>
      <c r="L45" s="20" t="n">
        <v>1.04126771</v>
      </c>
      <c r="M45" s="18" t="n">
        <v>0.68043658</v>
      </c>
      <c r="N45" s="20" t="n">
        <v>0.24433728</v>
      </c>
      <c r="O45" s="18" t="n">
        <v>1.7308722</v>
      </c>
      <c r="P45" s="20" t="n">
        <v>0.47085147</v>
      </c>
      <c r="Q45" s="18" t="n">
        <v>10.85180861</v>
      </c>
      <c r="R45" s="20" t="n">
        <v>0.94171902</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85.38289957000001</v>
      </c>
      <c r="F54" s="20" t="n">
        <v>1.41938163</v>
      </c>
      <c r="G54" s="18" t="n">
        <v>5.88929352</v>
      </c>
      <c r="H54" s="20" t="n">
        <v>0.9385953</v>
      </c>
      <c r="I54" s="18" t="n">
        <v>0</v>
      </c>
      <c r="J54" s="20" t="n">
        <v>0</v>
      </c>
      <c r="K54" s="18" t="n">
        <v>3.2626149</v>
      </c>
      <c r="L54" s="20" t="n">
        <v>0.61838636</v>
      </c>
      <c r="M54" s="18" t="n">
        <v>0</v>
      </c>
      <c r="N54" s="20" t="n">
        <v>0</v>
      </c>
      <c r="O54" s="18" t="n">
        <v>0.48472232</v>
      </c>
      <c r="P54" s="20" t="n">
        <v>0.15011909</v>
      </c>
      <c r="Q54" s="18" t="n">
        <v>4.98046969</v>
      </c>
      <c r="R54" s="20" t="n">
        <v>0.89112152</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88.44220778</v>
      </c>
      <c r="F56" s="20" t="n">
        <v>1.29395967</v>
      </c>
      <c r="G56" s="18" t="n">
        <v>4.25480689</v>
      </c>
      <c r="H56" s="20" t="n">
        <v>0.683179</v>
      </c>
      <c r="I56" s="18" t="n">
        <v>0</v>
      </c>
      <c r="J56" s="20" t="n">
        <v>0</v>
      </c>
      <c r="K56" s="18" t="n">
        <v>2.74539824</v>
      </c>
      <c r="L56" s="20" t="n">
        <v>0.56746376</v>
      </c>
      <c r="M56" s="18" t="n">
        <v>0</v>
      </c>
      <c r="N56" s="20" t="n">
        <v>0</v>
      </c>
      <c r="O56" s="18" t="n">
        <v>0.46250443</v>
      </c>
      <c r="P56" s="20" t="n">
        <v>0.20825808</v>
      </c>
      <c r="Q56" s="18" t="n">
        <v>4.09508266</v>
      </c>
      <c r="R56" s="20" t="n">
        <v>0.71800367</v>
      </c>
    </row>
    <row r="57" spans="1:18">
      <c r="A57" s="15" t="s">
        <v>616</v>
      </c>
      <c r="B57" s="17" t="n">
        <v>3737</v>
      </c>
      <c r="C57" s="18">
        <f>(2483.0/B57*100)</f>
        <v/>
      </c>
      <c r="D57" s="19" t="n">
        <v>1254</v>
      </c>
      <c r="E57" s="18" t="n">
        <v>85.39938263000001</v>
      </c>
      <c r="F57" s="20" t="n">
        <v>1.0265092</v>
      </c>
      <c r="G57" s="18" t="n">
        <v>10.22233825</v>
      </c>
      <c r="H57" s="20" t="n">
        <v>1.00631977</v>
      </c>
      <c r="I57" s="18" t="n">
        <v>0</v>
      </c>
      <c r="J57" s="20" t="n">
        <v>0</v>
      </c>
      <c r="K57" s="18" t="n">
        <v>2.74160934</v>
      </c>
      <c r="L57" s="20" t="n">
        <v>0.42720927</v>
      </c>
      <c r="M57" s="18" t="n">
        <v>0</v>
      </c>
      <c r="N57" s="20" t="n">
        <v>0</v>
      </c>
      <c r="O57" s="18" t="n">
        <v>0.17200916</v>
      </c>
      <c r="P57" s="20" t="n">
        <v>0.12725591</v>
      </c>
      <c r="Q57" s="18" t="n">
        <v>1.46466062</v>
      </c>
      <c r="R57" s="20" t="n">
        <v>0.37469204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90.18501933</v>
      </c>
      <c r="F59" s="20" t="n">
        <v>1.29179861</v>
      </c>
      <c r="G59" s="18" t="n">
        <v>4.28077055</v>
      </c>
      <c r="H59" s="20" t="n">
        <v>0.90544737</v>
      </c>
      <c r="I59" s="18" t="n">
        <v>0</v>
      </c>
      <c r="J59" s="20" t="n">
        <v>0</v>
      </c>
      <c r="K59" s="18" t="n">
        <v>1.10896956</v>
      </c>
      <c r="L59" s="20" t="n">
        <v>0.30600976</v>
      </c>
      <c r="M59" s="18" t="n">
        <v>0</v>
      </c>
      <c r="N59" s="20" t="n">
        <v>0</v>
      </c>
      <c r="O59" s="18" t="n">
        <v>0.17131316</v>
      </c>
      <c r="P59" s="20" t="n">
        <v>0.10152522</v>
      </c>
      <c r="Q59" s="18" t="n">
        <v>4.2539274</v>
      </c>
      <c r="R59" s="20" t="n">
        <v>0.74951943</v>
      </c>
    </row>
    <row r="60" spans="1:18">
      <c r="A60" s="15" t="s">
        <v>620</v>
      </c>
      <c r="B60" s="17" t="n">
        <v>2451</v>
      </c>
      <c r="C60" s="18">
        <f>(1642.0/B60*100)</f>
        <v/>
      </c>
      <c r="D60" s="19" t="n">
        <v>809</v>
      </c>
      <c r="E60" s="18" t="n">
        <v>79.29957444</v>
      </c>
      <c r="F60" s="20" t="n">
        <v>1.47583902</v>
      </c>
      <c r="G60" s="18" t="n">
        <v>2.71140219</v>
      </c>
      <c r="H60" s="20" t="n">
        <v>0.67525122</v>
      </c>
      <c r="I60" s="18" t="n">
        <v>0</v>
      </c>
      <c r="J60" s="20" t="n">
        <v>0</v>
      </c>
      <c r="K60" s="18" t="n">
        <v>7.75989491</v>
      </c>
      <c r="L60" s="20" t="n">
        <v>1.23398639</v>
      </c>
      <c r="M60" s="18" t="n">
        <v>0</v>
      </c>
      <c r="N60" s="20" t="n">
        <v>0</v>
      </c>
      <c r="O60" s="18" t="n">
        <v>0.31389259</v>
      </c>
      <c r="P60" s="20" t="n">
        <v>0.24902833</v>
      </c>
      <c r="Q60" s="18" t="n">
        <v>9.91523587</v>
      </c>
      <c r="R60" s="20" t="n">
        <v>1.12053378</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81.61866797</v>
      </c>
      <c r="F63" s="20" t="n">
        <v>1.35709804</v>
      </c>
      <c r="G63" s="18" t="n">
        <v>3.51427501</v>
      </c>
      <c r="H63" s="20" t="n">
        <v>0.74425078</v>
      </c>
      <c r="I63" s="18" t="n">
        <v>0</v>
      </c>
      <c r="J63" s="20" t="n">
        <v>0</v>
      </c>
      <c r="K63" s="18" t="n">
        <v>2.7368947</v>
      </c>
      <c r="L63" s="20" t="n">
        <v>0.57142491</v>
      </c>
      <c r="M63" s="18" t="n">
        <v>0</v>
      </c>
      <c r="N63" s="20" t="n">
        <v>0</v>
      </c>
      <c r="O63" s="18" t="n">
        <v>0</v>
      </c>
      <c r="P63" s="20" t="n">
        <v>0</v>
      </c>
      <c r="Q63" s="18" t="n">
        <v>12.13016231</v>
      </c>
      <c r="R63" s="20" t="n">
        <v>1.10705916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79.63802837</v>
      </c>
      <c r="F65" s="20" t="n">
        <v>1.84001311</v>
      </c>
      <c r="G65" s="18" t="n">
        <v>14.42310888</v>
      </c>
      <c r="H65" s="20" t="n">
        <v>1.53159568</v>
      </c>
      <c r="I65" s="18" t="n">
        <v>0</v>
      </c>
      <c r="J65" s="20" t="n">
        <v>0</v>
      </c>
      <c r="K65" s="18" t="n">
        <v>3.08665238</v>
      </c>
      <c r="L65" s="20" t="n">
        <v>0.79814253</v>
      </c>
      <c r="M65" s="18" t="n">
        <v>0</v>
      </c>
      <c r="N65" s="20" t="n">
        <v>0</v>
      </c>
      <c r="O65" s="18" t="n">
        <v>0.35983431</v>
      </c>
      <c r="P65" s="20" t="n">
        <v>0.24411457</v>
      </c>
      <c r="Q65" s="18" t="n">
        <v>2.49237605</v>
      </c>
      <c r="R65" s="20" t="n">
        <v>0.7355890899999999</v>
      </c>
    </row>
    <row r="66" spans="1:18">
      <c r="A66" s="15" t="s">
        <v>626</v>
      </c>
      <c r="B66" s="17" t="n">
        <v>2634</v>
      </c>
      <c r="C66" s="18">
        <f>(1775.0/B66*100)</f>
        <v/>
      </c>
      <c r="D66" s="19" t="n">
        <v>859</v>
      </c>
      <c r="E66" s="18" t="n">
        <v>79.22799563</v>
      </c>
      <c r="F66" s="20" t="n">
        <v>1.54568438</v>
      </c>
      <c r="G66" s="18" t="n">
        <v>6.96954286</v>
      </c>
      <c r="H66" s="20" t="n">
        <v>1.08056037</v>
      </c>
      <c r="I66" s="18" t="n">
        <v>0</v>
      </c>
      <c r="J66" s="20" t="n">
        <v>0</v>
      </c>
      <c r="K66" s="18" t="n">
        <v>7.98104103</v>
      </c>
      <c r="L66" s="20" t="n">
        <v>0.84491098</v>
      </c>
      <c r="M66" s="18" t="n">
        <v>0.10920118</v>
      </c>
      <c r="N66" s="20" t="n">
        <v>0.10885382</v>
      </c>
      <c r="O66" s="18" t="n">
        <v>0</v>
      </c>
      <c r="P66" s="20" t="n">
        <v>0</v>
      </c>
      <c r="Q66" s="18" t="n">
        <v>5.7122193</v>
      </c>
      <c r="R66" s="20" t="n">
        <v>1.01492709</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86.02378865</v>
      </c>
      <c r="F69" s="20" t="n">
        <v>2.27602617</v>
      </c>
      <c r="G69" s="18" t="n">
        <v>10.42812712</v>
      </c>
      <c r="H69" s="20" t="n">
        <v>2.09410177</v>
      </c>
      <c r="I69" s="18" t="n">
        <v>0</v>
      </c>
      <c r="J69" s="20" t="n">
        <v>0</v>
      </c>
      <c r="K69" s="18" t="n">
        <v>0.53329141</v>
      </c>
      <c r="L69" s="20" t="n">
        <v>0.5235083</v>
      </c>
      <c r="M69" s="18" t="n">
        <v>0</v>
      </c>
      <c r="N69" s="20" t="n">
        <v>0</v>
      </c>
      <c r="O69" s="18" t="n">
        <v>0.38248336</v>
      </c>
      <c r="P69" s="20" t="n">
        <v>0.40003559</v>
      </c>
      <c r="Q69" s="18" t="n">
        <v>2.63230946</v>
      </c>
      <c r="R69" s="20" t="n">
        <v>0.98935988</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94.00418748</v>
      </c>
      <c r="F71" s="20" t="n">
        <v>0.94425328</v>
      </c>
      <c r="G71" s="18" t="n">
        <v>5.8811845</v>
      </c>
      <c r="H71" s="20" t="n">
        <v>0.93931266</v>
      </c>
      <c r="I71" s="18" t="n">
        <v>0</v>
      </c>
      <c r="J71" s="20" t="n">
        <v>0</v>
      </c>
      <c r="K71" s="18" t="n">
        <v>0</v>
      </c>
      <c r="L71" s="20" t="n">
        <v>0</v>
      </c>
      <c r="M71" s="18" t="n">
        <v>0</v>
      </c>
      <c r="N71" s="20" t="n">
        <v>0</v>
      </c>
      <c r="O71" s="18" t="n">
        <v>0</v>
      </c>
      <c r="P71" s="20" t="n">
        <v>0</v>
      </c>
      <c r="Q71" s="18" t="n">
        <v>0.11462802</v>
      </c>
      <c r="R71" s="20" t="n">
        <v>0.11433225</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72.44426367</v>
      </c>
      <c r="F76" s="20" t="n">
        <v>1.95572078</v>
      </c>
      <c r="G76" s="18" t="n">
        <v>11.64884509</v>
      </c>
      <c r="H76" s="20" t="n">
        <v>1.34026607</v>
      </c>
      <c r="I76" s="18" t="n">
        <v>0</v>
      </c>
      <c r="J76" s="20" t="n">
        <v>0</v>
      </c>
      <c r="K76" s="18" t="n">
        <v>8.99518318</v>
      </c>
      <c r="L76" s="20" t="n">
        <v>1.30286725</v>
      </c>
      <c r="M76" s="18" t="n">
        <v>0</v>
      </c>
      <c r="N76" s="20" t="n">
        <v>0</v>
      </c>
      <c r="O76" s="18" t="n">
        <v>0</v>
      </c>
      <c r="P76" s="20" t="n">
        <v>0</v>
      </c>
      <c r="Q76" s="18" t="n">
        <v>6.91170806</v>
      </c>
      <c r="R76" s="20" t="n">
        <v>1.159428</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38.93303572</v>
      </c>
      <c r="F80" s="20" t="n">
        <v>2.01407561</v>
      </c>
      <c r="G80" s="18" t="n">
        <v>60.96281827</v>
      </c>
      <c r="H80" s="20" t="n">
        <v>2.01536748</v>
      </c>
      <c r="I80" s="18" t="n">
        <v>0</v>
      </c>
      <c r="J80" s="20" t="n">
        <v>0</v>
      </c>
      <c r="K80" s="18" t="n">
        <v>0.10414601</v>
      </c>
      <c r="L80" s="20" t="n">
        <v>0.10383889</v>
      </c>
      <c r="M80" s="18" t="n">
        <v>0</v>
      </c>
      <c r="N80" s="20" t="n">
        <v>0</v>
      </c>
      <c r="O80" s="18" t="n">
        <v>0</v>
      </c>
      <c r="P80" s="20" t="n">
        <v>0</v>
      </c>
      <c r="Q80" s="18" t="n">
        <v>0</v>
      </c>
      <c r="R80" s="20" t="n">
        <v>0</v>
      </c>
    </row>
    <row r="81" spans="1:18">
      <c r="A81" s="15" t="s">
        <v>641</v>
      </c>
      <c r="B81" s="17" t="n">
        <v>870</v>
      </c>
      <c r="C81" s="18">
        <f>(576.0/B81*100)</f>
        <v/>
      </c>
      <c r="D81" s="19" t="n">
        <v>294</v>
      </c>
      <c r="E81" s="18" t="n">
        <v>73.53794702</v>
      </c>
      <c r="F81" s="20" t="n">
        <v>2.52177624</v>
      </c>
      <c r="G81" s="18" t="n">
        <v>18.94877357</v>
      </c>
      <c r="H81" s="20" t="n">
        <v>2.40438188</v>
      </c>
      <c r="I81" s="18" t="n">
        <v>0</v>
      </c>
      <c r="J81" s="20" t="n">
        <v>0</v>
      </c>
      <c r="K81" s="18" t="n">
        <v>4.37826158</v>
      </c>
      <c r="L81" s="20" t="n">
        <v>0.92795582</v>
      </c>
      <c r="M81" s="18" t="n">
        <v>0</v>
      </c>
      <c r="N81" s="20" t="n">
        <v>0</v>
      </c>
      <c r="O81" s="18" t="n">
        <v>0.3145593</v>
      </c>
      <c r="P81" s="20" t="n">
        <v>0.34927102</v>
      </c>
      <c r="Q81" s="18" t="n">
        <v>2.82045852</v>
      </c>
      <c r="R81" s="20" t="n">
        <v>0.85590099</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44.83509599</v>
      </c>
      <c r="F44" s="20" t="n">
        <v>1.86724006</v>
      </c>
      <c r="G44" s="18" t="n">
        <v>49.58559731</v>
      </c>
      <c r="H44" s="20" t="n">
        <v>1.98997377</v>
      </c>
      <c r="I44" s="18" t="n">
        <v>0</v>
      </c>
      <c r="J44" s="20" t="n">
        <v>0</v>
      </c>
      <c r="K44" s="18" t="n">
        <v>2.79377407</v>
      </c>
      <c r="L44" s="20" t="n">
        <v>0.63504313</v>
      </c>
      <c r="M44" s="18" t="n">
        <v>0</v>
      </c>
      <c r="N44" s="20" t="n">
        <v>0</v>
      </c>
      <c r="O44" s="18" t="n">
        <v>0</v>
      </c>
      <c r="P44" s="20" t="n">
        <v>0</v>
      </c>
      <c r="Q44" s="18" t="n">
        <v>2.78553263</v>
      </c>
      <c r="R44" s="20" t="n">
        <v>0.66900105</v>
      </c>
    </row>
    <row r="45" spans="1:18">
      <c r="A45" s="15" t="s">
        <v>604</v>
      </c>
      <c r="B45" s="17" t="n">
        <v>2670</v>
      </c>
      <c r="C45" s="18">
        <f>(1792.0/B45*100)</f>
        <v/>
      </c>
      <c r="D45" s="19" t="n">
        <v>878</v>
      </c>
      <c r="E45" s="18" t="n">
        <v>48.14675685</v>
      </c>
      <c r="F45" s="20" t="n">
        <v>1.8656651</v>
      </c>
      <c r="G45" s="18" t="n">
        <v>39.35313831</v>
      </c>
      <c r="H45" s="20" t="n">
        <v>1.7643762</v>
      </c>
      <c r="I45" s="18" t="n">
        <v>0</v>
      </c>
      <c r="J45" s="20" t="n">
        <v>0</v>
      </c>
      <c r="K45" s="18" t="n">
        <v>8.606883789999999</v>
      </c>
      <c r="L45" s="20" t="n">
        <v>1.03418908</v>
      </c>
      <c r="M45" s="18" t="n">
        <v>0.52550349</v>
      </c>
      <c r="N45" s="20" t="n">
        <v>0.2488112</v>
      </c>
      <c r="O45" s="18" t="n">
        <v>0</v>
      </c>
      <c r="P45" s="20" t="n">
        <v>0</v>
      </c>
      <c r="Q45" s="18" t="n">
        <v>3.36771756</v>
      </c>
      <c r="R45" s="20" t="n">
        <v>0.59715325</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54.45769315</v>
      </c>
      <c r="F54" s="20" t="n">
        <v>1.618821</v>
      </c>
      <c r="G54" s="18" t="n">
        <v>39.81851285</v>
      </c>
      <c r="H54" s="20" t="n">
        <v>1.68243058</v>
      </c>
      <c r="I54" s="18" t="n">
        <v>0</v>
      </c>
      <c r="J54" s="20" t="n">
        <v>0</v>
      </c>
      <c r="K54" s="18" t="n">
        <v>3.38876775</v>
      </c>
      <c r="L54" s="20" t="n">
        <v>0.629902</v>
      </c>
      <c r="M54" s="18" t="n">
        <v>0</v>
      </c>
      <c r="N54" s="20" t="n">
        <v>0</v>
      </c>
      <c r="O54" s="18" t="n">
        <v>0</v>
      </c>
      <c r="P54" s="20" t="n">
        <v>0</v>
      </c>
      <c r="Q54" s="18" t="n">
        <v>2.33502624</v>
      </c>
      <c r="R54" s="20" t="n">
        <v>0.61354626</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61.24626189</v>
      </c>
      <c r="F56" s="20" t="n">
        <v>1.38842695</v>
      </c>
      <c r="G56" s="18" t="n">
        <v>33.6913478</v>
      </c>
      <c r="H56" s="20" t="n">
        <v>1.43598915</v>
      </c>
      <c r="I56" s="18" t="n">
        <v>0</v>
      </c>
      <c r="J56" s="20" t="n">
        <v>0</v>
      </c>
      <c r="K56" s="18" t="n">
        <v>3.26676218</v>
      </c>
      <c r="L56" s="20" t="n">
        <v>0.63041999</v>
      </c>
      <c r="M56" s="18" t="n">
        <v>0.08072591</v>
      </c>
      <c r="N56" s="20" t="n">
        <v>0.08078709000000001</v>
      </c>
      <c r="O56" s="18" t="n">
        <v>0</v>
      </c>
      <c r="P56" s="20" t="n">
        <v>0</v>
      </c>
      <c r="Q56" s="18" t="n">
        <v>1.71490223</v>
      </c>
      <c r="R56" s="20" t="n">
        <v>0.45780908</v>
      </c>
    </row>
    <row r="57" spans="1:18">
      <c r="A57" s="15" t="s">
        <v>616</v>
      </c>
      <c r="B57" s="17" t="n">
        <v>3737</v>
      </c>
      <c r="C57" s="18">
        <f>(2483.0/B57*100)</f>
        <v/>
      </c>
      <c r="D57" s="19" t="n">
        <v>1254</v>
      </c>
      <c r="E57" s="18" t="n">
        <v>44.70808494</v>
      </c>
      <c r="F57" s="20" t="n">
        <v>2.04577482</v>
      </c>
      <c r="G57" s="18" t="n">
        <v>51.26705015</v>
      </c>
      <c r="H57" s="20" t="n">
        <v>2.08709692</v>
      </c>
      <c r="I57" s="18" t="n">
        <v>0</v>
      </c>
      <c r="J57" s="20" t="n">
        <v>0</v>
      </c>
      <c r="K57" s="18" t="n">
        <v>3.29654989</v>
      </c>
      <c r="L57" s="20" t="n">
        <v>0.53356445</v>
      </c>
      <c r="M57" s="18" t="n">
        <v>0</v>
      </c>
      <c r="N57" s="20" t="n">
        <v>0</v>
      </c>
      <c r="O57" s="18" t="n">
        <v>0.10981311</v>
      </c>
      <c r="P57" s="20" t="n">
        <v>0.10952391</v>
      </c>
      <c r="Q57" s="18" t="n">
        <v>0.61850192</v>
      </c>
      <c r="R57" s="20" t="n">
        <v>0.23958972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58.03374585</v>
      </c>
      <c r="F59" s="20" t="n">
        <v>2.03533255</v>
      </c>
      <c r="G59" s="18" t="n">
        <v>38.65902149</v>
      </c>
      <c r="H59" s="20" t="n">
        <v>2.02704358</v>
      </c>
      <c r="I59" s="18" t="n">
        <v>0</v>
      </c>
      <c r="J59" s="20" t="n">
        <v>0</v>
      </c>
      <c r="K59" s="18" t="n">
        <v>1.26874626</v>
      </c>
      <c r="L59" s="20" t="n">
        <v>0.31578199</v>
      </c>
      <c r="M59" s="18" t="n">
        <v>0</v>
      </c>
      <c r="N59" s="20" t="n">
        <v>0</v>
      </c>
      <c r="O59" s="18" t="n">
        <v>0.34217567</v>
      </c>
      <c r="P59" s="20" t="n">
        <v>0.33902303</v>
      </c>
      <c r="Q59" s="18" t="n">
        <v>1.69631073</v>
      </c>
      <c r="R59" s="20" t="n">
        <v>0.66717544</v>
      </c>
    </row>
    <row r="60" spans="1:18">
      <c r="A60" s="15" t="s">
        <v>620</v>
      </c>
      <c r="B60" s="17" t="n">
        <v>2451</v>
      </c>
      <c r="C60" s="18">
        <f>(1642.0/B60*100)</f>
        <v/>
      </c>
      <c r="D60" s="19" t="n">
        <v>809</v>
      </c>
      <c r="E60" s="18" t="n">
        <v>57.6566317</v>
      </c>
      <c r="F60" s="20" t="n">
        <v>2.17923228</v>
      </c>
      <c r="G60" s="18" t="n">
        <v>29.96568402</v>
      </c>
      <c r="H60" s="20" t="n">
        <v>2.10716833</v>
      </c>
      <c r="I60" s="18" t="n">
        <v>0</v>
      </c>
      <c r="J60" s="20" t="n">
        <v>0</v>
      </c>
      <c r="K60" s="18" t="n">
        <v>7.90168841</v>
      </c>
      <c r="L60" s="20" t="n">
        <v>1.23064702</v>
      </c>
      <c r="M60" s="18" t="n">
        <v>0</v>
      </c>
      <c r="N60" s="20" t="n">
        <v>0</v>
      </c>
      <c r="O60" s="18" t="n">
        <v>0</v>
      </c>
      <c r="P60" s="20" t="n">
        <v>0</v>
      </c>
      <c r="Q60" s="18" t="n">
        <v>4.47599588</v>
      </c>
      <c r="R60" s="20" t="n">
        <v>0.71178272</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61.88652252</v>
      </c>
      <c r="F63" s="20" t="n">
        <v>1.51592793</v>
      </c>
      <c r="G63" s="18" t="n">
        <v>29.83997662</v>
      </c>
      <c r="H63" s="20" t="n">
        <v>1.64512813</v>
      </c>
      <c r="I63" s="18" t="n">
        <v>0</v>
      </c>
      <c r="J63" s="20" t="n">
        <v>0</v>
      </c>
      <c r="K63" s="18" t="n">
        <v>3.21563885</v>
      </c>
      <c r="L63" s="20" t="n">
        <v>0.6066014</v>
      </c>
      <c r="M63" s="18" t="n">
        <v>0</v>
      </c>
      <c r="N63" s="20" t="n">
        <v>0</v>
      </c>
      <c r="O63" s="18" t="n">
        <v>0</v>
      </c>
      <c r="P63" s="20" t="n">
        <v>0</v>
      </c>
      <c r="Q63" s="18" t="n">
        <v>5.05786201</v>
      </c>
      <c r="R63" s="20" t="n">
        <v>0.80559711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49.89603694</v>
      </c>
      <c r="F65" s="20" t="n">
        <v>2.09531965</v>
      </c>
      <c r="G65" s="18" t="n">
        <v>46.0242076</v>
      </c>
      <c r="H65" s="20" t="n">
        <v>2.04446675</v>
      </c>
      <c r="I65" s="18" t="n">
        <v>0</v>
      </c>
      <c r="J65" s="20" t="n">
        <v>0</v>
      </c>
      <c r="K65" s="18" t="n">
        <v>3.08665238</v>
      </c>
      <c r="L65" s="20" t="n">
        <v>0.79814253</v>
      </c>
      <c r="M65" s="18" t="n">
        <v>0</v>
      </c>
      <c r="N65" s="20" t="n">
        <v>0</v>
      </c>
      <c r="O65" s="18" t="n">
        <v>0.16174364</v>
      </c>
      <c r="P65" s="20" t="n">
        <v>0.15251505</v>
      </c>
      <c r="Q65" s="18" t="n">
        <v>0.8313594399999999</v>
      </c>
      <c r="R65" s="20" t="n">
        <v>0.38425067</v>
      </c>
    </row>
    <row r="66" spans="1:18">
      <c r="A66" s="15" t="s">
        <v>626</v>
      </c>
      <c r="B66" s="17" t="n">
        <v>2634</v>
      </c>
      <c r="C66" s="18">
        <f>(1775.0/B66*100)</f>
        <v/>
      </c>
      <c r="D66" s="19" t="n">
        <v>859</v>
      </c>
      <c r="E66" s="18" t="n">
        <v>69.9206468</v>
      </c>
      <c r="F66" s="20" t="n">
        <v>1.82766424</v>
      </c>
      <c r="G66" s="18" t="n">
        <v>16.77288799</v>
      </c>
      <c r="H66" s="20" t="n">
        <v>1.34246304</v>
      </c>
      <c r="I66" s="18" t="n">
        <v>0</v>
      </c>
      <c r="J66" s="20" t="n">
        <v>0</v>
      </c>
      <c r="K66" s="18" t="n">
        <v>8.71192769</v>
      </c>
      <c r="L66" s="20" t="n">
        <v>0.99632174</v>
      </c>
      <c r="M66" s="18" t="n">
        <v>0</v>
      </c>
      <c r="N66" s="20" t="n">
        <v>0</v>
      </c>
      <c r="O66" s="18" t="n">
        <v>0</v>
      </c>
      <c r="P66" s="20" t="n">
        <v>0</v>
      </c>
      <c r="Q66" s="18" t="n">
        <v>4.59453753</v>
      </c>
      <c r="R66" s="20" t="n">
        <v>1.08536206</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49.12280497</v>
      </c>
      <c r="F69" s="20" t="n">
        <v>3.61731463</v>
      </c>
      <c r="G69" s="18" t="n">
        <v>49.5243276</v>
      </c>
      <c r="H69" s="20" t="n">
        <v>3.68942055</v>
      </c>
      <c r="I69" s="18" t="n">
        <v>0</v>
      </c>
      <c r="J69" s="20" t="n">
        <v>0</v>
      </c>
      <c r="K69" s="18" t="n">
        <v>0.53329141</v>
      </c>
      <c r="L69" s="20" t="n">
        <v>0.5235083</v>
      </c>
      <c r="M69" s="18" t="n">
        <v>0</v>
      </c>
      <c r="N69" s="20" t="n">
        <v>0</v>
      </c>
      <c r="O69" s="18" t="n">
        <v>0</v>
      </c>
      <c r="P69" s="20" t="n">
        <v>0</v>
      </c>
      <c r="Q69" s="18" t="n">
        <v>0.81957601</v>
      </c>
      <c r="R69" s="20" t="n">
        <v>0.57476812</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71.59811336999999</v>
      </c>
      <c r="F71" s="20" t="n">
        <v>1.70940876</v>
      </c>
      <c r="G71" s="18" t="n">
        <v>28.40188663</v>
      </c>
      <c r="H71" s="20" t="n">
        <v>1.70940876</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54.61291812</v>
      </c>
      <c r="F76" s="20" t="n">
        <v>2.07167891</v>
      </c>
      <c r="G76" s="18" t="n">
        <v>31.8800381</v>
      </c>
      <c r="H76" s="20" t="n">
        <v>1.87853794</v>
      </c>
      <c r="I76" s="18" t="n">
        <v>0</v>
      </c>
      <c r="J76" s="20" t="n">
        <v>0</v>
      </c>
      <c r="K76" s="18" t="n">
        <v>9.205653460000001</v>
      </c>
      <c r="L76" s="20" t="n">
        <v>1.3126318</v>
      </c>
      <c r="M76" s="18" t="n">
        <v>0</v>
      </c>
      <c r="N76" s="20" t="n">
        <v>0</v>
      </c>
      <c r="O76" s="18" t="n">
        <v>0</v>
      </c>
      <c r="P76" s="20" t="n">
        <v>0</v>
      </c>
      <c r="Q76" s="18" t="n">
        <v>4.30139032</v>
      </c>
      <c r="R76" s="20" t="n">
        <v>0.84119365</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53.14616406</v>
      </c>
      <c r="F80" s="20" t="n">
        <v>1.68092913</v>
      </c>
      <c r="G80" s="18" t="n">
        <v>46.74968993</v>
      </c>
      <c r="H80" s="20" t="n">
        <v>1.68530833</v>
      </c>
      <c r="I80" s="18" t="n">
        <v>0</v>
      </c>
      <c r="J80" s="20" t="n">
        <v>0</v>
      </c>
      <c r="K80" s="18" t="n">
        <v>0.10414601</v>
      </c>
      <c r="L80" s="20" t="n">
        <v>0.10383889</v>
      </c>
      <c r="M80" s="18" t="n">
        <v>0</v>
      </c>
      <c r="N80" s="20" t="n">
        <v>0</v>
      </c>
      <c r="O80" s="18" t="n">
        <v>0</v>
      </c>
      <c r="P80" s="20" t="n">
        <v>0</v>
      </c>
      <c r="Q80" s="18" t="n">
        <v>0</v>
      </c>
      <c r="R80" s="20" t="n">
        <v>0</v>
      </c>
    </row>
    <row r="81" spans="1:18">
      <c r="A81" s="15" t="s">
        <v>641</v>
      </c>
      <c r="B81" s="17" t="n">
        <v>870</v>
      </c>
      <c r="C81" s="18">
        <f>(576.0/B81*100)</f>
        <v/>
      </c>
      <c r="D81" s="19" t="n">
        <v>294</v>
      </c>
      <c r="E81" s="18" t="n">
        <v>48.06865488</v>
      </c>
      <c r="F81" s="20" t="n">
        <v>3.95900212</v>
      </c>
      <c r="G81" s="18" t="n">
        <v>45.56871494</v>
      </c>
      <c r="H81" s="20" t="n">
        <v>4.12299364</v>
      </c>
      <c r="I81" s="18" t="n">
        <v>0</v>
      </c>
      <c r="J81" s="20" t="n">
        <v>0</v>
      </c>
      <c r="K81" s="18" t="n">
        <v>4.72315099</v>
      </c>
      <c r="L81" s="20" t="n">
        <v>1.0477258</v>
      </c>
      <c r="M81" s="18" t="n">
        <v>0</v>
      </c>
      <c r="N81" s="20" t="n">
        <v>0</v>
      </c>
      <c r="O81" s="18" t="n">
        <v>0</v>
      </c>
      <c r="P81" s="20" t="n">
        <v>0</v>
      </c>
      <c r="Q81" s="18" t="n">
        <v>1.63947919</v>
      </c>
      <c r="R81" s="20" t="n">
        <v>0.71478655</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56.95445356</v>
      </c>
      <c r="F44" s="20" t="n">
        <v>2.19027764</v>
      </c>
      <c r="G44" s="18" t="n">
        <v>37.79191718</v>
      </c>
      <c r="H44" s="20" t="n">
        <v>2.37351792</v>
      </c>
      <c r="I44" s="18" t="n">
        <v>0</v>
      </c>
      <c r="J44" s="20" t="n">
        <v>0</v>
      </c>
      <c r="K44" s="18" t="n">
        <v>3.19819769</v>
      </c>
      <c r="L44" s="20" t="n">
        <v>0.64429042</v>
      </c>
      <c r="M44" s="18" t="n">
        <v>0</v>
      </c>
      <c r="N44" s="20" t="n">
        <v>0</v>
      </c>
      <c r="O44" s="18" t="n">
        <v>0</v>
      </c>
      <c r="P44" s="20" t="n">
        <v>0</v>
      </c>
      <c r="Q44" s="18" t="n">
        <v>2.05543157</v>
      </c>
      <c r="R44" s="20" t="n">
        <v>0.47713555</v>
      </c>
    </row>
    <row r="45" spans="1:18">
      <c r="A45" s="15" t="s">
        <v>604</v>
      </c>
      <c r="B45" s="17" t="n">
        <v>2670</v>
      </c>
      <c r="C45" s="18">
        <f>(1792.0/B45*100)</f>
        <v/>
      </c>
      <c r="D45" s="19" t="n">
        <v>878</v>
      </c>
      <c r="E45" s="18" t="n">
        <v>59.03070647</v>
      </c>
      <c r="F45" s="20" t="n">
        <v>2.01550274</v>
      </c>
      <c r="G45" s="18" t="n">
        <v>28.82119597</v>
      </c>
      <c r="H45" s="20" t="n">
        <v>1.83287573</v>
      </c>
      <c r="I45" s="18" t="n">
        <v>0</v>
      </c>
      <c r="J45" s="20" t="n">
        <v>0</v>
      </c>
      <c r="K45" s="18" t="n">
        <v>8.913341429999999</v>
      </c>
      <c r="L45" s="20" t="n">
        <v>1.07568461</v>
      </c>
      <c r="M45" s="18" t="n">
        <v>0.55824224</v>
      </c>
      <c r="N45" s="20" t="n">
        <v>0.26531044</v>
      </c>
      <c r="O45" s="18" t="n">
        <v>0</v>
      </c>
      <c r="P45" s="20" t="n">
        <v>0</v>
      </c>
      <c r="Q45" s="18" t="n">
        <v>2.67651389</v>
      </c>
      <c r="R45" s="20" t="n">
        <v>0.5934544899999999</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59.58828787</v>
      </c>
      <c r="F54" s="20" t="n">
        <v>1.81621279</v>
      </c>
      <c r="G54" s="18" t="n">
        <v>35.54565197</v>
      </c>
      <c r="H54" s="20" t="n">
        <v>1.77501112</v>
      </c>
      <c r="I54" s="18" t="n">
        <v>0</v>
      </c>
      <c r="J54" s="20" t="n">
        <v>0</v>
      </c>
      <c r="K54" s="18" t="n">
        <v>3.49019595</v>
      </c>
      <c r="L54" s="20" t="n">
        <v>0.6379029899999999</v>
      </c>
      <c r="M54" s="18" t="n">
        <v>0</v>
      </c>
      <c r="N54" s="20" t="n">
        <v>0</v>
      </c>
      <c r="O54" s="18" t="n">
        <v>0</v>
      </c>
      <c r="P54" s="20" t="n">
        <v>0</v>
      </c>
      <c r="Q54" s="18" t="n">
        <v>1.3758642</v>
      </c>
      <c r="R54" s="20" t="n">
        <v>0.41275965</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65.86840598000001</v>
      </c>
      <c r="F56" s="20" t="n">
        <v>1.51082953</v>
      </c>
      <c r="G56" s="18" t="n">
        <v>29.24253589</v>
      </c>
      <c r="H56" s="20" t="n">
        <v>1.36593644</v>
      </c>
      <c r="I56" s="18" t="n">
        <v>0</v>
      </c>
      <c r="J56" s="20" t="n">
        <v>0</v>
      </c>
      <c r="K56" s="18" t="n">
        <v>3.44114936</v>
      </c>
      <c r="L56" s="20" t="n">
        <v>0.64178001</v>
      </c>
      <c r="M56" s="18" t="n">
        <v>0.08072591</v>
      </c>
      <c r="N56" s="20" t="n">
        <v>0.08078709000000001</v>
      </c>
      <c r="O56" s="18" t="n">
        <v>0</v>
      </c>
      <c r="P56" s="20" t="n">
        <v>0</v>
      </c>
      <c r="Q56" s="18" t="n">
        <v>1.36718286</v>
      </c>
      <c r="R56" s="20" t="n">
        <v>0.38708185</v>
      </c>
    </row>
    <row r="57" spans="1:18">
      <c r="A57" s="15" t="s">
        <v>616</v>
      </c>
      <c r="B57" s="17" t="n">
        <v>3737</v>
      </c>
      <c r="C57" s="18">
        <f>(2483.0/B57*100)</f>
        <v/>
      </c>
      <c r="D57" s="19" t="n">
        <v>1254</v>
      </c>
      <c r="E57" s="18" t="n">
        <v>62.77872598</v>
      </c>
      <c r="F57" s="20" t="n">
        <v>1.57521712</v>
      </c>
      <c r="G57" s="18" t="n">
        <v>32.78123996</v>
      </c>
      <c r="H57" s="20" t="n">
        <v>1.63206132</v>
      </c>
      <c r="I57" s="18" t="n">
        <v>0</v>
      </c>
      <c r="J57" s="20" t="n">
        <v>0</v>
      </c>
      <c r="K57" s="18" t="n">
        <v>3.44680247</v>
      </c>
      <c r="L57" s="20" t="n">
        <v>0.54342989</v>
      </c>
      <c r="M57" s="18" t="n">
        <v>0</v>
      </c>
      <c r="N57" s="20" t="n">
        <v>0</v>
      </c>
      <c r="O57" s="18" t="n">
        <v>0</v>
      </c>
      <c r="P57" s="20" t="n">
        <v>0</v>
      </c>
      <c r="Q57" s="18" t="n">
        <v>0.99323158</v>
      </c>
      <c r="R57" s="20" t="n">
        <v>0.34122832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69.07676316</v>
      </c>
      <c r="F59" s="20" t="n">
        <v>1.88198986</v>
      </c>
      <c r="G59" s="18" t="n">
        <v>27.36221107</v>
      </c>
      <c r="H59" s="20" t="n">
        <v>1.87163259</v>
      </c>
      <c r="I59" s="18" t="n">
        <v>0</v>
      </c>
      <c r="J59" s="20" t="n">
        <v>0</v>
      </c>
      <c r="K59" s="18" t="n">
        <v>1.46699507</v>
      </c>
      <c r="L59" s="20" t="n">
        <v>0.37551523</v>
      </c>
      <c r="M59" s="18" t="n">
        <v>0</v>
      </c>
      <c r="N59" s="20" t="n">
        <v>0</v>
      </c>
      <c r="O59" s="18" t="n">
        <v>0</v>
      </c>
      <c r="P59" s="20" t="n">
        <v>0</v>
      </c>
      <c r="Q59" s="18" t="n">
        <v>2.0940307</v>
      </c>
      <c r="R59" s="20" t="n">
        <v>0.5742049299999999</v>
      </c>
    </row>
    <row r="60" spans="1:18">
      <c r="A60" s="15" t="s">
        <v>620</v>
      </c>
      <c r="B60" s="17" t="n">
        <v>2451</v>
      </c>
      <c r="C60" s="18">
        <f>(1642.0/B60*100)</f>
        <v/>
      </c>
      <c r="D60" s="19" t="n">
        <v>809</v>
      </c>
      <c r="E60" s="18" t="n">
        <v>53.6208314</v>
      </c>
      <c r="F60" s="20" t="n">
        <v>2.22494096</v>
      </c>
      <c r="G60" s="18" t="n">
        <v>32.83365942</v>
      </c>
      <c r="H60" s="20" t="n">
        <v>1.88255519</v>
      </c>
      <c r="I60" s="18" t="n">
        <v>0</v>
      </c>
      <c r="J60" s="20" t="n">
        <v>0</v>
      </c>
      <c r="K60" s="18" t="n">
        <v>8.33500791</v>
      </c>
      <c r="L60" s="20" t="n">
        <v>1.25328953</v>
      </c>
      <c r="M60" s="18" t="n">
        <v>0</v>
      </c>
      <c r="N60" s="20" t="n">
        <v>0</v>
      </c>
      <c r="O60" s="18" t="n">
        <v>0</v>
      </c>
      <c r="P60" s="20" t="n">
        <v>0</v>
      </c>
      <c r="Q60" s="18" t="n">
        <v>5.21050128</v>
      </c>
      <c r="R60" s="20" t="n">
        <v>0.84958657</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63.72129701</v>
      </c>
      <c r="F63" s="20" t="n">
        <v>1.56490594</v>
      </c>
      <c r="G63" s="18" t="n">
        <v>29.60997614</v>
      </c>
      <c r="H63" s="20" t="n">
        <v>1.53750542</v>
      </c>
      <c r="I63" s="18" t="n">
        <v>0</v>
      </c>
      <c r="J63" s="20" t="n">
        <v>0</v>
      </c>
      <c r="K63" s="18" t="n">
        <v>3.21563885</v>
      </c>
      <c r="L63" s="20" t="n">
        <v>0.6066014</v>
      </c>
      <c r="M63" s="18" t="n">
        <v>0</v>
      </c>
      <c r="N63" s="20" t="n">
        <v>0</v>
      </c>
      <c r="O63" s="18" t="n">
        <v>0</v>
      </c>
      <c r="P63" s="20" t="n">
        <v>0</v>
      </c>
      <c r="Q63" s="18" t="n">
        <v>3.453088</v>
      </c>
      <c r="R63" s="20" t="n">
        <v>0.6092683800000001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44.04256046</v>
      </c>
      <c r="F65" s="20" t="n">
        <v>2.15609623</v>
      </c>
      <c r="G65" s="18" t="n">
        <v>51.87175061</v>
      </c>
      <c r="H65" s="20" t="n">
        <v>2.18885089</v>
      </c>
      <c r="I65" s="18" t="n">
        <v>0</v>
      </c>
      <c r="J65" s="20" t="n">
        <v>0</v>
      </c>
      <c r="K65" s="18" t="n">
        <v>3.24839602</v>
      </c>
      <c r="L65" s="20" t="n">
        <v>0.81249984</v>
      </c>
      <c r="M65" s="18" t="n">
        <v>0</v>
      </c>
      <c r="N65" s="20" t="n">
        <v>0</v>
      </c>
      <c r="O65" s="18" t="n">
        <v>0</v>
      </c>
      <c r="P65" s="20" t="n">
        <v>0</v>
      </c>
      <c r="Q65" s="18" t="n">
        <v>0.8372929099999999</v>
      </c>
      <c r="R65" s="20" t="n">
        <v>0.38812031</v>
      </c>
    </row>
    <row r="66" spans="1:18">
      <c r="A66" s="15" t="s">
        <v>626</v>
      </c>
      <c r="B66" s="17" t="n">
        <v>2634</v>
      </c>
      <c r="C66" s="18">
        <f>(1775.0/B66*100)</f>
        <v/>
      </c>
      <c r="D66" s="19" t="n">
        <v>859</v>
      </c>
      <c r="E66" s="18" t="n">
        <v>55.47473916</v>
      </c>
      <c r="F66" s="20" t="n">
        <v>1.96951532</v>
      </c>
      <c r="G66" s="18" t="n">
        <v>31.09110721</v>
      </c>
      <c r="H66" s="20" t="n">
        <v>1.73396136</v>
      </c>
      <c r="I66" s="18" t="n">
        <v>0</v>
      </c>
      <c r="J66" s="20" t="n">
        <v>0</v>
      </c>
      <c r="K66" s="18" t="n">
        <v>9.39711471</v>
      </c>
      <c r="L66" s="20" t="n">
        <v>0.98480991</v>
      </c>
      <c r="M66" s="18" t="n">
        <v>0</v>
      </c>
      <c r="N66" s="20" t="n">
        <v>0</v>
      </c>
      <c r="O66" s="18" t="n">
        <v>0</v>
      </c>
      <c r="P66" s="20" t="n">
        <v>0</v>
      </c>
      <c r="Q66" s="18" t="n">
        <v>4.03703891</v>
      </c>
      <c r="R66" s="20" t="n">
        <v>1.16535721</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61.87438639</v>
      </c>
      <c r="F69" s="20" t="n">
        <v>3.93965333</v>
      </c>
      <c r="G69" s="18" t="n">
        <v>36.53918049</v>
      </c>
      <c r="H69" s="20" t="n">
        <v>3.69331381</v>
      </c>
      <c r="I69" s="18" t="n">
        <v>0</v>
      </c>
      <c r="J69" s="20" t="n">
        <v>0</v>
      </c>
      <c r="K69" s="18" t="n">
        <v>0.53329141</v>
      </c>
      <c r="L69" s="20" t="n">
        <v>0.5235083</v>
      </c>
      <c r="M69" s="18" t="n">
        <v>0</v>
      </c>
      <c r="N69" s="20" t="n">
        <v>0</v>
      </c>
      <c r="O69" s="18" t="n">
        <v>0</v>
      </c>
      <c r="P69" s="20" t="n">
        <v>0</v>
      </c>
      <c r="Q69" s="18" t="n">
        <v>1.05314171</v>
      </c>
      <c r="R69" s="20" t="n">
        <v>0.71233715</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62.73858397</v>
      </c>
      <c r="F71" s="20" t="n">
        <v>1.78578</v>
      </c>
      <c r="G71" s="18" t="n">
        <v>37.26141603</v>
      </c>
      <c r="H71" s="20" t="n">
        <v>1.78578</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49.23277642</v>
      </c>
      <c r="F76" s="20" t="n">
        <v>1.94561831</v>
      </c>
      <c r="G76" s="18" t="n">
        <v>36.89670684</v>
      </c>
      <c r="H76" s="20" t="n">
        <v>1.86192933</v>
      </c>
      <c r="I76" s="18" t="n">
        <v>0</v>
      </c>
      <c r="J76" s="20" t="n">
        <v>0</v>
      </c>
      <c r="K76" s="18" t="n">
        <v>9.30579391</v>
      </c>
      <c r="L76" s="20" t="n">
        <v>1.33104069</v>
      </c>
      <c r="M76" s="18" t="n">
        <v>0</v>
      </c>
      <c r="N76" s="20" t="n">
        <v>0</v>
      </c>
      <c r="O76" s="18" t="n">
        <v>0</v>
      </c>
      <c r="P76" s="20" t="n">
        <v>0</v>
      </c>
      <c r="Q76" s="18" t="n">
        <v>4.56472284</v>
      </c>
      <c r="R76" s="20" t="n">
        <v>0.93595745</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36.9308455</v>
      </c>
      <c r="F80" s="20" t="n">
        <v>1.8822737</v>
      </c>
      <c r="G80" s="18" t="n">
        <v>62.96500849</v>
      </c>
      <c r="H80" s="20" t="n">
        <v>1.87441707</v>
      </c>
      <c r="I80" s="18" t="n">
        <v>0</v>
      </c>
      <c r="J80" s="20" t="n">
        <v>0</v>
      </c>
      <c r="K80" s="18" t="n">
        <v>0.10414601</v>
      </c>
      <c r="L80" s="20" t="n">
        <v>0.10383889</v>
      </c>
      <c r="M80" s="18" t="n">
        <v>0</v>
      </c>
      <c r="N80" s="20" t="n">
        <v>0</v>
      </c>
      <c r="O80" s="18" t="n">
        <v>0</v>
      </c>
      <c r="P80" s="20" t="n">
        <v>0</v>
      </c>
      <c r="Q80" s="18" t="n">
        <v>0</v>
      </c>
      <c r="R80" s="20" t="n">
        <v>0</v>
      </c>
    </row>
    <row r="81" spans="1:18">
      <c r="A81" s="15" t="s">
        <v>641</v>
      </c>
      <c r="B81" s="17" t="n">
        <v>870</v>
      </c>
      <c r="C81" s="18">
        <f>(576.0/B81*100)</f>
        <v/>
      </c>
      <c r="D81" s="19" t="n">
        <v>294</v>
      </c>
      <c r="E81" s="18" t="n">
        <v>50.31194438</v>
      </c>
      <c r="F81" s="20" t="n">
        <v>3.50289029</v>
      </c>
      <c r="G81" s="18" t="n">
        <v>42.14538201</v>
      </c>
      <c r="H81" s="20" t="n">
        <v>3.61783642</v>
      </c>
      <c r="I81" s="18" t="n">
        <v>0</v>
      </c>
      <c r="J81" s="20" t="n">
        <v>0</v>
      </c>
      <c r="K81" s="18" t="n">
        <v>4.87431274</v>
      </c>
      <c r="L81" s="20" t="n">
        <v>1.09116896</v>
      </c>
      <c r="M81" s="18" t="n">
        <v>0</v>
      </c>
      <c r="N81" s="20" t="n">
        <v>0</v>
      </c>
      <c r="O81" s="18" t="n">
        <v>0</v>
      </c>
      <c r="P81" s="20" t="n">
        <v>0</v>
      </c>
      <c r="Q81" s="18" t="n">
        <v>2.66836087</v>
      </c>
      <c r="R81" s="20" t="n">
        <v>0.87603351</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39.06523671</v>
      </c>
      <c r="F44" s="20" t="n">
        <v>1.96359756</v>
      </c>
      <c r="G44" s="18" t="n">
        <v>56.71055082</v>
      </c>
      <c r="H44" s="20" t="n">
        <v>2.12752854</v>
      </c>
      <c r="I44" s="18" t="n">
        <v>0</v>
      </c>
      <c r="J44" s="20" t="n">
        <v>0</v>
      </c>
      <c r="K44" s="18" t="n">
        <v>3.52734378</v>
      </c>
      <c r="L44" s="20" t="n">
        <v>0.68471456</v>
      </c>
      <c r="M44" s="18" t="n">
        <v>0</v>
      </c>
      <c r="N44" s="20" t="n">
        <v>0</v>
      </c>
      <c r="O44" s="18" t="n">
        <v>0</v>
      </c>
      <c r="P44" s="20" t="n">
        <v>0</v>
      </c>
      <c r="Q44" s="18" t="n">
        <v>0.69686869</v>
      </c>
      <c r="R44" s="20" t="n">
        <v>0.2640983</v>
      </c>
    </row>
    <row r="45" spans="1:18">
      <c r="A45" s="15" t="s">
        <v>604</v>
      </c>
      <c r="B45" s="17" t="n">
        <v>2670</v>
      </c>
      <c r="C45" s="18">
        <f>(1792.0/B45*100)</f>
        <v/>
      </c>
      <c r="D45" s="19" t="n">
        <v>878</v>
      </c>
      <c r="E45" s="18" t="n">
        <v>49.49638721</v>
      </c>
      <c r="F45" s="20" t="n">
        <v>1.96231609</v>
      </c>
      <c r="G45" s="18" t="n">
        <v>38.06385182</v>
      </c>
      <c r="H45" s="20" t="n">
        <v>1.9258858</v>
      </c>
      <c r="I45" s="18" t="n">
        <v>0</v>
      </c>
      <c r="J45" s="20" t="n">
        <v>0</v>
      </c>
      <c r="K45" s="18" t="n">
        <v>11.00548344</v>
      </c>
      <c r="L45" s="20" t="n">
        <v>1.19535189</v>
      </c>
      <c r="M45" s="18" t="n">
        <v>0.46193448</v>
      </c>
      <c r="N45" s="20" t="n">
        <v>0.24016211</v>
      </c>
      <c r="O45" s="18" t="n">
        <v>0</v>
      </c>
      <c r="P45" s="20" t="n">
        <v>0</v>
      </c>
      <c r="Q45" s="18" t="n">
        <v>0.97234305</v>
      </c>
      <c r="R45" s="20" t="n">
        <v>0.34286677</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38.73935963</v>
      </c>
      <c r="F54" s="20" t="n">
        <v>1.79989465</v>
      </c>
      <c r="G54" s="18" t="n">
        <v>54.75605544</v>
      </c>
      <c r="H54" s="20" t="n">
        <v>1.85382823</v>
      </c>
      <c r="I54" s="18" t="n">
        <v>0</v>
      </c>
      <c r="J54" s="20" t="n">
        <v>0</v>
      </c>
      <c r="K54" s="18" t="n">
        <v>5.49340346</v>
      </c>
      <c r="L54" s="20" t="n">
        <v>0.83379963</v>
      </c>
      <c r="M54" s="18" t="n">
        <v>0</v>
      </c>
      <c r="N54" s="20" t="n">
        <v>0</v>
      </c>
      <c r="O54" s="18" t="n">
        <v>0</v>
      </c>
      <c r="P54" s="20" t="n">
        <v>0</v>
      </c>
      <c r="Q54" s="18" t="n">
        <v>1.01118147</v>
      </c>
      <c r="R54" s="20" t="n">
        <v>0.40878334</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54.15450815</v>
      </c>
      <c r="F56" s="20" t="n">
        <v>1.56754831</v>
      </c>
      <c r="G56" s="18" t="n">
        <v>41.48369499</v>
      </c>
      <c r="H56" s="20" t="n">
        <v>1.63443451</v>
      </c>
      <c r="I56" s="18" t="n">
        <v>0</v>
      </c>
      <c r="J56" s="20" t="n">
        <v>0</v>
      </c>
      <c r="K56" s="18" t="n">
        <v>3.68289082</v>
      </c>
      <c r="L56" s="20" t="n">
        <v>0.67728601</v>
      </c>
      <c r="M56" s="18" t="n">
        <v>0.08072591</v>
      </c>
      <c r="N56" s="20" t="n">
        <v>0.08078709000000001</v>
      </c>
      <c r="O56" s="18" t="n">
        <v>0</v>
      </c>
      <c r="P56" s="20" t="n">
        <v>0</v>
      </c>
      <c r="Q56" s="18" t="n">
        <v>0.59818013</v>
      </c>
      <c r="R56" s="20" t="n">
        <v>0.25967384</v>
      </c>
    </row>
    <row r="57" spans="1:18">
      <c r="A57" s="15" t="s">
        <v>616</v>
      </c>
      <c r="B57" s="17" t="n">
        <v>3737</v>
      </c>
      <c r="C57" s="18">
        <f>(2483.0/B57*100)</f>
        <v/>
      </c>
      <c r="D57" s="19" t="n">
        <v>1254</v>
      </c>
      <c r="E57" s="18" t="n">
        <v>49.05530587</v>
      </c>
      <c r="F57" s="20" t="n">
        <v>1.96556961</v>
      </c>
      <c r="G57" s="18" t="n">
        <v>46.54624057</v>
      </c>
      <c r="H57" s="20" t="n">
        <v>1.88330946</v>
      </c>
      <c r="I57" s="18" t="n">
        <v>0</v>
      </c>
      <c r="J57" s="20" t="n">
        <v>0</v>
      </c>
      <c r="K57" s="18" t="n">
        <v>3.91957849</v>
      </c>
      <c r="L57" s="20" t="n">
        <v>0.59399486</v>
      </c>
      <c r="M57" s="18" t="n">
        <v>0</v>
      </c>
      <c r="N57" s="20" t="n">
        <v>0</v>
      </c>
      <c r="O57" s="18" t="n">
        <v>0</v>
      </c>
      <c r="P57" s="20" t="n">
        <v>0</v>
      </c>
      <c r="Q57" s="18" t="n">
        <v>0.47887506</v>
      </c>
      <c r="R57" s="20" t="n">
        <v>0.2325566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52.5172548</v>
      </c>
      <c r="F59" s="20" t="n">
        <v>2.20094467</v>
      </c>
      <c r="G59" s="18" t="n">
        <v>45.82955</v>
      </c>
      <c r="H59" s="20" t="n">
        <v>2.21871726</v>
      </c>
      <c r="I59" s="18" t="n">
        <v>0</v>
      </c>
      <c r="J59" s="20" t="n">
        <v>0</v>
      </c>
      <c r="K59" s="18" t="n">
        <v>1.46699507</v>
      </c>
      <c r="L59" s="20" t="n">
        <v>0.37551523</v>
      </c>
      <c r="M59" s="18" t="n">
        <v>0</v>
      </c>
      <c r="N59" s="20" t="n">
        <v>0</v>
      </c>
      <c r="O59" s="18" t="n">
        <v>0</v>
      </c>
      <c r="P59" s="20" t="n">
        <v>0</v>
      </c>
      <c r="Q59" s="18" t="n">
        <v>0.18620013</v>
      </c>
      <c r="R59" s="20" t="n">
        <v>0.13680764</v>
      </c>
    </row>
    <row r="60" spans="1:18">
      <c r="A60" s="15" t="s">
        <v>620</v>
      </c>
      <c r="B60" s="17" t="n">
        <v>2451</v>
      </c>
      <c r="C60" s="18">
        <f>(1642.0/B60*100)</f>
        <v/>
      </c>
      <c r="D60" s="19" t="n">
        <v>809</v>
      </c>
      <c r="E60" s="18" t="n">
        <v>51.05621309</v>
      </c>
      <c r="F60" s="20" t="n">
        <v>1.8888439</v>
      </c>
      <c r="G60" s="18" t="n">
        <v>38.17950794</v>
      </c>
      <c r="H60" s="20" t="n">
        <v>1.88048355</v>
      </c>
      <c r="I60" s="18" t="n">
        <v>0</v>
      </c>
      <c r="J60" s="20" t="n">
        <v>0</v>
      </c>
      <c r="K60" s="18" t="n">
        <v>9.65714322</v>
      </c>
      <c r="L60" s="20" t="n">
        <v>1.31463252</v>
      </c>
      <c r="M60" s="18" t="n">
        <v>0</v>
      </c>
      <c r="N60" s="20" t="n">
        <v>0</v>
      </c>
      <c r="O60" s="18" t="n">
        <v>0</v>
      </c>
      <c r="P60" s="20" t="n">
        <v>0</v>
      </c>
      <c r="Q60" s="18" t="n">
        <v>1.10713576</v>
      </c>
      <c r="R60" s="20" t="n">
        <v>0.39825302</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47.98587156</v>
      </c>
      <c r="F63" s="20" t="n">
        <v>1.70890155</v>
      </c>
      <c r="G63" s="18" t="n">
        <v>45.91617284</v>
      </c>
      <c r="H63" s="20" t="n">
        <v>1.75070998</v>
      </c>
      <c r="I63" s="18" t="n">
        <v>0</v>
      </c>
      <c r="J63" s="20" t="n">
        <v>0</v>
      </c>
      <c r="K63" s="18" t="n">
        <v>3.91185241</v>
      </c>
      <c r="L63" s="20" t="n">
        <v>0.65945384</v>
      </c>
      <c r="M63" s="18" t="n">
        <v>0</v>
      </c>
      <c r="N63" s="20" t="n">
        <v>0</v>
      </c>
      <c r="O63" s="18" t="n">
        <v>0</v>
      </c>
      <c r="P63" s="20" t="n">
        <v>0</v>
      </c>
      <c r="Q63" s="18" t="n">
        <v>2.1861032</v>
      </c>
      <c r="R63" s="20" t="n">
        <v>0.5606287599999999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36.5436422</v>
      </c>
      <c r="F65" s="20" t="n">
        <v>1.87054255</v>
      </c>
      <c r="G65" s="18" t="n">
        <v>59.33051619</v>
      </c>
      <c r="H65" s="20" t="n">
        <v>1.96339647</v>
      </c>
      <c r="I65" s="18" t="n">
        <v>0</v>
      </c>
      <c r="J65" s="20" t="n">
        <v>0</v>
      </c>
      <c r="K65" s="18" t="n">
        <v>3.40093537</v>
      </c>
      <c r="L65" s="20" t="n">
        <v>0.82936681</v>
      </c>
      <c r="M65" s="18" t="n">
        <v>0</v>
      </c>
      <c r="N65" s="20" t="n">
        <v>0</v>
      </c>
      <c r="O65" s="18" t="n">
        <v>0.15890558</v>
      </c>
      <c r="P65" s="20" t="n">
        <v>0.15837116</v>
      </c>
      <c r="Q65" s="18" t="n">
        <v>0.56600066</v>
      </c>
      <c r="R65" s="20" t="n">
        <v>0.31237993</v>
      </c>
    </row>
    <row r="66" spans="1:18">
      <c r="A66" s="15" t="s">
        <v>626</v>
      </c>
      <c r="B66" s="17" t="n">
        <v>2634</v>
      </c>
      <c r="C66" s="18">
        <f>(1775.0/B66*100)</f>
        <v/>
      </c>
      <c r="D66" s="19" t="n">
        <v>859</v>
      </c>
      <c r="E66" s="18" t="n">
        <v>34.86231582</v>
      </c>
      <c r="F66" s="20" t="n">
        <v>1.61402735</v>
      </c>
      <c r="G66" s="18" t="n">
        <v>53.28922809</v>
      </c>
      <c r="H66" s="20" t="n">
        <v>1.64443366</v>
      </c>
      <c r="I66" s="18" t="n">
        <v>0</v>
      </c>
      <c r="J66" s="20" t="n">
        <v>0</v>
      </c>
      <c r="K66" s="18" t="n">
        <v>11.10138706</v>
      </c>
      <c r="L66" s="20" t="n">
        <v>1.02938052</v>
      </c>
      <c r="M66" s="18" t="n">
        <v>0</v>
      </c>
      <c r="N66" s="20" t="n">
        <v>0</v>
      </c>
      <c r="O66" s="18" t="n">
        <v>0</v>
      </c>
      <c r="P66" s="20" t="n">
        <v>0</v>
      </c>
      <c r="Q66" s="18" t="n">
        <v>0.74706903</v>
      </c>
      <c r="R66" s="20" t="n">
        <v>0.28805711</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48.83595467</v>
      </c>
      <c r="F69" s="20" t="n">
        <v>2.68315262</v>
      </c>
      <c r="G69" s="18" t="n">
        <v>50.25210418</v>
      </c>
      <c r="H69" s="20" t="n">
        <v>2.43819797</v>
      </c>
      <c r="I69" s="18" t="n">
        <v>0</v>
      </c>
      <c r="J69" s="20" t="n">
        <v>0</v>
      </c>
      <c r="K69" s="18" t="n">
        <v>0.91194115</v>
      </c>
      <c r="L69" s="20" t="n">
        <v>0.65030226</v>
      </c>
      <c r="M69" s="18" t="n">
        <v>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53.3546438</v>
      </c>
      <c r="F71" s="20" t="n">
        <v>1.98806326</v>
      </c>
      <c r="G71" s="18" t="n">
        <v>46.6453562</v>
      </c>
      <c r="H71" s="20" t="n">
        <v>1.98806326</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32.50591094</v>
      </c>
      <c r="F76" s="20" t="n">
        <v>1.87852924</v>
      </c>
      <c r="G76" s="18" t="n">
        <v>56.57425339</v>
      </c>
      <c r="H76" s="20" t="n">
        <v>1.96932506</v>
      </c>
      <c r="I76" s="18" t="n">
        <v>0</v>
      </c>
      <c r="J76" s="20" t="n">
        <v>0</v>
      </c>
      <c r="K76" s="18" t="n">
        <v>10.38823072</v>
      </c>
      <c r="L76" s="20" t="n">
        <v>1.40139648</v>
      </c>
      <c r="M76" s="18" t="n">
        <v>0</v>
      </c>
      <c r="N76" s="20" t="n">
        <v>0</v>
      </c>
      <c r="O76" s="18" t="n">
        <v>0</v>
      </c>
      <c r="P76" s="20" t="n">
        <v>0</v>
      </c>
      <c r="Q76" s="18" t="n">
        <v>0.53160496</v>
      </c>
      <c r="R76" s="20" t="n">
        <v>0.26746181</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16.00770791</v>
      </c>
      <c r="F80" s="20" t="n">
        <v>1.57604221</v>
      </c>
      <c r="G80" s="18" t="n">
        <v>83.88814608</v>
      </c>
      <c r="H80" s="20" t="n">
        <v>1.58378151</v>
      </c>
      <c r="I80" s="18" t="n">
        <v>0</v>
      </c>
      <c r="J80" s="20" t="n">
        <v>0</v>
      </c>
      <c r="K80" s="18" t="n">
        <v>0.10414601</v>
      </c>
      <c r="L80" s="20" t="n">
        <v>0.10383889</v>
      </c>
      <c r="M80" s="18" t="n">
        <v>0</v>
      </c>
      <c r="N80" s="20" t="n">
        <v>0</v>
      </c>
      <c r="O80" s="18" t="n">
        <v>0</v>
      </c>
      <c r="P80" s="20" t="n">
        <v>0</v>
      </c>
      <c r="Q80" s="18" t="n">
        <v>0</v>
      </c>
      <c r="R80" s="20" t="n">
        <v>0</v>
      </c>
    </row>
    <row r="81" spans="1:18">
      <c r="A81" s="15" t="s">
        <v>641</v>
      </c>
      <c r="B81" s="17" t="n">
        <v>870</v>
      </c>
      <c r="C81" s="18">
        <f>(576.0/B81*100)</f>
        <v/>
      </c>
      <c r="D81" s="19" t="n">
        <v>294</v>
      </c>
      <c r="E81" s="18" t="n">
        <v>23.53377193</v>
      </c>
      <c r="F81" s="20" t="n">
        <v>2.411139</v>
      </c>
      <c r="G81" s="18" t="n">
        <v>71.14031713</v>
      </c>
      <c r="H81" s="20" t="n">
        <v>2.78230034</v>
      </c>
      <c r="I81" s="18" t="n">
        <v>0</v>
      </c>
      <c r="J81" s="20" t="n">
        <v>0</v>
      </c>
      <c r="K81" s="18" t="n">
        <v>5.16296475</v>
      </c>
      <c r="L81" s="20" t="n">
        <v>1.12091902</v>
      </c>
      <c r="M81" s="18" t="n">
        <v>0</v>
      </c>
      <c r="N81" s="20" t="n">
        <v>0</v>
      </c>
      <c r="O81" s="18" t="n">
        <v>0</v>
      </c>
      <c r="P81" s="20" t="n">
        <v>0</v>
      </c>
      <c r="Q81" s="18" t="n">
        <v>0.16294619</v>
      </c>
      <c r="R81" s="20" t="n">
        <v>0.16462555</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43.37099336</v>
      </c>
      <c r="F44" s="20" t="n">
        <v>1.73664279</v>
      </c>
      <c r="G44" s="18" t="n">
        <v>52.24373266</v>
      </c>
      <c r="H44" s="20" t="n">
        <v>1.87610688</v>
      </c>
      <c r="I44" s="18" t="n">
        <v>0</v>
      </c>
      <c r="J44" s="20" t="n">
        <v>0</v>
      </c>
      <c r="K44" s="18" t="n">
        <v>3.78451805</v>
      </c>
      <c r="L44" s="20" t="n">
        <v>0.67935115</v>
      </c>
      <c r="M44" s="18" t="n">
        <v>0</v>
      </c>
      <c r="N44" s="20" t="n">
        <v>0</v>
      </c>
      <c r="O44" s="18" t="n">
        <v>0</v>
      </c>
      <c r="P44" s="20" t="n">
        <v>0</v>
      </c>
      <c r="Q44" s="18" t="n">
        <v>0.60075593</v>
      </c>
      <c r="R44" s="20" t="n">
        <v>0.28058333</v>
      </c>
    </row>
    <row r="45" spans="1:18">
      <c r="A45" s="15" t="s">
        <v>604</v>
      </c>
      <c r="B45" s="17" t="n">
        <v>2670</v>
      </c>
      <c r="C45" s="18">
        <f>(1792.0/B45*100)</f>
        <v/>
      </c>
      <c r="D45" s="19" t="n">
        <v>878</v>
      </c>
      <c r="E45" s="18" t="n">
        <v>48.25578678</v>
      </c>
      <c r="F45" s="20" t="n">
        <v>1.88717887</v>
      </c>
      <c r="G45" s="18" t="n">
        <v>37.20137567</v>
      </c>
      <c r="H45" s="20" t="n">
        <v>1.72383104</v>
      </c>
      <c r="I45" s="18" t="n">
        <v>0</v>
      </c>
      <c r="J45" s="20" t="n">
        <v>0</v>
      </c>
      <c r="K45" s="18" t="n">
        <v>12.90600122</v>
      </c>
      <c r="L45" s="20" t="n">
        <v>1.33354732</v>
      </c>
      <c r="M45" s="18" t="n">
        <v>0.51261229</v>
      </c>
      <c r="N45" s="20" t="n">
        <v>0.24661455</v>
      </c>
      <c r="O45" s="18" t="n">
        <v>0</v>
      </c>
      <c r="P45" s="20" t="n">
        <v>0</v>
      </c>
      <c r="Q45" s="18" t="n">
        <v>1.12422404</v>
      </c>
      <c r="R45" s="20" t="n">
        <v>0.38879649</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49.86691875</v>
      </c>
      <c r="F54" s="20" t="n">
        <v>1.86821353</v>
      </c>
      <c r="G54" s="18" t="n">
        <v>43.3426888</v>
      </c>
      <c r="H54" s="20" t="n">
        <v>1.72693485</v>
      </c>
      <c r="I54" s="18" t="n">
        <v>0</v>
      </c>
      <c r="J54" s="20" t="n">
        <v>0</v>
      </c>
      <c r="K54" s="18" t="n">
        <v>6.39411684</v>
      </c>
      <c r="L54" s="20" t="n">
        <v>0.86628566</v>
      </c>
      <c r="M54" s="18" t="n">
        <v>0</v>
      </c>
      <c r="N54" s="20" t="n">
        <v>0</v>
      </c>
      <c r="O54" s="18" t="n">
        <v>0</v>
      </c>
      <c r="P54" s="20" t="n">
        <v>0</v>
      </c>
      <c r="Q54" s="18" t="n">
        <v>0.39627561</v>
      </c>
      <c r="R54" s="20" t="n">
        <v>0.24554771</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40.5687886</v>
      </c>
      <c r="F56" s="20" t="n">
        <v>1.89334965</v>
      </c>
      <c r="G56" s="18" t="n">
        <v>53.87715204</v>
      </c>
      <c r="H56" s="20" t="n">
        <v>1.96699875</v>
      </c>
      <c r="I56" s="18" t="n">
        <v>0</v>
      </c>
      <c r="J56" s="20" t="n">
        <v>0</v>
      </c>
      <c r="K56" s="18" t="n">
        <v>4.77005387</v>
      </c>
      <c r="L56" s="20" t="n">
        <v>0.81341127</v>
      </c>
      <c r="M56" s="18" t="n">
        <v>0</v>
      </c>
      <c r="N56" s="20" t="n">
        <v>0</v>
      </c>
      <c r="O56" s="18" t="n">
        <v>0</v>
      </c>
      <c r="P56" s="20" t="n">
        <v>0</v>
      </c>
      <c r="Q56" s="18" t="n">
        <v>0.78400548</v>
      </c>
      <c r="R56" s="20" t="n">
        <v>0.31079866</v>
      </c>
    </row>
    <row r="57" spans="1:18">
      <c r="A57" s="15" t="s">
        <v>616</v>
      </c>
      <c r="B57" s="17" t="n">
        <v>3737</v>
      </c>
      <c r="C57" s="18">
        <f>(2483.0/B57*100)</f>
        <v/>
      </c>
      <c r="D57" s="19" t="n">
        <v>1254</v>
      </c>
      <c r="E57" s="18" t="n">
        <v>47.35372179</v>
      </c>
      <c r="F57" s="20" t="n">
        <v>1.71378773</v>
      </c>
      <c r="G57" s="18" t="n">
        <v>48.02806789</v>
      </c>
      <c r="H57" s="20" t="n">
        <v>1.78586478</v>
      </c>
      <c r="I57" s="18" t="n">
        <v>0</v>
      </c>
      <c r="J57" s="20" t="n">
        <v>0</v>
      </c>
      <c r="K57" s="18" t="n">
        <v>4.34103604</v>
      </c>
      <c r="L57" s="20" t="n">
        <v>0.65084092</v>
      </c>
      <c r="M57" s="18" t="n">
        <v>0</v>
      </c>
      <c r="N57" s="20" t="n">
        <v>0</v>
      </c>
      <c r="O57" s="18" t="n">
        <v>0</v>
      </c>
      <c r="P57" s="20" t="n">
        <v>0</v>
      </c>
      <c r="Q57" s="18" t="n">
        <v>0.27717427</v>
      </c>
      <c r="R57" s="20" t="n">
        <v>0.16136829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58.31529607</v>
      </c>
      <c r="F59" s="20" t="n">
        <v>2.0387888</v>
      </c>
      <c r="G59" s="18" t="n">
        <v>39.60232299</v>
      </c>
      <c r="H59" s="20" t="n">
        <v>2.04602082</v>
      </c>
      <c r="I59" s="18" t="n">
        <v>0</v>
      </c>
      <c r="J59" s="20" t="n">
        <v>0</v>
      </c>
      <c r="K59" s="18" t="n">
        <v>1.59500996</v>
      </c>
      <c r="L59" s="20" t="n">
        <v>0.38646718</v>
      </c>
      <c r="M59" s="18" t="n">
        <v>0</v>
      </c>
      <c r="N59" s="20" t="n">
        <v>0</v>
      </c>
      <c r="O59" s="18" t="n">
        <v>0</v>
      </c>
      <c r="P59" s="20" t="n">
        <v>0</v>
      </c>
      <c r="Q59" s="18" t="n">
        <v>0.48737099</v>
      </c>
      <c r="R59" s="20" t="n">
        <v>0.2479281</v>
      </c>
    </row>
    <row r="60" spans="1:18">
      <c r="A60" s="15" t="s">
        <v>620</v>
      </c>
      <c r="B60" s="17" t="n">
        <v>2451</v>
      </c>
      <c r="C60" s="18">
        <f>(1642.0/B60*100)</f>
        <v/>
      </c>
      <c r="D60" s="19" t="n">
        <v>809</v>
      </c>
      <c r="E60" s="18" t="n">
        <v>47.30044112</v>
      </c>
      <c r="F60" s="20" t="n">
        <v>1.98078256</v>
      </c>
      <c r="G60" s="18" t="n">
        <v>40.92944868</v>
      </c>
      <c r="H60" s="20" t="n">
        <v>1.94337109</v>
      </c>
      <c r="I60" s="18" t="n">
        <v>0</v>
      </c>
      <c r="J60" s="20" t="n">
        <v>0</v>
      </c>
      <c r="K60" s="18" t="n">
        <v>10.3834405</v>
      </c>
      <c r="L60" s="20" t="n">
        <v>1.31114805</v>
      </c>
      <c r="M60" s="18" t="n">
        <v>0</v>
      </c>
      <c r="N60" s="20" t="n">
        <v>0</v>
      </c>
      <c r="O60" s="18" t="n">
        <v>0</v>
      </c>
      <c r="P60" s="20" t="n">
        <v>0</v>
      </c>
      <c r="Q60" s="18" t="n">
        <v>1.3866697</v>
      </c>
      <c r="R60" s="20" t="n">
        <v>0.40293911</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49.75908996</v>
      </c>
      <c r="F63" s="20" t="n">
        <v>1.91441006</v>
      </c>
      <c r="G63" s="18" t="n">
        <v>45.21619819</v>
      </c>
      <c r="H63" s="20" t="n">
        <v>1.82407515</v>
      </c>
      <c r="I63" s="18" t="n">
        <v>0</v>
      </c>
      <c r="J63" s="20" t="n">
        <v>0</v>
      </c>
      <c r="K63" s="18" t="n">
        <v>4.08468882</v>
      </c>
      <c r="L63" s="20" t="n">
        <v>0.68526722</v>
      </c>
      <c r="M63" s="18" t="n">
        <v>0</v>
      </c>
      <c r="N63" s="20" t="n">
        <v>0</v>
      </c>
      <c r="O63" s="18" t="n">
        <v>0</v>
      </c>
      <c r="P63" s="20" t="n">
        <v>0</v>
      </c>
      <c r="Q63" s="18" t="n">
        <v>0.94002303</v>
      </c>
      <c r="R63" s="20" t="n">
        <v>0.36519325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33.48943631</v>
      </c>
      <c r="F65" s="20" t="n">
        <v>1.74618476</v>
      </c>
      <c r="G65" s="18" t="n">
        <v>62.22476983</v>
      </c>
      <c r="H65" s="20" t="n">
        <v>1.88095538</v>
      </c>
      <c r="I65" s="18" t="n">
        <v>0</v>
      </c>
      <c r="J65" s="20" t="n">
        <v>0</v>
      </c>
      <c r="K65" s="18" t="n">
        <v>4.05774107</v>
      </c>
      <c r="L65" s="20" t="n">
        <v>0.93128096</v>
      </c>
      <c r="M65" s="18" t="n">
        <v>0</v>
      </c>
      <c r="N65" s="20" t="n">
        <v>0</v>
      </c>
      <c r="O65" s="18" t="n">
        <v>0</v>
      </c>
      <c r="P65" s="20" t="n">
        <v>0</v>
      </c>
      <c r="Q65" s="18" t="n">
        <v>0.22805278</v>
      </c>
      <c r="R65" s="20" t="n">
        <v>0.23075266</v>
      </c>
    </row>
    <row r="66" spans="1:18">
      <c r="A66" s="15" t="s">
        <v>626</v>
      </c>
      <c r="B66" s="17" t="n">
        <v>2634</v>
      </c>
      <c r="C66" s="18">
        <f>(1775.0/B66*100)</f>
        <v/>
      </c>
      <c r="D66" s="19" t="n">
        <v>859</v>
      </c>
      <c r="E66" s="18" t="n">
        <v>33.54258582</v>
      </c>
      <c r="F66" s="20" t="n">
        <v>1.71998995</v>
      </c>
      <c r="G66" s="18" t="n">
        <v>53.61779578</v>
      </c>
      <c r="H66" s="20" t="n">
        <v>1.72633077</v>
      </c>
      <c r="I66" s="18" t="n">
        <v>0</v>
      </c>
      <c r="J66" s="20" t="n">
        <v>0</v>
      </c>
      <c r="K66" s="18" t="n">
        <v>12.13003114</v>
      </c>
      <c r="L66" s="20" t="n">
        <v>1.05772097</v>
      </c>
      <c r="M66" s="18" t="n">
        <v>0</v>
      </c>
      <c r="N66" s="20" t="n">
        <v>0</v>
      </c>
      <c r="O66" s="18" t="n">
        <v>0</v>
      </c>
      <c r="P66" s="20" t="n">
        <v>0</v>
      </c>
      <c r="Q66" s="18" t="n">
        <v>0.7095872600000001</v>
      </c>
      <c r="R66" s="20" t="n">
        <v>0.31448087</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42.81357802</v>
      </c>
      <c r="F69" s="20" t="n">
        <v>2.58797117</v>
      </c>
      <c r="G69" s="18" t="n">
        <v>56.27448083</v>
      </c>
      <c r="H69" s="20" t="n">
        <v>2.78319628</v>
      </c>
      <c r="I69" s="18" t="n">
        <v>0</v>
      </c>
      <c r="J69" s="20" t="n">
        <v>0</v>
      </c>
      <c r="K69" s="18" t="n">
        <v>0.91194115</v>
      </c>
      <c r="L69" s="20" t="n">
        <v>0.65030226</v>
      </c>
      <c r="M69" s="18" t="n">
        <v>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51.94461981</v>
      </c>
      <c r="F71" s="20" t="n">
        <v>1.83332374</v>
      </c>
      <c r="G71" s="18" t="n">
        <v>48.05538019</v>
      </c>
      <c r="H71" s="20" t="n">
        <v>1.83332374</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30.3346912</v>
      </c>
      <c r="F76" s="20" t="n">
        <v>1.92652886</v>
      </c>
      <c r="G76" s="18" t="n">
        <v>58.46278173</v>
      </c>
      <c r="H76" s="20" t="n">
        <v>1.93047104</v>
      </c>
      <c r="I76" s="18" t="n">
        <v>0</v>
      </c>
      <c r="J76" s="20" t="n">
        <v>0</v>
      </c>
      <c r="K76" s="18" t="n">
        <v>11.20252707</v>
      </c>
      <c r="L76" s="20" t="n">
        <v>1.44942089</v>
      </c>
      <c r="M76" s="18" t="n">
        <v>0</v>
      </c>
      <c r="N76" s="20" t="n">
        <v>0</v>
      </c>
      <c r="O76" s="18" t="n">
        <v>0</v>
      </c>
      <c r="P76" s="20" t="n">
        <v>0</v>
      </c>
      <c r="Q76" s="18" t="n">
        <v>0</v>
      </c>
      <c r="R76" s="20" t="n">
        <v>0</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13.73476544</v>
      </c>
      <c r="F80" s="20" t="n">
        <v>1.20297049</v>
      </c>
      <c r="G80" s="18" t="n">
        <v>86.16108855</v>
      </c>
      <c r="H80" s="20" t="n">
        <v>1.20390922</v>
      </c>
      <c r="I80" s="18" t="n">
        <v>0</v>
      </c>
      <c r="J80" s="20" t="n">
        <v>0</v>
      </c>
      <c r="K80" s="18" t="n">
        <v>0.10414601</v>
      </c>
      <c r="L80" s="20" t="n">
        <v>0.10383889</v>
      </c>
      <c r="M80" s="18" t="n">
        <v>0</v>
      </c>
      <c r="N80" s="20" t="n">
        <v>0</v>
      </c>
      <c r="O80" s="18" t="n">
        <v>0</v>
      </c>
      <c r="P80" s="20" t="n">
        <v>0</v>
      </c>
      <c r="Q80" s="18" t="n">
        <v>0</v>
      </c>
      <c r="R80" s="20" t="n">
        <v>0</v>
      </c>
    </row>
    <row r="81" spans="1:18">
      <c r="A81" s="15" t="s">
        <v>641</v>
      </c>
      <c r="B81" s="17" t="n">
        <v>870</v>
      </c>
      <c r="C81" s="18">
        <f>(576.0/B81*100)</f>
        <v/>
      </c>
      <c r="D81" s="19" t="n">
        <v>294</v>
      </c>
      <c r="E81" s="18" t="n">
        <v>18.70965304</v>
      </c>
      <c r="F81" s="20" t="n">
        <v>1.67069239</v>
      </c>
      <c r="G81" s="18" t="n">
        <v>75.09923332</v>
      </c>
      <c r="H81" s="20" t="n">
        <v>1.75244531</v>
      </c>
      <c r="I81" s="18" t="n">
        <v>0</v>
      </c>
      <c r="J81" s="20" t="n">
        <v>0</v>
      </c>
      <c r="K81" s="18" t="n">
        <v>5.50967538</v>
      </c>
      <c r="L81" s="20" t="n">
        <v>1.09743674</v>
      </c>
      <c r="M81" s="18" t="n">
        <v>0</v>
      </c>
      <c r="N81" s="20" t="n">
        <v>0</v>
      </c>
      <c r="O81" s="18" t="n">
        <v>0</v>
      </c>
      <c r="P81" s="20" t="n">
        <v>0</v>
      </c>
      <c r="Q81" s="18" t="n">
        <v>0.68143827</v>
      </c>
      <c r="R81" s="20" t="n">
        <v>0.48587806</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(1807.0/B44*100)</f>
        <v/>
      </c>
      <c r="D44" s="19" t="n">
        <v>884</v>
      </c>
      <c r="E44" s="18" t="n">
        <v>61.78835045</v>
      </c>
      <c r="F44" s="20" t="n">
        <v>2.10271932</v>
      </c>
      <c r="G44" s="18" t="n">
        <v>31.04316545</v>
      </c>
      <c r="H44" s="20" t="n">
        <v>1.88630971</v>
      </c>
      <c r="I44" s="18" t="n">
        <v>0</v>
      </c>
      <c r="J44" s="20" t="n">
        <v>0</v>
      </c>
      <c r="K44" s="18" t="n">
        <v>6.45027444</v>
      </c>
      <c r="L44" s="20" t="n">
        <v>0.93486357</v>
      </c>
      <c r="M44" s="18" t="n">
        <v>0</v>
      </c>
      <c r="N44" s="20" t="n">
        <v>0</v>
      </c>
      <c r="O44" s="18" t="n">
        <v>0.71820966</v>
      </c>
      <c r="P44" s="20" t="n">
        <v>0.27752074</v>
      </c>
      <c r="Q44" s="18" t="n">
        <v>0</v>
      </c>
      <c r="R44" s="20" t="n">
        <v>0</v>
      </c>
    </row>
    <row r="45" spans="1:18">
      <c r="A45" s="15" t="s">
        <v>604</v>
      </c>
      <c r="B45" s="17" t="n">
        <v>2670</v>
      </c>
      <c r="C45" s="18">
        <f>(1792.0/B45*100)</f>
        <v/>
      </c>
      <c r="D45" s="19" t="n">
        <v>878</v>
      </c>
      <c r="E45" s="18" t="n">
        <v>62.33768342</v>
      </c>
      <c r="F45" s="20" t="n">
        <v>1.82099519</v>
      </c>
      <c r="G45" s="18" t="n">
        <v>18.64220744</v>
      </c>
      <c r="H45" s="20" t="n">
        <v>1.40475329</v>
      </c>
      <c r="I45" s="18" t="n">
        <v>0</v>
      </c>
      <c r="J45" s="20" t="n">
        <v>0</v>
      </c>
      <c r="K45" s="18" t="n">
        <v>14.15360774</v>
      </c>
      <c r="L45" s="20" t="n">
        <v>1.40202335</v>
      </c>
      <c r="M45" s="18" t="n">
        <v>1.20129741</v>
      </c>
      <c r="N45" s="20" t="n">
        <v>0.4061085</v>
      </c>
      <c r="O45" s="18" t="n">
        <v>3.665204</v>
      </c>
      <c r="P45" s="20" t="n">
        <v>0.7133325</v>
      </c>
      <c r="Q45" s="18" t="n">
        <v>0</v>
      </c>
      <c r="R45" s="20" t="n">
        <v>0</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(1710.0/B54*100)</f>
        <v/>
      </c>
      <c r="D54" s="19" t="n">
        <v>847</v>
      </c>
      <c r="E54" s="18" t="n">
        <v>54.85462139</v>
      </c>
      <c r="F54" s="20" t="n">
        <v>1.65587002</v>
      </c>
      <c r="G54" s="18" t="n">
        <v>36.97512371</v>
      </c>
      <c r="H54" s="20" t="n">
        <v>1.53886839</v>
      </c>
      <c r="I54" s="18" t="n">
        <v>0</v>
      </c>
      <c r="J54" s="20" t="n">
        <v>0</v>
      </c>
      <c r="K54" s="18" t="n">
        <v>7.74802874</v>
      </c>
      <c r="L54" s="20" t="n">
        <v>0.99791333</v>
      </c>
      <c r="M54" s="18" t="n">
        <v>0</v>
      </c>
      <c r="N54" s="20" t="n">
        <v>0</v>
      </c>
      <c r="O54" s="18" t="n">
        <v>0.42222617</v>
      </c>
      <c r="P54" s="20" t="n">
        <v>0.20962735</v>
      </c>
      <c r="Q54" s="18" t="n">
        <v>0</v>
      </c>
      <c r="R54" s="20" t="n">
        <v>0</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(2194.0/B56*100)</f>
        <v/>
      </c>
      <c r="D56" s="19" t="n">
        <v>1149</v>
      </c>
      <c r="E56" s="18" t="n">
        <v>71.15325076000001</v>
      </c>
      <c r="F56" s="20" t="n">
        <v>1.71469292</v>
      </c>
      <c r="G56" s="18" t="n">
        <v>22.53090825</v>
      </c>
      <c r="H56" s="20" t="n">
        <v>1.63730659</v>
      </c>
      <c r="I56" s="18" t="n">
        <v>0</v>
      </c>
      <c r="J56" s="20" t="n">
        <v>0</v>
      </c>
      <c r="K56" s="18" t="n">
        <v>6.31584099</v>
      </c>
      <c r="L56" s="20" t="n">
        <v>0.93724349</v>
      </c>
      <c r="M56" s="18" t="n">
        <v>0</v>
      </c>
      <c r="N56" s="20" t="n">
        <v>0</v>
      </c>
      <c r="O56" s="18" t="n">
        <v>0</v>
      </c>
      <c r="P56" s="20" t="n">
        <v>0</v>
      </c>
      <c r="Q56" s="18" t="n">
        <v>0</v>
      </c>
      <c r="R56" s="20" t="n">
        <v>0</v>
      </c>
    </row>
    <row r="57" spans="1:18">
      <c r="A57" s="15" t="s">
        <v>616</v>
      </c>
      <c r="B57" s="17" t="n">
        <v>3737</v>
      </c>
      <c r="C57" s="18">
        <f>(2483.0/B57*100)</f>
        <v/>
      </c>
      <c r="D57" s="19" t="n">
        <v>1254</v>
      </c>
      <c r="E57" s="18" t="n">
        <v>65.49882925</v>
      </c>
      <c r="F57" s="20" t="n">
        <v>1.82411962</v>
      </c>
      <c r="G57" s="18" t="n">
        <v>28.89869934</v>
      </c>
      <c r="H57" s="20" t="n">
        <v>1.85204591</v>
      </c>
      <c r="I57" s="18" t="n">
        <v>0</v>
      </c>
      <c r="J57" s="20" t="n">
        <v>0</v>
      </c>
      <c r="K57" s="18" t="n">
        <v>5.13127596</v>
      </c>
      <c r="L57" s="20" t="n">
        <v>0.79449457</v>
      </c>
      <c r="M57" s="18" t="n">
        <v>0</v>
      </c>
      <c r="N57" s="20" t="n">
        <v>0</v>
      </c>
      <c r="O57" s="18" t="n">
        <v>0.47119544</v>
      </c>
      <c r="P57" s="20" t="n">
        <v>0.19943866</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(1548.0/B59*100)</f>
        <v/>
      </c>
      <c r="D59" s="19" t="n">
        <v>730</v>
      </c>
      <c r="E59" s="18" t="n">
        <v>67.42658168</v>
      </c>
      <c r="F59" s="20" t="n">
        <v>2.30930196</v>
      </c>
      <c r="G59" s="18" t="n">
        <v>27.14692212</v>
      </c>
      <c r="H59" s="20" t="n">
        <v>1.9946232</v>
      </c>
      <c r="I59" s="18" t="n">
        <v>0</v>
      </c>
      <c r="J59" s="20" t="n">
        <v>0</v>
      </c>
      <c r="K59" s="18" t="n">
        <v>3.0381694</v>
      </c>
      <c r="L59" s="20" t="n">
        <v>0.61680013</v>
      </c>
      <c r="M59" s="18" t="n">
        <v>0</v>
      </c>
      <c r="N59" s="20" t="n">
        <v>0</v>
      </c>
      <c r="O59" s="18" t="n">
        <v>2.3883268</v>
      </c>
      <c r="P59" s="20" t="n">
        <v>0.92660145</v>
      </c>
      <c r="Q59" s="18" t="n">
        <v>0</v>
      </c>
      <c r="R59" s="20" t="n">
        <v>0</v>
      </c>
    </row>
    <row r="60" spans="1:18">
      <c r="A60" s="15" t="s">
        <v>620</v>
      </c>
      <c r="B60" s="17" t="n">
        <v>2451</v>
      </c>
      <c r="C60" s="18">
        <f>(1642.0/B60*100)</f>
        <v/>
      </c>
      <c r="D60" s="19" t="n">
        <v>809</v>
      </c>
      <c r="E60" s="18" t="n">
        <v>58.47086914</v>
      </c>
      <c r="F60" s="20" t="n">
        <v>2.12570622</v>
      </c>
      <c r="G60" s="18" t="n">
        <v>24.64006134</v>
      </c>
      <c r="H60" s="20" t="n">
        <v>1.62504923</v>
      </c>
      <c r="I60" s="18" t="n">
        <v>0</v>
      </c>
      <c r="J60" s="20" t="n">
        <v>0</v>
      </c>
      <c r="K60" s="18" t="n">
        <v>13.92617522</v>
      </c>
      <c r="L60" s="20" t="n">
        <v>1.54228735</v>
      </c>
      <c r="M60" s="18" t="n">
        <v>0</v>
      </c>
      <c r="N60" s="20" t="n">
        <v>0</v>
      </c>
      <c r="O60" s="18" t="n">
        <v>2.9628943</v>
      </c>
      <c r="P60" s="20" t="n">
        <v>0.66638452</v>
      </c>
      <c r="Q60" s="18" t="n">
        <v>0</v>
      </c>
      <c r="R60" s="20" t="n">
        <v>0</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(1666.0/B63*100)</f>
        <v/>
      </c>
      <c r="D63" s="19" t="n">
        <v>845</v>
      </c>
      <c r="E63" s="18" t="n">
        <v>58.20022878</v>
      </c>
      <c r="F63" s="20" t="n">
        <v>1.91228814</v>
      </c>
      <c r="G63" s="18" t="n">
        <v>33.14265336</v>
      </c>
      <c r="H63" s="20" t="n">
        <v>1.87069195</v>
      </c>
      <c r="I63" s="18" t="n">
        <v>0</v>
      </c>
      <c r="J63" s="20" t="n">
        <v>0</v>
      </c>
      <c r="K63" s="18" t="n">
        <v>7.91269213</v>
      </c>
      <c r="L63" s="20" t="n">
        <v>0.90832863</v>
      </c>
      <c r="M63" s="18" t="n">
        <v>0</v>
      </c>
      <c r="N63" s="20" t="n">
        <v>0</v>
      </c>
      <c r="O63" s="18" t="n">
        <v>0.74442573</v>
      </c>
      <c r="P63" s="20" t="n">
        <v>0.33097794</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53.96767359</v>
      </c>
      <c r="F65" s="20" t="n">
        <v>2.37321486</v>
      </c>
      <c r="G65" s="18" t="n">
        <v>40.13590376</v>
      </c>
      <c r="H65" s="20" t="n">
        <v>2.3255211</v>
      </c>
      <c r="I65" s="18" t="n">
        <v>0</v>
      </c>
      <c r="J65" s="20" t="n">
        <v>0</v>
      </c>
      <c r="K65" s="18" t="n">
        <v>4.54337599</v>
      </c>
      <c r="L65" s="20" t="n">
        <v>0.94937706</v>
      </c>
      <c r="M65" s="18" t="n">
        <v>0</v>
      </c>
      <c r="N65" s="20" t="n">
        <v>0</v>
      </c>
      <c r="O65" s="18" t="n">
        <v>1.35304666</v>
      </c>
      <c r="P65" s="20" t="n">
        <v>0.47771244</v>
      </c>
      <c r="Q65" s="18" t="n">
        <v>0</v>
      </c>
      <c r="R65" s="20" t="n">
        <v>0</v>
      </c>
    </row>
    <row r="66" spans="1:18">
      <c r="A66" s="15" t="s">
        <v>626</v>
      </c>
      <c r="B66" s="17" t="n">
        <v>2634</v>
      </c>
      <c r="C66" s="18">
        <f>(1775.0/B66*100)</f>
        <v/>
      </c>
      <c r="D66" s="19" t="n">
        <v>859</v>
      </c>
      <c r="E66" s="18" t="n">
        <v>51.71429342</v>
      </c>
      <c r="F66" s="20" t="n">
        <v>1.70255963</v>
      </c>
      <c r="G66" s="18" t="n">
        <v>32.37341444</v>
      </c>
      <c r="H66" s="20" t="n">
        <v>1.62297945</v>
      </c>
      <c r="I66" s="18" t="n">
        <v>0</v>
      </c>
      <c r="J66" s="20" t="n">
        <v>0</v>
      </c>
      <c r="K66" s="18" t="n">
        <v>14.23674881</v>
      </c>
      <c r="L66" s="20" t="n">
        <v>1.17057849</v>
      </c>
      <c r="M66" s="18" t="n">
        <v>1.55654366</v>
      </c>
      <c r="N66" s="20" t="n">
        <v>0.49771313</v>
      </c>
      <c r="O66" s="18" t="n">
        <v>0.11899967</v>
      </c>
      <c r="P66" s="20" t="n">
        <v>0.11987326</v>
      </c>
      <c r="Q66" s="18" t="n">
        <v>0</v>
      </c>
      <c r="R66" s="20" t="n">
        <v>0</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(477.0/B69*100)</f>
        <v/>
      </c>
      <c r="D69" s="19" t="n">
        <v>243</v>
      </c>
      <c r="E69" s="18" t="n">
        <v>65.60939045000001</v>
      </c>
      <c r="F69" s="20" t="n">
        <v>2.7175356</v>
      </c>
      <c r="G69" s="18" t="n">
        <v>33.16823567</v>
      </c>
      <c r="H69" s="20" t="n">
        <v>2.77874402</v>
      </c>
      <c r="I69" s="18" t="n">
        <v>0</v>
      </c>
      <c r="J69" s="20" t="n">
        <v>0</v>
      </c>
      <c r="K69" s="18" t="n">
        <v>1.22237388</v>
      </c>
      <c r="L69" s="20" t="n">
        <v>0.72032703</v>
      </c>
      <c r="M69" s="18" t="n">
        <v>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(1639.0/B71*100)</f>
        <v/>
      </c>
      <c r="D71" s="19" t="n">
        <v>827</v>
      </c>
      <c r="E71" s="18" t="n">
        <v>57.68614603</v>
      </c>
      <c r="F71" s="20" t="n">
        <v>1.92559336</v>
      </c>
      <c r="G71" s="18" t="n">
        <v>42.19673404</v>
      </c>
      <c r="H71" s="20" t="n">
        <v>1.93978501</v>
      </c>
      <c r="I71" s="18" t="n">
        <v>0</v>
      </c>
      <c r="J71" s="20" t="n">
        <v>0</v>
      </c>
      <c r="K71" s="18" t="n">
        <v>0.11711993</v>
      </c>
      <c r="L71" s="20" t="n">
        <v>0.11628049</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(1621.0/B76*100)</f>
        <v/>
      </c>
      <c r="D76" s="19" t="n">
        <v>832</v>
      </c>
      <c r="E76" s="18" t="n">
        <v>55.00723288</v>
      </c>
      <c r="F76" s="20" t="n">
        <v>1.73783284</v>
      </c>
      <c r="G76" s="18" t="n">
        <v>32.51268501</v>
      </c>
      <c r="H76" s="20" t="n">
        <v>1.70187644</v>
      </c>
      <c r="I76" s="18" t="n">
        <v>0</v>
      </c>
      <c r="J76" s="20" t="n">
        <v>0</v>
      </c>
      <c r="K76" s="18" t="n">
        <v>12.48008211</v>
      </c>
      <c r="L76" s="20" t="n">
        <v>1.51396529</v>
      </c>
      <c r="M76" s="18" t="n">
        <v>0</v>
      </c>
      <c r="N76" s="20" t="n">
        <v>0</v>
      </c>
      <c r="O76" s="18" t="n">
        <v>0</v>
      </c>
      <c r="P76" s="20" t="n">
        <v>0</v>
      </c>
      <c r="Q76" s="18" t="n">
        <v>0</v>
      </c>
      <c r="R76" s="20" t="n">
        <v>0</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43.04965324</v>
      </c>
      <c r="F80" s="20" t="n">
        <v>1.88709999</v>
      </c>
      <c r="G80" s="18" t="n">
        <v>56.84620075</v>
      </c>
      <c r="H80" s="20" t="n">
        <v>1.87396489</v>
      </c>
      <c r="I80" s="18" t="n">
        <v>0</v>
      </c>
      <c r="J80" s="20" t="n">
        <v>0</v>
      </c>
      <c r="K80" s="18" t="n">
        <v>0.10414601</v>
      </c>
      <c r="L80" s="20" t="n">
        <v>0.10383889</v>
      </c>
      <c r="M80" s="18" t="n">
        <v>0</v>
      </c>
      <c r="N80" s="20" t="n">
        <v>0</v>
      </c>
      <c r="O80" s="18" t="n">
        <v>0</v>
      </c>
      <c r="P80" s="20" t="n">
        <v>0</v>
      </c>
      <c r="Q80" s="18" t="n">
        <v>0</v>
      </c>
      <c r="R80" s="20" t="n">
        <v>0</v>
      </c>
    </row>
    <row r="81" spans="1:18">
      <c r="A81" s="15" t="s">
        <v>641</v>
      </c>
      <c r="B81" s="17" t="n">
        <v>870</v>
      </c>
      <c r="C81" s="18">
        <f>(576.0/B81*100)</f>
        <v/>
      </c>
      <c r="D81" s="19" t="n">
        <v>294</v>
      </c>
      <c r="E81" s="18" t="n">
        <v>54.23978575</v>
      </c>
      <c r="F81" s="20" t="n">
        <v>2.50625066</v>
      </c>
      <c r="G81" s="18" t="n">
        <v>38.1884282</v>
      </c>
      <c r="H81" s="20" t="n">
        <v>2.93707641</v>
      </c>
      <c r="I81" s="18" t="n">
        <v>0</v>
      </c>
      <c r="J81" s="20" t="n">
        <v>0</v>
      </c>
      <c r="K81" s="18" t="n">
        <v>6.72030663</v>
      </c>
      <c r="L81" s="20" t="n">
        <v>1.11641139</v>
      </c>
      <c r="M81" s="18" t="n">
        <v>0</v>
      </c>
      <c r="N81" s="20" t="n">
        <v>0</v>
      </c>
      <c r="O81" s="18" t="n">
        <v>0.85147942</v>
      </c>
      <c r="P81" s="20" t="n">
        <v>0.52378437</v>
      </c>
      <c r="Q81" s="18" t="n">
        <v>0</v>
      </c>
      <c r="R81" s="20" t="n">
        <v>0</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24.54975144</v>
      </c>
      <c r="F44" s="20" t="n">
        <v>1.72843815</v>
      </c>
      <c r="G44" s="18" t="n">
        <v>53.68959998</v>
      </c>
      <c r="H44" s="20" t="n">
        <v>2.07495344</v>
      </c>
      <c r="I44" s="18" t="n">
        <v>0</v>
      </c>
      <c r="J44" s="20" t="n">
        <v>0</v>
      </c>
      <c r="K44" s="18" t="n">
        <v>0.55466629</v>
      </c>
      <c r="L44" s="20" t="n">
        <v>0.21991079</v>
      </c>
      <c r="M44" s="18" t="n">
        <v>0</v>
      </c>
      <c r="N44" s="20" t="n">
        <v>0</v>
      </c>
      <c r="O44" s="18" t="n">
        <v>0</v>
      </c>
      <c r="P44" s="20" t="n">
        <v>0</v>
      </c>
      <c r="Q44" s="18" t="n">
        <v>21.20598229</v>
      </c>
      <c r="R44" s="20" t="n">
        <v>1.86331788</v>
      </c>
    </row>
    <row r="45" spans="1:18">
      <c r="A45" s="15" t="s">
        <v>604</v>
      </c>
      <c r="B45" s="17" t="n">
        <v>2670</v>
      </c>
      <c r="C45" s="18">
        <f>(1765.0/B45*100)</f>
        <v/>
      </c>
      <c r="D45" s="19" t="n">
        <v>905</v>
      </c>
      <c r="E45" s="18" t="n">
        <v>40.76948797</v>
      </c>
      <c r="F45" s="20" t="n">
        <v>1.5372521</v>
      </c>
      <c r="G45" s="18" t="n">
        <v>39.57318833</v>
      </c>
      <c r="H45" s="20" t="n">
        <v>1.73761233</v>
      </c>
      <c r="I45" s="18" t="n">
        <v>0</v>
      </c>
      <c r="J45" s="20" t="n">
        <v>0</v>
      </c>
      <c r="K45" s="18" t="n">
        <v>3.8330435</v>
      </c>
      <c r="L45" s="20" t="n">
        <v>0.82128543</v>
      </c>
      <c r="M45" s="18" t="n">
        <v>0.7798613599999999</v>
      </c>
      <c r="N45" s="20" t="n">
        <v>0.35770216</v>
      </c>
      <c r="O45" s="18" t="n">
        <v>0</v>
      </c>
      <c r="P45" s="20" t="n">
        <v>0</v>
      </c>
      <c r="Q45" s="18" t="n">
        <v>15.04441883</v>
      </c>
      <c r="R45" s="20" t="n">
        <v>1.29947698</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22.52102043</v>
      </c>
      <c r="F54" s="20" t="n">
        <v>1.51268967</v>
      </c>
      <c r="G54" s="18" t="n">
        <v>47.86331612</v>
      </c>
      <c r="H54" s="20" t="n">
        <v>1.69815373</v>
      </c>
      <c r="I54" s="18" t="n">
        <v>0</v>
      </c>
      <c r="J54" s="20" t="n">
        <v>0</v>
      </c>
      <c r="K54" s="18" t="n">
        <v>0.72826556</v>
      </c>
      <c r="L54" s="20" t="n">
        <v>0.34539142</v>
      </c>
      <c r="M54" s="18" t="n">
        <v>0</v>
      </c>
      <c r="N54" s="20" t="n">
        <v>0</v>
      </c>
      <c r="O54" s="18" t="n">
        <v>0</v>
      </c>
      <c r="P54" s="20" t="n">
        <v>0</v>
      </c>
      <c r="Q54" s="18" t="n">
        <v>28.88739789</v>
      </c>
      <c r="R54" s="20" t="n">
        <v>1.67718624</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41.87047243</v>
      </c>
      <c r="F56" s="20" t="n">
        <v>1.58788188</v>
      </c>
      <c r="G56" s="18" t="n">
        <v>49.72658799</v>
      </c>
      <c r="H56" s="20" t="n">
        <v>1.77420341</v>
      </c>
      <c r="I56" s="18" t="n">
        <v>0</v>
      </c>
      <c r="J56" s="20" t="n">
        <v>0</v>
      </c>
      <c r="K56" s="18" t="n">
        <v>1.33271965</v>
      </c>
      <c r="L56" s="20" t="n">
        <v>0.49756105</v>
      </c>
      <c r="M56" s="18" t="n">
        <v>0.08973551</v>
      </c>
      <c r="N56" s="20" t="n">
        <v>0.08942174999999999</v>
      </c>
      <c r="O56" s="18" t="n">
        <v>0</v>
      </c>
      <c r="P56" s="20" t="n">
        <v>0</v>
      </c>
      <c r="Q56" s="18" t="n">
        <v>6.98048443</v>
      </c>
      <c r="R56" s="20" t="n">
        <v>1.01166685</v>
      </c>
    </row>
    <row r="57" spans="1:18">
      <c r="A57" s="15" t="s">
        <v>616</v>
      </c>
      <c r="B57" s="17" t="n">
        <v>3737</v>
      </c>
      <c r="C57" s="18">
        <f>(2486.0/B57*100)</f>
        <v/>
      </c>
      <c r="D57" s="19" t="n">
        <v>1251</v>
      </c>
      <c r="E57" s="18" t="n">
        <v>44.52763939</v>
      </c>
      <c r="F57" s="20" t="n">
        <v>1.70153842</v>
      </c>
      <c r="G57" s="18" t="n">
        <v>44.91650568</v>
      </c>
      <c r="H57" s="20" t="n">
        <v>1.68436719</v>
      </c>
      <c r="I57" s="18" t="n">
        <v>0</v>
      </c>
      <c r="J57" s="20" t="n">
        <v>0</v>
      </c>
      <c r="K57" s="18" t="n">
        <v>1.02714264</v>
      </c>
      <c r="L57" s="20" t="n">
        <v>0.35051792</v>
      </c>
      <c r="M57" s="18" t="n">
        <v>0</v>
      </c>
      <c r="N57" s="20" t="n">
        <v>0</v>
      </c>
      <c r="O57" s="18" t="n">
        <v>0</v>
      </c>
      <c r="P57" s="20" t="n">
        <v>0</v>
      </c>
      <c r="Q57" s="18" t="n">
        <v>9.52871229</v>
      </c>
      <c r="R57" s="20" t="n">
        <v>1.29295587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56.26727083</v>
      </c>
      <c r="F59" s="20" t="n">
        <v>2.16677437</v>
      </c>
      <c r="G59" s="18" t="n">
        <v>25.98060031</v>
      </c>
      <c r="H59" s="20" t="n">
        <v>1.93948064</v>
      </c>
      <c r="I59" s="18" t="n">
        <v>0</v>
      </c>
      <c r="J59" s="20" t="n">
        <v>0</v>
      </c>
      <c r="K59" s="18" t="n">
        <v>0.49067619</v>
      </c>
      <c r="L59" s="20" t="n">
        <v>0.23144067</v>
      </c>
      <c r="M59" s="18" t="n">
        <v>0.37978038</v>
      </c>
      <c r="N59" s="20" t="n">
        <v>0.20780139</v>
      </c>
      <c r="O59" s="18" t="n">
        <v>0</v>
      </c>
      <c r="P59" s="20" t="n">
        <v>0</v>
      </c>
      <c r="Q59" s="18" t="n">
        <v>16.88167228</v>
      </c>
      <c r="R59" s="20" t="n">
        <v>1.54010556</v>
      </c>
    </row>
    <row r="60" spans="1:18">
      <c r="A60" s="15" t="s">
        <v>620</v>
      </c>
      <c r="B60" s="17" t="n">
        <v>2451</v>
      </c>
      <c r="C60" s="18">
        <f>(1622.0/B60*100)</f>
        <v/>
      </c>
      <c r="D60" s="19" t="n">
        <v>829</v>
      </c>
      <c r="E60" s="18" t="n">
        <v>50.24695958</v>
      </c>
      <c r="F60" s="20" t="n">
        <v>1.77016294</v>
      </c>
      <c r="G60" s="18" t="n">
        <v>23.90830255</v>
      </c>
      <c r="H60" s="20" t="n">
        <v>1.67325261</v>
      </c>
      <c r="I60" s="18" t="n">
        <v>0</v>
      </c>
      <c r="J60" s="20" t="n">
        <v>0</v>
      </c>
      <c r="K60" s="18" t="n">
        <v>2.90321157</v>
      </c>
      <c r="L60" s="20" t="n">
        <v>0.69222631</v>
      </c>
      <c r="M60" s="18" t="n">
        <v>0</v>
      </c>
      <c r="N60" s="20" t="n">
        <v>0</v>
      </c>
      <c r="O60" s="18" t="n">
        <v>0</v>
      </c>
      <c r="P60" s="20" t="n">
        <v>0</v>
      </c>
      <c r="Q60" s="18" t="n">
        <v>22.94152629</v>
      </c>
      <c r="R60" s="20" t="n">
        <v>1.7614014</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25.24254683</v>
      </c>
      <c r="F63" s="20" t="n">
        <v>1.52933496</v>
      </c>
      <c r="G63" s="18" t="n">
        <v>27.24355061</v>
      </c>
      <c r="H63" s="20" t="n">
        <v>1.76819063</v>
      </c>
      <c r="I63" s="18" t="n">
        <v>0</v>
      </c>
      <c r="J63" s="20" t="n">
        <v>0</v>
      </c>
      <c r="K63" s="18" t="n">
        <v>1.08601725</v>
      </c>
      <c r="L63" s="20" t="n">
        <v>0.33834838</v>
      </c>
      <c r="M63" s="18" t="n">
        <v>0</v>
      </c>
      <c r="N63" s="20" t="n">
        <v>0</v>
      </c>
      <c r="O63" s="18" t="n">
        <v>0</v>
      </c>
      <c r="P63" s="20" t="n">
        <v>0</v>
      </c>
      <c r="Q63" s="18" t="n">
        <v>46.4278853</v>
      </c>
      <c r="R63" s="20" t="n">
        <v>1.73674521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22.44882924</v>
      </c>
      <c r="F65" s="20" t="n">
        <v>1.77283658</v>
      </c>
      <c r="G65" s="18" t="n">
        <v>58.42663834</v>
      </c>
      <c r="H65" s="20" t="n">
        <v>2.1234886</v>
      </c>
      <c r="I65" s="18" t="n">
        <v>0</v>
      </c>
      <c r="J65" s="20" t="n">
        <v>0</v>
      </c>
      <c r="K65" s="18" t="n">
        <v>1.57401833</v>
      </c>
      <c r="L65" s="20" t="n">
        <v>0.5404436500000001</v>
      </c>
      <c r="M65" s="18" t="n">
        <v>0</v>
      </c>
      <c r="N65" s="20" t="n">
        <v>0</v>
      </c>
      <c r="O65" s="18" t="n">
        <v>0</v>
      </c>
      <c r="P65" s="20" t="n">
        <v>0</v>
      </c>
      <c r="Q65" s="18" t="n">
        <v>17.55051408</v>
      </c>
      <c r="R65" s="20" t="n">
        <v>1.66628947</v>
      </c>
    </row>
    <row r="66" spans="1:18">
      <c r="A66" s="15" t="s">
        <v>626</v>
      </c>
      <c r="B66" s="17" t="n">
        <v>2634</v>
      </c>
      <c r="C66" s="18">
        <f>(1761.0/B66*100)</f>
        <v/>
      </c>
      <c r="D66" s="19" t="n">
        <v>873</v>
      </c>
      <c r="E66" s="18" t="n">
        <v>15.81444766</v>
      </c>
      <c r="F66" s="20" t="n">
        <v>1.41295269</v>
      </c>
      <c r="G66" s="18" t="n">
        <v>56.1793931</v>
      </c>
      <c r="H66" s="20" t="n">
        <v>1.83255637</v>
      </c>
      <c r="I66" s="18" t="n">
        <v>0</v>
      </c>
      <c r="J66" s="20" t="n">
        <v>0</v>
      </c>
      <c r="K66" s="18" t="n">
        <v>2.50800036</v>
      </c>
      <c r="L66" s="20" t="n">
        <v>0.64730447</v>
      </c>
      <c r="M66" s="18" t="n">
        <v>0</v>
      </c>
      <c r="N66" s="20" t="n">
        <v>0</v>
      </c>
      <c r="O66" s="18" t="n">
        <v>0</v>
      </c>
      <c r="P66" s="20" t="n">
        <v>0</v>
      </c>
      <c r="Q66" s="18" t="n">
        <v>25.49815888</v>
      </c>
      <c r="R66" s="20" t="n">
        <v>1.50295082</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50.0734881</v>
      </c>
      <c r="F69" s="20" t="n">
        <v>4.5338584</v>
      </c>
      <c r="G69" s="18" t="n">
        <v>42.58056085</v>
      </c>
      <c r="H69" s="20" t="n">
        <v>3.97973434</v>
      </c>
      <c r="I69" s="18" t="n">
        <v>0</v>
      </c>
      <c r="J69" s="20" t="n">
        <v>0</v>
      </c>
      <c r="K69" s="18" t="n">
        <v>0</v>
      </c>
      <c r="L69" s="20" t="n">
        <v>0</v>
      </c>
      <c r="M69" s="18" t="n">
        <v>0</v>
      </c>
      <c r="N69" s="20" t="n">
        <v>0</v>
      </c>
      <c r="O69" s="18" t="n">
        <v>0</v>
      </c>
      <c r="P69" s="20" t="n">
        <v>0</v>
      </c>
      <c r="Q69" s="18" t="n">
        <v>7.34595104</v>
      </c>
      <c r="R69" s="20" t="n">
        <v>1.56417495</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40.37871338</v>
      </c>
      <c r="F71" s="20" t="n">
        <v>1.9065615</v>
      </c>
      <c r="G71" s="18" t="n">
        <v>59.50170624</v>
      </c>
      <c r="H71" s="20" t="n">
        <v>1.90751008</v>
      </c>
      <c r="I71" s="18" t="n">
        <v>0</v>
      </c>
      <c r="J71" s="20" t="n">
        <v>0</v>
      </c>
      <c r="K71" s="18" t="n">
        <v>0</v>
      </c>
      <c r="L71" s="20" t="n">
        <v>0</v>
      </c>
      <c r="M71" s="18" t="n">
        <v>0</v>
      </c>
      <c r="N71" s="20" t="n">
        <v>0</v>
      </c>
      <c r="O71" s="18" t="n">
        <v>0</v>
      </c>
      <c r="P71" s="20" t="n">
        <v>0</v>
      </c>
      <c r="Q71" s="18" t="n">
        <v>0.11958038</v>
      </c>
      <c r="R71" s="20" t="n">
        <v>0.11816056</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27.3329527</v>
      </c>
      <c r="F76" s="20" t="n">
        <v>1.70426009</v>
      </c>
      <c r="G76" s="18" t="n">
        <v>48.62253293</v>
      </c>
      <c r="H76" s="20" t="n">
        <v>1.84852749</v>
      </c>
      <c r="I76" s="18" t="n">
        <v>0</v>
      </c>
      <c r="J76" s="20" t="n">
        <v>0</v>
      </c>
      <c r="K76" s="18" t="n">
        <v>2.08926862</v>
      </c>
      <c r="L76" s="20" t="n">
        <v>0.5101005199999999</v>
      </c>
      <c r="M76" s="18" t="n">
        <v>0</v>
      </c>
      <c r="N76" s="20" t="n">
        <v>0</v>
      </c>
      <c r="O76" s="18" t="n">
        <v>0</v>
      </c>
      <c r="P76" s="20" t="n">
        <v>0</v>
      </c>
      <c r="Q76" s="18" t="n">
        <v>21.95524574</v>
      </c>
      <c r="R76" s="20" t="n">
        <v>1.55441479</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36.80803497</v>
      </c>
      <c r="F80" s="20" t="n">
        <v>1.85670033</v>
      </c>
      <c r="G80" s="18" t="n">
        <v>61.790496</v>
      </c>
      <c r="H80" s="20" t="n">
        <v>1.87748931</v>
      </c>
      <c r="I80" s="18" t="n">
        <v>0</v>
      </c>
      <c r="J80" s="20" t="n">
        <v>0</v>
      </c>
      <c r="K80" s="18" t="n">
        <v>0</v>
      </c>
      <c r="L80" s="20" t="n">
        <v>0</v>
      </c>
      <c r="M80" s="18" t="n">
        <v>0</v>
      </c>
      <c r="N80" s="20" t="n">
        <v>0</v>
      </c>
      <c r="O80" s="18" t="n">
        <v>0</v>
      </c>
      <c r="P80" s="20" t="n">
        <v>0</v>
      </c>
      <c r="Q80" s="18" t="n">
        <v>1.40146903</v>
      </c>
      <c r="R80" s="20" t="n">
        <v>0.40070436</v>
      </c>
    </row>
    <row r="81" spans="1:18">
      <c r="A81" s="15" t="s">
        <v>641</v>
      </c>
      <c r="B81" s="17" t="n">
        <v>870</v>
      </c>
      <c r="C81" s="18">
        <f>(580.0/B81*100)</f>
        <v/>
      </c>
      <c r="D81" s="19" t="n">
        <v>290</v>
      </c>
      <c r="E81" s="18" t="n">
        <v>20.76554822</v>
      </c>
      <c r="F81" s="20" t="n">
        <v>2.73852954</v>
      </c>
      <c r="G81" s="18" t="n">
        <v>62.11877282</v>
      </c>
      <c r="H81" s="20" t="n">
        <v>3.82707139</v>
      </c>
      <c r="I81" s="18" t="n">
        <v>0</v>
      </c>
      <c r="J81" s="20" t="n">
        <v>0</v>
      </c>
      <c r="K81" s="18" t="n">
        <v>2.23230394</v>
      </c>
      <c r="L81" s="20" t="n">
        <v>1.00209934</v>
      </c>
      <c r="M81" s="18" t="n">
        <v>0</v>
      </c>
      <c r="N81" s="20" t="n">
        <v>0</v>
      </c>
      <c r="O81" s="18" t="n">
        <v>0</v>
      </c>
      <c r="P81" s="20" t="n">
        <v>0</v>
      </c>
      <c r="Q81" s="18" t="n">
        <v>14.88337502</v>
      </c>
      <c r="R81" s="20" t="n">
        <v>2.68204638</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29.94624047</v>
      </c>
      <c r="F44" s="20" t="n">
        <v>1.80789419</v>
      </c>
      <c r="G44" s="18" t="n">
        <v>43.75409364</v>
      </c>
      <c r="H44" s="20" t="n">
        <v>2.14746819</v>
      </c>
      <c r="I44" s="18" t="n">
        <v>0</v>
      </c>
      <c r="J44" s="20" t="n">
        <v>0</v>
      </c>
      <c r="K44" s="18" t="n">
        <v>0.55466629</v>
      </c>
      <c r="L44" s="20" t="n">
        <v>0.21991079</v>
      </c>
      <c r="M44" s="18" t="n">
        <v>0</v>
      </c>
      <c r="N44" s="20" t="n">
        <v>0</v>
      </c>
      <c r="O44" s="18" t="n">
        <v>0</v>
      </c>
      <c r="P44" s="20" t="n">
        <v>0</v>
      </c>
      <c r="Q44" s="18" t="n">
        <v>25.74499959</v>
      </c>
      <c r="R44" s="20" t="n">
        <v>1.84634345</v>
      </c>
    </row>
    <row r="45" spans="1:18">
      <c r="A45" s="15" t="s">
        <v>604</v>
      </c>
      <c r="B45" s="17" t="n">
        <v>2670</v>
      </c>
      <c r="C45" s="18">
        <f>(1765.0/B45*100)</f>
        <v/>
      </c>
      <c r="D45" s="19" t="n">
        <v>905</v>
      </c>
      <c r="E45" s="18" t="n">
        <v>40.46855216</v>
      </c>
      <c r="F45" s="20" t="n">
        <v>1.79711327</v>
      </c>
      <c r="G45" s="18" t="n">
        <v>33.34295759</v>
      </c>
      <c r="H45" s="20" t="n">
        <v>1.89582746</v>
      </c>
      <c r="I45" s="18" t="n">
        <v>0</v>
      </c>
      <c r="J45" s="20" t="n">
        <v>0</v>
      </c>
      <c r="K45" s="18" t="n">
        <v>3.93857463</v>
      </c>
      <c r="L45" s="20" t="n">
        <v>0.82497515</v>
      </c>
      <c r="M45" s="18" t="n">
        <v>0.9486730799999999</v>
      </c>
      <c r="N45" s="20" t="n">
        <v>0.38004485</v>
      </c>
      <c r="O45" s="18" t="n">
        <v>0.12189035</v>
      </c>
      <c r="P45" s="20" t="n">
        <v>0.1015141</v>
      </c>
      <c r="Q45" s="18" t="n">
        <v>21.17935218</v>
      </c>
      <c r="R45" s="20" t="n">
        <v>1.54158653</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20.05230093</v>
      </c>
      <c r="F54" s="20" t="n">
        <v>1.23018563</v>
      </c>
      <c r="G54" s="18" t="n">
        <v>44.50816325</v>
      </c>
      <c r="H54" s="20" t="n">
        <v>1.88790807</v>
      </c>
      <c r="I54" s="18" t="n">
        <v>0</v>
      </c>
      <c r="J54" s="20" t="n">
        <v>0</v>
      </c>
      <c r="K54" s="18" t="n">
        <v>0.85074815</v>
      </c>
      <c r="L54" s="20" t="n">
        <v>0.36398678</v>
      </c>
      <c r="M54" s="18" t="n">
        <v>0</v>
      </c>
      <c r="N54" s="20" t="n">
        <v>0</v>
      </c>
      <c r="O54" s="18" t="n">
        <v>0.12292899</v>
      </c>
      <c r="P54" s="20" t="n">
        <v>0.12604865</v>
      </c>
      <c r="Q54" s="18" t="n">
        <v>34.46585868</v>
      </c>
      <c r="R54" s="20" t="n">
        <v>1.7437009</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60.57721422</v>
      </c>
      <c r="F56" s="20" t="n">
        <v>1.47397047</v>
      </c>
      <c r="G56" s="18" t="n">
        <v>28.25373629</v>
      </c>
      <c r="H56" s="20" t="n">
        <v>1.36411815</v>
      </c>
      <c r="I56" s="18" t="n">
        <v>0</v>
      </c>
      <c r="J56" s="20" t="n">
        <v>0</v>
      </c>
      <c r="K56" s="18" t="n">
        <v>1.33271965</v>
      </c>
      <c r="L56" s="20" t="n">
        <v>0.49756105</v>
      </c>
      <c r="M56" s="18" t="n">
        <v>0.08973551</v>
      </c>
      <c r="N56" s="20" t="n">
        <v>0.08942174999999999</v>
      </c>
      <c r="O56" s="18" t="n">
        <v>0</v>
      </c>
      <c r="P56" s="20" t="n">
        <v>0</v>
      </c>
      <c r="Q56" s="18" t="n">
        <v>9.74659434</v>
      </c>
      <c r="R56" s="20" t="n">
        <v>1.19640424</v>
      </c>
    </row>
    <row r="57" spans="1:18">
      <c r="A57" s="15" t="s">
        <v>616</v>
      </c>
      <c r="B57" s="17" t="n">
        <v>3737</v>
      </c>
      <c r="C57" s="18">
        <f>(2486.0/B57*100)</f>
        <v/>
      </c>
      <c r="D57" s="19" t="n">
        <v>1251</v>
      </c>
      <c r="E57" s="18" t="n">
        <v>35.17839477</v>
      </c>
      <c r="F57" s="20" t="n">
        <v>1.56272188</v>
      </c>
      <c r="G57" s="18" t="n">
        <v>53.01836575</v>
      </c>
      <c r="H57" s="20" t="n">
        <v>1.5634752</v>
      </c>
      <c r="I57" s="18" t="n">
        <v>0</v>
      </c>
      <c r="J57" s="20" t="n">
        <v>0</v>
      </c>
      <c r="K57" s="18" t="n">
        <v>1.25726165</v>
      </c>
      <c r="L57" s="20" t="n">
        <v>0.38555148</v>
      </c>
      <c r="M57" s="18" t="n">
        <v>0</v>
      </c>
      <c r="N57" s="20" t="n">
        <v>0</v>
      </c>
      <c r="O57" s="18" t="n">
        <v>0</v>
      </c>
      <c r="P57" s="20" t="n">
        <v>0</v>
      </c>
      <c r="Q57" s="18" t="n">
        <v>10.54597783</v>
      </c>
      <c r="R57" s="20" t="n">
        <v>1.12732343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56.76868614</v>
      </c>
      <c r="F59" s="20" t="n">
        <v>2.1597455</v>
      </c>
      <c r="G59" s="18" t="n">
        <v>21.47448278</v>
      </c>
      <c r="H59" s="20" t="n">
        <v>1.68794896</v>
      </c>
      <c r="I59" s="18" t="n">
        <v>0</v>
      </c>
      <c r="J59" s="20" t="n">
        <v>0</v>
      </c>
      <c r="K59" s="18" t="n">
        <v>0.49067619</v>
      </c>
      <c r="L59" s="20" t="n">
        <v>0.23144067</v>
      </c>
      <c r="M59" s="18" t="n">
        <v>0.37978038</v>
      </c>
      <c r="N59" s="20" t="n">
        <v>0.20780139</v>
      </c>
      <c r="O59" s="18" t="n">
        <v>0</v>
      </c>
      <c r="P59" s="20" t="n">
        <v>0</v>
      </c>
      <c r="Q59" s="18" t="n">
        <v>20.8863745</v>
      </c>
      <c r="R59" s="20" t="n">
        <v>1.61226732</v>
      </c>
    </row>
    <row r="60" spans="1:18">
      <c r="A60" s="15" t="s">
        <v>620</v>
      </c>
      <c r="B60" s="17" t="n">
        <v>2451</v>
      </c>
      <c r="C60" s="18">
        <f>(1622.0/B60*100)</f>
        <v/>
      </c>
      <c r="D60" s="19" t="n">
        <v>829</v>
      </c>
      <c r="E60" s="18" t="n">
        <v>44.5105185</v>
      </c>
      <c r="F60" s="20" t="n">
        <v>1.9761696</v>
      </c>
      <c r="G60" s="18" t="n">
        <v>23.06090827</v>
      </c>
      <c r="H60" s="20" t="n">
        <v>1.82746974</v>
      </c>
      <c r="I60" s="18" t="n">
        <v>0</v>
      </c>
      <c r="J60" s="20" t="n">
        <v>0</v>
      </c>
      <c r="K60" s="18" t="n">
        <v>2.90321157</v>
      </c>
      <c r="L60" s="20" t="n">
        <v>0.69222631</v>
      </c>
      <c r="M60" s="18" t="n">
        <v>0</v>
      </c>
      <c r="N60" s="20" t="n">
        <v>0</v>
      </c>
      <c r="O60" s="18" t="n">
        <v>0</v>
      </c>
      <c r="P60" s="20" t="n">
        <v>0</v>
      </c>
      <c r="Q60" s="18" t="n">
        <v>29.52536166</v>
      </c>
      <c r="R60" s="20" t="n">
        <v>2.09736983</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27.16100505</v>
      </c>
      <c r="F63" s="20" t="n">
        <v>1.47840854</v>
      </c>
      <c r="G63" s="18" t="n">
        <v>18.92718462</v>
      </c>
      <c r="H63" s="20" t="n">
        <v>1.46734612</v>
      </c>
      <c r="I63" s="18" t="n">
        <v>0</v>
      </c>
      <c r="J63" s="20" t="n">
        <v>0</v>
      </c>
      <c r="K63" s="18" t="n">
        <v>1.08601725</v>
      </c>
      <c r="L63" s="20" t="n">
        <v>0.33834838</v>
      </c>
      <c r="M63" s="18" t="n">
        <v>0</v>
      </c>
      <c r="N63" s="20" t="n">
        <v>0</v>
      </c>
      <c r="O63" s="18" t="n">
        <v>0</v>
      </c>
      <c r="P63" s="20" t="n">
        <v>0</v>
      </c>
      <c r="Q63" s="18" t="n">
        <v>52.82579308</v>
      </c>
      <c r="R63" s="20" t="n">
        <v>1.84867712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21.14904062</v>
      </c>
      <c r="F65" s="20" t="n">
        <v>1.74291597</v>
      </c>
      <c r="G65" s="18" t="n">
        <v>59.25810951</v>
      </c>
      <c r="H65" s="20" t="n">
        <v>2.27464863</v>
      </c>
      <c r="I65" s="18" t="n">
        <v>0</v>
      </c>
      <c r="J65" s="20" t="n">
        <v>0</v>
      </c>
      <c r="K65" s="18" t="n">
        <v>1.77166423</v>
      </c>
      <c r="L65" s="20" t="n">
        <v>0.57518457</v>
      </c>
      <c r="M65" s="18" t="n">
        <v>0</v>
      </c>
      <c r="N65" s="20" t="n">
        <v>0</v>
      </c>
      <c r="O65" s="18" t="n">
        <v>0</v>
      </c>
      <c r="P65" s="20" t="n">
        <v>0</v>
      </c>
      <c r="Q65" s="18" t="n">
        <v>17.82118564</v>
      </c>
      <c r="R65" s="20" t="n">
        <v>1.58950262</v>
      </c>
    </row>
    <row r="66" spans="1:18">
      <c r="A66" s="15" t="s">
        <v>626</v>
      </c>
      <c r="B66" s="17" t="n">
        <v>2634</v>
      </c>
      <c r="C66" s="18">
        <f>(1761.0/B66*100)</f>
        <v/>
      </c>
      <c r="D66" s="19" t="n">
        <v>873</v>
      </c>
      <c r="E66" s="18" t="n">
        <v>27.59670371</v>
      </c>
      <c r="F66" s="20" t="n">
        <v>1.29400388</v>
      </c>
      <c r="G66" s="18" t="n">
        <v>39.36817392</v>
      </c>
      <c r="H66" s="20" t="n">
        <v>1.48955075</v>
      </c>
      <c r="I66" s="18" t="n">
        <v>0</v>
      </c>
      <c r="J66" s="20" t="n">
        <v>0</v>
      </c>
      <c r="K66" s="18" t="n">
        <v>2.8349666</v>
      </c>
      <c r="L66" s="20" t="n">
        <v>0.66780772</v>
      </c>
      <c r="M66" s="18" t="n">
        <v>0</v>
      </c>
      <c r="N66" s="20" t="n">
        <v>0</v>
      </c>
      <c r="O66" s="18" t="n">
        <v>0.09293828</v>
      </c>
      <c r="P66" s="20" t="n">
        <v>0.09256613</v>
      </c>
      <c r="Q66" s="18" t="n">
        <v>30.10721749</v>
      </c>
      <c r="R66" s="20" t="n">
        <v>1.34041937</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51.95130026</v>
      </c>
      <c r="F69" s="20" t="n">
        <v>3.19146651</v>
      </c>
      <c r="G69" s="18" t="n">
        <v>39.10960852</v>
      </c>
      <c r="H69" s="20" t="n">
        <v>3.17177328</v>
      </c>
      <c r="I69" s="18" t="n">
        <v>0</v>
      </c>
      <c r="J69" s="20" t="n">
        <v>0</v>
      </c>
      <c r="K69" s="18" t="n">
        <v>0</v>
      </c>
      <c r="L69" s="20" t="n">
        <v>0</v>
      </c>
      <c r="M69" s="18" t="n">
        <v>0</v>
      </c>
      <c r="N69" s="20" t="n">
        <v>0</v>
      </c>
      <c r="O69" s="18" t="n">
        <v>0</v>
      </c>
      <c r="P69" s="20" t="n">
        <v>0</v>
      </c>
      <c r="Q69" s="18" t="n">
        <v>8.939091230000001</v>
      </c>
      <c r="R69" s="20" t="n">
        <v>1.76614471</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57.46621274</v>
      </c>
      <c r="F71" s="20" t="n">
        <v>1.93669282</v>
      </c>
      <c r="G71" s="18" t="n">
        <v>42.30681492</v>
      </c>
      <c r="H71" s="20" t="n">
        <v>1.92968254</v>
      </c>
      <c r="I71" s="18" t="n">
        <v>0</v>
      </c>
      <c r="J71" s="20" t="n">
        <v>0</v>
      </c>
      <c r="K71" s="18" t="n">
        <v>0</v>
      </c>
      <c r="L71" s="20" t="n">
        <v>0</v>
      </c>
      <c r="M71" s="18" t="n">
        <v>0</v>
      </c>
      <c r="N71" s="20" t="n">
        <v>0</v>
      </c>
      <c r="O71" s="18" t="n">
        <v>0</v>
      </c>
      <c r="P71" s="20" t="n">
        <v>0</v>
      </c>
      <c r="Q71" s="18" t="n">
        <v>0.22697234</v>
      </c>
      <c r="R71" s="20" t="n">
        <v>0.16127973</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38.79688773</v>
      </c>
      <c r="F76" s="20" t="n">
        <v>1.78716831</v>
      </c>
      <c r="G76" s="18" t="n">
        <v>33.78431168</v>
      </c>
      <c r="H76" s="20" t="n">
        <v>1.8274375</v>
      </c>
      <c r="I76" s="18" t="n">
        <v>0</v>
      </c>
      <c r="J76" s="20" t="n">
        <v>0</v>
      </c>
      <c r="K76" s="18" t="n">
        <v>2.34968918</v>
      </c>
      <c r="L76" s="20" t="n">
        <v>0.51836508</v>
      </c>
      <c r="M76" s="18" t="n">
        <v>0</v>
      </c>
      <c r="N76" s="20" t="n">
        <v>0</v>
      </c>
      <c r="O76" s="18" t="n">
        <v>0</v>
      </c>
      <c r="P76" s="20" t="n">
        <v>0</v>
      </c>
      <c r="Q76" s="18" t="n">
        <v>25.06911141</v>
      </c>
      <c r="R76" s="20" t="n">
        <v>1.56910769</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46.10302486</v>
      </c>
      <c r="F80" s="20" t="n">
        <v>1.93538727</v>
      </c>
      <c r="G80" s="18" t="n">
        <v>51.16805488</v>
      </c>
      <c r="H80" s="20" t="n">
        <v>1.98798754</v>
      </c>
      <c r="I80" s="18" t="n">
        <v>0</v>
      </c>
      <c r="J80" s="20" t="n">
        <v>0</v>
      </c>
      <c r="K80" s="18" t="n">
        <v>0</v>
      </c>
      <c r="L80" s="20" t="n">
        <v>0</v>
      </c>
      <c r="M80" s="18" t="n">
        <v>0</v>
      </c>
      <c r="N80" s="20" t="n">
        <v>0</v>
      </c>
      <c r="O80" s="18" t="n">
        <v>0</v>
      </c>
      <c r="P80" s="20" t="n">
        <v>0</v>
      </c>
      <c r="Q80" s="18" t="n">
        <v>2.72892026</v>
      </c>
      <c r="R80" s="20" t="n">
        <v>0.55205183</v>
      </c>
    </row>
    <row r="81" spans="1:18">
      <c r="A81" s="15" t="s">
        <v>641</v>
      </c>
      <c r="B81" s="17" t="n">
        <v>870</v>
      </c>
      <c r="C81" s="18">
        <f>(580.0/B81*100)</f>
        <v/>
      </c>
      <c r="D81" s="19" t="n">
        <v>290</v>
      </c>
      <c r="E81" s="18" t="n">
        <v>24.25474772</v>
      </c>
      <c r="F81" s="20" t="n">
        <v>2.34713859</v>
      </c>
      <c r="G81" s="18" t="n">
        <v>60.24356475</v>
      </c>
      <c r="H81" s="20" t="n">
        <v>3.36044469</v>
      </c>
      <c r="I81" s="18" t="n">
        <v>0</v>
      </c>
      <c r="J81" s="20" t="n">
        <v>0</v>
      </c>
      <c r="K81" s="18" t="n">
        <v>2.41309482</v>
      </c>
      <c r="L81" s="20" t="n">
        <v>1.02170328</v>
      </c>
      <c r="M81" s="18" t="n">
        <v>0</v>
      </c>
      <c r="N81" s="20" t="n">
        <v>0</v>
      </c>
      <c r="O81" s="18" t="n">
        <v>0</v>
      </c>
      <c r="P81" s="20" t="n">
        <v>0</v>
      </c>
      <c r="Q81" s="18" t="n">
        <v>13.08859271</v>
      </c>
      <c r="R81" s="20" t="n">
        <v>2.69567667</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55.47797608</v>
      </c>
      <c r="F44" s="20" t="n">
        <v>2.21161428</v>
      </c>
      <c r="G44" s="18" t="n">
        <v>32.33807034</v>
      </c>
      <c r="H44" s="20" t="n">
        <v>2.02265515</v>
      </c>
      <c r="I44" s="18" t="n">
        <v>0</v>
      </c>
      <c r="J44" s="20" t="n">
        <v>0</v>
      </c>
      <c r="K44" s="18" t="n">
        <v>0.55466629</v>
      </c>
      <c r="L44" s="20" t="n">
        <v>0.21991079</v>
      </c>
      <c r="M44" s="18" t="n">
        <v>0</v>
      </c>
      <c r="N44" s="20" t="n">
        <v>0</v>
      </c>
      <c r="O44" s="18" t="n">
        <v>0.0837726</v>
      </c>
      <c r="P44" s="20" t="n">
        <v>0.0840318</v>
      </c>
      <c r="Q44" s="18" t="n">
        <v>11.54551469</v>
      </c>
      <c r="R44" s="20" t="n">
        <v>1.20939548</v>
      </c>
    </row>
    <row r="45" spans="1:18">
      <c r="A45" s="15" t="s">
        <v>604</v>
      </c>
      <c r="B45" s="17" t="n">
        <v>2670</v>
      </c>
      <c r="C45" s="18">
        <f>(1765.0/B45*100)</f>
        <v/>
      </c>
      <c r="D45" s="19" t="n">
        <v>905</v>
      </c>
      <c r="E45" s="18" t="n">
        <v>68.36707911000001</v>
      </c>
      <c r="F45" s="20" t="n">
        <v>1.58783749</v>
      </c>
      <c r="G45" s="18" t="n">
        <v>18.63285686</v>
      </c>
      <c r="H45" s="20" t="n">
        <v>1.5509702</v>
      </c>
      <c r="I45" s="18" t="n">
        <v>0</v>
      </c>
      <c r="J45" s="20" t="n">
        <v>0</v>
      </c>
      <c r="K45" s="18" t="n">
        <v>4.28125089</v>
      </c>
      <c r="L45" s="20" t="n">
        <v>0.83034347</v>
      </c>
      <c r="M45" s="18" t="n">
        <v>0.93909825</v>
      </c>
      <c r="N45" s="20" t="n">
        <v>0.3547737</v>
      </c>
      <c r="O45" s="18" t="n">
        <v>1.16645177</v>
      </c>
      <c r="P45" s="20" t="n">
        <v>0.35374054</v>
      </c>
      <c r="Q45" s="18" t="n">
        <v>6.61326313</v>
      </c>
      <c r="R45" s="20" t="n">
        <v>0.87139624</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52.59377769</v>
      </c>
      <c r="F54" s="20" t="n">
        <v>1.98337758</v>
      </c>
      <c r="G54" s="18" t="n">
        <v>38.42772619</v>
      </c>
      <c r="H54" s="20" t="n">
        <v>1.96517324</v>
      </c>
      <c r="I54" s="18" t="n">
        <v>0</v>
      </c>
      <c r="J54" s="20" t="n">
        <v>0</v>
      </c>
      <c r="K54" s="18" t="n">
        <v>0.85074815</v>
      </c>
      <c r="L54" s="20" t="n">
        <v>0.36398678</v>
      </c>
      <c r="M54" s="18" t="n">
        <v>0</v>
      </c>
      <c r="N54" s="20" t="n">
        <v>0</v>
      </c>
      <c r="O54" s="18" t="n">
        <v>0.10772098</v>
      </c>
      <c r="P54" s="20" t="n">
        <v>0.10899371</v>
      </c>
      <c r="Q54" s="18" t="n">
        <v>8.02002699</v>
      </c>
      <c r="R54" s="20" t="n">
        <v>1.12904291</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77.52459567</v>
      </c>
      <c r="F56" s="20" t="n">
        <v>1.40312243</v>
      </c>
      <c r="G56" s="18" t="n">
        <v>17.70849682</v>
      </c>
      <c r="H56" s="20" t="n">
        <v>1.46496332</v>
      </c>
      <c r="I56" s="18" t="n">
        <v>0</v>
      </c>
      <c r="J56" s="20" t="n">
        <v>0</v>
      </c>
      <c r="K56" s="18" t="n">
        <v>1.45359288</v>
      </c>
      <c r="L56" s="20" t="n">
        <v>0.53842195</v>
      </c>
      <c r="M56" s="18" t="n">
        <v>0.09141674</v>
      </c>
      <c r="N56" s="20" t="n">
        <v>0.09113778</v>
      </c>
      <c r="O56" s="18" t="n">
        <v>0</v>
      </c>
      <c r="P56" s="20" t="n">
        <v>0</v>
      </c>
      <c r="Q56" s="18" t="n">
        <v>3.22189789</v>
      </c>
      <c r="R56" s="20" t="n">
        <v>0.62308964</v>
      </c>
    </row>
    <row r="57" spans="1:18">
      <c r="A57" s="15" t="s">
        <v>616</v>
      </c>
      <c r="B57" s="17" t="n">
        <v>3737</v>
      </c>
      <c r="C57" s="18">
        <f>(2486.0/B57*100)</f>
        <v/>
      </c>
      <c r="D57" s="19" t="n">
        <v>1251</v>
      </c>
      <c r="E57" s="18" t="n">
        <v>57.61131657</v>
      </c>
      <c r="F57" s="20" t="n">
        <v>1.68861028</v>
      </c>
      <c r="G57" s="18" t="n">
        <v>37.01294538</v>
      </c>
      <c r="H57" s="20" t="n">
        <v>1.8463769</v>
      </c>
      <c r="I57" s="18" t="n">
        <v>0</v>
      </c>
      <c r="J57" s="20" t="n">
        <v>0</v>
      </c>
      <c r="K57" s="18" t="n">
        <v>1.25726165</v>
      </c>
      <c r="L57" s="20" t="n">
        <v>0.38555148</v>
      </c>
      <c r="M57" s="18" t="n">
        <v>0</v>
      </c>
      <c r="N57" s="20" t="n">
        <v>0</v>
      </c>
      <c r="O57" s="18" t="n">
        <v>0.36000878</v>
      </c>
      <c r="P57" s="20" t="n">
        <v>0.19265209</v>
      </c>
      <c r="Q57" s="18" t="n">
        <v>3.75846762</v>
      </c>
      <c r="R57" s="20" t="n">
        <v>0.65589113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62.69257175</v>
      </c>
      <c r="F59" s="20" t="n">
        <v>2.20531976</v>
      </c>
      <c r="G59" s="18" t="n">
        <v>32.2739859</v>
      </c>
      <c r="H59" s="20" t="n">
        <v>1.98704331</v>
      </c>
      <c r="I59" s="18" t="n">
        <v>0</v>
      </c>
      <c r="J59" s="20" t="n">
        <v>0</v>
      </c>
      <c r="K59" s="18" t="n">
        <v>0.63822388</v>
      </c>
      <c r="L59" s="20" t="n">
        <v>0.27427099</v>
      </c>
      <c r="M59" s="18" t="n">
        <v>0.28422702</v>
      </c>
      <c r="N59" s="20" t="n">
        <v>0.15485099</v>
      </c>
      <c r="O59" s="18" t="n">
        <v>0.29975533</v>
      </c>
      <c r="P59" s="20" t="n">
        <v>0.19389981</v>
      </c>
      <c r="Q59" s="18" t="n">
        <v>3.81123612</v>
      </c>
      <c r="R59" s="20" t="n">
        <v>0.88329589</v>
      </c>
    </row>
    <row r="60" spans="1:18">
      <c r="A60" s="15" t="s">
        <v>620</v>
      </c>
      <c r="B60" s="17" t="n">
        <v>2451</v>
      </c>
      <c r="C60" s="18">
        <f>(1622.0/B60*100)</f>
        <v/>
      </c>
      <c r="D60" s="19" t="n">
        <v>829</v>
      </c>
      <c r="E60" s="18" t="n">
        <v>52.14951675</v>
      </c>
      <c r="F60" s="20" t="n">
        <v>1.90738604</v>
      </c>
      <c r="G60" s="18" t="n">
        <v>32.82237723</v>
      </c>
      <c r="H60" s="20" t="n">
        <v>1.7741108</v>
      </c>
      <c r="I60" s="18" t="n">
        <v>0</v>
      </c>
      <c r="J60" s="20" t="n">
        <v>0</v>
      </c>
      <c r="K60" s="18" t="n">
        <v>2.90321157</v>
      </c>
      <c r="L60" s="20" t="n">
        <v>0.69222631</v>
      </c>
      <c r="M60" s="18" t="n">
        <v>0</v>
      </c>
      <c r="N60" s="20" t="n">
        <v>0</v>
      </c>
      <c r="O60" s="18" t="n">
        <v>1.4558488</v>
      </c>
      <c r="P60" s="20" t="n">
        <v>0.47747726</v>
      </c>
      <c r="Q60" s="18" t="n">
        <v>10.66904565</v>
      </c>
      <c r="R60" s="20" t="n">
        <v>1.18188004</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51.60815263</v>
      </c>
      <c r="F63" s="20" t="n">
        <v>1.82101777</v>
      </c>
      <c r="G63" s="18" t="n">
        <v>31.91817139</v>
      </c>
      <c r="H63" s="20" t="n">
        <v>1.78061646</v>
      </c>
      <c r="I63" s="18" t="n">
        <v>0</v>
      </c>
      <c r="J63" s="20" t="n">
        <v>0</v>
      </c>
      <c r="K63" s="18" t="n">
        <v>1.08601725</v>
      </c>
      <c r="L63" s="20" t="n">
        <v>0.33834838</v>
      </c>
      <c r="M63" s="18" t="n">
        <v>0</v>
      </c>
      <c r="N63" s="20" t="n">
        <v>0</v>
      </c>
      <c r="O63" s="18" t="n">
        <v>0</v>
      </c>
      <c r="P63" s="20" t="n">
        <v>0</v>
      </c>
      <c r="Q63" s="18" t="n">
        <v>15.38765873</v>
      </c>
      <c r="R63" s="20" t="n">
        <v>1.34260337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47.88663365</v>
      </c>
      <c r="F65" s="20" t="n">
        <v>2.24081332</v>
      </c>
      <c r="G65" s="18" t="n">
        <v>44.98059229</v>
      </c>
      <c r="H65" s="20" t="n">
        <v>2.09339348</v>
      </c>
      <c r="I65" s="18" t="n">
        <v>0</v>
      </c>
      <c r="J65" s="20" t="n">
        <v>0</v>
      </c>
      <c r="K65" s="18" t="n">
        <v>1.77166423</v>
      </c>
      <c r="L65" s="20" t="n">
        <v>0.57518457</v>
      </c>
      <c r="M65" s="18" t="n">
        <v>0</v>
      </c>
      <c r="N65" s="20" t="n">
        <v>0</v>
      </c>
      <c r="O65" s="18" t="n">
        <v>0</v>
      </c>
      <c r="P65" s="20" t="n">
        <v>0</v>
      </c>
      <c r="Q65" s="18" t="n">
        <v>5.36110983</v>
      </c>
      <c r="R65" s="20" t="n">
        <v>1.00924032</v>
      </c>
    </row>
    <row r="66" spans="1:18">
      <c r="A66" s="15" t="s">
        <v>626</v>
      </c>
      <c r="B66" s="17" t="n">
        <v>2634</v>
      </c>
      <c r="C66" s="18">
        <f>(1761.0/B66*100)</f>
        <v/>
      </c>
      <c r="D66" s="19" t="n">
        <v>873</v>
      </c>
      <c r="E66" s="18" t="n">
        <v>51.13573735</v>
      </c>
      <c r="F66" s="20" t="n">
        <v>1.55663034</v>
      </c>
      <c r="G66" s="18" t="n">
        <v>38.40579077</v>
      </c>
      <c r="H66" s="20" t="n">
        <v>1.50343503</v>
      </c>
      <c r="I66" s="18" t="n">
        <v>0</v>
      </c>
      <c r="J66" s="20" t="n">
        <v>0</v>
      </c>
      <c r="K66" s="18" t="n">
        <v>2.8349666</v>
      </c>
      <c r="L66" s="20" t="n">
        <v>0.66780772</v>
      </c>
      <c r="M66" s="18" t="n">
        <v>0.32635102</v>
      </c>
      <c r="N66" s="20" t="n">
        <v>0.18953374</v>
      </c>
      <c r="O66" s="18" t="n">
        <v>0</v>
      </c>
      <c r="P66" s="20" t="n">
        <v>0</v>
      </c>
      <c r="Q66" s="18" t="n">
        <v>7.29715426</v>
      </c>
      <c r="R66" s="20" t="n">
        <v>0.85379573</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65.14573889</v>
      </c>
      <c r="F69" s="20" t="n">
        <v>2.83552547</v>
      </c>
      <c r="G69" s="18" t="n">
        <v>32.32461651</v>
      </c>
      <c r="H69" s="20" t="n">
        <v>2.69254486</v>
      </c>
      <c r="I69" s="18" t="n">
        <v>0</v>
      </c>
      <c r="J69" s="20" t="n">
        <v>0</v>
      </c>
      <c r="K69" s="18" t="n">
        <v>0</v>
      </c>
      <c r="L69" s="20" t="n">
        <v>0</v>
      </c>
      <c r="M69" s="18" t="n">
        <v>0</v>
      </c>
      <c r="N69" s="20" t="n">
        <v>0</v>
      </c>
      <c r="O69" s="18" t="n">
        <v>0.49335409</v>
      </c>
      <c r="P69" s="20" t="n">
        <v>0.47645166</v>
      </c>
      <c r="Q69" s="18" t="n">
        <v>2.03629051</v>
      </c>
      <c r="R69" s="20" t="n">
        <v>0.8882926799999999</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61.02680172</v>
      </c>
      <c r="F71" s="20" t="n">
        <v>2.05762179</v>
      </c>
      <c r="G71" s="18" t="n">
        <v>38.5246125</v>
      </c>
      <c r="H71" s="20" t="n">
        <v>2.01266784</v>
      </c>
      <c r="I71" s="18" t="n">
        <v>0</v>
      </c>
      <c r="J71" s="20" t="n">
        <v>0</v>
      </c>
      <c r="K71" s="18" t="n">
        <v>0</v>
      </c>
      <c r="L71" s="20" t="n">
        <v>0</v>
      </c>
      <c r="M71" s="18" t="n">
        <v>0</v>
      </c>
      <c r="N71" s="20" t="n">
        <v>0</v>
      </c>
      <c r="O71" s="18" t="n">
        <v>0</v>
      </c>
      <c r="P71" s="20" t="n">
        <v>0</v>
      </c>
      <c r="Q71" s="18" t="n">
        <v>0.44858578</v>
      </c>
      <c r="R71" s="20" t="n">
        <v>0.22369107</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45.06548299</v>
      </c>
      <c r="F76" s="20" t="n">
        <v>2.10787736</v>
      </c>
      <c r="G76" s="18" t="n">
        <v>44.66153887</v>
      </c>
      <c r="H76" s="20" t="n">
        <v>1.99041185</v>
      </c>
      <c r="I76" s="18" t="n">
        <v>0</v>
      </c>
      <c r="J76" s="20" t="n">
        <v>0</v>
      </c>
      <c r="K76" s="18" t="n">
        <v>2.43472268</v>
      </c>
      <c r="L76" s="20" t="n">
        <v>0.52315575</v>
      </c>
      <c r="M76" s="18" t="n">
        <v>0</v>
      </c>
      <c r="N76" s="20" t="n">
        <v>0</v>
      </c>
      <c r="O76" s="18" t="n">
        <v>0</v>
      </c>
      <c r="P76" s="20" t="n">
        <v>0</v>
      </c>
      <c r="Q76" s="18" t="n">
        <v>7.83825546</v>
      </c>
      <c r="R76" s="20" t="n">
        <v>1.08171236</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55.8769915</v>
      </c>
      <c r="F80" s="20" t="n">
        <v>2.19098606</v>
      </c>
      <c r="G80" s="18" t="n">
        <v>44.1230085</v>
      </c>
      <c r="H80" s="20" t="n">
        <v>2.19098606</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(580.0/B81*100)</f>
        <v/>
      </c>
      <c r="D81" s="19" t="n">
        <v>290</v>
      </c>
      <c r="E81" s="18" t="n">
        <v>35.95760512</v>
      </c>
      <c r="F81" s="20" t="n">
        <v>3.20340562</v>
      </c>
      <c r="G81" s="18" t="n">
        <v>56.27173913</v>
      </c>
      <c r="H81" s="20" t="n">
        <v>3.5955562</v>
      </c>
      <c r="I81" s="18" t="n">
        <v>0</v>
      </c>
      <c r="J81" s="20" t="n">
        <v>0</v>
      </c>
      <c r="K81" s="18" t="n">
        <v>2.41309482</v>
      </c>
      <c r="L81" s="20" t="n">
        <v>1.02170328</v>
      </c>
      <c r="M81" s="18" t="n">
        <v>0</v>
      </c>
      <c r="N81" s="20" t="n">
        <v>0</v>
      </c>
      <c r="O81" s="18" t="n">
        <v>0</v>
      </c>
      <c r="P81" s="20" t="n">
        <v>0</v>
      </c>
      <c r="Q81" s="18" t="n">
        <v>5.35756093</v>
      </c>
      <c r="R81" s="20" t="n">
        <v>1.46989585</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77.43919441</v>
      </c>
      <c r="F44" s="20" t="n">
        <v>1.89023311</v>
      </c>
      <c r="G44" s="18" t="n">
        <v>15.98852451</v>
      </c>
      <c r="H44" s="20" t="n">
        <v>1.9062872</v>
      </c>
      <c r="I44" s="18" t="n">
        <v>0</v>
      </c>
      <c r="J44" s="20" t="n">
        <v>0</v>
      </c>
      <c r="K44" s="18" t="n">
        <v>0.55466629</v>
      </c>
      <c r="L44" s="20" t="n">
        <v>0.21991079</v>
      </c>
      <c r="M44" s="18" t="n">
        <v>0</v>
      </c>
      <c r="N44" s="20" t="n">
        <v>0</v>
      </c>
      <c r="O44" s="18" t="n">
        <v>0</v>
      </c>
      <c r="P44" s="20" t="n">
        <v>0</v>
      </c>
      <c r="Q44" s="18" t="n">
        <v>6.01761479</v>
      </c>
      <c r="R44" s="20" t="n">
        <v>1.08817048</v>
      </c>
    </row>
    <row r="45" spans="1:18">
      <c r="A45" s="15" t="s">
        <v>604</v>
      </c>
      <c r="B45" s="17" t="n">
        <v>2670</v>
      </c>
      <c r="C45" s="18">
        <f>(1765.0/B45*100)</f>
        <v/>
      </c>
      <c r="D45" s="19" t="n">
        <v>905</v>
      </c>
      <c r="E45" s="18" t="n">
        <v>79.57156698</v>
      </c>
      <c r="F45" s="20" t="n">
        <v>1.5344546</v>
      </c>
      <c r="G45" s="18" t="n">
        <v>12.99933742</v>
      </c>
      <c r="H45" s="20" t="n">
        <v>1.49155714</v>
      </c>
      <c r="I45" s="18" t="n">
        <v>0</v>
      </c>
      <c r="J45" s="20" t="n">
        <v>0</v>
      </c>
      <c r="K45" s="18" t="n">
        <v>4.38265959</v>
      </c>
      <c r="L45" s="20" t="n">
        <v>0.83378972</v>
      </c>
      <c r="M45" s="18" t="n">
        <v>0.63858894</v>
      </c>
      <c r="N45" s="20" t="n">
        <v>0.28008517</v>
      </c>
      <c r="O45" s="18" t="n">
        <v>0</v>
      </c>
      <c r="P45" s="20" t="n">
        <v>0</v>
      </c>
      <c r="Q45" s="18" t="n">
        <v>2.40784706</v>
      </c>
      <c r="R45" s="20" t="n">
        <v>0.47522985</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87.83174022</v>
      </c>
      <c r="F54" s="20" t="n">
        <v>1.11979052</v>
      </c>
      <c r="G54" s="18" t="n">
        <v>6.35248264</v>
      </c>
      <c r="H54" s="20" t="n">
        <v>0.80426495</v>
      </c>
      <c r="I54" s="18" t="n">
        <v>0</v>
      </c>
      <c r="J54" s="20" t="n">
        <v>0</v>
      </c>
      <c r="K54" s="18" t="n">
        <v>0.9290049</v>
      </c>
      <c r="L54" s="20" t="n">
        <v>0.36929979</v>
      </c>
      <c r="M54" s="18" t="n">
        <v>0</v>
      </c>
      <c r="N54" s="20" t="n">
        <v>0</v>
      </c>
      <c r="O54" s="18" t="n">
        <v>0</v>
      </c>
      <c r="P54" s="20" t="n">
        <v>0</v>
      </c>
      <c r="Q54" s="18" t="n">
        <v>4.88677224</v>
      </c>
      <c r="R54" s="20" t="n">
        <v>0.94107928</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88.66914026000001</v>
      </c>
      <c r="F56" s="20" t="n">
        <v>1.10138427</v>
      </c>
      <c r="G56" s="18" t="n">
        <v>9.002275920000001</v>
      </c>
      <c r="H56" s="20" t="n">
        <v>0.95645435</v>
      </c>
      <c r="I56" s="18" t="n">
        <v>0</v>
      </c>
      <c r="J56" s="20" t="n">
        <v>0</v>
      </c>
      <c r="K56" s="18" t="n">
        <v>1.45359288</v>
      </c>
      <c r="L56" s="20" t="n">
        <v>0.53842195</v>
      </c>
      <c r="M56" s="18" t="n">
        <v>0.09141674</v>
      </c>
      <c r="N56" s="20" t="n">
        <v>0.09113778</v>
      </c>
      <c r="O56" s="18" t="n">
        <v>0</v>
      </c>
      <c r="P56" s="20" t="n">
        <v>0</v>
      </c>
      <c r="Q56" s="18" t="n">
        <v>0.7835742</v>
      </c>
      <c r="R56" s="20" t="n">
        <v>0.28485334</v>
      </c>
    </row>
    <row r="57" spans="1:18">
      <c r="A57" s="15" t="s">
        <v>616</v>
      </c>
      <c r="B57" s="17" t="n">
        <v>3737</v>
      </c>
      <c r="C57" s="18">
        <f>(2486.0/B57*100)</f>
        <v/>
      </c>
      <c r="D57" s="19" t="n">
        <v>1251</v>
      </c>
      <c r="E57" s="18" t="n">
        <v>85.03942852</v>
      </c>
      <c r="F57" s="20" t="n">
        <v>1.2484246</v>
      </c>
      <c r="G57" s="18" t="n">
        <v>11.36149218</v>
      </c>
      <c r="H57" s="20" t="n">
        <v>1.1544826</v>
      </c>
      <c r="I57" s="18" t="n">
        <v>0</v>
      </c>
      <c r="J57" s="20" t="n">
        <v>0</v>
      </c>
      <c r="K57" s="18" t="n">
        <v>1.25726165</v>
      </c>
      <c r="L57" s="20" t="n">
        <v>0.38555148</v>
      </c>
      <c r="M57" s="18" t="n">
        <v>0</v>
      </c>
      <c r="N57" s="20" t="n">
        <v>0</v>
      </c>
      <c r="O57" s="18" t="n">
        <v>0.11398178</v>
      </c>
      <c r="P57" s="20" t="n">
        <v>0.11419252</v>
      </c>
      <c r="Q57" s="18" t="n">
        <v>2.22783587</v>
      </c>
      <c r="R57" s="20" t="n">
        <v>0.49661069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91.70638235</v>
      </c>
      <c r="F59" s="20" t="n">
        <v>1.16500284</v>
      </c>
      <c r="G59" s="18" t="n">
        <v>4.81133292</v>
      </c>
      <c r="H59" s="20" t="n">
        <v>0.8303306499999999</v>
      </c>
      <c r="I59" s="18" t="n">
        <v>0</v>
      </c>
      <c r="J59" s="20" t="n">
        <v>0</v>
      </c>
      <c r="K59" s="18" t="n">
        <v>0.63822388</v>
      </c>
      <c r="L59" s="20" t="n">
        <v>0.27427099</v>
      </c>
      <c r="M59" s="18" t="n">
        <v>0.23303008</v>
      </c>
      <c r="N59" s="20" t="n">
        <v>0.14596762</v>
      </c>
      <c r="O59" s="18" t="n">
        <v>0</v>
      </c>
      <c r="P59" s="20" t="n">
        <v>0</v>
      </c>
      <c r="Q59" s="18" t="n">
        <v>2.61103077</v>
      </c>
      <c r="R59" s="20" t="n">
        <v>0.72932428</v>
      </c>
    </row>
    <row r="60" spans="1:18">
      <c r="A60" s="15" t="s">
        <v>620</v>
      </c>
      <c r="B60" s="17" t="n">
        <v>2451</v>
      </c>
      <c r="C60" s="18">
        <f>(1622.0/B60*100)</f>
        <v/>
      </c>
      <c r="D60" s="19" t="n">
        <v>829</v>
      </c>
      <c r="E60" s="18" t="n">
        <v>73.15525499</v>
      </c>
      <c r="F60" s="20" t="n">
        <v>1.61737798</v>
      </c>
      <c r="G60" s="18" t="n">
        <v>18.29379464</v>
      </c>
      <c r="H60" s="20" t="n">
        <v>1.54621015</v>
      </c>
      <c r="I60" s="18" t="n">
        <v>0</v>
      </c>
      <c r="J60" s="20" t="n">
        <v>0</v>
      </c>
      <c r="K60" s="18" t="n">
        <v>2.90321157</v>
      </c>
      <c r="L60" s="20" t="n">
        <v>0.69222631</v>
      </c>
      <c r="M60" s="18" t="n">
        <v>0</v>
      </c>
      <c r="N60" s="20" t="n">
        <v>0</v>
      </c>
      <c r="O60" s="18" t="n">
        <v>0</v>
      </c>
      <c r="P60" s="20" t="n">
        <v>0</v>
      </c>
      <c r="Q60" s="18" t="n">
        <v>5.6477388</v>
      </c>
      <c r="R60" s="20" t="n">
        <v>0.91491493</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80.76805541</v>
      </c>
      <c r="F63" s="20" t="n">
        <v>1.40955685</v>
      </c>
      <c r="G63" s="18" t="n">
        <v>9.73089132</v>
      </c>
      <c r="H63" s="20" t="n">
        <v>1.13633161</v>
      </c>
      <c r="I63" s="18" t="n">
        <v>0</v>
      </c>
      <c r="J63" s="20" t="n">
        <v>0</v>
      </c>
      <c r="K63" s="18" t="n">
        <v>1.2120439</v>
      </c>
      <c r="L63" s="20" t="n">
        <v>0.36142489</v>
      </c>
      <c r="M63" s="18" t="n">
        <v>0</v>
      </c>
      <c r="N63" s="20" t="n">
        <v>0</v>
      </c>
      <c r="O63" s="18" t="n">
        <v>0</v>
      </c>
      <c r="P63" s="20" t="n">
        <v>0</v>
      </c>
      <c r="Q63" s="18" t="n">
        <v>8.28900937</v>
      </c>
      <c r="R63" s="20" t="n">
        <v>1.07052072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61.44075144</v>
      </c>
      <c r="F65" s="20" t="n">
        <v>1.91773522</v>
      </c>
      <c r="G65" s="18" t="n">
        <v>35.20956167</v>
      </c>
      <c r="H65" s="20" t="n">
        <v>1.97129069</v>
      </c>
      <c r="I65" s="18" t="n">
        <v>0</v>
      </c>
      <c r="J65" s="20" t="n">
        <v>0</v>
      </c>
      <c r="K65" s="18" t="n">
        <v>1.77166423</v>
      </c>
      <c r="L65" s="20" t="n">
        <v>0.57518457</v>
      </c>
      <c r="M65" s="18" t="n">
        <v>0</v>
      </c>
      <c r="N65" s="20" t="n">
        <v>0</v>
      </c>
      <c r="O65" s="18" t="n">
        <v>0</v>
      </c>
      <c r="P65" s="20" t="n">
        <v>0</v>
      </c>
      <c r="Q65" s="18" t="n">
        <v>1.57802267</v>
      </c>
      <c r="R65" s="20" t="n">
        <v>0.51573488</v>
      </c>
    </row>
    <row r="66" spans="1:18">
      <c r="A66" s="15" t="s">
        <v>626</v>
      </c>
      <c r="B66" s="17" t="n">
        <v>2634</v>
      </c>
      <c r="C66" s="18">
        <f>(1761.0/B66*100)</f>
        <v/>
      </c>
      <c r="D66" s="19" t="n">
        <v>873</v>
      </c>
      <c r="E66" s="18" t="n">
        <v>83.82358413999999</v>
      </c>
      <c r="F66" s="20" t="n">
        <v>1.28583014</v>
      </c>
      <c r="G66" s="18" t="n">
        <v>8.688300549999999</v>
      </c>
      <c r="H66" s="20" t="n">
        <v>0.91993417</v>
      </c>
      <c r="I66" s="18" t="n">
        <v>0</v>
      </c>
      <c r="J66" s="20" t="n">
        <v>0</v>
      </c>
      <c r="K66" s="18" t="n">
        <v>3.07236317</v>
      </c>
      <c r="L66" s="20" t="n">
        <v>0.7108665199999999</v>
      </c>
      <c r="M66" s="18" t="n">
        <v>0</v>
      </c>
      <c r="N66" s="20" t="n">
        <v>0</v>
      </c>
      <c r="O66" s="18" t="n">
        <v>0</v>
      </c>
      <c r="P66" s="20" t="n">
        <v>0</v>
      </c>
      <c r="Q66" s="18" t="n">
        <v>4.41575214</v>
      </c>
      <c r="R66" s="20" t="n">
        <v>0.75474504</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90.48761708000001</v>
      </c>
      <c r="F69" s="20" t="n">
        <v>2.3420732</v>
      </c>
      <c r="G69" s="18" t="n">
        <v>7.70042905</v>
      </c>
      <c r="H69" s="20" t="n">
        <v>1.57115455</v>
      </c>
      <c r="I69" s="18" t="n">
        <v>0</v>
      </c>
      <c r="J69" s="20" t="n">
        <v>0</v>
      </c>
      <c r="K69" s="18" t="n">
        <v>0</v>
      </c>
      <c r="L69" s="20" t="n">
        <v>0</v>
      </c>
      <c r="M69" s="18" t="n">
        <v>0</v>
      </c>
      <c r="N69" s="20" t="n">
        <v>0</v>
      </c>
      <c r="O69" s="18" t="n">
        <v>0</v>
      </c>
      <c r="P69" s="20" t="n">
        <v>0</v>
      </c>
      <c r="Q69" s="18" t="n">
        <v>1.81195387</v>
      </c>
      <c r="R69" s="20" t="n">
        <v>1.35312002</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92.88205103</v>
      </c>
      <c r="F71" s="20" t="n">
        <v>0.96976081</v>
      </c>
      <c r="G71" s="18" t="n">
        <v>7.00158317</v>
      </c>
      <c r="H71" s="20" t="n">
        <v>0.97839281</v>
      </c>
      <c r="I71" s="18" t="n">
        <v>0</v>
      </c>
      <c r="J71" s="20" t="n">
        <v>0</v>
      </c>
      <c r="K71" s="18" t="n">
        <v>0</v>
      </c>
      <c r="L71" s="20" t="n">
        <v>0</v>
      </c>
      <c r="M71" s="18" t="n">
        <v>0</v>
      </c>
      <c r="N71" s="20" t="n">
        <v>0</v>
      </c>
      <c r="O71" s="18" t="n">
        <v>0</v>
      </c>
      <c r="P71" s="20" t="n">
        <v>0</v>
      </c>
      <c r="Q71" s="18" t="n">
        <v>0.1163658</v>
      </c>
      <c r="R71" s="20" t="n">
        <v>0.11583224</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74.56492603</v>
      </c>
      <c r="F76" s="20" t="n">
        <v>1.91248444</v>
      </c>
      <c r="G76" s="18" t="n">
        <v>16.44706665</v>
      </c>
      <c r="H76" s="20" t="n">
        <v>1.54380036</v>
      </c>
      <c r="I76" s="18" t="n">
        <v>0</v>
      </c>
      <c r="J76" s="20" t="n">
        <v>0</v>
      </c>
      <c r="K76" s="18" t="n">
        <v>2.75268221</v>
      </c>
      <c r="L76" s="20" t="n">
        <v>0.57604464</v>
      </c>
      <c r="M76" s="18" t="n">
        <v>0</v>
      </c>
      <c r="N76" s="20" t="n">
        <v>0</v>
      </c>
      <c r="O76" s="18" t="n">
        <v>0</v>
      </c>
      <c r="P76" s="20" t="n">
        <v>0</v>
      </c>
      <c r="Q76" s="18" t="n">
        <v>6.23532511</v>
      </c>
      <c r="R76" s="20" t="n">
        <v>1.12269247</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47.15527413</v>
      </c>
      <c r="F80" s="20" t="n">
        <v>1.62768693</v>
      </c>
      <c r="G80" s="18" t="n">
        <v>52.84472587</v>
      </c>
      <c r="H80" s="20" t="n">
        <v>1.62768693</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(580.0/B81*100)</f>
        <v/>
      </c>
      <c r="D81" s="19" t="n">
        <v>290</v>
      </c>
      <c r="E81" s="18" t="n">
        <v>73.0569205</v>
      </c>
      <c r="F81" s="20" t="n">
        <v>3.12766641</v>
      </c>
      <c r="G81" s="18" t="n">
        <v>19.87915002</v>
      </c>
      <c r="H81" s="20" t="n">
        <v>3.08056161</v>
      </c>
      <c r="I81" s="18" t="n">
        <v>0</v>
      </c>
      <c r="J81" s="20" t="n">
        <v>0</v>
      </c>
      <c r="K81" s="18" t="n">
        <v>2.41309482</v>
      </c>
      <c r="L81" s="20" t="n">
        <v>1.02170328</v>
      </c>
      <c r="M81" s="18" t="n">
        <v>0</v>
      </c>
      <c r="N81" s="20" t="n">
        <v>0</v>
      </c>
      <c r="O81" s="18" t="n">
        <v>0.32050298</v>
      </c>
      <c r="P81" s="20" t="n">
        <v>0.31790041</v>
      </c>
      <c r="Q81" s="18" t="n">
        <v>4.33033168</v>
      </c>
      <c r="R81" s="20" t="n">
        <v>1.18524574</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7.95096363</v>
      </c>
      <c r="F44" s="20" t="n">
        <v>1.18689914</v>
      </c>
      <c r="G44" s="18" t="n">
        <v>89.29967899</v>
      </c>
      <c r="H44" s="20" t="n">
        <v>1.27672876</v>
      </c>
      <c r="I44" s="18" t="n">
        <v>0</v>
      </c>
      <c r="J44" s="20" t="n">
        <v>0</v>
      </c>
      <c r="K44" s="18" t="n">
        <v>0.55466629</v>
      </c>
      <c r="L44" s="20" t="n">
        <v>0.21991079</v>
      </c>
      <c r="M44" s="18" t="n">
        <v>0</v>
      </c>
      <c r="N44" s="20" t="n">
        <v>0</v>
      </c>
      <c r="O44" s="18" t="n">
        <v>0.06979721999999999</v>
      </c>
      <c r="P44" s="20" t="n">
        <v>0.07011119</v>
      </c>
      <c r="Q44" s="18" t="n">
        <v>2.12489387</v>
      </c>
      <c r="R44" s="20" t="n">
        <v>0.66931655</v>
      </c>
    </row>
    <row r="45" spans="1:18">
      <c r="A45" s="15" t="s">
        <v>604</v>
      </c>
      <c r="B45" s="17" t="n">
        <v>2670</v>
      </c>
      <c r="C45" s="18">
        <f>(1765.0/B45*100)</f>
        <v/>
      </c>
      <c r="D45" s="19" t="n">
        <v>905</v>
      </c>
      <c r="E45" s="18" t="n">
        <v>30.94722969</v>
      </c>
      <c r="F45" s="20" t="n">
        <v>1.63579155</v>
      </c>
      <c r="G45" s="18" t="n">
        <v>60.00962487</v>
      </c>
      <c r="H45" s="20" t="n">
        <v>1.81542755</v>
      </c>
      <c r="I45" s="18" t="n">
        <v>0</v>
      </c>
      <c r="J45" s="20" t="n">
        <v>0</v>
      </c>
      <c r="K45" s="18" t="n">
        <v>4.60513711</v>
      </c>
      <c r="L45" s="20" t="n">
        <v>0.85977607</v>
      </c>
      <c r="M45" s="18" t="n">
        <v>0.75946845</v>
      </c>
      <c r="N45" s="20" t="n">
        <v>0.28448046</v>
      </c>
      <c r="O45" s="18" t="n">
        <v>2.17136051</v>
      </c>
      <c r="P45" s="20" t="n">
        <v>0.52890139</v>
      </c>
      <c r="Q45" s="18" t="n">
        <v>1.50717936</v>
      </c>
      <c r="R45" s="20" t="n">
        <v>0.4044501</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14.9393973</v>
      </c>
      <c r="F54" s="20" t="n">
        <v>1.39440857</v>
      </c>
      <c r="G54" s="18" t="n">
        <v>82.52936047</v>
      </c>
      <c r="H54" s="20" t="n">
        <v>1.43808663</v>
      </c>
      <c r="I54" s="18" t="n">
        <v>0</v>
      </c>
      <c r="J54" s="20" t="n">
        <v>0</v>
      </c>
      <c r="K54" s="18" t="n">
        <v>0.9290049</v>
      </c>
      <c r="L54" s="20" t="n">
        <v>0.36929979</v>
      </c>
      <c r="M54" s="18" t="n">
        <v>0</v>
      </c>
      <c r="N54" s="20" t="n">
        <v>0</v>
      </c>
      <c r="O54" s="18" t="n">
        <v>0.20901294</v>
      </c>
      <c r="P54" s="20" t="n">
        <v>0.14754417</v>
      </c>
      <c r="Q54" s="18" t="n">
        <v>1.39322439</v>
      </c>
      <c r="R54" s="20" t="n">
        <v>0.42532793</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9.399762969999999</v>
      </c>
      <c r="F56" s="20" t="n">
        <v>1.00772911</v>
      </c>
      <c r="G56" s="18" t="n">
        <v>87.80846132000001</v>
      </c>
      <c r="H56" s="20" t="n">
        <v>1.18780919</v>
      </c>
      <c r="I56" s="18" t="n">
        <v>0</v>
      </c>
      <c r="J56" s="20" t="n">
        <v>0</v>
      </c>
      <c r="K56" s="18" t="n">
        <v>1.45359288</v>
      </c>
      <c r="L56" s="20" t="n">
        <v>0.53842195</v>
      </c>
      <c r="M56" s="18" t="n">
        <v>0.09141674</v>
      </c>
      <c r="N56" s="20" t="n">
        <v>0.09113778</v>
      </c>
      <c r="O56" s="18" t="n">
        <v>0.08532227000000001</v>
      </c>
      <c r="P56" s="20" t="n">
        <v>0.08541215000000001</v>
      </c>
      <c r="Q56" s="18" t="n">
        <v>1.16144382</v>
      </c>
      <c r="R56" s="20" t="n">
        <v>0.34688653</v>
      </c>
    </row>
    <row r="57" spans="1:18">
      <c r="A57" s="15" t="s">
        <v>616</v>
      </c>
      <c r="B57" s="17" t="n">
        <v>3737</v>
      </c>
      <c r="C57" s="18">
        <f>(2486.0/B57*100)</f>
        <v/>
      </c>
      <c r="D57" s="19" t="n">
        <v>1251</v>
      </c>
      <c r="E57" s="18" t="n">
        <v>10.99185242</v>
      </c>
      <c r="F57" s="20" t="n">
        <v>1.17134048</v>
      </c>
      <c r="G57" s="18" t="n">
        <v>86.24482141</v>
      </c>
      <c r="H57" s="20" t="n">
        <v>1.17110234</v>
      </c>
      <c r="I57" s="18" t="n">
        <v>0</v>
      </c>
      <c r="J57" s="20" t="n">
        <v>0</v>
      </c>
      <c r="K57" s="18" t="n">
        <v>1.25726165</v>
      </c>
      <c r="L57" s="20" t="n">
        <v>0.38555148</v>
      </c>
      <c r="M57" s="18" t="n">
        <v>0</v>
      </c>
      <c r="N57" s="20" t="n">
        <v>0</v>
      </c>
      <c r="O57" s="18" t="n">
        <v>0.3216393</v>
      </c>
      <c r="P57" s="20" t="n">
        <v>0.18444509</v>
      </c>
      <c r="Q57" s="18" t="n">
        <v>1.18442522</v>
      </c>
      <c r="R57" s="20" t="n">
        <v>0.31870941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24.10180566</v>
      </c>
      <c r="F59" s="20" t="n">
        <v>1.6512865</v>
      </c>
      <c r="G59" s="18" t="n">
        <v>73.91544383</v>
      </c>
      <c r="H59" s="20" t="n">
        <v>1.71700984</v>
      </c>
      <c r="I59" s="18" t="n">
        <v>0</v>
      </c>
      <c r="J59" s="20" t="n">
        <v>0</v>
      </c>
      <c r="K59" s="18" t="n">
        <v>0.63822388</v>
      </c>
      <c r="L59" s="20" t="n">
        <v>0.27427099</v>
      </c>
      <c r="M59" s="18" t="n">
        <v>0.34856824</v>
      </c>
      <c r="N59" s="20" t="n">
        <v>0.18484245</v>
      </c>
      <c r="O59" s="18" t="n">
        <v>0.8481666</v>
      </c>
      <c r="P59" s="20" t="n">
        <v>0.40826577</v>
      </c>
      <c r="Q59" s="18" t="n">
        <v>0.14779181</v>
      </c>
      <c r="R59" s="20" t="n">
        <v>0.08549255</v>
      </c>
    </row>
    <row r="60" spans="1:18">
      <c r="A60" s="15" t="s">
        <v>620</v>
      </c>
      <c r="B60" s="17" t="n">
        <v>2451</v>
      </c>
      <c r="C60" s="18">
        <f>(1622.0/B60*100)</f>
        <v/>
      </c>
      <c r="D60" s="19" t="n">
        <v>829</v>
      </c>
      <c r="E60" s="18" t="n">
        <v>28.17670884</v>
      </c>
      <c r="F60" s="20" t="n">
        <v>1.7789805</v>
      </c>
      <c r="G60" s="18" t="n">
        <v>61.85510779</v>
      </c>
      <c r="H60" s="20" t="n">
        <v>2.19332695</v>
      </c>
      <c r="I60" s="18" t="n">
        <v>0</v>
      </c>
      <c r="J60" s="20" t="n">
        <v>0</v>
      </c>
      <c r="K60" s="18" t="n">
        <v>3.13969038</v>
      </c>
      <c r="L60" s="20" t="n">
        <v>0.74336647</v>
      </c>
      <c r="M60" s="18" t="n">
        <v>0</v>
      </c>
      <c r="N60" s="20" t="n">
        <v>0</v>
      </c>
      <c r="O60" s="18" t="n">
        <v>2.67367048</v>
      </c>
      <c r="P60" s="20" t="n">
        <v>0.89765671</v>
      </c>
      <c r="Q60" s="18" t="n">
        <v>4.1548225</v>
      </c>
      <c r="R60" s="20" t="n">
        <v>0.84536227</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20.28249878</v>
      </c>
      <c r="F63" s="20" t="n">
        <v>1.61879586</v>
      </c>
      <c r="G63" s="18" t="n">
        <v>75.67083144</v>
      </c>
      <c r="H63" s="20" t="n">
        <v>1.67543468</v>
      </c>
      <c r="I63" s="18" t="n">
        <v>0</v>
      </c>
      <c r="J63" s="20" t="n">
        <v>0</v>
      </c>
      <c r="K63" s="18" t="n">
        <v>1.30523265</v>
      </c>
      <c r="L63" s="20" t="n">
        <v>0.37025579</v>
      </c>
      <c r="M63" s="18" t="n">
        <v>0</v>
      </c>
      <c r="N63" s="20" t="n">
        <v>0</v>
      </c>
      <c r="O63" s="18" t="n">
        <v>0.28045604</v>
      </c>
      <c r="P63" s="20" t="n">
        <v>0.16967986</v>
      </c>
      <c r="Q63" s="18" t="n">
        <v>2.46098109</v>
      </c>
      <c r="R63" s="20" t="n">
        <v>0.5643586900000001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8.35759932</v>
      </c>
      <c r="F65" s="20" t="n">
        <v>1.01917396</v>
      </c>
      <c r="G65" s="18" t="n">
        <v>88.95763038</v>
      </c>
      <c r="H65" s="20" t="n">
        <v>1.05283649</v>
      </c>
      <c r="I65" s="18" t="n">
        <v>0</v>
      </c>
      <c r="J65" s="20" t="n">
        <v>0</v>
      </c>
      <c r="K65" s="18" t="n">
        <v>1.99616057</v>
      </c>
      <c r="L65" s="20" t="n">
        <v>0.60634484</v>
      </c>
      <c r="M65" s="18" t="n">
        <v>0</v>
      </c>
      <c r="N65" s="20" t="n">
        <v>0</v>
      </c>
      <c r="O65" s="18" t="n">
        <v>0</v>
      </c>
      <c r="P65" s="20" t="n">
        <v>0</v>
      </c>
      <c r="Q65" s="18" t="n">
        <v>0.68860974</v>
      </c>
      <c r="R65" s="20" t="n">
        <v>0.3451884</v>
      </c>
    </row>
    <row r="66" spans="1:18">
      <c r="A66" s="15" t="s">
        <v>626</v>
      </c>
      <c r="B66" s="17" t="n">
        <v>2634</v>
      </c>
      <c r="C66" s="18">
        <f>(1761.0/B66*100)</f>
        <v/>
      </c>
      <c r="D66" s="19" t="n">
        <v>873</v>
      </c>
      <c r="E66" s="18" t="n">
        <v>11.64108481</v>
      </c>
      <c r="F66" s="20" t="n">
        <v>1.09320565</v>
      </c>
      <c r="G66" s="18" t="n">
        <v>83.66767573</v>
      </c>
      <c r="H66" s="20" t="n">
        <v>1.27921491</v>
      </c>
      <c r="I66" s="18" t="n">
        <v>0</v>
      </c>
      <c r="J66" s="20" t="n">
        <v>0</v>
      </c>
      <c r="K66" s="18" t="n">
        <v>3.2814807</v>
      </c>
      <c r="L66" s="20" t="n">
        <v>0.72679653</v>
      </c>
      <c r="M66" s="18" t="n">
        <v>0.26548962</v>
      </c>
      <c r="N66" s="20" t="n">
        <v>0.15269973</v>
      </c>
      <c r="O66" s="18" t="n">
        <v>0</v>
      </c>
      <c r="P66" s="20" t="n">
        <v>0</v>
      </c>
      <c r="Q66" s="18" t="n">
        <v>1.14426914</v>
      </c>
      <c r="R66" s="20" t="n">
        <v>0.36760574</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12.06168857</v>
      </c>
      <c r="F69" s="20" t="n">
        <v>2.31858303</v>
      </c>
      <c r="G69" s="18" t="n">
        <v>86.96356428</v>
      </c>
      <c r="H69" s="20" t="n">
        <v>2.36310882</v>
      </c>
      <c r="I69" s="18" t="n">
        <v>0</v>
      </c>
      <c r="J69" s="20" t="n">
        <v>0</v>
      </c>
      <c r="K69" s="18" t="n">
        <v>0</v>
      </c>
      <c r="L69" s="20" t="n">
        <v>0</v>
      </c>
      <c r="M69" s="18" t="n">
        <v>0</v>
      </c>
      <c r="N69" s="20" t="n">
        <v>0</v>
      </c>
      <c r="O69" s="18" t="n">
        <v>0.48139306</v>
      </c>
      <c r="P69" s="20" t="n">
        <v>0.49646484</v>
      </c>
      <c r="Q69" s="18" t="n">
        <v>0.49335409</v>
      </c>
      <c r="R69" s="20" t="n">
        <v>0.47645166</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17.95129852</v>
      </c>
      <c r="F71" s="20" t="n">
        <v>1.29052156</v>
      </c>
      <c r="G71" s="18" t="n">
        <v>82.04870148000001</v>
      </c>
      <c r="H71" s="20" t="n">
        <v>1.29052156</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6.62340721</v>
      </c>
      <c r="F76" s="20" t="n">
        <v>0.9569708</v>
      </c>
      <c r="G76" s="18" t="n">
        <v>88.68551085</v>
      </c>
      <c r="H76" s="20" t="n">
        <v>1.07997154</v>
      </c>
      <c r="I76" s="18" t="n">
        <v>0</v>
      </c>
      <c r="J76" s="20" t="n">
        <v>0</v>
      </c>
      <c r="K76" s="18" t="n">
        <v>2.86936119</v>
      </c>
      <c r="L76" s="20" t="n">
        <v>0.58587173</v>
      </c>
      <c r="M76" s="18" t="n">
        <v>0</v>
      </c>
      <c r="N76" s="20" t="n">
        <v>0</v>
      </c>
      <c r="O76" s="18" t="n">
        <v>0</v>
      </c>
      <c r="P76" s="20" t="n">
        <v>0</v>
      </c>
      <c r="Q76" s="18" t="n">
        <v>1.82172075</v>
      </c>
      <c r="R76" s="20" t="n">
        <v>0.41260564</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1.05140584</v>
      </c>
      <c r="F80" s="20" t="n">
        <v>0.41915791</v>
      </c>
      <c r="G80" s="18" t="n">
        <v>98.94859416</v>
      </c>
      <c r="H80" s="20" t="n">
        <v>0.41915791</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(580.0/B81*100)</f>
        <v/>
      </c>
      <c r="D81" s="19" t="n">
        <v>290</v>
      </c>
      <c r="E81" s="18" t="n">
        <v>13.28661801</v>
      </c>
      <c r="F81" s="20" t="n">
        <v>2.43527359</v>
      </c>
      <c r="G81" s="18" t="n">
        <v>82.23348236</v>
      </c>
      <c r="H81" s="20" t="n">
        <v>2.79268893</v>
      </c>
      <c r="I81" s="18" t="n">
        <v>0</v>
      </c>
      <c r="J81" s="20" t="n">
        <v>0</v>
      </c>
      <c r="K81" s="18" t="n">
        <v>2.41309482</v>
      </c>
      <c r="L81" s="20" t="n">
        <v>1.02170328</v>
      </c>
      <c r="M81" s="18" t="n">
        <v>0</v>
      </c>
      <c r="N81" s="20" t="n">
        <v>0</v>
      </c>
      <c r="O81" s="18" t="n">
        <v>0</v>
      </c>
      <c r="P81" s="20" t="n">
        <v>0</v>
      </c>
      <c r="Q81" s="18" t="n">
        <v>2.06680481</v>
      </c>
      <c r="R81" s="20" t="n">
        <v>0.91956657</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61.36079818</v>
      </c>
      <c r="F44" s="20" t="n">
        <v>2.06606242</v>
      </c>
      <c r="G44" s="18" t="n">
        <v>34.9005418</v>
      </c>
      <c r="H44" s="20" t="n">
        <v>2.03729213</v>
      </c>
      <c r="I44" s="18" t="n">
        <v>0</v>
      </c>
      <c r="J44" s="20" t="n">
        <v>0</v>
      </c>
      <c r="K44" s="18" t="n">
        <v>0.55466629</v>
      </c>
      <c r="L44" s="20" t="n">
        <v>0.21991079</v>
      </c>
      <c r="M44" s="18" t="n">
        <v>0</v>
      </c>
      <c r="N44" s="20" t="n">
        <v>0</v>
      </c>
      <c r="O44" s="18" t="n">
        <v>1.14726921</v>
      </c>
      <c r="P44" s="20" t="n">
        <v>0.48235996</v>
      </c>
      <c r="Q44" s="18" t="n">
        <v>2.03672452</v>
      </c>
      <c r="R44" s="20" t="n">
        <v>0.61904478</v>
      </c>
    </row>
    <row r="45" spans="1:18">
      <c r="A45" s="15" t="s">
        <v>604</v>
      </c>
      <c r="B45" s="17" t="n">
        <v>2670</v>
      </c>
      <c r="C45" s="18">
        <f>(1765.0/B45*100)</f>
        <v/>
      </c>
      <c r="D45" s="19" t="n">
        <v>905</v>
      </c>
      <c r="E45" s="18" t="n">
        <v>68.06998887</v>
      </c>
      <c r="F45" s="20" t="n">
        <v>1.91949951</v>
      </c>
      <c r="G45" s="18" t="n">
        <v>21.35118525</v>
      </c>
      <c r="H45" s="20" t="n">
        <v>1.68294308</v>
      </c>
      <c r="I45" s="18" t="n">
        <v>0</v>
      </c>
      <c r="J45" s="20" t="n">
        <v>0</v>
      </c>
      <c r="K45" s="18" t="n">
        <v>5.23105496</v>
      </c>
      <c r="L45" s="20" t="n">
        <v>0.89116576</v>
      </c>
      <c r="M45" s="18" t="n">
        <v>1.17441647</v>
      </c>
      <c r="N45" s="20" t="n">
        <v>0.33454543</v>
      </c>
      <c r="O45" s="18" t="n">
        <v>2.91320349</v>
      </c>
      <c r="P45" s="20" t="n">
        <v>0.59621761</v>
      </c>
      <c r="Q45" s="18" t="n">
        <v>1.26015096</v>
      </c>
      <c r="R45" s="20" t="n">
        <v>0.30940641</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74.6641154</v>
      </c>
      <c r="F54" s="20" t="n">
        <v>1.81925801</v>
      </c>
      <c r="G54" s="18" t="n">
        <v>22.32733084</v>
      </c>
      <c r="H54" s="20" t="n">
        <v>1.71400155</v>
      </c>
      <c r="I54" s="18" t="n">
        <v>0</v>
      </c>
      <c r="J54" s="20" t="n">
        <v>0</v>
      </c>
      <c r="K54" s="18" t="n">
        <v>1.1297077</v>
      </c>
      <c r="L54" s="20" t="n">
        <v>0.36594892</v>
      </c>
      <c r="M54" s="18" t="n">
        <v>0</v>
      </c>
      <c r="N54" s="20" t="n">
        <v>0</v>
      </c>
      <c r="O54" s="18" t="n">
        <v>0.76378634</v>
      </c>
      <c r="P54" s="20" t="n">
        <v>0.28690112</v>
      </c>
      <c r="Q54" s="18" t="n">
        <v>1.11505973</v>
      </c>
      <c r="R54" s="20" t="n">
        <v>0.54096819</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68.17153784</v>
      </c>
      <c r="F56" s="20" t="n">
        <v>1.58644494</v>
      </c>
      <c r="G56" s="18" t="n">
        <v>28.83185177</v>
      </c>
      <c r="H56" s="20" t="n">
        <v>1.64875023</v>
      </c>
      <c r="I56" s="18" t="n">
        <v>0</v>
      </c>
      <c r="J56" s="20" t="n">
        <v>0</v>
      </c>
      <c r="K56" s="18" t="n">
        <v>1.72605274</v>
      </c>
      <c r="L56" s="20" t="n">
        <v>0.55778121</v>
      </c>
      <c r="M56" s="18" t="n">
        <v>0</v>
      </c>
      <c r="N56" s="20" t="n">
        <v>0</v>
      </c>
      <c r="O56" s="18" t="n">
        <v>0</v>
      </c>
      <c r="P56" s="20" t="n">
        <v>0</v>
      </c>
      <c r="Q56" s="18" t="n">
        <v>1.27055766</v>
      </c>
      <c r="R56" s="20" t="n">
        <v>0.37722083</v>
      </c>
    </row>
    <row r="57" spans="1:18">
      <c r="A57" s="15" t="s">
        <v>616</v>
      </c>
      <c r="B57" s="17" t="n">
        <v>3737</v>
      </c>
      <c r="C57" s="18">
        <f>(2486.0/B57*100)</f>
        <v/>
      </c>
      <c r="D57" s="19" t="n">
        <v>1251</v>
      </c>
      <c r="E57" s="18" t="n">
        <v>65.74400527</v>
      </c>
      <c r="F57" s="20" t="n">
        <v>2.06317451</v>
      </c>
      <c r="G57" s="18" t="n">
        <v>31.45450441</v>
      </c>
      <c r="H57" s="20" t="n">
        <v>1.97947513</v>
      </c>
      <c r="I57" s="18" t="n">
        <v>0</v>
      </c>
      <c r="J57" s="20" t="n">
        <v>0</v>
      </c>
      <c r="K57" s="18" t="n">
        <v>1.7632885</v>
      </c>
      <c r="L57" s="20" t="n">
        <v>0.4530417</v>
      </c>
      <c r="M57" s="18" t="n">
        <v>0</v>
      </c>
      <c r="N57" s="20" t="n">
        <v>0</v>
      </c>
      <c r="O57" s="18" t="n">
        <v>0.42303493</v>
      </c>
      <c r="P57" s="20" t="n">
        <v>0.19802267</v>
      </c>
      <c r="Q57" s="18" t="n">
        <v>0.6151669</v>
      </c>
      <c r="R57" s="20" t="n">
        <v>0.24714021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69.70995947999999</v>
      </c>
      <c r="F59" s="20" t="n">
        <v>1.87558636</v>
      </c>
      <c r="G59" s="18" t="n">
        <v>27.64297697</v>
      </c>
      <c r="H59" s="20" t="n">
        <v>1.77954661</v>
      </c>
      <c r="I59" s="18" t="n">
        <v>0</v>
      </c>
      <c r="J59" s="20" t="n">
        <v>0</v>
      </c>
      <c r="K59" s="18" t="n">
        <v>0.63822388</v>
      </c>
      <c r="L59" s="20" t="n">
        <v>0.27427099</v>
      </c>
      <c r="M59" s="18" t="n">
        <v>0.60292455</v>
      </c>
      <c r="N59" s="20" t="n">
        <v>0.34952794</v>
      </c>
      <c r="O59" s="18" t="n">
        <v>1.34934889</v>
      </c>
      <c r="P59" s="20" t="n">
        <v>0.46683084</v>
      </c>
      <c r="Q59" s="18" t="n">
        <v>0.05656622</v>
      </c>
      <c r="R59" s="20" t="n">
        <v>0.07994287</v>
      </c>
    </row>
    <row r="60" spans="1:18">
      <c r="A60" s="15" t="s">
        <v>620</v>
      </c>
      <c r="B60" s="17" t="n">
        <v>2451</v>
      </c>
      <c r="C60" s="18">
        <f>(1622.0/B60*100)</f>
        <v/>
      </c>
      <c r="D60" s="19" t="n">
        <v>829</v>
      </c>
      <c r="E60" s="18" t="n">
        <v>59.71922885</v>
      </c>
      <c r="F60" s="20" t="n">
        <v>1.82085202</v>
      </c>
      <c r="G60" s="18" t="n">
        <v>29.51034128</v>
      </c>
      <c r="H60" s="20" t="n">
        <v>2.00771116</v>
      </c>
      <c r="I60" s="18" t="n">
        <v>0</v>
      </c>
      <c r="J60" s="20" t="n">
        <v>0</v>
      </c>
      <c r="K60" s="18" t="n">
        <v>3.51185471</v>
      </c>
      <c r="L60" s="20" t="n">
        <v>0.75057263</v>
      </c>
      <c r="M60" s="18" t="n">
        <v>0</v>
      </c>
      <c r="N60" s="20" t="n">
        <v>0</v>
      </c>
      <c r="O60" s="18" t="n">
        <v>4.36939546</v>
      </c>
      <c r="P60" s="20" t="n">
        <v>0.95627165</v>
      </c>
      <c r="Q60" s="18" t="n">
        <v>2.8891797</v>
      </c>
      <c r="R60" s="20" t="n">
        <v>0.65823764</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70.37779870999999</v>
      </c>
      <c r="F63" s="20" t="n">
        <v>1.87977997</v>
      </c>
      <c r="G63" s="18" t="n">
        <v>25.95632544</v>
      </c>
      <c r="H63" s="20" t="n">
        <v>1.78010005</v>
      </c>
      <c r="I63" s="18" t="n">
        <v>0</v>
      </c>
      <c r="J63" s="20" t="n">
        <v>0</v>
      </c>
      <c r="K63" s="18" t="n">
        <v>1.52570892</v>
      </c>
      <c r="L63" s="20" t="n">
        <v>0.40013323</v>
      </c>
      <c r="M63" s="18" t="n">
        <v>0</v>
      </c>
      <c r="N63" s="20" t="n">
        <v>0</v>
      </c>
      <c r="O63" s="18" t="n">
        <v>0.5918113</v>
      </c>
      <c r="P63" s="20" t="n">
        <v>0.27898439</v>
      </c>
      <c r="Q63" s="18" t="n">
        <v>1.54835563</v>
      </c>
      <c r="R63" s="20" t="n">
        <v>0.42495957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47.00802973</v>
      </c>
      <c r="F65" s="20" t="n">
        <v>1.98311324</v>
      </c>
      <c r="G65" s="18" t="n">
        <v>49.54413536</v>
      </c>
      <c r="H65" s="20" t="n">
        <v>1.94648291</v>
      </c>
      <c r="I65" s="18" t="n">
        <v>0</v>
      </c>
      <c r="J65" s="20" t="n">
        <v>0</v>
      </c>
      <c r="K65" s="18" t="n">
        <v>1.99616057</v>
      </c>
      <c r="L65" s="20" t="n">
        <v>0.60634484</v>
      </c>
      <c r="M65" s="18" t="n">
        <v>0</v>
      </c>
      <c r="N65" s="20" t="n">
        <v>0</v>
      </c>
      <c r="O65" s="18" t="n">
        <v>0.6840019899999999</v>
      </c>
      <c r="P65" s="20" t="n">
        <v>0.35164886</v>
      </c>
      <c r="Q65" s="18" t="n">
        <v>0.76767235</v>
      </c>
      <c r="R65" s="20" t="n">
        <v>0.34440533</v>
      </c>
    </row>
    <row r="66" spans="1:18">
      <c r="A66" s="15" t="s">
        <v>626</v>
      </c>
      <c r="B66" s="17" t="n">
        <v>2634</v>
      </c>
      <c r="C66" s="18">
        <f>(1761.0/B66*100)</f>
        <v/>
      </c>
      <c r="D66" s="19" t="n">
        <v>873</v>
      </c>
      <c r="E66" s="18" t="n">
        <v>62.98252611</v>
      </c>
      <c r="F66" s="20" t="n">
        <v>1.96257578</v>
      </c>
      <c r="G66" s="18" t="n">
        <v>28.976489</v>
      </c>
      <c r="H66" s="20" t="n">
        <v>1.84810318</v>
      </c>
      <c r="I66" s="18" t="n">
        <v>0</v>
      </c>
      <c r="J66" s="20" t="n">
        <v>0</v>
      </c>
      <c r="K66" s="18" t="n">
        <v>3.2814807</v>
      </c>
      <c r="L66" s="20" t="n">
        <v>0.72679653</v>
      </c>
      <c r="M66" s="18" t="n">
        <v>3.93173636</v>
      </c>
      <c r="N66" s="20" t="n">
        <v>0.61695114</v>
      </c>
      <c r="O66" s="18" t="n">
        <v>0</v>
      </c>
      <c r="P66" s="20" t="n">
        <v>0</v>
      </c>
      <c r="Q66" s="18" t="n">
        <v>0.82776783</v>
      </c>
      <c r="R66" s="20" t="n">
        <v>0.32976348</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69.3320312</v>
      </c>
      <c r="F69" s="20" t="n">
        <v>2.57450759</v>
      </c>
      <c r="G69" s="18" t="n">
        <v>30.6679688</v>
      </c>
      <c r="H69" s="20" t="n">
        <v>2.57450759</v>
      </c>
      <c r="I69" s="18" t="n">
        <v>0</v>
      </c>
      <c r="J69" s="20" t="n">
        <v>0</v>
      </c>
      <c r="K69" s="18" t="n">
        <v>0</v>
      </c>
      <c r="L69" s="20" t="n">
        <v>0</v>
      </c>
      <c r="M69" s="18" t="n">
        <v>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71.96867715</v>
      </c>
      <c r="F71" s="20" t="n">
        <v>1.64233485</v>
      </c>
      <c r="G71" s="18" t="n">
        <v>28.03132285</v>
      </c>
      <c r="H71" s="20" t="n">
        <v>1.64233485</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52.93734471</v>
      </c>
      <c r="F76" s="20" t="n">
        <v>2.16369653</v>
      </c>
      <c r="G76" s="18" t="n">
        <v>43.35764561</v>
      </c>
      <c r="H76" s="20" t="n">
        <v>2.057438</v>
      </c>
      <c r="I76" s="18" t="n">
        <v>0</v>
      </c>
      <c r="J76" s="20" t="n">
        <v>0</v>
      </c>
      <c r="K76" s="18" t="n">
        <v>2.92057678</v>
      </c>
      <c r="L76" s="20" t="n">
        <v>0.5887860499999999</v>
      </c>
      <c r="M76" s="18" t="n">
        <v>0</v>
      </c>
      <c r="N76" s="20" t="n">
        <v>0</v>
      </c>
      <c r="O76" s="18" t="n">
        <v>0.22516056</v>
      </c>
      <c r="P76" s="20" t="n">
        <v>0.16093492</v>
      </c>
      <c r="Q76" s="18" t="n">
        <v>0.55927234</v>
      </c>
      <c r="R76" s="20" t="n">
        <v>0.22830368</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27.43799037</v>
      </c>
      <c r="F80" s="20" t="n">
        <v>1.9075478</v>
      </c>
      <c r="G80" s="18" t="n">
        <v>72.56200963000001</v>
      </c>
      <c r="H80" s="20" t="n">
        <v>1.9075478</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(580.0/B81*100)</f>
        <v/>
      </c>
      <c r="D81" s="19" t="n">
        <v>290</v>
      </c>
      <c r="E81" s="18" t="n">
        <v>48.89086334</v>
      </c>
      <c r="F81" s="20" t="n">
        <v>3.34542318</v>
      </c>
      <c r="G81" s="18" t="n">
        <v>45.60985503</v>
      </c>
      <c r="H81" s="20" t="n">
        <v>3.88951193</v>
      </c>
      <c r="I81" s="18" t="n">
        <v>0</v>
      </c>
      <c r="J81" s="20" t="n">
        <v>0</v>
      </c>
      <c r="K81" s="18" t="n">
        <v>2.41309482</v>
      </c>
      <c r="L81" s="20" t="n">
        <v>1.02170328</v>
      </c>
      <c r="M81" s="18" t="n">
        <v>0.29707345</v>
      </c>
      <c r="N81" s="20" t="n">
        <v>0.29443986</v>
      </c>
      <c r="O81" s="18" t="n">
        <v>1.296371</v>
      </c>
      <c r="P81" s="20" t="n">
        <v>1.05725669</v>
      </c>
      <c r="Q81" s="18" t="n">
        <v>1.49274236</v>
      </c>
      <c r="R81" s="20" t="n">
        <v>0.82176528</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57.81753658</v>
      </c>
      <c r="F44" s="20" t="n">
        <v>2.023871</v>
      </c>
      <c r="G44" s="18" t="n">
        <v>36.73314693</v>
      </c>
      <c r="H44" s="20" t="n">
        <v>1.9939007</v>
      </c>
      <c r="I44" s="18" t="n">
        <v>0</v>
      </c>
      <c r="J44" s="20" t="n">
        <v>0</v>
      </c>
      <c r="K44" s="18" t="n">
        <v>1.17205731</v>
      </c>
      <c r="L44" s="20" t="n">
        <v>0.34365517</v>
      </c>
      <c r="M44" s="18" t="n">
        <v>0</v>
      </c>
      <c r="N44" s="20" t="n">
        <v>0</v>
      </c>
      <c r="O44" s="18" t="n">
        <v>0</v>
      </c>
      <c r="P44" s="20" t="n">
        <v>0</v>
      </c>
      <c r="Q44" s="18" t="n">
        <v>4.27725918</v>
      </c>
      <c r="R44" s="20" t="n">
        <v>0.75676368</v>
      </c>
    </row>
    <row r="45" spans="1:18">
      <c r="A45" s="15" t="s">
        <v>604</v>
      </c>
      <c r="B45" s="17" t="n">
        <v>2670</v>
      </c>
      <c r="C45" s="18">
        <f>(1765.0/B45*100)</f>
        <v/>
      </c>
      <c r="D45" s="19" t="n">
        <v>905</v>
      </c>
      <c r="E45" s="18" t="n">
        <v>61.605814</v>
      </c>
      <c r="F45" s="20" t="n">
        <v>1.88278638</v>
      </c>
      <c r="G45" s="18" t="n">
        <v>27.81580587</v>
      </c>
      <c r="H45" s="20" t="n">
        <v>1.82682506</v>
      </c>
      <c r="I45" s="18" t="n">
        <v>0</v>
      </c>
      <c r="J45" s="20" t="n">
        <v>0</v>
      </c>
      <c r="K45" s="18" t="n">
        <v>5.62311255</v>
      </c>
      <c r="L45" s="20" t="n">
        <v>0.95780767</v>
      </c>
      <c r="M45" s="18" t="n">
        <v>0.89756793</v>
      </c>
      <c r="N45" s="20" t="n">
        <v>0.31381383</v>
      </c>
      <c r="O45" s="18" t="n">
        <v>0</v>
      </c>
      <c r="P45" s="20" t="n">
        <v>0</v>
      </c>
      <c r="Q45" s="18" t="n">
        <v>4.05769965</v>
      </c>
      <c r="R45" s="20" t="n">
        <v>0.6931999599999999</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63.61482275</v>
      </c>
      <c r="F54" s="20" t="n">
        <v>1.96420438</v>
      </c>
      <c r="G54" s="18" t="n">
        <v>32.95940373</v>
      </c>
      <c r="H54" s="20" t="n">
        <v>1.97897895</v>
      </c>
      <c r="I54" s="18" t="n">
        <v>0</v>
      </c>
      <c r="J54" s="20" t="n">
        <v>0</v>
      </c>
      <c r="K54" s="18" t="n">
        <v>1.23131765</v>
      </c>
      <c r="L54" s="20" t="n">
        <v>0.37924453</v>
      </c>
      <c r="M54" s="18" t="n">
        <v>0</v>
      </c>
      <c r="N54" s="20" t="n">
        <v>0</v>
      </c>
      <c r="O54" s="18" t="n">
        <v>0</v>
      </c>
      <c r="P54" s="20" t="n">
        <v>0</v>
      </c>
      <c r="Q54" s="18" t="n">
        <v>2.19445587</v>
      </c>
      <c r="R54" s="20" t="n">
        <v>0.61214385</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77.20273489</v>
      </c>
      <c r="F56" s="20" t="n">
        <v>1.27725871</v>
      </c>
      <c r="G56" s="18" t="n">
        <v>18.91586738</v>
      </c>
      <c r="H56" s="20" t="n">
        <v>1.23554536</v>
      </c>
      <c r="I56" s="18" t="n">
        <v>0</v>
      </c>
      <c r="J56" s="20" t="n">
        <v>0</v>
      </c>
      <c r="K56" s="18" t="n">
        <v>1.82641959</v>
      </c>
      <c r="L56" s="20" t="n">
        <v>0.56556523</v>
      </c>
      <c r="M56" s="18" t="n">
        <v>0</v>
      </c>
      <c r="N56" s="20" t="n">
        <v>0</v>
      </c>
      <c r="O56" s="18" t="n">
        <v>0</v>
      </c>
      <c r="P56" s="20" t="n">
        <v>0</v>
      </c>
      <c r="Q56" s="18" t="n">
        <v>2.05497814</v>
      </c>
      <c r="R56" s="20" t="n">
        <v>0.46112179</v>
      </c>
    </row>
    <row r="57" spans="1:18">
      <c r="A57" s="15" t="s">
        <v>616</v>
      </c>
      <c r="B57" s="17" t="n">
        <v>3737</v>
      </c>
      <c r="C57" s="18">
        <f>(2486.0/B57*100)</f>
        <v/>
      </c>
      <c r="D57" s="19" t="n">
        <v>1251</v>
      </c>
      <c r="E57" s="18" t="n">
        <v>66.22257647000001</v>
      </c>
      <c r="F57" s="20" t="n">
        <v>1.9288956</v>
      </c>
      <c r="G57" s="18" t="n">
        <v>30.82869312</v>
      </c>
      <c r="H57" s="20" t="n">
        <v>1.989699</v>
      </c>
      <c r="I57" s="18" t="n">
        <v>0</v>
      </c>
      <c r="J57" s="20" t="n">
        <v>0</v>
      </c>
      <c r="K57" s="18" t="n">
        <v>1.84616579</v>
      </c>
      <c r="L57" s="20" t="n">
        <v>0.46111365</v>
      </c>
      <c r="M57" s="18" t="n">
        <v>0</v>
      </c>
      <c r="N57" s="20" t="n">
        <v>0</v>
      </c>
      <c r="O57" s="18" t="n">
        <v>0.06629371000000001</v>
      </c>
      <c r="P57" s="20" t="n">
        <v>0.06656233</v>
      </c>
      <c r="Q57" s="18" t="n">
        <v>1.03627091</v>
      </c>
      <c r="R57" s="20" t="n">
        <v>0.30216481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72.24854295</v>
      </c>
      <c r="F59" s="20" t="n">
        <v>2.0252901</v>
      </c>
      <c r="G59" s="18" t="n">
        <v>26.65166606</v>
      </c>
      <c r="H59" s="20" t="n">
        <v>2.05583756</v>
      </c>
      <c r="I59" s="18" t="n">
        <v>0</v>
      </c>
      <c r="J59" s="20" t="n">
        <v>0</v>
      </c>
      <c r="K59" s="18" t="n">
        <v>0.63822388</v>
      </c>
      <c r="L59" s="20" t="n">
        <v>0.27427099</v>
      </c>
      <c r="M59" s="18" t="n">
        <v>0</v>
      </c>
      <c r="N59" s="20" t="n">
        <v>0</v>
      </c>
      <c r="O59" s="18" t="n">
        <v>0</v>
      </c>
      <c r="P59" s="20" t="n">
        <v>0</v>
      </c>
      <c r="Q59" s="18" t="n">
        <v>0.46156711</v>
      </c>
      <c r="R59" s="20" t="n">
        <v>0.22155164</v>
      </c>
    </row>
    <row r="60" spans="1:18">
      <c r="A60" s="15" t="s">
        <v>620</v>
      </c>
      <c r="B60" s="17" t="n">
        <v>2451</v>
      </c>
      <c r="C60" s="18">
        <f>(1622.0/B60*100)</f>
        <v/>
      </c>
      <c r="D60" s="19" t="n">
        <v>829</v>
      </c>
      <c r="E60" s="18" t="n">
        <v>55.70594545</v>
      </c>
      <c r="F60" s="20" t="n">
        <v>2.25733365</v>
      </c>
      <c r="G60" s="18" t="n">
        <v>37.6202154</v>
      </c>
      <c r="H60" s="20" t="n">
        <v>2.09836337</v>
      </c>
      <c r="I60" s="18" t="n">
        <v>0</v>
      </c>
      <c r="J60" s="20" t="n">
        <v>0</v>
      </c>
      <c r="K60" s="18" t="n">
        <v>3.97832336</v>
      </c>
      <c r="L60" s="20" t="n">
        <v>0.82791497</v>
      </c>
      <c r="M60" s="18" t="n">
        <v>0</v>
      </c>
      <c r="N60" s="20" t="n">
        <v>0</v>
      </c>
      <c r="O60" s="18" t="n">
        <v>0</v>
      </c>
      <c r="P60" s="20" t="n">
        <v>0</v>
      </c>
      <c r="Q60" s="18" t="n">
        <v>2.69551579</v>
      </c>
      <c r="R60" s="20" t="n">
        <v>0.63617587</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64.57626924</v>
      </c>
      <c r="F63" s="20" t="n">
        <v>1.73580944</v>
      </c>
      <c r="G63" s="18" t="n">
        <v>29.18930072</v>
      </c>
      <c r="H63" s="20" t="n">
        <v>1.6198705</v>
      </c>
      <c r="I63" s="18" t="n">
        <v>0</v>
      </c>
      <c r="J63" s="20" t="n">
        <v>0</v>
      </c>
      <c r="K63" s="18" t="n">
        <v>2.43697166</v>
      </c>
      <c r="L63" s="20" t="n">
        <v>0.69674285</v>
      </c>
      <c r="M63" s="18" t="n">
        <v>0</v>
      </c>
      <c r="N63" s="20" t="n">
        <v>0</v>
      </c>
      <c r="O63" s="18" t="n">
        <v>0</v>
      </c>
      <c r="P63" s="20" t="n">
        <v>0</v>
      </c>
      <c r="Q63" s="18" t="n">
        <v>3.79745838</v>
      </c>
      <c r="R63" s="20" t="n">
        <v>0.66132823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47.46564724</v>
      </c>
      <c r="F65" s="20" t="n">
        <v>2.03428857</v>
      </c>
      <c r="G65" s="18" t="n">
        <v>49.01848948</v>
      </c>
      <c r="H65" s="20" t="n">
        <v>2.12872125</v>
      </c>
      <c r="I65" s="18" t="n">
        <v>0</v>
      </c>
      <c r="J65" s="20" t="n">
        <v>0</v>
      </c>
      <c r="K65" s="18" t="n">
        <v>2.15271635</v>
      </c>
      <c r="L65" s="20" t="n">
        <v>0.62281862</v>
      </c>
      <c r="M65" s="18" t="n">
        <v>0</v>
      </c>
      <c r="N65" s="20" t="n">
        <v>0</v>
      </c>
      <c r="O65" s="18" t="n">
        <v>0</v>
      </c>
      <c r="P65" s="20" t="n">
        <v>0</v>
      </c>
      <c r="Q65" s="18" t="n">
        <v>1.36314693</v>
      </c>
      <c r="R65" s="20" t="n">
        <v>0.4828965</v>
      </c>
    </row>
    <row r="66" spans="1:18">
      <c r="A66" s="15" t="s">
        <v>626</v>
      </c>
      <c r="B66" s="17" t="n">
        <v>2634</v>
      </c>
      <c r="C66" s="18">
        <f>(1761.0/B66*100)</f>
        <v/>
      </c>
      <c r="D66" s="19" t="n">
        <v>873</v>
      </c>
      <c r="E66" s="18" t="n">
        <v>55.60810891</v>
      </c>
      <c r="F66" s="20" t="n">
        <v>1.72086461</v>
      </c>
      <c r="G66" s="18" t="n">
        <v>38.53647764</v>
      </c>
      <c r="H66" s="20" t="n">
        <v>1.63358247</v>
      </c>
      <c r="I66" s="18" t="n">
        <v>0</v>
      </c>
      <c r="J66" s="20" t="n">
        <v>0</v>
      </c>
      <c r="K66" s="18" t="n">
        <v>4.59577794</v>
      </c>
      <c r="L66" s="20" t="n">
        <v>0.79299963</v>
      </c>
      <c r="M66" s="18" t="n">
        <v>0</v>
      </c>
      <c r="N66" s="20" t="n">
        <v>0</v>
      </c>
      <c r="O66" s="18" t="n">
        <v>0</v>
      </c>
      <c r="P66" s="20" t="n">
        <v>0</v>
      </c>
      <c r="Q66" s="18" t="n">
        <v>1.25963551</v>
      </c>
      <c r="R66" s="20" t="n">
        <v>0.36844222</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69.18972844</v>
      </c>
      <c r="F69" s="20" t="n">
        <v>3.73670998</v>
      </c>
      <c r="G69" s="18" t="n">
        <v>30.52299112</v>
      </c>
      <c r="H69" s="20" t="n">
        <v>3.81379017</v>
      </c>
      <c r="I69" s="18" t="n">
        <v>0</v>
      </c>
      <c r="J69" s="20" t="n">
        <v>0</v>
      </c>
      <c r="K69" s="18" t="n">
        <v>0</v>
      </c>
      <c r="L69" s="20" t="n">
        <v>0</v>
      </c>
      <c r="M69" s="18" t="n">
        <v>0</v>
      </c>
      <c r="N69" s="20" t="n">
        <v>0</v>
      </c>
      <c r="O69" s="18" t="n">
        <v>0</v>
      </c>
      <c r="P69" s="20" t="n">
        <v>0</v>
      </c>
      <c r="Q69" s="18" t="n">
        <v>0.28728045</v>
      </c>
      <c r="R69" s="20" t="n">
        <v>0.28871256</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63.7777341</v>
      </c>
      <c r="F71" s="20" t="n">
        <v>1.88577804</v>
      </c>
      <c r="G71" s="18" t="n">
        <v>35.86656861</v>
      </c>
      <c r="H71" s="20" t="n">
        <v>1.89853281</v>
      </c>
      <c r="I71" s="18" t="n">
        <v>0</v>
      </c>
      <c r="J71" s="20" t="n">
        <v>0</v>
      </c>
      <c r="K71" s="18" t="n">
        <v>0</v>
      </c>
      <c r="L71" s="20" t="n">
        <v>0</v>
      </c>
      <c r="M71" s="18" t="n">
        <v>0</v>
      </c>
      <c r="N71" s="20" t="n">
        <v>0</v>
      </c>
      <c r="O71" s="18" t="n">
        <v>0</v>
      </c>
      <c r="P71" s="20" t="n">
        <v>0</v>
      </c>
      <c r="Q71" s="18" t="n">
        <v>0.35569729</v>
      </c>
      <c r="R71" s="20" t="n">
        <v>0.20643645</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57.2642064</v>
      </c>
      <c r="F76" s="20" t="n">
        <v>1.91269225</v>
      </c>
      <c r="G76" s="18" t="n">
        <v>36.27062649</v>
      </c>
      <c r="H76" s="20" t="n">
        <v>1.73704395</v>
      </c>
      <c r="I76" s="18" t="n">
        <v>0</v>
      </c>
      <c r="J76" s="20" t="n">
        <v>0</v>
      </c>
      <c r="K76" s="18" t="n">
        <v>4.73411784</v>
      </c>
      <c r="L76" s="20" t="n">
        <v>0.80319961</v>
      </c>
      <c r="M76" s="18" t="n">
        <v>0</v>
      </c>
      <c r="N76" s="20" t="n">
        <v>0</v>
      </c>
      <c r="O76" s="18" t="n">
        <v>0</v>
      </c>
      <c r="P76" s="20" t="n">
        <v>0</v>
      </c>
      <c r="Q76" s="18" t="n">
        <v>1.73104927</v>
      </c>
      <c r="R76" s="20" t="n">
        <v>0.5269667</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50.31302133</v>
      </c>
      <c r="F80" s="20" t="n">
        <v>1.71530001</v>
      </c>
      <c r="G80" s="18" t="n">
        <v>49.68697867</v>
      </c>
      <c r="H80" s="20" t="n">
        <v>1.71530001</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(580.0/B81*100)</f>
        <v/>
      </c>
      <c r="D81" s="19" t="n">
        <v>290</v>
      </c>
      <c r="E81" s="18" t="n">
        <v>40.80331856</v>
      </c>
      <c r="F81" s="20" t="n">
        <v>3.85927926</v>
      </c>
      <c r="G81" s="18" t="n">
        <v>53.24863815</v>
      </c>
      <c r="H81" s="20" t="n">
        <v>4.25031079</v>
      </c>
      <c r="I81" s="18" t="n">
        <v>0</v>
      </c>
      <c r="J81" s="20" t="n">
        <v>0</v>
      </c>
      <c r="K81" s="18" t="n">
        <v>3.57323143</v>
      </c>
      <c r="L81" s="20" t="n">
        <v>1.14247762</v>
      </c>
      <c r="M81" s="18" t="n">
        <v>0.29707345</v>
      </c>
      <c r="N81" s="20" t="n">
        <v>0.29443986</v>
      </c>
      <c r="O81" s="18" t="n">
        <v>0</v>
      </c>
      <c r="P81" s="20" t="n">
        <v>0</v>
      </c>
      <c r="Q81" s="18" t="n">
        <v>2.07773841</v>
      </c>
      <c r="R81" s="20" t="n">
        <v>0.74423836</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36.45583791</v>
      </c>
      <c r="F44" s="20" t="n">
        <v>2.18954657</v>
      </c>
      <c r="G44" s="18" t="n">
        <v>58.37492701</v>
      </c>
      <c r="H44" s="20" t="n">
        <v>2.34078098</v>
      </c>
      <c r="I44" s="18" t="n">
        <v>0</v>
      </c>
      <c r="J44" s="20" t="n">
        <v>0</v>
      </c>
      <c r="K44" s="18" t="n">
        <v>1.43834381</v>
      </c>
      <c r="L44" s="20" t="n">
        <v>0.38587737</v>
      </c>
      <c r="M44" s="18" t="n">
        <v>0</v>
      </c>
      <c r="N44" s="20" t="n">
        <v>0</v>
      </c>
      <c r="O44" s="18" t="n">
        <v>0</v>
      </c>
      <c r="P44" s="20" t="n">
        <v>0</v>
      </c>
      <c r="Q44" s="18" t="n">
        <v>3.73089128</v>
      </c>
      <c r="R44" s="20" t="n">
        <v>0.76719751</v>
      </c>
    </row>
    <row r="45" spans="1:18">
      <c r="A45" s="15" t="s">
        <v>604</v>
      </c>
      <c r="B45" s="17" t="n">
        <v>2670</v>
      </c>
      <c r="C45" s="18">
        <f>(1765.0/B45*100)</f>
        <v/>
      </c>
      <c r="D45" s="19" t="n">
        <v>905</v>
      </c>
      <c r="E45" s="18" t="n">
        <v>60.47407423</v>
      </c>
      <c r="F45" s="20" t="n">
        <v>1.69395333</v>
      </c>
      <c r="G45" s="18" t="n">
        <v>29.59939695</v>
      </c>
      <c r="H45" s="20" t="n">
        <v>1.4587084</v>
      </c>
      <c r="I45" s="18" t="n">
        <v>0</v>
      </c>
      <c r="J45" s="20" t="n">
        <v>0</v>
      </c>
      <c r="K45" s="18" t="n">
        <v>5.91283972</v>
      </c>
      <c r="L45" s="20" t="n">
        <v>0.96569022</v>
      </c>
      <c r="M45" s="18" t="n">
        <v>0.8091245500000001</v>
      </c>
      <c r="N45" s="20" t="n">
        <v>0.30060265</v>
      </c>
      <c r="O45" s="18" t="n">
        <v>0</v>
      </c>
      <c r="P45" s="20" t="n">
        <v>0</v>
      </c>
      <c r="Q45" s="18" t="n">
        <v>3.20456455</v>
      </c>
      <c r="R45" s="20" t="n">
        <v>0.64008784</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42.69637289</v>
      </c>
      <c r="F54" s="20" t="n">
        <v>1.88007933</v>
      </c>
      <c r="G54" s="18" t="n">
        <v>54.32787705</v>
      </c>
      <c r="H54" s="20" t="n">
        <v>1.80268489</v>
      </c>
      <c r="I54" s="18" t="n">
        <v>0</v>
      </c>
      <c r="J54" s="20" t="n">
        <v>0</v>
      </c>
      <c r="K54" s="18" t="n">
        <v>1.43585861</v>
      </c>
      <c r="L54" s="20" t="n">
        <v>0.40568575</v>
      </c>
      <c r="M54" s="18" t="n">
        <v>0.12375053</v>
      </c>
      <c r="N54" s="20" t="n">
        <v>0.12446713</v>
      </c>
      <c r="O54" s="18" t="n">
        <v>0</v>
      </c>
      <c r="P54" s="20" t="n">
        <v>0</v>
      </c>
      <c r="Q54" s="18" t="n">
        <v>1.41614092</v>
      </c>
      <c r="R54" s="20" t="n">
        <v>0.404782</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50.49010999</v>
      </c>
      <c r="F56" s="20" t="n">
        <v>1.62624411</v>
      </c>
      <c r="G56" s="18" t="n">
        <v>46.08318631</v>
      </c>
      <c r="H56" s="20" t="n">
        <v>1.52753848</v>
      </c>
      <c r="I56" s="18" t="n">
        <v>0</v>
      </c>
      <c r="J56" s="20" t="n">
        <v>0</v>
      </c>
      <c r="K56" s="18" t="n">
        <v>1.8813446</v>
      </c>
      <c r="L56" s="20" t="n">
        <v>0.54609997</v>
      </c>
      <c r="M56" s="18" t="n">
        <v>0</v>
      </c>
      <c r="N56" s="20" t="n">
        <v>0</v>
      </c>
      <c r="O56" s="18" t="n">
        <v>0</v>
      </c>
      <c r="P56" s="20" t="n">
        <v>0</v>
      </c>
      <c r="Q56" s="18" t="n">
        <v>1.5453591</v>
      </c>
      <c r="R56" s="20" t="n">
        <v>0.37786445</v>
      </c>
    </row>
    <row r="57" spans="1:18">
      <c r="A57" s="15" t="s">
        <v>616</v>
      </c>
      <c r="B57" s="17" t="n">
        <v>3737</v>
      </c>
      <c r="C57" s="18">
        <f>(2486.0/B57*100)</f>
        <v/>
      </c>
      <c r="D57" s="19" t="n">
        <v>1251</v>
      </c>
      <c r="E57" s="18" t="n">
        <v>41.93337277</v>
      </c>
      <c r="F57" s="20" t="n">
        <v>1.938329</v>
      </c>
      <c r="G57" s="18" t="n">
        <v>54.66646957</v>
      </c>
      <c r="H57" s="20" t="n">
        <v>1.7956367</v>
      </c>
      <c r="I57" s="18" t="n">
        <v>0</v>
      </c>
      <c r="J57" s="20" t="n">
        <v>0</v>
      </c>
      <c r="K57" s="18" t="n">
        <v>1.92210669</v>
      </c>
      <c r="L57" s="20" t="n">
        <v>0.46521805</v>
      </c>
      <c r="M57" s="18" t="n">
        <v>0</v>
      </c>
      <c r="N57" s="20" t="n">
        <v>0</v>
      </c>
      <c r="O57" s="18" t="n">
        <v>0.06629371000000001</v>
      </c>
      <c r="P57" s="20" t="n">
        <v>0.06656233</v>
      </c>
      <c r="Q57" s="18" t="n">
        <v>1.41175726</v>
      </c>
      <c r="R57" s="20" t="n">
        <v>0.60190915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56.3913093</v>
      </c>
      <c r="F59" s="20" t="n">
        <v>2.28846115</v>
      </c>
      <c r="G59" s="18" t="n">
        <v>42.33789726</v>
      </c>
      <c r="H59" s="20" t="n">
        <v>2.20811017</v>
      </c>
      <c r="I59" s="18" t="n">
        <v>0</v>
      </c>
      <c r="J59" s="20" t="n">
        <v>0</v>
      </c>
      <c r="K59" s="18" t="n">
        <v>0.63822388</v>
      </c>
      <c r="L59" s="20" t="n">
        <v>0.27427099</v>
      </c>
      <c r="M59" s="18" t="n">
        <v>0</v>
      </c>
      <c r="N59" s="20" t="n">
        <v>0</v>
      </c>
      <c r="O59" s="18" t="n">
        <v>0</v>
      </c>
      <c r="P59" s="20" t="n">
        <v>0</v>
      </c>
      <c r="Q59" s="18" t="n">
        <v>0.63256956</v>
      </c>
      <c r="R59" s="20" t="n">
        <v>0.28919886</v>
      </c>
    </row>
    <row r="60" spans="1:18">
      <c r="A60" s="15" t="s">
        <v>620</v>
      </c>
      <c r="B60" s="17" t="n">
        <v>2451</v>
      </c>
      <c r="C60" s="18">
        <f>(1622.0/B60*100)</f>
        <v/>
      </c>
      <c r="D60" s="19" t="n">
        <v>829</v>
      </c>
      <c r="E60" s="18" t="n">
        <v>41.76866052</v>
      </c>
      <c r="F60" s="20" t="n">
        <v>2.25596077</v>
      </c>
      <c r="G60" s="18" t="n">
        <v>50.24843547</v>
      </c>
      <c r="H60" s="20" t="n">
        <v>2.24698289</v>
      </c>
      <c r="I60" s="18" t="n">
        <v>0</v>
      </c>
      <c r="J60" s="20" t="n">
        <v>0</v>
      </c>
      <c r="K60" s="18" t="n">
        <v>4.24549189</v>
      </c>
      <c r="L60" s="20" t="n">
        <v>0.84654705</v>
      </c>
      <c r="M60" s="18" t="n">
        <v>0</v>
      </c>
      <c r="N60" s="20" t="n">
        <v>0</v>
      </c>
      <c r="O60" s="18" t="n">
        <v>0</v>
      </c>
      <c r="P60" s="20" t="n">
        <v>0</v>
      </c>
      <c r="Q60" s="18" t="n">
        <v>3.73741212</v>
      </c>
      <c r="R60" s="20" t="n">
        <v>0.65601562</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50.02736097</v>
      </c>
      <c r="F63" s="20" t="n">
        <v>1.8704727</v>
      </c>
      <c r="G63" s="18" t="n">
        <v>43.98609676</v>
      </c>
      <c r="H63" s="20" t="n">
        <v>1.88563252</v>
      </c>
      <c r="I63" s="18" t="n">
        <v>0</v>
      </c>
      <c r="J63" s="20" t="n">
        <v>0</v>
      </c>
      <c r="K63" s="18" t="n">
        <v>2.66926592</v>
      </c>
      <c r="L63" s="20" t="n">
        <v>0.72083799</v>
      </c>
      <c r="M63" s="18" t="n">
        <v>0</v>
      </c>
      <c r="N63" s="20" t="n">
        <v>0</v>
      </c>
      <c r="O63" s="18" t="n">
        <v>0</v>
      </c>
      <c r="P63" s="20" t="n">
        <v>0</v>
      </c>
      <c r="Q63" s="18" t="n">
        <v>3.31727635</v>
      </c>
      <c r="R63" s="20" t="n">
        <v>0.65442146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32.22071966</v>
      </c>
      <c r="F65" s="20" t="n">
        <v>1.91047188</v>
      </c>
      <c r="G65" s="18" t="n">
        <v>64.71612087</v>
      </c>
      <c r="H65" s="20" t="n">
        <v>1.8838083</v>
      </c>
      <c r="I65" s="18" t="n">
        <v>0</v>
      </c>
      <c r="J65" s="20" t="n">
        <v>0</v>
      </c>
      <c r="K65" s="18" t="n">
        <v>2.15271635</v>
      </c>
      <c r="L65" s="20" t="n">
        <v>0.62281862</v>
      </c>
      <c r="M65" s="18" t="n">
        <v>0</v>
      </c>
      <c r="N65" s="20" t="n">
        <v>0</v>
      </c>
      <c r="O65" s="18" t="n">
        <v>0</v>
      </c>
      <c r="P65" s="20" t="n">
        <v>0</v>
      </c>
      <c r="Q65" s="18" t="n">
        <v>0.91044313</v>
      </c>
      <c r="R65" s="20" t="n">
        <v>0.37064559</v>
      </c>
    </row>
    <row r="66" spans="1:18">
      <c r="A66" s="15" t="s">
        <v>626</v>
      </c>
      <c r="B66" s="17" t="n">
        <v>2634</v>
      </c>
      <c r="C66" s="18">
        <f>(1761.0/B66*100)</f>
        <v/>
      </c>
      <c r="D66" s="19" t="n">
        <v>873</v>
      </c>
      <c r="E66" s="18" t="n">
        <v>43.18899866</v>
      </c>
      <c r="F66" s="20" t="n">
        <v>1.66124832</v>
      </c>
      <c r="G66" s="18" t="n">
        <v>50.51903634</v>
      </c>
      <c r="H66" s="20" t="n">
        <v>1.65641213</v>
      </c>
      <c r="I66" s="18" t="n">
        <v>0</v>
      </c>
      <c r="J66" s="20" t="n">
        <v>0</v>
      </c>
      <c r="K66" s="18" t="n">
        <v>4.74159913</v>
      </c>
      <c r="L66" s="20" t="n">
        <v>0.79610001</v>
      </c>
      <c r="M66" s="18" t="n">
        <v>0</v>
      </c>
      <c r="N66" s="20" t="n">
        <v>0</v>
      </c>
      <c r="O66" s="18" t="n">
        <v>0</v>
      </c>
      <c r="P66" s="20" t="n">
        <v>0</v>
      </c>
      <c r="Q66" s="18" t="n">
        <v>1.55036587</v>
      </c>
      <c r="R66" s="20" t="n">
        <v>0.36252185</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48.34294825</v>
      </c>
      <c r="F69" s="20" t="n">
        <v>3.23082046</v>
      </c>
      <c r="G69" s="18" t="n">
        <v>51.65705175</v>
      </c>
      <c r="H69" s="20" t="n">
        <v>3.23082046</v>
      </c>
      <c r="I69" s="18" t="n">
        <v>0</v>
      </c>
      <c r="J69" s="20" t="n">
        <v>0</v>
      </c>
      <c r="K69" s="18" t="n">
        <v>0</v>
      </c>
      <c r="L69" s="20" t="n">
        <v>0</v>
      </c>
      <c r="M69" s="18" t="n">
        <v>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47.56620584</v>
      </c>
      <c r="F71" s="20" t="n">
        <v>1.7855893</v>
      </c>
      <c r="G71" s="18" t="n">
        <v>52.19752493</v>
      </c>
      <c r="H71" s="20" t="n">
        <v>1.78846519</v>
      </c>
      <c r="I71" s="18" t="n">
        <v>0</v>
      </c>
      <c r="J71" s="20" t="n">
        <v>0</v>
      </c>
      <c r="K71" s="18" t="n">
        <v>0</v>
      </c>
      <c r="L71" s="20" t="n">
        <v>0</v>
      </c>
      <c r="M71" s="18" t="n">
        <v>0</v>
      </c>
      <c r="N71" s="20" t="n">
        <v>0</v>
      </c>
      <c r="O71" s="18" t="n">
        <v>0</v>
      </c>
      <c r="P71" s="20" t="n">
        <v>0</v>
      </c>
      <c r="Q71" s="18" t="n">
        <v>0.23626922</v>
      </c>
      <c r="R71" s="20" t="n">
        <v>0.16816048</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38.92116593</v>
      </c>
      <c r="F76" s="20" t="n">
        <v>1.76301374</v>
      </c>
      <c r="G76" s="18" t="n">
        <v>54.1034682</v>
      </c>
      <c r="H76" s="20" t="n">
        <v>1.76925009</v>
      </c>
      <c r="I76" s="18" t="n">
        <v>0</v>
      </c>
      <c r="J76" s="20" t="n">
        <v>0</v>
      </c>
      <c r="K76" s="18" t="n">
        <v>5.02077027</v>
      </c>
      <c r="L76" s="20" t="n">
        <v>0.8336627</v>
      </c>
      <c r="M76" s="18" t="n">
        <v>0</v>
      </c>
      <c r="N76" s="20" t="n">
        <v>0</v>
      </c>
      <c r="O76" s="18" t="n">
        <v>0</v>
      </c>
      <c r="P76" s="20" t="n">
        <v>0</v>
      </c>
      <c r="Q76" s="18" t="n">
        <v>1.9545956</v>
      </c>
      <c r="R76" s="20" t="n">
        <v>0.58661893</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12.9839463</v>
      </c>
      <c r="F80" s="20" t="n">
        <v>1.36568932</v>
      </c>
      <c r="G80" s="18" t="n">
        <v>87.0160537</v>
      </c>
      <c r="H80" s="20" t="n">
        <v>1.36568932</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(580.0/B81*100)</f>
        <v/>
      </c>
      <c r="D81" s="19" t="n">
        <v>290</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44.48735044</v>
      </c>
      <c r="F44" s="20" t="n">
        <v>2.15589346</v>
      </c>
      <c r="G44" s="18" t="n">
        <v>30.14533938</v>
      </c>
      <c r="H44" s="20" t="n">
        <v>2.02130673</v>
      </c>
      <c r="I44" s="18" t="n">
        <v>0</v>
      </c>
      <c r="J44" s="20" t="n">
        <v>0</v>
      </c>
      <c r="K44" s="18" t="n">
        <v>1.90890262</v>
      </c>
      <c r="L44" s="20" t="n">
        <v>0.480234</v>
      </c>
      <c r="M44" s="18" t="n">
        <v>0</v>
      </c>
      <c r="N44" s="20" t="n">
        <v>0</v>
      </c>
      <c r="O44" s="18" t="n">
        <v>0</v>
      </c>
      <c r="P44" s="20" t="n">
        <v>0</v>
      </c>
      <c r="Q44" s="18" t="n">
        <v>23.45840756</v>
      </c>
      <c r="R44" s="20" t="n">
        <v>2.03571975</v>
      </c>
    </row>
    <row r="45" spans="1:18">
      <c r="A45" s="15" t="s">
        <v>604</v>
      </c>
      <c r="B45" s="17" t="n">
        <v>2670</v>
      </c>
      <c r="C45" s="18">
        <f>(1765.0/B45*100)</f>
        <v/>
      </c>
      <c r="D45" s="19" t="n">
        <v>905</v>
      </c>
      <c r="E45" s="18" t="n">
        <v>64.07703325999999</v>
      </c>
      <c r="F45" s="20" t="n">
        <v>2.08203843</v>
      </c>
      <c r="G45" s="18" t="n">
        <v>12.85600193</v>
      </c>
      <c r="H45" s="20" t="n">
        <v>1.25247602</v>
      </c>
      <c r="I45" s="18" t="n">
        <v>0</v>
      </c>
      <c r="J45" s="20" t="n">
        <v>0</v>
      </c>
      <c r="K45" s="18" t="n">
        <v>6.52365445</v>
      </c>
      <c r="L45" s="20" t="n">
        <v>1.02913567</v>
      </c>
      <c r="M45" s="18" t="n">
        <v>1.12507417</v>
      </c>
      <c r="N45" s="20" t="n">
        <v>0.4090109</v>
      </c>
      <c r="O45" s="18" t="n">
        <v>0.14064446</v>
      </c>
      <c r="P45" s="20" t="n">
        <v>0.12972161</v>
      </c>
      <c r="Q45" s="18" t="n">
        <v>15.27759172</v>
      </c>
      <c r="R45" s="20" t="n">
        <v>1.45706162</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55.57300938</v>
      </c>
      <c r="F54" s="20" t="n">
        <v>1.75485532</v>
      </c>
      <c r="G54" s="18" t="n">
        <v>23.35424782</v>
      </c>
      <c r="H54" s="20" t="n">
        <v>1.35890283</v>
      </c>
      <c r="I54" s="18" t="n">
        <v>0</v>
      </c>
      <c r="J54" s="20" t="n">
        <v>0</v>
      </c>
      <c r="K54" s="18" t="n">
        <v>2.32587402</v>
      </c>
      <c r="L54" s="20" t="n">
        <v>0.50379738</v>
      </c>
      <c r="M54" s="18" t="n">
        <v>0.12375053</v>
      </c>
      <c r="N54" s="20" t="n">
        <v>0.12446713</v>
      </c>
      <c r="O54" s="18" t="n">
        <v>0.19534073</v>
      </c>
      <c r="P54" s="20" t="n">
        <v>0.19513501</v>
      </c>
      <c r="Q54" s="18" t="n">
        <v>18.42777752</v>
      </c>
      <c r="R54" s="20" t="n">
        <v>1.36635302</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63.85750015</v>
      </c>
      <c r="F56" s="20" t="n">
        <v>1.63586355</v>
      </c>
      <c r="G56" s="18" t="n">
        <v>21.66504979</v>
      </c>
      <c r="H56" s="20" t="n">
        <v>1.64081997</v>
      </c>
      <c r="I56" s="18" t="n">
        <v>0</v>
      </c>
      <c r="J56" s="20" t="n">
        <v>0</v>
      </c>
      <c r="K56" s="18" t="n">
        <v>2.01693541</v>
      </c>
      <c r="L56" s="20" t="n">
        <v>0.56716495</v>
      </c>
      <c r="M56" s="18" t="n">
        <v>0</v>
      </c>
      <c r="N56" s="20" t="n">
        <v>0</v>
      </c>
      <c r="O56" s="18" t="n">
        <v>0</v>
      </c>
      <c r="P56" s="20" t="n">
        <v>0</v>
      </c>
      <c r="Q56" s="18" t="n">
        <v>12.46051465</v>
      </c>
      <c r="R56" s="20" t="n">
        <v>1.2467952</v>
      </c>
    </row>
    <row r="57" spans="1:18">
      <c r="A57" s="15" t="s">
        <v>616</v>
      </c>
      <c r="B57" s="17" t="n">
        <v>3737</v>
      </c>
      <c r="C57" s="18">
        <f>(2486.0/B57*100)</f>
        <v/>
      </c>
      <c r="D57" s="19" t="n">
        <v>1251</v>
      </c>
      <c r="E57" s="18" t="n">
        <v>63.76214738</v>
      </c>
      <c r="F57" s="20" t="n">
        <v>1.71856435</v>
      </c>
      <c r="G57" s="18" t="n">
        <v>26.92148913</v>
      </c>
      <c r="H57" s="20" t="n">
        <v>1.68332542</v>
      </c>
      <c r="I57" s="18" t="n">
        <v>0</v>
      </c>
      <c r="J57" s="20" t="n">
        <v>0</v>
      </c>
      <c r="K57" s="18" t="n">
        <v>2.38467161</v>
      </c>
      <c r="L57" s="20" t="n">
        <v>0.49674838</v>
      </c>
      <c r="M57" s="18" t="n">
        <v>0</v>
      </c>
      <c r="N57" s="20" t="n">
        <v>0</v>
      </c>
      <c r="O57" s="18" t="n">
        <v>0</v>
      </c>
      <c r="P57" s="20" t="n">
        <v>0</v>
      </c>
      <c r="Q57" s="18" t="n">
        <v>6.93169189</v>
      </c>
      <c r="R57" s="20" t="n">
        <v>0.97607069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69.96852761</v>
      </c>
      <c r="F59" s="20" t="n">
        <v>2.04718285</v>
      </c>
      <c r="G59" s="18" t="n">
        <v>10.82220005</v>
      </c>
      <c r="H59" s="20" t="n">
        <v>1.32985859</v>
      </c>
      <c r="I59" s="18" t="n">
        <v>0</v>
      </c>
      <c r="J59" s="20" t="n">
        <v>0</v>
      </c>
      <c r="K59" s="18" t="n">
        <v>0.83723836</v>
      </c>
      <c r="L59" s="20" t="n">
        <v>0.31718794</v>
      </c>
      <c r="M59" s="18" t="n">
        <v>0</v>
      </c>
      <c r="N59" s="20" t="n">
        <v>0</v>
      </c>
      <c r="O59" s="18" t="n">
        <v>0</v>
      </c>
      <c r="P59" s="20" t="n">
        <v>0</v>
      </c>
      <c r="Q59" s="18" t="n">
        <v>18.37203397</v>
      </c>
      <c r="R59" s="20" t="n">
        <v>1.60478216</v>
      </c>
    </row>
    <row r="60" spans="1:18">
      <c r="A60" s="15" t="s">
        <v>620</v>
      </c>
      <c r="B60" s="17" t="n">
        <v>2451</v>
      </c>
      <c r="C60" s="18">
        <f>(1622.0/B60*100)</f>
        <v/>
      </c>
      <c r="D60" s="19" t="n">
        <v>829</v>
      </c>
      <c r="E60" s="18" t="n">
        <v>48.98493284</v>
      </c>
      <c r="F60" s="20" t="n">
        <v>2.11852631</v>
      </c>
      <c r="G60" s="18" t="n">
        <v>22.53921859</v>
      </c>
      <c r="H60" s="20" t="n">
        <v>1.88598908</v>
      </c>
      <c r="I60" s="18" t="n">
        <v>0</v>
      </c>
      <c r="J60" s="20" t="n">
        <v>0</v>
      </c>
      <c r="K60" s="18" t="n">
        <v>4.68216275</v>
      </c>
      <c r="L60" s="20" t="n">
        <v>0.8741423</v>
      </c>
      <c r="M60" s="18" t="n">
        <v>0</v>
      </c>
      <c r="N60" s="20" t="n">
        <v>0</v>
      </c>
      <c r="O60" s="18" t="n">
        <v>0</v>
      </c>
      <c r="P60" s="20" t="n">
        <v>0</v>
      </c>
      <c r="Q60" s="18" t="n">
        <v>23.79368581</v>
      </c>
      <c r="R60" s="20" t="n">
        <v>1.76749687</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48.06680412</v>
      </c>
      <c r="F63" s="20" t="n">
        <v>1.62228115</v>
      </c>
      <c r="G63" s="18" t="n">
        <v>13.49718638</v>
      </c>
      <c r="H63" s="20" t="n">
        <v>1.24562634</v>
      </c>
      <c r="I63" s="18" t="n">
        <v>0</v>
      </c>
      <c r="J63" s="20" t="n">
        <v>0</v>
      </c>
      <c r="K63" s="18" t="n">
        <v>3.53702152</v>
      </c>
      <c r="L63" s="20" t="n">
        <v>0.80134606</v>
      </c>
      <c r="M63" s="18" t="n">
        <v>0</v>
      </c>
      <c r="N63" s="20" t="n">
        <v>0</v>
      </c>
      <c r="O63" s="18" t="n">
        <v>0</v>
      </c>
      <c r="P63" s="20" t="n">
        <v>0</v>
      </c>
      <c r="Q63" s="18" t="n">
        <v>34.89898797</v>
      </c>
      <c r="R63" s="20" t="n">
        <v>1.6014513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45.82367986</v>
      </c>
      <c r="F65" s="20" t="n">
        <v>2.10160863</v>
      </c>
      <c r="G65" s="18" t="n">
        <v>40.68262009</v>
      </c>
      <c r="H65" s="20" t="n">
        <v>1.98285964</v>
      </c>
      <c r="I65" s="18" t="n">
        <v>0</v>
      </c>
      <c r="J65" s="20" t="n">
        <v>0</v>
      </c>
      <c r="K65" s="18" t="n">
        <v>2.33099498</v>
      </c>
      <c r="L65" s="20" t="n">
        <v>0.64293816</v>
      </c>
      <c r="M65" s="18" t="n">
        <v>0</v>
      </c>
      <c r="N65" s="20" t="n">
        <v>0</v>
      </c>
      <c r="O65" s="18" t="n">
        <v>0</v>
      </c>
      <c r="P65" s="20" t="n">
        <v>0</v>
      </c>
      <c r="Q65" s="18" t="n">
        <v>11.16270508</v>
      </c>
      <c r="R65" s="20" t="n">
        <v>1.34933786</v>
      </c>
    </row>
    <row r="66" spans="1:18">
      <c r="A66" s="15" t="s">
        <v>626</v>
      </c>
      <c r="B66" s="17" t="n">
        <v>2634</v>
      </c>
      <c r="C66" s="18">
        <f>(1761.0/B66*100)</f>
        <v/>
      </c>
      <c r="D66" s="19" t="n">
        <v>873</v>
      </c>
      <c r="E66" s="18" t="n">
        <v>51.87831914</v>
      </c>
      <c r="F66" s="20" t="n">
        <v>1.83222898</v>
      </c>
      <c r="G66" s="18" t="n">
        <v>25.38935702</v>
      </c>
      <c r="H66" s="20" t="n">
        <v>1.76791381</v>
      </c>
      <c r="I66" s="18" t="n">
        <v>0</v>
      </c>
      <c r="J66" s="20" t="n">
        <v>0</v>
      </c>
      <c r="K66" s="18" t="n">
        <v>6.03767368</v>
      </c>
      <c r="L66" s="20" t="n">
        <v>0.8951308</v>
      </c>
      <c r="M66" s="18" t="n">
        <v>0</v>
      </c>
      <c r="N66" s="20" t="n">
        <v>0</v>
      </c>
      <c r="O66" s="18" t="n">
        <v>0</v>
      </c>
      <c r="P66" s="20" t="n">
        <v>0</v>
      </c>
      <c r="Q66" s="18" t="n">
        <v>16.69465016</v>
      </c>
      <c r="R66" s="20" t="n">
        <v>1.3177271</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72.6974582</v>
      </c>
      <c r="F69" s="20" t="n">
        <v>3.51847075</v>
      </c>
      <c r="G69" s="18" t="n">
        <v>13.49868661</v>
      </c>
      <c r="H69" s="20" t="n">
        <v>2.17917703</v>
      </c>
      <c r="I69" s="18" t="n">
        <v>0</v>
      </c>
      <c r="J69" s="20" t="n">
        <v>0</v>
      </c>
      <c r="K69" s="18" t="n">
        <v>0</v>
      </c>
      <c r="L69" s="20" t="n">
        <v>0</v>
      </c>
      <c r="M69" s="18" t="n">
        <v>0</v>
      </c>
      <c r="N69" s="20" t="n">
        <v>0</v>
      </c>
      <c r="O69" s="18" t="n">
        <v>0</v>
      </c>
      <c r="P69" s="20" t="n">
        <v>0</v>
      </c>
      <c r="Q69" s="18" t="n">
        <v>13.80385518</v>
      </c>
      <c r="R69" s="20" t="n">
        <v>2.20966156</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72.92903284</v>
      </c>
      <c r="F71" s="20" t="n">
        <v>1.92925013</v>
      </c>
      <c r="G71" s="18" t="n">
        <v>26.74207779</v>
      </c>
      <c r="H71" s="20" t="n">
        <v>1.90582272</v>
      </c>
      <c r="I71" s="18" t="n">
        <v>0</v>
      </c>
      <c r="J71" s="20" t="n">
        <v>0</v>
      </c>
      <c r="K71" s="18" t="n">
        <v>0</v>
      </c>
      <c r="L71" s="20" t="n">
        <v>0</v>
      </c>
      <c r="M71" s="18" t="n">
        <v>0</v>
      </c>
      <c r="N71" s="20" t="n">
        <v>0</v>
      </c>
      <c r="O71" s="18" t="n">
        <v>0</v>
      </c>
      <c r="P71" s="20" t="n">
        <v>0</v>
      </c>
      <c r="Q71" s="18" t="n">
        <v>0.32888937</v>
      </c>
      <c r="R71" s="20" t="n">
        <v>0.1924732</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53.91849707</v>
      </c>
      <c r="F76" s="20" t="n">
        <v>2.11186796</v>
      </c>
      <c r="G76" s="18" t="n">
        <v>21.82096015</v>
      </c>
      <c r="H76" s="20" t="n">
        <v>1.82706622</v>
      </c>
      <c r="I76" s="18" t="n">
        <v>0</v>
      </c>
      <c r="J76" s="20" t="n">
        <v>0</v>
      </c>
      <c r="K76" s="18" t="n">
        <v>6.29424212</v>
      </c>
      <c r="L76" s="20" t="n">
        <v>0.92204739</v>
      </c>
      <c r="M76" s="18" t="n">
        <v>0</v>
      </c>
      <c r="N76" s="20" t="n">
        <v>0</v>
      </c>
      <c r="O76" s="18" t="n">
        <v>0</v>
      </c>
      <c r="P76" s="20" t="n">
        <v>0</v>
      </c>
      <c r="Q76" s="18" t="n">
        <v>17.96630066</v>
      </c>
      <c r="R76" s="20" t="n">
        <v>1.63391294</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51.63375549</v>
      </c>
      <c r="F80" s="20" t="n">
        <v>2.10492739</v>
      </c>
      <c r="G80" s="18" t="n">
        <v>46.10360663</v>
      </c>
      <c r="H80" s="20" t="n">
        <v>2.01967971</v>
      </c>
      <c r="I80" s="18" t="n">
        <v>0</v>
      </c>
      <c r="J80" s="20" t="n">
        <v>0</v>
      </c>
      <c r="K80" s="18" t="n">
        <v>0</v>
      </c>
      <c r="L80" s="20" t="n">
        <v>0</v>
      </c>
      <c r="M80" s="18" t="n">
        <v>0</v>
      </c>
      <c r="N80" s="20" t="n">
        <v>0</v>
      </c>
      <c r="O80" s="18" t="n">
        <v>0</v>
      </c>
      <c r="P80" s="20" t="n">
        <v>0</v>
      </c>
      <c r="Q80" s="18" t="n">
        <v>2.26263788</v>
      </c>
      <c r="R80" s="20" t="n">
        <v>0.74352268</v>
      </c>
    </row>
    <row r="81" spans="1:18">
      <c r="A81" s="15" t="s">
        <v>641</v>
      </c>
      <c r="B81" s="17" t="n">
        <v>870</v>
      </c>
      <c r="C81" s="18">
        <f>(580.0/B81*100)</f>
        <v/>
      </c>
      <c r="D81" s="19" t="n">
        <v>290</v>
      </c>
      <c r="E81" s="18" t="n">
        <v>52.02206665</v>
      </c>
      <c r="F81" s="20" t="n">
        <v>3.34099076</v>
      </c>
      <c r="G81" s="18" t="n">
        <v>26.87851409</v>
      </c>
      <c r="H81" s="20" t="n">
        <v>3.37981453</v>
      </c>
      <c r="I81" s="18" t="n">
        <v>0</v>
      </c>
      <c r="J81" s="20" t="n">
        <v>0</v>
      </c>
      <c r="K81" s="18" t="n">
        <v>4.3614959</v>
      </c>
      <c r="L81" s="20" t="n">
        <v>1.3284242</v>
      </c>
      <c r="M81" s="18" t="n">
        <v>0.29707345</v>
      </c>
      <c r="N81" s="20" t="n">
        <v>0.29443986</v>
      </c>
      <c r="O81" s="18" t="n">
        <v>0</v>
      </c>
      <c r="P81" s="20" t="n">
        <v>0</v>
      </c>
      <c r="Q81" s="18" t="n">
        <v>16.44084992</v>
      </c>
      <c r="R81" s="20" t="n">
        <v>2.39996037</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63.78694892</v>
      </c>
      <c r="F44" s="20" t="n">
        <v>1.7111073</v>
      </c>
      <c r="G44" s="18" t="n">
        <v>28.07247233</v>
      </c>
      <c r="H44" s="20" t="n">
        <v>1.78071306</v>
      </c>
      <c r="I44" s="18" t="n">
        <v>0</v>
      </c>
      <c r="J44" s="20" t="n">
        <v>0</v>
      </c>
      <c r="K44" s="18" t="n">
        <v>2.35084955</v>
      </c>
      <c r="L44" s="20" t="n">
        <v>0.51419343</v>
      </c>
      <c r="M44" s="18" t="n">
        <v>0</v>
      </c>
      <c r="N44" s="20" t="n">
        <v>0</v>
      </c>
      <c r="O44" s="18" t="n">
        <v>0</v>
      </c>
      <c r="P44" s="20" t="n">
        <v>0</v>
      </c>
      <c r="Q44" s="18" t="n">
        <v>5.7897292</v>
      </c>
      <c r="R44" s="20" t="n">
        <v>1.0755982</v>
      </c>
    </row>
    <row r="45" spans="1:18">
      <c r="A45" s="15" t="s">
        <v>604</v>
      </c>
      <c r="B45" s="17" t="n">
        <v>2670</v>
      </c>
      <c r="C45" s="18">
        <f>(1765.0/B45*100)</f>
        <v/>
      </c>
      <c r="D45" s="19" t="n">
        <v>905</v>
      </c>
      <c r="E45" s="18" t="n">
        <v>71.07214879999999</v>
      </c>
      <c r="F45" s="20" t="n">
        <v>1.55011851</v>
      </c>
      <c r="G45" s="18" t="n">
        <v>17.43169256</v>
      </c>
      <c r="H45" s="20" t="n">
        <v>1.29787658</v>
      </c>
      <c r="I45" s="18" t="n">
        <v>0</v>
      </c>
      <c r="J45" s="20" t="n">
        <v>0</v>
      </c>
      <c r="K45" s="18" t="n">
        <v>6.9791767</v>
      </c>
      <c r="L45" s="20" t="n">
        <v>1.05526042</v>
      </c>
      <c r="M45" s="18" t="n">
        <v>0.7159166300000001</v>
      </c>
      <c r="N45" s="20" t="n">
        <v>0.29200974</v>
      </c>
      <c r="O45" s="18" t="n">
        <v>0</v>
      </c>
      <c r="P45" s="20" t="n">
        <v>0</v>
      </c>
      <c r="Q45" s="18" t="n">
        <v>3.8010653</v>
      </c>
      <c r="R45" s="20" t="n">
        <v>0.8133527</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65.26598251</v>
      </c>
      <c r="F54" s="20" t="n">
        <v>1.40194646</v>
      </c>
      <c r="G54" s="18" t="n">
        <v>30.25790657</v>
      </c>
      <c r="H54" s="20" t="n">
        <v>1.44691988</v>
      </c>
      <c r="I54" s="18" t="n">
        <v>0</v>
      </c>
      <c r="J54" s="20" t="n">
        <v>0</v>
      </c>
      <c r="K54" s="18" t="n">
        <v>2.32587402</v>
      </c>
      <c r="L54" s="20" t="n">
        <v>0.50379738</v>
      </c>
      <c r="M54" s="18" t="n">
        <v>0</v>
      </c>
      <c r="N54" s="20" t="n">
        <v>0</v>
      </c>
      <c r="O54" s="18" t="n">
        <v>0</v>
      </c>
      <c r="P54" s="20" t="n">
        <v>0</v>
      </c>
      <c r="Q54" s="18" t="n">
        <v>2.1502369</v>
      </c>
      <c r="R54" s="20" t="n">
        <v>0.52097047</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73.13846196999999</v>
      </c>
      <c r="F56" s="20" t="n">
        <v>1.37348852</v>
      </c>
      <c r="G56" s="18" t="n">
        <v>23.08726282</v>
      </c>
      <c r="H56" s="20" t="n">
        <v>1.29818872</v>
      </c>
      <c r="I56" s="18" t="n">
        <v>0</v>
      </c>
      <c r="J56" s="20" t="n">
        <v>0</v>
      </c>
      <c r="K56" s="18" t="n">
        <v>2.10835214</v>
      </c>
      <c r="L56" s="20" t="n">
        <v>0.54427355</v>
      </c>
      <c r="M56" s="18" t="n">
        <v>0.22214079</v>
      </c>
      <c r="N56" s="20" t="n">
        <v>0.13009667</v>
      </c>
      <c r="O56" s="18" t="n">
        <v>0</v>
      </c>
      <c r="P56" s="20" t="n">
        <v>0</v>
      </c>
      <c r="Q56" s="18" t="n">
        <v>1.44378228</v>
      </c>
      <c r="R56" s="20" t="n">
        <v>0.41794184</v>
      </c>
    </row>
    <row r="57" spans="1:18">
      <c r="A57" s="15" t="s">
        <v>616</v>
      </c>
      <c r="B57" s="17" t="n">
        <v>3737</v>
      </c>
      <c r="C57" s="18">
        <f>(2486.0/B57*100)</f>
        <v/>
      </c>
      <c r="D57" s="19" t="n">
        <v>1251</v>
      </c>
      <c r="E57" s="18" t="n">
        <v>70.38140239000001</v>
      </c>
      <c r="F57" s="20" t="n">
        <v>1.92780277</v>
      </c>
      <c r="G57" s="18" t="n">
        <v>24.86404654</v>
      </c>
      <c r="H57" s="20" t="n">
        <v>1.57756353</v>
      </c>
      <c r="I57" s="18" t="n">
        <v>0</v>
      </c>
      <c r="J57" s="20" t="n">
        <v>0</v>
      </c>
      <c r="K57" s="18" t="n">
        <v>2.80496447</v>
      </c>
      <c r="L57" s="20" t="n">
        <v>0.56735423</v>
      </c>
      <c r="M57" s="18" t="n">
        <v>0</v>
      </c>
      <c r="N57" s="20" t="n">
        <v>0</v>
      </c>
      <c r="O57" s="18" t="n">
        <v>0</v>
      </c>
      <c r="P57" s="20" t="n">
        <v>0</v>
      </c>
      <c r="Q57" s="18" t="n">
        <v>1.94958659</v>
      </c>
      <c r="R57" s="20" t="n">
        <v>0.52821923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80.87351661</v>
      </c>
      <c r="F59" s="20" t="n">
        <v>1.63387018</v>
      </c>
      <c r="G59" s="18" t="n">
        <v>17.25642856</v>
      </c>
      <c r="H59" s="20" t="n">
        <v>1.61342745</v>
      </c>
      <c r="I59" s="18" t="n">
        <v>0</v>
      </c>
      <c r="J59" s="20" t="n">
        <v>0</v>
      </c>
      <c r="K59" s="18" t="n">
        <v>0.83723836</v>
      </c>
      <c r="L59" s="20" t="n">
        <v>0.31718794</v>
      </c>
      <c r="M59" s="18" t="n">
        <v>0.37196664</v>
      </c>
      <c r="N59" s="20" t="n">
        <v>0.349941</v>
      </c>
      <c r="O59" s="18" t="n">
        <v>0</v>
      </c>
      <c r="P59" s="20" t="n">
        <v>0</v>
      </c>
      <c r="Q59" s="18" t="n">
        <v>0.66084983</v>
      </c>
      <c r="R59" s="20" t="n">
        <v>0.24212053</v>
      </c>
    </row>
    <row r="60" spans="1:18">
      <c r="A60" s="15" t="s">
        <v>620</v>
      </c>
      <c r="B60" s="17" t="n">
        <v>2451</v>
      </c>
      <c r="C60" s="18">
        <f>(1622.0/B60*100)</f>
        <v/>
      </c>
      <c r="D60" s="19" t="n">
        <v>829</v>
      </c>
      <c r="E60" s="18" t="n">
        <v>72.81038512000001</v>
      </c>
      <c r="F60" s="20" t="n">
        <v>2.0560589</v>
      </c>
      <c r="G60" s="18" t="n">
        <v>16.77485544</v>
      </c>
      <c r="H60" s="20" t="n">
        <v>1.90690622</v>
      </c>
      <c r="I60" s="18" t="n">
        <v>0</v>
      </c>
      <c r="J60" s="20" t="n">
        <v>0</v>
      </c>
      <c r="K60" s="18" t="n">
        <v>4.81364286</v>
      </c>
      <c r="L60" s="20" t="n">
        <v>0.88331132</v>
      </c>
      <c r="M60" s="18" t="n">
        <v>0</v>
      </c>
      <c r="N60" s="20" t="n">
        <v>0</v>
      </c>
      <c r="O60" s="18" t="n">
        <v>0</v>
      </c>
      <c r="P60" s="20" t="n">
        <v>0</v>
      </c>
      <c r="Q60" s="18" t="n">
        <v>5.60111658</v>
      </c>
      <c r="R60" s="20" t="n">
        <v>0.88058901</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83.87883678999999</v>
      </c>
      <c r="F63" s="20" t="n">
        <v>1.39358723</v>
      </c>
      <c r="G63" s="18" t="n">
        <v>8.6764432</v>
      </c>
      <c r="H63" s="20" t="n">
        <v>1.05011924</v>
      </c>
      <c r="I63" s="18" t="n">
        <v>0</v>
      </c>
      <c r="J63" s="20" t="n">
        <v>0</v>
      </c>
      <c r="K63" s="18" t="n">
        <v>3.53702152</v>
      </c>
      <c r="L63" s="20" t="n">
        <v>0.80134606</v>
      </c>
      <c r="M63" s="18" t="n">
        <v>0</v>
      </c>
      <c r="N63" s="20" t="n">
        <v>0</v>
      </c>
      <c r="O63" s="18" t="n">
        <v>0</v>
      </c>
      <c r="P63" s="20" t="n">
        <v>0</v>
      </c>
      <c r="Q63" s="18" t="n">
        <v>3.90769849</v>
      </c>
      <c r="R63" s="20" t="n">
        <v>0.71974361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58.90874363</v>
      </c>
      <c r="F65" s="20" t="n">
        <v>2.27047848</v>
      </c>
      <c r="G65" s="18" t="n">
        <v>37.59942052</v>
      </c>
      <c r="H65" s="20" t="n">
        <v>2.28938635</v>
      </c>
      <c r="I65" s="18" t="n">
        <v>0</v>
      </c>
      <c r="J65" s="20" t="n">
        <v>0</v>
      </c>
      <c r="K65" s="18" t="n">
        <v>2.33099498</v>
      </c>
      <c r="L65" s="20" t="n">
        <v>0.64293816</v>
      </c>
      <c r="M65" s="18" t="n">
        <v>0</v>
      </c>
      <c r="N65" s="20" t="n">
        <v>0</v>
      </c>
      <c r="O65" s="18" t="n">
        <v>0</v>
      </c>
      <c r="P65" s="20" t="n">
        <v>0</v>
      </c>
      <c r="Q65" s="18" t="n">
        <v>1.16084087</v>
      </c>
      <c r="R65" s="20" t="n">
        <v>0.47929341</v>
      </c>
    </row>
    <row r="66" spans="1:18">
      <c r="A66" s="15" t="s">
        <v>626</v>
      </c>
      <c r="B66" s="17" t="n">
        <v>2634</v>
      </c>
      <c r="C66" s="18">
        <f>(1761.0/B66*100)</f>
        <v/>
      </c>
      <c r="D66" s="19" t="n">
        <v>873</v>
      </c>
      <c r="E66" s="18" t="n">
        <v>64.89406326</v>
      </c>
      <c r="F66" s="20" t="n">
        <v>1.85608063</v>
      </c>
      <c r="G66" s="18" t="n">
        <v>27.52627956</v>
      </c>
      <c r="H66" s="20" t="n">
        <v>1.54555426</v>
      </c>
      <c r="I66" s="18" t="n">
        <v>0</v>
      </c>
      <c r="J66" s="20" t="n">
        <v>0</v>
      </c>
      <c r="K66" s="18" t="n">
        <v>6.4478779</v>
      </c>
      <c r="L66" s="20" t="n">
        <v>0.9432389799999999</v>
      </c>
      <c r="M66" s="18" t="n">
        <v>0</v>
      </c>
      <c r="N66" s="20" t="n">
        <v>0</v>
      </c>
      <c r="O66" s="18" t="n">
        <v>0</v>
      </c>
      <c r="P66" s="20" t="n">
        <v>0</v>
      </c>
      <c r="Q66" s="18" t="n">
        <v>1.13177927</v>
      </c>
      <c r="R66" s="20" t="n">
        <v>0.37517028</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71.53719882999999</v>
      </c>
      <c r="F69" s="20" t="n">
        <v>3.45455507</v>
      </c>
      <c r="G69" s="18" t="n">
        <v>27.74328784</v>
      </c>
      <c r="H69" s="20" t="n">
        <v>3.22594969</v>
      </c>
      <c r="I69" s="18" t="n">
        <v>0</v>
      </c>
      <c r="J69" s="20" t="n">
        <v>0</v>
      </c>
      <c r="K69" s="18" t="n">
        <v>0</v>
      </c>
      <c r="L69" s="20" t="n">
        <v>0</v>
      </c>
      <c r="M69" s="18" t="n">
        <v>0</v>
      </c>
      <c r="N69" s="20" t="n">
        <v>0</v>
      </c>
      <c r="O69" s="18" t="n">
        <v>0</v>
      </c>
      <c r="P69" s="20" t="n">
        <v>0</v>
      </c>
      <c r="Q69" s="18" t="n">
        <v>0.71951333</v>
      </c>
      <c r="R69" s="20" t="n">
        <v>0.52521784</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75.41275087</v>
      </c>
      <c r="F71" s="20" t="n">
        <v>1.38834465</v>
      </c>
      <c r="G71" s="18" t="n">
        <v>24.23199251</v>
      </c>
      <c r="H71" s="20" t="n">
        <v>1.39864349</v>
      </c>
      <c r="I71" s="18" t="n">
        <v>0</v>
      </c>
      <c r="J71" s="20" t="n">
        <v>0</v>
      </c>
      <c r="K71" s="18" t="n">
        <v>0</v>
      </c>
      <c r="L71" s="20" t="n">
        <v>0</v>
      </c>
      <c r="M71" s="18" t="n">
        <v>0</v>
      </c>
      <c r="N71" s="20" t="n">
        <v>0</v>
      </c>
      <c r="O71" s="18" t="n">
        <v>0</v>
      </c>
      <c r="P71" s="20" t="n">
        <v>0</v>
      </c>
      <c r="Q71" s="18" t="n">
        <v>0.35525661</v>
      </c>
      <c r="R71" s="20" t="n">
        <v>0.12111994</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57.85432574</v>
      </c>
      <c r="F76" s="20" t="n">
        <v>1.99804611</v>
      </c>
      <c r="G76" s="18" t="n">
        <v>33.36174491</v>
      </c>
      <c r="H76" s="20" t="n">
        <v>1.88587945</v>
      </c>
      <c r="I76" s="18" t="n">
        <v>0</v>
      </c>
      <c r="J76" s="20" t="n">
        <v>0</v>
      </c>
      <c r="K76" s="18" t="n">
        <v>6.29424212</v>
      </c>
      <c r="L76" s="20" t="n">
        <v>0.92204739</v>
      </c>
      <c r="M76" s="18" t="n">
        <v>0</v>
      </c>
      <c r="N76" s="20" t="n">
        <v>0</v>
      </c>
      <c r="O76" s="18" t="n">
        <v>0</v>
      </c>
      <c r="P76" s="20" t="n">
        <v>0</v>
      </c>
      <c r="Q76" s="18" t="n">
        <v>2.48968724</v>
      </c>
      <c r="R76" s="20" t="n">
        <v>0.59436308</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39.26107373</v>
      </c>
      <c r="F80" s="20" t="n">
        <v>1.51156656</v>
      </c>
      <c r="G80" s="18" t="n">
        <v>60.47437668</v>
      </c>
      <c r="H80" s="20" t="n">
        <v>1.50692736</v>
      </c>
      <c r="I80" s="18" t="n">
        <v>0</v>
      </c>
      <c r="J80" s="20" t="n">
        <v>0</v>
      </c>
      <c r="K80" s="18" t="n">
        <v>0</v>
      </c>
      <c r="L80" s="20" t="n">
        <v>0</v>
      </c>
      <c r="M80" s="18" t="n">
        <v>0</v>
      </c>
      <c r="N80" s="20" t="n">
        <v>0</v>
      </c>
      <c r="O80" s="18" t="n">
        <v>0</v>
      </c>
      <c r="P80" s="20" t="n">
        <v>0</v>
      </c>
      <c r="Q80" s="18" t="n">
        <v>0.26454959</v>
      </c>
      <c r="R80" s="20" t="n">
        <v>0.26097525</v>
      </c>
    </row>
    <row r="81" spans="1:18">
      <c r="A81" s="15" t="s">
        <v>641</v>
      </c>
      <c r="B81" s="17" t="n">
        <v>870</v>
      </c>
      <c r="C81" s="18">
        <f>(580.0/B81*100)</f>
        <v/>
      </c>
      <c r="D81" s="19" t="n">
        <v>290</v>
      </c>
      <c r="E81" s="18" t="n">
        <v>51.56787234</v>
      </c>
      <c r="F81" s="20" t="n">
        <v>3.42742094</v>
      </c>
      <c r="G81" s="18" t="n">
        <v>39.61907198</v>
      </c>
      <c r="H81" s="20" t="n">
        <v>3.68261306</v>
      </c>
      <c r="I81" s="18" t="n">
        <v>0</v>
      </c>
      <c r="J81" s="20" t="n">
        <v>0</v>
      </c>
      <c r="K81" s="18" t="n">
        <v>4.99350079</v>
      </c>
      <c r="L81" s="20" t="n">
        <v>1.4592942</v>
      </c>
      <c r="M81" s="18" t="n">
        <v>0.29707345</v>
      </c>
      <c r="N81" s="20" t="n">
        <v>0.29443986</v>
      </c>
      <c r="O81" s="18" t="n">
        <v>0</v>
      </c>
      <c r="P81" s="20" t="n">
        <v>0</v>
      </c>
      <c r="Q81" s="18" t="n">
        <v>3.52248145</v>
      </c>
      <c r="R81" s="20" t="n">
        <v>1.34834124</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26.3105468</v>
      </c>
      <c r="F44" s="20" t="n">
        <v>2.60397475</v>
      </c>
      <c r="G44" s="18" t="n">
        <v>46.61708537</v>
      </c>
      <c r="H44" s="20" t="n">
        <v>2.72020819</v>
      </c>
      <c r="I44" s="18" t="n">
        <v>0</v>
      </c>
      <c r="J44" s="20" t="n">
        <v>0</v>
      </c>
      <c r="K44" s="18" t="n">
        <v>3.183057</v>
      </c>
      <c r="L44" s="20" t="n">
        <v>0.6608434399999999</v>
      </c>
      <c r="M44" s="18" t="n">
        <v>0</v>
      </c>
      <c r="N44" s="20" t="n">
        <v>0</v>
      </c>
      <c r="O44" s="18" t="n">
        <v>0.25037139</v>
      </c>
      <c r="P44" s="20" t="n">
        <v>0.17912351</v>
      </c>
      <c r="Q44" s="18" t="n">
        <v>23.63893944</v>
      </c>
      <c r="R44" s="20" t="n">
        <v>1.81231382</v>
      </c>
    </row>
    <row r="45" spans="1:18">
      <c r="A45" s="15" t="s">
        <v>604</v>
      </c>
      <c r="B45" s="17" t="n">
        <v>2670</v>
      </c>
      <c r="C45" s="18">
        <f>(1765.0/B45*100)</f>
        <v/>
      </c>
      <c r="D45" s="19" t="n">
        <v>905</v>
      </c>
      <c r="E45" s="18" t="n">
        <v>27.54657618</v>
      </c>
      <c r="F45" s="20" t="n">
        <v>1.75121237</v>
      </c>
      <c r="G45" s="18" t="n">
        <v>39.01246554</v>
      </c>
      <c r="H45" s="20" t="n">
        <v>1.81962454</v>
      </c>
      <c r="I45" s="18" t="n">
        <v>0</v>
      </c>
      <c r="J45" s="20" t="n">
        <v>0</v>
      </c>
      <c r="K45" s="18" t="n">
        <v>7.23943284</v>
      </c>
      <c r="L45" s="20" t="n">
        <v>1.05817794</v>
      </c>
      <c r="M45" s="18" t="n">
        <v>1.95744197</v>
      </c>
      <c r="N45" s="20" t="n">
        <v>0.46402882</v>
      </c>
      <c r="O45" s="18" t="n">
        <v>2.12420758</v>
      </c>
      <c r="P45" s="20" t="n">
        <v>0.4726701</v>
      </c>
      <c r="Q45" s="18" t="n">
        <v>22.11987589</v>
      </c>
      <c r="R45" s="20" t="n">
        <v>1.59645679</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44.79981891</v>
      </c>
      <c r="F54" s="20" t="n">
        <v>1.8081417</v>
      </c>
      <c r="G54" s="18" t="n">
        <v>35.31630209</v>
      </c>
      <c r="H54" s="20" t="n">
        <v>1.89697676</v>
      </c>
      <c r="I54" s="18" t="n">
        <v>0</v>
      </c>
      <c r="J54" s="20" t="n">
        <v>0</v>
      </c>
      <c r="K54" s="18" t="n">
        <v>2.65129875</v>
      </c>
      <c r="L54" s="20" t="n">
        <v>0.5166137200000001</v>
      </c>
      <c r="M54" s="18" t="n">
        <v>0</v>
      </c>
      <c r="N54" s="20" t="n">
        <v>0</v>
      </c>
      <c r="O54" s="18" t="n">
        <v>0.79943568</v>
      </c>
      <c r="P54" s="20" t="n">
        <v>0.3509333</v>
      </c>
      <c r="Q54" s="18" t="n">
        <v>16.43314457</v>
      </c>
      <c r="R54" s="20" t="n">
        <v>1.46904876</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41.68682258</v>
      </c>
      <c r="F56" s="20" t="n">
        <v>1.58376876</v>
      </c>
      <c r="G56" s="18" t="n">
        <v>46.33503832</v>
      </c>
      <c r="H56" s="20" t="n">
        <v>1.55215456</v>
      </c>
      <c r="I56" s="18" t="n">
        <v>0</v>
      </c>
      <c r="J56" s="20" t="n">
        <v>0</v>
      </c>
      <c r="K56" s="18" t="n">
        <v>2.24188217</v>
      </c>
      <c r="L56" s="20" t="n">
        <v>0.57078721</v>
      </c>
      <c r="M56" s="18" t="n">
        <v>0.22214079</v>
      </c>
      <c r="N56" s="20" t="n">
        <v>0.13009667</v>
      </c>
      <c r="O56" s="18" t="n">
        <v>0</v>
      </c>
      <c r="P56" s="20" t="n">
        <v>0</v>
      </c>
      <c r="Q56" s="18" t="n">
        <v>9.51411613</v>
      </c>
      <c r="R56" s="20" t="n">
        <v>1.09780368</v>
      </c>
    </row>
    <row r="57" spans="1:18">
      <c r="A57" s="15" t="s">
        <v>616</v>
      </c>
      <c r="B57" s="17" t="n">
        <v>3737</v>
      </c>
      <c r="C57" s="18">
        <f>(2486.0/B57*100)</f>
        <v/>
      </c>
      <c r="D57" s="19" t="n">
        <v>1251</v>
      </c>
      <c r="E57" s="18" t="n">
        <v>28.79400471</v>
      </c>
      <c r="F57" s="20" t="n">
        <v>1.7104438</v>
      </c>
      <c r="G57" s="18" t="n">
        <v>62.59172551</v>
      </c>
      <c r="H57" s="20" t="n">
        <v>1.74412604</v>
      </c>
      <c r="I57" s="18" t="n">
        <v>0</v>
      </c>
      <c r="J57" s="20" t="n">
        <v>0</v>
      </c>
      <c r="K57" s="18" t="n">
        <v>3.39623218</v>
      </c>
      <c r="L57" s="20" t="n">
        <v>0.62823441</v>
      </c>
      <c r="M57" s="18" t="n">
        <v>0</v>
      </c>
      <c r="N57" s="20" t="n">
        <v>0</v>
      </c>
      <c r="O57" s="18" t="n">
        <v>0.41147736</v>
      </c>
      <c r="P57" s="20" t="n">
        <v>0.19936796</v>
      </c>
      <c r="Q57" s="18" t="n">
        <v>4.80656024</v>
      </c>
      <c r="R57" s="20" t="n">
        <v>0.74128425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36.82221075</v>
      </c>
      <c r="F59" s="20" t="n">
        <v>2.16520388</v>
      </c>
      <c r="G59" s="18" t="n">
        <v>41.49944453</v>
      </c>
      <c r="H59" s="20" t="n">
        <v>2.18416024</v>
      </c>
      <c r="I59" s="18" t="n">
        <v>0</v>
      </c>
      <c r="J59" s="20" t="n">
        <v>0</v>
      </c>
      <c r="K59" s="18" t="n">
        <v>1.08649958</v>
      </c>
      <c r="L59" s="20" t="n">
        <v>0.38628852</v>
      </c>
      <c r="M59" s="18" t="n">
        <v>0.42853287</v>
      </c>
      <c r="N59" s="20" t="n">
        <v>0.35432161</v>
      </c>
      <c r="O59" s="18" t="n">
        <v>0.89893057</v>
      </c>
      <c r="P59" s="20" t="n">
        <v>0.41052464</v>
      </c>
      <c r="Q59" s="18" t="n">
        <v>19.2643817</v>
      </c>
      <c r="R59" s="20" t="n">
        <v>1.60974988</v>
      </c>
    </row>
    <row r="60" spans="1:18">
      <c r="A60" s="15" t="s">
        <v>620</v>
      </c>
      <c r="B60" s="17" t="n">
        <v>2451</v>
      </c>
      <c r="C60" s="18">
        <f>(1622.0/B60*100)</f>
        <v/>
      </c>
      <c r="D60" s="19" t="n">
        <v>829</v>
      </c>
      <c r="E60" s="18" t="n">
        <v>34.32053929</v>
      </c>
      <c r="F60" s="20" t="n">
        <v>1.83227638</v>
      </c>
      <c r="G60" s="18" t="n">
        <v>31.42793043</v>
      </c>
      <c r="H60" s="20" t="n">
        <v>1.91461843</v>
      </c>
      <c r="I60" s="18" t="n">
        <v>0</v>
      </c>
      <c r="J60" s="20" t="n">
        <v>0</v>
      </c>
      <c r="K60" s="18" t="n">
        <v>5.45110833</v>
      </c>
      <c r="L60" s="20" t="n">
        <v>0.94090535</v>
      </c>
      <c r="M60" s="18" t="n">
        <v>0</v>
      </c>
      <c r="N60" s="20" t="n">
        <v>0</v>
      </c>
      <c r="O60" s="18" t="n">
        <v>1.70735062</v>
      </c>
      <c r="P60" s="20" t="n">
        <v>0.45676174</v>
      </c>
      <c r="Q60" s="18" t="n">
        <v>27.09307133</v>
      </c>
      <c r="R60" s="20" t="n">
        <v>1.70846125</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31.90222536</v>
      </c>
      <c r="F63" s="20" t="n">
        <v>1.50652343</v>
      </c>
      <c r="G63" s="18" t="n">
        <v>40.68394809</v>
      </c>
      <c r="H63" s="20" t="n">
        <v>1.79344765</v>
      </c>
      <c r="I63" s="18" t="n">
        <v>0</v>
      </c>
      <c r="J63" s="20" t="n">
        <v>0</v>
      </c>
      <c r="K63" s="18" t="n">
        <v>4.2265866</v>
      </c>
      <c r="L63" s="20" t="n">
        <v>0.82394555</v>
      </c>
      <c r="M63" s="18" t="n">
        <v>0</v>
      </c>
      <c r="N63" s="20" t="n">
        <v>0</v>
      </c>
      <c r="O63" s="18" t="n">
        <v>0.36237235</v>
      </c>
      <c r="P63" s="20" t="n">
        <v>0.19792423</v>
      </c>
      <c r="Q63" s="18" t="n">
        <v>22.8248676</v>
      </c>
      <c r="R63" s="20" t="n">
        <v>1.71494381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33.97979296</v>
      </c>
      <c r="F65" s="20" t="n">
        <v>2.24941553</v>
      </c>
      <c r="G65" s="18" t="n">
        <v>55.30316028</v>
      </c>
      <c r="H65" s="20" t="n">
        <v>2.288896</v>
      </c>
      <c r="I65" s="18" t="n">
        <v>0</v>
      </c>
      <c r="J65" s="20" t="n">
        <v>0</v>
      </c>
      <c r="K65" s="18" t="n">
        <v>2.71180488</v>
      </c>
      <c r="L65" s="20" t="n">
        <v>0.6904830199999999</v>
      </c>
      <c r="M65" s="18" t="n">
        <v>0</v>
      </c>
      <c r="N65" s="20" t="n">
        <v>0</v>
      </c>
      <c r="O65" s="18" t="n">
        <v>0.7518788</v>
      </c>
      <c r="P65" s="20" t="n">
        <v>0.38107716</v>
      </c>
      <c r="Q65" s="18" t="n">
        <v>7.25336306</v>
      </c>
      <c r="R65" s="20" t="n">
        <v>1.072621</v>
      </c>
    </row>
    <row r="66" spans="1:18">
      <c r="A66" s="15" t="s">
        <v>626</v>
      </c>
      <c r="B66" s="17" t="n">
        <v>2634</v>
      </c>
      <c r="C66" s="18">
        <f>(1761.0/B66*100)</f>
        <v/>
      </c>
      <c r="D66" s="19" t="n">
        <v>873</v>
      </c>
      <c r="E66" s="18" t="n">
        <v>31.55849529</v>
      </c>
      <c r="F66" s="20" t="n">
        <v>1.70733274</v>
      </c>
      <c r="G66" s="18" t="n">
        <v>48.50392039</v>
      </c>
      <c r="H66" s="20" t="n">
        <v>1.86577691</v>
      </c>
      <c r="I66" s="18" t="n">
        <v>0</v>
      </c>
      <c r="J66" s="20" t="n">
        <v>0</v>
      </c>
      <c r="K66" s="18" t="n">
        <v>7.15837974</v>
      </c>
      <c r="L66" s="20" t="n">
        <v>1.00719909</v>
      </c>
      <c r="M66" s="18" t="n">
        <v>0.67906797</v>
      </c>
      <c r="N66" s="20" t="n">
        <v>0.28728684</v>
      </c>
      <c r="O66" s="18" t="n">
        <v>0</v>
      </c>
      <c r="P66" s="20" t="n">
        <v>0</v>
      </c>
      <c r="Q66" s="18" t="n">
        <v>12.1001366</v>
      </c>
      <c r="R66" s="20" t="n">
        <v>1.1177984</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32.855707</v>
      </c>
      <c r="F69" s="20" t="n">
        <v>3.02503713</v>
      </c>
      <c r="G69" s="18" t="n">
        <v>62.83854591</v>
      </c>
      <c r="H69" s="20" t="n">
        <v>3.62506796</v>
      </c>
      <c r="I69" s="18" t="n">
        <v>0</v>
      </c>
      <c r="J69" s="20" t="n">
        <v>0</v>
      </c>
      <c r="K69" s="18" t="n">
        <v>0</v>
      </c>
      <c r="L69" s="20" t="n">
        <v>0</v>
      </c>
      <c r="M69" s="18" t="n">
        <v>0</v>
      </c>
      <c r="N69" s="20" t="n">
        <v>0</v>
      </c>
      <c r="O69" s="18" t="n">
        <v>0</v>
      </c>
      <c r="P69" s="20" t="n">
        <v>0</v>
      </c>
      <c r="Q69" s="18" t="n">
        <v>4.30574709</v>
      </c>
      <c r="R69" s="20" t="n">
        <v>1.57093832</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38.94599981</v>
      </c>
      <c r="F71" s="20" t="n">
        <v>1.92266712</v>
      </c>
      <c r="G71" s="18" t="n">
        <v>59.2839613</v>
      </c>
      <c r="H71" s="20" t="n">
        <v>1.89102696</v>
      </c>
      <c r="I71" s="18" t="n">
        <v>0</v>
      </c>
      <c r="J71" s="20" t="n">
        <v>0</v>
      </c>
      <c r="K71" s="18" t="n">
        <v>0</v>
      </c>
      <c r="L71" s="20" t="n">
        <v>0</v>
      </c>
      <c r="M71" s="18" t="n">
        <v>0</v>
      </c>
      <c r="N71" s="20" t="n">
        <v>0</v>
      </c>
      <c r="O71" s="18" t="n">
        <v>0.12242516</v>
      </c>
      <c r="P71" s="20" t="n">
        <v>0.12495443</v>
      </c>
      <c r="Q71" s="18" t="n">
        <v>1.64761373</v>
      </c>
      <c r="R71" s="20" t="n">
        <v>0.62032372</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35.25190088</v>
      </c>
      <c r="F76" s="20" t="n">
        <v>1.5608204</v>
      </c>
      <c r="G76" s="18" t="n">
        <v>50.38871321</v>
      </c>
      <c r="H76" s="20" t="n">
        <v>1.70032147</v>
      </c>
      <c r="I76" s="18" t="n">
        <v>0</v>
      </c>
      <c r="J76" s="20" t="n">
        <v>0</v>
      </c>
      <c r="K76" s="18" t="n">
        <v>6.68040976</v>
      </c>
      <c r="L76" s="20" t="n">
        <v>0.93787568</v>
      </c>
      <c r="M76" s="18" t="n">
        <v>0</v>
      </c>
      <c r="N76" s="20" t="n">
        <v>0</v>
      </c>
      <c r="O76" s="18" t="n">
        <v>0.16166068</v>
      </c>
      <c r="P76" s="20" t="n">
        <v>0.11363023</v>
      </c>
      <c r="Q76" s="18" t="n">
        <v>7.51731548</v>
      </c>
      <c r="R76" s="20" t="n">
        <v>1.12113728</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13.76432797</v>
      </c>
      <c r="F80" s="20" t="n">
        <v>1.44088262</v>
      </c>
      <c r="G80" s="18" t="n">
        <v>85.78769273</v>
      </c>
      <c r="H80" s="20" t="n">
        <v>1.44165525</v>
      </c>
      <c r="I80" s="18" t="n">
        <v>0</v>
      </c>
      <c r="J80" s="20" t="n">
        <v>0</v>
      </c>
      <c r="K80" s="18" t="n">
        <v>0</v>
      </c>
      <c r="L80" s="20" t="n">
        <v>0</v>
      </c>
      <c r="M80" s="18" t="n">
        <v>0</v>
      </c>
      <c r="N80" s="20" t="n">
        <v>0</v>
      </c>
      <c r="O80" s="18" t="n">
        <v>0</v>
      </c>
      <c r="P80" s="20" t="n">
        <v>0</v>
      </c>
      <c r="Q80" s="18" t="n">
        <v>0.4479793</v>
      </c>
      <c r="R80" s="20" t="n">
        <v>0.26844556</v>
      </c>
    </row>
    <row r="81" spans="1:18">
      <c r="A81" s="15" t="s">
        <v>641</v>
      </c>
      <c r="B81" s="17" t="n">
        <v>870</v>
      </c>
      <c r="C81" s="18">
        <f>(580.0/B81*100)</f>
        <v/>
      </c>
      <c r="D81" s="19" t="n">
        <v>290</v>
      </c>
      <c r="E81" s="18" t="n">
        <v>19.98244087</v>
      </c>
      <c r="F81" s="20" t="n">
        <v>2.05014307</v>
      </c>
      <c r="G81" s="18" t="n">
        <v>65.9765487</v>
      </c>
      <c r="H81" s="20" t="n">
        <v>3.0948729</v>
      </c>
      <c r="I81" s="18" t="n">
        <v>0</v>
      </c>
      <c r="J81" s="20" t="n">
        <v>0</v>
      </c>
      <c r="K81" s="18" t="n">
        <v>5.31618402</v>
      </c>
      <c r="L81" s="20" t="n">
        <v>1.47930958</v>
      </c>
      <c r="M81" s="18" t="n">
        <v>0.29707345</v>
      </c>
      <c r="N81" s="20" t="n">
        <v>0.29443986</v>
      </c>
      <c r="O81" s="18" t="n">
        <v>0</v>
      </c>
      <c r="P81" s="20" t="n">
        <v>0</v>
      </c>
      <c r="Q81" s="18" t="n">
        <v>8.427752959999999</v>
      </c>
      <c r="R81" s="20" t="n">
        <v>1.94196012</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62.85082484</v>
      </c>
      <c r="F44" s="20" t="n">
        <v>2.55811886</v>
      </c>
      <c r="G44" s="18" t="n">
        <v>27.26552276</v>
      </c>
      <c r="H44" s="20" t="n">
        <v>2.531454</v>
      </c>
      <c r="I44" s="18" t="n">
        <v>0</v>
      </c>
      <c r="J44" s="20" t="n">
        <v>0</v>
      </c>
      <c r="K44" s="18" t="n">
        <v>3.40079783</v>
      </c>
      <c r="L44" s="20" t="n">
        <v>0.7245848499999999</v>
      </c>
      <c r="M44" s="18" t="n">
        <v>0</v>
      </c>
      <c r="N44" s="20" t="n">
        <v>0</v>
      </c>
      <c r="O44" s="18" t="n">
        <v>0</v>
      </c>
      <c r="P44" s="20" t="n">
        <v>0</v>
      </c>
      <c r="Q44" s="18" t="n">
        <v>6.48285457</v>
      </c>
      <c r="R44" s="20" t="n">
        <v>0.95546723</v>
      </c>
    </row>
    <row r="45" spans="1:18">
      <c r="A45" s="15" t="s">
        <v>604</v>
      </c>
      <c r="B45" s="17" t="n">
        <v>2670</v>
      </c>
      <c r="C45" s="18">
        <f>(1765.0/B45*100)</f>
        <v/>
      </c>
      <c r="D45" s="19" t="n">
        <v>905</v>
      </c>
      <c r="E45" s="18" t="n">
        <v>60.83491836</v>
      </c>
      <c r="F45" s="20" t="n">
        <v>1.5084206</v>
      </c>
      <c r="G45" s="18" t="n">
        <v>26.85760157</v>
      </c>
      <c r="H45" s="20" t="n">
        <v>1.36827622</v>
      </c>
      <c r="I45" s="18" t="n">
        <v>0</v>
      </c>
      <c r="J45" s="20" t="n">
        <v>0</v>
      </c>
      <c r="K45" s="18" t="n">
        <v>7.42796454</v>
      </c>
      <c r="L45" s="20" t="n">
        <v>1.04871392</v>
      </c>
      <c r="M45" s="18" t="n">
        <v>0.8483006400000001</v>
      </c>
      <c r="N45" s="20" t="n">
        <v>0.31405843</v>
      </c>
      <c r="O45" s="18" t="n">
        <v>0</v>
      </c>
      <c r="P45" s="20" t="n">
        <v>0</v>
      </c>
      <c r="Q45" s="18" t="n">
        <v>4.03121489</v>
      </c>
      <c r="R45" s="20" t="n">
        <v>0.70133877</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60.99833538</v>
      </c>
      <c r="F54" s="20" t="n">
        <v>1.607467</v>
      </c>
      <c r="G54" s="18" t="n">
        <v>34.22719864</v>
      </c>
      <c r="H54" s="20" t="n">
        <v>1.5733823</v>
      </c>
      <c r="I54" s="18" t="n">
        <v>0</v>
      </c>
      <c r="J54" s="20" t="n">
        <v>0</v>
      </c>
      <c r="K54" s="18" t="n">
        <v>2.84624874</v>
      </c>
      <c r="L54" s="20" t="n">
        <v>0.53819392</v>
      </c>
      <c r="M54" s="18" t="n">
        <v>0</v>
      </c>
      <c r="N54" s="20" t="n">
        <v>0</v>
      </c>
      <c r="O54" s="18" t="n">
        <v>0.09767037000000001</v>
      </c>
      <c r="P54" s="20" t="n">
        <v>0.09778924</v>
      </c>
      <c r="Q54" s="18" t="n">
        <v>1.83054688</v>
      </c>
      <c r="R54" s="20" t="n">
        <v>0.58623216</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70.59332865</v>
      </c>
      <c r="F56" s="20" t="n">
        <v>1.41097121</v>
      </c>
      <c r="G56" s="18" t="n">
        <v>25.43711326</v>
      </c>
      <c r="H56" s="20" t="n">
        <v>1.46803639</v>
      </c>
      <c r="I56" s="18" t="n">
        <v>0</v>
      </c>
      <c r="J56" s="20" t="n">
        <v>0</v>
      </c>
      <c r="K56" s="18" t="n">
        <v>2.29759087</v>
      </c>
      <c r="L56" s="20" t="n">
        <v>0.57775889</v>
      </c>
      <c r="M56" s="18" t="n">
        <v>0</v>
      </c>
      <c r="N56" s="20" t="n">
        <v>0</v>
      </c>
      <c r="O56" s="18" t="n">
        <v>0</v>
      </c>
      <c r="P56" s="20" t="n">
        <v>0</v>
      </c>
      <c r="Q56" s="18" t="n">
        <v>1.67196721</v>
      </c>
      <c r="R56" s="20" t="n">
        <v>0.46963736</v>
      </c>
    </row>
    <row r="57" spans="1:18">
      <c r="A57" s="15" t="s">
        <v>616</v>
      </c>
      <c r="B57" s="17" t="n">
        <v>3737</v>
      </c>
      <c r="C57" s="18">
        <f>(2486.0/B57*100)</f>
        <v/>
      </c>
      <c r="D57" s="19" t="n">
        <v>1251</v>
      </c>
      <c r="E57" s="18" t="n">
        <v>60.99440705</v>
      </c>
      <c r="F57" s="20" t="n">
        <v>1.30148191</v>
      </c>
      <c r="G57" s="18" t="n">
        <v>33.67817126</v>
      </c>
      <c r="H57" s="20" t="n">
        <v>1.39103076</v>
      </c>
      <c r="I57" s="18" t="n">
        <v>0</v>
      </c>
      <c r="J57" s="20" t="n">
        <v>0</v>
      </c>
      <c r="K57" s="18" t="n">
        <v>3.62911156</v>
      </c>
      <c r="L57" s="20" t="n">
        <v>0.67292799</v>
      </c>
      <c r="M57" s="18" t="n">
        <v>0</v>
      </c>
      <c r="N57" s="20" t="n">
        <v>0</v>
      </c>
      <c r="O57" s="18" t="n">
        <v>0.07194472</v>
      </c>
      <c r="P57" s="20" t="n">
        <v>0.07312742</v>
      </c>
      <c r="Q57" s="18" t="n">
        <v>1.62636541</v>
      </c>
      <c r="R57" s="20" t="n">
        <v>0.47821349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67.19709207</v>
      </c>
      <c r="F59" s="20" t="n">
        <v>1.91452224</v>
      </c>
      <c r="G59" s="18" t="n">
        <v>30.52940174</v>
      </c>
      <c r="H59" s="20" t="n">
        <v>1.84539637</v>
      </c>
      <c r="I59" s="18" t="n">
        <v>0</v>
      </c>
      <c r="J59" s="20" t="n">
        <v>0</v>
      </c>
      <c r="K59" s="18" t="n">
        <v>1.08649958</v>
      </c>
      <c r="L59" s="20" t="n">
        <v>0.38628852</v>
      </c>
      <c r="M59" s="18" t="n">
        <v>0.37196664</v>
      </c>
      <c r="N59" s="20" t="n">
        <v>0.349941</v>
      </c>
      <c r="O59" s="18" t="n">
        <v>0</v>
      </c>
      <c r="P59" s="20" t="n">
        <v>0</v>
      </c>
      <c r="Q59" s="18" t="n">
        <v>0.81503996</v>
      </c>
      <c r="R59" s="20" t="n">
        <v>0.29041101</v>
      </c>
    </row>
    <row r="60" spans="1:18">
      <c r="A60" s="15" t="s">
        <v>620</v>
      </c>
      <c r="B60" s="17" t="n">
        <v>2451</v>
      </c>
      <c r="C60" s="18">
        <f>(1622.0/B60*100)</f>
        <v/>
      </c>
      <c r="D60" s="19" t="n">
        <v>829</v>
      </c>
      <c r="E60" s="18" t="n">
        <v>59.44257708</v>
      </c>
      <c r="F60" s="20" t="n">
        <v>1.89589866</v>
      </c>
      <c r="G60" s="18" t="n">
        <v>29.57818134</v>
      </c>
      <c r="H60" s="20" t="n">
        <v>1.67626761</v>
      </c>
      <c r="I60" s="18" t="n">
        <v>0</v>
      </c>
      <c r="J60" s="20" t="n">
        <v>0</v>
      </c>
      <c r="K60" s="18" t="n">
        <v>5.70180407</v>
      </c>
      <c r="L60" s="20" t="n">
        <v>0.97036646</v>
      </c>
      <c r="M60" s="18" t="n">
        <v>0</v>
      </c>
      <c r="N60" s="20" t="n">
        <v>0</v>
      </c>
      <c r="O60" s="18" t="n">
        <v>0</v>
      </c>
      <c r="P60" s="20" t="n">
        <v>0</v>
      </c>
      <c r="Q60" s="18" t="n">
        <v>5.27743751</v>
      </c>
      <c r="R60" s="20" t="n">
        <v>0.94106726</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58.08175527</v>
      </c>
      <c r="F63" s="20" t="n">
        <v>1.81221398</v>
      </c>
      <c r="G63" s="18" t="n">
        <v>34.41970206</v>
      </c>
      <c r="H63" s="20" t="n">
        <v>1.84546792</v>
      </c>
      <c r="I63" s="18" t="n">
        <v>0</v>
      </c>
      <c r="J63" s="20" t="n">
        <v>0</v>
      </c>
      <c r="K63" s="18" t="n">
        <v>4.47531995</v>
      </c>
      <c r="L63" s="20" t="n">
        <v>0.84287648</v>
      </c>
      <c r="M63" s="18" t="n">
        <v>0</v>
      </c>
      <c r="N63" s="20" t="n">
        <v>0</v>
      </c>
      <c r="O63" s="18" t="n">
        <v>0</v>
      </c>
      <c r="P63" s="20" t="n">
        <v>0</v>
      </c>
      <c r="Q63" s="18" t="n">
        <v>3.02322273</v>
      </c>
      <c r="R63" s="20" t="n">
        <v>0.75594343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60.72277138</v>
      </c>
      <c r="F65" s="20" t="n">
        <v>2.06174597</v>
      </c>
      <c r="G65" s="18" t="n">
        <v>35.03035384</v>
      </c>
      <c r="H65" s="20" t="n">
        <v>2.09403275</v>
      </c>
      <c r="I65" s="18" t="n">
        <v>0</v>
      </c>
      <c r="J65" s="20" t="n">
        <v>0</v>
      </c>
      <c r="K65" s="18" t="n">
        <v>2.71180488</v>
      </c>
      <c r="L65" s="20" t="n">
        <v>0.6904830199999999</v>
      </c>
      <c r="M65" s="18" t="n">
        <v>0</v>
      </c>
      <c r="N65" s="20" t="n">
        <v>0</v>
      </c>
      <c r="O65" s="18" t="n">
        <v>0.22468048</v>
      </c>
      <c r="P65" s="20" t="n">
        <v>0.22249209</v>
      </c>
      <c r="Q65" s="18" t="n">
        <v>1.31038942</v>
      </c>
      <c r="R65" s="20" t="n">
        <v>0.42133401</v>
      </c>
    </row>
    <row r="66" spans="1:18">
      <c r="A66" s="15" t="s">
        <v>626</v>
      </c>
      <c r="B66" s="17" t="n">
        <v>2634</v>
      </c>
      <c r="C66" s="18">
        <f>(1761.0/B66*100)</f>
        <v/>
      </c>
      <c r="D66" s="19" t="n">
        <v>873</v>
      </c>
      <c r="E66" s="18" t="n">
        <v>57.82740873</v>
      </c>
      <c r="F66" s="20" t="n">
        <v>1.88978903</v>
      </c>
      <c r="G66" s="18" t="n">
        <v>32.68251436</v>
      </c>
      <c r="H66" s="20" t="n">
        <v>1.59938242</v>
      </c>
      <c r="I66" s="18" t="n">
        <v>0</v>
      </c>
      <c r="J66" s="20" t="n">
        <v>0</v>
      </c>
      <c r="K66" s="18" t="n">
        <v>7.50965919</v>
      </c>
      <c r="L66" s="20" t="n">
        <v>0.9919632</v>
      </c>
      <c r="M66" s="18" t="n">
        <v>0</v>
      </c>
      <c r="N66" s="20" t="n">
        <v>0</v>
      </c>
      <c r="O66" s="18" t="n">
        <v>0</v>
      </c>
      <c r="P66" s="20" t="n">
        <v>0</v>
      </c>
      <c r="Q66" s="18" t="n">
        <v>1.98041772</v>
      </c>
      <c r="R66" s="20" t="n">
        <v>0.42760166</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67.96350637</v>
      </c>
      <c r="F69" s="20" t="n">
        <v>3.13679408</v>
      </c>
      <c r="G69" s="18" t="n">
        <v>31.0998034</v>
      </c>
      <c r="H69" s="20" t="n">
        <v>3.0977536</v>
      </c>
      <c r="I69" s="18" t="n">
        <v>0</v>
      </c>
      <c r="J69" s="20" t="n">
        <v>0</v>
      </c>
      <c r="K69" s="18" t="n">
        <v>0.43370587</v>
      </c>
      <c r="L69" s="20" t="n">
        <v>0.55344748</v>
      </c>
      <c r="M69" s="18" t="n">
        <v>0</v>
      </c>
      <c r="N69" s="20" t="n">
        <v>0</v>
      </c>
      <c r="O69" s="18" t="n">
        <v>0</v>
      </c>
      <c r="P69" s="20" t="n">
        <v>0</v>
      </c>
      <c r="Q69" s="18" t="n">
        <v>0.50298436</v>
      </c>
      <c r="R69" s="20" t="n">
        <v>0.49113176</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59.5150067</v>
      </c>
      <c r="F71" s="20" t="n">
        <v>1.57157167</v>
      </c>
      <c r="G71" s="18" t="n">
        <v>40.12973669</v>
      </c>
      <c r="H71" s="20" t="n">
        <v>1.58382919</v>
      </c>
      <c r="I71" s="18" t="n">
        <v>0</v>
      </c>
      <c r="J71" s="20" t="n">
        <v>0</v>
      </c>
      <c r="K71" s="18" t="n">
        <v>0</v>
      </c>
      <c r="L71" s="20" t="n">
        <v>0</v>
      </c>
      <c r="M71" s="18" t="n">
        <v>0</v>
      </c>
      <c r="N71" s="20" t="n">
        <v>0</v>
      </c>
      <c r="O71" s="18" t="n">
        <v>0</v>
      </c>
      <c r="P71" s="20" t="n">
        <v>0</v>
      </c>
      <c r="Q71" s="18" t="n">
        <v>0.35525661</v>
      </c>
      <c r="R71" s="20" t="n">
        <v>0.12111994</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55.57161516</v>
      </c>
      <c r="F76" s="20" t="n">
        <v>2.03691597</v>
      </c>
      <c r="G76" s="18" t="n">
        <v>34.91079805</v>
      </c>
      <c r="H76" s="20" t="n">
        <v>1.91805573</v>
      </c>
      <c r="I76" s="18" t="n">
        <v>0</v>
      </c>
      <c r="J76" s="20" t="n">
        <v>0</v>
      </c>
      <c r="K76" s="18" t="n">
        <v>7.3734708</v>
      </c>
      <c r="L76" s="20" t="n">
        <v>1.00253727</v>
      </c>
      <c r="M76" s="18" t="n">
        <v>0</v>
      </c>
      <c r="N76" s="20" t="n">
        <v>0</v>
      </c>
      <c r="O76" s="18" t="n">
        <v>0</v>
      </c>
      <c r="P76" s="20" t="n">
        <v>0</v>
      </c>
      <c r="Q76" s="18" t="n">
        <v>2.14411599</v>
      </c>
      <c r="R76" s="20" t="n">
        <v>0.60398622</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42.62451632</v>
      </c>
      <c r="F80" s="20" t="n">
        <v>2.20476411</v>
      </c>
      <c r="G80" s="18" t="n">
        <v>57.37548368</v>
      </c>
      <c r="H80" s="20" t="n">
        <v>2.20476411</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(580.0/B81*100)</f>
        <v/>
      </c>
      <c r="D81" s="19" t="n">
        <v>290</v>
      </c>
      <c r="E81" s="18" t="n">
        <v>49.90151999</v>
      </c>
      <c r="F81" s="20" t="n">
        <v>3.15997191</v>
      </c>
      <c r="G81" s="18" t="n">
        <v>42.08499784</v>
      </c>
      <c r="H81" s="20" t="n">
        <v>2.91405016</v>
      </c>
      <c r="I81" s="18" t="n">
        <v>0</v>
      </c>
      <c r="J81" s="20" t="n">
        <v>0</v>
      </c>
      <c r="K81" s="18" t="n">
        <v>5.62445233</v>
      </c>
      <c r="L81" s="20" t="n">
        <v>1.58584337</v>
      </c>
      <c r="M81" s="18" t="n">
        <v>0.29707345</v>
      </c>
      <c r="N81" s="20" t="n">
        <v>0.29443986</v>
      </c>
      <c r="O81" s="18" t="n">
        <v>0</v>
      </c>
      <c r="P81" s="20" t="n">
        <v>0</v>
      </c>
      <c r="Q81" s="18" t="n">
        <v>2.09195639</v>
      </c>
      <c r="R81" s="20" t="n">
        <v>0.81785201</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50.79222916</v>
      </c>
      <c r="F44" s="20" t="n">
        <v>2.1794974</v>
      </c>
      <c r="G44" s="18" t="n">
        <v>33.82466424</v>
      </c>
      <c r="H44" s="20" t="n">
        <v>1.80678098</v>
      </c>
      <c r="I44" s="18" t="n">
        <v>0</v>
      </c>
      <c r="J44" s="20" t="n">
        <v>0</v>
      </c>
      <c r="K44" s="18" t="n">
        <v>4.28932163</v>
      </c>
      <c r="L44" s="20" t="n">
        <v>0.78323845</v>
      </c>
      <c r="M44" s="18" t="n">
        <v>0</v>
      </c>
      <c r="N44" s="20" t="n">
        <v>0</v>
      </c>
      <c r="O44" s="18" t="n">
        <v>0.7644652</v>
      </c>
      <c r="P44" s="20" t="n">
        <v>0.29725485</v>
      </c>
      <c r="Q44" s="18" t="n">
        <v>10.32931977</v>
      </c>
      <c r="R44" s="20" t="n">
        <v>1.16830799</v>
      </c>
    </row>
    <row r="45" spans="1:18">
      <c r="A45" s="15" t="s">
        <v>604</v>
      </c>
      <c r="B45" s="17" t="n">
        <v>2670</v>
      </c>
      <c r="C45" s="18">
        <f>(1765.0/B45*100)</f>
        <v/>
      </c>
      <c r="D45" s="19" t="n">
        <v>905</v>
      </c>
      <c r="E45" s="18" t="n">
        <v>53.17369561</v>
      </c>
      <c r="F45" s="20" t="n">
        <v>1.66615833</v>
      </c>
      <c r="G45" s="18" t="n">
        <v>28.31609155</v>
      </c>
      <c r="H45" s="20" t="n">
        <v>1.85516713</v>
      </c>
      <c r="I45" s="18" t="n">
        <v>0</v>
      </c>
      <c r="J45" s="20" t="n">
        <v>0</v>
      </c>
      <c r="K45" s="18" t="n">
        <v>8.09701988</v>
      </c>
      <c r="L45" s="20" t="n">
        <v>1.1144756</v>
      </c>
      <c r="M45" s="18" t="n">
        <v>0.9504088000000001</v>
      </c>
      <c r="N45" s="20" t="n">
        <v>0.33614019</v>
      </c>
      <c r="O45" s="18" t="n">
        <v>1.91288533</v>
      </c>
      <c r="P45" s="20" t="n">
        <v>0.38550067</v>
      </c>
      <c r="Q45" s="18" t="n">
        <v>7.54989884</v>
      </c>
      <c r="R45" s="20" t="n">
        <v>0.9812762900000001</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57.25928175</v>
      </c>
      <c r="F54" s="20" t="n">
        <v>1.79653644</v>
      </c>
      <c r="G54" s="18" t="n">
        <v>33.88030132</v>
      </c>
      <c r="H54" s="20" t="n">
        <v>1.85046611</v>
      </c>
      <c r="I54" s="18" t="n">
        <v>0</v>
      </c>
      <c r="J54" s="20" t="n">
        <v>0</v>
      </c>
      <c r="K54" s="18" t="n">
        <v>3.85230749</v>
      </c>
      <c r="L54" s="20" t="n">
        <v>0.66012582</v>
      </c>
      <c r="M54" s="18" t="n">
        <v>0</v>
      </c>
      <c r="N54" s="20" t="n">
        <v>0</v>
      </c>
      <c r="O54" s="18" t="n">
        <v>0.42492592</v>
      </c>
      <c r="P54" s="20" t="n">
        <v>0.25039974</v>
      </c>
      <c r="Q54" s="18" t="n">
        <v>4.58318351</v>
      </c>
      <c r="R54" s="20" t="n">
        <v>0.85033683</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59.92975868</v>
      </c>
      <c r="F56" s="20" t="n">
        <v>1.7867142</v>
      </c>
      <c r="G56" s="18" t="n">
        <v>32.82687909</v>
      </c>
      <c r="H56" s="20" t="n">
        <v>1.91743477</v>
      </c>
      <c r="I56" s="18" t="n">
        <v>0</v>
      </c>
      <c r="J56" s="20" t="n">
        <v>0</v>
      </c>
      <c r="K56" s="18" t="n">
        <v>2.44393262</v>
      </c>
      <c r="L56" s="20" t="n">
        <v>0.56660689</v>
      </c>
      <c r="M56" s="18" t="n">
        <v>0.12676454</v>
      </c>
      <c r="N56" s="20" t="n">
        <v>0.12726392</v>
      </c>
      <c r="O56" s="18" t="n">
        <v>0</v>
      </c>
      <c r="P56" s="20" t="n">
        <v>0</v>
      </c>
      <c r="Q56" s="18" t="n">
        <v>4.67266507</v>
      </c>
      <c r="R56" s="20" t="n">
        <v>0.8086886599999999</v>
      </c>
    </row>
    <row r="57" spans="1:18">
      <c r="A57" s="15" t="s">
        <v>616</v>
      </c>
      <c r="B57" s="17" t="n">
        <v>3737</v>
      </c>
      <c r="C57" s="18">
        <f>(2486.0/B57*100)</f>
        <v/>
      </c>
      <c r="D57" s="19" t="n">
        <v>1251</v>
      </c>
      <c r="E57" s="18" t="n">
        <v>56.48505234</v>
      </c>
      <c r="F57" s="20" t="n">
        <v>1.93569301</v>
      </c>
      <c r="G57" s="18" t="n">
        <v>35.2835818</v>
      </c>
      <c r="H57" s="20" t="n">
        <v>1.75568044</v>
      </c>
      <c r="I57" s="18" t="n">
        <v>0</v>
      </c>
      <c r="J57" s="20" t="n">
        <v>0</v>
      </c>
      <c r="K57" s="18" t="n">
        <v>4.18194753</v>
      </c>
      <c r="L57" s="20" t="n">
        <v>0.6832213</v>
      </c>
      <c r="M57" s="18" t="n">
        <v>0</v>
      </c>
      <c r="N57" s="20" t="n">
        <v>0</v>
      </c>
      <c r="O57" s="18" t="n">
        <v>0.5294115</v>
      </c>
      <c r="P57" s="20" t="n">
        <v>0.24021458</v>
      </c>
      <c r="Q57" s="18" t="n">
        <v>3.52000683</v>
      </c>
      <c r="R57" s="20" t="n">
        <v>0.74242891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50.68233768</v>
      </c>
      <c r="F59" s="20" t="n">
        <v>2.49638092</v>
      </c>
      <c r="G59" s="18" t="n">
        <v>43.4504085</v>
      </c>
      <c r="H59" s="20" t="n">
        <v>2.54896582</v>
      </c>
      <c r="I59" s="18" t="n">
        <v>0</v>
      </c>
      <c r="J59" s="20" t="n">
        <v>0</v>
      </c>
      <c r="K59" s="18" t="n">
        <v>1.34879671</v>
      </c>
      <c r="L59" s="20" t="n">
        <v>0.42468901</v>
      </c>
      <c r="M59" s="18" t="n">
        <v>1.13460262</v>
      </c>
      <c r="N59" s="20" t="n">
        <v>0.56110306</v>
      </c>
      <c r="O59" s="18" t="n">
        <v>0.20305425</v>
      </c>
      <c r="P59" s="20" t="n">
        <v>0.1599734</v>
      </c>
      <c r="Q59" s="18" t="n">
        <v>3.18080024</v>
      </c>
      <c r="R59" s="20" t="n">
        <v>0.79668539</v>
      </c>
    </row>
    <row r="60" spans="1:18">
      <c r="A60" s="15" t="s">
        <v>620</v>
      </c>
      <c r="B60" s="17" t="n">
        <v>2451</v>
      </c>
      <c r="C60" s="18">
        <f>(1622.0/B60*100)</f>
        <v/>
      </c>
      <c r="D60" s="19" t="n">
        <v>829</v>
      </c>
      <c r="E60" s="18" t="n">
        <v>50.75492762</v>
      </c>
      <c r="F60" s="20" t="n">
        <v>2.22520551</v>
      </c>
      <c r="G60" s="18" t="n">
        <v>29.25462969</v>
      </c>
      <c r="H60" s="20" t="n">
        <v>2.04364834</v>
      </c>
      <c r="I60" s="18" t="n">
        <v>0</v>
      </c>
      <c r="J60" s="20" t="n">
        <v>0</v>
      </c>
      <c r="K60" s="18" t="n">
        <v>6.37546435</v>
      </c>
      <c r="L60" s="20" t="n">
        <v>1.25459209</v>
      </c>
      <c r="M60" s="18" t="n">
        <v>0.10825889</v>
      </c>
      <c r="N60" s="20" t="n">
        <v>0.10739619</v>
      </c>
      <c r="O60" s="18" t="n">
        <v>3.01336054</v>
      </c>
      <c r="P60" s="20" t="n">
        <v>0.7310135</v>
      </c>
      <c r="Q60" s="18" t="n">
        <v>10.49335891</v>
      </c>
      <c r="R60" s="20" t="n">
        <v>1.44626303</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58.36382628</v>
      </c>
      <c r="F63" s="20" t="n">
        <v>1.70283319</v>
      </c>
      <c r="G63" s="18" t="n">
        <v>26.72942693</v>
      </c>
      <c r="H63" s="20" t="n">
        <v>1.59026177</v>
      </c>
      <c r="I63" s="18" t="n">
        <v>0</v>
      </c>
      <c r="J63" s="20" t="n">
        <v>0</v>
      </c>
      <c r="K63" s="18" t="n">
        <v>6.24405868</v>
      </c>
      <c r="L63" s="20" t="n">
        <v>1.03613441</v>
      </c>
      <c r="M63" s="18" t="n">
        <v>0.17606394</v>
      </c>
      <c r="N63" s="20" t="n">
        <v>0.17618096</v>
      </c>
      <c r="O63" s="18" t="n">
        <v>0.59241173</v>
      </c>
      <c r="P63" s="20" t="n">
        <v>0.26188972</v>
      </c>
      <c r="Q63" s="18" t="n">
        <v>7.89421243</v>
      </c>
      <c r="R63" s="20" t="n">
        <v>1.08832226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47.26455651</v>
      </c>
      <c r="F65" s="20" t="n">
        <v>1.83787512</v>
      </c>
      <c r="G65" s="18" t="n">
        <v>44.19007809</v>
      </c>
      <c r="H65" s="20" t="n">
        <v>2.02767352</v>
      </c>
      <c r="I65" s="18" t="n">
        <v>0</v>
      </c>
      <c r="J65" s="20" t="n">
        <v>0</v>
      </c>
      <c r="K65" s="18" t="n">
        <v>3.71518486</v>
      </c>
      <c r="L65" s="20" t="n">
        <v>0.81687287</v>
      </c>
      <c r="M65" s="18" t="n">
        <v>0</v>
      </c>
      <c r="N65" s="20" t="n">
        <v>0</v>
      </c>
      <c r="O65" s="18" t="n">
        <v>0.45061877</v>
      </c>
      <c r="P65" s="20" t="n">
        <v>0.31741464</v>
      </c>
      <c r="Q65" s="18" t="n">
        <v>4.37956177</v>
      </c>
      <c r="R65" s="20" t="n">
        <v>0.93037109</v>
      </c>
    </row>
    <row r="66" spans="1:18">
      <c r="A66" s="15" t="s">
        <v>626</v>
      </c>
      <c r="B66" s="17" t="n">
        <v>2634</v>
      </c>
      <c r="C66" s="18">
        <f>(1761.0/B66*100)</f>
        <v/>
      </c>
      <c r="D66" s="19" t="n">
        <v>873</v>
      </c>
      <c r="E66" s="18" t="n">
        <v>50.34446212</v>
      </c>
      <c r="F66" s="20" t="n">
        <v>2.15507923</v>
      </c>
      <c r="G66" s="18" t="n">
        <v>34.88199232</v>
      </c>
      <c r="H66" s="20" t="n">
        <v>1.94862774</v>
      </c>
      <c r="I66" s="18" t="n">
        <v>0</v>
      </c>
      <c r="J66" s="20" t="n">
        <v>0</v>
      </c>
      <c r="K66" s="18" t="n">
        <v>8.24435323</v>
      </c>
      <c r="L66" s="20" t="n">
        <v>1.01630541</v>
      </c>
      <c r="M66" s="18" t="n">
        <v>0.650895</v>
      </c>
      <c r="N66" s="20" t="n">
        <v>0.26555572</v>
      </c>
      <c r="O66" s="18" t="n">
        <v>0</v>
      </c>
      <c r="P66" s="20" t="n">
        <v>0</v>
      </c>
      <c r="Q66" s="18" t="n">
        <v>5.87829733</v>
      </c>
      <c r="R66" s="20" t="n">
        <v>0.83370773</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66.56451091</v>
      </c>
      <c r="F69" s="20" t="n">
        <v>3.48065593</v>
      </c>
      <c r="G69" s="18" t="n">
        <v>29.64893891</v>
      </c>
      <c r="H69" s="20" t="n">
        <v>3.27984724</v>
      </c>
      <c r="I69" s="18" t="n">
        <v>0</v>
      </c>
      <c r="J69" s="20" t="n">
        <v>0</v>
      </c>
      <c r="K69" s="18" t="n">
        <v>0.43370587</v>
      </c>
      <c r="L69" s="20" t="n">
        <v>0.55344748</v>
      </c>
      <c r="M69" s="18" t="n">
        <v>0</v>
      </c>
      <c r="N69" s="20" t="n">
        <v>0</v>
      </c>
      <c r="O69" s="18" t="n">
        <v>0</v>
      </c>
      <c r="P69" s="20" t="n">
        <v>0</v>
      </c>
      <c r="Q69" s="18" t="n">
        <v>3.3528443</v>
      </c>
      <c r="R69" s="20" t="n">
        <v>1.20362059</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60.98855655</v>
      </c>
      <c r="F71" s="20" t="n">
        <v>1.65245651</v>
      </c>
      <c r="G71" s="18" t="n">
        <v>38.30385279</v>
      </c>
      <c r="H71" s="20" t="n">
        <v>1.64930909</v>
      </c>
      <c r="I71" s="18" t="n">
        <v>0</v>
      </c>
      <c r="J71" s="20" t="n">
        <v>0</v>
      </c>
      <c r="K71" s="18" t="n">
        <v>0</v>
      </c>
      <c r="L71" s="20" t="n">
        <v>0</v>
      </c>
      <c r="M71" s="18" t="n">
        <v>0</v>
      </c>
      <c r="N71" s="20" t="n">
        <v>0</v>
      </c>
      <c r="O71" s="18" t="n">
        <v>0</v>
      </c>
      <c r="P71" s="20" t="n">
        <v>0</v>
      </c>
      <c r="Q71" s="18" t="n">
        <v>0.70759066</v>
      </c>
      <c r="R71" s="20" t="n">
        <v>0.24185892</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49.00600081</v>
      </c>
      <c r="F76" s="20" t="n">
        <v>2.28289349</v>
      </c>
      <c r="G76" s="18" t="n">
        <v>38.09850211</v>
      </c>
      <c r="H76" s="20" t="n">
        <v>2.16977901</v>
      </c>
      <c r="I76" s="18" t="n">
        <v>0</v>
      </c>
      <c r="J76" s="20" t="n">
        <v>0</v>
      </c>
      <c r="K76" s="18" t="n">
        <v>8.11866899</v>
      </c>
      <c r="L76" s="20" t="n">
        <v>1.01035099</v>
      </c>
      <c r="M76" s="18" t="n">
        <v>0</v>
      </c>
      <c r="N76" s="20" t="n">
        <v>0</v>
      </c>
      <c r="O76" s="18" t="n">
        <v>0</v>
      </c>
      <c r="P76" s="20" t="n">
        <v>0</v>
      </c>
      <c r="Q76" s="18" t="n">
        <v>4.77682809</v>
      </c>
      <c r="R76" s="20" t="n">
        <v>0.78666497</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38.29272334</v>
      </c>
      <c r="F80" s="20" t="n">
        <v>2.22637106</v>
      </c>
      <c r="G80" s="18" t="n">
        <v>61.57880942</v>
      </c>
      <c r="H80" s="20" t="n">
        <v>2.22561613</v>
      </c>
      <c r="I80" s="18" t="n">
        <v>0</v>
      </c>
      <c r="J80" s="20" t="n">
        <v>0</v>
      </c>
      <c r="K80" s="18" t="n">
        <v>0</v>
      </c>
      <c r="L80" s="20" t="n">
        <v>0</v>
      </c>
      <c r="M80" s="18" t="n">
        <v>0</v>
      </c>
      <c r="N80" s="20" t="n">
        <v>0</v>
      </c>
      <c r="O80" s="18" t="n">
        <v>0</v>
      </c>
      <c r="P80" s="20" t="n">
        <v>0</v>
      </c>
      <c r="Q80" s="18" t="n">
        <v>0.12846724</v>
      </c>
      <c r="R80" s="20" t="n">
        <v>0.11339016</v>
      </c>
    </row>
    <row r="81" spans="1:18">
      <c r="A81" s="15" t="s">
        <v>641</v>
      </c>
      <c r="B81" s="17" t="n">
        <v>870</v>
      </c>
      <c r="C81" s="18">
        <f>(580.0/B81*100)</f>
        <v/>
      </c>
      <c r="D81" s="19" t="n">
        <v>290</v>
      </c>
      <c r="E81" s="18" t="n">
        <v>48.91277445</v>
      </c>
      <c r="F81" s="20" t="n">
        <v>3.96929707</v>
      </c>
      <c r="G81" s="18" t="n">
        <v>39.01960373</v>
      </c>
      <c r="H81" s="20" t="n">
        <v>3.72045435</v>
      </c>
      <c r="I81" s="18" t="n">
        <v>0</v>
      </c>
      <c r="J81" s="20" t="n">
        <v>0</v>
      </c>
      <c r="K81" s="18" t="n">
        <v>5.96231439</v>
      </c>
      <c r="L81" s="20" t="n">
        <v>1.61386465</v>
      </c>
      <c r="M81" s="18" t="n">
        <v>0.29707345</v>
      </c>
      <c r="N81" s="20" t="n">
        <v>0.29443986</v>
      </c>
      <c r="O81" s="18" t="n">
        <v>1.01814995</v>
      </c>
      <c r="P81" s="20" t="n">
        <v>0.67656703</v>
      </c>
      <c r="Q81" s="18" t="n">
        <v>4.79008404</v>
      </c>
      <c r="R81" s="20" t="n">
        <v>1.43798018</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7.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883</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row>
    <row r="8" spans="1:20">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row>
    <row r="9" spans="1:20">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row>
    <row r="10" spans="1:20">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row>
    <row r="11" spans="1:20">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row>
    <row r="12" spans="1:20">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row>
    <row r="13" spans="1:20">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row>
    <row r="14" spans="1:20">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row>
    <row r="15" spans="1:20">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row>
    <row r="16" spans="1:20">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row>
    <row r="17" spans="1:20">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row>
    <row r="18" spans="1:20">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row>
    <row r="19" spans="1:20">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row>
    <row r="20" spans="1:20">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row>
    <row r="21" spans="1:20">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row>
    <row r="22" spans="1:20">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row>
    <row r="23" spans="1:20">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row>
    <row r="24" spans="1:20">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row>
    <row r="25" spans="1:20">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row>
    <row r="26" spans="1:20">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row>
    <row r="27" spans="1:20">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row>
    <row r="28" spans="1:20">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row>
    <row r="29" spans="1:20">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row>
    <row r="30" spans="1:20">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row>
    <row r="31" spans="1:20">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row>
    <row r="32" spans="1:20">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row>
    <row r="33" spans="1:20">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row>
    <row r="34" spans="1:20">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row>
    <row r="35" spans="1:20">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row>
    <row r="36" spans="1:20">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row>
    <row r="37" spans="1:20">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row>
    <row r="38" spans="1:20">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row>
    <row r="39" spans="1:20">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row>
    <row r="40" spans="1:20">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row>
    <row r="41" spans="1:20">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(1804.0/B44*100)</f>
        <v/>
      </c>
      <c r="D44" s="19" t="n">
        <v>887</v>
      </c>
      <c r="E44" s="18" t="n">
        <v>33.667934</v>
      </c>
      <c r="F44" s="20" t="n">
        <v>1.86374358</v>
      </c>
      <c r="G44" s="18" t="n">
        <v>20.73137428</v>
      </c>
      <c r="H44" s="20" t="n">
        <v>1.54748007</v>
      </c>
      <c r="I44" s="18" t="n">
        <v>29.21599177</v>
      </c>
      <c r="J44" s="20" t="n">
        <v>1.79090772</v>
      </c>
      <c r="K44" s="18" t="n">
        <v>0</v>
      </c>
      <c r="L44" s="20" t="n">
        <v>0</v>
      </c>
      <c r="M44" s="18" t="n">
        <v>4.62683643</v>
      </c>
      <c r="N44" s="20" t="n">
        <v>0.8284721900000001</v>
      </c>
      <c r="O44" s="18" t="n">
        <v>0</v>
      </c>
      <c r="P44" s="20" t="n">
        <v>0</v>
      </c>
      <c r="Q44" s="18" t="n">
        <v>0</v>
      </c>
      <c r="R44" s="20" t="n">
        <v>0</v>
      </c>
      <c r="S44" s="18" t="n">
        <v>11.75786353</v>
      </c>
      <c r="T44" s="20" t="n">
        <v>1.26426102</v>
      </c>
    </row>
    <row r="45" spans="1:20">
      <c r="A45" s="15" t="s">
        <v>604</v>
      </c>
      <c r="B45" s="17" t="n">
        <v>2670</v>
      </c>
      <c r="C45" s="18">
        <f>(1765.0/B45*100)</f>
        <v/>
      </c>
      <c r="D45" s="19" t="n">
        <v>905</v>
      </c>
      <c r="E45" s="18" t="n">
        <v>34.25665081</v>
      </c>
      <c r="F45" s="20" t="n">
        <v>1.68156573</v>
      </c>
      <c r="G45" s="18" t="n">
        <v>31.08181168</v>
      </c>
      <c r="H45" s="20" t="n">
        <v>1.9204207</v>
      </c>
      <c r="I45" s="18" t="n">
        <v>18.16362126</v>
      </c>
      <c r="J45" s="20" t="n">
        <v>1.32136023</v>
      </c>
      <c r="K45" s="18" t="n">
        <v>0</v>
      </c>
      <c r="L45" s="20" t="n">
        <v>0</v>
      </c>
      <c r="M45" s="18" t="n">
        <v>8.64756466</v>
      </c>
      <c r="N45" s="20" t="n">
        <v>1.1423266</v>
      </c>
      <c r="O45" s="18" t="n">
        <v>1.07561584</v>
      </c>
      <c r="P45" s="20" t="n">
        <v>0.39893478</v>
      </c>
      <c r="Q45" s="18" t="n">
        <v>0.1061199</v>
      </c>
      <c r="R45" s="20" t="n">
        <v>0.10274401</v>
      </c>
      <c r="S45" s="18" t="n">
        <v>6.66861585</v>
      </c>
      <c r="T45" s="20" t="n">
        <v>0.88695248</v>
      </c>
    </row>
    <row r="46" spans="1:20">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row>
    <row r="47" spans="1:20">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row>
    <row r="48" spans="1:20">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row>
    <row r="49" spans="1:20">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row>
    <row r="50" spans="1:20">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row>
    <row r="51" spans="1:20">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row>
    <row r="52" spans="1:20">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row>
    <row r="53" spans="1:20">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row>
    <row r="54" spans="1:20">
      <c r="A54" s="15" t="s">
        <v>613</v>
      </c>
      <c r="B54" s="17" t="n">
        <v>2557</v>
      </c>
      <c r="C54" s="18">
        <f>(1705.0/B54*100)</f>
        <v/>
      </c>
      <c r="D54" s="19" t="n">
        <v>852</v>
      </c>
      <c r="E54" s="18" t="n">
        <v>44.85962171</v>
      </c>
      <c r="F54" s="20" t="n">
        <v>1.54743899</v>
      </c>
      <c r="G54" s="18" t="n">
        <v>22.17477217</v>
      </c>
      <c r="H54" s="20" t="n">
        <v>1.58491756</v>
      </c>
      <c r="I54" s="18" t="n">
        <v>24.58874687</v>
      </c>
      <c r="J54" s="20" t="n">
        <v>1.50851864</v>
      </c>
      <c r="K54" s="18" t="n">
        <v>0</v>
      </c>
      <c r="L54" s="20" t="n">
        <v>0</v>
      </c>
      <c r="M54" s="18" t="n">
        <v>4.07943443</v>
      </c>
      <c r="N54" s="20" t="n">
        <v>0.69793081</v>
      </c>
      <c r="O54" s="18" t="n">
        <v>0</v>
      </c>
      <c r="P54" s="20" t="n">
        <v>0</v>
      </c>
      <c r="Q54" s="18" t="n">
        <v>0</v>
      </c>
      <c r="R54" s="20" t="n">
        <v>0</v>
      </c>
      <c r="S54" s="18" t="n">
        <v>4.29742482</v>
      </c>
      <c r="T54" s="20" t="n">
        <v>0.68795029</v>
      </c>
    </row>
    <row r="55" spans="1:20">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row>
    <row r="56" spans="1:20">
      <c r="A56" s="15" t="s">
        <v>615</v>
      </c>
      <c r="B56" s="17" t="n">
        <v>3343</v>
      </c>
      <c r="C56" s="18">
        <f>(2224.0/B56*100)</f>
        <v/>
      </c>
      <c r="D56" s="19" t="n">
        <v>1119</v>
      </c>
      <c r="E56" s="18" t="n">
        <v>35.29222154</v>
      </c>
      <c r="F56" s="20" t="n">
        <v>1.4311238</v>
      </c>
      <c r="G56" s="18" t="n">
        <v>39.3692228</v>
      </c>
      <c r="H56" s="20" t="n">
        <v>1.51622284</v>
      </c>
      <c r="I56" s="18" t="n">
        <v>13.92037385</v>
      </c>
      <c r="J56" s="20" t="n">
        <v>1.33561784</v>
      </c>
      <c r="K56" s="18" t="n">
        <v>0</v>
      </c>
      <c r="L56" s="20" t="n">
        <v>0</v>
      </c>
      <c r="M56" s="18" t="n">
        <v>2.71127576</v>
      </c>
      <c r="N56" s="20" t="n">
        <v>0.60659577</v>
      </c>
      <c r="O56" s="18" t="n">
        <v>0</v>
      </c>
      <c r="P56" s="20" t="n">
        <v>0</v>
      </c>
      <c r="Q56" s="18" t="n">
        <v>0</v>
      </c>
      <c r="R56" s="20" t="n">
        <v>0</v>
      </c>
      <c r="S56" s="18" t="n">
        <v>8.706906050000001</v>
      </c>
      <c r="T56" s="20" t="n">
        <v>1.19338359</v>
      </c>
    </row>
    <row r="57" spans="1:20">
      <c r="A57" s="15" t="s">
        <v>616</v>
      </c>
      <c r="B57" s="17" t="n">
        <v>3737</v>
      </c>
      <c r="C57" s="18">
        <f>(2486.0/B57*100)</f>
        <v/>
      </c>
      <c r="D57" s="19" t="n">
        <v>1251</v>
      </c>
      <c r="E57" s="18" t="n">
        <v>37.68845956</v>
      </c>
      <c r="F57" s="20" t="n">
        <v>1.54416429</v>
      </c>
      <c r="G57" s="18" t="n">
        <v>25.57707321</v>
      </c>
      <c r="H57" s="20" t="n">
        <v>1.06729203</v>
      </c>
      <c r="I57" s="18" t="n">
        <v>28.94891878</v>
      </c>
      <c r="J57" s="20" t="n">
        <v>1.48043791</v>
      </c>
      <c r="K57" s="18" t="n">
        <v>0</v>
      </c>
      <c r="L57" s="20" t="n">
        <v>0</v>
      </c>
      <c r="M57" s="18" t="n">
        <v>4.39986377</v>
      </c>
      <c r="N57" s="20" t="n">
        <v>0.6493108</v>
      </c>
      <c r="O57" s="18" t="n">
        <v>0</v>
      </c>
      <c r="P57" s="20" t="n">
        <v>0</v>
      </c>
      <c r="Q57" s="18" t="n">
        <v>0</v>
      </c>
      <c r="R57" s="20" t="n">
        <v>0</v>
      </c>
      <c r="S57" s="18" t="n">
        <v>3.38568468</v>
      </c>
      <c r="T57" s="20" t="n">
        <v>0.74484036</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(1511.0/B59*100)</f>
        <v/>
      </c>
      <c r="D59" s="19" t="n">
        <v>767</v>
      </c>
      <c r="E59" s="18" t="n">
        <v>51.8254658</v>
      </c>
      <c r="F59" s="20" t="n">
        <v>2.07851558</v>
      </c>
      <c r="G59" s="18" t="n">
        <v>17.81883866</v>
      </c>
      <c r="H59" s="20" t="n">
        <v>1.82189878</v>
      </c>
      <c r="I59" s="18" t="n">
        <v>9.209656130000001</v>
      </c>
      <c r="J59" s="20" t="n">
        <v>1.42869987</v>
      </c>
      <c r="K59" s="18" t="n">
        <v>0</v>
      </c>
      <c r="L59" s="20" t="n">
        <v>0</v>
      </c>
      <c r="M59" s="18" t="n">
        <v>2.36973366</v>
      </c>
      <c r="N59" s="20" t="n">
        <v>0.60763947</v>
      </c>
      <c r="O59" s="18" t="n">
        <v>0.37196664</v>
      </c>
      <c r="P59" s="20" t="n">
        <v>0.349941</v>
      </c>
      <c r="Q59" s="18" t="n">
        <v>0</v>
      </c>
      <c r="R59" s="20" t="n">
        <v>0</v>
      </c>
      <c r="S59" s="18" t="n">
        <v>18.40433911</v>
      </c>
      <c r="T59" s="20" t="n">
        <v>1.69821577</v>
      </c>
    </row>
    <row r="60" spans="1:20">
      <c r="A60" s="15" t="s">
        <v>620</v>
      </c>
      <c r="B60" s="17" t="n">
        <v>2451</v>
      </c>
      <c r="C60" s="18">
        <f>(1622.0/B60*100)</f>
        <v/>
      </c>
      <c r="D60" s="19" t="n">
        <v>829</v>
      </c>
      <c r="E60" s="18" t="n">
        <v>6.44006217</v>
      </c>
      <c r="F60" s="20" t="n">
        <v>0.9963</v>
      </c>
      <c r="G60" s="18" t="n">
        <v>5.48134324</v>
      </c>
      <c r="H60" s="20" t="n">
        <v>0.78574851</v>
      </c>
      <c r="I60" s="18" t="n">
        <v>17.3181679</v>
      </c>
      <c r="J60" s="20" t="n">
        <v>1.54127345</v>
      </c>
      <c r="K60" s="18" t="n">
        <v>0</v>
      </c>
      <c r="L60" s="20" t="n">
        <v>0</v>
      </c>
      <c r="M60" s="18" t="n">
        <v>2.25446842</v>
      </c>
      <c r="N60" s="20" t="n">
        <v>0.54374737</v>
      </c>
      <c r="O60" s="18" t="n">
        <v>67.00484969999999</v>
      </c>
      <c r="P60" s="20" t="n">
        <v>2.04636179</v>
      </c>
      <c r="Q60" s="18" t="n">
        <v>0.09364003</v>
      </c>
      <c r="R60" s="20" t="n">
        <v>0.09265052999999999</v>
      </c>
      <c r="S60" s="18" t="n">
        <v>1.40746854</v>
      </c>
      <c r="T60" s="20" t="n">
        <v>0.48578298</v>
      </c>
    </row>
    <row r="61" spans="1:20">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row>
    <row r="62" spans="1:20">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row>
    <row r="63" spans="1:20">
      <c r="A63" s="15" t="s">
        <v>623</v>
      </c>
      <c r="B63" s="17" t="n">
        <v>2511</v>
      </c>
      <c r="C63" s="18">
        <f>(1665.0/B63*100)</f>
        <v/>
      </c>
      <c r="D63" s="19" t="n">
        <v>846</v>
      </c>
      <c r="E63" s="18" t="n">
        <v>43.53932504</v>
      </c>
      <c r="F63" s="20" t="n">
        <v>1.80115118</v>
      </c>
      <c r="G63" s="18" t="n">
        <v>10.75954528</v>
      </c>
      <c r="H63" s="20" t="n">
        <v>1.05394033</v>
      </c>
      <c r="I63" s="18" t="n">
        <v>24.44697744</v>
      </c>
      <c r="J63" s="20" t="n">
        <v>1.56608922</v>
      </c>
      <c r="K63" s="18" t="n">
        <v>0</v>
      </c>
      <c r="L63" s="20" t="n">
        <v>0</v>
      </c>
      <c r="M63" s="18" t="n">
        <v>8.37833616</v>
      </c>
      <c r="N63" s="20" t="n">
        <v>1.10858525</v>
      </c>
      <c r="O63" s="18" t="n">
        <v>0</v>
      </c>
      <c r="P63" s="20" t="n">
        <v>0</v>
      </c>
      <c r="Q63" s="18" t="n">
        <v>0</v>
      </c>
      <c r="R63" s="20" t="n">
        <v>0</v>
      </c>
      <c r="S63" s="18" t="n">
        <v>12.87581608</v>
      </c>
      <c r="T63" s="20" t="n">
        <v>1.21654228</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(1193.0/B65*100)</f>
        <v/>
      </c>
      <c r="D65" s="19" t="n">
        <v>597</v>
      </c>
      <c r="E65" s="18" t="n">
        <v>24.83809035</v>
      </c>
      <c r="F65" s="20" t="n">
        <v>1.68461148</v>
      </c>
      <c r="G65" s="18" t="n">
        <v>15.03725031</v>
      </c>
      <c r="H65" s="20" t="n">
        <v>1.50706606</v>
      </c>
      <c r="I65" s="18" t="n">
        <v>51.85698689</v>
      </c>
      <c r="J65" s="20" t="n">
        <v>1.8865751</v>
      </c>
      <c r="K65" s="18" t="n">
        <v>0</v>
      </c>
      <c r="L65" s="20" t="n">
        <v>0</v>
      </c>
      <c r="M65" s="18" t="n">
        <v>4.04959291</v>
      </c>
      <c r="N65" s="20" t="n">
        <v>0.8826414299999999</v>
      </c>
      <c r="O65" s="18" t="n">
        <v>0</v>
      </c>
      <c r="P65" s="20" t="n">
        <v>0</v>
      </c>
      <c r="Q65" s="18" t="n">
        <v>0</v>
      </c>
      <c r="R65" s="20" t="n">
        <v>0</v>
      </c>
      <c r="S65" s="18" t="n">
        <v>4.21807954</v>
      </c>
      <c r="T65" s="20" t="n">
        <v>0.83016025</v>
      </c>
    </row>
    <row r="66" spans="1:20">
      <c r="A66" s="15" t="s">
        <v>626</v>
      </c>
      <c r="B66" s="17" t="n">
        <v>2634</v>
      </c>
      <c r="C66" s="18">
        <f>(1761.0/B66*100)</f>
        <v/>
      </c>
      <c r="D66" s="19" t="n">
        <v>873</v>
      </c>
      <c r="E66" s="18" t="n">
        <v>32.50921964</v>
      </c>
      <c r="F66" s="20" t="n">
        <v>1.45810358</v>
      </c>
      <c r="G66" s="18" t="n">
        <v>15.03695958</v>
      </c>
      <c r="H66" s="20" t="n">
        <v>1.38893498</v>
      </c>
      <c r="I66" s="18" t="n">
        <v>38.70131375</v>
      </c>
      <c r="J66" s="20" t="n">
        <v>1.48550189</v>
      </c>
      <c r="K66" s="18" t="n">
        <v>0</v>
      </c>
      <c r="L66" s="20" t="n">
        <v>0</v>
      </c>
      <c r="M66" s="18" t="n">
        <v>9.21672938</v>
      </c>
      <c r="N66" s="20" t="n">
        <v>1.04343055</v>
      </c>
      <c r="O66" s="18" t="n">
        <v>0</v>
      </c>
      <c r="P66" s="20" t="n">
        <v>0</v>
      </c>
      <c r="Q66" s="18" t="n">
        <v>0</v>
      </c>
      <c r="R66" s="20" t="n">
        <v>0</v>
      </c>
      <c r="S66" s="18" t="n">
        <v>4.53577765</v>
      </c>
      <c r="T66" s="20" t="n">
        <v>0.76409596</v>
      </c>
    </row>
    <row r="67" spans="1:20">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row>
    <row r="68" spans="1:20">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row>
    <row r="69" spans="1:20">
      <c r="A69" s="15" t="s">
        <v>629</v>
      </c>
      <c r="B69" s="17" t="n">
        <v>720</v>
      </c>
      <c r="C69" s="18">
        <f>(483.0/B69*100)</f>
        <v/>
      </c>
      <c r="D69" s="19" t="n">
        <v>237</v>
      </c>
      <c r="E69" s="18" t="n">
        <v>47.57550758</v>
      </c>
      <c r="F69" s="20" t="n">
        <v>4.01933445</v>
      </c>
      <c r="G69" s="18" t="n">
        <v>8.37099145</v>
      </c>
      <c r="H69" s="20" t="n">
        <v>2.0227985</v>
      </c>
      <c r="I69" s="18" t="n">
        <v>42.08541425</v>
      </c>
      <c r="J69" s="20" t="n">
        <v>3.5266898</v>
      </c>
      <c r="K69" s="18" t="n">
        <v>0</v>
      </c>
      <c r="L69" s="20" t="n">
        <v>0</v>
      </c>
      <c r="M69" s="18" t="n">
        <v>0.43370587</v>
      </c>
      <c r="N69" s="20" t="n">
        <v>0.55344748</v>
      </c>
      <c r="O69" s="18" t="n">
        <v>0</v>
      </c>
      <c r="P69" s="20" t="n">
        <v>0</v>
      </c>
      <c r="Q69" s="18" t="n">
        <v>0</v>
      </c>
      <c r="R69" s="20" t="n">
        <v>0</v>
      </c>
      <c r="S69" s="18" t="n">
        <v>1.53438085</v>
      </c>
      <c r="T69" s="20" t="n">
        <v>1.0870572</v>
      </c>
    </row>
    <row r="70" spans="1:20">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row>
    <row r="71" spans="1:20">
      <c r="A71" s="15" t="s">
        <v>631</v>
      </c>
      <c r="B71" s="17" t="n">
        <v>2466</v>
      </c>
      <c r="C71" s="18">
        <f>(1653.0/B71*100)</f>
        <v/>
      </c>
      <c r="D71" s="19" t="n">
        <v>813</v>
      </c>
      <c r="E71" s="18" t="n">
        <v>33.33146516</v>
      </c>
      <c r="F71" s="20" t="n">
        <v>2.22679103</v>
      </c>
      <c r="G71" s="18" t="n">
        <v>28.38852606</v>
      </c>
      <c r="H71" s="20" t="n">
        <v>1.6929173</v>
      </c>
      <c r="I71" s="18" t="n">
        <v>38.04344974</v>
      </c>
      <c r="J71" s="20" t="n">
        <v>1.87593683</v>
      </c>
      <c r="K71" s="18" t="n">
        <v>0</v>
      </c>
      <c r="L71" s="20" t="n">
        <v>0</v>
      </c>
      <c r="M71" s="18" t="n">
        <v>0</v>
      </c>
      <c r="N71" s="20" t="n">
        <v>0</v>
      </c>
      <c r="O71" s="18" t="n">
        <v>0</v>
      </c>
      <c r="P71" s="20" t="n">
        <v>0</v>
      </c>
      <c r="Q71" s="18" t="n">
        <v>0</v>
      </c>
      <c r="R71" s="20" t="n">
        <v>0</v>
      </c>
      <c r="S71" s="18" t="n">
        <v>0.23655904</v>
      </c>
      <c r="T71" s="20" t="n">
        <v>0.16745803</v>
      </c>
    </row>
    <row r="72" spans="1:20">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row>
    <row r="73" spans="1:20">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row>
    <row r="74" spans="1:20">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row>
    <row r="75" spans="1:20">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row>
    <row r="76" spans="1:20">
      <c r="A76" s="15" t="s">
        <v>636</v>
      </c>
      <c r="B76" s="17" t="n">
        <v>2453</v>
      </c>
      <c r="C76" s="18">
        <f>(1648.0/B76*100)</f>
        <v/>
      </c>
      <c r="D76" s="19" t="n">
        <v>805</v>
      </c>
      <c r="E76" s="18" t="n">
        <v>32.65238944</v>
      </c>
      <c r="F76" s="20" t="n">
        <v>1.82371293</v>
      </c>
      <c r="G76" s="18" t="n">
        <v>24.70110268</v>
      </c>
      <c r="H76" s="20" t="n">
        <v>1.60928411</v>
      </c>
      <c r="I76" s="18" t="n">
        <v>29.85491222</v>
      </c>
      <c r="J76" s="20" t="n">
        <v>1.71710466</v>
      </c>
      <c r="K76" s="18" t="n">
        <v>0</v>
      </c>
      <c r="L76" s="20" t="n">
        <v>0</v>
      </c>
      <c r="M76" s="18" t="n">
        <v>8.801435590000001</v>
      </c>
      <c r="N76" s="20" t="n">
        <v>1.10327561</v>
      </c>
      <c r="O76" s="18" t="n">
        <v>0</v>
      </c>
      <c r="P76" s="20" t="n">
        <v>0</v>
      </c>
      <c r="Q76" s="18" t="n">
        <v>0</v>
      </c>
      <c r="R76" s="20" t="n">
        <v>0</v>
      </c>
      <c r="S76" s="18" t="n">
        <v>3.99016007</v>
      </c>
      <c r="T76" s="20" t="n">
        <v>0.67843118</v>
      </c>
    </row>
    <row r="77" spans="1:20">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row>
    <row r="78" spans="1:20">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row>
    <row r="79" spans="1:20">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row>
    <row r="80" spans="1:20">
      <c r="A80" s="15" t="s">
        <v>640</v>
      </c>
      <c r="B80" s="17" t="n">
        <v>3040</v>
      </c>
      <c r="C80" s="18">
        <f>(2028.0/B80*100)</f>
        <v/>
      </c>
      <c r="D80" s="19" t="n">
        <v>1012</v>
      </c>
      <c r="E80" s="18" t="n">
        <v>19.34333395</v>
      </c>
      <c r="F80" s="20" t="n">
        <v>1.78019714</v>
      </c>
      <c r="G80" s="18" t="n">
        <v>22.57335976</v>
      </c>
      <c r="H80" s="20" t="n">
        <v>1.5742219</v>
      </c>
      <c r="I80" s="18" t="n">
        <v>57.42685022</v>
      </c>
      <c r="J80" s="20" t="n">
        <v>2.20845786</v>
      </c>
      <c r="K80" s="18" t="n">
        <v>0</v>
      </c>
      <c r="L80" s="20" t="n">
        <v>0</v>
      </c>
      <c r="M80" s="18" t="n">
        <v>0</v>
      </c>
      <c r="N80" s="20" t="n">
        <v>0</v>
      </c>
      <c r="O80" s="18" t="n">
        <v>0</v>
      </c>
      <c r="P80" s="20" t="n">
        <v>0</v>
      </c>
      <c r="Q80" s="18" t="n">
        <v>0</v>
      </c>
      <c r="R80" s="20" t="n">
        <v>0</v>
      </c>
      <c r="S80" s="18" t="n">
        <v>0.6564560699999999</v>
      </c>
      <c r="T80" s="20" t="n">
        <v>0.25196317</v>
      </c>
    </row>
    <row r="81" spans="1:20">
      <c r="A81" s="15" t="s">
        <v>641</v>
      </c>
      <c r="B81" s="17" t="n">
        <v>870</v>
      </c>
      <c r="C81" s="18">
        <f>(580.0/B81*100)</f>
        <v/>
      </c>
      <c r="D81" s="19" t="n">
        <v>290</v>
      </c>
      <c r="E81" s="18" t="n">
        <v>25.91027577</v>
      </c>
      <c r="F81" s="20" t="n">
        <v>3.22681016</v>
      </c>
      <c r="G81" s="18" t="n">
        <v>18.83376869</v>
      </c>
      <c r="H81" s="20" t="n">
        <v>2.56802942</v>
      </c>
      <c r="I81" s="18" t="n">
        <v>42.48908701</v>
      </c>
      <c r="J81" s="20" t="n">
        <v>3.68441151</v>
      </c>
      <c r="K81" s="18" t="n">
        <v>0</v>
      </c>
      <c r="L81" s="20" t="n">
        <v>0</v>
      </c>
      <c r="M81" s="18" t="n">
        <v>6.99685318</v>
      </c>
      <c r="N81" s="20" t="n">
        <v>1.8938214</v>
      </c>
      <c r="O81" s="18" t="n">
        <v>0.29707345</v>
      </c>
      <c r="P81" s="20" t="n">
        <v>0.29443986</v>
      </c>
      <c r="Q81" s="18" t="n">
        <v>0</v>
      </c>
      <c r="R81" s="20" t="n">
        <v>0</v>
      </c>
      <c r="S81" s="18" t="n">
        <v>5.4729419</v>
      </c>
      <c r="T81" s="20" t="n">
        <v>1.92611858</v>
      </c>
    </row>
    <row r="82" spans="1:20">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row>
    <row r="83" spans="1:20">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row>
    <row r="84" spans="1:20">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2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40.78971406</v>
      </c>
      <c r="F44" s="20" t="n">
        <v>2.1672977</v>
      </c>
      <c r="G44" s="18" t="n">
        <v>38.82747356</v>
      </c>
      <c r="H44" s="20" t="n">
        <v>2.02549031</v>
      </c>
      <c r="I44" s="18" t="n">
        <v>0</v>
      </c>
      <c r="J44" s="20" t="n">
        <v>0</v>
      </c>
      <c r="K44" s="18" t="n">
        <v>5.96161009</v>
      </c>
      <c r="L44" s="20" t="n">
        <v>0.92358474</v>
      </c>
      <c r="M44" s="18" t="n">
        <v>0</v>
      </c>
      <c r="N44" s="20" t="n">
        <v>0</v>
      </c>
      <c r="O44" s="18" t="n">
        <v>0</v>
      </c>
      <c r="P44" s="20" t="n">
        <v>0</v>
      </c>
      <c r="Q44" s="18" t="n">
        <v>14.42120228</v>
      </c>
      <c r="R44" s="20" t="n">
        <v>1.26616382</v>
      </c>
    </row>
    <row r="45" spans="1:18">
      <c r="A45" s="15" t="s">
        <v>604</v>
      </c>
      <c r="B45" s="17" t="n">
        <v>2670</v>
      </c>
      <c r="C45" s="18">
        <f>(1765.0/B45*100)</f>
        <v/>
      </c>
      <c r="D45" s="19" t="n">
        <v>905</v>
      </c>
      <c r="E45" s="18" t="n">
        <v>49.12306655</v>
      </c>
      <c r="F45" s="20" t="n">
        <v>2.012366</v>
      </c>
      <c r="G45" s="18" t="n">
        <v>22.77840776</v>
      </c>
      <c r="H45" s="20" t="n">
        <v>1.6383584</v>
      </c>
      <c r="I45" s="18" t="n">
        <v>0</v>
      </c>
      <c r="J45" s="20" t="n">
        <v>0</v>
      </c>
      <c r="K45" s="18" t="n">
        <v>10.6992139</v>
      </c>
      <c r="L45" s="20" t="n">
        <v>1.13236565</v>
      </c>
      <c r="M45" s="18" t="n">
        <v>0.97671084</v>
      </c>
      <c r="N45" s="20" t="n">
        <v>0.38813351</v>
      </c>
      <c r="O45" s="18" t="n">
        <v>0.07216375</v>
      </c>
      <c r="P45" s="20" t="n">
        <v>0.07336207</v>
      </c>
      <c r="Q45" s="18" t="n">
        <v>16.3504372</v>
      </c>
      <c r="R45" s="20" t="n">
        <v>1.26016928</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46.29153219</v>
      </c>
      <c r="F54" s="20" t="n">
        <v>1.93659264</v>
      </c>
      <c r="G54" s="18" t="n">
        <v>27.60168007</v>
      </c>
      <c r="H54" s="20" t="n">
        <v>1.49001654</v>
      </c>
      <c r="I54" s="18" t="n">
        <v>0</v>
      </c>
      <c r="J54" s="20" t="n">
        <v>0</v>
      </c>
      <c r="K54" s="18" t="n">
        <v>6.75605063</v>
      </c>
      <c r="L54" s="20" t="n">
        <v>0.79799008</v>
      </c>
      <c r="M54" s="18" t="n">
        <v>0</v>
      </c>
      <c r="N54" s="20" t="n">
        <v>0</v>
      </c>
      <c r="O54" s="18" t="n">
        <v>0</v>
      </c>
      <c r="P54" s="20" t="n">
        <v>0</v>
      </c>
      <c r="Q54" s="18" t="n">
        <v>19.3507371</v>
      </c>
      <c r="R54" s="20" t="n">
        <v>1.30467158</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52.07896098</v>
      </c>
      <c r="F56" s="20" t="n">
        <v>1.5059535</v>
      </c>
      <c r="G56" s="18" t="n">
        <v>39.35706758</v>
      </c>
      <c r="H56" s="20" t="n">
        <v>1.54598861</v>
      </c>
      <c r="I56" s="18" t="n">
        <v>0</v>
      </c>
      <c r="J56" s="20" t="n">
        <v>0</v>
      </c>
      <c r="K56" s="18" t="n">
        <v>2.89420316</v>
      </c>
      <c r="L56" s="20" t="n">
        <v>0.64125862</v>
      </c>
      <c r="M56" s="18" t="n">
        <v>0.18145633</v>
      </c>
      <c r="N56" s="20" t="n">
        <v>0.13725063</v>
      </c>
      <c r="O56" s="18" t="n">
        <v>0</v>
      </c>
      <c r="P56" s="20" t="n">
        <v>0</v>
      </c>
      <c r="Q56" s="18" t="n">
        <v>5.48831194</v>
      </c>
      <c r="R56" s="20" t="n">
        <v>0.90968567</v>
      </c>
    </row>
    <row r="57" spans="1:18">
      <c r="A57" s="15" t="s">
        <v>616</v>
      </c>
      <c r="B57" s="17" t="n">
        <v>3737</v>
      </c>
      <c r="C57" s="18">
        <f>(2486.0/B57*100)</f>
        <v/>
      </c>
      <c r="D57" s="19" t="n">
        <v>1251</v>
      </c>
      <c r="E57" s="18" t="n">
        <v>39.49401694</v>
      </c>
      <c r="F57" s="20" t="n">
        <v>1.78829465</v>
      </c>
      <c r="G57" s="18" t="n">
        <v>49.66860735</v>
      </c>
      <c r="H57" s="20" t="n">
        <v>2.01180877</v>
      </c>
      <c r="I57" s="18" t="n">
        <v>0</v>
      </c>
      <c r="J57" s="20" t="n">
        <v>0</v>
      </c>
      <c r="K57" s="18" t="n">
        <v>5.14257241</v>
      </c>
      <c r="L57" s="20" t="n">
        <v>0.74289256</v>
      </c>
      <c r="M57" s="18" t="n">
        <v>0</v>
      </c>
      <c r="N57" s="20" t="n">
        <v>0</v>
      </c>
      <c r="O57" s="18" t="n">
        <v>0</v>
      </c>
      <c r="P57" s="20" t="n">
        <v>0</v>
      </c>
      <c r="Q57" s="18" t="n">
        <v>5.6948033</v>
      </c>
      <c r="R57" s="20" t="n">
        <v>0.8119813299999999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62.6827002</v>
      </c>
      <c r="F59" s="20" t="n">
        <v>2.09175453</v>
      </c>
      <c r="G59" s="18" t="n">
        <v>20.39177911</v>
      </c>
      <c r="H59" s="20" t="n">
        <v>1.93744936</v>
      </c>
      <c r="I59" s="18" t="n">
        <v>0</v>
      </c>
      <c r="J59" s="20" t="n">
        <v>0</v>
      </c>
      <c r="K59" s="18" t="n">
        <v>3.19527269</v>
      </c>
      <c r="L59" s="20" t="n">
        <v>0.73549628</v>
      </c>
      <c r="M59" s="18" t="n">
        <v>0</v>
      </c>
      <c r="N59" s="20" t="n">
        <v>0</v>
      </c>
      <c r="O59" s="18" t="n">
        <v>0</v>
      </c>
      <c r="P59" s="20" t="n">
        <v>0</v>
      </c>
      <c r="Q59" s="18" t="n">
        <v>13.730248</v>
      </c>
      <c r="R59" s="20" t="n">
        <v>1.37283817</v>
      </c>
    </row>
    <row r="60" spans="1:18">
      <c r="A60" s="15" t="s">
        <v>620</v>
      </c>
      <c r="B60" s="17" t="n">
        <v>2451</v>
      </c>
      <c r="C60" s="18">
        <f>(1622.0/B60*100)</f>
        <v/>
      </c>
      <c r="D60" s="19" t="n">
        <v>829</v>
      </c>
      <c r="E60" s="18" t="n">
        <v>43.76604316</v>
      </c>
      <c r="F60" s="20" t="n">
        <v>1.91539095</v>
      </c>
      <c r="G60" s="18" t="n">
        <v>23.7358417</v>
      </c>
      <c r="H60" s="20" t="n">
        <v>1.72791559</v>
      </c>
      <c r="I60" s="18" t="n">
        <v>0</v>
      </c>
      <c r="J60" s="20" t="n">
        <v>0</v>
      </c>
      <c r="K60" s="18" t="n">
        <v>13.16374151</v>
      </c>
      <c r="L60" s="20" t="n">
        <v>1.53913499</v>
      </c>
      <c r="M60" s="18" t="n">
        <v>0</v>
      </c>
      <c r="N60" s="20" t="n">
        <v>0</v>
      </c>
      <c r="O60" s="18" t="n">
        <v>0</v>
      </c>
      <c r="P60" s="20" t="n">
        <v>0</v>
      </c>
      <c r="Q60" s="18" t="n">
        <v>19.33437362</v>
      </c>
      <c r="R60" s="20" t="n">
        <v>1.94349967</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32.66137912</v>
      </c>
      <c r="F63" s="20" t="n">
        <v>1.74446562</v>
      </c>
      <c r="G63" s="18" t="n">
        <v>25.26423862</v>
      </c>
      <c r="H63" s="20" t="n">
        <v>1.69481278</v>
      </c>
      <c r="I63" s="18" t="n">
        <v>0</v>
      </c>
      <c r="J63" s="20" t="n">
        <v>0</v>
      </c>
      <c r="K63" s="18" t="n">
        <v>12.16052672</v>
      </c>
      <c r="L63" s="20" t="n">
        <v>1.38861274</v>
      </c>
      <c r="M63" s="18" t="n">
        <v>0</v>
      </c>
      <c r="N63" s="20" t="n">
        <v>0</v>
      </c>
      <c r="O63" s="18" t="n">
        <v>0</v>
      </c>
      <c r="P63" s="20" t="n">
        <v>0</v>
      </c>
      <c r="Q63" s="18" t="n">
        <v>29.91385555</v>
      </c>
      <c r="R63" s="20" t="n">
        <v>1.49742456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60.9248423</v>
      </c>
      <c r="F65" s="20" t="n">
        <v>2.04417026</v>
      </c>
      <c r="G65" s="18" t="n">
        <v>26.21727304</v>
      </c>
      <c r="H65" s="20" t="n">
        <v>1.83682236</v>
      </c>
      <c r="I65" s="18" t="n">
        <v>0</v>
      </c>
      <c r="J65" s="20" t="n">
        <v>0</v>
      </c>
      <c r="K65" s="18" t="n">
        <v>5.3476662</v>
      </c>
      <c r="L65" s="20" t="n">
        <v>1.03644423</v>
      </c>
      <c r="M65" s="18" t="n">
        <v>0</v>
      </c>
      <c r="N65" s="20" t="n">
        <v>0</v>
      </c>
      <c r="O65" s="18" t="n">
        <v>0.22468048</v>
      </c>
      <c r="P65" s="20" t="n">
        <v>0.22249209</v>
      </c>
      <c r="Q65" s="18" t="n">
        <v>7.28553798</v>
      </c>
      <c r="R65" s="20" t="n">
        <v>1.08116214</v>
      </c>
    </row>
    <row r="66" spans="1:18">
      <c r="A66" s="15" t="s">
        <v>626</v>
      </c>
      <c r="B66" s="17" t="n">
        <v>2634</v>
      </c>
      <c r="C66" s="18">
        <f>(1761.0/B66*100)</f>
        <v/>
      </c>
      <c r="D66" s="19" t="n">
        <v>873</v>
      </c>
      <c r="E66" s="18" t="n">
        <v>38.66522258</v>
      </c>
      <c r="F66" s="20" t="n">
        <v>1.53070132</v>
      </c>
      <c r="G66" s="18" t="n">
        <v>32.73196305</v>
      </c>
      <c r="H66" s="20" t="n">
        <v>1.81983055</v>
      </c>
      <c r="I66" s="18" t="n">
        <v>0</v>
      </c>
      <c r="J66" s="20" t="n">
        <v>0</v>
      </c>
      <c r="K66" s="18" t="n">
        <v>11.59695444</v>
      </c>
      <c r="L66" s="20" t="n">
        <v>1.10287211</v>
      </c>
      <c r="M66" s="18" t="n">
        <v>0</v>
      </c>
      <c r="N66" s="20" t="n">
        <v>0</v>
      </c>
      <c r="O66" s="18" t="n">
        <v>0</v>
      </c>
      <c r="P66" s="20" t="n">
        <v>0</v>
      </c>
      <c r="Q66" s="18" t="n">
        <v>17.00585993</v>
      </c>
      <c r="R66" s="20" t="n">
        <v>1.47132081</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74.72628278000001</v>
      </c>
      <c r="F69" s="20" t="n">
        <v>3.0630267</v>
      </c>
      <c r="G69" s="18" t="n">
        <v>15.87239711</v>
      </c>
      <c r="H69" s="20" t="n">
        <v>2.58864374</v>
      </c>
      <c r="I69" s="18" t="n">
        <v>0</v>
      </c>
      <c r="J69" s="20" t="n">
        <v>0</v>
      </c>
      <c r="K69" s="18" t="n">
        <v>1.06825491</v>
      </c>
      <c r="L69" s="20" t="n">
        <v>0.70727547</v>
      </c>
      <c r="M69" s="18" t="n">
        <v>0</v>
      </c>
      <c r="N69" s="20" t="n">
        <v>0</v>
      </c>
      <c r="O69" s="18" t="n">
        <v>0</v>
      </c>
      <c r="P69" s="20" t="n">
        <v>0</v>
      </c>
      <c r="Q69" s="18" t="n">
        <v>8.3330652</v>
      </c>
      <c r="R69" s="20" t="n">
        <v>2.21695157</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54.09094447</v>
      </c>
      <c r="F71" s="20" t="n">
        <v>1.89302269</v>
      </c>
      <c r="G71" s="18" t="n">
        <v>45.90905553</v>
      </c>
      <c r="H71" s="20" t="n">
        <v>1.89302269</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46.33101587</v>
      </c>
      <c r="F76" s="20" t="n">
        <v>1.8598909</v>
      </c>
      <c r="G76" s="18" t="n">
        <v>32.72657575</v>
      </c>
      <c r="H76" s="20" t="n">
        <v>1.72303506</v>
      </c>
      <c r="I76" s="18" t="n">
        <v>0</v>
      </c>
      <c r="J76" s="20" t="n">
        <v>0</v>
      </c>
      <c r="K76" s="18" t="n">
        <v>10.58661368</v>
      </c>
      <c r="L76" s="20" t="n">
        <v>1.14790228</v>
      </c>
      <c r="M76" s="18" t="n">
        <v>0</v>
      </c>
      <c r="N76" s="20" t="n">
        <v>0</v>
      </c>
      <c r="O76" s="18" t="n">
        <v>0</v>
      </c>
      <c r="P76" s="20" t="n">
        <v>0</v>
      </c>
      <c r="Q76" s="18" t="n">
        <v>10.3557947</v>
      </c>
      <c r="R76" s="20" t="n">
        <v>1.03434895</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37.29860481</v>
      </c>
      <c r="F80" s="20" t="n">
        <v>1.63662236</v>
      </c>
      <c r="G80" s="18" t="n">
        <v>60.46744171</v>
      </c>
      <c r="H80" s="20" t="n">
        <v>1.64866524</v>
      </c>
      <c r="I80" s="18" t="n">
        <v>0</v>
      </c>
      <c r="J80" s="20" t="n">
        <v>0</v>
      </c>
      <c r="K80" s="18" t="n">
        <v>0</v>
      </c>
      <c r="L80" s="20" t="n">
        <v>0</v>
      </c>
      <c r="M80" s="18" t="n">
        <v>0</v>
      </c>
      <c r="N80" s="20" t="n">
        <v>0</v>
      </c>
      <c r="O80" s="18" t="n">
        <v>0</v>
      </c>
      <c r="P80" s="20" t="n">
        <v>0</v>
      </c>
      <c r="Q80" s="18" t="n">
        <v>2.23395348</v>
      </c>
      <c r="R80" s="20" t="n">
        <v>0.4783869</v>
      </c>
    </row>
    <row r="81" spans="1:18">
      <c r="A81" s="15" t="s">
        <v>641</v>
      </c>
      <c r="B81" s="17" t="n">
        <v>870</v>
      </c>
      <c r="C81" s="18">
        <f>(580.0/B81*100)</f>
        <v/>
      </c>
      <c r="D81" s="19" t="n">
        <v>290</v>
      </c>
      <c r="E81" s="18" t="n">
        <v>42.82127196</v>
      </c>
      <c r="F81" s="20" t="n">
        <v>3.48336202</v>
      </c>
      <c r="G81" s="18" t="n">
        <v>36.5619199</v>
      </c>
      <c r="H81" s="20" t="n">
        <v>2.69290723</v>
      </c>
      <c r="I81" s="18" t="n">
        <v>0</v>
      </c>
      <c r="J81" s="20" t="n">
        <v>0</v>
      </c>
      <c r="K81" s="18" t="n">
        <v>8.90174624</v>
      </c>
      <c r="L81" s="20" t="n">
        <v>1.85406867</v>
      </c>
      <c r="M81" s="18" t="n">
        <v>0.29707345</v>
      </c>
      <c r="N81" s="20" t="n">
        <v>0.29443986</v>
      </c>
      <c r="O81" s="18" t="n">
        <v>0</v>
      </c>
      <c r="P81" s="20" t="n">
        <v>0</v>
      </c>
      <c r="Q81" s="18" t="n">
        <v>11.41798845</v>
      </c>
      <c r="R81" s="20" t="n">
        <v>2.71703338</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49.91088938</v>
      </c>
      <c r="F44" s="20" t="n">
        <v>2.21678856</v>
      </c>
      <c r="G44" s="18" t="n">
        <v>40.36626775</v>
      </c>
      <c r="H44" s="20" t="n">
        <v>2.13857903</v>
      </c>
      <c r="I44" s="18" t="n">
        <v>0</v>
      </c>
      <c r="J44" s="20" t="n">
        <v>0</v>
      </c>
      <c r="K44" s="18" t="n">
        <v>7.63489843</v>
      </c>
      <c r="L44" s="20" t="n">
        <v>1.08813218</v>
      </c>
      <c r="M44" s="18" t="n">
        <v>0</v>
      </c>
      <c r="N44" s="20" t="n">
        <v>0</v>
      </c>
      <c r="O44" s="18" t="n">
        <v>0.18061139</v>
      </c>
      <c r="P44" s="20" t="n">
        <v>0.13336836</v>
      </c>
      <c r="Q44" s="18" t="n">
        <v>1.90733305</v>
      </c>
      <c r="R44" s="20" t="n">
        <v>0.41036019</v>
      </c>
    </row>
    <row r="45" spans="1:18">
      <c r="A45" s="15" t="s">
        <v>604</v>
      </c>
      <c r="B45" s="17" t="n">
        <v>2670</v>
      </c>
      <c r="C45" s="18">
        <f>(1765.0/B45*100)</f>
        <v/>
      </c>
      <c r="D45" s="19" t="n">
        <v>905</v>
      </c>
      <c r="E45" s="18" t="n">
        <v>46.1224376</v>
      </c>
      <c r="F45" s="20" t="n">
        <v>1.44642933</v>
      </c>
      <c r="G45" s="18" t="n">
        <v>35.44149542</v>
      </c>
      <c r="H45" s="20" t="n">
        <v>1.46237188</v>
      </c>
      <c r="I45" s="18" t="n">
        <v>0</v>
      </c>
      <c r="J45" s="20" t="n">
        <v>0</v>
      </c>
      <c r="K45" s="18" t="n">
        <v>12.57327941</v>
      </c>
      <c r="L45" s="20" t="n">
        <v>1.19684588</v>
      </c>
      <c r="M45" s="18" t="n">
        <v>1.48782772</v>
      </c>
      <c r="N45" s="20" t="n">
        <v>0.40814013</v>
      </c>
      <c r="O45" s="18" t="n">
        <v>2.16763533</v>
      </c>
      <c r="P45" s="20" t="n">
        <v>0.49387214</v>
      </c>
      <c r="Q45" s="18" t="n">
        <v>2.20732452</v>
      </c>
      <c r="R45" s="20" t="n">
        <v>0.60192494</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42.34981385</v>
      </c>
      <c r="F54" s="20" t="n">
        <v>1.71024763</v>
      </c>
      <c r="G54" s="18" t="n">
        <v>47.75296708</v>
      </c>
      <c r="H54" s="20" t="n">
        <v>1.80967288</v>
      </c>
      <c r="I54" s="18" t="n">
        <v>0</v>
      </c>
      <c r="J54" s="20" t="n">
        <v>0</v>
      </c>
      <c r="K54" s="18" t="n">
        <v>7.55592684</v>
      </c>
      <c r="L54" s="20" t="n">
        <v>0.86759658</v>
      </c>
      <c r="M54" s="18" t="n">
        <v>0</v>
      </c>
      <c r="N54" s="20" t="n">
        <v>0</v>
      </c>
      <c r="O54" s="18" t="n">
        <v>0.95930676</v>
      </c>
      <c r="P54" s="20" t="n">
        <v>0.43750608</v>
      </c>
      <c r="Q54" s="18" t="n">
        <v>1.38198547</v>
      </c>
      <c r="R54" s="20" t="n">
        <v>0.41443496</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59.04813733</v>
      </c>
      <c r="F56" s="20" t="n">
        <v>1.86863304</v>
      </c>
      <c r="G56" s="18" t="n">
        <v>36.61813999</v>
      </c>
      <c r="H56" s="20" t="n">
        <v>1.92772808</v>
      </c>
      <c r="I56" s="18" t="n">
        <v>0</v>
      </c>
      <c r="J56" s="20" t="n">
        <v>0</v>
      </c>
      <c r="K56" s="18" t="n">
        <v>2.99584195</v>
      </c>
      <c r="L56" s="20" t="n">
        <v>0.65717661</v>
      </c>
      <c r="M56" s="18" t="n">
        <v>0.18145633</v>
      </c>
      <c r="N56" s="20" t="n">
        <v>0.13725063</v>
      </c>
      <c r="O56" s="18" t="n">
        <v>0</v>
      </c>
      <c r="P56" s="20" t="n">
        <v>0</v>
      </c>
      <c r="Q56" s="18" t="n">
        <v>1.15642439</v>
      </c>
      <c r="R56" s="20" t="n">
        <v>0.34723714</v>
      </c>
    </row>
    <row r="57" spans="1:18">
      <c r="A57" s="15" t="s">
        <v>616</v>
      </c>
      <c r="B57" s="17" t="n">
        <v>3737</v>
      </c>
      <c r="C57" s="18">
        <f>(2486.0/B57*100)</f>
        <v/>
      </c>
      <c r="D57" s="19" t="n">
        <v>1251</v>
      </c>
      <c r="E57" s="18" t="n">
        <v>44.06208278</v>
      </c>
      <c r="F57" s="20" t="n">
        <v>2.01984764</v>
      </c>
      <c r="G57" s="18" t="n">
        <v>49.15398587</v>
      </c>
      <c r="H57" s="20" t="n">
        <v>2.02639476</v>
      </c>
      <c r="I57" s="18" t="n">
        <v>0</v>
      </c>
      <c r="J57" s="20" t="n">
        <v>0</v>
      </c>
      <c r="K57" s="18" t="n">
        <v>5.82441474</v>
      </c>
      <c r="L57" s="20" t="n">
        <v>0.822025</v>
      </c>
      <c r="M57" s="18" t="n">
        <v>0</v>
      </c>
      <c r="N57" s="20" t="n">
        <v>0</v>
      </c>
      <c r="O57" s="18" t="n">
        <v>0.13165309</v>
      </c>
      <c r="P57" s="20" t="n">
        <v>0.10408617</v>
      </c>
      <c r="Q57" s="18" t="n">
        <v>0.82786352</v>
      </c>
      <c r="R57" s="20" t="n">
        <v>0.2584552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58.85039714</v>
      </c>
      <c r="F59" s="20" t="n">
        <v>2.35569533</v>
      </c>
      <c r="G59" s="18" t="n">
        <v>35.10783489</v>
      </c>
      <c r="H59" s="20" t="n">
        <v>2.17057587</v>
      </c>
      <c r="I59" s="18" t="n">
        <v>0</v>
      </c>
      <c r="J59" s="20" t="n">
        <v>0</v>
      </c>
      <c r="K59" s="18" t="n">
        <v>3.85451636</v>
      </c>
      <c r="L59" s="20" t="n">
        <v>0.67521246</v>
      </c>
      <c r="M59" s="18" t="n">
        <v>0.24757677</v>
      </c>
      <c r="N59" s="20" t="n">
        <v>0.15953549</v>
      </c>
      <c r="O59" s="18" t="n">
        <v>1.18542267</v>
      </c>
      <c r="P59" s="20" t="n">
        <v>0.42784426</v>
      </c>
      <c r="Q59" s="18" t="n">
        <v>0.75425217</v>
      </c>
      <c r="R59" s="20" t="n">
        <v>0.25628902</v>
      </c>
    </row>
    <row r="60" spans="1:18">
      <c r="A60" s="15" t="s">
        <v>620</v>
      </c>
      <c r="B60" s="17" t="n">
        <v>2451</v>
      </c>
      <c r="C60" s="18">
        <f>(1622.0/B60*100)</f>
        <v/>
      </c>
      <c r="D60" s="19" t="n">
        <v>829</v>
      </c>
      <c r="E60" s="18" t="n">
        <v>39.53196917</v>
      </c>
      <c r="F60" s="20" t="n">
        <v>2.07224023</v>
      </c>
      <c r="G60" s="18" t="n">
        <v>39.10465306</v>
      </c>
      <c r="H60" s="20" t="n">
        <v>2.00584118</v>
      </c>
      <c r="I60" s="18" t="n">
        <v>0</v>
      </c>
      <c r="J60" s="20" t="n">
        <v>0</v>
      </c>
      <c r="K60" s="18" t="n">
        <v>15.84369941</v>
      </c>
      <c r="L60" s="20" t="n">
        <v>1.68309118</v>
      </c>
      <c r="M60" s="18" t="n">
        <v>0</v>
      </c>
      <c r="N60" s="20" t="n">
        <v>0</v>
      </c>
      <c r="O60" s="18" t="n">
        <v>1.88657164</v>
      </c>
      <c r="P60" s="20" t="n">
        <v>0.54437559</v>
      </c>
      <c r="Q60" s="18" t="n">
        <v>3.63310671</v>
      </c>
      <c r="R60" s="20" t="n">
        <v>0.71889461</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41.94186809</v>
      </c>
      <c r="F63" s="20" t="n">
        <v>1.97029699</v>
      </c>
      <c r="G63" s="18" t="n">
        <v>41.72486337</v>
      </c>
      <c r="H63" s="20" t="n">
        <v>2.01544688</v>
      </c>
      <c r="I63" s="18" t="n">
        <v>0</v>
      </c>
      <c r="J63" s="20" t="n">
        <v>0</v>
      </c>
      <c r="K63" s="18" t="n">
        <v>13.34642433</v>
      </c>
      <c r="L63" s="20" t="n">
        <v>1.47768895</v>
      </c>
      <c r="M63" s="18" t="n">
        <v>0</v>
      </c>
      <c r="N63" s="20" t="n">
        <v>0</v>
      </c>
      <c r="O63" s="18" t="n">
        <v>0.43086162</v>
      </c>
      <c r="P63" s="20" t="n">
        <v>0.22096821</v>
      </c>
      <c r="Q63" s="18" t="n">
        <v>2.55598259</v>
      </c>
      <c r="R63" s="20" t="n">
        <v>0.5344994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33.208918</v>
      </c>
      <c r="F65" s="20" t="n">
        <v>1.67114686</v>
      </c>
      <c r="G65" s="18" t="n">
        <v>59.7383564</v>
      </c>
      <c r="H65" s="20" t="n">
        <v>1.70572529</v>
      </c>
      <c r="I65" s="18" t="n">
        <v>0</v>
      </c>
      <c r="J65" s="20" t="n">
        <v>0</v>
      </c>
      <c r="K65" s="18" t="n">
        <v>5.50379563</v>
      </c>
      <c r="L65" s="20" t="n">
        <v>1.04834708</v>
      </c>
      <c r="M65" s="18" t="n">
        <v>0</v>
      </c>
      <c r="N65" s="20" t="n">
        <v>0</v>
      </c>
      <c r="O65" s="18" t="n">
        <v>0.22468048</v>
      </c>
      <c r="P65" s="20" t="n">
        <v>0.22249209</v>
      </c>
      <c r="Q65" s="18" t="n">
        <v>1.32424949</v>
      </c>
      <c r="R65" s="20" t="n">
        <v>0.51224582</v>
      </c>
    </row>
    <row r="66" spans="1:18">
      <c r="A66" s="15" t="s">
        <v>626</v>
      </c>
      <c r="B66" s="17" t="n">
        <v>2634</v>
      </c>
      <c r="C66" s="18">
        <f>(1761.0/B66*100)</f>
        <v/>
      </c>
      <c r="D66" s="19" t="n">
        <v>873</v>
      </c>
      <c r="E66" s="18" t="n">
        <v>28.14043302</v>
      </c>
      <c r="F66" s="20" t="n">
        <v>1.68542924</v>
      </c>
      <c r="G66" s="18" t="n">
        <v>55.47204649</v>
      </c>
      <c r="H66" s="20" t="n">
        <v>1.9581788</v>
      </c>
      <c r="I66" s="18" t="n">
        <v>0</v>
      </c>
      <c r="J66" s="20" t="n">
        <v>0</v>
      </c>
      <c r="K66" s="18" t="n">
        <v>13.25876458</v>
      </c>
      <c r="L66" s="20" t="n">
        <v>1.24962568</v>
      </c>
      <c r="M66" s="18" t="n">
        <v>0.75021894</v>
      </c>
      <c r="N66" s="20" t="n">
        <v>0.27383646</v>
      </c>
      <c r="O66" s="18" t="n">
        <v>0.11000738</v>
      </c>
      <c r="P66" s="20" t="n">
        <v>0.10943031</v>
      </c>
      <c r="Q66" s="18" t="n">
        <v>2.2685296</v>
      </c>
      <c r="R66" s="20" t="n">
        <v>0.55793466</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45.29394374</v>
      </c>
      <c r="F69" s="20" t="n">
        <v>3.16449558</v>
      </c>
      <c r="G69" s="18" t="n">
        <v>52.31313088</v>
      </c>
      <c r="H69" s="20" t="n">
        <v>3.41439729</v>
      </c>
      <c r="I69" s="18" t="n">
        <v>0</v>
      </c>
      <c r="J69" s="20" t="n">
        <v>0</v>
      </c>
      <c r="K69" s="18" t="n">
        <v>1.63572191</v>
      </c>
      <c r="L69" s="20" t="n">
        <v>0.92589438</v>
      </c>
      <c r="M69" s="18" t="n">
        <v>0</v>
      </c>
      <c r="N69" s="20" t="n">
        <v>0</v>
      </c>
      <c r="O69" s="18" t="n">
        <v>0</v>
      </c>
      <c r="P69" s="20" t="n">
        <v>0</v>
      </c>
      <c r="Q69" s="18" t="n">
        <v>0.75720347</v>
      </c>
      <c r="R69" s="20" t="n">
        <v>0.5534393399999999</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44.73655076</v>
      </c>
      <c r="F71" s="20" t="n">
        <v>2.00435501</v>
      </c>
      <c r="G71" s="18" t="n">
        <v>54.68254802</v>
      </c>
      <c r="H71" s="20" t="n">
        <v>2.0112955</v>
      </c>
      <c r="I71" s="18" t="n">
        <v>0</v>
      </c>
      <c r="J71" s="20" t="n">
        <v>0</v>
      </c>
      <c r="K71" s="18" t="n">
        <v>0</v>
      </c>
      <c r="L71" s="20" t="n">
        <v>0</v>
      </c>
      <c r="M71" s="18" t="n">
        <v>0</v>
      </c>
      <c r="N71" s="20" t="n">
        <v>0</v>
      </c>
      <c r="O71" s="18" t="n">
        <v>0</v>
      </c>
      <c r="P71" s="20" t="n">
        <v>0</v>
      </c>
      <c r="Q71" s="18" t="n">
        <v>0.58090122</v>
      </c>
      <c r="R71" s="20" t="n">
        <v>0.20383011</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30.67693925</v>
      </c>
      <c r="F76" s="20" t="n">
        <v>1.74647393</v>
      </c>
      <c r="G76" s="18" t="n">
        <v>56.52406027</v>
      </c>
      <c r="H76" s="20" t="n">
        <v>1.86096827</v>
      </c>
      <c r="I76" s="18" t="n">
        <v>0</v>
      </c>
      <c r="J76" s="20" t="n">
        <v>0</v>
      </c>
      <c r="K76" s="18" t="n">
        <v>12.30048192</v>
      </c>
      <c r="L76" s="20" t="n">
        <v>1.15662574</v>
      </c>
      <c r="M76" s="18" t="n">
        <v>0</v>
      </c>
      <c r="N76" s="20" t="n">
        <v>0</v>
      </c>
      <c r="O76" s="18" t="n">
        <v>0</v>
      </c>
      <c r="P76" s="20" t="n">
        <v>0</v>
      </c>
      <c r="Q76" s="18" t="n">
        <v>0.49851855</v>
      </c>
      <c r="R76" s="20" t="n">
        <v>0.29232781</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35.41357597</v>
      </c>
      <c r="F80" s="20" t="n">
        <v>2.10017531</v>
      </c>
      <c r="G80" s="18" t="n">
        <v>64.368298</v>
      </c>
      <c r="H80" s="20" t="n">
        <v>2.08142085</v>
      </c>
      <c r="I80" s="18" t="n">
        <v>0</v>
      </c>
      <c r="J80" s="20" t="n">
        <v>0</v>
      </c>
      <c r="K80" s="18" t="n">
        <v>0</v>
      </c>
      <c r="L80" s="20" t="n">
        <v>0</v>
      </c>
      <c r="M80" s="18" t="n">
        <v>0</v>
      </c>
      <c r="N80" s="20" t="n">
        <v>0</v>
      </c>
      <c r="O80" s="18" t="n">
        <v>0.21812603</v>
      </c>
      <c r="P80" s="20" t="n">
        <v>0.15537751</v>
      </c>
      <c r="Q80" s="18" t="n">
        <v>0</v>
      </c>
      <c r="R80" s="20" t="n">
        <v>0</v>
      </c>
    </row>
    <row r="81" spans="1:18">
      <c r="A81" s="15" t="s">
        <v>641</v>
      </c>
      <c r="B81" s="17" t="n">
        <v>870</v>
      </c>
      <c r="C81" s="18">
        <f>(580.0/B81*100)</f>
        <v/>
      </c>
      <c r="D81" s="19" t="n">
        <v>290</v>
      </c>
      <c r="E81" s="18" t="n">
        <v>26.47479404</v>
      </c>
      <c r="F81" s="20" t="n">
        <v>1.81077843</v>
      </c>
      <c r="G81" s="18" t="n">
        <v>61.49462005</v>
      </c>
      <c r="H81" s="20" t="n">
        <v>2.37458975</v>
      </c>
      <c r="I81" s="18" t="n">
        <v>0</v>
      </c>
      <c r="J81" s="20" t="n">
        <v>0</v>
      </c>
      <c r="K81" s="18" t="n">
        <v>9.7909708</v>
      </c>
      <c r="L81" s="20" t="n">
        <v>2.02614854</v>
      </c>
      <c r="M81" s="18" t="n">
        <v>0.29707345</v>
      </c>
      <c r="N81" s="20" t="n">
        <v>0.29443986</v>
      </c>
      <c r="O81" s="18" t="n">
        <v>0.56433542</v>
      </c>
      <c r="P81" s="20" t="n">
        <v>0.52813902</v>
      </c>
      <c r="Q81" s="18" t="n">
        <v>1.37820624</v>
      </c>
      <c r="R81" s="20" t="n">
        <v>0.56495773</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56.30781556</v>
      </c>
      <c r="F44" s="20" t="n">
        <v>2.11788089</v>
      </c>
      <c r="G44" s="18" t="n">
        <v>27.36319808</v>
      </c>
      <c r="H44" s="20" t="n">
        <v>1.88081229</v>
      </c>
      <c r="I44" s="18" t="n">
        <v>0</v>
      </c>
      <c r="J44" s="20" t="n">
        <v>0</v>
      </c>
      <c r="K44" s="18" t="n">
        <v>11.18366235</v>
      </c>
      <c r="L44" s="20" t="n">
        <v>1.43514986</v>
      </c>
      <c r="M44" s="18" t="n">
        <v>0</v>
      </c>
      <c r="N44" s="20" t="n">
        <v>0</v>
      </c>
      <c r="O44" s="18" t="n">
        <v>2.3395739</v>
      </c>
      <c r="P44" s="20" t="n">
        <v>0.65429169</v>
      </c>
      <c r="Q44" s="18" t="n">
        <v>2.80575011</v>
      </c>
      <c r="R44" s="20" t="n">
        <v>0.65534351</v>
      </c>
    </row>
    <row r="45" spans="1:18">
      <c r="A45" s="15" t="s">
        <v>604</v>
      </c>
      <c r="B45" s="17" t="n">
        <v>2670</v>
      </c>
      <c r="C45" s="18">
        <f>(1765.0/B45*100)</f>
        <v/>
      </c>
      <c r="D45" s="19" t="n">
        <v>905</v>
      </c>
      <c r="E45" s="18" t="n">
        <v>54.51242155</v>
      </c>
      <c r="F45" s="20" t="n">
        <v>1.8602498</v>
      </c>
      <c r="G45" s="18" t="n">
        <v>26.93571744</v>
      </c>
      <c r="H45" s="20" t="n">
        <v>1.52579059</v>
      </c>
      <c r="I45" s="18" t="n">
        <v>0</v>
      </c>
      <c r="J45" s="20" t="n">
        <v>0</v>
      </c>
      <c r="K45" s="18" t="n">
        <v>14.17392162</v>
      </c>
      <c r="L45" s="20" t="n">
        <v>1.28708001</v>
      </c>
      <c r="M45" s="18" t="n">
        <v>1.51759578</v>
      </c>
      <c r="N45" s="20" t="n">
        <v>0.39542133</v>
      </c>
      <c r="O45" s="18" t="n">
        <v>1.78752607</v>
      </c>
      <c r="P45" s="20" t="n">
        <v>0.43922719</v>
      </c>
      <c r="Q45" s="18" t="n">
        <v>1.07281754</v>
      </c>
      <c r="R45" s="20" t="n">
        <v>0.32683324</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66.64318892</v>
      </c>
      <c r="F54" s="20" t="n">
        <v>1.69160838</v>
      </c>
      <c r="G54" s="18" t="n">
        <v>23.16338375</v>
      </c>
      <c r="H54" s="20" t="n">
        <v>1.49513392</v>
      </c>
      <c r="I54" s="18" t="n">
        <v>0</v>
      </c>
      <c r="J54" s="20" t="n">
        <v>0</v>
      </c>
      <c r="K54" s="18" t="n">
        <v>7.99304297</v>
      </c>
      <c r="L54" s="20" t="n">
        <v>0.8559093</v>
      </c>
      <c r="M54" s="18" t="n">
        <v>0</v>
      </c>
      <c r="N54" s="20" t="n">
        <v>0</v>
      </c>
      <c r="O54" s="18" t="n">
        <v>1.46594725</v>
      </c>
      <c r="P54" s="20" t="n">
        <v>0.40063758</v>
      </c>
      <c r="Q54" s="18" t="n">
        <v>0.7344371</v>
      </c>
      <c r="R54" s="20" t="n">
        <v>0.2699641</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58.48426562</v>
      </c>
      <c r="F56" s="20" t="n">
        <v>1.47218655</v>
      </c>
      <c r="G56" s="18" t="n">
        <v>36.6894478</v>
      </c>
      <c r="H56" s="20" t="n">
        <v>1.49015896</v>
      </c>
      <c r="I56" s="18" t="n">
        <v>0</v>
      </c>
      <c r="J56" s="20" t="n">
        <v>0</v>
      </c>
      <c r="K56" s="18" t="n">
        <v>3.56086198</v>
      </c>
      <c r="L56" s="20" t="n">
        <v>0.75326601</v>
      </c>
      <c r="M56" s="18" t="n">
        <v>0.18145633</v>
      </c>
      <c r="N56" s="20" t="n">
        <v>0.13725063</v>
      </c>
      <c r="O56" s="18" t="n">
        <v>0</v>
      </c>
      <c r="P56" s="20" t="n">
        <v>0</v>
      </c>
      <c r="Q56" s="18" t="n">
        <v>1.08396827</v>
      </c>
      <c r="R56" s="20" t="n">
        <v>0.40291035</v>
      </c>
    </row>
    <row r="57" spans="1:18">
      <c r="A57" s="15" t="s">
        <v>616</v>
      </c>
      <c r="B57" s="17" t="n">
        <v>3737</v>
      </c>
      <c r="C57" s="18">
        <f>(2486.0/B57*100)</f>
        <v/>
      </c>
      <c r="D57" s="19" t="n">
        <v>1251</v>
      </c>
      <c r="E57" s="18" t="n">
        <v>62.06854375</v>
      </c>
      <c r="F57" s="20" t="n">
        <v>2.31724922</v>
      </c>
      <c r="G57" s="18" t="n">
        <v>30.18647585</v>
      </c>
      <c r="H57" s="20" t="n">
        <v>2.15817517</v>
      </c>
      <c r="I57" s="18" t="n">
        <v>0</v>
      </c>
      <c r="J57" s="20" t="n">
        <v>0</v>
      </c>
      <c r="K57" s="18" t="n">
        <v>6.30415051</v>
      </c>
      <c r="L57" s="20" t="n">
        <v>0.87265491</v>
      </c>
      <c r="M57" s="18" t="n">
        <v>0.0393336</v>
      </c>
      <c r="N57" s="20" t="n">
        <v>0.03948915</v>
      </c>
      <c r="O57" s="18" t="n">
        <v>0.35754476</v>
      </c>
      <c r="P57" s="20" t="n">
        <v>0.187962</v>
      </c>
      <c r="Q57" s="18" t="n">
        <v>1.04395153</v>
      </c>
      <c r="R57" s="20" t="n">
        <v>0.29803464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69.29575681999999</v>
      </c>
      <c r="F59" s="20" t="n">
        <v>2.00082957</v>
      </c>
      <c r="G59" s="18" t="n">
        <v>24.07104978</v>
      </c>
      <c r="H59" s="20" t="n">
        <v>1.94516375</v>
      </c>
      <c r="I59" s="18" t="n">
        <v>0</v>
      </c>
      <c r="J59" s="20" t="n">
        <v>0</v>
      </c>
      <c r="K59" s="18" t="n">
        <v>4.24731503</v>
      </c>
      <c r="L59" s="20" t="n">
        <v>0.69895137</v>
      </c>
      <c r="M59" s="18" t="n">
        <v>0.52078749</v>
      </c>
      <c r="N59" s="20" t="n">
        <v>0.36440546</v>
      </c>
      <c r="O59" s="18" t="n">
        <v>0.91673236</v>
      </c>
      <c r="P59" s="20" t="n">
        <v>0.37973725</v>
      </c>
      <c r="Q59" s="18" t="n">
        <v>0.94835851</v>
      </c>
      <c r="R59" s="20" t="n">
        <v>0.33717563</v>
      </c>
    </row>
    <row r="60" spans="1:18">
      <c r="A60" s="15" t="s">
        <v>620</v>
      </c>
      <c r="B60" s="17" t="n">
        <v>2451</v>
      </c>
      <c r="C60" s="18">
        <f>(1622.0/B60*100)</f>
        <v/>
      </c>
      <c r="D60" s="19" t="n">
        <v>829</v>
      </c>
      <c r="E60" s="18" t="n">
        <v>49.62810838</v>
      </c>
      <c r="F60" s="20" t="n">
        <v>2.05575808</v>
      </c>
      <c r="G60" s="18" t="n">
        <v>26.47178648</v>
      </c>
      <c r="H60" s="20" t="n">
        <v>1.87001622</v>
      </c>
      <c r="I60" s="18" t="n">
        <v>0</v>
      </c>
      <c r="J60" s="20" t="n">
        <v>0</v>
      </c>
      <c r="K60" s="18" t="n">
        <v>17.89928283</v>
      </c>
      <c r="L60" s="20" t="n">
        <v>1.72919589</v>
      </c>
      <c r="M60" s="18" t="n">
        <v>0</v>
      </c>
      <c r="N60" s="20" t="n">
        <v>0</v>
      </c>
      <c r="O60" s="18" t="n">
        <v>2.60449963</v>
      </c>
      <c r="P60" s="20" t="n">
        <v>0.61724709</v>
      </c>
      <c r="Q60" s="18" t="n">
        <v>3.39632268</v>
      </c>
      <c r="R60" s="20" t="n">
        <v>0.63822805</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55.53885826</v>
      </c>
      <c r="F63" s="20" t="n">
        <v>1.78891475</v>
      </c>
      <c r="G63" s="18" t="n">
        <v>26.00304712</v>
      </c>
      <c r="H63" s="20" t="n">
        <v>1.63857703</v>
      </c>
      <c r="I63" s="18" t="n">
        <v>0</v>
      </c>
      <c r="J63" s="20" t="n">
        <v>0</v>
      </c>
      <c r="K63" s="18" t="n">
        <v>15.42182461</v>
      </c>
      <c r="L63" s="20" t="n">
        <v>1.52640006</v>
      </c>
      <c r="M63" s="18" t="n">
        <v>0</v>
      </c>
      <c r="N63" s="20" t="n">
        <v>0</v>
      </c>
      <c r="O63" s="18" t="n">
        <v>0.99950512</v>
      </c>
      <c r="P63" s="20" t="n">
        <v>0.36393301</v>
      </c>
      <c r="Q63" s="18" t="n">
        <v>2.0367649</v>
      </c>
      <c r="R63" s="20" t="n">
        <v>0.50714925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47.47244201</v>
      </c>
      <c r="F65" s="20" t="n">
        <v>1.97259018</v>
      </c>
      <c r="G65" s="18" t="n">
        <v>44.82494446</v>
      </c>
      <c r="H65" s="20" t="n">
        <v>2.09543434</v>
      </c>
      <c r="I65" s="18" t="n">
        <v>0</v>
      </c>
      <c r="J65" s="20" t="n">
        <v>0</v>
      </c>
      <c r="K65" s="18" t="n">
        <v>5.96631126</v>
      </c>
      <c r="L65" s="20" t="n">
        <v>1.1228702</v>
      </c>
      <c r="M65" s="18" t="n">
        <v>0</v>
      </c>
      <c r="N65" s="20" t="n">
        <v>0</v>
      </c>
      <c r="O65" s="18" t="n">
        <v>1.11749291</v>
      </c>
      <c r="P65" s="20" t="n">
        <v>0.47329712</v>
      </c>
      <c r="Q65" s="18" t="n">
        <v>0.61880937</v>
      </c>
      <c r="R65" s="20" t="n">
        <v>0.30698619</v>
      </c>
    </row>
    <row r="66" spans="1:18">
      <c r="A66" s="15" t="s">
        <v>626</v>
      </c>
      <c r="B66" s="17" t="n">
        <v>2634</v>
      </c>
      <c r="C66" s="18">
        <f>(1761.0/B66*100)</f>
        <v/>
      </c>
      <c r="D66" s="19" t="n">
        <v>873</v>
      </c>
      <c r="E66" s="18" t="n">
        <v>53.78500807</v>
      </c>
      <c r="F66" s="20" t="n">
        <v>1.67938532</v>
      </c>
      <c r="G66" s="18" t="n">
        <v>27.09972244</v>
      </c>
      <c r="H66" s="20" t="n">
        <v>1.45710833</v>
      </c>
      <c r="I66" s="18" t="n">
        <v>0</v>
      </c>
      <c r="J66" s="20" t="n">
        <v>0</v>
      </c>
      <c r="K66" s="18" t="n">
        <v>14.54851152</v>
      </c>
      <c r="L66" s="20" t="n">
        <v>1.23810121</v>
      </c>
      <c r="M66" s="18" t="n">
        <v>2.15383732</v>
      </c>
      <c r="N66" s="20" t="n">
        <v>0.46787619</v>
      </c>
      <c r="O66" s="18" t="n">
        <v>0.12206393</v>
      </c>
      <c r="P66" s="20" t="n">
        <v>0.12167909</v>
      </c>
      <c r="Q66" s="18" t="n">
        <v>2.29085671</v>
      </c>
      <c r="R66" s="20" t="n">
        <v>0.5704368399999999</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72.34315632000001</v>
      </c>
      <c r="F69" s="20" t="n">
        <v>3.11372446</v>
      </c>
      <c r="G69" s="18" t="n">
        <v>25.32563675</v>
      </c>
      <c r="H69" s="20" t="n">
        <v>2.89559664</v>
      </c>
      <c r="I69" s="18" t="n">
        <v>0</v>
      </c>
      <c r="J69" s="20" t="n">
        <v>0</v>
      </c>
      <c r="K69" s="18" t="n">
        <v>1.63572191</v>
      </c>
      <c r="L69" s="20" t="n">
        <v>0.92589438</v>
      </c>
      <c r="M69" s="18" t="n">
        <v>0</v>
      </c>
      <c r="N69" s="20" t="n">
        <v>0</v>
      </c>
      <c r="O69" s="18" t="n">
        <v>0</v>
      </c>
      <c r="P69" s="20" t="n">
        <v>0</v>
      </c>
      <c r="Q69" s="18" t="n">
        <v>0.6954850299999999</v>
      </c>
      <c r="R69" s="20" t="n">
        <v>0.48858918</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69.29568786999999</v>
      </c>
      <c r="F71" s="20" t="n">
        <v>1.79660612</v>
      </c>
      <c r="G71" s="18" t="n">
        <v>29.79375306</v>
      </c>
      <c r="H71" s="20" t="n">
        <v>1.79838553</v>
      </c>
      <c r="I71" s="18" t="n">
        <v>0</v>
      </c>
      <c r="J71" s="20" t="n">
        <v>0</v>
      </c>
      <c r="K71" s="18" t="n">
        <v>0</v>
      </c>
      <c r="L71" s="20" t="n">
        <v>0</v>
      </c>
      <c r="M71" s="18" t="n">
        <v>0</v>
      </c>
      <c r="N71" s="20" t="n">
        <v>0</v>
      </c>
      <c r="O71" s="18" t="n">
        <v>0.09565841</v>
      </c>
      <c r="P71" s="20" t="n">
        <v>0.09544507000000001</v>
      </c>
      <c r="Q71" s="18" t="n">
        <v>0.8149006600000001</v>
      </c>
      <c r="R71" s="20" t="n">
        <v>0.26526319</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49.16970993</v>
      </c>
      <c r="F76" s="20" t="n">
        <v>2.0675771</v>
      </c>
      <c r="G76" s="18" t="n">
        <v>35.56811809</v>
      </c>
      <c r="H76" s="20" t="n">
        <v>1.68422799</v>
      </c>
      <c r="I76" s="18" t="n">
        <v>0</v>
      </c>
      <c r="J76" s="20" t="n">
        <v>0</v>
      </c>
      <c r="K76" s="18" t="n">
        <v>13.70147541</v>
      </c>
      <c r="L76" s="20" t="n">
        <v>1.26370241</v>
      </c>
      <c r="M76" s="18" t="n">
        <v>0</v>
      </c>
      <c r="N76" s="20" t="n">
        <v>0</v>
      </c>
      <c r="O76" s="18" t="n">
        <v>0</v>
      </c>
      <c r="P76" s="20" t="n">
        <v>0</v>
      </c>
      <c r="Q76" s="18" t="n">
        <v>1.56069656</v>
      </c>
      <c r="R76" s="20" t="n">
        <v>0.55149799</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21.90414179</v>
      </c>
      <c r="F80" s="20" t="n">
        <v>1.58784422</v>
      </c>
      <c r="G80" s="18" t="n">
        <v>78.00350678</v>
      </c>
      <c r="H80" s="20" t="n">
        <v>1.59935204</v>
      </c>
      <c r="I80" s="18" t="n">
        <v>0</v>
      </c>
      <c r="J80" s="20" t="n">
        <v>0</v>
      </c>
      <c r="K80" s="18" t="n">
        <v>0</v>
      </c>
      <c r="L80" s="20" t="n">
        <v>0</v>
      </c>
      <c r="M80" s="18" t="n">
        <v>0</v>
      </c>
      <c r="N80" s="20" t="n">
        <v>0</v>
      </c>
      <c r="O80" s="18" t="n">
        <v>0</v>
      </c>
      <c r="P80" s="20" t="n">
        <v>0</v>
      </c>
      <c r="Q80" s="18" t="n">
        <v>0.09235144000000001</v>
      </c>
      <c r="R80" s="20" t="n">
        <v>0.09226587999999999</v>
      </c>
    </row>
    <row r="81" spans="1:18">
      <c r="A81" s="15" t="s">
        <v>641</v>
      </c>
      <c r="B81" s="17" t="n">
        <v>870</v>
      </c>
      <c r="C81" s="18">
        <f>(580.0/B81*100)</f>
        <v/>
      </c>
      <c r="D81" s="19" t="n">
        <v>290</v>
      </c>
      <c r="E81" s="18" t="n">
        <v>45.86796833</v>
      </c>
      <c r="F81" s="20" t="n">
        <v>2.42758076</v>
      </c>
      <c r="G81" s="18" t="n">
        <v>40.74773018</v>
      </c>
      <c r="H81" s="20" t="n">
        <v>2.39047904</v>
      </c>
      <c r="I81" s="18" t="n">
        <v>0</v>
      </c>
      <c r="J81" s="20" t="n">
        <v>0</v>
      </c>
      <c r="K81" s="18" t="n">
        <v>12.1063348</v>
      </c>
      <c r="L81" s="20" t="n">
        <v>2.25238259</v>
      </c>
      <c r="M81" s="18" t="n">
        <v>0.29707345</v>
      </c>
      <c r="N81" s="20" t="n">
        <v>0.29443986</v>
      </c>
      <c r="O81" s="18" t="n">
        <v>0</v>
      </c>
      <c r="P81" s="20" t="n">
        <v>0</v>
      </c>
      <c r="Q81" s="18" t="n">
        <v>0.98089324</v>
      </c>
      <c r="R81" s="20" t="n">
        <v>0.57311957</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(1804.0/B44*100)</f>
        <v/>
      </c>
      <c r="D44" s="19" t="n">
        <v>887</v>
      </c>
      <c r="E44" s="18" t="n">
        <v>57.88196474</v>
      </c>
      <c r="F44" s="20" t="n">
        <v>1.99564203</v>
      </c>
      <c r="G44" s="18" t="n">
        <v>15.74729042</v>
      </c>
      <c r="H44" s="20" t="n">
        <v>1.47981564</v>
      </c>
      <c r="I44" s="18" t="n">
        <v>0</v>
      </c>
      <c r="J44" s="20" t="n">
        <v>0</v>
      </c>
      <c r="K44" s="18" t="n">
        <v>26.37074484</v>
      </c>
      <c r="L44" s="20" t="n">
        <v>2.01616538</v>
      </c>
      <c r="M44" s="18" t="n">
        <v>0</v>
      </c>
      <c r="N44" s="20" t="n">
        <v>0</v>
      </c>
      <c r="O44" s="18" t="n">
        <v>0</v>
      </c>
      <c r="P44" s="20" t="n">
        <v>0</v>
      </c>
      <c r="Q44" s="18" t="n">
        <v>0</v>
      </c>
      <c r="R44" s="20" t="n">
        <v>0</v>
      </c>
    </row>
    <row r="45" spans="1:18">
      <c r="A45" s="15" t="s">
        <v>604</v>
      </c>
      <c r="B45" s="17" t="n">
        <v>2670</v>
      </c>
      <c r="C45" s="18">
        <f>(1765.0/B45*100)</f>
        <v/>
      </c>
      <c r="D45" s="19" t="n">
        <v>905</v>
      </c>
      <c r="E45" s="18" t="n">
        <v>52.37763216</v>
      </c>
      <c r="F45" s="20" t="n">
        <v>2.21348146</v>
      </c>
      <c r="G45" s="18" t="n">
        <v>9.57642731</v>
      </c>
      <c r="H45" s="20" t="n">
        <v>1.31479836</v>
      </c>
      <c r="I45" s="18" t="n">
        <v>0</v>
      </c>
      <c r="J45" s="20" t="n">
        <v>0</v>
      </c>
      <c r="K45" s="18" t="n">
        <v>36.08251253</v>
      </c>
      <c r="L45" s="20" t="n">
        <v>2.0540393</v>
      </c>
      <c r="M45" s="18" t="n">
        <v>1.45518258</v>
      </c>
      <c r="N45" s="20" t="n">
        <v>0.34502879</v>
      </c>
      <c r="O45" s="18" t="n">
        <v>0.50824541</v>
      </c>
      <c r="P45" s="20" t="n">
        <v>0.23180819</v>
      </c>
      <c r="Q45" s="18" t="n">
        <v>0</v>
      </c>
      <c r="R45" s="20" t="n">
        <v>0</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(1705.0/B54*100)</f>
        <v/>
      </c>
      <c r="D54" s="19" t="n">
        <v>852</v>
      </c>
      <c r="E54" s="18" t="n">
        <v>57.33162577</v>
      </c>
      <c r="F54" s="20" t="n">
        <v>1.81840961</v>
      </c>
      <c r="G54" s="18" t="n">
        <v>13.16022944</v>
      </c>
      <c r="H54" s="20" t="n">
        <v>1.33302589</v>
      </c>
      <c r="I54" s="18" t="n">
        <v>0</v>
      </c>
      <c r="J54" s="20" t="n">
        <v>0</v>
      </c>
      <c r="K54" s="18" t="n">
        <v>29.50814479</v>
      </c>
      <c r="L54" s="20" t="n">
        <v>1.65694018</v>
      </c>
      <c r="M54" s="18" t="n">
        <v>0</v>
      </c>
      <c r="N54" s="20" t="n">
        <v>0</v>
      </c>
      <c r="O54" s="18" t="n">
        <v>0</v>
      </c>
      <c r="P54" s="20" t="n">
        <v>0</v>
      </c>
      <c r="Q54" s="18" t="n">
        <v>0</v>
      </c>
      <c r="R54" s="20" t="n">
        <v>0</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(2224.0/B56*100)</f>
        <v/>
      </c>
      <c r="D56" s="19" t="n">
        <v>1119</v>
      </c>
      <c r="E56" s="18" t="n">
        <v>74.61823879000001</v>
      </c>
      <c r="F56" s="20" t="n">
        <v>1.56797336</v>
      </c>
      <c r="G56" s="18" t="n">
        <v>14.29986256</v>
      </c>
      <c r="H56" s="20" t="n">
        <v>1.18374803</v>
      </c>
      <c r="I56" s="18" t="n">
        <v>0</v>
      </c>
      <c r="J56" s="20" t="n">
        <v>0</v>
      </c>
      <c r="K56" s="18" t="n">
        <v>11.08189865</v>
      </c>
      <c r="L56" s="20" t="n">
        <v>1.26040027</v>
      </c>
      <c r="M56" s="18" t="n">
        <v>0</v>
      </c>
      <c r="N56" s="20" t="n">
        <v>0</v>
      </c>
      <c r="O56" s="18" t="n">
        <v>0</v>
      </c>
      <c r="P56" s="20" t="n">
        <v>0</v>
      </c>
      <c r="Q56" s="18" t="n">
        <v>0</v>
      </c>
      <c r="R56" s="20" t="n">
        <v>0</v>
      </c>
    </row>
    <row r="57" spans="1:18">
      <c r="A57" s="15" t="s">
        <v>616</v>
      </c>
      <c r="B57" s="17" t="n">
        <v>3737</v>
      </c>
      <c r="C57" s="18">
        <f>(2486.0/B57*100)</f>
        <v/>
      </c>
      <c r="D57" s="19" t="n">
        <v>1251</v>
      </c>
      <c r="E57" s="18" t="n">
        <v>72.42741644</v>
      </c>
      <c r="F57" s="20" t="n">
        <v>1.73519991</v>
      </c>
      <c r="G57" s="18" t="n">
        <v>12.08733354</v>
      </c>
      <c r="H57" s="20" t="n">
        <v>1.10050341</v>
      </c>
      <c r="I57" s="18" t="n">
        <v>0</v>
      </c>
      <c r="J57" s="20" t="n">
        <v>0</v>
      </c>
      <c r="K57" s="18" t="n">
        <v>15.48525002</v>
      </c>
      <c r="L57" s="20" t="n">
        <v>1.35586499</v>
      </c>
      <c r="M57" s="18" t="n">
        <v>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(1511.0/B59*100)</f>
        <v/>
      </c>
      <c r="D59" s="19" t="n">
        <v>767</v>
      </c>
      <c r="E59" s="18" t="n">
        <v>68.59817518</v>
      </c>
      <c r="F59" s="20" t="n">
        <v>1.95163616</v>
      </c>
      <c r="G59" s="18" t="n">
        <v>8.75432451</v>
      </c>
      <c r="H59" s="20" t="n">
        <v>1.40936694</v>
      </c>
      <c r="I59" s="18" t="n">
        <v>0</v>
      </c>
      <c r="J59" s="20" t="n">
        <v>0</v>
      </c>
      <c r="K59" s="18" t="n">
        <v>22.64750031</v>
      </c>
      <c r="L59" s="20" t="n">
        <v>1.55690842</v>
      </c>
      <c r="M59" s="18" t="n">
        <v>0</v>
      </c>
      <c r="N59" s="20" t="n">
        <v>0</v>
      </c>
      <c r="O59" s="18" t="n">
        <v>0</v>
      </c>
      <c r="P59" s="20" t="n">
        <v>0</v>
      </c>
      <c r="Q59" s="18" t="n">
        <v>0</v>
      </c>
      <c r="R59" s="20" t="n">
        <v>0</v>
      </c>
    </row>
    <row r="60" spans="1:18">
      <c r="A60" s="15" t="s">
        <v>620</v>
      </c>
      <c r="B60" s="17" t="n">
        <v>2451</v>
      </c>
      <c r="C60" s="18">
        <f>(1622.0/B60*100)</f>
        <v/>
      </c>
      <c r="D60" s="19" t="n">
        <v>829</v>
      </c>
      <c r="E60" s="18" t="n">
        <v>53.31458852</v>
      </c>
      <c r="F60" s="20" t="n">
        <v>1.89659381</v>
      </c>
      <c r="G60" s="18" t="n">
        <v>6.74123917</v>
      </c>
      <c r="H60" s="20" t="n">
        <v>0.89197717</v>
      </c>
      <c r="I60" s="18" t="n">
        <v>0</v>
      </c>
      <c r="J60" s="20" t="n">
        <v>0</v>
      </c>
      <c r="K60" s="18" t="n">
        <v>39.81775857</v>
      </c>
      <c r="L60" s="20" t="n">
        <v>1.90006745</v>
      </c>
      <c r="M60" s="18" t="n">
        <v>0.12641374</v>
      </c>
      <c r="N60" s="20" t="n">
        <v>0.12851095</v>
      </c>
      <c r="O60" s="18" t="n">
        <v>0</v>
      </c>
      <c r="P60" s="20" t="n">
        <v>0</v>
      </c>
      <c r="Q60" s="18" t="n">
        <v>0</v>
      </c>
      <c r="R60" s="20" t="n">
        <v>0</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(1665.0/B63*100)</f>
        <v/>
      </c>
      <c r="D63" s="19" t="n">
        <v>846</v>
      </c>
      <c r="E63" s="18" t="n">
        <v>39.0006047</v>
      </c>
      <c r="F63" s="20" t="n">
        <v>1.82605943</v>
      </c>
      <c r="G63" s="18" t="n">
        <v>14.50335311</v>
      </c>
      <c r="H63" s="20" t="n">
        <v>1.28996451</v>
      </c>
      <c r="I63" s="18" t="n">
        <v>0</v>
      </c>
      <c r="J63" s="20" t="n">
        <v>0</v>
      </c>
      <c r="K63" s="18" t="n">
        <v>46.49604218</v>
      </c>
      <c r="L63" s="20" t="n">
        <v>1.64871605</v>
      </c>
      <c r="M63" s="18" t="n">
        <v>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(1193.0/B65*100)</f>
        <v/>
      </c>
      <c r="D65" s="19" t="n">
        <v>597</v>
      </c>
      <c r="E65" s="18" t="n">
        <v>59.43121664</v>
      </c>
      <c r="F65" s="20" t="n">
        <v>2.20065951</v>
      </c>
      <c r="G65" s="18" t="n">
        <v>18.80786978</v>
      </c>
      <c r="H65" s="20" t="n">
        <v>1.73938968</v>
      </c>
      <c r="I65" s="18" t="n">
        <v>0</v>
      </c>
      <c r="J65" s="20" t="n">
        <v>0</v>
      </c>
      <c r="K65" s="18" t="n">
        <v>21.6136427</v>
      </c>
      <c r="L65" s="20" t="n">
        <v>1.7865144</v>
      </c>
      <c r="M65" s="18" t="n">
        <v>0.14727088</v>
      </c>
      <c r="N65" s="20" t="n">
        <v>0.14683045</v>
      </c>
      <c r="O65" s="18" t="n">
        <v>0</v>
      </c>
      <c r="P65" s="20" t="n">
        <v>0</v>
      </c>
      <c r="Q65" s="18" t="n">
        <v>0</v>
      </c>
      <c r="R65" s="20" t="n">
        <v>0</v>
      </c>
    </row>
    <row r="66" spans="1:18">
      <c r="A66" s="15" t="s">
        <v>626</v>
      </c>
      <c r="B66" s="17" t="n">
        <v>2634</v>
      </c>
      <c r="C66" s="18">
        <f>(1761.0/B66*100)</f>
        <v/>
      </c>
      <c r="D66" s="19" t="n">
        <v>873</v>
      </c>
      <c r="E66" s="18" t="n">
        <v>53.1313278</v>
      </c>
      <c r="F66" s="20" t="n">
        <v>1.73825423</v>
      </c>
      <c r="G66" s="18" t="n">
        <v>14.25565097</v>
      </c>
      <c r="H66" s="20" t="n">
        <v>1.36237082</v>
      </c>
      <c r="I66" s="18" t="n">
        <v>0</v>
      </c>
      <c r="J66" s="20" t="n">
        <v>0</v>
      </c>
      <c r="K66" s="18" t="n">
        <v>32.61302123</v>
      </c>
      <c r="L66" s="20" t="n">
        <v>1.7552075</v>
      </c>
      <c r="M66" s="18" t="n">
        <v>0</v>
      </c>
      <c r="N66" s="20" t="n">
        <v>0</v>
      </c>
      <c r="O66" s="18" t="n">
        <v>0</v>
      </c>
      <c r="P66" s="20" t="n">
        <v>0</v>
      </c>
      <c r="Q66" s="18" t="n">
        <v>0</v>
      </c>
      <c r="R66" s="20" t="n">
        <v>0</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(483.0/B69*100)</f>
        <v/>
      </c>
      <c r="D69" s="19" t="n">
        <v>237</v>
      </c>
      <c r="E69" s="18" t="n">
        <v>78.17918400000001</v>
      </c>
      <c r="F69" s="20" t="n">
        <v>3.98859496</v>
      </c>
      <c r="G69" s="18" t="n">
        <v>12.21434708</v>
      </c>
      <c r="H69" s="20" t="n">
        <v>3.07254292</v>
      </c>
      <c r="I69" s="18" t="n">
        <v>0</v>
      </c>
      <c r="J69" s="20" t="n">
        <v>0</v>
      </c>
      <c r="K69" s="18" t="n">
        <v>9.606468919999999</v>
      </c>
      <c r="L69" s="20" t="n">
        <v>2.51281951</v>
      </c>
      <c r="M69" s="18" t="n">
        <v>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(1653.0/B71*100)</f>
        <v/>
      </c>
      <c r="D71" s="19" t="n">
        <v>813</v>
      </c>
      <c r="E71" s="18" t="n">
        <v>77.01952459</v>
      </c>
      <c r="F71" s="20" t="n">
        <v>1.38137581</v>
      </c>
      <c r="G71" s="18" t="n">
        <v>22.51643525</v>
      </c>
      <c r="H71" s="20" t="n">
        <v>1.40175441</v>
      </c>
      <c r="I71" s="18" t="n">
        <v>0</v>
      </c>
      <c r="J71" s="20" t="n">
        <v>0</v>
      </c>
      <c r="K71" s="18" t="n">
        <v>0.46404015</v>
      </c>
      <c r="L71" s="20" t="n">
        <v>0.23541146</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59.80121492</v>
      </c>
      <c r="F76" s="20" t="n">
        <v>1.94135534</v>
      </c>
      <c r="G76" s="18" t="n">
        <v>10.07305294</v>
      </c>
      <c r="H76" s="20" t="n">
        <v>1.17460828</v>
      </c>
      <c r="I76" s="18" t="n">
        <v>0</v>
      </c>
      <c r="J76" s="20" t="n">
        <v>0</v>
      </c>
      <c r="K76" s="18" t="n">
        <v>30.12573214</v>
      </c>
      <c r="L76" s="20" t="n">
        <v>1.76261178</v>
      </c>
      <c r="M76" s="18" t="n">
        <v>0</v>
      </c>
      <c r="N76" s="20" t="n">
        <v>0</v>
      </c>
      <c r="O76" s="18" t="n">
        <v>0</v>
      </c>
      <c r="P76" s="20" t="n">
        <v>0</v>
      </c>
      <c r="Q76" s="18" t="n">
        <v>0</v>
      </c>
      <c r="R76" s="20" t="n">
        <v>0</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(2028.0/B80*100)</f>
        <v/>
      </c>
      <c r="D80" s="19" t="n">
        <v>1012</v>
      </c>
      <c r="E80" s="18" t="n">
        <v>60.66344068</v>
      </c>
      <c r="F80" s="20" t="n">
        <v>2.01546807</v>
      </c>
      <c r="G80" s="18" t="n">
        <v>37.92012011</v>
      </c>
      <c r="H80" s="20" t="n">
        <v>1.98942196</v>
      </c>
      <c r="I80" s="18" t="n">
        <v>0</v>
      </c>
      <c r="J80" s="20" t="n">
        <v>0</v>
      </c>
      <c r="K80" s="18" t="n">
        <v>1.41643921</v>
      </c>
      <c r="L80" s="20" t="n">
        <v>0.41955592</v>
      </c>
      <c r="M80" s="18" t="n">
        <v>0</v>
      </c>
      <c r="N80" s="20" t="n">
        <v>0</v>
      </c>
      <c r="O80" s="18" t="n">
        <v>0</v>
      </c>
      <c r="P80" s="20" t="n">
        <v>0</v>
      </c>
      <c r="Q80" s="18" t="n">
        <v>0</v>
      </c>
      <c r="R80" s="20" t="n">
        <v>0</v>
      </c>
    </row>
    <row r="81" spans="1:18">
      <c r="A81" s="15" t="s">
        <v>641</v>
      </c>
      <c r="B81" s="17" t="n">
        <v>870</v>
      </c>
      <c r="C81" s="18">
        <f>(580.0/B81*100)</f>
        <v/>
      </c>
      <c r="D81" s="19" t="n">
        <v>290</v>
      </c>
      <c r="E81" s="18" t="n">
        <v>49.25016981</v>
      </c>
      <c r="F81" s="20" t="n">
        <v>3.50077217</v>
      </c>
      <c r="G81" s="18" t="n">
        <v>26.63333468</v>
      </c>
      <c r="H81" s="20" t="n">
        <v>2.74303665</v>
      </c>
      <c r="I81" s="18" t="n">
        <v>0</v>
      </c>
      <c r="J81" s="20" t="n">
        <v>0</v>
      </c>
      <c r="K81" s="18" t="n">
        <v>23.81942206</v>
      </c>
      <c r="L81" s="20" t="n">
        <v>3.14894806</v>
      </c>
      <c r="M81" s="18" t="n">
        <v>0.29707345</v>
      </c>
      <c r="N81" s="20" t="n">
        <v>0.29443986</v>
      </c>
      <c r="O81" s="18" t="n">
        <v>0</v>
      </c>
      <c r="P81" s="20" t="n">
        <v>0</v>
      </c>
      <c r="Q81" s="18" t="n">
        <v>0</v>
      </c>
      <c r="R81" s="20" t="n">
        <v>0</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2.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888</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row>
    <row r="8" spans="1:20">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row>
    <row r="9" spans="1:20">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row>
    <row r="10" spans="1:20">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row>
    <row r="11" spans="1:20">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row>
    <row r="12" spans="1:20">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row>
    <row r="13" spans="1:20">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row>
    <row r="14" spans="1:20">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row>
    <row r="15" spans="1:20">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row>
    <row r="16" spans="1:20">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row>
    <row r="17" spans="1:20">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row>
    <row r="18" spans="1:20">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row>
    <row r="19" spans="1:20">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row>
    <row r="20" spans="1:20">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row>
    <row r="21" spans="1:20">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row>
    <row r="22" spans="1:20">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row>
    <row r="23" spans="1:20">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row>
    <row r="24" spans="1:20">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row>
    <row r="25" spans="1:20">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row>
    <row r="26" spans="1:20">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row>
    <row r="27" spans="1:20">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row>
    <row r="28" spans="1:20">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row>
    <row r="29" spans="1:20">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row>
    <row r="30" spans="1:20">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row>
    <row r="31" spans="1:20">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row>
    <row r="32" spans="1:20">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row>
    <row r="33" spans="1:20">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row>
    <row r="34" spans="1:20">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row>
    <row r="35" spans="1:20">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row>
    <row r="36" spans="1:20">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row>
    <row r="37" spans="1:20">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row>
    <row r="38" spans="1:20">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row>
    <row r="39" spans="1:20">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row>
    <row r="40" spans="1:20">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row>
    <row r="41" spans="1:20">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2691</v>
      </c>
      <c r="C44" s="18">
        <f>(1782.0/B44*100)</f>
        <v/>
      </c>
      <c r="D44" s="19" t="n">
        <v>909</v>
      </c>
      <c r="E44" s="18" t="n">
        <v>43.88468785</v>
      </c>
      <c r="F44" s="20" t="n">
        <v>1.83348411</v>
      </c>
      <c r="G44" s="18" t="n">
        <v>23.81452369</v>
      </c>
      <c r="H44" s="20" t="n">
        <v>1.47555015</v>
      </c>
      <c r="I44" s="18" t="n">
        <v>13.44771022</v>
      </c>
      <c r="J44" s="20" t="n">
        <v>1.38032717</v>
      </c>
      <c r="K44" s="18" t="n">
        <v>0</v>
      </c>
      <c r="L44" s="20" t="n">
        <v>0</v>
      </c>
      <c r="M44" s="18" t="n">
        <v>1.53903124</v>
      </c>
      <c r="N44" s="20" t="n">
        <v>0.41707954</v>
      </c>
      <c r="O44" s="18" t="n">
        <v>0</v>
      </c>
      <c r="P44" s="20" t="n">
        <v>0</v>
      </c>
      <c r="Q44" s="18" t="n">
        <v>0</v>
      </c>
      <c r="R44" s="20" t="n">
        <v>0</v>
      </c>
      <c r="S44" s="18" t="n">
        <v>17.31404702</v>
      </c>
      <c r="T44" s="20" t="n">
        <v>1.61594478</v>
      </c>
    </row>
    <row r="45" spans="1:20">
      <c r="A45" s="15" t="s">
        <v>604</v>
      </c>
      <c r="B45" s="17" t="n">
        <v>2670</v>
      </c>
      <c r="C45" s="18">
        <f>(1779.0/B45*100)</f>
        <v/>
      </c>
      <c r="D45" s="19" t="n">
        <v>891</v>
      </c>
      <c r="E45" s="18" t="n">
        <v>48.32716681</v>
      </c>
      <c r="F45" s="20" t="n">
        <v>1.84335078</v>
      </c>
      <c r="G45" s="18" t="n">
        <v>19.27461167</v>
      </c>
      <c r="H45" s="20" t="n">
        <v>1.45196326</v>
      </c>
      <c r="I45" s="18" t="n">
        <v>5.22933717</v>
      </c>
      <c r="J45" s="20" t="n">
        <v>0.89490813</v>
      </c>
      <c r="K45" s="18" t="n">
        <v>0</v>
      </c>
      <c r="L45" s="20" t="n">
        <v>0</v>
      </c>
      <c r="M45" s="18" t="n">
        <v>5.56861006</v>
      </c>
      <c r="N45" s="20" t="n">
        <v>0.82161578</v>
      </c>
      <c r="O45" s="18" t="n">
        <v>0.1400059</v>
      </c>
      <c r="P45" s="20" t="n">
        <v>0.14134618</v>
      </c>
      <c r="Q45" s="18" t="n">
        <v>0.13540427</v>
      </c>
      <c r="R45" s="20" t="n">
        <v>0.14376458</v>
      </c>
      <c r="S45" s="18" t="n">
        <v>21.32486412</v>
      </c>
      <c r="T45" s="20" t="n">
        <v>1.58363371</v>
      </c>
    </row>
    <row r="46" spans="1:20">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row>
    <row r="47" spans="1:20">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row>
    <row r="48" spans="1:20">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row>
    <row r="49" spans="1:20">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row>
    <row r="50" spans="1:20">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row>
    <row r="51" spans="1:20">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row>
    <row r="52" spans="1:20">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row>
    <row r="53" spans="1:20">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row>
    <row r="54" spans="1:20">
      <c r="A54" s="15" t="s">
        <v>613</v>
      </c>
      <c r="B54" s="17" t="n">
        <v>2557</v>
      </c>
      <c r="C54" s="18">
        <f>(1715.0/B54*100)</f>
        <v/>
      </c>
      <c r="D54" s="19" t="n">
        <v>842</v>
      </c>
      <c r="E54" s="18" t="n">
        <v>40.13744093</v>
      </c>
      <c r="F54" s="20" t="n">
        <v>1.70711827</v>
      </c>
      <c r="G54" s="18" t="n">
        <v>14.65296392</v>
      </c>
      <c r="H54" s="20" t="n">
        <v>1.33244695</v>
      </c>
      <c r="I54" s="18" t="n">
        <v>11.51031448</v>
      </c>
      <c r="J54" s="20" t="n">
        <v>1.21708556</v>
      </c>
      <c r="K54" s="18" t="n">
        <v>0</v>
      </c>
      <c r="L54" s="20" t="n">
        <v>0</v>
      </c>
      <c r="M54" s="18" t="n">
        <v>1.9442099</v>
      </c>
      <c r="N54" s="20" t="n">
        <v>0.52087905</v>
      </c>
      <c r="O54" s="18" t="n">
        <v>0</v>
      </c>
      <c r="P54" s="20" t="n">
        <v>0</v>
      </c>
      <c r="Q54" s="18" t="n">
        <v>0.3051986</v>
      </c>
      <c r="R54" s="20" t="n">
        <v>0.17652121</v>
      </c>
      <c r="S54" s="18" t="n">
        <v>31.44987218</v>
      </c>
      <c r="T54" s="20" t="n">
        <v>1.78908792</v>
      </c>
    </row>
    <row r="55" spans="1:20">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row>
    <row r="56" spans="1:20">
      <c r="A56" s="15" t="s">
        <v>615</v>
      </c>
      <c r="B56" s="17" t="n">
        <v>3343</v>
      </c>
      <c r="C56" s="18">
        <f>(2264.0/B56*100)</f>
        <v/>
      </c>
      <c r="D56" s="19" t="n">
        <v>1079</v>
      </c>
      <c r="E56" s="18" t="n">
        <v>68.63317422999999</v>
      </c>
      <c r="F56" s="20" t="n">
        <v>1.63645862</v>
      </c>
      <c r="G56" s="18" t="n">
        <v>15.43675339</v>
      </c>
      <c r="H56" s="20" t="n">
        <v>1.14918424</v>
      </c>
      <c r="I56" s="18" t="n">
        <v>2.7872415</v>
      </c>
      <c r="J56" s="20" t="n">
        <v>0.54841255</v>
      </c>
      <c r="K56" s="18" t="n">
        <v>0</v>
      </c>
      <c r="L56" s="20" t="n">
        <v>0</v>
      </c>
      <c r="M56" s="18" t="n">
        <v>1.26941401</v>
      </c>
      <c r="N56" s="20" t="n">
        <v>0.41342139</v>
      </c>
      <c r="O56" s="18" t="n">
        <v>0</v>
      </c>
      <c r="P56" s="20" t="n">
        <v>0</v>
      </c>
      <c r="Q56" s="18" t="n">
        <v>0</v>
      </c>
      <c r="R56" s="20" t="n">
        <v>0</v>
      </c>
      <c r="S56" s="18" t="n">
        <v>11.87341686</v>
      </c>
      <c r="T56" s="20" t="n">
        <v>1.38829322</v>
      </c>
    </row>
    <row r="57" spans="1:20">
      <c r="A57" s="15" t="s">
        <v>616</v>
      </c>
      <c r="B57" s="17" t="n">
        <v>3737</v>
      </c>
      <c r="C57" s="18">
        <f>(2493.0/B57*100)</f>
        <v/>
      </c>
      <c r="D57" s="19" t="n">
        <v>1244</v>
      </c>
      <c r="E57" s="18" t="n">
        <v>56.64576507</v>
      </c>
      <c r="F57" s="20" t="n">
        <v>1.59085508</v>
      </c>
      <c r="G57" s="18" t="n">
        <v>21.85731445</v>
      </c>
      <c r="H57" s="20" t="n">
        <v>1.26096814</v>
      </c>
      <c r="I57" s="18" t="n">
        <v>10.96547327</v>
      </c>
      <c r="J57" s="20" t="n">
        <v>1.18755877</v>
      </c>
      <c r="K57" s="18" t="n">
        <v>0</v>
      </c>
      <c r="L57" s="20" t="n">
        <v>0</v>
      </c>
      <c r="M57" s="18" t="n">
        <v>1.8042676</v>
      </c>
      <c r="N57" s="20" t="n">
        <v>0.53283468</v>
      </c>
      <c r="O57" s="18" t="n">
        <v>0</v>
      </c>
      <c r="P57" s="20" t="n">
        <v>0</v>
      </c>
      <c r="Q57" s="18" t="n">
        <v>0</v>
      </c>
      <c r="R57" s="20" t="n">
        <v>0</v>
      </c>
      <c r="S57" s="18" t="n">
        <v>8.72717961</v>
      </c>
      <c r="T57" s="20" t="n">
        <v>1.25220968</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2278</v>
      </c>
      <c r="C59" s="18">
        <f>(1514.0/B59*100)</f>
        <v/>
      </c>
      <c r="D59" s="19" t="n">
        <v>764</v>
      </c>
      <c r="E59" s="18" t="n">
        <v>64.43225604</v>
      </c>
      <c r="F59" s="20" t="n">
        <v>2.09785431</v>
      </c>
      <c r="G59" s="18" t="n">
        <v>10.21301363</v>
      </c>
      <c r="H59" s="20" t="n">
        <v>1.40207864</v>
      </c>
      <c r="I59" s="18" t="n">
        <v>2.74562303</v>
      </c>
      <c r="J59" s="20" t="n">
        <v>0.76727773</v>
      </c>
      <c r="K59" s="18" t="n">
        <v>0</v>
      </c>
      <c r="L59" s="20" t="n">
        <v>0</v>
      </c>
      <c r="M59" s="18" t="n">
        <v>0.31874632</v>
      </c>
      <c r="N59" s="20" t="n">
        <v>0.16871339</v>
      </c>
      <c r="O59" s="18" t="n">
        <v>0</v>
      </c>
      <c r="P59" s="20" t="n">
        <v>0</v>
      </c>
      <c r="Q59" s="18" t="n">
        <v>0</v>
      </c>
      <c r="R59" s="20" t="n">
        <v>0</v>
      </c>
      <c r="S59" s="18" t="n">
        <v>22.29036098</v>
      </c>
      <c r="T59" s="20" t="n">
        <v>1.73276834</v>
      </c>
    </row>
    <row r="60" spans="1:20">
      <c r="A60" s="15" t="s">
        <v>620</v>
      </c>
      <c r="B60" s="17" t="n">
        <v>2451</v>
      </c>
      <c r="C60" s="18">
        <f>(1608.0/B60*100)</f>
        <v/>
      </c>
      <c r="D60" s="19" t="n">
        <v>843</v>
      </c>
      <c r="E60" s="18" t="n">
        <v>37.82698675</v>
      </c>
      <c r="F60" s="20" t="n">
        <v>2.06882015</v>
      </c>
      <c r="G60" s="18" t="n">
        <v>18.20732414</v>
      </c>
      <c r="H60" s="20" t="n">
        <v>1.5638619</v>
      </c>
      <c r="I60" s="18" t="n">
        <v>11.329171</v>
      </c>
      <c r="J60" s="20" t="n">
        <v>1.19728112</v>
      </c>
      <c r="K60" s="18" t="n">
        <v>0</v>
      </c>
      <c r="L60" s="20" t="n">
        <v>0</v>
      </c>
      <c r="M60" s="18" t="n">
        <v>2.6524571</v>
      </c>
      <c r="N60" s="20" t="n">
        <v>0.57816229</v>
      </c>
      <c r="O60" s="18" t="n">
        <v>0</v>
      </c>
      <c r="P60" s="20" t="n">
        <v>0</v>
      </c>
      <c r="Q60" s="18" t="n">
        <v>0.47250329</v>
      </c>
      <c r="R60" s="20" t="n">
        <v>0.24074868</v>
      </c>
      <c r="S60" s="18" t="n">
        <v>29.51155772</v>
      </c>
      <c r="T60" s="20" t="n">
        <v>2.08866802</v>
      </c>
    </row>
    <row r="61" spans="1:20">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row>
    <row r="62" spans="1:20">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row>
    <row r="63" spans="1:20">
      <c r="A63" s="15" t="s">
        <v>623</v>
      </c>
      <c r="B63" s="17" t="n">
        <v>2511</v>
      </c>
      <c r="C63" s="18">
        <f>(1675.0/B63*100)</f>
        <v/>
      </c>
      <c r="D63" s="19" t="n">
        <v>836</v>
      </c>
      <c r="E63" s="18" t="n">
        <v>36.29949718</v>
      </c>
      <c r="F63" s="20" t="n">
        <v>1.82717561</v>
      </c>
      <c r="G63" s="18" t="n">
        <v>11.51227201</v>
      </c>
      <c r="H63" s="20" t="n">
        <v>1.20407993</v>
      </c>
      <c r="I63" s="18" t="n">
        <v>10.30322605</v>
      </c>
      <c r="J63" s="20" t="n">
        <v>1.05943005</v>
      </c>
      <c r="K63" s="18" t="n">
        <v>0</v>
      </c>
      <c r="L63" s="20" t="n">
        <v>0</v>
      </c>
      <c r="M63" s="18" t="n">
        <v>2.63516073</v>
      </c>
      <c r="N63" s="20" t="n">
        <v>0.60940935</v>
      </c>
      <c r="O63" s="18" t="n">
        <v>0</v>
      </c>
      <c r="P63" s="20" t="n">
        <v>0</v>
      </c>
      <c r="Q63" s="18" t="n">
        <v>0</v>
      </c>
      <c r="R63" s="20" t="n">
        <v>0</v>
      </c>
      <c r="S63" s="18" t="n">
        <v>39.24984403</v>
      </c>
      <c r="T63" s="20" t="n">
        <v>1.7454539</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1790</v>
      </c>
      <c r="C65" s="18">
        <f>(1190.0/B65*100)</f>
        <v/>
      </c>
      <c r="D65" s="19" t="n">
        <v>600</v>
      </c>
      <c r="E65" s="18" t="n">
        <v>29.94545159</v>
      </c>
      <c r="F65" s="20" t="n">
        <v>1.63677505</v>
      </c>
      <c r="G65" s="18" t="n">
        <v>22.5570457</v>
      </c>
      <c r="H65" s="20" t="n">
        <v>1.91873093</v>
      </c>
      <c r="I65" s="18" t="n">
        <v>30.26832632</v>
      </c>
      <c r="J65" s="20" t="n">
        <v>1.94416762</v>
      </c>
      <c r="K65" s="18" t="n">
        <v>0</v>
      </c>
      <c r="L65" s="20" t="n">
        <v>0</v>
      </c>
      <c r="M65" s="18" t="n">
        <v>2.19063303</v>
      </c>
      <c r="N65" s="20" t="n">
        <v>0.58679332</v>
      </c>
      <c r="O65" s="18" t="n">
        <v>0</v>
      </c>
      <c r="P65" s="20" t="n">
        <v>0</v>
      </c>
      <c r="Q65" s="18" t="n">
        <v>0</v>
      </c>
      <c r="R65" s="20" t="n">
        <v>0</v>
      </c>
      <c r="S65" s="18" t="n">
        <v>15.03854336</v>
      </c>
      <c r="T65" s="20" t="n">
        <v>1.31175263</v>
      </c>
    </row>
    <row r="66" spans="1:20">
      <c r="A66" s="15" t="s">
        <v>626</v>
      </c>
      <c r="B66" s="17" t="n">
        <v>2634</v>
      </c>
      <c r="C66" s="18">
        <f>(1747.0/B66*100)</f>
        <v/>
      </c>
      <c r="D66" s="19" t="n">
        <v>887</v>
      </c>
      <c r="E66" s="18" t="n">
        <v>37.27852934</v>
      </c>
      <c r="F66" s="20" t="n">
        <v>1.46491812</v>
      </c>
      <c r="G66" s="18" t="n">
        <v>19.25012541</v>
      </c>
      <c r="H66" s="20" t="n">
        <v>1.48833699</v>
      </c>
      <c r="I66" s="18" t="n">
        <v>16.77100101</v>
      </c>
      <c r="J66" s="20" t="n">
        <v>1.35030675</v>
      </c>
      <c r="K66" s="18" t="n">
        <v>0</v>
      </c>
      <c r="L66" s="20" t="n">
        <v>0</v>
      </c>
      <c r="M66" s="18" t="n">
        <v>2.89987835</v>
      </c>
      <c r="N66" s="20" t="n">
        <v>0.5458902</v>
      </c>
      <c r="O66" s="18" t="n">
        <v>0</v>
      </c>
      <c r="P66" s="20" t="n">
        <v>0</v>
      </c>
      <c r="Q66" s="18" t="n">
        <v>0</v>
      </c>
      <c r="R66" s="20" t="n">
        <v>0</v>
      </c>
      <c r="S66" s="18" t="n">
        <v>23.80046589</v>
      </c>
      <c r="T66" s="20" t="n">
        <v>1.4823602</v>
      </c>
    </row>
    <row r="67" spans="1:20">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row>
    <row r="68" spans="1:20">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row>
    <row r="69" spans="1:20">
      <c r="A69" s="15" t="s">
        <v>629</v>
      </c>
      <c r="B69" s="17" t="n">
        <v>720</v>
      </c>
      <c r="C69" s="18">
        <f>(482.0/B69*100)</f>
        <v/>
      </c>
      <c r="D69" s="19" t="n">
        <v>238</v>
      </c>
      <c r="E69" s="18" t="n">
        <v>46.46129996</v>
      </c>
      <c r="F69" s="20" t="n">
        <v>3.22760592</v>
      </c>
      <c r="G69" s="18" t="n">
        <v>25.10895966</v>
      </c>
      <c r="H69" s="20" t="n">
        <v>3.05710709</v>
      </c>
      <c r="I69" s="18" t="n">
        <v>14.21994138</v>
      </c>
      <c r="J69" s="20" t="n">
        <v>1.91024633</v>
      </c>
      <c r="K69" s="18" t="n">
        <v>0</v>
      </c>
      <c r="L69" s="20" t="n">
        <v>0</v>
      </c>
      <c r="M69" s="18" t="n">
        <v>0</v>
      </c>
      <c r="N69" s="20" t="n">
        <v>0</v>
      </c>
      <c r="O69" s="18" t="n">
        <v>0</v>
      </c>
      <c r="P69" s="20" t="n">
        <v>0</v>
      </c>
      <c r="Q69" s="18" t="n">
        <v>0</v>
      </c>
      <c r="R69" s="20" t="n">
        <v>0</v>
      </c>
      <c r="S69" s="18" t="n">
        <v>14.209799</v>
      </c>
      <c r="T69" s="20" t="n">
        <v>3.24145101</v>
      </c>
    </row>
    <row r="70" spans="1:20">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row>
    <row r="71" spans="1:20">
      <c r="A71" s="15" t="s">
        <v>631</v>
      </c>
      <c r="B71" s="17" t="n">
        <v>2466</v>
      </c>
      <c r="C71" s="18">
        <f>(1643.0/B71*100)</f>
        <v/>
      </c>
      <c r="D71" s="19" t="n">
        <v>823</v>
      </c>
      <c r="E71" s="18" t="n">
        <v>53.58898319</v>
      </c>
      <c r="F71" s="20" t="n">
        <v>1.8339171</v>
      </c>
      <c r="G71" s="18" t="n">
        <v>29.52920038</v>
      </c>
      <c r="H71" s="20" t="n">
        <v>1.56990261</v>
      </c>
      <c r="I71" s="18" t="n">
        <v>16.64835773</v>
      </c>
      <c r="J71" s="20" t="n">
        <v>1.38326124</v>
      </c>
      <c r="K71" s="18" t="n">
        <v>0</v>
      </c>
      <c r="L71" s="20" t="n">
        <v>0</v>
      </c>
      <c r="M71" s="18" t="n">
        <v>0.13233748</v>
      </c>
      <c r="N71" s="20" t="n">
        <v>0.13226401</v>
      </c>
      <c r="O71" s="18" t="n">
        <v>0</v>
      </c>
      <c r="P71" s="20" t="n">
        <v>0</v>
      </c>
      <c r="Q71" s="18" t="n">
        <v>0</v>
      </c>
      <c r="R71" s="20" t="n">
        <v>0</v>
      </c>
      <c r="S71" s="18" t="n">
        <v>0.10112122</v>
      </c>
      <c r="T71" s="20" t="n">
        <v>0.10121336</v>
      </c>
    </row>
    <row r="72" spans="1:20">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row>
    <row r="73" spans="1:20">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row>
    <row r="74" spans="1:20">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row>
    <row r="75" spans="1:20">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row>
    <row r="76" spans="1:20">
      <c r="A76" s="15" t="s">
        <v>636</v>
      </c>
      <c r="B76" s="17" t="n">
        <v>2453</v>
      </c>
      <c r="C76" s="18">
        <f>(1640.0/B76*100)</f>
        <v/>
      </c>
      <c r="D76" s="19" t="n">
        <v>813</v>
      </c>
      <c r="E76" s="18" t="n">
        <v>29.86287434</v>
      </c>
      <c r="F76" s="20" t="n">
        <v>1.73863989</v>
      </c>
      <c r="G76" s="18" t="n">
        <v>21.19405835</v>
      </c>
      <c r="H76" s="20" t="n">
        <v>1.62035443</v>
      </c>
      <c r="I76" s="18" t="n">
        <v>19.06900038</v>
      </c>
      <c r="J76" s="20" t="n">
        <v>1.32583761</v>
      </c>
      <c r="K76" s="18" t="n">
        <v>0</v>
      </c>
      <c r="L76" s="20" t="n">
        <v>0</v>
      </c>
      <c r="M76" s="18" t="n">
        <v>3.63282738</v>
      </c>
      <c r="N76" s="20" t="n">
        <v>0.64104184</v>
      </c>
      <c r="O76" s="18" t="n">
        <v>0</v>
      </c>
      <c r="P76" s="20" t="n">
        <v>0</v>
      </c>
      <c r="Q76" s="18" t="n">
        <v>0</v>
      </c>
      <c r="R76" s="20" t="n">
        <v>0</v>
      </c>
      <c r="S76" s="18" t="n">
        <v>26.24123955</v>
      </c>
      <c r="T76" s="20" t="n">
        <v>1.45321957</v>
      </c>
    </row>
    <row r="77" spans="1:20">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row>
    <row r="78" spans="1:20">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row>
    <row r="79" spans="1:20">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row>
    <row r="80" spans="1:20">
      <c r="A80" s="15" t="s">
        <v>640</v>
      </c>
      <c r="B80" s="17" t="n">
        <v>3040</v>
      </c>
      <c r="C80" s="18">
        <f>(2033.0/B80*100)</f>
        <v/>
      </c>
      <c r="D80" s="19" t="n">
        <v>1007</v>
      </c>
      <c r="E80" s="18" t="n">
        <v>49.10165908</v>
      </c>
      <c r="F80" s="20" t="n">
        <v>2.21923764</v>
      </c>
      <c r="G80" s="18" t="n">
        <v>20.25193417</v>
      </c>
      <c r="H80" s="20" t="n">
        <v>1.37747987</v>
      </c>
      <c r="I80" s="18" t="n">
        <v>29.31307074</v>
      </c>
      <c r="J80" s="20" t="n">
        <v>1.62070717</v>
      </c>
      <c r="K80" s="18" t="n">
        <v>0</v>
      </c>
      <c r="L80" s="20" t="n">
        <v>0</v>
      </c>
      <c r="M80" s="18" t="n">
        <v>0</v>
      </c>
      <c r="N80" s="20" t="n">
        <v>0</v>
      </c>
      <c r="O80" s="18" t="n">
        <v>0</v>
      </c>
      <c r="P80" s="20" t="n">
        <v>0</v>
      </c>
      <c r="Q80" s="18" t="n">
        <v>0</v>
      </c>
      <c r="R80" s="20" t="n">
        <v>0</v>
      </c>
      <c r="S80" s="18" t="n">
        <v>1.33333602</v>
      </c>
      <c r="T80" s="20" t="n">
        <v>0.3582569</v>
      </c>
    </row>
    <row r="81" spans="1:20">
      <c r="A81" s="15" t="s">
        <v>641</v>
      </c>
      <c r="B81" s="17" t="n">
        <v>870</v>
      </c>
      <c r="C81" s="18">
        <f>(577.0/B81*100)</f>
        <v/>
      </c>
      <c r="D81" s="19" t="n">
        <v>293</v>
      </c>
      <c r="E81" s="18" t="n">
        <v>27.07582598</v>
      </c>
      <c r="F81" s="20" t="n">
        <v>3.44116954</v>
      </c>
      <c r="G81" s="18" t="n">
        <v>31.21173229</v>
      </c>
      <c r="H81" s="20" t="n">
        <v>2.12856755</v>
      </c>
      <c r="I81" s="18" t="n">
        <v>24.74585777</v>
      </c>
      <c r="J81" s="20" t="n">
        <v>3.25494916</v>
      </c>
      <c r="K81" s="18" t="n">
        <v>0</v>
      </c>
      <c r="L81" s="20" t="n">
        <v>0</v>
      </c>
      <c r="M81" s="18" t="n">
        <v>2.43169785</v>
      </c>
      <c r="N81" s="20" t="n">
        <v>0.97583324</v>
      </c>
      <c r="O81" s="18" t="n">
        <v>0</v>
      </c>
      <c r="P81" s="20" t="n">
        <v>0</v>
      </c>
      <c r="Q81" s="18" t="n">
        <v>0</v>
      </c>
      <c r="R81" s="20" t="n">
        <v>0</v>
      </c>
      <c r="S81" s="18" t="n">
        <v>14.53488611</v>
      </c>
      <c r="T81" s="20" t="n">
        <v>2.54548146</v>
      </c>
    </row>
    <row r="82" spans="1:20">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row>
    <row r="83" spans="1:20">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row>
    <row r="84" spans="1:20">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2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(1782.0/B44*100)</f>
        <v/>
      </c>
      <c r="D44" s="19" t="n">
        <v>909</v>
      </c>
      <c r="E44" s="18" t="n">
        <v>43.2943762</v>
      </c>
      <c r="F44" s="20" t="n">
        <v>1.93557307</v>
      </c>
      <c r="G44" s="18" t="n">
        <v>41.08396986</v>
      </c>
      <c r="H44" s="20" t="n">
        <v>2.13953555</v>
      </c>
      <c r="I44" s="18" t="n">
        <v>0</v>
      </c>
      <c r="J44" s="20" t="n">
        <v>0</v>
      </c>
      <c r="K44" s="18" t="n">
        <v>1.62782733</v>
      </c>
      <c r="L44" s="20" t="n">
        <v>0.42647338</v>
      </c>
      <c r="M44" s="18" t="n">
        <v>0</v>
      </c>
      <c r="N44" s="20" t="n">
        <v>0</v>
      </c>
      <c r="O44" s="18" t="n">
        <v>3.87707162</v>
      </c>
      <c r="P44" s="20" t="n">
        <v>0.83121546</v>
      </c>
      <c r="Q44" s="18" t="n">
        <v>10.11675499</v>
      </c>
      <c r="R44" s="20" t="n">
        <v>1.4632433</v>
      </c>
    </row>
    <row r="45" spans="1:18">
      <c r="A45" s="15" t="s">
        <v>604</v>
      </c>
      <c r="B45" s="17" t="n">
        <v>2670</v>
      </c>
      <c r="C45" s="18">
        <f>(1779.0/B45*100)</f>
        <v/>
      </c>
      <c r="D45" s="19" t="n">
        <v>891</v>
      </c>
      <c r="E45" s="18" t="n">
        <v>45.5078056</v>
      </c>
      <c r="F45" s="20" t="n">
        <v>2.01052453</v>
      </c>
      <c r="G45" s="18" t="n">
        <v>33.56345115</v>
      </c>
      <c r="H45" s="20" t="n">
        <v>1.82946271</v>
      </c>
      <c r="I45" s="18" t="n">
        <v>0</v>
      </c>
      <c r="J45" s="20" t="n">
        <v>0</v>
      </c>
      <c r="K45" s="18" t="n">
        <v>5.56861006</v>
      </c>
      <c r="L45" s="20" t="n">
        <v>0.82161578</v>
      </c>
      <c r="M45" s="18" t="n">
        <v>0.16781181</v>
      </c>
      <c r="N45" s="20" t="n">
        <v>0.12199631</v>
      </c>
      <c r="O45" s="18" t="n">
        <v>4.99266685</v>
      </c>
      <c r="P45" s="20" t="n">
        <v>0.81078178</v>
      </c>
      <c r="Q45" s="18" t="n">
        <v>10.19965453</v>
      </c>
      <c r="R45" s="20" t="n">
        <v>0.97281221</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(1715.0/B54*100)</f>
        <v/>
      </c>
      <c r="D54" s="19" t="n">
        <v>842</v>
      </c>
      <c r="E54" s="18" t="n">
        <v>46.85093903</v>
      </c>
      <c r="F54" s="20" t="n">
        <v>1.96714114</v>
      </c>
      <c r="G54" s="18" t="n">
        <v>42.90009193</v>
      </c>
      <c r="H54" s="20" t="n">
        <v>1.73840202</v>
      </c>
      <c r="I54" s="18" t="n">
        <v>0</v>
      </c>
      <c r="J54" s="20" t="n">
        <v>0</v>
      </c>
      <c r="K54" s="18" t="n">
        <v>1.9442099</v>
      </c>
      <c r="L54" s="20" t="n">
        <v>0.52087905</v>
      </c>
      <c r="M54" s="18" t="n">
        <v>0</v>
      </c>
      <c r="N54" s="20" t="n">
        <v>0</v>
      </c>
      <c r="O54" s="18" t="n">
        <v>1.2360465</v>
      </c>
      <c r="P54" s="20" t="n">
        <v>0.37475355</v>
      </c>
      <c r="Q54" s="18" t="n">
        <v>7.06871265</v>
      </c>
      <c r="R54" s="20" t="n">
        <v>0.75917082</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(2264.0/B56*100)</f>
        <v/>
      </c>
      <c r="D56" s="19" t="n">
        <v>1079</v>
      </c>
      <c r="E56" s="18" t="n">
        <v>45.6617977</v>
      </c>
      <c r="F56" s="20" t="n">
        <v>1.70815155</v>
      </c>
      <c r="G56" s="18" t="n">
        <v>48.00800564</v>
      </c>
      <c r="H56" s="20" t="n">
        <v>1.6070064</v>
      </c>
      <c r="I56" s="18" t="n">
        <v>0</v>
      </c>
      <c r="J56" s="20" t="n">
        <v>0</v>
      </c>
      <c r="K56" s="18" t="n">
        <v>1.3462735</v>
      </c>
      <c r="L56" s="20" t="n">
        <v>0.42197232</v>
      </c>
      <c r="M56" s="18" t="n">
        <v>0</v>
      </c>
      <c r="N56" s="20" t="n">
        <v>0</v>
      </c>
      <c r="O56" s="18" t="n">
        <v>0</v>
      </c>
      <c r="P56" s="20" t="n">
        <v>0</v>
      </c>
      <c r="Q56" s="18" t="n">
        <v>4.98392317</v>
      </c>
      <c r="R56" s="20" t="n">
        <v>0.91661634</v>
      </c>
    </row>
    <row r="57" spans="1:18">
      <c r="A57" s="15" t="s">
        <v>616</v>
      </c>
      <c r="B57" s="17" t="n">
        <v>3737</v>
      </c>
      <c r="C57" s="18">
        <f>(2493.0/B57*100)</f>
        <v/>
      </c>
      <c r="D57" s="19" t="n">
        <v>1244</v>
      </c>
      <c r="E57" s="18" t="n">
        <v>50.76482192</v>
      </c>
      <c r="F57" s="20" t="n">
        <v>2.16301864</v>
      </c>
      <c r="G57" s="18" t="n">
        <v>42.87282749</v>
      </c>
      <c r="H57" s="20" t="n">
        <v>2.05792739</v>
      </c>
      <c r="I57" s="18" t="n">
        <v>0</v>
      </c>
      <c r="J57" s="20" t="n">
        <v>0</v>
      </c>
      <c r="K57" s="18" t="n">
        <v>1.87795637</v>
      </c>
      <c r="L57" s="20" t="n">
        <v>0.53912214</v>
      </c>
      <c r="M57" s="18" t="n">
        <v>0</v>
      </c>
      <c r="N57" s="20" t="n">
        <v>0</v>
      </c>
      <c r="O57" s="18" t="n">
        <v>0.62744784</v>
      </c>
      <c r="P57" s="20" t="n">
        <v>0.26223182</v>
      </c>
      <c r="Q57" s="18" t="n">
        <v>3.85694638</v>
      </c>
      <c r="R57" s="20" t="n">
        <v>0.64558791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(1514.0/B59*100)</f>
        <v/>
      </c>
      <c r="D59" s="19" t="n">
        <v>764</v>
      </c>
      <c r="E59" s="18" t="n">
        <v>57.37446298</v>
      </c>
      <c r="F59" s="20" t="n">
        <v>1.92879314</v>
      </c>
      <c r="G59" s="18" t="n">
        <v>34.18330927</v>
      </c>
      <c r="H59" s="20" t="n">
        <v>2.13731919</v>
      </c>
      <c r="I59" s="18" t="n">
        <v>0</v>
      </c>
      <c r="J59" s="20" t="n">
        <v>0</v>
      </c>
      <c r="K59" s="18" t="n">
        <v>0.31874632</v>
      </c>
      <c r="L59" s="20" t="n">
        <v>0.16871339</v>
      </c>
      <c r="M59" s="18" t="n">
        <v>0.22036703</v>
      </c>
      <c r="N59" s="20" t="n">
        <v>0.13054237</v>
      </c>
      <c r="O59" s="18" t="n">
        <v>4.12412663</v>
      </c>
      <c r="P59" s="20" t="n">
        <v>0.96334538</v>
      </c>
      <c r="Q59" s="18" t="n">
        <v>3.77898778</v>
      </c>
      <c r="R59" s="20" t="n">
        <v>0.73117689</v>
      </c>
    </row>
    <row r="60" spans="1:18">
      <c r="A60" s="15" t="s">
        <v>620</v>
      </c>
      <c r="B60" s="17" t="n">
        <v>2451</v>
      </c>
      <c r="C60" s="18">
        <f>(1608.0/B60*100)</f>
        <v/>
      </c>
      <c r="D60" s="19" t="n">
        <v>843</v>
      </c>
      <c r="E60" s="18" t="n">
        <v>46.26648543</v>
      </c>
      <c r="F60" s="20" t="n">
        <v>2.43272319</v>
      </c>
      <c r="G60" s="18" t="n">
        <v>34.49237818</v>
      </c>
      <c r="H60" s="20" t="n">
        <v>2.09741121</v>
      </c>
      <c r="I60" s="18" t="n">
        <v>0</v>
      </c>
      <c r="J60" s="20" t="n">
        <v>0</v>
      </c>
      <c r="K60" s="18" t="n">
        <v>2.78162383</v>
      </c>
      <c r="L60" s="20" t="n">
        <v>0.5927468299999999</v>
      </c>
      <c r="M60" s="18" t="n">
        <v>0</v>
      </c>
      <c r="N60" s="20" t="n">
        <v>0</v>
      </c>
      <c r="O60" s="18" t="n">
        <v>4.41235374</v>
      </c>
      <c r="P60" s="20" t="n">
        <v>0.88680536</v>
      </c>
      <c r="Q60" s="18" t="n">
        <v>12.04715882</v>
      </c>
      <c r="R60" s="20" t="n">
        <v>1.28291747</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(1675.0/B63*100)</f>
        <v/>
      </c>
      <c r="D63" s="19" t="n">
        <v>836</v>
      </c>
      <c r="E63" s="18" t="n">
        <v>57.34522468</v>
      </c>
      <c r="F63" s="20" t="n">
        <v>1.74053901</v>
      </c>
      <c r="G63" s="18" t="n">
        <v>22.98043066</v>
      </c>
      <c r="H63" s="20" t="n">
        <v>1.58643367</v>
      </c>
      <c r="I63" s="18" t="n">
        <v>0</v>
      </c>
      <c r="J63" s="20" t="n">
        <v>0</v>
      </c>
      <c r="K63" s="18" t="n">
        <v>2.63516073</v>
      </c>
      <c r="L63" s="20" t="n">
        <v>0.60940935</v>
      </c>
      <c r="M63" s="18" t="n">
        <v>0</v>
      </c>
      <c r="N63" s="20" t="n">
        <v>0</v>
      </c>
      <c r="O63" s="18" t="n">
        <v>2.87389725</v>
      </c>
      <c r="P63" s="20" t="n">
        <v>0.56801608</v>
      </c>
      <c r="Q63" s="18" t="n">
        <v>14.16528668</v>
      </c>
      <c r="R63" s="20" t="n">
        <v>1.26259798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(1190.0/B65*100)</f>
        <v/>
      </c>
      <c r="D65" s="19" t="n">
        <v>600</v>
      </c>
      <c r="E65" s="18" t="n">
        <v>34.83363031</v>
      </c>
      <c r="F65" s="20" t="n">
        <v>2.15388821</v>
      </c>
      <c r="G65" s="18" t="n">
        <v>50.08215585</v>
      </c>
      <c r="H65" s="20" t="n">
        <v>1.93129127</v>
      </c>
      <c r="I65" s="18" t="n">
        <v>0</v>
      </c>
      <c r="J65" s="20" t="n">
        <v>0</v>
      </c>
      <c r="K65" s="18" t="n">
        <v>2.19063303</v>
      </c>
      <c r="L65" s="20" t="n">
        <v>0.58679332</v>
      </c>
      <c r="M65" s="18" t="n">
        <v>0</v>
      </c>
      <c r="N65" s="20" t="n">
        <v>0</v>
      </c>
      <c r="O65" s="18" t="n">
        <v>7.66239785</v>
      </c>
      <c r="P65" s="20" t="n">
        <v>1.19039299</v>
      </c>
      <c r="Q65" s="18" t="n">
        <v>5.23118296</v>
      </c>
      <c r="R65" s="20" t="n">
        <v>0.9528686</v>
      </c>
    </row>
    <row r="66" spans="1:18">
      <c r="A66" s="15" t="s">
        <v>626</v>
      </c>
      <c r="B66" s="17" t="n">
        <v>2634</v>
      </c>
      <c r="C66" s="18">
        <f>(1747.0/B66*100)</f>
        <v/>
      </c>
      <c r="D66" s="19" t="n">
        <v>887</v>
      </c>
      <c r="E66" s="18" t="n">
        <v>47.97251024</v>
      </c>
      <c r="F66" s="20" t="n">
        <v>1.61336069</v>
      </c>
      <c r="G66" s="18" t="n">
        <v>32.32576086</v>
      </c>
      <c r="H66" s="20" t="n">
        <v>1.50070926</v>
      </c>
      <c r="I66" s="18" t="n">
        <v>0</v>
      </c>
      <c r="J66" s="20" t="n">
        <v>0</v>
      </c>
      <c r="K66" s="18" t="n">
        <v>2.92022403</v>
      </c>
      <c r="L66" s="20" t="n">
        <v>0.55040438</v>
      </c>
      <c r="M66" s="18" t="n">
        <v>5.97827988</v>
      </c>
      <c r="N66" s="20" t="n">
        <v>0.95520117</v>
      </c>
      <c r="O66" s="18" t="n">
        <v>0</v>
      </c>
      <c r="P66" s="20" t="n">
        <v>0</v>
      </c>
      <c r="Q66" s="18" t="n">
        <v>10.803225</v>
      </c>
      <c r="R66" s="20" t="n">
        <v>0.94514852</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(482.0/B69*100)</f>
        <v/>
      </c>
      <c r="D69" s="19" t="n">
        <v>238</v>
      </c>
      <c r="E69" s="18" t="n">
        <v>44.92913887</v>
      </c>
      <c r="F69" s="20" t="n">
        <v>3.22168005</v>
      </c>
      <c r="G69" s="18" t="n">
        <v>52.5269355</v>
      </c>
      <c r="H69" s="20" t="n">
        <v>3.45273631</v>
      </c>
      <c r="I69" s="18" t="n">
        <v>0</v>
      </c>
      <c r="J69" s="20" t="n">
        <v>0</v>
      </c>
      <c r="K69" s="18" t="n">
        <v>0</v>
      </c>
      <c r="L69" s="20" t="n">
        <v>0</v>
      </c>
      <c r="M69" s="18" t="n">
        <v>0</v>
      </c>
      <c r="N69" s="20" t="n">
        <v>0</v>
      </c>
      <c r="O69" s="18" t="n">
        <v>0.28667847</v>
      </c>
      <c r="P69" s="20" t="n">
        <v>0.28962164</v>
      </c>
      <c r="Q69" s="18" t="n">
        <v>2.25724716</v>
      </c>
      <c r="R69" s="20" t="n">
        <v>1.22857879</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(1643.0/B71*100)</f>
        <v/>
      </c>
      <c r="D71" s="19" t="n">
        <v>823</v>
      </c>
      <c r="E71" s="18" t="n">
        <v>55.03694655</v>
      </c>
      <c r="F71" s="20" t="n">
        <v>1.64188187</v>
      </c>
      <c r="G71" s="18" t="n">
        <v>44.83071597</v>
      </c>
      <c r="H71" s="20" t="n">
        <v>1.63697943</v>
      </c>
      <c r="I71" s="18" t="n">
        <v>0</v>
      </c>
      <c r="J71" s="20" t="n">
        <v>0</v>
      </c>
      <c r="K71" s="18" t="n">
        <v>0.13233748</v>
      </c>
      <c r="L71" s="20" t="n">
        <v>0.13226401</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(1640.0/B76*100)</f>
        <v/>
      </c>
      <c r="D76" s="19" t="n">
        <v>813</v>
      </c>
      <c r="E76" s="18" t="n">
        <v>42.63849781</v>
      </c>
      <c r="F76" s="20" t="n">
        <v>1.98624731</v>
      </c>
      <c r="G76" s="18" t="n">
        <v>41.19901197</v>
      </c>
      <c r="H76" s="20" t="n">
        <v>1.59067829</v>
      </c>
      <c r="I76" s="18" t="n">
        <v>0</v>
      </c>
      <c r="J76" s="20" t="n">
        <v>0</v>
      </c>
      <c r="K76" s="18" t="n">
        <v>3.97287296</v>
      </c>
      <c r="L76" s="20" t="n">
        <v>0.76406405</v>
      </c>
      <c r="M76" s="18" t="n">
        <v>0</v>
      </c>
      <c r="N76" s="20" t="n">
        <v>0</v>
      </c>
      <c r="O76" s="18" t="n">
        <v>0.78780511</v>
      </c>
      <c r="P76" s="20" t="n">
        <v>0.31271855</v>
      </c>
      <c r="Q76" s="18" t="n">
        <v>11.40181216</v>
      </c>
      <c r="R76" s="20" t="n">
        <v>1.1985484</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(2033.0/B80*100)</f>
        <v/>
      </c>
      <c r="D80" s="19" t="n">
        <v>1007</v>
      </c>
      <c r="E80" s="18" t="n">
        <v>20.6196353</v>
      </c>
      <c r="F80" s="20" t="n">
        <v>1.5151262</v>
      </c>
      <c r="G80" s="18" t="n">
        <v>79.3803647</v>
      </c>
      <c r="H80" s="20" t="n">
        <v>1.5151262</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(577.0/B81*100)</f>
        <v/>
      </c>
      <c r="D81" s="19" t="n">
        <v>293</v>
      </c>
      <c r="E81" s="18" t="n">
        <v>24.34370701</v>
      </c>
      <c r="F81" s="20" t="n">
        <v>2.24446357</v>
      </c>
      <c r="G81" s="18" t="n">
        <v>65.4042146</v>
      </c>
      <c r="H81" s="20" t="n">
        <v>2.99662161</v>
      </c>
      <c r="I81" s="18" t="n">
        <v>0</v>
      </c>
      <c r="J81" s="20" t="n">
        <v>0</v>
      </c>
      <c r="K81" s="18" t="n">
        <v>2.58505193</v>
      </c>
      <c r="L81" s="20" t="n">
        <v>1.01390625</v>
      </c>
      <c r="M81" s="18" t="n">
        <v>0</v>
      </c>
      <c r="N81" s="20" t="n">
        <v>0</v>
      </c>
      <c r="O81" s="18" t="n">
        <v>3.33105711</v>
      </c>
      <c r="P81" s="20" t="n">
        <v>1.06432126</v>
      </c>
      <c r="Q81" s="18" t="n">
        <v>4.33596935</v>
      </c>
      <c r="R81" s="20" t="n">
        <v>1.60600163</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(1782.0/B44*100)</f>
        <v/>
      </c>
      <c r="D44" s="19" t="n">
        <v>909</v>
      </c>
      <c r="E44" s="18" t="n">
        <v>56.72015349</v>
      </c>
      <c r="F44" s="20" t="n">
        <v>1.83575274</v>
      </c>
      <c r="G44" s="18" t="n">
        <v>26.70173932</v>
      </c>
      <c r="H44" s="20" t="n">
        <v>1.40851853</v>
      </c>
      <c r="I44" s="18" t="n">
        <v>0</v>
      </c>
      <c r="J44" s="20" t="n">
        <v>0</v>
      </c>
      <c r="K44" s="18" t="n">
        <v>1.71854012</v>
      </c>
      <c r="L44" s="20" t="n">
        <v>0.43870517</v>
      </c>
      <c r="M44" s="18" t="n">
        <v>0</v>
      </c>
      <c r="N44" s="20" t="n">
        <v>0</v>
      </c>
      <c r="O44" s="18" t="n">
        <v>1.76745625</v>
      </c>
      <c r="P44" s="20" t="n">
        <v>0.59434548</v>
      </c>
      <c r="Q44" s="18" t="n">
        <v>13.09211082</v>
      </c>
      <c r="R44" s="20" t="n">
        <v>1.51554412</v>
      </c>
    </row>
    <row r="45" spans="1:18">
      <c r="A45" s="15" t="s">
        <v>604</v>
      </c>
      <c r="B45" s="17" t="n">
        <v>2670</v>
      </c>
      <c r="C45" s="18">
        <f>(1779.0/B45*100)</f>
        <v/>
      </c>
      <c r="D45" s="19" t="n">
        <v>891</v>
      </c>
      <c r="E45" s="18" t="n">
        <v>65.25926131999999</v>
      </c>
      <c r="F45" s="20" t="n">
        <v>1.93920379</v>
      </c>
      <c r="G45" s="18" t="n">
        <v>14.13044449</v>
      </c>
      <c r="H45" s="20" t="n">
        <v>1.2341685</v>
      </c>
      <c r="I45" s="18" t="n">
        <v>0</v>
      </c>
      <c r="J45" s="20" t="n">
        <v>0</v>
      </c>
      <c r="K45" s="18" t="n">
        <v>5.86474472</v>
      </c>
      <c r="L45" s="20" t="n">
        <v>0.80975469</v>
      </c>
      <c r="M45" s="18" t="n">
        <v>0.26389453</v>
      </c>
      <c r="N45" s="20" t="n">
        <v>0.1610625</v>
      </c>
      <c r="O45" s="18" t="n">
        <v>3.23298925</v>
      </c>
      <c r="P45" s="20" t="n">
        <v>0.6411788899999999</v>
      </c>
      <c r="Q45" s="18" t="n">
        <v>11.24866569</v>
      </c>
      <c r="R45" s="20" t="n">
        <v>1.06805573</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(1715.0/B54*100)</f>
        <v/>
      </c>
      <c r="D54" s="19" t="n">
        <v>842</v>
      </c>
      <c r="E54" s="18" t="n">
        <v>64.6871898</v>
      </c>
      <c r="F54" s="20" t="n">
        <v>1.5513126</v>
      </c>
      <c r="G54" s="18" t="n">
        <v>23.48969713</v>
      </c>
      <c r="H54" s="20" t="n">
        <v>1.41835989</v>
      </c>
      <c r="I54" s="18" t="n">
        <v>0</v>
      </c>
      <c r="J54" s="20" t="n">
        <v>0</v>
      </c>
      <c r="K54" s="18" t="n">
        <v>2.00476875</v>
      </c>
      <c r="L54" s="20" t="n">
        <v>0.52367284</v>
      </c>
      <c r="M54" s="18" t="n">
        <v>0</v>
      </c>
      <c r="N54" s="20" t="n">
        <v>0</v>
      </c>
      <c r="O54" s="18" t="n">
        <v>0.51351826</v>
      </c>
      <c r="P54" s="20" t="n">
        <v>0.23081693</v>
      </c>
      <c r="Q54" s="18" t="n">
        <v>9.304826070000001</v>
      </c>
      <c r="R54" s="20" t="n">
        <v>0.76422303</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(2264.0/B56*100)</f>
        <v/>
      </c>
      <c r="D56" s="19" t="n">
        <v>1079</v>
      </c>
      <c r="E56" s="18" t="n">
        <v>66.07813723</v>
      </c>
      <c r="F56" s="20" t="n">
        <v>1.46503627</v>
      </c>
      <c r="G56" s="18" t="n">
        <v>27.96678468</v>
      </c>
      <c r="H56" s="20" t="n">
        <v>1.28861599</v>
      </c>
      <c r="I56" s="18" t="n">
        <v>0</v>
      </c>
      <c r="J56" s="20" t="n">
        <v>0</v>
      </c>
      <c r="K56" s="18" t="n">
        <v>1.45358347</v>
      </c>
      <c r="L56" s="20" t="n">
        <v>0.44412708</v>
      </c>
      <c r="M56" s="18" t="n">
        <v>0</v>
      </c>
      <c r="N56" s="20" t="n">
        <v>0</v>
      </c>
      <c r="O56" s="18" t="n">
        <v>0</v>
      </c>
      <c r="P56" s="20" t="n">
        <v>0</v>
      </c>
      <c r="Q56" s="18" t="n">
        <v>4.50149463</v>
      </c>
      <c r="R56" s="20" t="n">
        <v>0.79650502</v>
      </c>
    </row>
    <row r="57" spans="1:18">
      <c r="A57" s="15" t="s">
        <v>616</v>
      </c>
      <c r="B57" s="17" t="n">
        <v>3737</v>
      </c>
      <c r="C57" s="18">
        <f>(2493.0/B57*100)</f>
        <v/>
      </c>
      <c r="D57" s="19" t="n">
        <v>1244</v>
      </c>
      <c r="E57" s="18" t="n">
        <v>73.08867844</v>
      </c>
      <c r="F57" s="20" t="n">
        <v>1.82361858</v>
      </c>
      <c r="G57" s="18" t="n">
        <v>18.5294202</v>
      </c>
      <c r="H57" s="20" t="n">
        <v>1.54459876</v>
      </c>
      <c r="I57" s="18" t="n">
        <v>0</v>
      </c>
      <c r="J57" s="20" t="n">
        <v>0</v>
      </c>
      <c r="K57" s="18" t="n">
        <v>2.08050552</v>
      </c>
      <c r="L57" s="20" t="n">
        <v>0.56981508</v>
      </c>
      <c r="M57" s="18" t="n">
        <v>0</v>
      </c>
      <c r="N57" s="20" t="n">
        <v>0</v>
      </c>
      <c r="O57" s="18" t="n">
        <v>0.85142986</v>
      </c>
      <c r="P57" s="20" t="n">
        <v>0.35393931</v>
      </c>
      <c r="Q57" s="18" t="n">
        <v>5.44996598</v>
      </c>
      <c r="R57" s="20" t="n">
        <v>0.77760377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(1514.0/B59*100)</f>
        <v/>
      </c>
      <c r="D59" s="19" t="n">
        <v>764</v>
      </c>
      <c r="E59" s="18" t="n">
        <v>68.08100942</v>
      </c>
      <c r="F59" s="20" t="n">
        <v>1.98316424</v>
      </c>
      <c r="G59" s="18" t="n">
        <v>23.10486795</v>
      </c>
      <c r="H59" s="20" t="n">
        <v>1.92756708</v>
      </c>
      <c r="I59" s="18" t="n">
        <v>0</v>
      </c>
      <c r="J59" s="20" t="n">
        <v>0</v>
      </c>
      <c r="K59" s="18" t="n">
        <v>0.31874632</v>
      </c>
      <c r="L59" s="20" t="n">
        <v>0.16871339</v>
      </c>
      <c r="M59" s="18" t="n">
        <v>0.36289052</v>
      </c>
      <c r="N59" s="20" t="n">
        <v>0.21134022</v>
      </c>
      <c r="O59" s="18" t="n">
        <v>2.13965694</v>
      </c>
      <c r="P59" s="20" t="n">
        <v>0.5677637</v>
      </c>
      <c r="Q59" s="18" t="n">
        <v>5.99282885</v>
      </c>
      <c r="R59" s="20" t="n">
        <v>1.12647934</v>
      </c>
    </row>
    <row r="60" spans="1:18">
      <c r="A60" s="15" t="s">
        <v>620</v>
      </c>
      <c r="B60" s="17" t="n">
        <v>2451</v>
      </c>
      <c r="C60" s="18">
        <f>(1608.0/B60*100)</f>
        <v/>
      </c>
      <c r="D60" s="19" t="n">
        <v>843</v>
      </c>
      <c r="E60" s="18" t="n">
        <v>52.96588122</v>
      </c>
      <c r="F60" s="20" t="n">
        <v>2.31846281</v>
      </c>
      <c r="G60" s="18" t="n">
        <v>26.64082167</v>
      </c>
      <c r="H60" s="20" t="n">
        <v>2.20107735</v>
      </c>
      <c r="I60" s="18" t="n">
        <v>0</v>
      </c>
      <c r="J60" s="20" t="n">
        <v>0</v>
      </c>
      <c r="K60" s="18" t="n">
        <v>2.78162383</v>
      </c>
      <c r="L60" s="20" t="n">
        <v>0.5927468299999999</v>
      </c>
      <c r="M60" s="18" t="n">
        <v>0</v>
      </c>
      <c r="N60" s="20" t="n">
        <v>0</v>
      </c>
      <c r="O60" s="18" t="n">
        <v>2.47452504</v>
      </c>
      <c r="P60" s="20" t="n">
        <v>0.65048301</v>
      </c>
      <c r="Q60" s="18" t="n">
        <v>15.13714824</v>
      </c>
      <c r="R60" s="20" t="n">
        <v>1.54250908</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(1675.0/B63*100)</f>
        <v/>
      </c>
      <c r="D63" s="19" t="n">
        <v>836</v>
      </c>
      <c r="E63" s="18" t="n">
        <v>51.7564702</v>
      </c>
      <c r="F63" s="20" t="n">
        <v>2.09619996</v>
      </c>
      <c r="G63" s="18" t="n">
        <v>28.86956394</v>
      </c>
      <c r="H63" s="20" t="n">
        <v>1.86620941</v>
      </c>
      <c r="I63" s="18" t="n">
        <v>0</v>
      </c>
      <c r="J63" s="20" t="n">
        <v>0</v>
      </c>
      <c r="K63" s="18" t="n">
        <v>2.98579168</v>
      </c>
      <c r="L63" s="20" t="n">
        <v>0.67076627</v>
      </c>
      <c r="M63" s="18" t="n">
        <v>0</v>
      </c>
      <c r="N63" s="20" t="n">
        <v>0</v>
      </c>
      <c r="O63" s="18" t="n">
        <v>1.25204637</v>
      </c>
      <c r="P63" s="20" t="n">
        <v>0.44471083</v>
      </c>
      <c r="Q63" s="18" t="n">
        <v>15.13612782</v>
      </c>
      <c r="R63" s="20" t="n">
        <v>1.24197159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(1190.0/B65*100)</f>
        <v/>
      </c>
      <c r="D65" s="19" t="n">
        <v>600</v>
      </c>
      <c r="E65" s="18" t="n">
        <v>55.06142118</v>
      </c>
      <c r="F65" s="20" t="n">
        <v>1.97911663</v>
      </c>
      <c r="G65" s="18" t="n">
        <v>34.20427394</v>
      </c>
      <c r="H65" s="20" t="n">
        <v>1.97386364</v>
      </c>
      <c r="I65" s="18" t="n">
        <v>0</v>
      </c>
      <c r="J65" s="20" t="n">
        <v>0</v>
      </c>
      <c r="K65" s="18" t="n">
        <v>2.19063303</v>
      </c>
      <c r="L65" s="20" t="n">
        <v>0.58679332</v>
      </c>
      <c r="M65" s="18" t="n">
        <v>0</v>
      </c>
      <c r="N65" s="20" t="n">
        <v>0</v>
      </c>
      <c r="O65" s="18" t="n">
        <v>2.51204213</v>
      </c>
      <c r="P65" s="20" t="n">
        <v>0.64191024</v>
      </c>
      <c r="Q65" s="18" t="n">
        <v>6.03162973</v>
      </c>
      <c r="R65" s="20" t="n">
        <v>1.12751622</v>
      </c>
    </row>
    <row r="66" spans="1:18">
      <c r="A66" s="15" t="s">
        <v>626</v>
      </c>
      <c r="B66" s="17" t="n">
        <v>2634</v>
      </c>
      <c r="C66" s="18">
        <f>(1747.0/B66*100)</f>
        <v/>
      </c>
      <c r="D66" s="19" t="n">
        <v>887</v>
      </c>
      <c r="E66" s="18" t="n">
        <v>58.6946581</v>
      </c>
      <c r="F66" s="20" t="n">
        <v>1.79323419</v>
      </c>
      <c r="G66" s="18" t="n">
        <v>23.45288558</v>
      </c>
      <c r="H66" s="20" t="n">
        <v>1.59425625</v>
      </c>
      <c r="I66" s="18" t="n">
        <v>0</v>
      </c>
      <c r="J66" s="20" t="n">
        <v>0</v>
      </c>
      <c r="K66" s="18" t="n">
        <v>2.92022403</v>
      </c>
      <c r="L66" s="20" t="n">
        <v>0.55040438</v>
      </c>
      <c r="M66" s="18" t="n">
        <v>3.45924194</v>
      </c>
      <c r="N66" s="20" t="n">
        <v>0.74184059</v>
      </c>
      <c r="O66" s="18" t="n">
        <v>0.18817414</v>
      </c>
      <c r="P66" s="20" t="n">
        <v>0.19749628</v>
      </c>
      <c r="Q66" s="18" t="n">
        <v>11.2848162</v>
      </c>
      <c r="R66" s="20" t="n">
        <v>0.97451054</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(482.0/B69*100)</f>
        <v/>
      </c>
      <c r="D69" s="19" t="n">
        <v>238</v>
      </c>
      <c r="E69" s="18" t="n">
        <v>83.53435399999999</v>
      </c>
      <c r="F69" s="20" t="n">
        <v>2.62817448</v>
      </c>
      <c r="G69" s="18" t="n">
        <v>15.2757709</v>
      </c>
      <c r="H69" s="20" t="n">
        <v>2.60668355</v>
      </c>
      <c r="I69" s="18" t="n">
        <v>0</v>
      </c>
      <c r="J69" s="20" t="n">
        <v>0</v>
      </c>
      <c r="K69" s="18" t="n">
        <v>0</v>
      </c>
      <c r="L69" s="20" t="n">
        <v>0</v>
      </c>
      <c r="M69" s="18" t="n">
        <v>0</v>
      </c>
      <c r="N69" s="20" t="n">
        <v>0</v>
      </c>
      <c r="O69" s="18" t="n">
        <v>0</v>
      </c>
      <c r="P69" s="20" t="n">
        <v>0</v>
      </c>
      <c r="Q69" s="18" t="n">
        <v>1.1898751</v>
      </c>
      <c r="R69" s="20" t="n">
        <v>0.72431534</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(1643.0/B71*100)</f>
        <v/>
      </c>
      <c r="D71" s="19" t="n">
        <v>823</v>
      </c>
      <c r="E71" s="18" t="n">
        <v>72.40125193</v>
      </c>
      <c r="F71" s="20" t="n">
        <v>1.51765632</v>
      </c>
      <c r="G71" s="18" t="n">
        <v>27.46641059</v>
      </c>
      <c r="H71" s="20" t="n">
        <v>1.52479752</v>
      </c>
      <c r="I71" s="18" t="n">
        <v>0</v>
      </c>
      <c r="J71" s="20" t="n">
        <v>0</v>
      </c>
      <c r="K71" s="18" t="n">
        <v>0.13233748</v>
      </c>
      <c r="L71" s="20" t="n">
        <v>0.13226401</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(1640.0/B76*100)</f>
        <v/>
      </c>
      <c r="D76" s="19" t="n">
        <v>813</v>
      </c>
      <c r="E76" s="18" t="n">
        <v>56.40093178</v>
      </c>
      <c r="F76" s="20" t="n">
        <v>1.7534724</v>
      </c>
      <c r="G76" s="18" t="n">
        <v>26.0068948</v>
      </c>
      <c r="H76" s="20" t="n">
        <v>1.58808498</v>
      </c>
      <c r="I76" s="18" t="n">
        <v>0</v>
      </c>
      <c r="J76" s="20" t="n">
        <v>0</v>
      </c>
      <c r="K76" s="18" t="n">
        <v>4.41595504</v>
      </c>
      <c r="L76" s="20" t="n">
        <v>0.89179553</v>
      </c>
      <c r="M76" s="18" t="n">
        <v>0</v>
      </c>
      <c r="N76" s="20" t="n">
        <v>0</v>
      </c>
      <c r="O76" s="18" t="n">
        <v>0.16749735</v>
      </c>
      <c r="P76" s="20" t="n">
        <v>0.11918306</v>
      </c>
      <c r="Q76" s="18" t="n">
        <v>13.00872102</v>
      </c>
      <c r="R76" s="20" t="n">
        <v>1.39310668</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(2033.0/B80*100)</f>
        <v/>
      </c>
      <c r="D80" s="19" t="n">
        <v>1007</v>
      </c>
      <c r="E80" s="18" t="n">
        <v>44.98525762</v>
      </c>
      <c r="F80" s="20" t="n">
        <v>1.67881367</v>
      </c>
      <c r="G80" s="18" t="n">
        <v>54.95627823</v>
      </c>
      <c r="H80" s="20" t="n">
        <v>1.68548605</v>
      </c>
      <c r="I80" s="18" t="n">
        <v>0</v>
      </c>
      <c r="J80" s="20" t="n">
        <v>0</v>
      </c>
      <c r="K80" s="18" t="n">
        <v>0</v>
      </c>
      <c r="L80" s="20" t="n">
        <v>0</v>
      </c>
      <c r="M80" s="18" t="n">
        <v>0</v>
      </c>
      <c r="N80" s="20" t="n">
        <v>0</v>
      </c>
      <c r="O80" s="18" t="n">
        <v>0</v>
      </c>
      <c r="P80" s="20" t="n">
        <v>0</v>
      </c>
      <c r="Q80" s="18" t="n">
        <v>0.05846416</v>
      </c>
      <c r="R80" s="20" t="n">
        <v>0.05862206</v>
      </c>
    </row>
    <row r="81" spans="1:18">
      <c r="A81" s="15" t="s">
        <v>641</v>
      </c>
      <c r="B81" s="17" t="n">
        <v>870</v>
      </c>
      <c r="C81" s="18">
        <f>(577.0/B81*100)</f>
        <v/>
      </c>
      <c r="D81" s="19" t="n">
        <v>293</v>
      </c>
      <c r="E81" s="18" t="n">
        <v>67.92256763</v>
      </c>
      <c r="F81" s="20" t="n">
        <v>2.45315885</v>
      </c>
      <c r="G81" s="18" t="n">
        <v>20.3962272</v>
      </c>
      <c r="H81" s="20" t="n">
        <v>1.8636035</v>
      </c>
      <c r="I81" s="18" t="n">
        <v>0</v>
      </c>
      <c r="J81" s="20" t="n">
        <v>0</v>
      </c>
      <c r="K81" s="18" t="n">
        <v>2.58505193</v>
      </c>
      <c r="L81" s="20" t="n">
        <v>1.01390625</v>
      </c>
      <c r="M81" s="18" t="n">
        <v>0</v>
      </c>
      <c r="N81" s="20" t="n">
        <v>0</v>
      </c>
      <c r="O81" s="18" t="n">
        <v>0.31947477</v>
      </c>
      <c r="P81" s="20" t="n">
        <v>0.31474258</v>
      </c>
      <c r="Q81" s="18" t="n">
        <v>8.77667847</v>
      </c>
      <c r="R81" s="20" t="n">
        <v>2.04704714</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5.xml><?xml version="1.0" encoding="utf-8"?>
<worksheet xmlns="http://schemas.openxmlformats.org/spreadsheetml/2006/main">
  <sheetPr>
    <outlinePr summaryBelow="1" summaryRight="1"/>
    <pageSetUpPr/>
  </sheetPr>
  <dimension ref="A1:Z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549</v>
      </c>
    </row>
    <row r="2" spans="1:26">
      <c r="A2" s="5" t="s">
        <v>891</v>
      </c>
    </row>
    <row customHeight="1" ht="30" r="4" spans="1:26">
      <c r="A4" s="6" t="n"/>
      <c r="B4" s="7" t="s">
        <v>551</v>
      </c>
      <c r="C4" s="7" t="s">
        <v>552</v>
      </c>
      <c r="D4" s="8" t="s">
        <v>551</v>
      </c>
      <c r="E4" s="9" t="s">
        <v>655</v>
      </c>
      <c r="F4" s="10" t="n"/>
      <c r="G4" s="9" t="s">
        <v>656</v>
      </c>
      <c r="H4" s="10" t="n"/>
      <c r="I4" s="9" t="s">
        <v>701</v>
      </c>
      <c r="J4" s="10" t="n"/>
      <c r="K4" s="9" t="s">
        <v>853</v>
      </c>
      <c r="L4" s="10" t="n"/>
      <c r="M4" s="9" t="s">
        <v>657</v>
      </c>
      <c r="N4" s="10" t="n"/>
      <c r="O4" s="9" t="s">
        <v>658</v>
      </c>
      <c r="P4" s="10" t="n"/>
      <c r="Q4" s="9" t="s">
        <v>555</v>
      </c>
      <c r="R4" s="10" t="n"/>
      <c r="S4" s="9" t="s">
        <v>556</v>
      </c>
      <c r="T4" s="10" t="n"/>
      <c r="U4" s="9" t="s">
        <v>557</v>
      </c>
      <c r="V4" s="10" t="n"/>
      <c r="W4" s="9" t="s">
        <v>558</v>
      </c>
      <c r="X4" s="10" t="n"/>
      <c r="Y4" s="9" t="s">
        <v>559</v>
      </c>
      <c r="Z4" s="10" t="n"/>
    </row>
    <row r="5" spans="1:26">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c r="W5" s="12" t="s">
        <v>561</v>
      </c>
      <c r="X5" s="11" t="s">
        <v>563</v>
      </c>
      <c r="Y5" s="12" t="s">
        <v>561</v>
      </c>
      <c r="Z5" s="11" t="s">
        <v>563</v>
      </c>
    </row>
    <row r="6" spans="1:26">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c r="U7" s="18" t="s">
        <v>603</v>
      </c>
      <c r="V7" s="20" t="s">
        <v>603</v>
      </c>
      <c r="W7" s="18" t="s">
        <v>603</v>
      </c>
      <c r="X7" s="20" t="s">
        <v>603</v>
      </c>
      <c r="Y7" s="18" t="s">
        <v>603</v>
      </c>
      <c r="Z7" s="20" t="s">
        <v>603</v>
      </c>
    </row>
    <row r="8" spans="1:26">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c r="U8" s="18" t="s">
        <v>603</v>
      </c>
      <c r="V8" s="20" t="s">
        <v>603</v>
      </c>
      <c r="W8" s="18" t="s">
        <v>603</v>
      </c>
      <c r="X8" s="20" t="s">
        <v>603</v>
      </c>
      <c r="Y8" s="18" t="s">
        <v>603</v>
      </c>
      <c r="Z8" s="20" t="s">
        <v>603</v>
      </c>
    </row>
    <row r="9" spans="1:26">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c r="U9" s="18" t="s">
        <v>603</v>
      </c>
      <c r="V9" s="20" t="s">
        <v>603</v>
      </c>
      <c r="W9" s="18" t="s">
        <v>603</v>
      </c>
      <c r="X9" s="20" t="s">
        <v>603</v>
      </c>
      <c r="Y9" s="18" t="s">
        <v>603</v>
      </c>
      <c r="Z9" s="20" t="s">
        <v>603</v>
      </c>
    </row>
    <row r="10" spans="1:26">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c r="U10" s="18" t="s">
        <v>603</v>
      </c>
      <c r="V10" s="20" t="s">
        <v>603</v>
      </c>
      <c r="W10" s="18" t="s">
        <v>603</v>
      </c>
      <c r="X10" s="20" t="s">
        <v>603</v>
      </c>
      <c r="Y10" s="18" t="s">
        <v>603</v>
      </c>
      <c r="Z10" s="20" t="s">
        <v>603</v>
      </c>
    </row>
    <row r="11" spans="1:26">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c r="U11" s="18" t="s">
        <v>603</v>
      </c>
      <c r="V11" s="20" t="s">
        <v>603</v>
      </c>
      <c r="W11" s="18" t="s">
        <v>603</v>
      </c>
      <c r="X11" s="20" t="s">
        <v>603</v>
      </c>
      <c r="Y11" s="18" t="s">
        <v>603</v>
      </c>
      <c r="Z11" s="20" t="s">
        <v>603</v>
      </c>
    </row>
    <row r="12" spans="1:26">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c r="U12" s="18" t="s">
        <v>603</v>
      </c>
      <c r="V12" s="20" t="s">
        <v>603</v>
      </c>
      <c r="W12" s="18" t="s">
        <v>603</v>
      </c>
      <c r="X12" s="20" t="s">
        <v>603</v>
      </c>
      <c r="Y12" s="18" t="s">
        <v>603</v>
      </c>
      <c r="Z12" s="20" t="s">
        <v>603</v>
      </c>
    </row>
    <row r="13" spans="1:26">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c r="U13" s="18" t="s">
        <v>603</v>
      </c>
      <c r="V13" s="20" t="s">
        <v>603</v>
      </c>
      <c r="W13" s="18" t="s">
        <v>603</v>
      </c>
      <c r="X13" s="20" t="s">
        <v>603</v>
      </c>
      <c r="Y13" s="18" t="s">
        <v>603</v>
      </c>
      <c r="Z13" s="20" t="s">
        <v>603</v>
      </c>
    </row>
    <row r="14" spans="1:26">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c r="U14" s="18" t="s">
        <v>603</v>
      </c>
      <c r="V14" s="20" t="s">
        <v>603</v>
      </c>
      <c r="W14" s="18" t="s">
        <v>603</v>
      </c>
      <c r="X14" s="20" t="s">
        <v>603</v>
      </c>
      <c r="Y14" s="18" t="s">
        <v>603</v>
      </c>
      <c r="Z14" s="20" t="s">
        <v>603</v>
      </c>
    </row>
    <row r="15" spans="1:26">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c r="U15" s="18" t="s">
        <v>603</v>
      </c>
      <c r="V15" s="20" t="s">
        <v>603</v>
      </c>
      <c r="W15" s="18" t="s">
        <v>603</v>
      </c>
      <c r="X15" s="20" t="s">
        <v>603</v>
      </c>
      <c r="Y15" s="18" t="s">
        <v>603</v>
      </c>
      <c r="Z15" s="20" t="s">
        <v>603</v>
      </c>
    </row>
    <row r="16" spans="1:26">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c r="U16" s="18" t="s">
        <v>603</v>
      </c>
      <c r="V16" s="20" t="s">
        <v>603</v>
      </c>
      <c r="W16" s="18" t="s">
        <v>603</v>
      </c>
      <c r="X16" s="20" t="s">
        <v>603</v>
      </c>
      <c r="Y16" s="18" t="s">
        <v>603</v>
      </c>
      <c r="Z16" s="20" t="s">
        <v>603</v>
      </c>
    </row>
    <row r="17" spans="1:26">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c r="U17" s="18" t="s">
        <v>603</v>
      </c>
      <c r="V17" s="20" t="s">
        <v>603</v>
      </c>
      <c r="W17" s="18" t="s">
        <v>603</v>
      </c>
      <c r="X17" s="20" t="s">
        <v>603</v>
      </c>
      <c r="Y17" s="18" t="s">
        <v>603</v>
      </c>
      <c r="Z17" s="20" t="s">
        <v>603</v>
      </c>
    </row>
    <row r="18" spans="1:26">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c r="U18" s="18" t="s">
        <v>603</v>
      </c>
      <c r="V18" s="20" t="s">
        <v>603</v>
      </c>
      <c r="W18" s="18" t="s">
        <v>603</v>
      </c>
      <c r="X18" s="20" t="s">
        <v>603</v>
      </c>
      <c r="Y18" s="18" t="s">
        <v>603</v>
      </c>
      <c r="Z18" s="20" t="s">
        <v>603</v>
      </c>
    </row>
    <row r="19" spans="1:26">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c r="U19" s="18" t="s">
        <v>603</v>
      </c>
      <c r="V19" s="20" t="s">
        <v>603</v>
      </c>
      <c r="W19" s="18" t="s">
        <v>603</v>
      </c>
      <c r="X19" s="20" t="s">
        <v>603</v>
      </c>
      <c r="Y19" s="18" t="s">
        <v>603</v>
      </c>
      <c r="Z19" s="20" t="s">
        <v>603</v>
      </c>
    </row>
    <row r="20" spans="1:26">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c r="U20" s="18" t="s">
        <v>603</v>
      </c>
      <c r="V20" s="20" t="s">
        <v>603</v>
      </c>
      <c r="W20" s="18" t="s">
        <v>603</v>
      </c>
      <c r="X20" s="20" t="s">
        <v>603</v>
      </c>
      <c r="Y20" s="18" t="s">
        <v>603</v>
      </c>
      <c r="Z20" s="20" t="s">
        <v>603</v>
      </c>
    </row>
    <row r="21" spans="1:26">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c r="U21" s="18" t="s">
        <v>603</v>
      </c>
      <c r="V21" s="20" t="s">
        <v>603</v>
      </c>
      <c r="W21" s="18" t="s">
        <v>603</v>
      </c>
      <c r="X21" s="20" t="s">
        <v>603</v>
      </c>
      <c r="Y21" s="18" t="s">
        <v>603</v>
      </c>
      <c r="Z21" s="20" t="s">
        <v>603</v>
      </c>
    </row>
    <row r="22" spans="1:26">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c r="U22" s="18" t="s">
        <v>603</v>
      </c>
      <c r="V22" s="20" t="s">
        <v>603</v>
      </c>
      <c r="W22" s="18" t="s">
        <v>603</v>
      </c>
      <c r="X22" s="20" t="s">
        <v>603</v>
      </c>
      <c r="Y22" s="18" t="s">
        <v>603</v>
      </c>
      <c r="Z22" s="20" t="s">
        <v>603</v>
      </c>
    </row>
    <row r="23" spans="1:26">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c r="U23" s="18" t="s">
        <v>603</v>
      </c>
      <c r="V23" s="20" t="s">
        <v>603</v>
      </c>
      <c r="W23" s="18" t="s">
        <v>603</v>
      </c>
      <c r="X23" s="20" t="s">
        <v>603</v>
      </c>
      <c r="Y23" s="18" t="s">
        <v>603</v>
      </c>
      <c r="Z23" s="20" t="s">
        <v>603</v>
      </c>
    </row>
    <row r="24" spans="1:26">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c r="U24" s="18" t="s">
        <v>603</v>
      </c>
      <c r="V24" s="20" t="s">
        <v>603</v>
      </c>
      <c r="W24" s="18" t="s">
        <v>603</v>
      </c>
      <c r="X24" s="20" t="s">
        <v>603</v>
      </c>
      <c r="Y24" s="18" t="s">
        <v>603</v>
      </c>
      <c r="Z24" s="20" t="s">
        <v>603</v>
      </c>
    </row>
    <row r="25" spans="1:26">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c r="U25" s="18" t="s">
        <v>603</v>
      </c>
      <c r="V25" s="20" t="s">
        <v>603</v>
      </c>
      <c r="W25" s="18" t="s">
        <v>603</v>
      </c>
      <c r="X25" s="20" t="s">
        <v>603</v>
      </c>
      <c r="Y25" s="18" t="s">
        <v>603</v>
      </c>
      <c r="Z25" s="20" t="s">
        <v>603</v>
      </c>
    </row>
    <row r="26" spans="1:26">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c r="U26" s="18" t="s">
        <v>603</v>
      </c>
      <c r="V26" s="20" t="s">
        <v>603</v>
      </c>
      <c r="W26" s="18" t="s">
        <v>603</v>
      </c>
      <c r="X26" s="20" t="s">
        <v>603</v>
      </c>
      <c r="Y26" s="18" t="s">
        <v>603</v>
      </c>
      <c r="Z26" s="20" t="s">
        <v>603</v>
      </c>
    </row>
    <row r="27" spans="1:26">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c r="U27" s="18" t="s">
        <v>603</v>
      </c>
      <c r="V27" s="20" t="s">
        <v>603</v>
      </c>
      <c r="W27" s="18" t="s">
        <v>603</v>
      </c>
      <c r="X27" s="20" t="s">
        <v>603</v>
      </c>
      <c r="Y27" s="18" t="s">
        <v>603</v>
      </c>
      <c r="Z27" s="20" t="s">
        <v>603</v>
      </c>
    </row>
    <row r="28" spans="1:26">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c r="U28" s="18" t="s">
        <v>603</v>
      </c>
      <c r="V28" s="20" t="s">
        <v>603</v>
      </c>
      <c r="W28" s="18" t="s">
        <v>603</v>
      </c>
      <c r="X28" s="20" t="s">
        <v>603</v>
      </c>
      <c r="Y28" s="18" t="s">
        <v>603</v>
      </c>
      <c r="Z28" s="20" t="s">
        <v>603</v>
      </c>
    </row>
    <row r="29" spans="1:26">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c r="U29" s="18" t="s">
        <v>603</v>
      </c>
      <c r="V29" s="20" t="s">
        <v>603</v>
      </c>
      <c r="W29" s="18" t="s">
        <v>603</v>
      </c>
      <c r="X29" s="20" t="s">
        <v>603</v>
      </c>
      <c r="Y29" s="18" t="s">
        <v>603</v>
      </c>
      <c r="Z29" s="20" t="s">
        <v>603</v>
      </c>
    </row>
    <row r="30" spans="1:26">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c r="U30" s="18" t="s">
        <v>603</v>
      </c>
      <c r="V30" s="20" t="s">
        <v>603</v>
      </c>
      <c r="W30" s="18" t="s">
        <v>603</v>
      </c>
      <c r="X30" s="20" t="s">
        <v>603</v>
      </c>
      <c r="Y30" s="18" t="s">
        <v>603</v>
      </c>
      <c r="Z30" s="20" t="s">
        <v>603</v>
      </c>
    </row>
    <row r="31" spans="1:26">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c r="U31" s="18" t="s">
        <v>603</v>
      </c>
      <c r="V31" s="20" t="s">
        <v>603</v>
      </c>
      <c r="W31" s="18" t="s">
        <v>603</v>
      </c>
      <c r="X31" s="20" t="s">
        <v>603</v>
      </c>
      <c r="Y31" s="18" t="s">
        <v>603</v>
      </c>
      <c r="Z31" s="20" t="s">
        <v>603</v>
      </c>
    </row>
    <row r="32" spans="1:26">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c r="U32" s="18" t="s">
        <v>603</v>
      </c>
      <c r="V32" s="20" t="s">
        <v>603</v>
      </c>
      <c r="W32" s="18" t="s">
        <v>603</v>
      </c>
      <c r="X32" s="20" t="s">
        <v>603</v>
      </c>
      <c r="Y32" s="18" t="s">
        <v>603</v>
      </c>
      <c r="Z32" s="20" t="s">
        <v>603</v>
      </c>
    </row>
    <row r="33" spans="1:26">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c r="U33" s="18" t="s">
        <v>603</v>
      </c>
      <c r="V33" s="20" t="s">
        <v>603</v>
      </c>
      <c r="W33" s="18" t="s">
        <v>603</v>
      </c>
      <c r="X33" s="20" t="s">
        <v>603</v>
      </c>
      <c r="Y33" s="18" t="s">
        <v>603</v>
      </c>
      <c r="Z33" s="20" t="s">
        <v>603</v>
      </c>
    </row>
    <row r="34" spans="1:26">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c r="U34" s="18" t="s">
        <v>603</v>
      </c>
      <c r="V34" s="20" t="s">
        <v>603</v>
      </c>
      <c r="W34" s="18" t="s">
        <v>603</v>
      </c>
      <c r="X34" s="20" t="s">
        <v>603</v>
      </c>
      <c r="Y34" s="18" t="s">
        <v>603</v>
      </c>
      <c r="Z34" s="20" t="s">
        <v>603</v>
      </c>
    </row>
    <row r="35" spans="1:26">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c r="U35" s="18" t="s">
        <v>603</v>
      </c>
      <c r="V35" s="20" t="s">
        <v>603</v>
      </c>
      <c r="W35" s="18" t="s">
        <v>603</v>
      </c>
      <c r="X35" s="20" t="s">
        <v>603</v>
      </c>
      <c r="Y35" s="18" t="s">
        <v>603</v>
      </c>
      <c r="Z35" s="20" t="s">
        <v>603</v>
      </c>
    </row>
    <row r="36" spans="1:26">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c r="U36" s="18" t="s">
        <v>603</v>
      </c>
      <c r="V36" s="20" t="s">
        <v>603</v>
      </c>
      <c r="W36" s="18" t="s">
        <v>603</v>
      </c>
      <c r="X36" s="20" t="s">
        <v>603</v>
      </c>
      <c r="Y36" s="18" t="s">
        <v>603</v>
      </c>
      <c r="Z36" s="20" t="s">
        <v>603</v>
      </c>
    </row>
    <row r="37" spans="1:26">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c r="U37" s="18" t="s">
        <v>603</v>
      </c>
      <c r="V37" s="20" t="s">
        <v>603</v>
      </c>
      <c r="W37" s="18" t="s">
        <v>603</v>
      </c>
      <c r="X37" s="20" t="s">
        <v>603</v>
      </c>
      <c r="Y37" s="18" t="s">
        <v>603</v>
      </c>
      <c r="Z37" s="20" t="s">
        <v>603</v>
      </c>
    </row>
    <row r="38" spans="1:26">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c r="U38" s="18" t="s">
        <v>603</v>
      </c>
      <c r="V38" s="20" t="s">
        <v>603</v>
      </c>
      <c r="W38" s="18" t="s">
        <v>603</v>
      </c>
      <c r="X38" s="20" t="s">
        <v>603</v>
      </c>
      <c r="Y38" s="18" t="s">
        <v>603</v>
      </c>
      <c r="Z38" s="20" t="s">
        <v>603</v>
      </c>
    </row>
    <row r="39" spans="1:26">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c r="U39" s="18" t="s">
        <v>603</v>
      </c>
      <c r="V39" s="20" t="s">
        <v>603</v>
      </c>
      <c r="W39" s="18" t="s">
        <v>603</v>
      </c>
      <c r="X39" s="20" t="s">
        <v>603</v>
      </c>
      <c r="Y39" s="18" t="s">
        <v>603</v>
      </c>
      <c r="Z39" s="20" t="s">
        <v>603</v>
      </c>
    </row>
    <row r="40" spans="1:26">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c r="U40" s="18" t="s">
        <v>603</v>
      </c>
      <c r="V40" s="20" t="s">
        <v>603</v>
      </c>
      <c r="W40" s="18" t="s">
        <v>603</v>
      </c>
      <c r="X40" s="20" t="s">
        <v>603</v>
      </c>
      <c r="Y40" s="18" t="s">
        <v>603</v>
      </c>
      <c r="Z40" s="20" t="s">
        <v>603</v>
      </c>
    </row>
    <row r="41" spans="1:26">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c r="U41" s="18" t="s">
        <v>603</v>
      </c>
      <c r="V41" s="20" t="s">
        <v>603</v>
      </c>
      <c r="W41" s="18" t="s">
        <v>603</v>
      </c>
      <c r="X41" s="20" t="s">
        <v>603</v>
      </c>
      <c r="Y41" s="18" t="s">
        <v>603</v>
      </c>
      <c r="Z41" s="20" t="s">
        <v>603</v>
      </c>
    </row>
    <row r="42" spans="1:26">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602</v>
      </c>
      <c r="B44" s="17" t="n">
        <v>2691</v>
      </c>
      <c r="C44" s="18">
        <f>(1782.0/B44*100)</f>
        <v/>
      </c>
      <c r="D44" s="19" t="n">
        <v>909</v>
      </c>
      <c r="E44" s="18" t="n">
        <v>18.45167959</v>
      </c>
      <c r="F44" s="20" t="n">
        <v>1.77218894</v>
      </c>
      <c r="G44" s="18" t="n">
        <v>6.2085314</v>
      </c>
      <c r="H44" s="20" t="n">
        <v>0.97858338</v>
      </c>
      <c r="I44" s="18" t="n">
        <v>15.01842678</v>
      </c>
      <c r="J44" s="20" t="n">
        <v>1.67202404</v>
      </c>
      <c r="K44" s="18" t="n">
        <v>0</v>
      </c>
      <c r="L44" s="20" t="n">
        <v>0</v>
      </c>
      <c r="M44" s="18" t="n">
        <v>13.49960293</v>
      </c>
      <c r="N44" s="20" t="n">
        <v>1.28599473</v>
      </c>
      <c r="O44" s="18" t="n">
        <v>23.82430081</v>
      </c>
      <c r="P44" s="20" t="n">
        <v>2.26362408</v>
      </c>
      <c r="Q44" s="18" t="n">
        <v>0</v>
      </c>
      <c r="R44" s="20" t="n">
        <v>0</v>
      </c>
      <c r="S44" s="18" t="n">
        <v>2.05082573</v>
      </c>
      <c r="T44" s="20" t="n">
        <v>0.49264155</v>
      </c>
      <c r="U44" s="18" t="n">
        <v>0</v>
      </c>
      <c r="V44" s="20" t="n">
        <v>0</v>
      </c>
      <c r="W44" s="18" t="n">
        <v>0</v>
      </c>
      <c r="X44" s="20" t="n">
        <v>0</v>
      </c>
      <c r="Y44" s="18" t="n">
        <v>20.94663275</v>
      </c>
      <c r="Z44" s="20" t="n">
        <v>1.61499775</v>
      </c>
    </row>
    <row r="45" spans="1:26">
      <c r="A45" s="15" t="s">
        <v>604</v>
      </c>
      <c r="B45" s="17" t="n">
        <v>2670</v>
      </c>
      <c r="C45" s="18">
        <f>(1779.0/B45*100)</f>
        <v/>
      </c>
      <c r="D45" s="19" t="n">
        <v>891</v>
      </c>
      <c r="E45" s="18" t="n">
        <v>11.88206893</v>
      </c>
      <c r="F45" s="20" t="n">
        <v>1.02435175</v>
      </c>
      <c r="G45" s="18" t="n">
        <v>10.79685866</v>
      </c>
      <c r="H45" s="20" t="n">
        <v>1.30689243</v>
      </c>
      <c r="I45" s="18" t="n">
        <v>17.18871759</v>
      </c>
      <c r="J45" s="20" t="n">
        <v>1.18472046</v>
      </c>
      <c r="K45" s="18" t="n">
        <v>0</v>
      </c>
      <c r="L45" s="20" t="n">
        <v>0</v>
      </c>
      <c r="M45" s="18" t="n">
        <v>6.67981551</v>
      </c>
      <c r="N45" s="20" t="n">
        <v>0.85159376</v>
      </c>
      <c r="O45" s="18" t="n">
        <v>27.05384689</v>
      </c>
      <c r="P45" s="20" t="n">
        <v>1.78358065</v>
      </c>
      <c r="Q45" s="18" t="n">
        <v>0</v>
      </c>
      <c r="R45" s="20" t="n">
        <v>0</v>
      </c>
      <c r="S45" s="18" t="n">
        <v>6.14319801</v>
      </c>
      <c r="T45" s="20" t="n">
        <v>0.8702951</v>
      </c>
      <c r="U45" s="18" t="n">
        <v>0.2125455</v>
      </c>
      <c r="V45" s="20" t="n">
        <v>0.16127427</v>
      </c>
      <c r="W45" s="18" t="n">
        <v>0.07306632</v>
      </c>
      <c r="X45" s="20" t="n">
        <v>0.07594083</v>
      </c>
      <c r="Y45" s="18" t="n">
        <v>19.96988259</v>
      </c>
      <c r="Z45" s="20" t="n">
        <v>1.56447947</v>
      </c>
    </row>
    <row r="46" spans="1:26">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c r="U46" s="18" t="s">
        <v>603</v>
      </c>
      <c r="V46" s="20" t="s">
        <v>603</v>
      </c>
      <c r="W46" s="18" t="s">
        <v>603</v>
      </c>
      <c r="X46" s="20" t="s">
        <v>603</v>
      </c>
      <c r="Y46" s="18" t="s">
        <v>603</v>
      </c>
      <c r="Z46" s="20" t="s">
        <v>603</v>
      </c>
    </row>
    <row r="47" spans="1:26">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c r="U47" s="18" t="s">
        <v>603</v>
      </c>
      <c r="V47" s="20" t="s">
        <v>603</v>
      </c>
      <c r="W47" s="18" t="s">
        <v>603</v>
      </c>
      <c r="X47" s="20" t="s">
        <v>603</v>
      </c>
      <c r="Y47" s="18" t="s">
        <v>603</v>
      </c>
      <c r="Z47" s="20" t="s">
        <v>603</v>
      </c>
    </row>
    <row r="48" spans="1:26">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c r="U48" s="18" t="s">
        <v>603</v>
      </c>
      <c r="V48" s="20" t="s">
        <v>603</v>
      </c>
      <c r="W48" s="18" t="s">
        <v>603</v>
      </c>
      <c r="X48" s="20" t="s">
        <v>603</v>
      </c>
      <c r="Y48" s="18" t="s">
        <v>603</v>
      </c>
      <c r="Z48" s="20" t="s">
        <v>603</v>
      </c>
    </row>
    <row r="49" spans="1:26">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c r="U49" s="18" t="s">
        <v>603</v>
      </c>
      <c r="V49" s="20" t="s">
        <v>603</v>
      </c>
      <c r="W49" s="18" t="s">
        <v>603</v>
      </c>
      <c r="X49" s="20" t="s">
        <v>603</v>
      </c>
      <c r="Y49" s="18" t="s">
        <v>603</v>
      </c>
      <c r="Z49" s="20" t="s">
        <v>603</v>
      </c>
    </row>
    <row r="50" spans="1:26">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c r="U50" s="18" t="s">
        <v>603</v>
      </c>
      <c r="V50" s="20" t="s">
        <v>603</v>
      </c>
      <c r="W50" s="18" t="s">
        <v>603</v>
      </c>
      <c r="X50" s="20" t="s">
        <v>603</v>
      </c>
      <c r="Y50" s="18" t="s">
        <v>603</v>
      </c>
      <c r="Z50" s="20" t="s">
        <v>603</v>
      </c>
    </row>
    <row r="51" spans="1:26">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c r="U51" s="18" t="s">
        <v>603</v>
      </c>
      <c r="V51" s="20" t="s">
        <v>603</v>
      </c>
      <c r="W51" s="18" t="s">
        <v>603</v>
      </c>
      <c r="X51" s="20" t="s">
        <v>603</v>
      </c>
      <c r="Y51" s="18" t="s">
        <v>603</v>
      </c>
      <c r="Z51" s="20" t="s">
        <v>603</v>
      </c>
    </row>
    <row r="52" spans="1:26">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c r="U52" s="18" t="s">
        <v>603</v>
      </c>
      <c r="V52" s="20" t="s">
        <v>603</v>
      </c>
      <c r="W52" s="18" t="s">
        <v>603</v>
      </c>
      <c r="X52" s="20" t="s">
        <v>603</v>
      </c>
      <c r="Y52" s="18" t="s">
        <v>603</v>
      </c>
      <c r="Z52" s="20" t="s">
        <v>603</v>
      </c>
    </row>
    <row r="53" spans="1:26">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c r="U53" s="18" t="s">
        <v>603</v>
      </c>
      <c r="V53" s="20" t="s">
        <v>603</v>
      </c>
      <c r="W53" s="18" t="s">
        <v>603</v>
      </c>
      <c r="X53" s="20" t="s">
        <v>603</v>
      </c>
      <c r="Y53" s="18" t="s">
        <v>603</v>
      </c>
      <c r="Z53" s="20" t="s">
        <v>603</v>
      </c>
    </row>
    <row r="54" spans="1:26">
      <c r="A54" s="15" t="s">
        <v>613</v>
      </c>
      <c r="B54" s="17" t="n">
        <v>2557</v>
      </c>
      <c r="C54" s="18">
        <f>(1715.0/B54*100)</f>
        <v/>
      </c>
      <c r="D54" s="19" t="n">
        <v>842</v>
      </c>
      <c r="E54" s="18" t="n">
        <v>15.24833438</v>
      </c>
      <c r="F54" s="20" t="n">
        <v>1.35610479</v>
      </c>
      <c r="G54" s="18" t="n">
        <v>6.56698567</v>
      </c>
      <c r="H54" s="20" t="n">
        <v>0.8712283</v>
      </c>
      <c r="I54" s="18" t="n">
        <v>10.10628896</v>
      </c>
      <c r="J54" s="20" t="n">
        <v>1.22424969</v>
      </c>
      <c r="K54" s="18" t="n">
        <v>0</v>
      </c>
      <c r="L54" s="20" t="n">
        <v>0</v>
      </c>
      <c r="M54" s="18" t="n">
        <v>16.38687766</v>
      </c>
      <c r="N54" s="20" t="n">
        <v>1.34787443</v>
      </c>
      <c r="O54" s="18" t="n">
        <v>14.66689907</v>
      </c>
      <c r="P54" s="20" t="n">
        <v>1.4269629</v>
      </c>
      <c r="Q54" s="18" t="n">
        <v>0</v>
      </c>
      <c r="R54" s="20" t="n">
        <v>0</v>
      </c>
      <c r="S54" s="18" t="n">
        <v>2.55248608</v>
      </c>
      <c r="T54" s="20" t="n">
        <v>0.57246938</v>
      </c>
      <c r="U54" s="18" t="n">
        <v>0</v>
      </c>
      <c r="V54" s="20" t="n">
        <v>0</v>
      </c>
      <c r="W54" s="18" t="n">
        <v>0</v>
      </c>
      <c r="X54" s="20" t="n">
        <v>0</v>
      </c>
      <c r="Y54" s="18" t="n">
        <v>34.47212817</v>
      </c>
      <c r="Z54" s="20" t="n">
        <v>1.64147419</v>
      </c>
    </row>
    <row r="55" spans="1:26">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c r="U55" s="18" t="s">
        <v>603</v>
      </c>
      <c r="V55" s="20" t="s">
        <v>603</v>
      </c>
      <c r="W55" s="18" t="s">
        <v>603</v>
      </c>
      <c r="X55" s="20" t="s">
        <v>603</v>
      </c>
      <c r="Y55" s="18" t="s">
        <v>603</v>
      </c>
      <c r="Z55" s="20" t="s">
        <v>603</v>
      </c>
    </row>
    <row r="56" spans="1:26">
      <c r="A56" s="15" t="s">
        <v>615</v>
      </c>
      <c r="B56" s="17" t="n">
        <v>3343</v>
      </c>
      <c r="C56" s="18">
        <f>(2264.0/B56*100)</f>
        <v/>
      </c>
      <c r="D56" s="19" t="n">
        <v>1079</v>
      </c>
      <c r="E56" s="18" t="n">
        <v>33.94196577</v>
      </c>
      <c r="F56" s="20" t="n">
        <v>1.60437541</v>
      </c>
      <c r="G56" s="18" t="n">
        <v>5.7969347</v>
      </c>
      <c r="H56" s="20" t="n">
        <v>0.77087938</v>
      </c>
      <c r="I56" s="18" t="n">
        <v>19.6753365</v>
      </c>
      <c r="J56" s="20" t="n">
        <v>1.40738616</v>
      </c>
      <c r="K56" s="18" t="n">
        <v>0</v>
      </c>
      <c r="L56" s="20" t="n">
        <v>0</v>
      </c>
      <c r="M56" s="18" t="n">
        <v>14.34736194</v>
      </c>
      <c r="N56" s="20" t="n">
        <v>1.25278156</v>
      </c>
      <c r="O56" s="18" t="n">
        <v>18.10558965</v>
      </c>
      <c r="P56" s="20" t="n">
        <v>1.51774969</v>
      </c>
      <c r="Q56" s="18" t="n">
        <v>0</v>
      </c>
      <c r="R56" s="20" t="n">
        <v>0</v>
      </c>
      <c r="S56" s="18" t="n">
        <v>1.55984083</v>
      </c>
      <c r="T56" s="20" t="n">
        <v>0.45259511</v>
      </c>
      <c r="U56" s="18" t="n">
        <v>0</v>
      </c>
      <c r="V56" s="20" t="n">
        <v>0</v>
      </c>
      <c r="W56" s="18" t="n">
        <v>0</v>
      </c>
      <c r="X56" s="20" t="n">
        <v>0</v>
      </c>
      <c r="Y56" s="18" t="n">
        <v>6.57297061</v>
      </c>
      <c r="Z56" s="20" t="n">
        <v>1.13326529</v>
      </c>
    </row>
    <row r="57" spans="1:26">
      <c r="A57" s="15" t="s">
        <v>616</v>
      </c>
      <c r="B57" s="17" t="n">
        <v>3737</v>
      </c>
      <c r="C57" s="18">
        <f>(2493.0/B57*100)</f>
        <v/>
      </c>
      <c r="D57" s="19" t="n">
        <v>1244</v>
      </c>
      <c r="E57" s="18" t="n">
        <v>12.05887934</v>
      </c>
      <c r="F57" s="20" t="n">
        <v>0.94008383</v>
      </c>
      <c r="G57" s="18" t="n">
        <v>8.527589689999999</v>
      </c>
      <c r="H57" s="20" t="n">
        <v>0.88243346</v>
      </c>
      <c r="I57" s="18" t="n">
        <v>26.64231701</v>
      </c>
      <c r="J57" s="20" t="n">
        <v>1.58949202</v>
      </c>
      <c r="K57" s="18" t="n">
        <v>0</v>
      </c>
      <c r="L57" s="20" t="n">
        <v>0</v>
      </c>
      <c r="M57" s="18" t="n">
        <v>9.43756887</v>
      </c>
      <c r="N57" s="20" t="n">
        <v>0.92823234</v>
      </c>
      <c r="O57" s="18" t="n">
        <v>33.29215731</v>
      </c>
      <c r="P57" s="20" t="n">
        <v>1.68093099</v>
      </c>
      <c r="Q57" s="18" t="n">
        <v>0</v>
      </c>
      <c r="R57" s="20" t="n">
        <v>0</v>
      </c>
      <c r="S57" s="18" t="n">
        <v>2.15645646</v>
      </c>
      <c r="T57" s="20" t="n">
        <v>0.57608136</v>
      </c>
      <c r="U57" s="18" t="n">
        <v>0</v>
      </c>
      <c r="V57" s="20" t="n">
        <v>0</v>
      </c>
      <c r="W57" s="18" t="n">
        <v>0</v>
      </c>
      <c r="X57" s="20" t="n">
        <v>0</v>
      </c>
      <c r="Y57" s="18" t="n">
        <v>7.88503133</v>
      </c>
      <c r="Z57" s="20" t="n">
        <v>0.8389353000000001</v>
      </c>
    </row>
    <row r="58" spans="1:26">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c r="W58" s="21" t="s">
        <v>618</v>
      </c>
      <c r="X58" s="22" t="s">
        <v>618</v>
      </c>
      <c r="Y58" s="21" t="s">
        <v>618</v>
      </c>
      <c r="Z58" s="22" t="s">
        <v>618</v>
      </c>
    </row>
    <row r="59" spans="1:26">
      <c r="A59" s="15" t="s">
        <v>619</v>
      </c>
      <c r="B59" s="17" t="n">
        <v>2278</v>
      </c>
      <c r="C59" s="18">
        <f>(1514.0/B59*100)</f>
        <v/>
      </c>
      <c r="D59" s="19" t="n">
        <v>764</v>
      </c>
      <c r="E59" s="18" t="n">
        <v>27.69447028</v>
      </c>
      <c r="F59" s="20" t="n">
        <v>2.11041924</v>
      </c>
      <c r="G59" s="18" t="n">
        <v>8.67874138</v>
      </c>
      <c r="H59" s="20" t="n">
        <v>1.30588843</v>
      </c>
      <c r="I59" s="18" t="n">
        <v>14.93318031</v>
      </c>
      <c r="J59" s="20" t="n">
        <v>1.60098205</v>
      </c>
      <c r="K59" s="18" t="n">
        <v>0</v>
      </c>
      <c r="L59" s="20" t="n">
        <v>0</v>
      </c>
      <c r="M59" s="18" t="n">
        <v>10.99774943</v>
      </c>
      <c r="N59" s="20" t="n">
        <v>1.44138782</v>
      </c>
      <c r="O59" s="18" t="n">
        <v>22.59435709</v>
      </c>
      <c r="P59" s="20" t="n">
        <v>1.90180221</v>
      </c>
      <c r="Q59" s="18" t="n">
        <v>0</v>
      </c>
      <c r="R59" s="20" t="n">
        <v>0</v>
      </c>
      <c r="S59" s="18" t="n">
        <v>0.63884347</v>
      </c>
      <c r="T59" s="20" t="n">
        <v>0.36205193</v>
      </c>
      <c r="U59" s="18" t="n">
        <v>0</v>
      </c>
      <c r="V59" s="20" t="n">
        <v>0</v>
      </c>
      <c r="W59" s="18" t="n">
        <v>0</v>
      </c>
      <c r="X59" s="20" t="n">
        <v>0</v>
      </c>
      <c r="Y59" s="18" t="n">
        <v>14.46265805</v>
      </c>
      <c r="Z59" s="20" t="n">
        <v>1.58998798</v>
      </c>
    </row>
    <row r="60" spans="1:26">
      <c r="A60" s="15" t="s">
        <v>620</v>
      </c>
      <c r="B60" s="17" t="n">
        <v>2451</v>
      </c>
      <c r="C60" s="18">
        <f>(1608.0/B60*100)</f>
        <v/>
      </c>
      <c r="D60" s="19" t="n">
        <v>843</v>
      </c>
      <c r="E60" s="18" t="n">
        <v>5.78639018</v>
      </c>
      <c r="F60" s="20" t="n">
        <v>0.75408008</v>
      </c>
      <c r="G60" s="18" t="n">
        <v>3.70716799</v>
      </c>
      <c r="H60" s="20" t="n">
        <v>0.61880435</v>
      </c>
      <c r="I60" s="18" t="n">
        <v>31.93915162</v>
      </c>
      <c r="J60" s="20" t="n">
        <v>1.66771206</v>
      </c>
      <c r="K60" s="18" t="n">
        <v>0</v>
      </c>
      <c r="L60" s="20" t="n">
        <v>0</v>
      </c>
      <c r="M60" s="18" t="n">
        <v>11.8801059</v>
      </c>
      <c r="N60" s="20" t="n">
        <v>1.26729159</v>
      </c>
      <c r="O60" s="18" t="n">
        <v>17.65235736</v>
      </c>
      <c r="P60" s="20" t="n">
        <v>1.24158473</v>
      </c>
      <c r="Q60" s="18" t="n">
        <v>0</v>
      </c>
      <c r="R60" s="20" t="n">
        <v>0</v>
      </c>
      <c r="S60" s="18" t="n">
        <v>3.22501138</v>
      </c>
      <c r="T60" s="20" t="n">
        <v>0.67362073</v>
      </c>
      <c r="U60" s="18" t="n">
        <v>0</v>
      </c>
      <c r="V60" s="20" t="n">
        <v>0</v>
      </c>
      <c r="W60" s="18" t="n">
        <v>0.62742571</v>
      </c>
      <c r="X60" s="20" t="n">
        <v>0.29325296</v>
      </c>
      <c r="Y60" s="18" t="n">
        <v>25.18238987</v>
      </c>
      <c r="Z60" s="20" t="n">
        <v>1.93316488</v>
      </c>
    </row>
    <row r="61" spans="1:26">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c r="U61" s="18" t="s">
        <v>603</v>
      </c>
      <c r="V61" s="20" t="s">
        <v>603</v>
      </c>
      <c r="W61" s="18" t="s">
        <v>603</v>
      </c>
      <c r="X61" s="20" t="s">
        <v>603</v>
      </c>
      <c r="Y61" s="18" t="s">
        <v>603</v>
      </c>
      <c r="Z61" s="20" t="s">
        <v>603</v>
      </c>
    </row>
    <row r="62" spans="1:26">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c r="U62" s="18" t="s">
        <v>603</v>
      </c>
      <c r="V62" s="20" t="s">
        <v>603</v>
      </c>
      <c r="W62" s="18" t="s">
        <v>603</v>
      </c>
      <c r="X62" s="20" t="s">
        <v>603</v>
      </c>
      <c r="Y62" s="18" t="s">
        <v>603</v>
      </c>
      <c r="Z62" s="20" t="s">
        <v>603</v>
      </c>
    </row>
    <row r="63" spans="1:26">
      <c r="A63" s="15" t="s">
        <v>623</v>
      </c>
      <c r="B63" s="17" t="n">
        <v>2511</v>
      </c>
      <c r="C63" s="18">
        <f>(1675.0/B63*100)</f>
        <v/>
      </c>
      <c r="D63" s="19" t="n">
        <v>836</v>
      </c>
      <c r="E63" s="18" t="n">
        <v>10.69849444</v>
      </c>
      <c r="F63" s="20" t="n">
        <v>1.29767318</v>
      </c>
      <c r="G63" s="18" t="n">
        <v>7.89799938</v>
      </c>
      <c r="H63" s="20" t="n">
        <v>0.95940618</v>
      </c>
      <c r="I63" s="18" t="n">
        <v>8.534739890000001</v>
      </c>
      <c r="J63" s="20" t="n">
        <v>1.10412216</v>
      </c>
      <c r="K63" s="18" t="n">
        <v>0</v>
      </c>
      <c r="L63" s="20" t="n">
        <v>0</v>
      </c>
      <c r="M63" s="18" t="n">
        <v>13.85284895</v>
      </c>
      <c r="N63" s="20" t="n">
        <v>1.40747333</v>
      </c>
      <c r="O63" s="18" t="n">
        <v>9.32604102</v>
      </c>
      <c r="P63" s="20" t="n">
        <v>1.27360559</v>
      </c>
      <c r="Q63" s="18" t="n">
        <v>0</v>
      </c>
      <c r="R63" s="20" t="n">
        <v>0</v>
      </c>
      <c r="S63" s="18" t="n">
        <v>2.98579168</v>
      </c>
      <c r="T63" s="20" t="n">
        <v>0.67076627</v>
      </c>
      <c r="U63" s="18" t="n">
        <v>0</v>
      </c>
      <c r="V63" s="20" t="n">
        <v>0</v>
      </c>
      <c r="W63" s="18" t="n">
        <v>0</v>
      </c>
      <c r="X63" s="20" t="n">
        <v>0</v>
      </c>
      <c r="Y63" s="18" t="n">
        <v>46.70408464</v>
      </c>
      <c r="Z63" s="20" t="n">
        <v>1.86018665</v>
      </c>
    </row>
    <row r="64" spans="1:26">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c r="W64" s="21" t="s">
        <v>618</v>
      </c>
      <c r="X64" s="22" t="s">
        <v>618</v>
      </c>
      <c r="Y64" s="21" t="s">
        <v>618</v>
      </c>
      <c r="Z64" s="22" t="s">
        <v>618</v>
      </c>
    </row>
    <row r="65" spans="1:26">
      <c r="A65" s="15" t="s">
        <v>625</v>
      </c>
      <c r="B65" s="17" t="n">
        <v>1790</v>
      </c>
      <c r="C65" s="18">
        <f>(1190.0/B65*100)</f>
        <v/>
      </c>
      <c r="D65" s="19" t="n">
        <v>600</v>
      </c>
      <c r="E65" s="18" t="n">
        <v>12.89588394</v>
      </c>
      <c r="F65" s="20" t="n">
        <v>1.33356124</v>
      </c>
      <c r="G65" s="18" t="n">
        <v>13.4964168</v>
      </c>
      <c r="H65" s="20" t="n">
        <v>1.4050479</v>
      </c>
      <c r="I65" s="18" t="n">
        <v>15.84747755</v>
      </c>
      <c r="J65" s="20" t="n">
        <v>1.51823038</v>
      </c>
      <c r="K65" s="18" t="n">
        <v>0</v>
      </c>
      <c r="L65" s="20" t="n">
        <v>0</v>
      </c>
      <c r="M65" s="18" t="n">
        <v>17.45539709</v>
      </c>
      <c r="N65" s="20" t="n">
        <v>1.52757468</v>
      </c>
      <c r="O65" s="18" t="n">
        <v>22.17995686</v>
      </c>
      <c r="P65" s="20" t="n">
        <v>1.61511445</v>
      </c>
      <c r="Q65" s="18" t="n">
        <v>0</v>
      </c>
      <c r="R65" s="20" t="n">
        <v>0</v>
      </c>
      <c r="S65" s="18" t="n">
        <v>2.56841603</v>
      </c>
      <c r="T65" s="20" t="n">
        <v>0.63826559</v>
      </c>
      <c r="U65" s="18" t="n">
        <v>0</v>
      </c>
      <c r="V65" s="20" t="n">
        <v>0</v>
      </c>
      <c r="W65" s="18" t="n">
        <v>0</v>
      </c>
      <c r="X65" s="20" t="n">
        <v>0</v>
      </c>
      <c r="Y65" s="18" t="n">
        <v>15.55645173</v>
      </c>
      <c r="Z65" s="20" t="n">
        <v>1.63944978</v>
      </c>
    </row>
    <row r="66" spans="1:26">
      <c r="A66" s="15" t="s">
        <v>626</v>
      </c>
      <c r="B66" s="17" t="n">
        <v>2634</v>
      </c>
      <c r="C66" s="18">
        <f>(1747.0/B66*100)</f>
        <v/>
      </c>
      <c r="D66" s="19" t="n">
        <v>887</v>
      </c>
      <c r="E66" s="18" t="n">
        <v>14.03114509</v>
      </c>
      <c r="F66" s="20" t="n">
        <v>1.24819473</v>
      </c>
      <c r="G66" s="18" t="n">
        <v>14.24239836</v>
      </c>
      <c r="H66" s="20" t="n">
        <v>1.02295757</v>
      </c>
      <c r="I66" s="18" t="n">
        <v>14.31759193</v>
      </c>
      <c r="J66" s="20" t="n">
        <v>1.27541726</v>
      </c>
      <c r="K66" s="18" t="n">
        <v>0</v>
      </c>
      <c r="L66" s="20" t="n">
        <v>0</v>
      </c>
      <c r="M66" s="18" t="n">
        <v>17.59264605</v>
      </c>
      <c r="N66" s="20" t="n">
        <v>1.47792278</v>
      </c>
      <c r="O66" s="18" t="n">
        <v>13.62927762</v>
      </c>
      <c r="P66" s="20" t="n">
        <v>1.38587055</v>
      </c>
      <c r="Q66" s="18" t="n">
        <v>0</v>
      </c>
      <c r="R66" s="20" t="n">
        <v>0</v>
      </c>
      <c r="S66" s="18" t="n">
        <v>4.04945079</v>
      </c>
      <c r="T66" s="20" t="n">
        <v>0.70177769</v>
      </c>
      <c r="U66" s="18" t="n">
        <v>0</v>
      </c>
      <c r="V66" s="20" t="n">
        <v>0</v>
      </c>
      <c r="W66" s="18" t="n">
        <v>0</v>
      </c>
      <c r="X66" s="20" t="n">
        <v>0</v>
      </c>
      <c r="Y66" s="18" t="n">
        <v>22.13749015</v>
      </c>
      <c r="Z66" s="20" t="n">
        <v>1.40308161</v>
      </c>
    </row>
    <row r="67" spans="1:26">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c r="U67" s="18" t="s">
        <v>603</v>
      </c>
      <c r="V67" s="20" t="s">
        <v>603</v>
      </c>
      <c r="W67" s="18" t="s">
        <v>603</v>
      </c>
      <c r="X67" s="20" t="s">
        <v>603</v>
      </c>
      <c r="Y67" s="18" t="s">
        <v>603</v>
      </c>
      <c r="Z67" s="20" t="s">
        <v>603</v>
      </c>
    </row>
    <row r="68" spans="1:26">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c r="U68" s="18" t="s">
        <v>603</v>
      </c>
      <c r="V68" s="20" t="s">
        <v>603</v>
      </c>
      <c r="W68" s="18" t="s">
        <v>603</v>
      </c>
      <c r="X68" s="20" t="s">
        <v>603</v>
      </c>
      <c r="Y68" s="18" t="s">
        <v>603</v>
      </c>
      <c r="Z68" s="20" t="s">
        <v>603</v>
      </c>
    </row>
    <row r="69" spans="1:26">
      <c r="A69" s="15" t="s">
        <v>629</v>
      </c>
      <c r="B69" s="17" t="n">
        <v>720</v>
      </c>
      <c r="C69" s="18">
        <f>(482.0/B69*100)</f>
        <v/>
      </c>
      <c r="D69" s="19" t="n">
        <v>238</v>
      </c>
      <c r="E69" s="18" t="n">
        <v>14.96675126</v>
      </c>
      <c r="F69" s="20" t="n">
        <v>2.25762501</v>
      </c>
      <c r="G69" s="18" t="n">
        <v>35.44760775</v>
      </c>
      <c r="H69" s="20" t="n">
        <v>3.34213422</v>
      </c>
      <c r="I69" s="18" t="n">
        <v>20.03758811</v>
      </c>
      <c r="J69" s="20" t="n">
        <v>2.84473473</v>
      </c>
      <c r="K69" s="18" t="n">
        <v>0</v>
      </c>
      <c r="L69" s="20" t="n">
        <v>0</v>
      </c>
      <c r="M69" s="18" t="n">
        <v>11.38548728</v>
      </c>
      <c r="N69" s="20" t="n">
        <v>2.3507118</v>
      </c>
      <c r="O69" s="18" t="n">
        <v>5.60234443</v>
      </c>
      <c r="P69" s="20" t="n">
        <v>1.56592953</v>
      </c>
      <c r="Q69" s="18" t="n">
        <v>0</v>
      </c>
      <c r="R69" s="20" t="n">
        <v>0</v>
      </c>
      <c r="S69" s="18" t="n">
        <v>0</v>
      </c>
      <c r="T69" s="20" t="n">
        <v>0</v>
      </c>
      <c r="U69" s="18" t="n">
        <v>0</v>
      </c>
      <c r="V69" s="20" t="n">
        <v>0</v>
      </c>
      <c r="W69" s="18" t="n">
        <v>0</v>
      </c>
      <c r="X69" s="20" t="n">
        <v>0</v>
      </c>
      <c r="Y69" s="18" t="n">
        <v>12.56022117</v>
      </c>
      <c r="Z69" s="20" t="n">
        <v>2.47837182</v>
      </c>
    </row>
    <row r="70" spans="1:26">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c r="U70" s="18" t="s">
        <v>603</v>
      </c>
      <c r="V70" s="20" t="s">
        <v>603</v>
      </c>
      <c r="W70" s="18" t="s">
        <v>603</v>
      </c>
      <c r="X70" s="20" t="s">
        <v>603</v>
      </c>
      <c r="Y70" s="18" t="s">
        <v>603</v>
      </c>
      <c r="Z70" s="20" t="s">
        <v>603</v>
      </c>
    </row>
    <row r="71" spans="1:26">
      <c r="A71" s="15" t="s">
        <v>631</v>
      </c>
      <c r="B71" s="17" t="n">
        <v>2466</v>
      </c>
      <c r="C71" s="18">
        <f>(1643.0/B71*100)</f>
        <v/>
      </c>
      <c r="D71" s="19" t="n">
        <v>823</v>
      </c>
      <c r="E71" s="18" t="n">
        <v>15.16051226</v>
      </c>
      <c r="F71" s="20" t="n">
        <v>1.28536032</v>
      </c>
      <c r="G71" s="18" t="n">
        <v>9.72527406</v>
      </c>
      <c r="H71" s="20" t="n">
        <v>1.50068311</v>
      </c>
      <c r="I71" s="18" t="n">
        <v>36.01652195</v>
      </c>
      <c r="J71" s="20" t="n">
        <v>1.88546692</v>
      </c>
      <c r="K71" s="18" t="n">
        <v>0</v>
      </c>
      <c r="L71" s="20" t="n">
        <v>0</v>
      </c>
      <c r="M71" s="18" t="n">
        <v>21.45136643</v>
      </c>
      <c r="N71" s="20" t="n">
        <v>1.59160825</v>
      </c>
      <c r="O71" s="18" t="n">
        <v>17.41286661</v>
      </c>
      <c r="P71" s="20" t="n">
        <v>1.21002884</v>
      </c>
      <c r="Q71" s="18" t="n">
        <v>0</v>
      </c>
      <c r="R71" s="20" t="n">
        <v>0</v>
      </c>
      <c r="S71" s="18" t="n">
        <v>0.13233748</v>
      </c>
      <c r="T71" s="20" t="n">
        <v>0.13226401</v>
      </c>
      <c r="U71" s="18" t="n">
        <v>0</v>
      </c>
      <c r="V71" s="20" t="n">
        <v>0</v>
      </c>
      <c r="W71" s="18" t="n">
        <v>0</v>
      </c>
      <c r="X71" s="20" t="n">
        <v>0</v>
      </c>
      <c r="Y71" s="18" t="n">
        <v>0.10112122</v>
      </c>
      <c r="Z71" s="20" t="n">
        <v>0.10121336</v>
      </c>
    </row>
    <row r="72" spans="1:26">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c r="U72" s="18" t="s">
        <v>603</v>
      </c>
      <c r="V72" s="20" t="s">
        <v>603</v>
      </c>
      <c r="W72" s="18" t="s">
        <v>603</v>
      </c>
      <c r="X72" s="20" t="s">
        <v>603</v>
      </c>
      <c r="Y72" s="18" t="s">
        <v>603</v>
      </c>
      <c r="Z72" s="20" t="s">
        <v>603</v>
      </c>
    </row>
    <row r="73" spans="1:26">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c r="U73" s="18" t="s">
        <v>603</v>
      </c>
      <c r="V73" s="20" t="s">
        <v>603</v>
      </c>
      <c r="W73" s="18" t="s">
        <v>603</v>
      </c>
      <c r="X73" s="20" t="s">
        <v>603</v>
      </c>
      <c r="Y73" s="18" t="s">
        <v>603</v>
      </c>
      <c r="Z73" s="20" t="s">
        <v>603</v>
      </c>
    </row>
    <row r="74" spans="1:26">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c r="U74" s="18" t="s">
        <v>603</v>
      </c>
      <c r="V74" s="20" t="s">
        <v>603</v>
      </c>
      <c r="W74" s="18" t="s">
        <v>603</v>
      </c>
      <c r="X74" s="20" t="s">
        <v>603</v>
      </c>
      <c r="Y74" s="18" t="s">
        <v>603</v>
      </c>
      <c r="Z74" s="20" t="s">
        <v>603</v>
      </c>
    </row>
    <row r="75" spans="1:26">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c r="U75" s="18" t="s">
        <v>603</v>
      </c>
      <c r="V75" s="20" t="s">
        <v>603</v>
      </c>
      <c r="W75" s="18" t="s">
        <v>603</v>
      </c>
      <c r="X75" s="20" t="s">
        <v>603</v>
      </c>
      <c r="Y75" s="18" t="s">
        <v>603</v>
      </c>
      <c r="Z75" s="20" t="s">
        <v>603</v>
      </c>
    </row>
    <row r="76" spans="1:26">
      <c r="A76" s="15" t="s">
        <v>636</v>
      </c>
      <c r="B76" s="17" t="n">
        <v>2453</v>
      </c>
      <c r="C76" s="18">
        <f>(1640.0/B76*100)</f>
        <v/>
      </c>
      <c r="D76" s="19" t="n">
        <v>813</v>
      </c>
      <c r="E76" s="18" t="n">
        <v>11.26764786</v>
      </c>
      <c r="F76" s="20" t="n">
        <v>0.9732430399999999</v>
      </c>
      <c r="G76" s="18" t="n">
        <v>18.42305078</v>
      </c>
      <c r="H76" s="20" t="n">
        <v>1.55042928</v>
      </c>
      <c r="I76" s="18" t="n">
        <v>11.04123224</v>
      </c>
      <c r="J76" s="20" t="n">
        <v>1.24285666</v>
      </c>
      <c r="K76" s="18" t="n">
        <v>0</v>
      </c>
      <c r="L76" s="20" t="n">
        <v>0</v>
      </c>
      <c r="M76" s="18" t="n">
        <v>14.95547924</v>
      </c>
      <c r="N76" s="20" t="n">
        <v>1.35751493</v>
      </c>
      <c r="O76" s="18" t="n">
        <v>21.46254919</v>
      </c>
      <c r="P76" s="20" t="n">
        <v>1.68489972</v>
      </c>
      <c r="Q76" s="18" t="n">
        <v>0</v>
      </c>
      <c r="R76" s="20" t="n">
        <v>0</v>
      </c>
      <c r="S76" s="18" t="n">
        <v>4.66127394</v>
      </c>
      <c r="T76" s="20" t="n">
        <v>0.89033701</v>
      </c>
      <c r="U76" s="18" t="n">
        <v>0</v>
      </c>
      <c r="V76" s="20" t="n">
        <v>0</v>
      </c>
      <c r="W76" s="18" t="n">
        <v>0</v>
      </c>
      <c r="X76" s="20" t="n">
        <v>0</v>
      </c>
      <c r="Y76" s="18" t="n">
        <v>18.18876676</v>
      </c>
      <c r="Z76" s="20" t="n">
        <v>1.40479514</v>
      </c>
    </row>
    <row r="77" spans="1:26">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c r="U77" s="18" t="s">
        <v>603</v>
      </c>
      <c r="V77" s="20" t="s">
        <v>603</v>
      </c>
      <c r="W77" s="18" t="s">
        <v>603</v>
      </c>
      <c r="X77" s="20" t="s">
        <v>603</v>
      </c>
      <c r="Y77" s="18" t="s">
        <v>603</v>
      </c>
      <c r="Z77" s="20" t="s">
        <v>603</v>
      </c>
    </row>
    <row r="78" spans="1:26">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c r="U78" s="18" t="s">
        <v>603</v>
      </c>
      <c r="V78" s="20" t="s">
        <v>603</v>
      </c>
      <c r="W78" s="18" t="s">
        <v>603</v>
      </c>
      <c r="X78" s="20" t="s">
        <v>603</v>
      </c>
      <c r="Y78" s="18" t="s">
        <v>603</v>
      </c>
      <c r="Z78" s="20" t="s">
        <v>603</v>
      </c>
    </row>
    <row r="79" spans="1:26">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c r="U79" s="18" t="s">
        <v>603</v>
      </c>
      <c r="V79" s="20" t="s">
        <v>603</v>
      </c>
      <c r="W79" s="18" t="s">
        <v>603</v>
      </c>
      <c r="X79" s="20" t="s">
        <v>603</v>
      </c>
      <c r="Y79" s="18" t="s">
        <v>603</v>
      </c>
      <c r="Z79" s="20" t="s">
        <v>603</v>
      </c>
    </row>
    <row r="80" spans="1:26">
      <c r="A80" s="15" t="s">
        <v>640</v>
      </c>
      <c r="B80" s="17" t="n">
        <v>3040</v>
      </c>
      <c r="C80" s="18">
        <f>(2033.0/B80*100)</f>
        <v/>
      </c>
      <c r="D80" s="19" t="n">
        <v>1007</v>
      </c>
      <c r="E80" s="18" t="n">
        <v>9.53618116</v>
      </c>
      <c r="F80" s="20" t="n">
        <v>1.03398047</v>
      </c>
      <c r="G80" s="18" t="n">
        <v>13.60206488</v>
      </c>
      <c r="H80" s="20" t="n">
        <v>1.02498859</v>
      </c>
      <c r="I80" s="18" t="n">
        <v>16.70346863</v>
      </c>
      <c r="J80" s="20" t="n">
        <v>1.47035034</v>
      </c>
      <c r="K80" s="18" t="n">
        <v>0</v>
      </c>
      <c r="L80" s="20" t="n">
        <v>0</v>
      </c>
      <c r="M80" s="18" t="n">
        <v>26.45823357</v>
      </c>
      <c r="N80" s="20" t="n">
        <v>1.53238443</v>
      </c>
      <c r="O80" s="18" t="n">
        <v>31.91005428</v>
      </c>
      <c r="P80" s="20" t="n">
        <v>1.70424842</v>
      </c>
      <c r="Q80" s="18" t="n">
        <v>0</v>
      </c>
      <c r="R80" s="20" t="n">
        <v>0</v>
      </c>
      <c r="S80" s="18" t="n">
        <v>0</v>
      </c>
      <c r="T80" s="20" t="n">
        <v>0</v>
      </c>
      <c r="U80" s="18" t="n">
        <v>0</v>
      </c>
      <c r="V80" s="20" t="n">
        <v>0</v>
      </c>
      <c r="W80" s="18" t="n">
        <v>0</v>
      </c>
      <c r="X80" s="20" t="n">
        <v>0</v>
      </c>
      <c r="Y80" s="18" t="n">
        <v>1.78999747</v>
      </c>
      <c r="Z80" s="20" t="n">
        <v>0.42478357</v>
      </c>
    </row>
    <row r="81" spans="1:26">
      <c r="A81" s="15" t="s">
        <v>641</v>
      </c>
      <c r="B81" s="17" t="n">
        <v>870</v>
      </c>
      <c r="C81" s="18">
        <f>(577.0/B81*100)</f>
        <v/>
      </c>
      <c r="D81" s="19" t="n">
        <v>293</v>
      </c>
      <c r="E81" s="18" t="n">
        <v>12.30022871</v>
      </c>
      <c r="F81" s="20" t="n">
        <v>2.55917053</v>
      </c>
      <c r="G81" s="18" t="n">
        <v>23.12883845</v>
      </c>
      <c r="H81" s="20" t="n">
        <v>3.02156571</v>
      </c>
      <c r="I81" s="18" t="n">
        <v>12.27895928</v>
      </c>
      <c r="J81" s="20" t="n">
        <v>2.08716603</v>
      </c>
      <c r="K81" s="18" t="n">
        <v>0</v>
      </c>
      <c r="L81" s="20" t="n">
        <v>0</v>
      </c>
      <c r="M81" s="18" t="n">
        <v>6.88508578</v>
      </c>
      <c r="N81" s="20" t="n">
        <v>1.32862176</v>
      </c>
      <c r="O81" s="18" t="n">
        <v>15.86711785</v>
      </c>
      <c r="P81" s="20" t="n">
        <v>2.40393225</v>
      </c>
      <c r="Q81" s="18" t="n">
        <v>0</v>
      </c>
      <c r="R81" s="20" t="n">
        <v>0</v>
      </c>
      <c r="S81" s="18" t="n">
        <v>3.13583758</v>
      </c>
      <c r="T81" s="20" t="n">
        <v>1.16513602</v>
      </c>
      <c r="U81" s="18" t="n">
        <v>0.17287276</v>
      </c>
      <c r="V81" s="20" t="n">
        <v>0.18443716</v>
      </c>
      <c r="W81" s="18" t="n">
        <v>0</v>
      </c>
      <c r="X81" s="20" t="n">
        <v>0</v>
      </c>
      <c r="Y81" s="18" t="n">
        <v>26.2310596</v>
      </c>
      <c r="Z81" s="20" t="n">
        <v>3.1463274</v>
      </c>
    </row>
    <row r="82" spans="1:26">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c r="U82" s="18" t="s">
        <v>603</v>
      </c>
      <c r="V82" s="20" t="s">
        <v>603</v>
      </c>
      <c r="W82" s="18" t="s">
        <v>603</v>
      </c>
      <c r="X82" s="20" t="s">
        <v>603</v>
      </c>
      <c r="Y82" s="18" t="s">
        <v>603</v>
      </c>
      <c r="Z82" s="20" t="s">
        <v>603</v>
      </c>
    </row>
    <row r="83" spans="1:26">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c r="U83" s="18" t="s">
        <v>603</v>
      </c>
      <c r="V83" s="20" t="s">
        <v>603</v>
      </c>
      <c r="W83" s="18" t="s">
        <v>603</v>
      </c>
      <c r="X83" s="20" t="s">
        <v>603</v>
      </c>
      <c r="Y83" s="18" t="s">
        <v>603</v>
      </c>
      <c r="Z83" s="20" t="s">
        <v>603</v>
      </c>
    </row>
    <row r="84" spans="1:26">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c r="U84" s="18" t="s">
        <v>603</v>
      </c>
      <c r="V84" s="20" t="s">
        <v>603</v>
      </c>
      <c r="W84" s="18" t="s">
        <v>603</v>
      </c>
      <c r="X84" s="20" t="s">
        <v>603</v>
      </c>
      <c r="Y84" s="18" t="s">
        <v>603</v>
      </c>
      <c r="Z84" s="20" t="s">
        <v>603</v>
      </c>
    </row>
    <row r="86" spans="1:26">
      <c r="A86" s="3" t="s">
        <v>645</v>
      </c>
    </row>
    <row r="87" spans="1:26">
      <c r="A87" s="26" t="s">
        <v>646</v>
      </c>
    </row>
    <row r="88" spans="1:26">
      <c r="A88" s="26" t="s">
        <v>647</v>
      </c>
    </row>
    <row customHeight="1" ht="30" r="89" spans="1:26">
      <c r="A89" s="26" t="s">
        <v>648</v>
      </c>
    </row>
    <row customHeight="1" ht="30" r="90" spans="1:26">
      <c r="A90" s="26" t="s">
        <v>649</v>
      </c>
    </row>
    <row customHeight="1" ht="30" r="91" spans="1:26">
      <c r="A91" s="26" t="s">
        <v>650</v>
      </c>
    </row>
    <row customHeight="1" ht="30" r="92" spans="1:26">
      <c r="A92" s="26" t="s">
        <v>651</v>
      </c>
    </row>
    <row customHeight="1" ht="30" r="93" spans="1:26">
      <c r="A93" s="26" t="s">
        <v>652</v>
      </c>
    </row>
    <row customHeight="1" ht="30" r="94" spans="1:26">
      <c r="A94" s="26" t="s">
        <v>653</v>
      </c>
    </row>
  </sheetData>
  <mergeCells count="21">
    <mergeCell ref="E4:F4"/>
    <mergeCell ref="G4:H4"/>
    <mergeCell ref="I4:J4"/>
    <mergeCell ref="K4:L4"/>
    <mergeCell ref="M4:N4"/>
    <mergeCell ref="O4:P4"/>
    <mergeCell ref="Q4:R4"/>
    <mergeCell ref="S4:T4"/>
    <mergeCell ref="U4:V4"/>
    <mergeCell ref="W4:X4"/>
    <mergeCell ref="Y4:Z4"/>
    <mergeCell ref="A1:Z1"/>
    <mergeCell ref="A2:Z2"/>
    <mergeCell ref="A87:Z87"/>
    <mergeCell ref="A88:Z88"/>
    <mergeCell ref="A89:Z89"/>
    <mergeCell ref="A90:Z90"/>
    <mergeCell ref="A91:Z91"/>
    <mergeCell ref="A92:Z92"/>
    <mergeCell ref="A93:Z93"/>
    <mergeCell ref="A94:Z94"/>
  </mergeCells>
  <pageMargins bottom="1" footer="0.5" header="0.5" left="0.75" right="0.75" top="1"/>
</worksheet>
</file>

<file path=xl/worksheets/sheet226.xml><?xml version="1.0" encoding="utf-8"?>
<worksheet xmlns="http://schemas.openxmlformats.org/spreadsheetml/2006/main">
  <sheetPr>
    <outlinePr summaryBelow="1" summaryRight="1"/>
    <pageSetUpPr/>
  </sheetPr>
  <dimension ref="A1:AB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549</v>
      </c>
    </row>
    <row r="2" spans="1:28">
      <c r="A2" s="5" t="s">
        <v>892</v>
      </c>
    </row>
    <row customHeight="1" ht="30" r="4" spans="1:28">
      <c r="A4" s="6" t="n"/>
      <c r="B4" s="7" t="s">
        <v>551</v>
      </c>
      <c r="C4" s="7" t="s">
        <v>552</v>
      </c>
      <c r="D4" s="8" t="s">
        <v>551</v>
      </c>
      <c r="E4" s="9" t="s">
        <v>655</v>
      </c>
      <c r="F4" s="10" t="n"/>
      <c r="G4" s="9" t="s">
        <v>656</v>
      </c>
      <c r="H4" s="10" t="n"/>
      <c r="I4" s="9" t="s">
        <v>701</v>
      </c>
      <c r="J4" s="10" t="n"/>
      <c r="K4" s="9" t="s">
        <v>703</v>
      </c>
      <c r="L4" s="10" t="n"/>
      <c r="M4" s="9" t="s">
        <v>853</v>
      </c>
      <c r="N4" s="10" t="n"/>
      <c r="O4" s="9" t="s">
        <v>657</v>
      </c>
      <c r="P4" s="10" t="n"/>
      <c r="Q4" s="9" t="s">
        <v>658</v>
      </c>
      <c r="R4" s="10" t="n"/>
      <c r="S4" s="9" t="s">
        <v>555</v>
      </c>
      <c r="T4" s="10" t="n"/>
      <c r="U4" s="9" t="s">
        <v>556</v>
      </c>
      <c r="V4" s="10" t="n"/>
      <c r="W4" s="9" t="s">
        <v>557</v>
      </c>
      <c r="X4" s="10" t="n"/>
      <c r="Y4" s="9" t="s">
        <v>558</v>
      </c>
      <c r="Z4" s="10" t="n"/>
      <c r="AA4" s="9" t="s">
        <v>559</v>
      </c>
      <c r="AB4" s="10" t="n"/>
    </row>
    <row r="5" spans="1:2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c r="W5" s="12" t="s">
        <v>561</v>
      </c>
      <c r="X5" s="11" t="s">
        <v>563</v>
      </c>
      <c r="Y5" s="12" t="s">
        <v>561</v>
      </c>
      <c r="Z5" s="11" t="s">
        <v>563</v>
      </c>
      <c r="AA5" s="12" t="s">
        <v>561</v>
      </c>
      <c r="AB5" s="11" t="s">
        <v>563</v>
      </c>
    </row>
    <row r="6" spans="1:28">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c r="U7" s="18" t="s">
        <v>603</v>
      </c>
      <c r="V7" s="20" t="s">
        <v>603</v>
      </c>
      <c r="W7" s="18" t="s">
        <v>603</v>
      </c>
      <c r="X7" s="20" t="s">
        <v>603</v>
      </c>
      <c r="Y7" s="18" t="s">
        <v>603</v>
      </c>
      <c r="Z7" s="20" t="s">
        <v>603</v>
      </c>
      <c r="AA7" s="18" t="s">
        <v>603</v>
      </c>
      <c r="AB7" s="20" t="s">
        <v>603</v>
      </c>
    </row>
    <row r="8" spans="1:2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c r="U8" s="18" t="s">
        <v>603</v>
      </c>
      <c r="V8" s="20" t="s">
        <v>603</v>
      </c>
      <c r="W8" s="18" t="s">
        <v>603</v>
      </c>
      <c r="X8" s="20" t="s">
        <v>603</v>
      </c>
      <c r="Y8" s="18" t="s">
        <v>603</v>
      </c>
      <c r="Z8" s="20" t="s">
        <v>603</v>
      </c>
      <c r="AA8" s="18" t="s">
        <v>603</v>
      </c>
      <c r="AB8" s="20" t="s">
        <v>603</v>
      </c>
    </row>
    <row r="9" spans="1:2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c r="U9" s="18" t="s">
        <v>603</v>
      </c>
      <c r="V9" s="20" t="s">
        <v>603</v>
      </c>
      <c r="W9" s="18" t="s">
        <v>603</v>
      </c>
      <c r="X9" s="20" t="s">
        <v>603</v>
      </c>
      <c r="Y9" s="18" t="s">
        <v>603</v>
      </c>
      <c r="Z9" s="20" t="s">
        <v>603</v>
      </c>
      <c r="AA9" s="18" t="s">
        <v>603</v>
      </c>
      <c r="AB9" s="20" t="s">
        <v>603</v>
      </c>
    </row>
    <row r="10" spans="1:2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c r="U10" s="18" t="s">
        <v>603</v>
      </c>
      <c r="V10" s="20" t="s">
        <v>603</v>
      </c>
      <c r="W10" s="18" t="s">
        <v>603</v>
      </c>
      <c r="X10" s="20" t="s">
        <v>603</v>
      </c>
      <c r="Y10" s="18" t="s">
        <v>603</v>
      </c>
      <c r="Z10" s="20" t="s">
        <v>603</v>
      </c>
      <c r="AA10" s="18" t="s">
        <v>603</v>
      </c>
      <c r="AB10" s="20" t="s">
        <v>603</v>
      </c>
    </row>
    <row r="11" spans="1:2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c r="U11" s="18" t="s">
        <v>603</v>
      </c>
      <c r="V11" s="20" t="s">
        <v>603</v>
      </c>
      <c r="W11" s="18" t="s">
        <v>603</v>
      </c>
      <c r="X11" s="20" t="s">
        <v>603</v>
      </c>
      <c r="Y11" s="18" t="s">
        <v>603</v>
      </c>
      <c r="Z11" s="20" t="s">
        <v>603</v>
      </c>
      <c r="AA11" s="18" t="s">
        <v>603</v>
      </c>
      <c r="AB11" s="20" t="s">
        <v>603</v>
      </c>
    </row>
    <row r="12" spans="1:2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c r="U12" s="18" t="s">
        <v>603</v>
      </c>
      <c r="V12" s="20" t="s">
        <v>603</v>
      </c>
      <c r="W12" s="18" t="s">
        <v>603</v>
      </c>
      <c r="X12" s="20" t="s">
        <v>603</v>
      </c>
      <c r="Y12" s="18" t="s">
        <v>603</v>
      </c>
      <c r="Z12" s="20" t="s">
        <v>603</v>
      </c>
      <c r="AA12" s="18" t="s">
        <v>603</v>
      </c>
      <c r="AB12" s="20" t="s">
        <v>603</v>
      </c>
    </row>
    <row r="13" spans="1:2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c r="U13" s="18" t="s">
        <v>603</v>
      </c>
      <c r="V13" s="20" t="s">
        <v>603</v>
      </c>
      <c r="W13" s="18" t="s">
        <v>603</v>
      </c>
      <c r="X13" s="20" t="s">
        <v>603</v>
      </c>
      <c r="Y13" s="18" t="s">
        <v>603</v>
      </c>
      <c r="Z13" s="20" t="s">
        <v>603</v>
      </c>
      <c r="AA13" s="18" t="s">
        <v>603</v>
      </c>
      <c r="AB13" s="20" t="s">
        <v>603</v>
      </c>
    </row>
    <row r="14" spans="1:2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c r="U14" s="18" t="s">
        <v>603</v>
      </c>
      <c r="V14" s="20" t="s">
        <v>603</v>
      </c>
      <c r="W14" s="18" t="s">
        <v>603</v>
      </c>
      <c r="X14" s="20" t="s">
        <v>603</v>
      </c>
      <c r="Y14" s="18" t="s">
        <v>603</v>
      </c>
      <c r="Z14" s="20" t="s">
        <v>603</v>
      </c>
      <c r="AA14" s="18" t="s">
        <v>603</v>
      </c>
      <c r="AB14" s="20" t="s">
        <v>603</v>
      </c>
    </row>
    <row r="15" spans="1:2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c r="U15" s="18" t="s">
        <v>603</v>
      </c>
      <c r="V15" s="20" t="s">
        <v>603</v>
      </c>
      <c r="W15" s="18" t="s">
        <v>603</v>
      </c>
      <c r="X15" s="20" t="s">
        <v>603</v>
      </c>
      <c r="Y15" s="18" t="s">
        <v>603</v>
      </c>
      <c r="Z15" s="20" t="s">
        <v>603</v>
      </c>
      <c r="AA15" s="18" t="s">
        <v>603</v>
      </c>
      <c r="AB15" s="20" t="s">
        <v>603</v>
      </c>
    </row>
    <row r="16" spans="1:2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c r="U16" s="18" t="s">
        <v>603</v>
      </c>
      <c r="V16" s="20" t="s">
        <v>603</v>
      </c>
      <c r="W16" s="18" t="s">
        <v>603</v>
      </c>
      <c r="X16" s="20" t="s">
        <v>603</v>
      </c>
      <c r="Y16" s="18" t="s">
        <v>603</v>
      </c>
      <c r="Z16" s="20" t="s">
        <v>603</v>
      </c>
      <c r="AA16" s="18" t="s">
        <v>603</v>
      </c>
      <c r="AB16" s="20" t="s">
        <v>603</v>
      </c>
    </row>
    <row r="17" spans="1:2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c r="U17" s="18" t="s">
        <v>603</v>
      </c>
      <c r="V17" s="20" t="s">
        <v>603</v>
      </c>
      <c r="W17" s="18" t="s">
        <v>603</v>
      </c>
      <c r="X17" s="20" t="s">
        <v>603</v>
      </c>
      <c r="Y17" s="18" t="s">
        <v>603</v>
      </c>
      <c r="Z17" s="20" t="s">
        <v>603</v>
      </c>
      <c r="AA17" s="18" t="s">
        <v>603</v>
      </c>
      <c r="AB17" s="20" t="s">
        <v>603</v>
      </c>
    </row>
    <row r="18" spans="1:2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c r="U18" s="18" t="s">
        <v>603</v>
      </c>
      <c r="V18" s="20" t="s">
        <v>603</v>
      </c>
      <c r="W18" s="18" t="s">
        <v>603</v>
      </c>
      <c r="X18" s="20" t="s">
        <v>603</v>
      </c>
      <c r="Y18" s="18" t="s">
        <v>603</v>
      </c>
      <c r="Z18" s="20" t="s">
        <v>603</v>
      </c>
      <c r="AA18" s="18" t="s">
        <v>603</v>
      </c>
      <c r="AB18" s="20" t="s">
        <v>603</v>
      </c>
    </row>
    <row r="19" spans="1:2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c r="U19" s="18" t="s">
        <v>603</v>
      </c>
      <c r="V19" s="20" t="s">
        <v>603</v>
      </c>
      <c r="W19" s="18" t="s">
        <v>603</v>
      </c>
      <c r="X19" s="20" t="s">
        <v>603</v>
      </c>
      <c r="Y19" s="18" t="s">
        <v>603</v>
      </c>
      <c r="Z19" s="20" t="s">
        <v>603</v>
      </c>
      <c r="AA19" s="18" t="s">
        <v>603</v>
      </c>
      <c r="AB19" s="20" t="s">
        <v>603</v>
      </c>
    </row>
    <row r="20" spans="1:2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c r="U20" s="18" t="s">
        <v>603</v>
      </c>
      <c r="V20" s="20" t="s">
        <v>603</v>
      </c>
      <c r="W20" s="18" t="s">
        <v>603</v>
      </c>
      <c r="X20" s="20" t="s">
        <v>603</v>
      </c>
      <c r="Y20" s="18" t="s">
        <v>603</v>
      </c>
      <c r="Z20" s="20" t="s">
        <v>603</v>
      </c>
      <c r="AA20" s="18" t="s">
        <v>603</v>
      </c>
      <c r="AB20" s="20" t="s">
        <v>603</v>
      </c>
    </row>
    <row r="21" spans="1:2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c r="U21" s="18" t="s">
        <v>603</v>
      </c>
      <c r="V21" s="20" t="s">
        <v>603</v>
      </c>
      <c r="W21" s="18" t="s">
        <v>603</v>
      </c>
      <c r="X21" s="20" t="s">
        <v>603</v>
      </c>
      <c r="Y21" s="18" t="s">
        <v>603</v>
      </c>
      <c r="Z21" s="20" t="s">
        <v>603</v>
      </c>
      <c r="AA21" s="18" t="s">
        <v>603</v>
      </c>
      <c r="AB21" s="20" t="s">
        <v>603</v>
      </c>
    </row>
    <row r="22" spans="1:2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c r="U22" s="18" t="s">
        <v>603</v>
      </c>
      <c r="V22" s="20" t="s">
        <v>603</v>
      </c>
      <c r="W22" s="18" t="s">
        <v>603</v>
      </c>
      <c r="X22" s="20" t="s">
        <v>603</v>
      </c>
      <c r="Y22" s="18" t="s">
        <v>603</v>
      </c>
      <c r="Z22" s="20" t="s">
        <v>603</v>
      </c>
      <c r="AA22" s="18" t="s">
        <v>603</v>
      </c>
      <c r="AB22" s="20" t="s">
        <v>603</v>
      </c>
    </row>
    <row r="23" spans="1:2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c r="U23" s="18" t="s">
        <v>603</v>
      </c>
      <c r="V23" s="20" t="s">
        <v>603</v>
      </c>
      <c r="W23" s="18" t="s">
        <v>603</v>
      </c>
      <c r="X23" s="20" t="s">
        <v>603</v>
      </c>
      <c r="Y23" s="18" t="s">
        <v>603</v>
      </c>
      <c r="Z23" s="20" t="s">
        <v>603</v>
      </c>
      <c r="AA23" s="18" t="s">
        <v>603</v>
      </c>
      <c r="AB23" s="20" t="s">
        <v>603</v>
      </c>
    </row>
    <row r="24" spans="1:2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c r="U24" s="18" t="s">
        <v>603</v>
      </c>
      <c r="V24" s="20" t="s">
        <v>603</v>
      </c>
      <c r="W24" s="18" t="s">
        <v>603</v>
      </c>
      <c r="X24" s="20" t="s">
        <v>603</v>
      </c>
      <c r="Y24" s="18" t="s">
        <v>603</v>
      </c>
      <c r="Z24" s="20" t="s">
        <v>603</v>
      </c>
      <c r="AA24" s="18" t="s">
        <v>603</v>
      </c>
      <c r="AB24" s="20" t="s">
        <v>603</v>
      </c>
    </row>
    <row r="25" spans="1:2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c r="U25" s="18" t="s">
        <v>603</v>
      </c>
      <c r="V25" s="20" t="s">
        <v>603</v>
      </c>
      <c r="W25" s="18" t="s">
        <v>603</v>
      </c>
      <c r="X25" s="20" t="s">
        <v>603</v>
      </c>
      <c r="Y25" s="18" t="s">
        <v>603</v>
      </c>
      <c r="Z25" s="20" t="s">
        <v>603</v>
      </c>
      <c r="AA25" s="18" t="s">
        <v>603</v>
      </c>
      <c r="AB25" s="20" t="s">
        <v>603</v>
      </c>
    </row>
    <row r="26" spans="1:2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c r="U26" s="18" t="s">
        <v>603</v>
      </c>
      <c r="V26" s="20" t="s">
        <v>603</v>
      </c>
      <c r="W26" s="18" t="s">
        <v>603</v>
      </c>
      <c r="X26" s="20" t="s">
        <v>603</v>
      </c>
      <c r="Y26" s="18" t="s">
        <v>603</v>
      </c>
      <c r="Z26" s="20" t="s">
        <v>603</v>
      </c>
      <c r="AA26" s="18" t="s">
        <v>603</v>
      </c>
      <c r="AB26" s="20" t="s">
        <v>603</v>
      </c>
    </row>
    <row r="27" spans="1:2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c r="U27" s="18" t="s">
        <v>603</v>
      </c>
      <c r="V27" s="20" t="s">
        <v>603</v>
      </c>
      <c r="W27" s="18" t="s">
        <v>603</v>
      </c>
      <c r="X27" s="20" t="s">
        <v>603</v>
      </c>
      <c r="Y27" s="18" t="s">
        <v>603</v>
      </c>
      <c r="Z27" s="20" t="s">
        <v>603</v>
      </c>
      <c r="AA27" s="18" t="s">
        <v>603</v>
      </c>
      <c r="AB27" s="20" t="s">
        <v>603</v>
      </c>
    </row>
    <row r="28" spans="1:2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c r="U28" s="18" t="s">
        <v>603</v>
      </c>
      <c r="V28" s="20" t="s">
        <v>603</v>
      </c>
      <c r="W28" s="18" t="s">
        <v>603</v>
      </c>
      <c r="X28" s="20" t="s">
        <v>603</v>
      </c>
      <c r="Y28" s="18" t="s">
        <v>603</v>
      </c>
      <c r="Z28" s="20" t="s">
        <v>603</v>
      </c>
      <c r="AA28" s="18" t="s">
        <v>603</v>
      </c>
      <c r="AB28" s="20" t="s">
        <v>603</v>
      </c>
    </row>
    <row r="29" spans="1:2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c r="U29" s="18" t="s">
        <v>603</v>
      </c>
      <c r="V29" s="20" t="s">
        <v>603</v>
      </c>
      <c r="W29" s="18" t="s">
        <v>603</v>
      </c>
      <c r="X29" s="20" t="s">
        <v>603</v>
      </c>
      <c r="Y29" s="18" t="s">
        <v>603</v>
      </c>
      <c r="Z29" s="20" t="s">
        <v>603</v>
      </c>
      <c r="AA29" s="18" t="s">
        <v>603</v>
      </c>
      <c r="AB29" s="20" t="s">
        <v>603</v>
      </c>
    </row>
    <row r="30" spans="1:2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c r="U30" s="18" t="s">
        <v>603</v>
      </c>
      <c r="V30" s="20" t="s">
        <v>603</v>
      </c>
      <c r="W30" s="18" t="s">
        <v>603</v>
      </c>
      <c r="X30" s="20" t="s">
        <v>603</v>
      </c>
      <c r="Y30" s="18" t="s">
        <v>603</v>
      </c>
      <c r="Z30" s="20" t="s">
        <v>603</v>
      </c>
      <c r="AA30" s="18" t="s">
        <v>603</v>
      </c>
      <c r="AB30" s="20" t="s">
        <v>603</v>
      </c>
    </row>
    <row r="31" spans="1:2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c r="U31" s="18" t="s">
        <v>603</v>
      </c>
      <c r="V31" s="20" t="s">
        <v>603</v>
      </c>
      <c r="W31" s="18" t="s">
        <v>603</v>
      </c>
      <c r="X31" s="20" t="s">
        <v>603</v>
      </c>
      <c r="Y31" s="18" t="s">
        <v>603</v>
      </c>
      <c r="Z31" s="20" t="s">
        <v>603</v>
      </c>
      <c r="AA31" s="18" t="s">
        <v>603</v>
      </c>
      <c r="AB31" s="20" t="s">
        <v>603</v>
      </c>
    </row>
    <row r="32" spans="1:2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c r="U32" s="18" t="s">
        <v>603</v>
      </c>
      <c r="V32" s="20" t="s">
        <v>603</v>
      </c>
      <c r="W32" s="18" t="s">
        <v>603</v>
      </c>
      <c r="X32" s="20" t="s">
        <v>603</v>
      </c>
      <c r="Y32" s="18" t="s">
        <v>603</v>
      </c>
      <c r="Z32" s="20" t="s">
        <v>603</v>
      </c>
      <c r="AA32" s="18" t="s">
        <v>603</v>
      </c>
      <c r="AB32" s="20" t="s">
        <v>603</v>
      </c>
    </row>
    <row r="33" spans="1:2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c r="U33" s="18" t="s">
        <v>603</v>
      </c>
      <c r="V33" s="20" t="s">
        <v>603</v>
      </c>
      <c r="W33" s="18" t="s">
        <v>603</v>
      </c>
      <c r="X33" s="20" t="s">
        <v>603</v>
      </c>
      <c r="Y33" s="18" t="s">
        <v>603</v>
      </c>
      <c r="Z33" s="20" t="s">
        <v>603</v>
      </c>
      <c r="AA33" s="18" t="s">
        <v>603</v>
      </c>
      <c r="AB33" s="20" t="s">
        <v>603</v>
      </c>
    </row>
    <row r="34" spans="1:2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c r="U34" s="18" t="s">
        <v>603</v>
      </c>
      <c r="V34" s="20" t="s">
        <v>603</v>
      </c>
      <c r="W34" s="18" t="s">
        <v>603</v>
      </c>
      <c r="X34" s="20" t="s">
        <v>603</v>
      </c>
      <c r="Y34" s="18" t="s">
        <v>603</v>
      </c>
      <c r="Z34" s="20" t="s">
        <v>603</v>
      </c>
      <c r="AA34" s="18" t="s">
        <v>603</v>
      </c>
      <c r="AB34" s="20" t="s">
        <v>603</v>
      </c>
    </row>
    <row r="35" spans="1:2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c r="U35" s="18" t="s">
        <v>603</v>
      </c>
      <c r="V35" s="20" t="s">
        <v>603</v>
      </c>
      <c r="W35" s="18" t="s">
        <v>603</v>
      </c>
      <c r="X35" s="20" t="s">
        <v>603</v>
      </c>
      <c r="Y35" s="18" t="s">
        <v>603</v>
      </c>
      <c r="Z35" s="20" t="s">
        <v>603</v>
      </c>
      <c r="AA35" s="18" t="s">
        <v>603</v>
      </c>
      <c r="AB35" s="20" t="s">
        <v>603</v>
      </c>
    </row>
    <row r="36" spans="1:2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c r="U36" s="18" t="s">
        <v>603</v>
      </c>
      <c r="V36" s="20" t="s">
        <v>603</v>
      </c>
      <c r="W36" s="18" t="s">
        <v>603</v>
      </c>
      <c r="X36" s="20" t="s">
        <v>603</v>
      </c>
      <c r="Y36" s="18" t="s">
        <v>603</v>
      </c>
      <c r="Z36" s="20" t="s">
        <v>603</v>
      </c>
      <c r="AA36" s="18" t="s">
        <v>603</v>
      </c>
      <c r="AB36" s="20" t="s">
        <v>603</v>
      </c>
    </row>
    <row r="37" spans="1:2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c r="U37" s="18" t="s">
        <v>603</v>
      </c>
      <c r="V37" s="20" t="s">
        <v>603</v>
      </c>
      <c r="W37" s="18" t="s">
        <v>603</v>
      </c>
      <c r="X37" s="20" t="s">
        <v>603</v>
      </c>
      <c r="Y37" s="18" t="s">
        <v>603</v>
      </c>
      <c r="Z37" s="20" t="s">
        <v>603</v>
      </c>
      <c r="AA37" s="18" t="s">
        <v>603</v>
      </c>
      <c r="AB37" s="20" t="s">
        <v>603</v>
      </c>
    </row>
    <row r="38" spans="1:2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c r="U38" s="18" t="s">
        <v>603</v>
      </c>
      <c r="V38" s="20" t="s">
        <v>603</v>
      </c>
      <c r="W38" s="18" t="s">
        <v>603</v>
      </c>
      <c r="X38" s="20" t="s">
        <v>603</v>
      </c>
      <c r="Y38" s="18" t="s">
        <v>603</v>
      </c>
      <c r="Z38" s="20" t="s">
        <v>603</v>
      </c>
      <c r="AA38" s="18" t="s">
        <v>603</v>
      </c>
      <c r="AB38" s="20" t="s">
        <v>603</v>
      </c>
    </row>
    <row r="39" spans="1:2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c r="U39" s="18" t="s">
        <v>603</v>
      </c>
      <c r="V39" s="20" t="s">
        <v>603</v>
      </c>
      <c r="W39" s="18" t="s">
        <v>603</v>
      </c>
      <c r="X39" s="20" t="s">
        <v>603</v>
      </c>
      <c r="Y39" s="18" t="s">
        <v>603</v>
      </c>
      <c r="Z39" s="20" t="s">
        <v>603</v>
      </c>
      <c r="AA39" s="18" t="s">
        <v>603</v>
      </c>
      <c r="AB39" s="20" t="s">
        <v>603</v>
      </c>
    </row>
    <row r="40" spans="1:2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c r="U40" s="18" t="s">
        <v>603</v>
      </c>
      <c r="V40" s="20" t="s">
        <v>603</v>
      </c>
      <c r="W40" s="18" t="s">
        <v>603</v>
      </c>
      <c r="X40" s="20" t="s">
        <v>603</v>
      </c>
      <c r="Y40" s="18" t="s">
        <v>603</v>
      </c>
      <c r="Z40" s="20" t="s">
        <v>603</v>
      </c>
      <c r="AA40" s="18" t="s">
        <v>603</v>
      </c>
      <c r="AB40" s="20" t="s">
        <v>603</v>
      </c>
    </row>
    <row r="41" spans="1:2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c r="U41" s="18" t="s">
        <v>603</v>
      </c>
      <c r="V41" s="20" t="s">
        <v>603</v>
      </c>
      <c r="W41" s="18" t="s">
        <v>603</v>
      </c>
      <c r="X41" s="20" t="s">
        <v>603</v>
      </c>
      <c r="Y41" s="18" t="s">
        <v>603</v>
      </c>
      <c r="Z41" s="20" t="s">
        <v>603</v>
      </c>
      <c r="AA41" s="18" t="s">
        <v>603</v>
      </c>
      <c r="AB41" s="20" t="s">
        <v>603</v>
      </c>
    </row>
    <row r="42" spans="1:2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602</v>
      </c>
      <c r="B44" s="17" t="n">
        <v>2691</v>
      </c>
      <c r="C44" s="18">
        <f>(1782.0/B44*100)</f>
        <v/>
      </c>
      <c r="D44" s="19" t="n">
        <v>909</v>
      </c>
      <c r="E44" s="18" t="n">
        <v>20.97632914</v>
      </c>
      <c r="F44" s="20" t="n">
        <v>1.38230374</v>
      </c>
      <c r="G44" s="18" t="n">
        <v>6.06654357</v>
      </c>
      <c r="H44" s="20" t="n">
        <v>1.01398476</v>
      </c>
      <c r="I44" s="18" t="n">
        <v>2.78219616</v>
      </c>
      <c r="J44" s="20" t="n">
        <v>0.7406268499999999</v>
      </c>
      <c r="K44" s="18" t="n">
        <v>17.49140036</v>
      </c>
      <c r="L44" s="20" t="n">
        <v>1.23097787</v>
      </c>
      <c r="M44" s="18" t="n">
        <v>0</v>
      </c>
      <c r="N44" s="20" t="n">
        <v>0</v>
      </c>
      <c r="O44" s="18" t="n">
        <v>15.63143149</v>
      </c>
      <c r="P44" s="20" t="n">
        <v>1.11970563</v>
      </c>
      <c r="Q44" s="18" t="n">
        <v>12.31798153</v>
      </c>
      <c r="R44" s="20" t="n">
        <v>1.07514683</v>
      </c>
      <c r="S44" s="18" t="n">
        <v>0</v>
      </c>
      <c r="T44" s="20" t="n">
        <v>0</v>
      </c>
      <c r="U44" s="18" t="n">
        <v>2.05082573</v>
      </c>
      <c r="V44" s="20" t="n">
        <v>0.49264155</v>
      </c>
      <c r="W44" s="18" t="n">
        <v>0</v>
      </c>
      <c r="X44" s="20" t="n">
        <v>0</v>
      </c>
      <c r="Y44" s="18" t="n">
        <v>0</v>
      </c>
      <c r="Z44" s="20" t="n">
        <v>0</v>
      </c>
      <c r="AA44" s="18" t="n">
        <v>22.68329202</v>
      </c>
      <c r="AB44" s="20" t="n">
        <v>1.7809499</v>
      </c>
    </row>
    <row r="45" spans="1:28">
      <c r="A45" s="15" t="s">
        <v>604</v>
      </c>
      <c r="B45" s="17" t="n">
        <v>2670</v>
      </c>
      <c r="C45" s="18">
        <f>(1779.0/B45*100)</f>
        <v/>
      </c>
      <c r="D45" s="19" t="n">
        <v>891</v>
      </c>
      <c r="E45" s="18" t="n">
        <v>19.9012928</v>
      </c>
      <c r="F45" s="20" t="n">
        <v>1.73252814</v>
      </c>
      <c r="G45" s="18" t="n">
        <v>5.20128556</v>
      </c>
      <c r="H45" s="20" t="n">
        <v>0.71803477</v>
      </c>
      <c r="I45" s="18" t="n">
        <v>7.91084296</v>
      </c>
      <c r="J45" s="20" t="n">
        <v>0.98875004</v>
      </c>
      <c r="K45" s="18" t="n">
        <v>22.79547047</v>
      </c>
      <c r="L45" s="20" t="n">
        <v>1.41592319</v>
      </c>
      <c r="M45" s="18" t="n">
        <v>0</v>
      </c>
      <c r="N45" s="20" t="n">
        <v>0</v>
      </c>
      <c r="O45" s="18" t="n">
        <v>5.34135797</v>
      </c>
      <c r="P45" s="20" t="n">
        <v>0.80989023</v>
      </c>
      <c r="Q45" s="18" t="n">
        <v>6.15429639</v>
      </c>
      <c r="R45" s="20" t="n">
        <v>0.80630043</v>
      </c>
      <c r="S45" s="18" t="n">
        <v>0</v>
      </c>
      <c r="T45" s="20" t="n">
        <v>0</v>
      </c>
      <c r="U45" s="18" t="n">
        <v>6.42714812</v>
      </c>
      <c r="V45" s="20" t="n">
        <v>0.88725399</v>
      </c>
      <c r="W45" s="18" t="n">
        <v>0.26294163</v>
      </c>
      <c r="X45" s="20" t="n">
        <v>0.16657175</v>
      </c>
      <c r="Y45" s="18" t="n">
        <v>0.49111628</v>
      </c>
      <c r="Z45" s="20" t="n">
        <v>0.24767406</v>
      </c>
      <c r="AA45" s="18" t="n">
        <v>25.51424781</v>
      </c>
      <c r="AB45" s="20" t="n">
        <v>1.65195941</v>
      </c>
    </row>
    <row r="46" spans="1:2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c r="U46" s="18" t="s">
        <v>603</v>
      </c>
      <c r="V46" s="20" t="s">
        <v>603</v>
      </c>
      <c r="W46" s="18" t="s">
        <v>603</v>
      </c>
      <c r="X46" s="20" t="s">
        <v>603</v>
      </c>
      <c r="Y46" s="18" t="s">
        <v>603</v>
      </c>
      <c r="Z46" s="20" t="s">
        <v>603</v>
      </c>
      <c r="AA46" s="18" t="s">
        <v>603</v>
      </c>
      <c r="AB46" s="20" t="s">
        <v>603</v>
      </c>
    </row>
    <row r="47" spans="1:2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c r="U47" s="18" t="s">
        <v>603</v>
      </c>
      <c r="V47" s="20" t="s">
        <v>603</v>
      </c>
      <c r="W47" s="18" t="s">
        <v>603</v>
      </c>
      <c r="X47" s="20" t="s">
        <v>603</v>
      </c>
      <c r="Y47" s="18" t="s">
        <v>603</v>
      </c>
      <c r="Z47" s="20" t="s">
        <v>603</v>
      </c>
      <c r="AA47" s="18" t="s">
        <v>603</v>
      </c>
      <c r="AB47" s="20" t="s">
        <v>603</v>
      </c>
    </row>
    <row r="48" spans="1:2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c r="U48" s="18" t="s">
        <v>603</v>
      </c>
      <c r="V48" s="20" t="s">
        <v>603</v>
      </c>
      <c r="W48" s="18" t="s">
        <v>603</v>
      </c>
      <c r="X48" s="20" t="s">
        <v>603</v>
      </c>
      <c r="Y48" s="18" t="s">
        <v>603</v>
      </c>
      <c r="Z48" s="20" t="s">
        <v>603</v>
      </c>
      <c r="AA48" s="18" t="s">
        <v>603</v>
      </c>
      <c r="AB48" s="20" t="s">
        <v>603</v>
      </c>
    </row>
    <row r="49" spans="1:2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c r="U49" s="18" t="s">
        <v>603</v>
      </c>
      <c r="V49" s="20" t="s">
        <v>603</v>
      </c>
      <c r="W49" s="18" t="s">
        <v>603</v>
      </c>
      <c r="X49" s="20" t="s">
        <v>603</v>
      </c>
      <c r="Y49" s="18" t="s">
        <v>603</v>
      </c>
      <c r="Z49" s="20" t="s">
        <v>603</v>
      </c>
      <c r="AA49" s="18" t="s">
        <v>603</v>
      </c>
      <c r="AB49" s="20" t="s">
        <v>603</v>
      </c>
    </row>
    <row r="50" spans="1:2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c r="U50" s="18" t="s">
        <v>603</v>
      </c>
      <c r="V50" s="20" t="s">
        <v>603</v>
      </c>
      <c r="W50" s="18" t="s">
        <v>603</v>
      </c>
      <c r="X50" s="20" t="s">
        <v>603</v>
      </c>
      <c r="Y50" s="18" t="s">
        <v>603</v>
      </c>
      <c r="Z50" s="20" t="s">
        <v>603</v>
      </c>
      <c r="AA50" s="18" t="s">
        <v>603</v>
      </c>
      <c r="AB50" s="20" t="s">
        <v>603</v>
      </c>
    </row>
    <row r="51" spans="1:2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c r="U51" s="18" t="s">
        <v>603</v>
      </c>
      <c r="V51" s="20" t="s">
        <v>603</v>
      </c>
      <c r="W51" s="18" t="s">
        <v>603</v>
      </c>
      <c r="X51" s="20" t="s">
        <v>603</v>
      </c>
      <c r="Y51" s="18" t="s">
        <v>603</v>
      </c>
      <c r="Z51" s="20" t="s">
        <v>603</v>
      </c>
      <c r="AA51" s="18" t="s">
        <v>603</v>
      </c>
      <c r="AB51" s="20" t="s">
        <v>603</v>
      </c>
    </row>
    <row r="52" spans="1:2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c r="U52" s="18" t="s">
        <v>603</v>
      </c>
      <c r="V52" s="20" t="s">
        <v>603</v>
      </c>
      <c r="W52" s="18" t="s">
        <v>603</v>
      </c>
      <c r="X52" s="20" t="s">
        <v>603</v>
      </c>
      <c r="Y52" s="18" t="s">
        <v>603</v>
      </c>
      <c r="Z52" s="20" t="s">
        <v>603</v>
      </c>
      <c r="AA52" s="18" t="s">
        <v>603</v>
      </c>
      <c r="AB52" s="20" t="s">
        <v>603</v>
      </c>
    </row>
    <row r="53" spans="1:2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c r="U53" s="18" t="s">
        <v>603</v>
      </c>
      <c r="V53" s="20" t="s">
        <v>603</v>
      </c>
      <c r="W53" s="18" t="s">
        <v>603</v>
      </c>
      <c r="X53" s="20" t="s">
        <v>603</v>
      </c>
      <c r="Y53" s="18" t="s">
        <v>603</v>
      </c>
      <c r="Z53" s="20" t="s">
        <v>603</v>
      </c>
      <c r="AA53" s="18" t="s">
        <v>603</v>
      </c>
      <c r="AB53" s="20" t="s">
        <v>603</v>
      </c>
    </row>
    <row r="54" spans="1:28">
      <c r="A54" s="15" t="s">
        <v>613</v>
      </c>
      <c r="B54" s="17" t="n">
        <v>2557</v>
      </c>
      <c r="C54" s="18">
        <f>(1715.0/B54*100)</f>
        <v/>
      </c>
      <c r="D54" s="19" t="n">
        <v>842</v>
      </c>
      <c r="E54" s="18" t="n">
        <v>18.07278001</v>
      </c>
      <c r="F54" s="20" t="n">
        <v>1.44931463</v>
      </c>
      <c r="G54" s="18" t="n">
        <v>9.49169258</v>
      </c>
      <c r="H54" s="20" t="n">
        <v>1.00255591</v>
      </c>
      <c r="I54" s="18" t="n">
        <v>0.83082994</v>
      </c>
      <c r="J54" s="20" t="n">
        <v>0.31742816</v>
      </c>
      <c r="K54" s="18" t="n">
        <v>12.41552147</v>
      </c>
      <c r="L54" s="20" t="n">
        <v>1.29641376</v>
      </c>
      <c r="M54" s="18" t="n">
        <v>0</v>
      </c>
      <c r="N54" s="20" t="n">
        <v>0</v>
      </c>
      <c r="O54" s="18" t="n">
        <v>16.66014053</v>
      </c>
      <c r="P54" s="20" t="n">
        <v>1.61502202</v>
      </c>
      <c r="Q54" s="18" t="n">
        <v>6.95820036</v>
      </c>
      <c r="R54" s="20" t="n">
        <v>0.85087243</v>
      </c>
      <c r="S54" s="18" t="n">
        <v>0</v>
      </c>
      <c r="T54" s="20" t="n">
        <v>0</v>
      </c>
      <c r="U54" s="18" t="n">
        <v>2.65743218</v>
      </c>
      <c r="V54" s="20" t="n">
        <v>0.57787259</v>
      </c>
      <c r="W54" s="18" t="n">
        <v>0</v>
      </c>
      <c r="X54" s="20" t="n">
        <v>0</v>
      </c>
      <c r="Y54" s="18" t="n">
        <v>0</v>
      </c>
      <c r="Z54" s="20" t="n">
        <v>0</v>
      </c>
      <c r="AA54" s="18" t="n">
        <v>32.91340293</v>
      </c>
      <c r="AB54" s="20" t="n">
        <v>1.66908109</v>
      </c>
    </row>
    <row r="55" spans="1:2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c r="U55" s="18" t="s">
        <v>603</v>
      </c>
      <c r="V55" s="20" t="s">
        <v>603</v>
      </c>
      <c r="W55" s="18" t="s">
        <v>603</v>
      </c>
      <c r="X55" s="20" t="s">
        <v>603</v>
      </c>
      <c r="Y55" s="18" t="s">
        <v>603</v>
      </c>
      <c r="Z55" s="20" t="s">
        <v>603</v>
      </c>
      <c r="AA55" s="18" t="s">
        <v>603</v>
      </c>
      <c r="AB55" s="20" t="s">
        <v>603</v>
      </c>
    </row>
    <row r="56" spans="1:28">
      <c r="A56" s="15" t="s">
        <v>615</v>
      </c>
      <c r="B56" s="17" t="n">
        <v>3343</v>
      </c>
      <c r="C56" s="18">
        <f>(2264.0/B56*100)</f>
        <v/>
      </c>
      <c r="D56" s="19" t="n">
        <v>1079</v>
      </c>
      <c r="E56" s="18" t="n">
        <v>34.86666508</v>
      </c>
      <c r="F56" s="20" t="n">
        <v>1.65056958</v>
      </c>
      <c r="G56" s="18" t="n">
        <v>8.25628803</v>
      </c>
      <c r="H56" s="20" t="n">
        <v>0.95610548</v>
      </c>
      <c r="I56" s="18" t="n">
        <v>3.37440264</v>
      </c>
      <c r="J56" s="20" t="n">
        <v>0.51819001</v>
      </c>
      <c r="K56" s="18" t="n">
        <v>29.14749944</v>
      </c>
      <c r="L56" s="20" t="n">
        <v>1.28801527</v>
      </c>
      <c r="M56" s="18" t="n">
        <v>0</v>
      </c>
      <c r="N56" s="20" t="n">
        <v>0</v>
      </c>
      <c r="O56" s="18" t="n">
        <v>10.77718836</v>
      </c>
      <c r="P56" s="20" t="n">
        <v>1.0070637</v>
      </c>
      <c r="Q56" s="18" t="n">
        <v>4.75950002</v>
      </c>
      <c r="R56" s="20" t="n">
        <v>0.7480873</v>
      </c>
      <c r="S56" s="18" t="n">
        <v>0</v>
      </c>
      <c r="T56" s="20" t="n">
        <v>0</v>
      </c>
      <c r="U56" s="18" t="n">
        <v>1.64813368</v>
      </c>
      <c r="V56" s="20" t="n">
        <v>0.45995913</v>
      </c>
      <c r="W56" s="18" t="n">
        <v>0</v>
      </c>
      <c r="X56" s="20" t="n">
        <v>0</v>
      </c>
      <c r="Y56" s="18" t="n">
        <v>0</v>
      </c>
      <c r="Z56" s="20" t="n">
        <v>0</v>
      </c>
      <c r="AA56" s="18" t="n">
        <v>7.17032274</v>
      </c>
      <c r="AB56" s="20" t="n">
        <v>1.06318885</v>
      </c>
    </row>
    <row r="57" spans="1:28">
      <c r="A57" s="15" t="s">
        <v>616</v>
      </c>
      <c r="B57" s="17" t="n">
        <v>3737</v>
      </c>
      <c r="C57" s="18">
        <f>(2493.0/B57*100)</f>
        <v/>
      </c>
      <c r="D57" s="19" t="n">
        <v>1244</v>
      </c>
      <c r="E57" s="18" t="n">
        <v>22.92641886</v>
      </c>
      <c r="F57" s="20" t="n">
        <v>1.6414664</v>
      </c>
      <c r="G57" s="18" t="n">
        <v>17.87953161</v>
      </c>
      <c r="H57" s="20" t="n">
        <v>1.3273087</v>
      </c>
      <c r="I57" s="18" t="n">
        <v>5.99795899</v>
      </c>
      <c r="J57" s="20" t="n">
        <v>1.03158249</v>
      </c>
      <c r="K57" s="18" t="n">
        <v>22.71556753</v>
      </c>
      <c r="L57" s="20" t="n">
        <v>1.2868707</v>
      </c>
      <c r="M57" s="18" t="n">
        <v>0</v>
      </c>
      <c r="N57" s="20" t="n">
        <v>0</v>
      </c>
      <c r="O57" s="18" t="n">
        <v>12.36313124</v>
      </c>
      <c r="P57" s="20" t="n">
        <v>0.83717931</v>
      </c>
      <c r="Q57" s="18" t="n">
        <v>6.57571964</v>
      </c>
      <c r="R57" s="20" t="n">
        <v>0.66507308</v>
      </c>
      <c r="S57" s="18" t="n">
        <v>0</v>
      </c>
      <c r="T57" s="20" t="n">
        <v>0</v>
      </c>
      <c r="U57" s="18" t="n">
        <v>2.35092096</v>
      </c>
      <c r="V57" s="20" t="n">
        <v>0.58783086</v>
      </c>
      <c r="W57" s="18" t="n">
        <v>0</v>
      </c>
      <c r="X57" s="20" t="n">
        <v>0</v>
      </c>
      <c r="Y57" s="18" t="n">
        <v>0</v>
      </c>
      <c r="Z57" s="20" t="n">
        <v>0</v>
      </c>
      <c r="AA57" s="18" t="n">
        <v>9.19075117</v>
      </c>
      <c r="AB57" s="20" t="n">
        <v>1.22749516</v>
      </c>
    </row>
    <row r="58" spans="1:2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c r="W58" s="21" t="s">
        <v>618</v>
      </c>
      <c r="X58" s="22" t="s">
        <v>618</v>
      </c>
      <c r="Y58" s="21" t="s">
        <v>618</v>
      </c>
      <c r="Z58" s="22" t="s">
        <v>618</v>
      </c>
      <c r="AA58" s="21" t="s">
        <v>618</v>
      </c>
      <c r="AB58" s="22" t="s">
        <v>618</v>
      </c>
    </row>
    <row r="59" spans="1:28">
      <c r="A59" s="15" t="s">
        <v>619</v>
      </c>
      <c r="B59" s="17" t="n">
        <v>2278</v>
      </c>
      <c r="C59" s="18">
        <f>(1514.0/B59*100)</f>
        <v/>
      </c>
      <c r="D59" s="19" t="n">
        <v>764</v>
      </c>
      <c r="E59" s="18" t="n">
        <v>21.63874508</v>
      </c>
      <c r="F59" s="20" t="n">
        <v>1.8301952</v>
      </c>
      <c r="G59" s="18" t="n">
        <v>6.63180978</v>
      </c>
      <c r="H59" s="20" t="n">
        <v>1.10334435</v>
      </c>
      <c r="I59" s="18" t="n">
        <v>3.77775065</v>
      </c>
      <c r="J59" s="20" t="n">
        <v>0.71792487</v>
      </c>
      <c r="K59" s="18" t="n">
        <v>27.45579085</v>
      </c>
      <c r="L59" s="20" t="n">
        <v>2.13112047</v>
      </c>
      <c r="M59" s="18" t="n">
        <v>0</v>
      </c>
      <c r="N59" s="20" t="n">
        <v>0</v>
      </c>
      <c r="O59" s="18" t="n">
        <v>12.73551851</v>
      </c>
      <c r="P59" s="20" t="n">
        <v>1.49738598</v>
      </c>
      <c r="Q59" s="18" t="n">
        <v>10.60274873</v>
      </c>
      <c r="R59" s="20" t="n">
        <v>1.28238969</v>
      </c>
      <c r="S59" s="18" t="n">
        <v>0</v>
      </c>
      <c r="T59" s="20" t="n">
        <v>0</v>
      </c>
      <c r="U59" s="18" t="n">
        <v>1.01829212</v>
      </c>
      <c r="V59" s="20" t="n">
        <v>0.49264328</v>
      </c>
      <c r="W59" s="18" t="n">
        <v>0</v>
      </c>
      <c r="X59" s="20" t="n">
        <v>0</v>
      </c>
      <c r="Y59" s="18" t="n">
        <v>0</v>
      </c>
      <c r="Z59" s="20" t="n">
        <v>0</v>
      </c>
      <c r="AA59" s="18" t="n">
        <v>16.13934427</v>
      </c>
      <c r="AB59" s="20" t="n">
        <v>1.65618686</v>
      </c>
    </row>
    <row r="60" spans="1:28">
      <c r="A60" s="15" t="s">
        <v>620</v>
      </c>
      <c r="B60" s="17" t="n">
        <v>2451</v>
      </c>
      <c r="C60" s="18">
        <f>(1608.0/B60*100)</f>
        <v/>
      </c>
      <c r="D60" s="19" t="n">
        <v>843</v>
      </c>
      <c r="E60" s="18" t="n">
        <v>13.43185761</v>
      </c>
      <c r="F60" s="20" t="n">
        <v>1.24553778</v>
      </c>
      <c r="G60" s="18" t="n">
        <v>7.89419148</v>
      </c>
      <c r="H60" s="20" t="n">
        <v>1.00555102</v>
      </c>
      <c r="I60" s="18" t="n">
        <v>4.48248322</v>
      </c>
      <c r="J60" s="20" t="n">
        <v>0.76229296</v>
      </c>
      <c r="K60" s="18" t="n">
        <v>27.38772848</v>
      </c>
      <c r="L60" s="20" t="n">
        <v>1.59706217</v>
      </c>
      <c r="M60" s="18" t="n">
        <v>0</v>
      </c>
      <c r="N60" s="20" t="n">
        <v>0</v>
      </c>
      <c r="O60" s="18" t="n">
        <v>8.065638760000001</v>
      </c>
      <c r="P60" s="20" t="n">
        <v>0.96077858</v>
      </c>
      <c r="Q60" s="18" t="n">
        <v>6.24531882</v>
      </c>
      <c r="R60" s="20" t="n">
        <v>0.85705228</v>
      </c>
      <c r="S60" s="18" t="n">
        <v>0</v>
      </c>
      <c r="T60" s="20" t="n">
        <v>0</v>
      </c>
      <c r="U60" s="18" t="n">
        <v>3.22501138</v>
      </c>
      <c r="V60" s="20" t="n">
        <v>0.67362073</v>
      </c>
      <c r="W60" s="18" t="n">
        <v>0</v>
      </c>
      <c r="X60" s="20" t="n">
        <v>0</v>
      </c>
      <c r="Y60" s="18" t="n">
        <v>0.58729753</v>
      </c>
      <c r="Z60" s="20" t="n">
        <v>0.26500185</v>
      </c>
      <c r="AA60" s="18" t="n">
        <v>28.68047273</v>
      </c>
      <c r="AB60" s="20" t="n">
        <v>2.02764068</v>
      </c>
    </row>
    <row r="61" spans="1:2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c r="U61" s="18" t="s">
        <v>603</v>
      </c>
      <c r="V61" s="20" t="s">
        <v>603</v>
      </c>
      <c r="W61" s="18" t="s">
        <v>603</v>
      </c>
      <c r="X61" s="20" t="s">
        <v>603</v>
      </c>
      <c r="Y61" s="18" t="s">
        <v>603</v>
      </c>
      <c r="Z61" s="20" t="s">
        <v>603</v>
      </c>
      <c r="AA61" s="18" t="s">
        <v>603</v>
      </c>
      <c r="AB61" s="20" t="s">
        <v>603</v>
      </c>
    </row>
    <row r="62" spans="1:2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c r="U62" s="18" t="s">
        <v>603</v>
      </c>
      <c r="V62" s="20" t="s">
        <v>603</v>
      </c>
      <c r="W62" s="18" t="s">
        <v>603</v>
      </c>
      <c r="X62" s="20" t="s">
        <v>603</v>
      </c>
      <c r="Y62" s="18" t="s">
        <v>603</v>
      </c>
      <c r="Z62" s="20" t="s">
        <v>603</v>
      </c>
      <c r="AA62" s="18" t="s">
        <v>603</v>
      </c>
      <c r="AB62" s="20" t="s">
        <v>603</v>
      </c>
    </row>
    <row r="63" spans="1:28">
      <c r="A63" s="15" t="s">
        <v>623</v>
      </c>
      <c r="B63" s="17" t="n">
        <v>2511</v>
      </c>
      <c r="C63" s="18">
        <f>(1675.0/B63*100)</f>
        <v/>
      </c>
      <c r="D63" s="19" t="n">
        <v>836</v>
      </c>
      <c r="E63" s="18" t="n">
        <v>9.236056550000001</v>
      </c>
      <c r="F63" s="20" t="n">
        <v>1.26163088</v>
      </c>
      <c r="G63" s="18" t="n">
        <v>3.33312056</v>
      </c>
      <c r="H63" s="20" t="n">
        <v>0.7391472</v>
      </c>
      <c r="I63" s="18" t="n">
        <v>1.62314332</v>
      </c>
      <c r="J63" s="20" t="n">
        <v>0.45911696</v>
      </c>
      <c r="K63" s="18" t="n">
        <v>9.998315910000001</v>
      </c>
      <c r="L63" s="20" t="n">
        <v>1.03052094</v>
      </c>
      <c r="M63" s="18" t="n">
        <v>0</v>
      </c>
      <c r="N63" s="20" t="n">
        <v>0</v>
      </c>
      <c r="O63" s="18" t="n">
        <v>16.10901735</v>
      </c>
      <c r="P63" s="20" t="n">
        <v>1.54189706</v>
      </c>
      <c r="Q63" s="18" t="n">
        <v>4.66989528</v>
      </c>
      <c r="R63" s="20" t="n">
        <v>0.74109246</v>
      </c>
      <c r="S63" s="18" t="n">
        <v>0</v>
      </c>
      <c r="T63" s="20" t="n">
        <v>0</v>
      </c>
      <c r="U63" s="18" t="n">
        <v>2.98579168</v>
      </c>
      <c r="V63" s="20" t="n">
        <v>0.67076627</v>
      </c>
      <c r="W63" s="18" t="n">
        <v>0</v>
      </c>
      <c r="X63" s="20" t="n">
        <v>0</v>
      </c>
      <c r="Y63" s="18" t="n">
        <v>0</v>
      </c>
      <c r="Z63" s="20" t="n">
        <v>0</v>
      </c>
      <c r="AA63" s="18" t="n">
        <v>52.04465934</v>
      </c>
      <c r="AB63" s="20" t="n">
        <v>1.9432532</v>
      </c>
    </row>
    <row r="64" spans="1:2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c r="W64" s="21" t="s">
        <v>618</v>
      </c>
      <c r="X64" s="22" t="s">
        <v>618</v>
      </c>
      <c r="Y64" s="21" t="s">
        <v>618</v>
      </c>
      <c r="Z64" s="22" t="s">
        <v>618</v>
      </c>
      <c r="AA64" s="21" t="s">
        <v>618</v>
      </c>
      <c r="AB64" s="22" t="s">
        <v>618</v>
      </c>
    </row>
    <row r="65" spans="1:28">
      <c r="A65" s="15" t="s">
        <v>625</v>
      </c>
      <c r="B65" s="17" t="n">
        <v>1790</v>
      </c>
      <c r="C65" s="18">
        <f>(1190.0/B65*100)</f>
        <v/>
      </c>
      <c r="D65" s="19" t="n">
        <v>600</v>
      </c>
      <c r="E65" s="18" t="n">
        <v>28.11766989</v>
      </c>
      <c r="F65" s="20" t="n">
        <v>1.84472395</v>
      </c>
      <c r="G65" s="18" t="n">
        <v>13.08890112</v>
      </c>
      <c r="H65" s="20" t="n">
        <v>1.38064536</v>
      </c>
      <c r="I65" s="18" t="n">
        <v>2.81457374</v>
      </c>
      <c r="J65" s="20" t="n">
        <v>0.70526586</v>
      </c>
      <c r="K65" s="18" t="n">
        <v>14.18659734</v>
      </c>
      <c r="L65" s="20" t="n">
        <v>1.39338281</v>
      </c>
      <c r="M65" s="18" t="n">
        <v>0</v>
      </c>
      <c r="N65" s="20" t="n">
        <v>0</v>
      </c>
      <c r="O65" s="18" t="n">
        <v>15.82170754</v>
      </c>
      <c r="P65" s="20" t="n">
        <v>1.45724044</v>
      </c>
      <c r="Q65" s="18" t="n">
        <v>5.18297609</v>
      </c>
      <c r="R65" s="20" t="n">
        <v>0.92110892</v>
      </c>
      <c r="S65" s="18" t="n">
        <v>0</v>
      </c>
      <c r="T65" s="20" t="n">
        <v>0</v>
      </c>
      <c r="U65" s="18" t="n">
        <v>2.56841603</v>
      </c>
      <c r="V65" s="20" t="n">
        <v>0.63826559</v>
      </c>
      <c r="W65" s="18" t="n">
        <v>0</v>
      </c>
      <c r="X65" s="20" t="n">
        <v>0</v>
      </c>
      <c r="Y65" s="18" t="n">
        <v>0</v>
      </c>
      <c r="Z65" s="20" t="n">
        <v>0</v>
      </c>
      <c r="AA65" s="18" t="n">
        <v>18.21915824</v>
      </c>
      <c r="AB65" s="20" t="n">
        <v>1.64751794</v>
      </c>
    </row>
    <row r="66" spans="1:28">
      <c r="A66" s="15" t="s">
        <v>626</v>
      </c>
      <c r="B66" s="17" t="n">
        <v>2634</v>
      </c>
      <c r="C66" s="18">
        <f>(1747.0/B66*100)</f>
        <v/>
      </c>
      <c r="D66" s="19" t="n">
        <v>887</v>
      </c>
      <c r="E66" s="18" t="n">
        <v>24.0107859</v>
      </c>
      <c r="F66" s="20" t="n">
        <v>1.77188389</v>
      </c>
      <c r="G66" s="18" t="n">
        <v>4.97346085</v>
      </c>
      <c r="H66" s="20" t="n">
        <v>0.83093416</v>
      </c>
      <c r="I66" s="18" t="n">
        <v>0.3233128</v>
      </c>
      <c r="J66" s="20" t="n">
        <v>0.1671187</v>
      </c>
      <c r="K66" s="18" t="n">
        <v>30.26777108</v>
      </c>
      <c r="L66" s="20" t="n">
        <v>1.63124382</v>
      </c>
      <c r="M66" s="18" t="n">
        <v>0</v>
      </c>
      <c r="N66" s="20" t="n">
        <v>0</v>
      </c>
      <c r="O66" s="18" t="n">
        <v>6.5706586</v>
      </c>
      <c r="P66" s="20" t="n">
        <v>0.99339984</v>
      </c>
      <c r="Q66" s="18" t="n">
        <v>6.70307236</v>
      </c>
      <c r="R66" s="20" t="n">
        <v>0.84614417</v>
      </c>
      <c r="S66" s="18" t="n">
        <v>0</v>
      </c>
      <c r="T66" s="20" t="n">
        <v>0</v>
      </c>
      <c r="U66" s="18" t="n">
        <v>4.1564471</v>
      </c>
      <c r="V66" s="20" t="n">
        <v>0.7158836</v>
      </c>
      <c r="W66" s="18" t="n">
        <v>0</v>
      </c>
      <c r="X66" s="20" t="n">
        <v>0</v>
      </c>
      <c r="Y66" s="18" t="n">
        <v>0</v>
      </c>
      <c r="Z66" s="20" t="n">
        <v>0</v>
      </c>
      <c r="AA66" s="18" t="n">
        <v>22.9944913</v>
      </c>
      <c r="AB66" s="20" t="n">
        <v>1.46513671</v>
      </c>
    </row>
    <row r="67" spans="1:2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c r="U67" s="18" t="s">
        <v>603</v>
      </c>
      <c r="V67" s="20" t="s">
        <v>603</v>
      </c>
      <c r="W67" s="18" t="s">
        <v>603</v>
      </c>
      <c r="X67" s="20" t="s">
        <v>603</v>
      </c>
      <c r="Y67" s="18" t="s">
        <v>603</v>
      </c>
      <c r="Z67" s="20" t="s">
        <v>603</v>
      </c>
      <c r="AA67" s="18" t="s">
        <v>603</v>
      </c>
      <c r="AB67" s="20" t="s">
        <v>603</v>
      </c>
    </row>
    <row r="68" spans="1:2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c r="U68" s="18" t="s">
        <v>603</v>
      </c>
      <c r="V68" s="20" t="s">
        <v>603</v>
      </c>
      <c r="W68" s="18" t="s">
        <v>603</v>
      </c>
      <c r="X68" s="20" t="s">
        <v>603</v>
      </c>
      <c r="Y68" s="18" t="s">
        <v>603</v>
      </c>
      <c r="Z68" s="20" t="s">
        <v>603</v>
      </c>
      <c r="AA68" s="18" t="s">
        <v>603</v>
      </c>
      <c r="AB68" s="20" t="s">
        <v>603</v>
      </c>
    </row>
    <row r="69" spans="1:28">
      <c r="A69" s="15" t="s">
        <v>629</v>
      </c>
      <c r="B69" s="17" t="n">
        <v>720</v>
      </c>
      <c r="C69" s="18">
        <f>(482.0/B69*100)</f>
        <v/>
      </c>
      <c r="D69" s="19" t="n">
        <v>238</v>
      </c>
      <c r="E69" s="18" t="n">
        <v>24.65611144</v>
      </c>
      <c r="F69" s="20" t="n">
        <v>2.46624968</v>
      </c>
      <c r="G69" s="18" t="n">
        <v>9.8011436</v>
      </c>
      <c r="H69" s="20" t="n">
        <v>2.25593386</v>
      </c>
      <c r="I69" s="18" t="n">
        <v>0</v>
      </c>
      <c r="J69" s="20" t="n">
        <v>0</v>
      </c>
      <c r="K69" s="18" t="n">
        <v>34.6853128</v>
      </c>
      <c r="L69" s="20" t="n">
        <v>2.59047254</v>
      </c>
      <c r="M69" s="18" t="n">
        <v>0</v>
      </c>
      <c r="N69" s="20" t="n">
        <v>0</v>
      </c>
      <c r="O69" s="18" t="n">
        <v>11.30753476</v>
      </c>
      <c r="P69" s="20" t="n">
        <v>1.6849914</v>
      </c>
      <c r="Q69" s="18" t="n">
        <v>5.50435828</v>
      </c>
      <c r="R69" s="20" t="n">
        <v>1.49170501</v>
      </c>
      <c r="S69" s="18" t="n">
        <v>0</v>
      </c>
      <c r="T69" s="20" t="n">
        <v>0</v>
      </c>
      <c r="U69" s="18" t="n">
        <v>0</v>
      </c>
      <c r="V69" s="20" t="n">
        <v>0</v>
      </c>
      <c r="W69" s="18" t="n">
        <v>0</v>
      </c>
      <c r="X69" s="20" t="n">
        <v>0</v>
      </c>
      <c r="Y69" s="18" t="n">
        <v>0</v>
      </c>
      <c r="Z69" s="20" t="n">
        <v>0</v>
      </c>
      <c r="AA69" s="18" t="n">
        <v>14.04553912</v>
      </c>
      <c r="AB69" s="20" t="n">
        <v>2.69108203</v>
      </c>
    </row>
    <row r="70" spans="1:2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c r="U70" s="18" t="s">
        <v>603</v>
      </c>
      <c r="V70" s="20" t="s">
        <v>603</v>
      </c>
      <c r="W70" s="18" t="s">
        <v>603</v>
      </c>
      <c r="X70" s="20" t="s">
        <v>603</v>
      </c>
      <c r="Y70" s="18" t="s">
        <v>603</v>
      </c>
      <c r="Z70" s="20" t="s">
        <v>603</v>
      </c>
      <c r="AA70" s="18" t="s">
        <v>603</v>
      </c>
      <c r="AB70" s="20" t="s">
        <v>603</v>
      </c>
    </row>
    <row r="71" spans="1:28">
      <c r="A71" s="15" t="s">
        <v>631</v>
      </c>
      <c r="B71" s="17" t="n">
        <v>2466</v>
      </c>
      <c r="C71" s="18">
        <f>(1643.0/B71*100)</f>
        <v/>
      </c>
      <c r="D71" s="19" t="n">
        <v>823</v>
      </c>
      <c r="E71" s="18" t="n">
        <v>14.53438022</v>
      </c>
      <c r="F71" s="20" t="n">
        <v>1.49385189</v>
      </c>
      <c r="G71" s="18" t="n">
        <v>5.45113027</v>
      </c>
      <c r="H71" s="20" t="n">
        <v>0.85359412</v>
      </c>
      <c r="I71" s="18" t="n">
        <v>2.69801179</v>
      </c>
      <c r="J71" s="20" t="n">
        <v>0.52599367</v>
      </c>
      <c r="K71" s="18" t="n">
        <v>43.86794435</v>
      </c>
      <c r="L71" s="20" t="n">
        <v>1.98449766</v>
      </c>
      <c r="M71" s="18" t="n">
        <v>0</v>
      </c>
      <c r="N71" s="20" t="n">
        <v>0</v>
      </c>
      <c r="O71" s="18" t="n">
        <v>24.15833304</v>
      </c>
      <c r="P71" s="20" t="n">
        <v>1.36676878</v>
      </c>
      <c r="Q71" s="18" t="n">
        <v>9.05674162</v>
      </c>
      <c r="R71" s="20" t="n">
        <v>0.9680932799999999</v>
      </c>
      <c r="S71" s="18" t="n">
        <v>0</v>
      </c>
      <c r="T71" s="20" t="n">
        <v>0</v>
      </c>
      <c r="U71" s="18" t="n">
        <v>0.13233748</v>
      </c>
      <c r="V71" s="20" t="n">
        <v>0.13226401</v>
      </c>
      <c r="W71" s="18" t="n">
        <v>0</v>
      </c>
      <c r="X71" s="20" t="n">
        <v>0</v>
      </c>
      <c r="Y71" s="18" t="n">
        <v>0</v>
      </c>
      <c r="Z71" s="20" t="n">
        <v>0</v>
      </c>
      <c r="AA71" s="18" t="n">
        <v>0.10112122</v>
      </c>
      <c r="AB71" s="20" t="n">
        <v>0.10121336</v>
      </c>
    </row>
    <row r="72" spans="1:2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c r="U72" s="18" t="s">
        <v>603</v>
      </c>
      <c r="V72" s="20" t="s">
        <v>603</v>
      </c>
      <c r="W72" s="18" t="s">
        <v>603</v>
      </c>
      <c r="X72" s="20" t="s">
        <v>603</v>
      </c>
      <c r="Y72" s="18" t="s">
        <v>603</v>
      </c>
      <c r="Z72" s="20" t="s">
        <v>603</v>
      </c>
      <c r="AA72" s="18" t="s">
        <v>603</v>
      </c>
      <c r="AB72" s="20" t="s">
        <v>603</v>
      </c>
    </row>
    <row r="73" spans="1:2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c r="U73" s="18" t="s">
        <v>603</v>
      </c>
      <c r="V73" s="20" t="s">
        <v>603</v>
      </c>
      <c r="W73" s="18" t="s">
        <v>603</v>
      </c>
      <c r="X73" s="20" t="s">
        <v>603</v>
      </c>
      <c r="Y73" s="18" t="s">
        <v>603</v>
      </c>
      <c r="Z73" s="20" t="s">
        <v>603</v>
      </c>
      <c r="AA73" s="18" t="s">
        <v>603</v>
      </c>
      <c r="AB73" s="20" t="s">
        <v>603</v>
      </c>
    </row>
    <row r="74" spans="1:2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c r="U74" s="18" t="s">
        <v>603</v>
      </c>
      <c r="V74" s="20" t="s">
        <v>603</v>
      </c>
      <c r="W74" s="18" t="s">
        <v>603</v>
      </c>
      <c r="X74" s="20" t="s">
        <v>603</v>
      </c>
      <c r="Y74" s="18" t="s">
        <v>603</v>
      </c>
      <c r="Z74" s="20" t="s">
        <v>603</v>
      </c>
      <c r="AA74" s="18" t="s">
        <v>603</v>
      </c>
      <c r="AB74" s="20" t="s">
        <v>603</v>
      </c>
    </row>
    <row r="75" spans="1:2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c r="U75" s="18" t="s">
        <v>603</v>
      </c>
      <c r="V75" s="20" t="s">
        <v>603</v>
      </c>
      <c r="W75" s="18" t="s">
        <v>603</v>
      </c>
      <c r="X75" s="20" t="s">
        <v>603</v>
      </c>
      <c r="Y75" s="18" t="s">
        <v>603</v>
      </c>
      <c r="Z75" s="20" t="s">
        <v>603</v>
      </c>
      <c r="AA75" s="18" t="s">
        <v>603</v>
      </c>
      <c r="AB75" s="20" t="s">
        <v>603</v>
      </c>
    </row>
    <row r="76" spans="1:28">
      <c r="A76" s="15" t="s">
        <v>636</v>
      </c>
      <c r="B76" s="17" t="n">
        <v>2453</v>
      </c>
      <c r="C76" s="18">
        <f>(1640.0/B76*100)</f>
        <v/>
      </c>
      <c r="D76" s="19" t="n">
        <v>813</v>
      </c>
      <c r="E76" s="18" t="n">
        <v>31.78027992</v>
      </c>
      <c r="F76" s="20" t="n">
        <v>1.80986383</v>
      </c>
      <c r="G76" s="18" t="n">
        <v>8.910230139999999</v>
      </c>
      <c r="H76" s="20" t="n">
        <v>1.17253036</v>
      </c>
      <c r="I76" s="18" t="n">
        <v>2.19473784</v>
      </c>
      <c r="J76" s="20" t="n">
        <v>0.56597175</v>
      </c>
      <c r="K76" s="18" t="n">
        <v>18.7021378</v>
      </c>
      <c r="L76" s="20" t="n">
        <v>1.54266977</v>
      </c>
      <c r="M76" s="18" t="n">
        <v>0</v>
      </c>
      <c r="N76" s="20" t="n">
        <v>0</v>
      </c>
      <c r="O76" s="18" t="n">
        <v>11.06842312</v>
      </c>
      <c r="P76" s="20" t="n">
        <v>1.1936181</v>
      </c>
      <c r="Q76" s="18" t="n">
        <v>2.61974417</v>
      </c>
      <c r="R76" s="20" t="n">
        <v>0.55088853</v>
      </c>
      <c r="S76" s="18" t="n">
        <v>0</v>
      </c>
      <c r="T76" s="20" t="n">
        <v>0</v>
      </c>
      <c r="U76" s="18" t="n">
        <v>4.72636611</v>
      </c>
      <c r="V76" s="20" t="n">
        <v>0.89550613</v>
      </c>
      <c r="W76" s="18" t="n">
        <v>0</v>
      </c>
      <c r="X76" s="20" t="n">
        <v>0</v>
      </c>
      <c r="Y76" s="18" t="n">
        <v>0</v>
      </c>
      <c r="Z76" s="20" t="n">
        <v>0</v>
      </c>
      <c r="AA76" s="18" t="n">
        <v>19.99808089</v>
      </c>
      <c r="AB76" s="20" t="n">
        <v>1.56755937</v>
      </c>
    </row>
    <row r="77" spans="1:2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c r="U77" s="18" t="s">
        <v>603</v>
      </c>
      <c r="V77" s="20" t="s">
        <v>603</v>
      </c>
      <c r="W77" s="18" t="s">
        <v>603</v>
      </c>
      <c r="X77" s="20" t="s">
        <v>603</v>
      </c>
      <c r="Y77" s="18" t="s">
        <v>603</v>
      </c>
      <c r="Z77" s="20" t="s">
        <v>603</v>
      </c>
      <c r="AA77" s="18" t="s">
        <v>603</v>
      </c>
      <c r="AB77" s="20" t="s">
        <v>603</v>
      </c>
    </row>
    <row r="78" spans="1:2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c r="U78" s="18" t="s">
        <v>603</v>
      </c>
      <c r="V78" s="20" t="s">
        <v>603</v>
      </c>
      <c r="W78" s="18" t="s">
        <v>603</v>
      </c>
      <c r="X78" s="20" t="s">
        <v>603</v>
      </c>
      <c r="Y78" s="18" t="s">
        <v>603</v>
      </c>
      <c r="Z78" s="20" t="s">
        <v>603</v>
      </c>
      <c r="AA78" s="18" t="s">
        <v>603</v>
      </c>
      <c r="AB78" s="20" t="s">
        <v>603</v>
      </c>
    </row>
    <row r="79" spans="1:2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c r="U79" s="18" t="s">
        <v>603</v>
      </c>
      <c r="V79" s="20" t="s">
        <v>603</v>
      </c>
      <c r="W79" s="18" t="s">
        <v>603</v>
      </c>
      <c r="X79" s="20" t="s">
        <v>603</v>
      </c>
      <c r="Y79" s="18" t="s">
        <v>603</v>
      </c>
      <c r="Z79" s="20" t="s">
        <v>603</v>
      </c>
      <c r="AA79" s="18" t="s">
        <v>603</v>
      </c>
      <c r="AB79" s="20" t="s">
        <v>603</v>
      </c>
    </row>
    <row r="80" spans="1:28">
      <c r="A80" s="15" t="s">
        <v>640</v>
      </c>
      <c r="B80" s="17" t="n">
        <v>3040</v>
      </c>
      <c r="C80" s="18">
        <f>(2033.0/B80*100)</f>
        <v/>
      </c>
      <c r="D80" s="19" t="n">
        <v>1007</v>
      </c>
      <c r="E80" s="18" t="n">
        <v>16.70467676</v>
      </c>
      <c r="F80" s="20" t="n">
        <v>1.20374413</v>
      </c>
      <c r="G80" s="18" t="n">
        <v>10.34316154</v>
      </c>
      <c r="H80" s="20" t="n">
        <v>0.99979036</v>
      </c>
      <c r="I80" s="18" t="n">
        <v>2.00960427</v>
      </c>
      <c r="J80" s="20" t="n">
        <v>0.38275033</v>
      </c>
      <c r="K80" s="18" t="n">
        <v>32.44687504</v>
      </c>
      <c r="L80" s="20" t="n">
        <v>1.57991634</v>
      </c>
      <c r="M80" s="18" t="n">
        <v>0</v>
      </c>
      <c r="N80" s="20" t="n">
        <v>0</v>
      </c>
      <c r="O80" s="18" t="n">
        <v>16.02029734</v>
      </c>
      <c r="P80" s="20" t="n">
        <v>1.21629406</v>
      </c>
      <c r="Q80" s="18" t="n">
        <v>20.08400415</v>
      </c>
      <c r="R80" s="20" t="n">
        <v>1.57763207</v>
      </c>
      <c r="S80" s="18" t="n">
        <v>0</v>
      </c>
      <c r="T80" s="20" t="n">
        <v>0</v>
      </c>
      <c r="U80" s="18" t="n">
        <v>0</v>
      </c>
      <c r="V80" s="20" t="n">
        <v>0</v>
      </c>
      <c r="W80" s="18" t="n">
        <v>0</v>
      </c>
      <c r="X80" s="20" t="n">
        <v>0</v>
      </c>
      <c r="Y80" s="18" t="n">
        <v>0</v>
      </c>
      <c r="Z80" s="20" t="n">
        <v>0</v>
      </c>
      <c r="AA80" s="18" t="n">
        <v>2.39138091</v>
      </c>
      <c r="AB80" s="20" t="n">
        <v>0.55679798</v>
      </c>
    </row>
    <row r="81" spans="1:28">
      <c r="A81" s="15" t="s">
        <v>641</v>
      </c>
      <c r="B81" s="17" t="n">
        <v>870</v>
      </c>
      <c r="C81" s="18">
        <f>(577.0/B81*100)</f>
        <v/>
      </c>
      <c r="D81" s="19" t="n">
        <v>293</v>
      </c>
      <c r="E81" s="18" t="n">
        <v>24.68251843</v>
      </c>
      <c r="F81" s="20" t="n">
        <v>2.84499451</v>
      </c>
      <c r="G81" s="18" t="n">
        <v>14.84889934</v>
      </c>
      <c r="H81" s="20" t="n">
        <v>2.27651174</v>
      </c>
      <c r="I81" s="18" t="n">
        <v>1.62437249</v>
      </c>
      <c r="J81" s="20" t="n">
        <v>0.71326877</v>
      </c>
      <c r="K81" s="18" t="n">
        <v>11.1932657</v>
      </c>
      <c r="L81" s="20" t="n">
        <v>1.6941153</v>
      </c>
      <c r="M81" s="18" t="n">
        <v>0</v>
      </c>
      <c r="N81" s="20" t="n">
        <v>0</v>
      </c>
      <c r="O81" s="18" t="n">
        <v>17.95462539</v>
      </c>
      <c r="P81" s="20" t="n">
        <v>2.67810328</v>
      </c>
      <c r="Q81" s="18" t="n">
        <v>5.14053733</v>
      </c>
      <c r="R81" s="20" t="n">
        <v>1.37126771</v>
      </c>
      <c r="S81" s="18" t="n">
        <v>0</v>
      </c>
      <c r="T81" s="20" t="n">
        <v>0</v>
      </c>
      <c r="U81" s="18" t="n">
        <v>3.13583758</v>
      </c>
      <c r="V81" s="20" t="n">
        <v>1.16513602</v>
      </c>
      <c r="W81" s="18" t="n">
        <v>0.17287276</v>
      </c>
      <c r="X81" s="20" t="n">
        <v>0.18443716</v>
      </c>
      <c r="Y81" s="18" t="n">
        <v>0</v>
      </c>
      <c r="Z81" s="20" t="n">
        <v>0</v>
      </c>
      <c r="AA81" s="18" t="n">
        <v>21.24707099</v>
      </c>
      <c r="AB81" s="20" t="n">
        <v>3.33466098</v>
      </c>
    </row>
    <row r="82" spans="1:2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c r="U82" s="18" t="s">
        <v>603</v>
      </c>
      <c r="V82" s="20" t="s">
        <v>603</v>
      </c>
      <c r="W82" s="18" t="s">
        <v>603</v>
      </c>
      <c r="X82" s="20" t="s">
        <v>603</v>
      </c>
      <c r="Y82" s="18" t="s">
        <v>603</v>
      </c>
      <c r="Z82" s="20" t="s">
        <v>603</v>
      </c>
      <c r="AA82" s="18" t="s">
        <v>603</v>
      </c>
      <c r="AB82" s="20" t="s">
        <v>603</v>
      </c>
    </row>
    <row r="83" spans="1:2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c r="U83" s="18" t="s">
        <v>603</v>
      </c>
      <c r="V83" s="20" t="s">
        <v>603</v>
      </c>
      <c r="W83" s="18" t="s">
        <v>603</v>
      </c>
      <c r="X83" s="20" t="s">
        <v>603</v>
      </c>
      <c r="Y83" s="18" t="s">
        <v>603</v>
      </c>
      <c r="Z83" s="20" t="s">
        <v>603</v>
      </c>
      <c r="AA83" s="18" t="s">
        <v>603</v>
      </c>
      <c r="AB83" s="20" t="s">
        <v>603</v>
      </c>
    </row>
    <row r="84" spans="1:2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c r="U84" s="18" t="s">
        <v>603</v>
      </c>
      <c r="V84" s="20" t="s">
        <v>603</v>
      </c>
      <c r="W84" s="18" t="s">
        <v>603</v>
      </c>
      <c r="X84" s="20" t="s">
        <v>603</v>
      </c>
      <c r="Y84" s="18" t="s">
        <v>603</v>
      </c>
      <c r="Z84" s="20" t="s">
        <v>603</v>
      </c>
      <c r="AA84" s="18" t="s">
        <v>603</v>
      </c>
      <c r="AB84" s="20" t="s">
        <v>603</v>
      </c>
    </row>
    <row r="86" spans="1:28">
      <c r="A86" s="3" t="s">
        <v>645</v>
      </c>
    </row>
    <row r="87" spans="1:28">
      <c r="A87" s="26" t="s">
        <v>646</v>
      </c>
    </row>
    <row r="88" spans="1:28">
      <c r="A88" s="26" t="s">
        <v>647</v>
      </c>
    </row>
    <row customHeight="1" ht="30" r="89" spans="1:28">
      <c r="A89" s="26" t="s">
        <v>648</v>
      </c>
    </row>
    <row customHeight="1" ht="30" r="90" spans="1:28">
      <c r="A90" s="26" t="s">
        <v>649</v>
      </c>
    </row>
    <row customHeight="1" ht="30" r="91" spans="1:28">
      <c r="A91" s="26" t="s">
        <v>650</v>
      </c>
    </row>
    <row customHeight="1" ht="30" r="92" spans="1:28">
      <c r="A92" s="26" t="s">
        <v>651</v>
      </c>
    </row>
    <row customHeight="1" ht="30" r="93" spans="1:28">
      <c r="A93" s="26" t="s">
        <v>652</v>
      </c>
    </row>
    <row customHeight="1" ht="30" r="94" spans="1:28">
      <c r="A94" s="26" t="s">
        <v>653</v>
      </c>
    </row>
  </sheetData>
  <mergeCells count="22">
    <mergeCell ref="E4:F4"/>
    <mergeCell ref="G4:H4"/>
    <mergeCell ref="I4:J4"/>
    <mergeCell ref="K4:L4"/>
    <mergeCell ref="M4:N4"/>
    <mergeCell ref="O4:P4"/>
    <mergeCell ref="Q4:R4"/>
    <mergeCell ref="S4:T4"/>
    <mergeCell ref="U4:V4"/>
    <mergeCell ref="W4:X4"/>
    <mergeCell ref="Y4:Z4"/>
    <mergeCell ref="AA4:AB4"/>
    <mergeCell ref="A1:AB1"/>
    <mergeCell ref="A2:AB2"/>
    <mergeCell ref="A87:AB87"/>
    <mergeCell ref="A88:AB88"/>
    <mergeCell ref="A89:AB89"/>
    <mergeCell ref="A90:AB90"/>
    <mergeCell ref="A91:AB91"/>
    <mergeCell ref="A92:AB92"/>
    <mergeCell ref="A93:AB93"/>
    <mergeCell ref="A94:AB94"/>
  </mergeCells>
  <pageMargins bottom="1" footer="0.5" header="0.5" left="0.75" right="0.75" top="1"/>
</worksheet>
</file>

<file path=xl/worksheets/sheet2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(1782.0/B44*100)</f>
        <v/>
      </c>
      <c r="D44" s="19" t="n">
        <v>909</v>
      </c>
      <c r="E44" s="18" t="n">
        <v>39.44004576</v>
      </c>
      <c r="F44" s="20" t="n">
        <v>1.63888741</v>
      </c>
      <c r="G44" s="18" t="n">
        <v>52.70208895</v>
      </c>
      <c r="H44" s="20" t="n">
        <v>1.52971207</v>
      </c>
      <c r="I44" s="18" t="n">
        <v>0</v>
      </c>
      <c r="J44" s="20" t="n">
        <v>0</v>
      </c>
      <c r="K44" s="18" t="n">
        <v>2.19249782</v>
      </c>
      <c r="L44" s="20" t="n">
        <v>0.50366484</v>
      </c>
      <c r="M44" s="18" t="n">
        <v>0</v>
      </c>
      <c r="N44" s="20" t="n">
        <v>0</v>
      </c>
      <c r="O44" s="18" t="n">
        <v>0.85129668</v>
      </c>
      <c r="P44" s="20" t="n">
        <v>0.24793431</v>
      </c>
      <c r="Q44" s="18" t="n">
        <v>4.81407078</v>
      </c>
      <c r="R44" s="20" t="n">
        <v>0.79386292</v>
      </c>
    </row>
    <row r="45" spans="1:18">
      <c r="A45" s="15" t="s">
        <v>604</v>
      </c>
      <c r="B45" s="17" t="n">
        <v>2670</v>
      </c>
      <c r="C45" s="18">
        <f>(1779.0/B45*100)</f>
        <v/>
      </c>
      <c r="D45" s="19" t="n">
        <v>891</v>
      </c>
      <c r="E45" s="18" t="n">
        <v>63.68315653</v>
      </c>
      <c r="F45" s="20" t="n">
        <v>1.8211689</v>
      </c>
      <c r="G45" s="18" t="n">
        <v>20.42342231</v>
      </c>
      <c r="H45" s="20" t="n">
        <v>1.63379081</v>
      </c>
      <c r="I45" s="18" t="n">
        <v>0</v>
      </c>
      <c r="J45" s="20" t="n">
        <v>0</v>
      </c>
      <c r="K45" s="18" t="n">
        <v>6.8525521</v>
      </c>
      <c r="L45" s="20" t="n">
        <v>0.92703387</v>
      </c>
      <c r="M45" s="18" t="n">
        <v>0</v>
      </c>
      <c r="N45" s="20" t="n">
        <v>0</v>
      </c>
      <c r="O45" s="18" t="n">
        <v>1.22909629</v>
      </c>
      <c r="P45" s="20" t="n">
        <v>0.40850208</v>
      </c>
      <c r="Q45" s="18" t="n">
        <v>7.81177277</v>
      </c>
      <c r="R45" s="20" t="n">
        <v>0.96144005</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(1715.0/B54*100)</f>
        <v/>
      </c>
      <c r="D54" s="19" t="n">
        <v>842</v>
      </c>
      <c r="E54" s="18" t="n">
        <v>55.84980779</v>
      </c>
      <c r="F54" s="20" t="n">
        <v>1.89981439</v>
      </c>
      <c r="G54" s="18" t="n">
        <v>38.42882462</v>
      </c>
      <c r="H54" s="20" t="n">
        <v>1.91342774</v>
      </c>
      <c r="I54" s="18" t="n">
        <v>0</v>
      </c>
      <c r="J54" s="20" t="n">
        <v>0</v>
      </c>
      <c r="K54" s="18" t="n">
        <v>2.85325495</v>
      </c>
      <c r="L54" s="20" t="n">
        <v>0.60950174</v>
      </c>
      <c r="M54" s="18" t="n">
        <v>0</v>
      </c>
      <c r="N54" s="20" t="n">
        <v>0</v>
      </c>
      <c r="O54" s="18" t="n">
        <v>0.13626024</v>
      </c>
      <c r="P54" s="20" t="n">
        <v>0.136634</v>
      </c>
      <c r="Q54" s="18" t="n">
        <v>2.73185241</v>
      </c>
      <c r="R54" s="20" t="n">
        <v>0.59968056</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(2264.0/B56*100)</f>
        <v/>
      </c>
      <c r="D56" s="19" t="n">
        <v>1079</v>
      </c>
      <c r="E56" s="18" t="n">
        <v>68.56137677</v>
      </c>
      <c r="F56" s="20" t="n">
        <v>1.68910779</v>
      </c>
      <c r="G56" s="18" t="n">
        <v>28.69687945</v>
      </c>
      <c r="H56" s="20" t="n">
        <v>1.61389855</v>
      </c>
      <c r="I56" s="18" t="n">
        <v>0</v>
      </c>
      <c r="J56" s="20" t="n">
        <v>0</v>
      </c>
      <c r="K56" s="18" t="n">
        <v>1.66539765</v>
      </c>
      <c r="L56" s="20" t="n">
        <v>0.46063585</v>
      </c>
      <c r="M56" s="18" t="n">
        <v>0.08619590000000001</v>
      </c>
      <c r="N56" s="20" t="n">
        <v>0.08570000999999999</v>
      </c>
      <c r="O56" s="18" t="n">
        <v>0</v>
      </c>
      <c r="P56" s="20" t="n">
        <v>0</v>
      </c>
      <c r="Q56" s="18" t="n">
        <v>0.99015023</v>
      </c>
      <c r="R56" s="20" t="n">
        <v>0.32141755</v>
      </c>
    </row>
    <row r="57" spans="1:18">
      <c r="A57" s="15" t="s">
        <v>616</v>
      </c>
      <c r="B57" s="17" t="n">
        <v>3737</v>
      </c>
      <c r="C57" s="18">
        <f>(2493.0/B57*100)</f>
        <v/>
      </c>
      <c r="D57" s="19" t="n">
        <v>1244</v>
      </c>
      <c r="E57" s="18" t="n">
        <v>67.08917907999999</v>
      </c>
      <c r="F57" s="20" t="n">
        <v>1.69937142</v>
      </c>
      <c r="G57" s="18" t="n">
        <v>28.56985243</v>
      </c>
      <c r="H57" s="20" t="n">
        <v>1.85417895</v>
      </c>
      <c r="I57" s="18" t="n">
        <v>0</v>
      </c>
      <c r="J57" s="20" t="n">
        <v>0</v>
      </c>
      <c r="K57" s="18" t="n">
        <v>2.35092096</v>
      </c>
      <c r="L57" s="20" t="n">
        <v>0.58783086</v>
      </c>
      <c r="M57" s="18" t="n">
        <v>0</v>
      </c>
      <c r="N57" s="20" t="n">
        <v>0</v>
      </c>
      <c r="O57" s="18" t="n">
        <v>0.22687957</v>
      </c>
      <c r="P57" s="20" t="n">
        <v>0.14084229</v>
      </c>
      <c r="Q57" s="18" t="n">
        <v>1.76316796</v>
      </c>
      <c r="R57" s="20" t="n">
        <v>0.51929116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(1514.0/B59*100)</f>
        <v/>
      </c>
      <c r="D59" s="19" t="n">
        <v>764</v>
      </c>
      <c r="E59" s="18" t="n">
        <v>59.08572162</v>
      </c>
      <c r="F59" s="20" t="n">
        <v>2.17125104</v>
      </c>
      <c r="G59" s="18" t="n">
        <v>37.01162096</v>
      </c>
      <c r="H59" s="20" t="n">
        <v>2.18562458</v>
      </c>
      <c r="I59" s="18" t="n">
        <v>0</v>
      </c>
      <c r="J59" s="20" t="n">
        <v>0</v>
      </c>
      <c r="K59" s="18" t="n">
        <v>1.01829212</v>
      </c>
      <c r="L59" s="20" t="n">
        <v>0.49264328</v>
      </c>
      <c r="M59" s="18" t="n">
        <v>0</v>
      </c>
      <c r="N59" s="20" t="n">
        <v>0</v>
      </c>
      <c r="O59" s="18" t="n">
        <v>0.80089665</v>
      </c>
      <c r="P59" s="20" t="n">
        <v>0.23437805</v>
      </c>
      <c r="Q59" s="18" t="n">
        <v>2.08346866</v>
      </c>
      <c r="R59" s="20" t="n">
        <v>0.62046807</v>
      </c>
    </row>
    <row r="60" spans="1:18">
      <c r="A60" s="15" t="s">
        <v>620</v>
      </c>
      <c r="B60" s="17" t="n">
        <v>2451</v>
      </c>
      <c r="C60" s="18">
        <f>(1608.0/B60*100)</f>
        <v/>
      </c>
      <c r="D60" s="19" t="n">
        <v>843</v>
      </c>
      <c r="E60" s="18" t="n">
        <v>55.74260829</v>
      </c>
      <c r="F60" s="20" t="n">
        <v>2.06500159</v>
      </c>
      <c r="G60" s="18" t="n">
        <v>33.44054039</v>
      </c>
      <c r="H60" s="20" t="n">
        <v>1.92093739</v>
      </c>
      <c r="I60" s="18" t="n">
        <v>0</v>
      </c>
      <c r="J60" s="20" t="n">
        <v>0</v>
      </c>
      <c r="K60" s="18" t="n">
        <v>3.64030791</v>
      </c>
      <c r="L60" s="20" t="n">
        <v>0.69837136</v>
      </c>
      <c r="M60" s="18" t="n">
        <v>0</v>
      </c>
      <c r="N60" s="20" t="n">
        <v>0</v>
      </c>
      <c r="O60" s="18" t="n">
        <v>0.63767669</v>
      </c>
      <c r="P60" s="20" t="n">
        <v>0.26883399</v>
      </c>
      <c r="Q60" s="18" t="n">
        <v>6.53886673</v>
      </c>
      <c r="R60" s="20" t="n">
        <v>1.03099774</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(1675.0/B63*100)</f>
        <v/>
      </c>
      <c r="D63" s="19" t="n">
        <v>836</v>
      </c>
      <c r="E63" s="18" t="n">
        <v>58.77088292</v>
      </c>
      <c r="F63" s="20" t="n">
        <v>2.08348375</v>
      </c>
      <c r="G63" s="18" t="n">
        <v>31.55359244</v>
      </c>
      <c r="H63" s="20" t="n">
        <v>1.9981812</v>
      </c>
      <c r="I63" s="18" t="n">
        <v>0</v>
      </c>
      <c r="J63" s="20" t="n">
        <v>0</v>
      </c>
      <c r="K63" s="18" t="n">
        <v>2.98579168</v>
      </c>
      <c r="L63" s="20" t="n">
        <v>0.67076627</v>
      </c>
      <c r="M63" s="18" t="n">
        <v>0</v>
      </c>
      <c r="N63" s="20" t="n">
        <v>0</v>
      </c>
      <c r="O63" s="18" t="n">
        <v>0.2199931</v>
      </c>
      <c r="P63" s="20" t="n">
        <v>0.13480914</v>
      </c>
      <c r="Q63" s="18" t="n">
        <v>6.46973987</v>
      </c>
      <c r="R63" s="20" t="n">
        <v>0.86580992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(1190.0/B65*100)</f>
        <v/>
      </c>
      <c r="D65" s="19" t="n">
        <v>600</v>
      </c>
      <c r="E65" s="18" t="n">
        <v>49.68733336</v>
      </c>
      <c r="F65" s="20" t="n">
        <v>1.94938995</v>
      </c>
      <c r="G65" s="18" t="n">
        <v>44.89082443</v>
      </c>
      <c r="H65" s="20" t="n">
        <v>1.96845255</v>
      </c>
      <c r="I65" s="18" t="n">
        <v>0</v>
      </c>
      <c r="J65" s="20" t="n">
        <v>0</v>
      </c>
      <c r="K65" s="18" t="n">
        <v>2.56841603</v>
      </c>
      <c r="L65" s="20" t="n">
        <v>0.63826559</v>
      </c>
      <c r="M65" s="18" t="n">
        <v>0</v>
      </c>
      <c r="N65" s="20" t="n">
        <v>0</v>
      </c>
      <c r="O65" s="18" t="n">
        <v>0.52619344</v>
      </c>
      <c r="P65" s="20" t="n">
        <v>0.30283354</v>
      </c>
      <c r="Q65" s="18" t="n">
        <v>2.32723274</v>
      </c>
      <c r="R65" s="20" t="n">
        <v>0.62488691</v>
      </c>
    </row>
    <row r="66" spans="1:18">
      <c r="A66" s="15" t="s">
        <v>626</v>
      </c>
      <c r="B66" s="17" t="n">
        <v>2634</v>
      </c>
      <c r="C66" s="18">
        <f>(1747.0/B66*100)</f>
        <v/>
      </c>
      <c r="D66" s="19" t="n">
        <v>887</v>
      </c>
      <c r="E66" s="18" t="n">
        <v>49.41514145</v>
      </c>
      <c r="F66" s="20" t="n">
        <v>1.58465563</v>
      </c>
      <c r="G66" s="18" t="n">
        <v>42.78796112</v>
      </c>
      <c r="H66" s="20" t="n">
        <v>1.73207206</v>
      </c>
      <c r="I66" s="18" t="n">
        <v>0</v>
      </c>
      <c r="J66" s="20" t="n">
        <v>0</v>
      </c>
      <c r="K66" s="18" t="n">
        <v>4.66868073</v>
      </c>
      <c r="L66" s="20" t="n">
        <v>0.78785806</v>
      </c>
      <c r="M66" s="18" t="n">
        <v>0.37004967</v>
      </c>
      <c r="N66" s="20" t="n">
        <v>0.26170975</v>
      </c>
      <c r="O66" s="18" t="n">
        <v>0</v>
      </c>
      <c r="P66" s="20" t="n">
        <v>0</v>
      </c>
      <c r="Q66" s="18" t="n">
        <v>2.75816703</v>
      </c>
      <c r="R66" s="20" t="n">
        <v>0.51998469</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(482.0/B69*100)</f>
        <v/>
      </c>
      <c r="D69" s="19" t="n">
        <v>238</v>
      </c>
      <c r="E69" s="18" t="n">
        <v>62.48076156</v>
      </c>
      <c r="F69" s="20" t="n">
        <v>3.34158325</v>
      </c>
      <c r="G69" s="18" t="n">
        <v>35.86901404</v>
      </c>
      <c r="H69" s="20" t="n">
        <v>3.42528962</v>
      </c>
      <c r="I69" s="18" t="n">
        <v>0</v>
      </c>
      <c r="J69" s="20" t="n">
        <v>0</v>
      </c>
      <c r="K69" s="18" t="n">
        <v>0.38112439</v>
      </c>
      <c r="L69" s="20" t="n">
        <v>0.38429175</v>
      </c>
      <c r="M69" s="18" t="n">
        <v>0</v>
      </c>
      <c r="N69" s="20" t="n">
        <v>0</v>
      </c>
      <c r="O69" s="18" t="n">
        <v>0</v>
      </c>
      <c r="P69" s="20" t="n">
        <v>0</v>
      </c>
      <c r="Q69" s="18" t="n">
        <v>1.2691</v>
      </c>
      <c r="R69" s="20" t="n">
        <v>0.90232718</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(1643.0/B71*100)</f>
        <v/>
      </c>
      <c r="D71" s="19" t="n">
        <v>823</v>
      </c>
      <c r="E71" s="18" t="n">
        <v>43.6686574</v>
      </c>
      <c r="F71" s="20" t="n">
        <v>2.19440479</v>
      </c>
      <c r="G71" s="18" t="n">
        <v>56.19900512</v>
      </c>
      <c r="H71" s="20" t="n">
        <v>2.16900848</v>
      </c>
      <c r="I71" s="18" t="n">
        <v>0</v>
      </c>
      <c r="J71" s="20" t="n">
        <v>0</v>
      </c>
      <c r="K71" s="18" t="n">
        <v>0.13233748</v>
      </c>
      <c r="L71" s="20" t="n">
        <v>0.13226401</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(1640.0/B76*100)</f>
        <v/>
      </c>
      <c r="D76" s="19" t="n">
        <v>813</v>
      </c>
      <c r="E76" s="18" t="n">
        <v>54.795581</v>
      </c>
      <c r="F76" s="20" t="n">
        <v>1.78111146</v>
      </c>
      <c r="G76" s="18" t="n">
        <v>35.16929437</v>
      </c>
      <c r="H76" s="20" t="n">
        <v>1.7723296</v>
      </c>
      <c r="I76" s="18" t="n">
        <v>0</v>
      </c>
      <c r="J76" s="20" t="n">
        <v>0</v>
      </c>
      <c r="K76" s="18" t="n">
        <v>4.9506159</v>
      </c>
      <c r="L76" s="20" t="n">
        <v>0.9171030999999999</v>
      </c>
      <c r="M76" s="18" t="n">
        <v>0</v>
      </c>
      <c r="N76" s="20" t="n">
        <v>0</v>
      </c>
      <c r="O76" s="18" t="n">
        <v>0.30106842</v>
      </c>
      <c r="P76" s="20" t="n">
        <v>0.18115472</v>
      </c>
      <c r="Q76" s="18" t="n">
        <v>4.78344032</v>
      </c>
      <c r="R76" s="20" t="n">
        <v>0.8499522900000001</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(2033.0/B80*100)</f>
        <v/>
      </c>
      <c r="D80" s="19" t="n">
        <v>1007</v>
      </c>
      <c r="E80" s="18" t="n">
        <v>11.87413609</v>
      </c>
      <c r="F80" s="20" t="n">
        <v>0.94451704</v>
      </c>
      <c r="G80" s="18" t="n">
        <v>88.12586391000001</v>
      </c>
      <c r="H80" s="20" t="n">
        <v>0.94451704</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(577.0/B81*100)</f>
        <v/>
      </c>
      <c r="D81" s="19" t="n">
        <v>293</v>
      </c>
      <c r="E81" s="18" t="n">
        <v>35.03485498</v>
      </c>
      <c r="F81" s="20" t="n">
        <v>3.12472056</v>
      </c>
      <c r="G81" s="18" t="n">
        <v>57.24041101</v>
      </c>
      <c r="H81" s="20" t="n">
        <v>2.95596389</v>
      </c>
      <c r="I81" s="18" t="n">
        <v>0</v>
      </c>
      <c r="J81" s="20" t="n">
        <v>0</v>
      </c>
      <c r="K81" s="18" t="n">
        <v>3.13583758</v>
      </c>
      <c r="L81" s="20" t="n">
        <v>1.16513602</v>
      </c>
      <c r="M81" s="18" t="n">
        <v>0</v>
      </c>
      <c r="N81" s="20" t="n">
        <v>0</v>
      </c>
      <c r="O81" s="18" t="n">
        <v>0.72620314</v>
      </c>
      <c r="P81" s="20" t="n">
        <v>0.48038339</v>
      </c>
      <c r="Q81" s="18" t="n">
        <v>3.86269329</v>
      </c>
      <c r="R81" s="20" t="n">
        <v>1.13167993</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(1782.0/B44*100)</f>
        <v/>
      </c>
      <c r="D44" s="19" t="n">
        <v>909</v>
      </c>
      <c r="E44" s="18" t="n">
        <v>43.51769046</v>
      </c>
      <c r="F44" s="20" t="n">
        <v>1.95549811</v>
      </c>
      <c r="G44" s="18" t="n">
        <v>45.83650615</v>
      </c>
      <c r="H44" s="20" t="n">
        <v>2.25749093</v>
      </c>
      <c r="I44" s="18" t="n">
        <v>0</v>
      </c>
      <c r="J44" s="20" t="n">
        <v>0</v>
      </c>
      <c r="K44" s="18" t="n">
        <v>2.41437917</v>
      </c>
      <c r="L44" s="20" t="n">
        <v>0.50007272</v>
      </c>
      <c r="M44" s="18" t="n">
        <v>0</v>
      </c>
      <c r="N44" s="20" t="n">
        <v>0</v>
      </c>
      <c r="O44" s="18" t="n">
        <v>1.86484616</v>
      </c>
      <c r="P44" s="20" t="n">
        <v>0.47438518</v>
      </c>
      <c r="Q44" s="18" t="n">
        <v>6.36657807</v>
      </c>
      <c r="R44" s="20" t="n">
        <v>0.90117633</v>
      </c>
    </row>
    <row r="45" spans="1:18">
      <c r="A45" s="15" t="s">
        <v>604</v>
      </c>
      <c r="B45" s="17" t="n">
        <v>2670</v>
      </c>
      <c r="C45" s="18">
        <f>(1779.0/B45*100)</f>
        <v/>
      </c>
      <c r="D45" s="19" t="n">
        <v>891</v>
      </c>
      <c r="E45" s="18" t="n">
        <v>51.01120258</v>
      </c>
      <c r="F45" s="20" t="n">
        <v>2.00125505</v>
      </c>
      <c r="G45" s="18" t="n">
        <v>29.83618142</v>
      </c>
      <c r="H45" s="20" t="n">
        <v>1.68598375</v>
      </c>
      <c r="I45" s="18" t="n">
        <v>0</v>
      </c>
      <c r="J45" s="20" t="n">
        <v>0</v>
      </c>
      <c r="K45" s="18" t="n">
        <v>7.18219276</v>
      </c>
      <c r="L45" s="20" t="n">
        <v>0.96472093</v>
      </c>
      <c r="M45" s="18" t="n">
        <v>0.74748159</v>
      </c>
      <c r="N45" s="20" t="n">
        <v>0.28588362</v>
      </c>
      <c r="O45" s="18" t="n">
        <v>2.29608668</v>
      </c>
      <c r="P45" s="20" t="n">
        <v>0.55813944</v>
      </c>
      <c r="Q45" s="18" t="n">
        <v>8.92685496</v>
      </c>
      <c r="R45" s="20" t="n">
        <v>1.03684882</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(1715.0/B54*100)</f>
        <v/>
      </c>
      <c r="D54" s="19" t="n">
        <v>842</v>
      </c>
      <c r="E54" s="18" t="n">
        <v>51.12984522</v>
      </c>
      <c r="F54" s="20" t="n">
        <v>2.08671224</v>
      </c>
      <c r="G54" s="18" t="n">
        <v>42.74100011</v>
      </c>
      <c r="H54" s="20" t="n">
        <v>2.11004629</v>
      </c>
      <c r="I54" s="18" t="n">
        <v>0</v>
      </c>
      <c r="J54" s="20" t="n">
        <v>0</v>
      </c>
      <c r="K54" s="18" t="n">
        <v>3.4544566</v>
      </c>
      <c r="L54" s="20" t="n">
        <v>0.6345512800000001</v>
      </c>
      <c r="M54" s="18" t="n">
        <v>0</v>
      </c>
      <c r="N54" s="20" t="n">
        <v>0</v>
      </c>
      <c r="O54" s="18" t="n">
        <v>0.61241941</v>
      </c>
      <c r="P54" s="20" t="n">
        <v>0.32337121</v>
      </c>
      <c r="Q54" s="18" t="n">
        <v>2.06227866</v>
      </c>
      <c r="R54" s="20" t="n">
        <v>0.44712804</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(2264.0/B56*100)</f>
        <v/>
      </c>
      <c r="D56" s="19" t="n">
        <v>1079</v>
      </c>
      <c r="E56" s="18" t="n">
        <v>59.99863822</v>
      </c>
      <c r="F56" s="20" t="n">
        <v>1.63827483</v>
      </c>
      <c r="G56" s="18" t="n">
        <v>35.18362219</v>
      </c>
      <c r="H56" s="20" t="n">
        <v>1.71252369</v>
      </c>
      <c r="I56" s="18" t="n">
        <v>0</v>
      </c>
      <c r="J56" s="20" t="n">
        <v>0</v>
      </c>
      <c r="K56" s="18" t="n">
        <v>1.91442206</v>
      </c>
      <c r="L56" s="20" t="n">
        <v>0.50108429</v>
      </c>
      <c r="M56" s="18" t="n">
        <v>0.08619590000000001</v>
      </c>
      <c r="N56" s="20" t="n">
        <v>0.08570000999999999</v>
      </c>
      <c r="O56" s="18" t="n">
        <v>0</v>
      </c>
      <c r="P56" s="20" t="n">
        <v>0</v>
      </c>
      <c r="Q56" s="18" t="n">
        <v>2.81712163</v>
      </c>
      <c r="R56" s="20" t="n">
        <v>0.66090395</v>
      </c>
    </row>
    <row r="57" spans="1:18">
      <c r="A57" s="15" t="s">
        <v>616</v>
      </c>
      <c r="B57" s="17" t="n">
        <v>3737</v>
      </c>
      <c r="C57" s="18">
        <f>(2493.0/B57*100)</f>
        <v/>
      </c>
      <c r="D57" s="19" t="n">
        <v>1244</v>
      </c>
      <c r="E57" s="18" t="n">
        <v>52.9327455</v>
      </c>
      <c r="F57" s="20" t="n">
        <v>2.10103925</v>
      </c>
      <c r="G57" s="18" t="n">
        <v>40.90663618</v>
      </c>
      <c r="H57" s="20" t="n">
        <v>2.0185525</v>
      </c>
      <c r="I57" s="18" t="n">
        <v>0</v>
      </c>
      <c r="J57" s="20" t="n">
        <v>0</v>
      </c>
      <c r="K57" s="18" t="n">
        <v>2.51856676</v>
      </c>
      <c r="L57" s="20" t="n">
        <v>0.59452991</v>
      </c>
      <c r="M57" s="18" t="n">
        <v>0.10258351</v>
      </c>
      <c r="N57" s="20" t="n">
        <v>0.10265228</v>
      </c>
      <c r="O57" s="18" t="n">
        <v>0.2737076</v>
      </c>
      <c r="P57" s="20" t="n">
        <v>0.17069532</v>
      </c>
      <c r="Q57" s="18" t="n">
        <v>3.26576044</v>
      </c>
      <c r="R57" s="20" t="n">
        <v>0.67329597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(1514.0/B59*100)</f>
        <v/>
      </c>
      <c r="D59" s="19" t="n">
        <v>764</v>
      </c>
      <c r="E59" s="18" t="n">
        <v>56.72966354</v>
      </c>
      <c r="F59" s="20" t="n">
        <v>1.85429836</v>
      </c>
      <c r="G59" s="18" t="n">
        <v>35.68912124</v>
      </c>
      <c r="H59" s="20" t="n">
        <v>1.84322477</v>
      </c>
      <c r="I59" s="18" t="n">
        <v>0</v>
      </c>
      <c r="J59" s="20" t="n">
        <v>0</v>
      </c>
      <c r="K59" s="18" t="n">
        <v>1.01829212</v>
      </c>
      <c r="L59" s="20" t="n">
        <v>0.49264328</v>
      </c>
      <c r="M59" s="18" t="n">
        <v>0.60906281</v>
      </c>
      <c r="N59" s="20" t="n">
        <v>0.43301794</v>
      </c>
      <c r="O59" s="18" t="n">
        <v>3.17866865</v>
      </c>
      <c r="P59" s="20" t="n">
        <v>0.71225925</v>
      </c>
      <c r="Q59" s="18" t="n">
        <v>2.77519164</v>
      </c>
      <c r="R59" s="20" t="n">
        <v>0.67950027</v>
      </c>
    </row>
    <row r="60" spans="1:18">
      <c r="A60" s="15" t="s">
        <v>620</v>
      </c>
      <c r="B60" s="17" t="n">
        <v>2451</v>
      </c>
      <c r="C60" s="18">
        <f>(1608.0/B60*100)</f>
        <v/>
      </c>
      <c r="D60" s="19" t="n">
        <v>843</v>
      </c>
      <c r="E60" s="18" t="n">
        <v>47.18605499</v>
      </c>
      <c r="F60" s="20" t="n">
        <v>2.47668446</v>
      </c>
      <c r="G60" s="18" t="n">
        <v>40.28865265</v>
      </c>
      <c r="H60" s="20" t="n">
        <v>2.25133752</v>
      </c>
      <c r="I60" s="18" t="n">
        <v>0</v>
      </c>
      <c r="J60" s="20" t="n">
        <v>0</v>
      </c>
      <c r="K60" s="18" t="n">
        <v>3.74956088</v>
      </c>
      <c r="L60" s="20" t="n">
        <v>0.70661031</v>
      </c>
      <c r="M60" s="18" t="n">
        <v>0</v>
      </c>
      <c r="N60" s="20" t="n">
        <v>0</v>
      </c>
      <c r="O60" s="18" t="n">
        <v>2.84693814</v>
      </c>
      <c r="P60" s="20" t="n">
        <v>0.72415378</v>
      </c>
      <c r="Q60" s="18" t="n">
        <v>5.92879333</v>
      </c>
      <c r="R60" s="20" t="n">
        <v>1.1040264</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(1675.0/B63*100)</f>
        <v/>
      </c>
      <c r="D63" s="19" t="n">
        <v>836</v>
      </c>
      <c r="E63" s="18" t="n">
        <v>48.25074877</v>
      </c>
      <c r="F63" s="20" t="n">
        <v>1.88391523</v>
      </c>
      <c r="G63" s="18" t="n">
        <v>39.93283384</v>
      </c>
      <c r="H63" s="20" t="n">
        <v>1.76791103</v>
      </c>
      <c r="I63" s="18" t="n">
        <v>0</v>
      </c>
      <c r="J63" s="20" t="n">
        <v>0</v>
      </c>
      <c r="K63" s="18" t="n">
        <v>3.03021005</v>
      </c>
      <c r="L63" s="20" t="n">
        <v>0.67222917</v>
      </c>
      <c r="M63" s="18" t="n">
        <v>0</v>
      </c>
      <c r="N63" s="20" t="n">
        <v>0</v>
      </c>
      <c r="O63" s="18" t="n">
        <v>1.19399198</v>
      </c>
      <c r="P63" s="20" t="n">
        <v>0.40249733</v>
      </c>
      <c r="Q63" s="18" t="n">
        <v>7.59221536</v>
      </c>
      <c r="R63" s="20" t="n">
        <v>0.85452447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(1190.0/B65*100)</f>
        <v/>
      </c>
      <c r="D65" s="19" t="n">
        <v>600</v>
      </c>
      <c r="E65" s="18" t="n">
        <v>35.79175903</v>
      </c>
      <c r="F65" s="20" t="n">
        <v>1.91589052</v>
      </c>
      <c r="G65" s="18" t="n">
        <v>58.70350588</v>
      </c>
      <c r="H65" s="20" t="n">
        <v>2.04239059</v>
      </c>
      <c r="I65" s="18" t="n">
        <v>0</v>
      </c>
      <c r="J65" s="20" t="n">
        <v>0</v>
      </c>
      <c r="K65" s="18" t="n">
        <v>2.56841603</v>
      </c>
      <c r="L65" s="20" t="n">
        <v>0.63826559</v>
      </c>
      <c r="M65" s="18" t="n">
        <v>0</v>
      </c>
      <c r="N65" s="20" t="n">
        <v>0</v>
      </c>
      <c r="O65" s="18" t="n">
        <v>0</v>
      </c>
      <c r="P65" s="20" t="n">
        <v>0</v>
      </c>
      <c r="Q65" s="18" t="n">
        <v>2.93631906</v>
      </c>
      <c r="R65" s="20" t="n">
        <v>0.71111228</v>
      </c>
    </row>
    <row r="66" spans="1:18">
      <c r="A66" s="15" t="s">
        <v>626</v>
      </c>
      <c r="B66" s="17" t="n">
        <v>2634</v>
      </c>
      <c r="C66" s="18">
        <f>(1747.0/B66*100)</f>
        <v/>
      </c>
      <c r="D66" s="19" t="n">
        <v>887</v>
      </c>
      <c r="E66" s="18" t="n">
        <v>34.38994955</v>
      </c>
      <c r="F66" s="20" t="n">
        <v>1.87949466</v>
      </c>
      <c r="G66" s="18" t="n">
        <v>52.17114268</v>
      </c>
      <c r="H66" s="20" t="n">
        <v>1.73270666</v>
      </c>
      <c r="I66" s="18" t="n">
        <v>0</v>
      </c>
      <c r="J66" s="20" t="n">
        <v>0</v>
      </c>
      <c r="K66" s="18" t="n">
        <v>5.3074651</v>
      </c>
      <c r="L66" s="20" t="n">
        <v>0.89968265</v>
      </c>
      <c r="M66" s="18" t="n">
        <v>2.62221089</v>
      </c>
      <c r="N66" s="20" t="n">
        <v>0.61319095</v>
      </c>
      <c r="O66" s="18" t="n">
        <v>0</v>
      </c>
      <c r="P66" s="20" t="n">
        <v>0</v>
      </c>
      <c r="Q66" s="18" t="n">
        <v>5.50923179</v>
      </c>
      <c r="R66" s="20" t="n">
        <v>0.76762165</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(482.0/B69*100)</f>
        <v/>
      </c>
      <c r="D69" s="19" t="n">
        <v>238</v>
      </c>
      <c r="E69" s="18" t="n">
        <v>48.75836546</v>
      </c>
      <c r="F69" s="20" t="n">
        <v>4.65674969</v>
      </c>
      <c r="G69" s="18" t="n">
        <v>48.27914326</v>
      </c>
      <c r="H69" s="20" t="n">
        <v>4.24549427</v>
      </c>
      <c r="I69" s="18" t="n">
        <v>0</v>
      </c>
      <c r="J69" s="20" t="n">
        <v>0</v>
      </c>
      <c r="K69" s="18" t="n">
        <v>0.38112439</v>
      </c>
      <c r="L69" s="20" t="n">
        <v>0.38429175</v>
      </c>
      <c r="M69" s="18" t="n">
        <v>0</v>
      </c>
      <c r="N69" s="20" t="n">
        <v>0</v>
      </c>
      <c r="O69" s="18" t="n">
        <v>0</v>
      </c>
      <c r="P69" s="20" t="n">
        <v>0</v>
      </c>
      <c r="Q69" s="18" t="n">
        <v>2.58136689</v>
      </c>
      <c r="R69" s="20" t="n">
        <v>1.5430999</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(1643.0/B71*100)</f>
        <v/>
      </c>
      <c r="D71" s="19" t="n">
        <v>823</v>
      </c>
      <c r="E71" s="18" t="n">
        <v>46.95532329</v>
      </c>
      <c r="F71" s="20" t="n">
        <v>1.84800521</v>
      </c>
      <c r="G71" s="18" t="n">
        <v>52.91233923</v>
      </c>
      <c r="H71" s="20" t="n">
        <v>1.84508529</v>
      </c>
      <c r="I71" s="18" t="n">
        <v>0</v>
      </c>
      <c r="J71" s="20" t="n">
        <v>0</v>
      </c>
      <c r="K71" s="18" t="n">
        <v>0.13233748</v>
      </c>
      <c r="L71" s="20" t="n">
        <v>0.13226401</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(1640.0/B76*100)</f>
        <v/>
      </c>
      <c r="D76" s="19" t="n">
        <v>813</v>
      </c>
      <c r="E76" s="18" t="n">
        <v>41.99540968</v>
      </c>
      <c r="F76" s="20" t="n">
        <v>1.65454761</v>
      </c>
      <c r="G76" s="18" t="n">
        <v>46.29379829</v>
      </c>
      <c r="H76" s="20" t="n">
        <v>1.70816469</v>
      </c>
      <c r="I76" s="18" t="n">
        <v>0</v>
      </c>
      <c r="J76" s="20" t="n">
        <v>0</v>
      </c>
      <c r="K76" s="18" t="n">
        <v>5.06535801</v>
      </c>
      <c r="L76" s="20" t="n">
        <v>0.92317105</v>
      </c>
      <c r="M76" s="18" t="n">
        <v>0</v>
      </c>
      <c r="N76" s="20" t="n">
        <v>0</v>
      </c>
      <c r="O76" s="18" t="n">
        <v>0.17380585</v>
      </c>
      <c r="P76" s="20" t="n">
        <v>0.1254299</v>
      </c>
      <c r="Q76" s="18" t="n">
        <v>6.47162817</v>
      </c>
      <c r="R76" s="20" t="n">
        <v>0.90053001</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(2033.0/B80*100)</f>
        <v/>
      </c>
      <c r="D80" s="19" t="n">
        <v>1007</v>
      </c>
      <c r="E80" s="18" t="n">
        <v>13.75920651</v>
      </c>
      <c r="F80" s="20" t="n">
        <v>1.30850354</v>
      </c>
      <c r="G80" s="18" t="n">
        <v>86.24079349</v>
      </c>
      <c r="H80" s="20" t="n">
        <v>1.30850354</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(577.0/B81*100)</f>
        <v/>
      </c>
      <c r="D81" s="19" t="n">
        <v>293</v>
      </c>
      <c r="E81" s="18" t="n">
        <v>33.59209263</v>
      </c>
      <c r="F81" s="20" t="n">
        <v>3.6327836</v>
      </c>
      <c r="G81" s="18" t="n">
        <v>57.45050197</v>
      </c>
      <c r="H81" s="20" t="n">
        <v>3.70374242</v>
      </c>
      <c r="I81" s="18" t="n">
        <v>0</v>
      </c>
      <c r="J81" s="20" t="n">
        <v>0</v>
      </c>
      <c r="K81" s="18" t="n">
        <v>3.45892196</v>
      </c>
      <c r="L81" s="20" t="n">
        <v>1.21189655</v>
      </c>
      <c r="M81" s="18" t="n">
        <v>0</v>
      </c>
      <c r="N81" s="20" t="n">
        <v>0</v>
      </c>
      <c r="O81" s="18" t="n">
        <v>0.92061622</v>
      </c>
      <c r="P81" s="20" t="n">
        <v>0.69650342</v>
      </c>
      <c r="Q81" s="18" t="n">
        <v>4.57786721</v>
      </c>
      <c r="R81" s="20" t="n">
        <v>1.41980986</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(1782.0/B44*100)</f>
        <v/>
      </c>
      <c r="D44" s="19" t="n">
        <v>909</v>
      </c>
      <c r="E44" s="18" t="n">
        <v>42.88242603</v>
      </c>
      <c r="F44" s="20" t="n">
        <v>1.86391312</v>
      </c>
      <c r="G44" s="18" t="n">
        <v>34.73854466</v>
      </c>
      <c r="H44" s="20" t="n">
        <v>1.92268448</v>
      </c>
      <c r="I44" s="18" t="n">
        <v>0</v>
      </c>
      <c r="J44" s="20" t="n">
        <v>0</v>
      </c>
      <c r="K44" s="18" t="n">
        <v>3.04842249</v>
      </c>
      <c r="L44" s="20" t="n">
        <v>0.54465446</v>
      </c>
      <c r="M44" s="18" t="n">
        <v>0</v>
      </c>
      <c r="N44" s="20" t="n">
        <v>0</v>
      </c>
      <c r="O44" s="18" t="n">
        <v>0</v>
      </c>
      <c r="P44" s="20" t="n">
        <v>0</v>
      </c>
      <c r="Q44" s="18" t="n">
        <v>19.33060681</v>
      </c>
      <c r="R44" s="20" t="n">
        <v>1.72606324</v>
      </c>
    </row>
    <row r="45" spans="1:18">
      <c r="A45" s="15" t="s">
        <v>604</v>
      </c>
      <c r="B45" s="17" t="n">
        <v>2670</v>
      </c>
      <c r="C45" s="18">
        <f>(1779.0/B45*100)</f>
        <v/>
      </c>
      <c r="D45" s="19" t="n">
        <v>891</v>
      </c>
      <c r="E45" s="18" t="n">
        <v>54.66639617</v>
      </c>
      <c r="F45" s="20" t="n">
        <v>1.73043313</v>
      </c>
      <c r="G45" s="18" t="n">
        <v>14.42741921</v>
      </c>
      <c r="H45" s="20" t="n">
        <v>1.30960161</v>
      </c>
      <c r="I45" s="18" t="n">
        <v>0</v>
      </c>
      <c r="J45" s="20" t="n">
        <v>0</v>
      </c>
      <c r="K45" s="18" t="n">
        <v>7.90915424</v>
      </c>
      <c r="L45" s="20" t="n">
        <v>1.00332936</v>
      </c>
      <c r="M45" s="18" t="n">
        <v>0.13146799</v>
      </c>
      <c r="N45" s="20" t="n">
        <v>0.13264921</v>
      </c>
      <c r="O45" s="18" t="n">
        <v>0.41482565</v>
      </c>
      <c r="P45" s="20" t="n">
        <v>0.21734198</v>
      </c>
      <c r="Q45" s="18" t="n">
        <v>22.45073674</v>
      </c>
      <c r="R45" s="20" t="n">
        <v>1.48594733</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(1715.0/B54*100)</f>
        <v/>
      </c>
      <c r="D54" s="19" t="n">
        <v>842</v>
      </c>
      <c r="E54" s="18" t="n">
        <v>32.34652503</v>
      </c>
      <c r="F54" s="20" t="n">
        <v>1.61274587</v>
      </c>
      <c r="G54" s="18" t="n">
        <v>31.54967688</v>
      </c>
      <c r="H54" s="20" t="n">
        <v>1.51537678</v>
      </c>
      <c r="I54" s="18" t="n">
        <v>0</v>
      </c>
      <c r="J54" s="20" t="n">
        <v>0</v>
      </c>
      <c r="K54" s="18" t="n">
        <v>3.95027223</v>
      </c>
      <c r="L54" s="20" t="n">
        <v>0.66196456</v>
      </c>
      <c r="M54" s="18" t="n">
        <v>0</v>
      </c>
      <c r="N54" s="20" t="n">
        <v>0</v>
      </c>
      <c r="O54" s="18" t="n">
        <v>0</v>
      </c>
      <c r="P54" s="20" t="n">
        <v>0</v>
      </c>
      <c r="Q54" s="18" t="n">
        <v>32.15352586</v>
      </c>
      <c r="R54" s="20" t="n">
        <v>1.68912329</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(2264.0/B56*100)</f>
        <v/>
      </c>
      <c r="D56" s="19" t="n">
        <v>1079</v>
      </c>
      <c r="E56" s="18" t="n">
        <v>65.74292984</v>
      </c>
      <c r="F56" s="20" t="n">
        <v>1.6196801</v>
      </c>
      <c r="G56" s="18" t="n">
        <v>23.48519952</v>
      </c>
      <c r="H56" s="20" t="n">
        <v>1.58955737</v>
      </c>
      <c r="I56" s="18" t="n">
        <v>0</v>
      </c>
      <c r="J56" s="20" t="n">
        <v>0</v>
      </c>
      <c r="K56" s="18" t="n">
        <v>2.25547433</v>
      </c>
      <c r="L56" s="20" t="n">
        <v>0.5491764</v>
      </c>
      <c r="M56" s="18" t="n">
        <v>0.08619590000000001</v>
      </c>
      <c r="N56" s="20" t="n">
        <v>0.08570000999999999</v>
      </c>
      <c r="O56" s="18" t="n">
        <v>0</v>
      </c>
      <c r="P56" s="20" t="n">
        <v>0</v>
      </c>
      <c r="Q56" s="18" t="n">
        <v>8.430200409999999</v>
      </c>
      <c r="R56" s="20" t="n">
        <v>1.19584598</v>
      </c>
    </row>
    <row r="57" spans="1:18">
      <c r="A57" s="15" t="s">
        <v>616</v>
      </c>
      <c r="B57" s="17" t="n">
        <v>3737</v>
      </c>
      <c r="C57" s="18">
        <f>(2493.0/B57*100)</f>
        <v/>
      </c>
      <c r="D57" s="19" t="n">
        <v>1244</v>
      </c>
      <c r="E57" s="18" t="n">
        <v>54.49751594</v>
      </c>
      <c r="F57" s="20" t="n">
        <v>2.19011246</v>
      </c>
      <c r="G57" s="18" t="n">
        <v>33.85824174</v>
      </c>
      <c r="H57" s="20" t="n">
        <v>2.09827735</v>
      </c>
      <c r="I57" s="18" t="n">
        <v>0</v>
      </c>
      <c r="J57" s="20" t="n">
        <v>0</v>
      </c>
      <c r="K57" s="18" t="n">
        <v>3.00150003</v>
      </c>
      <c r="L57" s="20" t="n">
        <v>0.62372783</v>
      </c>
      <c r="M57" s="18" t="n">
        <v>0.10258351</v>
      </c>
      <c r="N57" s="20" t="n">
        <v>0.10265228</v>
      </c>
      <c r="O57" s="18" t="n">
        <v>0</v>
      </c>
      <c r="P57" s="20" t="n">
        <v>0</v>
      </c>
      <c r="Q57" s="18" t="n">
        <v>8.540158780000001</v>
      </c>
      <c r="R57" s="20" t="n">
        <v>1.20654226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(1514.0/B59*100)</f>
        <v/>
      </c>
      <c r="D59" s="19" t="n">
        <v>764</v>
      </c>
      <c r="E59" s="18" t="n">
        <v>64.03001224</v>
      </c>
      <c r="F59" s="20" t="n">
        <v>2.2542621</v>
      </c>
      <c r="G59" s="18" t="n">
        <v>20.11823233</v>
      </c>
      <c r="H59" s="20" t="n">
        <v>2.09053576</v>
      </c>
      <c r="I59" s="18" t="n">
        <v>0</v>
      </c>
      <c r="J59" s="20" t="n">
        <v>0</v>
      </c>
      <c r="K59" s="18" t="n">
        <v>1.54140723</v>
      </c>
      <c r="L59" s="20" t="n">
        <v>0.54321343</v>
      </c>
      <c r="M59" s="18" t="n">
        <v>0</v>
      </c>
      <c r="N59" s="20" t="n">
        <v>0</v>
      </c>
      <c r="O59" s="18" t="n">
        <v>0.05552809</v>
      </c>
      <c r="P59" s="20" t="n">
        <v>0.05560588</v>
      </c>
      <c r="Q59" s="18" t="n">
        <v>14.25482011</v>
      </c>
      <c r="R59" s="20" t="n">
        <v>1.48885847</v>
      </c>
    </row>
    <row r="60" spans="1:18">
      <c r="A60" s="15" t="s">
        <v>620</v>
      </c>
      <c r="B60" s="17" t="n">
        <v>2451</v>
      </c>
      <c r="C60" s="18">
        <f>(1608.0/B60*100)</f>
        <v/>
      </c>
      <c r="D60" s="19" t="n">
        <v>843</v>
      </c>
      <c r="E60" s="18" t="n">
        <v>51.70451079</v>
      </c>
      <c r="F60" s="20" t="n">
        <v>1.89612323</v>
      </c>
      <c r="G60" s="18" t="n">
        <v>13.39352979</v>
      </c>
      <c r="H60" s="20" t="n">
        <v>1.43064767</v>
      </c>
      <c r="I60" s="18" t="n">
        <v>0</v>
      </c>
      <c r="J60" s="20" t="n">
        <v>0</v>
      </c>
      <c r="K60" s="18" t="n">
        <v>5.00124543</v>
      </c>
      <c r="L60" s="20" t="n">
        <v>0.7432178</v>
      </c>
      <c r="M60" s="18" t="n">
        <v>0</v>
      </c>
      <c r="N60" s="20" t="n">
        <v>0</v>
      </c>
      <c r="O60" s="18" t="n">
        <v>0.27076961</v>
      </c>
      <c r="P60" s="20" t="n">
        <v>0.19565306</v>
      </c>
      <c r="Q60" s="18" t="n">
        <v>29.62994438</v>
      </c>
      <c r="R60" s="20" t="n">
        <v>1.91826499</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(1675.0/B63*100)</f>
        <v/>
      </c>
      <c r="D63" s="19" t="n">
        <v>836</v>
      </c>
      <c r="E63" s="18" t="n">
        <v>29.28813428</v>
      </c>
      <c r="F63" s="20" t="n">
        <v>1.8723254</v>
      </c>
      <c r="G63" s="18" t="n">
        <v>23.94049851</v>
      </c>
      <c r="H63" s="20" t="n">
        <v>1.62207855</v>
      </c>
      <c r="I63" s="18" t="n">
        <v>0</v>
      </c>
      <c r="J63" s="20" t="n">
        <v>0</v>
      </c>
      <c r="K63" s="18" t="n">
        <v>3.73715342</v>
      </c>
      <c r="L63" s="20" t="n">
        <v>0.80463434</v>
      </c>
      <c r="M63" s="18" t="n">
        <v>0</v>
      </c>
      <c r="N63" s="20" t="n">
        <v>0</v>
      </c>
      <c r="O63" s="18" t="n">
        <v>0</v>
      </c>
      <c r="P63" s="20" t="n">
        <v>0</v>
      </c>
      <c r="Q63" s="18" t="n">
        <v>43.03421379</v>
      </c>
      <c r="R63" s="20" t="n">
        <v>1.9946499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(1190.0/B65*100)</f>
        <v/>
      </c>
      <c r="D65" s="19" t="n">
        <v>600</v>
      </c>
      <c r="E65" s="18" t="n">
        <v>43.2511698</v>
      </c>
      <c r="F65" s="20" t="n">
        <v>1.99995547</v>
      </c>
      <c r="G65" s="18" t="n">
        <v>30.98421785</v>
      </c>
      <c r="H65" s="20" t="n">
        <v>1.59321283</v>
      </c>
      <c r="I65" s="18" t="n">
        <v>0</v>
      </c>
      <c r="J65" s="20" t="n">
        <v>0</v>
      </c>
      <c r="K65" s="18" t="n">
        <v>2.79131062</v>
      </c>
      <c r="L65" s="20" t="n">
        <v>0.66379091</v>
      </c>
      <c r="M65" s="18" t="n">
        <v>0</v>
      </c>
      <c r="N65" s="20" t="n">
        <v>0</v>
      </c>
      <c r="O65" s="18" t="n">
        <v>0</v>
      </c>
      <c r="P65" s="20" t="n">
        <v>0</v>
      </c>
      <c r="Q65" s="18" t="n">
        <v>22.97330173</v>
      </c>
      <c r="R65" s="20" t="n">
        <v>1.78065291</v>
      </c>
    </row>
    <row r="66" spans="1:18">
      <c r="A66" s="15" t="s">
        <v>626</v>
      </c>
      <c r="B66" s="17" t="n">
        <v>2634</v>
      </c>
      <c r="C66" s="18">
        <f>(1747.0/B66*100)</f>
        <v/>
      </c>
      <c r="D66" s="19" t="n">
        <v>887</v>
      </c>
      <c r="E66" s="18" t="n">
        <v>44.73500936</v>
      </c>
      <c r="F66" s="20" t="n">
        <v>1.55835202</v>
      </c>
      <c r="G66" s="18" t="n">
        <v>25.85525183</v>
      </c>
      <c r="H66" s="20" t="n">
        <v>1.42926646</v>
      </c>
      <c r="I66" s="18" t="n">
        <v>0</v>
      </c>
      <c r="J66" s="20" t="n">
        <v>0</v>
      </c>
      <c r="K66" s="18" t="n">
        <v>5.85106505</v>
      </c>
      <c r="L66" s="20" t="n">
        <v>0.89671515</v>
      </c>
      <c r="M66" s="18" t="n">
        <v>0</v>
      </c>
      <c r="N66" s="20" t="n">
        <v>0</v>
      </c>
      <c r="O66" s="18" t="n">
        <v>0</v>
      </c>
      <c r="P66" s="20" t="n">
        <v>0</v>
      </c>
      <c r="Q66" s="18" t="n">
        <v>23.55867376</v>
      </c>
      <c r="R66" s="20" t="n">
        <v>1.44373622</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(482.0/B69*100)</f>
        <v/>
      </c>
      <c r="D69" s="19" t="n">
        <v>238</v>
      </c>
      <c r="E69" s="18" t="n">
        <v>74.64130651000001</v>
      </c>
      <c r="F69" s="20" t="n">
        <v>2.60825991</v>
      </c>
      <c r="G69" s="18" t="n">
        <v>12.161956</v>
      </c>
      <c r="H69" s="20" t="n">
        <v>1.95220295</v>
      </c>
      <c r="I69" s="18" t="n">
        <v>0</v>
      </c>
      <c r="J69" s="20" t="n">
        <v>0</v>
      </c>
      <c r="K69" s="18" t="n">
        <v>0.38112439</v>
      </c>
      <c r="L69" s="20" t="n">
        <v>0.38429175</v>
      </c>
      <c r="M69" s="18" t="n">
        <v>0</v>
      </c>
      <c r="N69" s="20" t="n">
        <v>0</v>
      </c>
      <c r="O69" s="18" t="n">
        <v>0</v>
      </c>
      <c r="P69" s="20" t="n">
        <v>0</v>
      </c>
      <c r="Q69" s="18" t="n">
        <v>12.8156131</v>
      </c>
      <c r="R69" s="20" t="n">
        <v>2.2464345</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(1643.0/B71*100)</f>
        <v/>
      </c>
      <c r="D71" s="19" t="n">
        <v>823</v>
      </c>
      <c r="E71" s="18" t="n">
        <v>69.35784590999999</v>
      </c>
      <c r="F71" s="20" t="n">
        <v>1.64951593</v>
      </c>
      <c r="G71" s="18" t="n">
        <v>30.50981661</v>
      </c>
      <c r="H71" s="20" t="n">
        <v>1.63674713</v>
      </c>
      <c r="I71" s="18" t="n">
        <v>0</v>
      </c>
      <c r="J71" s="20" t="n">
        <v>0</v>
      </c>
      <c r="K71" s="18" t="n">
        <v>0.13233748</v>
      </c>
      <c r="L71" s="20" t="n">
        <v>0.13226401</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(1640.0/B76*100)</f>
        <v/>
      </c>
      <c r="D76" s="19" t="n">
        <v>813</v>
      </c>
      <c r="E76" s="18" t="n">
        <v>44.1661</v>
      </c>
      <c r="F76" s="20" t="n">
        <v>1.67885124</v>
      </c>
      <c r="G76" s="18" t="n">
        <v>23.40538318</v>
      </c>
      <c r="H76" s="20" t="n">
        <v>1.66034641</v>
      </c>
      <c r="I76" s="18" t="n">
        <v>0</v>
      </c>
      <c r="J76" s="20" t="n">
        <v>0</v>
      </c>
      <c r="K76" s="18" t="n">
        <v>6.08095872</v>
      </c>
      <c r="L76" s="20" t="n">
        <v>1.00185959</v>
      </c>
      <c r="M76" s="18" t="n">
        <v>0</v>
      </c>
      <c r="N76" s="20" t="n">
        <v>0</v>
      </c>
      <c r="O76" s="18" t="n">
        <v>0</v>
      </c>
      <c r="P76" s="20" t="n">
        <v>0</v>
      </c>
      <c r="Q76" s="18" t="n">
        <v>26.3475581</v>
      </c>
      <c r="R76" s="20" t="n">
        <v>1.55434099</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(2033.0/B80*100)</f>
        <v/>
      </c>
      <c r="D80" s="19" t="n">
        <v>1007</v>
      </c>
      <c r="E80" s="18" t="n">
        <v>44.44754936</v>
      </c>
      <c r="F80" s="20" t="n">
        <v>1.86594521</v>
      </c>
      <c r="G80" s="18" t="n">
        <v>53.76915723</v>
      </c>
      <c r="H80" s="20" t="n">
        <v>1.83214743</v>
      </c>
      <c r="I80" s="18" t="n">
        <v>0</v>
      </c>
      <c r="J80" s="20" t="n">
        <v>0</v>
      </c>
      <c r="K80" s="18" t="n">
        <v>0</v>
      </c>
      <c r="L80" s="20" t="n">
        <v>0</v>
      </c>
      <c r="M80" s="18" t="n">
        <v>0</v>
      </c>
      <c r="N80" s="20" t="n">
        <v>0</v>
      </c>
      <c r="O80" s="18" t="n">
        <v>0</v>
      </c>
      <c r="P80" s="20" t="n">
        <v>0</v>
      </c>
      <c r="Q80" s="18" t="n">
        <v>1.7832934</v>
      </c>
      <c r="R80" s="20" t="n">
        <v>0.38226097</v>
      </c>
    </row>
    <row r="81" spans="1:18">
      <c r="A81" s="15" t="s">
        <v>641</v>
      </c>
      <c r="B81" s="17" t="n">
        <v>870</v>
      </c>
      <c r="C81" s="18">
        <f>(577.0/B81*100)</f>
        <v/>
      </c>
      <c r="D81" s="19" t="n">
        <v>293</v>
      </c>
      <c r="E81" s="18" t="n">
        <v>56.85261055</v>
      </c>
      <c r="F81" s="20" t="n">
        <v>2.61513237</v>
      </c>
      <c r="G81" s="18" t="n">
        <v>18.58984046</v>
      </c>
      <c r="H81" s="20" t="n">
        <v>2.02401417</v>
      </c>
      <c r="I81" s="18" t="n">
        <v>0</v>
      </c>
      <c r="J81" s="20" t="n">
        <v>0</v>
      </c>
      <c r="K81" s="18" t="n">
        <v>4.17788521</v>
      </c>
      <c r="L81" s="20" t="n">
        <v>1.31593029</v>
      </c>
      <c r="M81" s="18" t="n">
        <v>0</v>
      </c>
      <c r="N81" s="20" t="n">
        <v>0</v>
      </c>
      <c r="O81" s="18" t="n">
        <v>0</v>
      </c>
      <c r="P81" s="20" t="n">
        <v>0</v>
      </c>
      <c r="Q81" s="18" t="n">
        <v>20.37966379</v>
      </c>
      <c r="R81" s="20" t="n">
        <v>2.77651431</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(1782.0/B44*100)</f>
        <v/>
      </c>
      <c r="D44" s="19" t="n">
        <v>909</v>
      </c>
      <c r="E44" s="18" t="n">
        <v>27.4214296</v>
      </c>
      <c r="F44" s="20" t="n">
        <v>1.97692037</v>
      </c>
      <c r="G44" s="18" t="n">
        <v>52.45174351</v>
      </c>
      <c r="H44" s="20" t="n">
        <v>2.01149138</v>
      </c>
      <c r="I44" s="18" t="n">
        <v>0</v>
      </c>
      <c r="J44" s="20" t="n">
        <v>0</v>
      </c>
      <c r="K44" s="18" t="n">
        <v>3.1242208</v>
      </c>
      <c r="L44" s="20" t="n">
        <v>0.55849388</v>
      </c>
      <c r="M44" s="18" t="n">
        <v>0</v>
      </c>
      <c r="N44" s="20" t="n">
        <v>0</v>
      </c>
      <c r="O44" s="18" t="n">
        <v>0</v>
      </c>
      <c r="P44" s="20" t="n">
        <v>0</v>
      </c>
      <c r="Q44" s="18" t="n">
        <v>17.00260609</v>
      </c>
      <c r="R44" s="20" t="n">
        <v>1.295595</v>
      </c>
    </row>
    <row r="45" spans="1:18">
      <c r="A45" s="15" t="s">
        <v>604</v>
      </c>
      <c r="B45" s="17" t="n">
        <v>2670</v>
      </c>
      <c r="C45" s="18">
        <f>(1779.0/B45*100)</f>
        <v/>
      </c>
      <c r="D45" s="19" t="n">
        <v>891</v>
      </c>
      <c r="E45" s="18" t="n">
        <v>34.02539695</v>
      </c>
      <c r="F45" s="20" t="n">
        <v>1.89951733</v>
      </c>
      <c r="G45" s="18" t="n">
        <v>29.47003209</v>
      </c>
      <c r="H45" s="20" t="n">
        <v>1.91297815</v>
      </c>
      <c r="I45" s="18" t="n">
        <v>0</v>
      </c>
      <c r="J45" s="20" t="n">
        <v>0</v>
      </c>
      <c r="K45" s="18" t="n">
        <v>8.18445865</v>
      </c>
      <c r="L45" s="20" t="n">
        <v>1.01327733</v>
      </c>
      <c r="M45" s="18" t="n">
        <v>0</v>
      </c>
      <c r="N45" s="20" t="n">
        <v>0</v>
      </c>
      <c r="O45" s="18" t="n">
        <v>0.10682288</v>
      </c>
      <c r="P45" s="20" t="n">
        <v>0.11372599</v>
      </c>
      <c r="Q45" s="18" t="n">
        <v>28.21328944</v>
      </c>
      <c r="R45" s="20" t="n">
        <v>1.55522329</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(1715.0/B54*100)</f>
        <v/>
      </c>
      <c r="D54" s="19" t="n">
        <v>842</v>
      </c>
      <c r="E54" s="18" t="n">
        <v>18.03255918</v>
      </c>
      <c r="F54" s="20" t="n">
        <v>1.47362822</v>
      </c>
      <c r="G54" s="18" t="n">
        <v>56.68520072</v>
      </c>
      <c r="H54" s="20" t="n">
        <v>1.78968304</v>
      </c>
      <c r="I54" s="18" t="n">
        <v>0</v>
      </c>
      <c r="J54" s="20" t="n">
        <v>0</v>
      </c>
      <c r="K54" s="18" t="n">
        <v>4.72155829</v>
      </c>
      <c r="L54" s="20" t="n">
        <v>0.73782995</v>
      </c>
      <c r="M54" s="18" t="n">
        <v>0</v>
      </c>
      <c r="N54" s="20" t="n">
        <v>0</v>
      </c>
      <c r="O54" s="18" t="n">
        <v>0.12278484</v>
      </c>
      <c r="P54" s="20" t="n">
        <v>0.11317305</v>
      </c>
      <c r="Q54" s="18" t="n">
        <v>20.43789697</v>
      </c>
      <c r="R54" s="20" t="n">
        <v>1.53802619</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(2264.0/B56*100)</f>
        <v/>
      </c>
      <c r="D56" s="19" t="n">
        <v>1079</v>
      </c>
      <c r="E56" s="18" t="n">
        <v>52.48468734</v>
      </c>
      <c r="F56" s="20" t="n">
        <v>1.65613883</v>
      </c>
      <c r="G56" s="18" t="n">
        <v>37.76530155</v>
      </c>
      <c r="H56" s="20" t="n">
        <v>1.69508</v>
      </c>
      <c r="I56" s="18" t="n">
        <v>0</v>
      </c>
      <c r="J56" s="20" t="n">
        <v>0</v>
      </c>
      <c r="K56" s="18" t="n">
        <v>2.47606281</v>
      </c>
      <c r="L56" s="20" t="n">
        <v>0.54742577</v>
      </c>
      <c r="M56" s="18" t="n">
        <v>0.08619590000000001</v>
      </c>
      <c r="N56" s="20" t="n">
        <v>0.08570000999999999</v>
      </c>
      <c r="O56" s="18" t="n">
        <v>0</v>
      </c>
      <c r="P56" s="20" t="n">
        <v>0</v>
      </c>
      <c r="Q56" s="18" t="n">
        <v>7.1877524</v>
      </c>
      <c r="R56" s="20" t="n">
        <v>1.17398175</v>
      </c>
    </row>
    <row r="57" spans="1:18">
      <c r="A57" s="15" t="s">
        <v>616</v>
      </c>
      <c r="B57" s="17" t="n">
        <v>3737</v>
      </c>
      <c r="C57" s="18">
        <f>(2493.0/B57*100)</f>
        <v/>
      </c>
      <c r="D57" s="19" t="n">
        <v>1244</v>
      </c>
      <c r="E57" s="18" t="n">
        <v>30.31553077</v>
      </c>
      <c r="F57" s="20" t="n">
        <v>1.67205677</v>
      </c>
      <c r="G57" s="18" t="n">
        <v>59.10570905</v>
      </c>
      <c r="H57" s="20" t="n">
        <v>1.87926998</v>
      </c>
      <c r="I57" s="18" t="n">
        <v>0</v>
      </c>
      <c r="J57" s="20" t="n">
        <v>0</v>
      </c>
      <c r="K57" s="18" t="n">
        <v>3.34657649</v>
      </c>
      <c r="L57" s="20" t="n">
        <v>0.63832936</v>
      </c>
      <c r="M57" s="18" t="n">
        <v>0.10258351</v>
      </c>
      <c r="N57" s="20" t="n">
        <v>0.10265228</v>
      </c>
      <c r="O57" s="18" t="n">
        <v>0</v>
      </c>
      <c r="P57" s="20" t="n">
        <v>0</v>
      </c>
      <c r="Q57" s="18" t="n">
        <v>7.12960017</v>
      </c>
      <c r="R57" s="20" t="n">
        <v>1.00099648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(1514.0/B59*100)</f>
        <v/>
      </c>
      <c r="D59" s="19" t="n">
        <v>764</v>
      </c>
      <c r="E59" s="18" t="n">
        <v>45.07575677</v>
      </c>
      <c r="F59" s="20" t="n">
        <v>2.31681827</v>
      </c>
      <c r="G59" s="18" t="n">
        <v>38.19541695</v>
      </c>
      <c r="H59" s="20" t="n">
        <v>2.21390982</v>
      </c>
      <c r="I59" s="18" t="n">
        <v>0</v>
      </c>
      <c r="J59" s="20" t="n">
        <v>0</v>
      </c>
      <c r="K59" s="18" t="n">
        <v>1.81360969</v>
      </c>
      <c r="L59" s="20" t="n">
        <v>0.6120048300000001</v>
      </c>
      <c r="M59" s="18" t="n">
        <v>0</v>
      </c>
      <c r="N59" s="20" t="n">
        <v>0</v>
      </c>
      <c r="O59" s="18" t="n">
        <v>0</v>
      </c>
      <c r="P59" s="20" t="n">
        <v>0</v>
      </c>
      <c r="Q59" s="18" t="n">
        <v>14.91521658</v>
      </c>
      <c r="R59" s="20" t="n">
        <v>1.66795679</v>
      </c>
    </row>
    <row r="60" spans="1:18">
      <c r="A60" s="15" t="s">
        <v>620</v>
      </c>
      <c r="B60" s="17" t="n">
        <v>2451</v>
      </c>
      <c r="C60" s="18">
        <f>(1608.0/B60*100)</f>
        <v/>
      </c>
      <c r="D60" s="19" t="n">
        <v>843</v>
      </c>
      <c r="E60" s="18" t="n">
        <v>31.2831127</v>
      </c>
      <c r="F60" s="20" t="n">
        <v>2.08772507</v>
      </c>
      <c r="G60" s="18" t="n">
        <v>28.67518158</v>
      </c>
      <c r="H60" s="20" t="n">
        <v>2.09091592</v>
      </c>
      <c r="I60" s="18" t="n">
        <v>0</v>
      </c>
      <c r="J60" s="20" t="n">
        <v>0</v>
      </c>
      <c r="K60" s="18" t="n">
        <v>5.65164758</v>
      </c>
      <c r="L60" s="20" t="n">
        <v>0.8303066099999999</v>
      </c>
      <c r="M60" s="18" t="n">
        <v>0</v>
      </c>
      <c r="N60" s="20" t="n">
        <v>0</v>
      </c>
      <c r="O60" s="18" t="n">
        <v>0.43758352</v>
      </c>
      <c r="P60" s="20" t="n">
        <v>0.22695105</v>
      </c>
      <c r="Q60" s="18" t="n">
        <v>33.95247462</v>
      </c>
      <c r="R60" s="20" t="n">
        <v>1.90382469</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(1675.0/B63*100)</f>
        <v/>
      </c>
      <c r="D63" s="19" t="n">
        <v>836</v>
      </c>
      <c r="E63" s="18" t="n">
        <v>15.62861884</v>
      </c>
      <c r="F63" s="20" t="n">
        <v>1.4077666</v>
      </c>
      <c r="G63" s="18" t="n">
        <v>45.04988231</v>
      </c>
      <c r="H63" s="20" t="n">
        <v>1.97595997</v>
      </c>
      <c r="I63" s="18" t="n">
        <v>0</v>
      </c>
      <c r="J63" s="20" t="n">
        <v>0</v>
      </c>
      <c r="K63" s="18" t="n">
        <v>3.73715342</v>
      </c>
      <c r="L63" s="20" t="n">
        <v>0.80463434</v>
      </c>
      <c r="M63" s="18" t="n">
        <v>0</v>
      </c>
      <c r="N63" s="20" t="n">
        <v>0</v>
      </c>
      <c r="O63" s="18" t="n">
        <v>0</v>
      </c>
      <c r="P63" s="20" t="n">
        <v>0</v>
      </c>
      <c r="Q63" s="18" t="n">
        <v>35.58434542</v>
      </c>
      <c r="R63" s="20" t="n">
        <v>1.60668558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(1190.0/B65*100)</f>
        <v/>
      </c>
      <c r="D65" s="19" t="n">
        <v>600</v>
      </c>
      <c r="E65" s="18" t="n">
        <v>12.98539111</v>
      </c>
      <c r="F65" s="20" t="n">
        <v>1.59265511</v>
      </c>
      <c r="G65" s="18" t="n">
        <v>68.84829188</v>
      </c>
      <c r="H65" s="20" t="n">
        <v>1.93163771</v>
      </c>
      <c r="I65" s="18" t="n">
        <v>0</v>
      </c>
      <c r="J65" s="20" t="n">
        <v>0</v>
      </c>
      <c r="K65" s="18" t="n">
        <v>2.98492079</v>
      </c>
      <c r="L65" s="20" t="n">
        <v>0.7353659299999999</v>
      </c>
      <c r="M65" s="18" t="n">
        <v>0</v>
      </c>
      <c r="N65" s="20" t="n">
        <v>0</v>
      </c>
      <c r="O65" s="18" t="n">
        <v>0</v>
      </c>
      <c r="P65" s="20" t="n">
        <v>0</v>
      </c>
      <c r="Q65" s="18" t="n">
        <v>15.18139622</v>
      </c>
      <c r="R65" s="20" t="n">
        <v>1.37785657</v>
      </c>
    </row>
    <row r="66" spans="1:18">
      <c r="A66" s="15" t="s">
        <v>626</v>
      </c>
      <c r="B66" s="17" t="n">
        <v>2634</v>
      </c>
      <c r="C66" s="18">
        <f>(1747.0/B66*100)</f>
        <v/>
      </c>
      <c r="D66" s="19" t="n">
        <v>887</v>
      </c>
      <c r="E66" s="18" t="n">
        <v>21.93378371</v>
      </c>
      <c r="F66" s="20" t="n">
        <v>1.57708437</v>
      </c>
      <c r="G66" s="18" t="n">
        <v>46.339252</v>
      </c>
      <c r="H66" s="20" t="n">
        <v>1.54260842</v>
      </c>
      <c r="I66" s="18" t="n">
        <v>0</v>
      </c>
      <c r="J66" s="20" t="n">
        <v>0</v>
      </c>
      <c r="K66" s="18" t="n">
        <v>6.4767464</v>
      </c>
      <c r="L66" s="20" t="n">
        <v>1.05127462</v>
      </c>
      <c r="M66" s="18" t="n">
        <v>0</v>
      </c>
      <c r="N66" s="20" t="n">
        <v>0</v>
      </c>
      <c r="O66" s="18" t="n">
        <v>0</v>
      </c>
      <c r="P66" s="20" t="n">
        <v>0</v>
      </c>
      <c r="Q66" s="18" t="n">
        <v>25.25021789</v>
      </c>
      <c r="R66" s="20" t="n">
        <v>1.631342</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(482.0/B69*100)</f>
        <v/>
      </c>
      <c r="D69" s="19" t="n">
        <v>238</v>
      </c>
      <c r="E69" s="18" t="n">
        <v>27.91857136</v>
      </c>
      <c r="F69" s="20" t="n">
        <v>3.08886086</v>
      </c>
      <c r="G69" s="18" t="n">
        <v>63.15965207</v>
      </c>
      <c r="H69" s="20" t="n">
        <v>3.69067849</v>
      </c>
      <c r="I69" s="18" t="n">
        <v>0</v>
      </c>
      <c r="J69" s="20" t="n">
        <v>0</v>
      </c>
      <c r="K69" s="18" t="n">
        <v>0.38112439</v>
      </c>
      <c r="L69" s="20" t="n">
        <v>0.38429175</v>
      </c>
      <c r="M69" s="18" t="n">
        <v>0</v>
      </c>
      <c r="N69" s="20" t="n">
        <v>0</v>
      </c>
      <c r="O69" s="18" t="n">
        <v>0</v>
      </c>
      <c r="P69" s="20" t="n">
        <v>0</v>
      </c>
      <c r="Q69" s="18" t="n">
        <v>8.54065218</v>
      </c>
      <c r="R69" s="20" t="n">
        <v>2.39412296</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(1643.0/B71*100)</f>
        <v/>
      </c>
      <c r="D71" s="19" t="n">
        <v>823</v>
      </c>
      <c r="E71" s="18" t="n">
        <v>37.70913318</v>
      </c>
      <c r="F71" s="20" t="n">
        <v>1.80619032</v>
      </c>
      <c r="G71" s="18" t="n">
        <v>62.04183146</v>
      </c>
      <c r="H71" s="20" t="n">
        <v>1.82166116</v>
      </c>
      <c r="I71" s="18" t="n">
        <v>0</v>
      </c>
      <c r="J71" s="20" t="n">
        <v>0</v>
      </c>
      <c r="K71" s="18" t="n">
        <v>0.13233748</v>
      </c>
      <c r="L71" s="20" t="n">
        <v>0.13226401</v>
      </c>
      <c r="M71" s="18" t="n">
        <v>0</v>
      </c>
      <c r="N71" s="20" t="n">
        <v>0</v>
      </c>
      <c r="O71" s="18" t="n">
        <v>0</v>
      </c>
      <c r="P71" s="20" t="n">
        <v>0</v>
      </c>
      <c r="Q71" s="18" t="n">
        <v>0.11669788</v>
      </c>
      <c r="R71" s="20" t="n">
        <v>0.11709152</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(1640.0/B76*100)</f>
        <v/>
      </c>
      <c r="D76" s="19" t="n">
        <v>813</v>
      </c>
      <c r="E76" s="18" t="n">
        <v>18.54058457</v>
      </c>
      <c r="F76" s="20" t="n">
        <v>1.43895303</v>
      </c>
      <c r="G76" s="18" t="n">
        <v>58.8722559</v>
      </c>
      <c r="H76" s="20" t="n">
        <v>2.05272529</v>
      </c>
      <c r="I76" s="18" t="n">
        <v>0</v>
      </c>
      <c r="J76" s="20" t="n">
        <v>0</v>
      </c>
      <c r="K76" s="18" t="n">
        <v>6.51236192</v>
      </c>
      <c r="L76" s="20" t="n">
        <v>1.01465208</v>
      </c>
      <c r="M76" s="18" t="n">
        <v>0</v>
      </c>
      <c r="N76" s="20" t="n">
        <v>0</v>
      </c>
      <c r="O76" s="18" t="n">
        <v>0</v>
      </c>
      <c r="P76" s="20" t="n">
        <v>0</v>
      </c>
      <c r="Q76" s="18" t="n">
        <v>16.0747976</v>
      </c>
      <c r="R76" s="20" t="n">
        <v>1.45960655</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(2033.0/B80*100)</f>
        <v/>
      </c>
      <c r="D80" s="19" t="n">
        <v>1007</v>
      </c>
      <c r="E80" s="18" t="n">
        <v>28.99448042</v>
      </c>
      <c r="F80" s="20" t="n">
        <v>1.50188715</v>
      </c>
      <c r="G80" s="18" t="n">
        <v>69.67350555</v>
      </c>
      <c r="H80" s="20" t="n">
        <v>1.49651508</v>
      </c>
      <c r="I80" s="18" t="n">
        <v>0</v>
      </c>
      <c r="J80" s="20" t="n">
        <v>0</v>
      </c>
      <c r="K80" s="18" t="n">
        <v>0</v>
      </c>
      <c r="L80" s="20" t="n">
        <v>0</v>
      </c>
      <c r="M80" s="18" t="n">
        <v>0</v>
      </c>
      <c r="N80" s="20" t="n">
        <v>0</v>
      </c>
      <c r="O80" s="18" t="n">
        <v>0</v>
      </c>
      <c r="P80" s="20" t="n">
        <v>0</v>
      </c>
      <c r="Q80" s="18" t="n">
        <v>1.33201403</v>
      </c>
      <c r="R80" s="20" t="n">
        <v>0.4146409</v>
      </c>
    </row>
    <row r="81" spans="1:18">
      <c r="A81" s="15" t="s">
        <v>641</v>
      </c>
      <c r="B81" s="17" t="n">
        <v>870</v>
      </c>
      <c r="C81" s="18">
        <f>(577.0/B81*100)</f>
        <v/>
      </c>
      <c r="D81" s="19" t="n">
        <v>293</v>
      </c>
      <c r="E81" s="18" t="n">
        <v>5.43035419</v>
      </c>
      <c r="F81" s="20" t="n">
        <v>1.21555664</v>
      </c>
      <c r="G81" s="18" t="n">
        <v>79.97578745</v>
      </c>
      <c r="H81" s="20" t="n">
        <v>2.56111623</v>
      </c>
      <c r="I81" s="18" t="n">
        <v>0</v>
      </c>
      <c r="J81" s="20" t="n">
        <v>0</v>
      </c>
      <c r="K81" s="18" t="n">
        <v>4.47072359</v>
      </c>
      <c r="L81" s="20" t="n">
        <v>1.45764435</v>
      </c>
      <c r="M81" s="18" t="n">
        <v>0.17287276</v>
      </c>
      <c r="N81" s="20" t="n">
        <v>0.18443716</v>
      </c>
      <c r="O81" s="18" t="n">
        <v>0</v>
      </c>
      <c r="P81" s="20" t="n">
        <v>0</v>
      </c>
      <c r="Q81" s="18" t="n">
        <v>9.95026202</v>
      </c>
      <c r="R81" s="20" t="n">
        <v>1.7223793</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(1782.0/B44*100)</f>
        <v/>
      </c>
      <c r="D44" s="19" t="n">
        <v>909</v>
      </c>
      <c r="E44" s="18" t="n">
        <v>43.17794724</v>
      </c>
      <c r="F44" s="20" t="n">
        <v>1.8254746</v>
      </c>
      <c r="G44" s="18" t="n">
        <v>37.82466628</v>
      </c>
      <c r="H44" s="20" t="n">
        <v>1.72474116</v>
      </c>
      <c r="I44" s="18" t="n">
        <v>0</v>
      </c>
      <c r="J44" s="20" t="n">
        <v>0</v>
      </c>
      <c r="K44" s="18" t="n">
        <v>3.46622756</v>
      </c>
      <c r="L44" s="20" t="n">
        <v>0.59538506</v>
      </c>
      <c r="M44" s="18" t="n">
        <v>0</v>
      </c>
      <c r="N44" s="20" t="n">
        <v>0</v>
      </c>
      <c r="O44" s="18" t="n">
        <v>0</v>
      </c>
      <c r="P44" s="20" t="n">
        <v>0</v>
      </c>
      <c r="Q44" s="18" t="n">
        <v>15.53115891</v>
      </c>
      <c r="R44" s="20" t="n">
        <v>1.46899596</v>
      </c>
    </row>
    <row r="45" spans="1:18">
      <c r="A45" s="15" t="s">
        <v>604</v>
      </c>
      <c r="B45" s="17" t="n">
        <v>2670</v>
      </c>
      <c r="C45" s="18">
        <f>(1779.0/B45*100)</f>
        <v/>
      </c>
      <c r="D45" s="19" t="n">
        <v>891</v>
      </c>
      <c r="E45" s="18" t="n">
        <v>55.07320979</v>
      </c>
      <c r="F45" s="20" t="n">
        <v>1.92477851</v>
      </c>
      <c r="G45" s="18" t="n">
        <v>19.98771765</v>
      </c>
      <c r="H45" s="20" t="n">
        <v>1.48457592</v>
      </c>
      <c r="I45" s="18" t="n">
        <v>0</v>
      </c>
      <c r="J45" s="20" t="n">
        <v>0</v>
      </c>
      <c r="K45" s="18" t="n">
        <v>8.735930270000001</v>
      </c>
      <c r="L45" s="20" t="n">
        <v>1.03671425</v>
      </c>
      <c r="M45" s="18" t="n">
        <v>0.38589344</v>
      </c>
      <c r="N45" s="20" t="n">
        <v>0.24429558</v>
      </c>
      <c r="O45" s="18" t="n">
        <v>0.19974515</v>
      </c>
      <c r="P45" s="20" t="n">
        <v>0.14670857</v>
      </c>
      <c r="Q45" s="18" t="n">
        <v>15.6175037</v>
      </c>
      <c r="R45" s="20" t="n">
        <v>1.30329526</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(1715.0/B54*100)</f>
        <v/>
      </c>
      <c r="D54" s="19" t="n">
        <v>842</v>
      </c>
      <c r="E54" s="18" t="n">
        <v>52.52446563</v>
      </c>
      <c r="F54" s="20" t="n">
        <v>1.64752006</v>
      </c>
      <c r="G54" s="18" t="n">
        <v>28.86671152</v>
      </c>
      <c r="H54" s="20" t="n">
        <v>1.53418059</v>
      </c>
      <c r="I54" s="18" t="n">
        <v>0</v>
      </c>
      <c r="J54" s="20" t="n">
        <v>0</v>
      </c>
      <c r="K54" s="18" t="n">
        <v>5.24575153</v>
      </c>
      <c r="L54" s="20" t="n">
        <v>0.7550162500000001</v>
      </c>
      <c r="M54" s="18" t="n">
        <v>0</v>
      </c>
      <c r="N54" s="20" t="n">
        <v>0</v>
      </c>
      <c r="O54" s="18" t="n">
        <v>0</v>
      </c>
      <c r="P54" s="20" t="n">
        <v>0</v>
      </c>
      <c r="Q54" s="18" t="n">
        <v>13.36307131</v>
      </c>
      <c r="R54" s="20" t="n">
        <v>1.17317439</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(2264.0/B56*100)</f>
        <v/>
      </c>
      <c r="D56" s="19" t="n">
        <v>1079</v>
      </c>
      <c r="E56" s="18" t="n">
        <v>52.728175</v>
      </c>
      <c r="F56" s="20" t="n">
        <v>1.62859812</v>
      </c>
      <c r="G56" s="18" t="n">
        <v>38.01857351</v>
      </c>
      <c r="H56" s="20" t="n">
        <v>1.75826952</v>
      </c>
      <c r="I56" s="18" t="n">
        <v>0</v>
      </c>
      <c r="J56" s="20" t="n">
        <v>0</v>
      </c>
      <c r="K56" s="18" t="n">
        <v>2.58963483</v>
      </c>
      <c r="L56" s="20" t="n">
        <v>0.55143294</v>
      </c>
      <c r="M56" s="18" t="n">
        <v>0.08619590000000001</v>
      </c>
      <c r="N56" s="20" t="n">
        <v>0.08570000999999999</v>
      </c>
      <c r="O56" s="18" t="n">
        <v>0</v>
      </c>
      <c r="P56" s="20" t="n">
        <v>0</v>
      </c>
      <c r="Q56" s="18" t="n">
        <v>6.57742077</v>
      </c>
      <c r="R56" s="20" t="n">
        <v>1.20362541</v>
      </c>
    </row>
    <row r="57" spans="1:18">
      <c r="A57" s="15" t="s">
        <v>616</v>
      </c>
      <c r="B57" s="17" t="n">
        <v>3737</v>
      </c>
      <c r="C57" s="18">
        <f>(2493.0/B57*100)</f>
        <v/>
      </c>
      <c r="D57" s="19" t="n">
        <v>1244</v>
      </c>
      <c r="E57" s="18" t="n">
        <v>60.442335</v>
      </c>
      <c r="F57" s="20" t="n">
        <v>1.72176939</v>
      </c>
      <c r="G57" s="18" t="n">
        <v>29.40481249</v>
      </c>
      <c r="H57" s="20" t="n">
        <v>1.6339826</v>
      </c>
      <c r="I57" s="18" t="n">
        <v>0</v>
      </c>
      <c r="J57" s="20" t="n">
        <v>0</v>
      </c>
      <c r="K57" s="18" t="n">
        <v>3.5496379</v>
      </c>
      <c r="L57" s="20" t="n">
        <v>0.67248332</v>
      </c>
      <c r="M57" s="18" t="n">
        <v>0.10258351</v>
      </c>
      <c r="N57" s="20" t="n">
        <v>0.10265228</v>
      </c>
      <c r="O57" s="18" t="n">
        <v>0</v>
      </c>
      <c r="P57" s="20" t="n">
        <v>0</v>
      </c>
      <c r="Q57" s="18" t="n">
        <v>6.50063109</v>
      </c>
      <c r="R57" s="20" t="n">
        <v>1.04129983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(1514.0/B59*100)</f>
        <v/>
      </c>
      <c r="D59" s="19" t="n">
        <v>764</v>
      </c>
      <c r="E59" s="18" t="n">
        <v>70.04232551</v>
      </c>
      <c r="F59" s="20" t="n">
        <v>1.97510518</v>
      </c>
      <c r="G59" s="18" t="n">
        <v>19.02849715</v>
      </c>
      <c r="H59" s="20" t="n">
        <v>1.86444599</v>
      </c>
      <c r="I59" s="18" t="n">
        <v>0</v>
      </c>
      <c r="J59" s="20" t="n">
        <v>0</v>
      </c>
      <c r="K59" s="18" t="n">
        <v>2.19455641</v>
      </c>
      <c r="L59" s="20" t="n">
        <v>0.64413417</v>
      </c>
      <c r="M59" s="18" t="n">
        <v>0</v>
      </c>
      <c r="N59" s="20" t="n">
        <v>0</v>
      </c>
      <c r="O59" s="18" t="n">
        <v>0</v>
      </c>
      <c r="P59" s="20" t="n">
        <v>0</v>
      </c>
      <c r="Q59" s="18" t="n">
        <v>8.73462093</v>
      </c>
      <c r="R59" s="20" t="n">
        <v>1.2592505</v>
      </c>
    </row>
    <row r="60" spans="1:18">
      <c r="A60" s="15" t="s">
        <v>620</v>
      </c>
      <c r="B60" s="17" t="n">
        <v>2451</v>
      </c>
      <c r="C60" s="18">
        <f>(1608.0/B60*100)</f>
        <v/>
      </c>
      <c r="D60" s="19" t="n">
        <v>843</v>
      </c>
      <c r="E60" s="18" t="n">
        <v>59.63358629</v>
      </c>
      <c r="F60" s="20" t="n">
        <v>1.74408592</v>
      </c>
      <c r="G60" s="18" t="n">
        <v>9.3533721</v>
      </c>
      <c r="H60" s="20" t="n">
        <v>1.08246415</v>
      </c>
      <c r="I60" s="18" t="n">
        <v>0</v>
      </c>
      <c r="J60" s="20" t="n">
        <v>0</v>
      </c>
      <c r="K60" s="18" t="n">
        <v>5.67908796</v>
      </c>
      <c r="L60" s="20" t="n">
        <v>0.82893061</v>
      </c>
      <c r="M60" s="18" t="n">
        <v>0</v>
      </c>
      <c r="N60" s="20" t="n">
        <v>0</v>
      </c>
      <c r="O60" s="18" t="n">
        <v>0.27076961</v>
      </c>
      <c r="P60" s="20" t="n">
        <v>0.19565306</v>
      </c>
      <c r="Q60" s="18" t="n">
        <v>25.06318404</v>
      </c>
      <c r="R60" s="20" t="n">
        <v>1.54888625</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(1675.0/B63*100)</f>
        <v/>
      </c>
      <c r="D63" s="19" t="n">
        <v>836</v>
      </c>
      <c r="E63" s="18" t="n">
        <v>44.05877825</v>
      </c>
      <c r="F63" s="20" t="n">
        <v>1.81699001</v>
      </c>
      <c r="G63" s="18" t="n">
        <v>22.46317934</v>
      </c>
      <c r="H63" s="20" t="n">
        <v>1.49939907</v>
      </c>
      <c r="I63" s="18" t="n">
        <v>0</v>
      </c>
      <c r="J63" s="20" t="n">
        <v>0</v>
      </c>
      <c r="K63" s="18" t="n">
        <v>3.73715342</v>
      </c>
      <c r="L63" s="20" t="n">
        <v>0.80463434</v>
      </c>
      <c r="M63" s="18" t="n">
        <v>0</v>
      </c>
      <c r="N63" s="20" t="n">
        <v>0</v>
      </c>
      <c r="O63" s="18" t="n">
        <v>0</v>
      </c>
      <c r="P63" s="20" t="n">
        <v>0</v>
      </c>
      <c r="Q63" s="18" t="n">
        <v>29.74088899</v>
      </c>
      <c r="R63" s="20" t="n">
        <v>1.77098398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(1190.0/B65*100)</f>
        <v/>
      </c>
      <c r="D65" s="19" t="n">
        <v>600</v>
      </c>
      <c r="E65" s="18" t="n">
        <v>67.51143866</v>
      </c>
      <c r="F65" s="20" t="n">
        <v>2.05995592</v>
      </c>
      <c r="G65" s="18" t="n">
        <v>19.80060096</v>
      </c>
      <c r="H65" s="20" t="n">
        <v>1.34643949</v>
      </c>
      <c r="I65" s="18" t="n">
        <v>0</v>
      </c>
      <c r="J65" s="20" t="n">
        <v>0</v>
      </c>
      <c r="K65" s="18" t="n">
        <v>3.13882416</v>
      </c>
      <c r="L65" s="20" t="n">
        <v>0.74842938</v>
      </c>
      <c r="M65" s="18" t="n">
        <v>0</v>
      </c>
      <c r="N65" s="20" t="n">
        <v>0</v>
      </c>
      <c r="O65" s="18" t="n">
        <v>0</v>
      </c>
      <c r="P65" s="20" t="n">
        <v>0</v>
      </c>
      <c r="Q65" s="18" t="n">
        <v>9.549136219999999</v>
      </c>
      <c r="R65" s="20" t="n">
        <v>1.22453534</v>
      </c>
    </row>
    <row r="66" spans="1:18">
      <c r="A66" s="15" t="s">
        <v>626</v>
      </c>
      <c r="B66" s="17" t="n">
        <v>2634</v>
      </c>
      <c r="C66" s="18">
        <f>(1747.0/B66*100)</f>
        <v/>
      </c>
      <c r="D66" s="19" t="n">
        <v>887</v>
      </c>
      <c r="E66" s="18" t="n">
        <v>41.76773919</v>
      </c>
      <c r="F66" s="20" t="n">
        <v>1.54369378</v>
      </c>
      <c r="G66" s="18" t="n">
        <v>33.81077395</v>
      </c>
      <c r="H66" s="20" t="n">
        <v>1.64365067</v>
      </c>
      <c r="I66" s="18" t="n">
        <v>0</v>
      </c>
      <c r="J66" s="20" t="n">
        <v>0</v>
      </c>
      <c r="K66" s="18" t="n">
        <v>6.83687003</v>
      </c>
      <c r="L66" s="20" t="n">
        <v>1.10639598</v>
      </c>
      <c r="M66" s="18" t="n">
        <v>0</v>
      </c>
      <c r="N66" s="20" t="n">
        <v>0</v>
      </c>
      <c r="O66" s="18" t="n">
        <v>0</v>
      </c>
      <c r="P66" s="20" t="n">
        <v>0</v>
      </c>
      <c r="Q66" s="18" t="n">
        <v>17.58461683</v>
      </c>
      <c r="R66" s="20" t="n">
        <v>1.12623729</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(482.0/B69*100)</f>
        <v/>
      </c>
      <c r="D69" s="19" t="n">
        <v>238</v>
      </c>
      <c r="E69" s="18" t="n">
        <v>64.25697762</v>
      </c>
      <c r="F69" s="20" t="n">
        <v>3.1387908</v>
      </c>
      <c r="G69" s="18" t="n">
        <v>27.41028652</v>
      </c>
      <c r="H69" s="20" t="n">
        <v>2.83236985</v>
      </c>
      <c r="I69" s="18" t="n">
        <v>0</v>
      </c>
      <c r="J69" s="20" t="n">
        <v>0</v>
      </c>
      <c r="K69" s="18" t="n">
        <v>0.38112439</v>
      </c>
      <c r="L69" s="20" t="n">
        <v>0.38429175</v>
      </c>
      <c r="M69" s="18" t="n">
        <v>0</v>
      </c>
      <c r="N69" s="20" t="n">
        <v>0</v>
      </c>
      <c r="O69" s="18" t="n">
        <v>0</v>
      </c>
      <c r="P69" s="20" t="n">
        <v>0</v>
      </c>
      <c r="Q69" s="18" t="n">
        <v>7.95161146</v>
      </c>
      <c r="R69" s="20" t="n">
        <v>2.31868101</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(1643.0/B71*100)</f>
        <v/>
      </c>
      <c r="D71" s="19" t="n">
        <v>823</v>
      </c>
      <c r="E71" s="18" t="n">
        <v>58.02397369</v>
      </c>
      <c r="F71" s="20" t="n">
        <v>1.65516207</v>
      </c>
      <c r="G71" s="18" t="n">
        <v>41.60965823</v>
      </c>
      <c r="H71" s="20" t="n">
        <v>1.63689812</v>
      </c>
      <c r="I71" s="18" t="n">
        <v>0</v>
      </c>
      <c r="J71" s="20" t="n">
        <v>0</v>
      </c>
      <c r="K71" s="18" t="n">
        <v>0.13233748</v>
      </c>
      <c r="L71" s="20" t="n">
        <v>0.13226401</v>
      </c>
      <c r="M71" s="18" t="n">
        <v>0</v>
      </c>
      <c r="N71" s="20" t="n">
        <v>0</v>
      </c>
      <c r="O71" s="18" t="n">
        <v>0</v>
      </c>
      <c r="P71" s="20" t="n">
        <v>0</v>
      </c>
      <c r="Q71" s="18" t="n">
        <v>0.2340306</v>
      </c>
      <c r="R71" s="20" t="n">
        <v>0.16636023</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(1640.0/B76*100)</f>
        <v/>
      </c>
      <c r="D76" s="19" t="n">
        <v>813</v>
      </c>
      <c r="E76" s="18" t="n">
        <v>47.54414528</v>
      </c>
      <c r="F76" s="20" t="n">
        <v>1.97323136</v>
      </c>
      <c r="G76" s="18" t="n">
        <v>30.30392972</v>
      </c>
      <c r="H76" s="20" t="n">
        <v>1.41916092</v>
      </c>
      <c r="I76" s="18" t="n">
        <v>0</v>
      </c>
      <c r="J76" s="20" t="n">
        <v>0</v>
      </c>
      <c r="K76" s="18" t="n">
        <v>6.61546413</v>
      </c>
      <c r="L76" s="20" t="n">
        <v>1.00970615</v>
      </c>
      <c r="M76" s="18" t="n">
        <v>0</v>
      </c>
      <c r="N76" s="20" t="n">
        <v>0</v>
      </c>
      <c r="O76" s="18" t="n">
        <v>0</v>
      </c>
      <c r="P76" s="20" t="n">
        <v>0</v>
      </c>
      <c r="Q76" s="18" t="n">
        <v>15.53646087</v>
      </c>
      <c r="R76" s="20" t="n">
        <v>1.48277941</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(2033.0/B80*100)</f>
        <v/>
      </c>
      <c r="D80" s="19" t="n">
        <v>1007</v>
      </c>
      <c r="E80" s="18" t="n">
        <v>40.91701872</v>
      </c>
      <c r="F80" s="20" t="n">
        <v>1.94699915</v>
      </c>
      <c r="G80" s="18" t="n">
        <v>57.45280159</v>
      </c>
      <c r="H80" s="20" t="n">
        <v>1.97645605</v>
      </c>
      <c r="I80" s="18" t="n">
        <v>0</v>
      </c>
      <c r="J80" s="20" t="n">
        <v>0</v>
      </c>
      <c r="K80" s="18" t="n">
        <v>0</v>
      </c>
      <c r="L80" s="20" t="n">
        <v>0</v>
      </c>
      <c r="M80" s="18" t="n">
        <v>0</v>
      </c>
      <c r="N80" s="20" t="n">
        <v>0</v>
      </c>
      <c r="O80" s="18" t="n">
        <v>0</v>
      </c>
      <c r="P80" s="20" t="n">
        <v>0</v>
      </c>
      <c r="Q80" s="18" t="n">
        <v>1.63017969</v>
      </c>
      <c r="R80" s="20" t="n">
        <v>0.52963627</v>
      </c>
    </row>
    <row r="81" spans="1:18">
      <c r="A81" s="15" t="s">
        <v>641</v>
      </c>
      <c r="B81" s="17" t="n">
        <v>870</v>
      </c>
      <c r="C81" s="18">
        <f>(577.0/B81*100)</f>
        <v/>
      </c>
      <c r="D81" s="19" t="n">
        <v>293</v>
      </c>
      <c r="E81" s="18" t="n">
        <v>50.31453356</v>
      </c>
      <c r="F81" s="20" t="n">
        <v>3.39521837</v>
      </c>
      <c r="G81" s="18" t="n">
        <v>32.9315513</v>
      </c>
      <c r="H81" s="20" t="n">
        <v>2.77906382</v>
      </c>
      <c r="I81" s="18" t="n">
        <v>0</v>
      </c>
      <c r="J81" s="20" t="n">
        <v>0</v>
      </c>
      <c r="K81" s="18" t="n">
        <v>4.77459724</v>
      </c>
      <c r="L81" s="20" t="n">
        <v>1.50084535</v>
      </c>
      <c r="M81" s="18" t="n">
        <v>0.17287276</v>
      </c>
      <c r="N81" s="20" t="n">
        <v>0.18443716</v>
      </c>
      <c r="O81" s="18" t="n">
        <v>0</v>
      </c>
      <c r="P81" s="20" t="n">
        <v>0</v>
      </c>
      <c r="Q81" s="18" t="n">
        <v>11.80644514</v>
      </c>
      <c r="R81" s="20" t="n">
        <v>2.10621187</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(1782.0/B44*100)</f>
        <v/>
      </c>
      <c r="D44" s="19" t="n">
        <v>909</v>
      </c>
      <c r="E44" s="18" t="n">
        <v>46.59816127</v>
      </c>
      <c r="F44" s="20" t="n">
        <v>1.72128811</v>
      </c>
      <c r="G44" s="18" t="n">
        <v>25.53466912</v>
      </c>
      <c r="H44" s="20" t="n">
        <v>1.54920908</v>
      </c>
      <c r="I44" s="18" t="n">
        <v>0</v>
      </c>
      <c r="J44" s="20" t="n">
        <v>0</v>
      </c>
      <c r="K44" s="18" t="n">
        <v>3.9498695</v>
      </c>
      <c r="L44" s="20" t="n">
        <v>0.65844791</v>
      </c>
      <c r="M44" s="18" t="n">
        <v>0</v>
      </c>
      <c r="N44" s="20" t="n">
        <v>0</v>
      </c>
      <c r="O44" s="18" t="n">
        <v>0.47735179</v>
      </c>
      <c r="P44" s="20" t="n">
        <v>0.22005178</v>
      </c>
      <c r="Q44" s="18" t="n">
        <v>23.43994832</v>
      </c>
      <c r="R44" s="20" t="n">
        <v>1.49673983</v>
      </c>
    </row>
    <row r="45" spans="1:18">
      <c r="A45" s="15" t="s">
        <v>604</v>
      </c>
      <c r="B45" s="17" t="n">
        <v>2670</v>
      </c>
      <c r="C45" s="18">
        <f>(1779.0/B45*100)</f>
        <v/>
      </c>
      <c r="D45" s="19" t="n">
        <v>891</v>
      </c>
      <c r="E45" s="18" t="n">
        <v>50.24668973</v>
      </c>
      <c r="F45" s="20" t="n">
        <v>1.87048523</v>
      </c>
      <c r="G45" s="18" t="n">
        <v>23.78963419</v>
      </c>
      <c r="H45" s="20" t="n">
        <v>1.64177338</v>
      </c>
      <c r="I45" s="18" t="n">
        <v>0</v>
      </c>
      <c r="J45" s="20" t="n">
        <v>0</v>
      </c>
      <c r="K45" s="18" t="n">
        <v>9.99286575</v>
      </c>
      <c r="L45" s="20" t="n">
        <v>1.11349506</v>
      </c>
      <c r="M45" s="18" t="n">
        <v>0.83223071</v>
      </c>
      <c r="N45" s="20" t="n">
        <v>0.37335509</v>
      </c>
      <c r="O45" s="18" t="n">
        <v>0.89876789</v>
      </c>
      <c r="P45" s="20" t="n">
        <v>0.27616089</v>
      </c>
      <c r="Q45" s="18" t="n">
        <v>14.23981172</v>
      </c>
      <c r="R45" s="20" t="n">
        <v>1.21227747</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(1715.0/B54*100)</f>
        <v/>
      </c>
      <c r="D54" s="19" t="n">
        <v>842</v>
      </c>
      <c r="E54" s="18" t="n">
        <v>42.35819101</v>
      </c>
      <c r="F54" s="20" t="n">
        <v>1.85433149</v>
      </c>
      <c r="G54" s="18" t="n">
        <v>29.79820301</v>
      </c>
      <c r="H54" s="20" t="n">
        <v>1.90560352</v>
      </c>
      <c r="I54" s="18" t="n">
        <v>0</v>
      </c>
      <c r="J54" s="20" t="n">
        <v>0</v>
      </c>
      <c r="K54" s="18" t="n">
        <v>5.45047545</v>
      </c>
      <c r="L54" s="20" t="n">
        <v>0.79124165</v>
      </c>
      <c r="M54" s="18" t="n">
        <v>0</v>
      </c>
      <c r="N54" s="20" t="n">
        <v>0</v>
      </c>
      <c r="O54" s="18" t="n">
        <v>0.77257258</v>
      </c>
      <c r="P54" s="20" t="n">
        <v>0.41315285</v>
      </c>
      <c r="Q54" s="18" t="n">
        <v>21.62055795</v>
      </c>
      <c r="R54" s="20" t="n">
        <v>1.60577361</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(2264.0/B56*100)</f>
        <v/>
      </c>
      <c r="D56" s="19" t="n">
        <v>1079</v>
      </c>
      <c r="E56" s="18" t="n">
        <v>55.20521027</v>
      </c>
      <c r="F56" s="20" t="n">
        <v>1.88546628</v>
      </c>
      <c r="G56" s="18" t="n">
        <v>35.12722454</v>
      </c>
      <c r="H56" s="20" t="n">
        <v>1.85587727</v>
      </c>
      <c r="I56" s="18" t="n">
        <v>0</v>
      </c>
      <c r="J56" s="20" t="n">
        <v>0</v>
      </c>
      <c r="K56" s="18" t="n">
        <v>2.71948324</v>
      </c>
      <c r="L56" s="20" t="n">
        <v>0.56080452</v>
      </c>
      <c r="M56" s="18" t="n">
        <v>0.08619590000000001</v>
      </c>
      <c r="N56" s="20" t="n">
        <v>0.08570000999999999</v>
      </c>
      <c r="O56" s="18" t="n">
        <v>0</v>
      </c>
      <c r="P56" s="20" t="n">
        <v>0</v>
      </c>
      <c r="Q56" s="18" t="n">
        <v>6.86188605</v>
      </c>
      <c r="R56" s="20" t="n">
        <v>1.00827739</v>
      </c>
    </row>
    <row r="57" spans="1:18">
      <c r="A57" s="15" t="s">
        <v>616</v>
      </c>
      <c r="B57" s="17" t="n">
        <v>3737</v>
      </c>
      <c r="C57" s="18">
        <f>(2493.0/B57*100)</f>
        <v/>
      </c>
      <c r="D57" s="19" t="n">
        <v>1244</v>
      </c>
      <c r="E57" s="18" t="n">
        <v>54.37515581</v>
      </c>
      <c r="F57" s="20" t="n">
        <v>1.82317203</v>
      </c>
      <c r="G57" s="18" t="n">
        <v>36.8416578</v>
      </c>
      <c r="H57" s="20" t="n">
        <v>1.9257673</v>
      </c>
      <c r="I57" s="18" t="n">
        <v>0</v>
      </c>
      <c r="J57" s="20" t="n">
        <v>0</v>
      </c>
      <c r="K57" s="18" t="n">
        <v>3.76293968</v>
      </c>
      <c r="L57" s="20" t="n">
        <v>0.6606174299999999</v>
      </c>
      <c r="M57" s="18" t="n">
        <v>0.10258351</v>
      </c>
      <c r="N57" s="20" t="n">
        <v>0.10265228</v>
      </c>
      <c r="O57" s="18" t="n">
        <v>0.13278111</v>
      </c>
      <c r="P57" s="20" t="n">
        <v>0.12358713</v>
      </c>
      <c r="Q57" s="18" t="n">
        <v>4.78488208</v>
      </c>
      <c r="R57" s="20" t="n">
        <v>0.8802635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(1514.0/B59*100)</f>
        <v/>
      </c>
      <c r="D59" s="19" t="n">
        <v>764</v>
      </c>
      <c r="E59" s="18" t="n">
        <v>64.14701710999999</v>
      </c>
      <c r="F59" s="20" t="n">
        <v>2.03236254</v>
      </c>
      <c r="G59" s="18" t="n">
        <v>11.90764569</v>
      </c>
      <c r="H59" s="20" t="n">
        <v>1.51768413</v>
      </c>
      <c r="I59" s="18" t="n">
        <v>0</v>
      </c>
      <c r="J59" s="20" t="n">
        <v>0</v>
      </c>
      <c r="K59" s="18" t="n">
        <v>2.19455641</v>
      </c>
      <c r="L59" s="20" t="n">
        <v>0.64413417</v>
      </c>
      <c r="M59" s="18" t="n">
        <v>0</v>
      </c>
      <c r="N59" s="20" t="n">
        <v>0</v>
      </c>
      <c r="O59" s="18" t="n">
        <v>0</v>
      </c>
      <c r="P59" s="20" t="n">
        <v>0</v>
      </c>
      <c r="Q59" s="18" t="n">
        <v>21.75078078</v>
      </c>
      <c r="R59" s="20" t="n">
        <v>1.98680329</v>
      </c>
    </row>
    <row r="60" spans="1:18">
      <c r="A60" s="15" t="s">
        <v>620</v>
      </c>
      <c r="B60" s="17" t="n">
        <v>2451</v>
      </c>
      <c r="C60" s="18">
        <f>(1608.0/B60*100)</f>
        <v/>
      </c>
      <c r="D60" s="19" t="n">
        <v>843</v>
      </c>
      <c r="E60" s="18" t="n">
        <v>50.95632633</v>
      </c>
      <c r="F60" s="20" t="n">
        <v>1.83436454</v>
      </c>
      <c r="G60" s="18" t="n">
        <v>18.33712108</v>
      </c>
      <c r="H60" s="20" t="n">
        <v>1.47978096</v>
      </c>
      <c r="I60" s="18" t="n">
        <v>0</v>
      </c>
      <c r="J60" s="20" t="n">
        <v>0</v>
      </c>
      <c r="K60" s="18" t="n">
        <v>6.49704403</v>
      </c>
      <c r="L60" s="20" t="n">
        <v>0.8933822300000001</v>
      </c>
      <c r="M60" s="18" t="n">
        <v>0.04618806</v>
      </c>
      <c r="N60" s="20" t="n">
        <v>0.04819529</v>
      </c>
      <c r="O60" s="18" t="n">
        <v>0.49032583</v>
      </c>
      <c r="P60" s="20" t="n">
        <v>0.25514596</v>
      </c>
      <c r="Q60" s="18" t="n">
        <v>23.67299467</v>
      </c>
      <c r="R60" s="20" t="n">
        <v>1.58626826</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(1675.0/B63*100)</f>
        <v/>
      </c>
      <c r="D63" s="19" t="n">
        <v>836</v>
      </c>
      <c r="E63" s="18" t="n">
        <v>44.64399734</v>
      </c>
      <c r="F63" s="20" t="n">
        <v>1.84000753</v>
      </c>
      <c r="G63" s="18" t="n">
        <v>23.67998316</v>
      </c>
      <c r="H63" s="20" t="n">
        <v>1.52719569</v>
      </c>
      <c r="I63" s="18" t="n">
        <v>0</v>
      </c>
      <c r="J63" s="20" t="n">
        <v>0</v>
      </c>
      <c r="K63" s="18" t="n">
        <v>3.99527498</v>
      </c>
      <c r="L63" s="20" t="n">
        <v>0.80885129</v>
      </c>
      <c r="M63" s="18" t="n">
        <v>0</v>
      </c>
      <c r="N63" s="20" t="n">
        <v>0</v>
      </c>
      <c r="O63" s="18" t="n">
        <v>0</v>
      </c>
      <c r="P63" s="20" t="n">
        <v>0</v>
      </c>
      <c r="Q63" s="18" t="n">
        <v>27.68074452</v>
      </c>
      <c r="R63" s="20" t="n">
        <v>1.55108236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(1190.0/B65*100)</f>
        <v/>
      </c>
      <c r="D65" s="19" t="n">
        <v>600</v>
      </c>
      <c r="E65" s="18" t="n">
        <v>57.44785509</v>
      </c>
      <c r="F65" s="20" t="n">
        <v>1.9778822</v>
      </c>
      <c r="G65" s="18" t="n">
        <v>32.13833435</v>
      </c>
      <c r="H65" s="20" t="n">
        <v>1.52459684</v>
      </c>
      <c r="I65" s="18" t="n">
        <v>0</v>
      </c>
      <c r="J65" s="20" t="n">
        <v>0</v>
      </c>
      <c r="K65" s="18" t="n">
        <v>3.13882416</v>
      </c>
      <c r="L65" s="20" t="n">
        <v>0.74842938</v>
      </c>
      <c r="M65" s="18" t="n">
        <v>0</v>
      </c>
      <c r="N65" s="20" t="n">
        <v>0</v>
      </c>
      <c r="O65" s="18" t="n">
        <v>0</v>
      </c>
      <c r="P65" s="20" t="n">
        <v>0</v>
      </c>
      <c r="Q65" s="18" t="n">
        <v>7.2749864</v>
      </c>
      <c r="R65" s="20" t="n">
        <v>1.18973022</v>
      </c>
    </row>
    <row r="66" spans="1:18">
      <c r="A66" s="15" t="s">
        <v>626</v>
      </c>
      <c r="B66" s="17" t="n">
        <v>2634</v>
      </c>
      <c r="C66" s="18">
        <f>(1747.0/B66*100)</f>
        <v/>
      </c>
      <c r="D66" s="19" t="n">
        <v>887</v>
      </c>
      <c r="E66" s="18" t="n">
        <v>46.81392364</v>
      </c>
      <c r="F66" s="20" t="n">
        <v>2.07755221</v>
      </c>
      <c r="G66" s="18" t="n">
        <v>34.94521185</v>
      </c>
      <c r="H66" s="20" t="n">
        <v>1.9017511</v>
      </c>
      <c r="I66" s="18" t="n">
        <v>0</v>
      </c>
      <c r="J66" s="20" t="n">
        <v>0</v>
      </c>
      <c r="K66" s="18" t="n">
        <v>7.21101285</v>
      </c>
      <c r="L66" s="20" t="n">
        <v>1.12667094</v>
      </c>
      <c r="M66" s="18" t="n">
        <v>0.6557079099999999</v>
      </c>
      <c r="N66" s="20" t="n">
        <v>0.26932495</v>
      </c>
      <c r="O66" s="18" t="n">
        <v>0</v>
      </c>
      <c r="P66" s="20" t="n">
        <v>0</v>
      </c>
      <c r="Q66" s="18" t="n">
        <v>10.37414375</v>
      </c>
      <c r="R66" s="20" t="n">
        <v>1.08433008</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(482.0/B69*100)</f>
        <v/>
      </c>
      <c r="D69" s="19" t="n">
        <v>238</v>
      </c>
      <c r="E69" s="18" t="n">
        <v>65.73135988999999</v>
      </c>
      <c r="F69" s="20" t="n">
        <v>3.19680016</v>
      </c>
      <c r="G69" s="18" t="n">
        <v>28.10987919</v>
      </c>
      <c r="H69" s="20" t="n">
        <v>3.12465986</v>
      </c>
      <c r="I69" s="18" t="n">
        <v>0</v>
      </c>
      <c r="J69" s="20" t="n">
        <v>0</v>
      </c>
      <c r="K69" s="18" t="n">
        <v>0.78865843</v>
      </c>
      <c r="L69" s="20" t="n">
        <v>0.53994709</v>
      </c>
      <c r="M69" s="18" t="n">
        <v>0</v>
      </c>
      <c r="N69" s="20" t="n">
        <v>0</v>
      </c>
      <c r="O69" s="18" t="n">
        <v>0</v>
      </c>
      <c r="P69" s="20" t="n">
        <v>0</v>
      </c>
      <c r="Q69" s="18" t="n">
        <v>5.37010248</v>
      </c>
      <c r="R69" s="20" t="n">
        <v>1.7905071</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(1643.0/B71*100)</f>
        <v/>
      </c>
      <c r="D71" s="19" t="n">
        <v>823</v>
      </c>
      <c r="E71" s="18" t="n">
        <v>60.93945764</v>
      </c>
      <c r="F71" s="20" t="n">
        <v>1.80709881</v>
      </c>
      <c r="G71" s="18" t="n">
        <v>38.704815</v>
      </c>
      <c r="H71" s="20" t="n">
        <v>1.81132519</v>
      </c>
      <c r="I71" s="18" t="n">
        <v>0</v>
      </c>
      <c r="J71" s="20" t="n">
        <v>0</v>
      </c>
      <c r="K71" s="18" t="n">
        <v>0.13233748</v>
      </c>
      <c r="L71" s="20" t="n">
        <v>0.13226401</v>
      </c>
      <c r="M71" s="18" t="n">
        <v>0</v>
      </c>
      <c r="N71" s="20" t="n">
        <v>0</v>
      </c>
      <c r="O71" s="18" t="n">
        <v>0</v>
      </c>
      <c r="P71" s="20" t="n">
        <v>0</v>
      </c>
      <c r="Q71" s="18" t="n">
        <v>0.22338987</v>
      </c>
      <c r="R71" s="20" t="n">
        <v>0.15855271</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(1640.0/B76*100)</f>
        <v/>
      </c>
      <c r="D76" s="19" t="n">
        <v>813</v>
      </c>
      <c r="E76" s="18" t="n">
        <v>41.49436921</v>
      </c>
      <c r="F76" s="20" t="n">
        <v>1.87014203</v>
      </c>
      <c r="G76" s="18" t="n">
        <v>34.99972727</v>
      </c>
      <c r="H76" s="20" t="n">
        <v>1.67870898</v>
      </c>
      <c r="I76" s="18" t="n">
        <v>0</v>
      </c>
      <c r="J76" s="20" t="n">
        <v>0</v>
      </c>
      <c r="K76" s="18" t="n">
        <v>7.6302083</v>
      </c>
      <c r="L76" s="20" t="n">
        <v>1.08934691</v>
      </c>
      <c r="M76" s="18" t="n">
        <v>0</v>
      </c>
      <c r="N76" s="20" t="n">
        <v>0</v>
      </c>
      <c r="O76" s="18" t="n">
        <v>0</v>
      </c>
      <c r="P76" s="20" t="n">
        <v>0</v>
      </c>
      <c r="Q76" s="18" t="n">
        <v>15.87569523</v>
      </c>
      <c r="R76" s="20" t="n">
        <v>1.4582427</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(2033.0/B80*100)</f>
        <v/>
      </c>
      <c r="D80" s="19" t="n">
        <v>1007</v>
      </c>
      <c r="E80" s="18" t="n">
        <v>33.30017929</v>
      </c>
      <c r="F80" s="20" t="n">
        <v>1.92308074</v>
      </c>
      <c r="G80" s="18" t="n">
        <v>64.95496321</v>
      </c>
      <c r="H80" s="20" t="n">
        <v>2.03405339</v>
      </c>
      <c r="I80" s="18" t="n">
        <v>0</v>
      </c>
      <c r="J80" s="20" t="n">
        <v>0</v>
      </c>
      <c r="K80" s="18" t="n">
        <v>0</v>
      </c>
      <c r="L80" s="20" t="n">
        <v>0</v>
      </c>
      <c r="M80" s="18" t="n">
        <v>0</v>
      </c>
      <c r="N80" s="20" t="n">
        <v>0</v>
      </c>
      <c r="O80" s="18" t="n">
        <v>0</v>
      </c>
      <c r="P80" s="20" t="n">
        <v>0</v>
      </c>
      <c r="Q80" s="18" t="n">
        <v>1.7448575</v>
      </c>
      <c r="R80" s="20" t="n">
        <v>0.5955997200000001</v>
      </c>
    </row>
    <row r="81" spans="1:18">
      <c r="A81" s="15" t="s">
        <v>641</v>
      </c>
      <c r="B81" s="17" t="n">
        <v>870</v>
      </c>
      <c r="C81" s="18">
        <f>(577.0/B81*100)</f>
        <v/>
      </c>
      <c r="D81" s="19" t="n">
        <v>293</v>
      </c>
      <c r="E81" s="18" t="n">
        <v>33.34741886</v>
      </c>
      <c r="F81" s="20" t="n">
        <v>3.85270575</v>
      </c>
      <c r="G81" s="18" t="n">
        <v>53.90327025</v>
      </c>
      <c r="H81" s="20" t="n">
        <v>4.08486762</v>
      </c>
      <c r="I81" s="18" t="n">
        <v>0</v>
      </c>
      <c r="J81" s="20" t="n">
        <v>0</v>
      </c>
      <c r="K81" s="18" t="n">
        <v>5.16748646</v>
      </c>
      <c r="L81" s="20" t="n">
        <v>1.5600655</v>
      </c>
      <c r="M81" s="18" t="n">
        <v>0</v>
      </c>
      <c r="N81" s="20" t="n">
        <v>0</v>
      </c>
      <c r="O81" s="18" t="n">
        <v>0</v>
      </c>
      <c r="P81" s="20" t="n">
        <v>0</v>
      </c>
      <c r="Q81" s="18" t="n">
        <v>7.58182443</v>
      </c>
      <c r="R81" s="20" t="n">
        <v>1.49340501</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(1782.0/B44*100)</f>
        <v/>
      </c>
      <c r="D44" s="19" t="n">
        <v>909</v>
      </c>
      <c r="E44" s="18" t="n">
        <v>38.80803064</v>
      </c>
      <c r="F44" s="20" t="n">
        <v>2.0093467</v>
      </c>
      <c r="G44" s="18" t="n">
        <v>55.54682004</v>
      </c>
      <c r="H44" s="20" t="n">
        <v>2.03036011</v>
      </c>
      <c r="I44" s="18" t="n">
        <v>0</v>
      </c>
      <c r="J44" s="20" t="n">
        <v>0</v>
      </c>
      <c r="K44" s="18" t="n">
        <v>4.15380599</v>
      </c>
      <c r="L44" s="20" t="n">
        <v>0.69045548</v>
      </c>
      <c r="M44" s="18" t="n">
        <v>0</v>
      </c>
      <c r="N44" s="20" t="n">
        <v>0</v>
      </c>
      <c r="O44" s="18" t="n">
        <v>0</v>
      </c>
      <c r="P44" s="20" t="n">
        <v>0</v>
      </c>
      <c r="Q44" s="18" t="n">
        <v>1.49134333</v>
      </c>
      <c r="R44" s="20" t="n">
        <v>0.44669117</v>
      </c>
    </row>
    <row r="45" spans="1:18">
      <c r="A45" s="15" t="s">
        <v>604</v>
      </c>
      <c r="B45" s="17" t="n">
        <v>2670</v>
      </c>
      <c r="C45" s="18">
        <f>(1779.0/B45*100)</f>
        <v/>
      </c>
      <c r="D45" s="19" t="n">
        <v>891</v>
      </c>
      <c r="E45" s="18" t="n">
        <v>57.09429204</v>
      </c>
      <c r="F45" s="20" t="n">
        <v>2.02506661</v>
      </c>
      <c r="G45" s="18" t="n">
        <v>29.45027449</v>
      </c>
      <c r="H45" s="20" t="n">
        <v>2.04098906</v>
      </c>
      <c r="I45" s="18" t="n">
        <v>0</v>
      </c>
      <c r="J45" s="20" t="n">
        <v>0</v>
      </c>
      <c r="K45" s="18" t="n">
        <v>11.242391</v>
      </c>
      <c r="L45" s="20" t="n">
        <v>1.16611849</v>
      </c>
      <c r="M45" s="18" t="n">
        <v>0.4237429</v>
      </c>
      <c r="N45" s="20" t="n">
        <v>0.21445776</v>
      </c>
      <c r="O45" s="18" t="n">
        <v>0.08446819999999999</v>
      </c>
      <c r="P45" s="20" t="n">
        <v>0.08206198000000001</v>
      </c>
      <c r="Q45" s="18" t="n">
        <v>1.70483136</v>
      </c>
      <c r="R45" s="20" t="n">
        <v>0.4357108</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(1715.0/B54*100)</f>
        <v/>
      </c>
      <c r="D54" s="19" t="n">
        <v>842</v>
      </c>
      <c r="E54" s="18" t="n">
        <v>36.78972426</v>
      </c>
      <c r="F54" s="20" t="n">
        <v>1.74877689</v>
      </c>
      <c r="G54" s="18" t="n">
        <v>56.6998729</v>
      </c>
      <c r="H54" s="20" t="n">
        <v>1.89509862</v>
      </c>
      <c r="I54" s="18" t="n">
        <v>0</v>
      </c>
      <c r="J54" s="20" t="n">
        <v>0</v>
      </c>
      <c r="K54" s="18" t="n">
        <v>5.71896932</v>
      </c>
      <c r="L54" s="20" t="n">
        <v>0.82207274</v>
      </c>
      <c r="M54" s="18" t="n">
        <v>0</v>
      </c>
      <c r="N54" s="20" t="n">
        <v>0</v>
      </c>
      <c r="O54" s="18" t="n">
        <v>0</v>
      </c>
      <c r="P54" s="20" t="n">
        <v>0</v>
      </c>
      <c r="Q54" s="18" t="n">
        <v>0.7914335300000001</v>
      </c>
      <c r="R54" s="20" t="n">
        <v>0.33441002</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(2264.0/B56*100)</f>
        <v/>
      </c>
      <c r="D56" s="19" t="n">
        <v>1079</v>
      </c>
      <c r="E56" s="18" t="n">
        <v>58.66764118</v>
      </c>
      <c r="F56" s="20" t="n">
        <v>1.74946117</v>
      </c>
      <c r="G56" s="18" t="n">
        <v>37.57485882</v>
      </c>
      <c r="H56" s="20" t="n">
        <v>1.69577935</v>
      </c>
      <c r="I56" s="18" t="n">
        <v>0</v>
      </c>
      <c r="J56" s="20" t="n">
        <v>0</v>
      </c>
      <c r="K56" s="18" t="n">
        <v>3.32190041</v>
      </c>
      <c r="L56" s="20" t="n">
        <v>0.58887444</v>
      </c>
      <c r="M56" s="18" t="n">
        <v>0.08619590000000001</v>
      </c>
      <c r="N56" s="20" t="n">
        <v>0.08570000999999999</v>
      </c>
      <c r="O56" s="18" t="n">
        <v>0</v>
      </c>
      <c r="P56" s="20" t="n">
        <v>0</v>
      </c>
      <c r="Q56" s="18" t="n">
        <v>0.34940369</v>
      </c>
      <c r="R56" s="20" t="n">
        <v>0.16209927</v>
      </c>
    </row>
    <row r="57" spans="1:18">
      <c r="A57" s="15" t="s">
        <v>616</v>
      </c>
      <c r="B57" s="17" t="n">
        <v>3737</v>
      </c>
      <c r="C57" s="18">
        <f>(2493.0/B57*100)</f>
        <v/>
      </c>
      <c r="D57" s="19" t="n">
        <v>1244</v>
      </c>
      <c r="E57" s="18" t="n">
        <v>33.1793198</v>
      </c>
      <c r="F57" s="20" t="n">
        <v>1.7883882</v>
      </c>
      <c r="G57" s="18" t="n">
        <v>62.22856565</v>
      </c>
      <c r="H57" s="20" t="n">
        <v>1.88440931</v>
      </c>
      <c r="I57" s="18" t="n">
        <v>0</v>
      </c>
      <c r="J57" s="20" t="n">
        <v>0</v>
      </c>
      <c r="K57" s="18" t="n">
        <v>4.04070824</v>
      </c>
      <c r="L57" s="20" t="n">
        <v>0.69827436</v>
      </c>
      <c r="M57" s="18" t="n">
        <v>0.10258351</v>
      </c>
      <c r="N57" s="20" t="n">
        <v>0.10265228</v>
      </c>
      <c r="O57" s="18" t="n">
        <v>0</v>
      </c>
      <c r="P57" s="20" t="n">
        <v>0</v>
      </c>
      <c r="Q57" s="18" t="n">
        <v>0.44882278</v>
      </c>
      <c r="R57" s="20" t="n">
        <v>0.19918488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(1514.0/B59*100)</f>
        <v/>
      </c>
      <c r="D59" s="19" t="n">
        <v>764</v>
      </c>
      <c r="E59" s="18" t="n">
        <v>66.70490045</v>
      </c>
      <c r="F59" s="20" t="n">
        <v>2.29060703</v>
      </c>
      <c r="G59" s="18" t="n">
        <v>30.94452221</v>
      </c>
      <c r="H59" s="20" t="n">
        <v>2.1764069</v>
      </c>
      <c r="I59" s="18" t="n">
        <v>0</v>
      </c>
      <c r="J59" s="20" t="n">
        <v>0</v>
      </c>
      <c r="K59" s="18" t="n">
        <v>2.19455641</v>
      </c>
      <c r="L59" s="20" t="n">
        <v>0.64413417</v>
      </c>
      <c r="M59" s="18" t="n">
        <v>0</v>
      </c>
      <c r="N59" s="20" t="n">
        <v>0</v>
      </c>
      <c r="O59" s="18" t="n">
        <v>0</v>
      </c>
      <c r="P59" s="20" t="n">
        <v>0</v>
      </c>
      <c r="Q59" s="18" t="n">
        <v>0.15602094</v>
      </c>
      <c r="R59" s="20" t="n">
        <v>0.12293878</v>
      </c>
    </row>
    <row r="60" spans="1:18">
      <c r="A60" s="15" t="s">
        <v>620</v>
      </c>
      <c r="B60" s="17" t="n">
        <v>2451</v>
      </c>
      <c r="C60" s="18">
        <f>(1608.0/B60*100)</f>
        <v/>
      </c>
      <c r="D60" s="19" t="n">
        <v>843</v>
      </c>
      <c r="E60" s="18" t="n">
        <v>47.72207593</v>
      </c>
      <c r="F60" s="20" t="n">
        <v>2.49137898</v>
      </c>
      <c r="G60" s="18" t="n">
        <v>43.43839737</v>
      </c>
      <c r="H60" s="20" t="n">
        <v>2.16255588</v>
      </c>
      <c r="I60" s="18" t="n">
        <v>0</v>
      </c>
      <c r="J60" s="20" t="n">
        <v>0</v>
      </c>
      <c r="K60" s="18" t="n">
        <v>6.49704403</v>
      </c>
      <c r="L60" s="20" t="n">
        <v>0.8933822300000001</v>
      </c>
      <c r="M60" s="18" t="n">
        <v>0</v>
      </c>
      <c r="N60" s="20" t="n">
        <v>0</v>
      </c>
      <c r="O60" s="18" t="n">
        <v>0</v>
      </c>
      <c r="P60" s="20" t="n">
        <v>0</v>
      </c>
      <c r="Q60" s="18" t="n">
        <v>2.34248266</v>
      </c>
      <c r="R60" s="20" t="n">
        <v>0.6383518500000001</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(1675.0/B63*100)</f>
        <v/>
      </c>
      <c r="D63" s="19" t="n">
        <v>836</v>
      </c>
      <c r="E63" s="18" t="n">
        <v>50.89623665</v>
      </c>
      <c r="F63" s="20" t="n">
        <v>1.76752824</v>
      </c>
      <c r="G63" s="18" t="n">
        <v>42.43015294</v>
      </c>
      <c r="H63" s="20" t="n">
        <v>1.76542375</v>
      </c>
      <c r="I63" s="18" t="n">
        <v>0</v>
      </c>
      <c r="J63" s="20" t="n">
        <v>0</v>
      </c>
      <c r="K63" s="18" t="n">
        <v>4.11432562</v>
      </c>
      <c r="L63" s="20" t="n">
        <v>0.8161481900000001</v>
      </c>
      <c r="M63" s="18" t="n">
        <v>0</v>
      </c>
      <c r="N63" s="20" t="n">
        <v>0</v>
      </c>
      <c r="O63" s="18" t="n">
        <v>0</v>
      </c>
      <c r="P63" s="20" t="n">
        <v>0</v>
      </c>
      <c r="Q63" s="18" t="n">
        <v>2.55928479</v>
      </c>
      <c r="R63" s="20" t="n">
        <v>0.68754057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(1190.0/B65*100)</f>
        <v/>
      </c>
      <c r="D65" s="19" t="n">
        <v>600</v>
      </c>
      <c r="E65" s="18" t="n">
        <v>19.57983244</v>
      </c>
      <c r="F65" s="20" t="n">
        <v>1.51345935</v>
      </c>
      <c r="G65" s="18" t="n">
        <v>76.3004518</v>
      </c>
      <c r="H65" s="20" t="n">
        <v>1.67270567</v>
      </c>
      <c r="I65" s="18" t="n">
        <v>0</v>
      </c>
      <c r="J65" s="20" t="n">
        <v>0</v>
      </c>
      <c r="K65" s="18" t="n">
        <v>3.13882416</v>
      </c>
      <c r="L65" s="20" t="n">
        <v>0.74842938</v>
      </c>
      <c r="M65" s="18" t="n">
        <v>0</v>
      </c>
      <c r="N65" s="20" t="n">
        <v>0</v>
      </c>
      <c r="O65" s="18" t="n">
        <v>0</v>
      </c>
      <c r="P65" s="20" t="n">
        <v>0</v>
      </c>
      <c r="Q65" s="18" t="n">
        <v>0.9808916</v>
      </c>
      <c r="R65" s="20" t="n">
        <v>0.39693333</v>
      </c>
    </row>
    <row r="66" spans="1:18">
      <c r="A66" s="15" t="s">
        <v>626</v>
      </c>
      <c r="B66" s="17" t="n">
        <v>2634</v>
      </c>
      <c r="C66" s="18">
        <f>(1747.0/B66*100)</f>
        <v/>
      </c>
      <c r="D66" s="19" t="n">
        <v>887</v>
      </c>
      <c r="E66" s="18" t="n">
        <v>28.30255741</v>
      </c>
      <c r="F66" s="20" t="n">
        <v>1.61922796</v>
      </c>
      <c r="G66" s="18" t="n">
        <v>63.49580528</v>
      </c>
      <c r="H66" s="20" t="n">
        <v>1.71570704</v>
      </c>
      <c r="I66" s="18" t="n">
        <v>0</v>
      </c>
      <c r="J66" s="20" t="n">
        <v>0</v>
      </c>
      <c r="K66" s="18" t="n">
        <v>7.21101285</v>
      </c>
      <c r="L66" s="20" t="n">
        <v>1.12667094</v>
      </c>
      <c r="M66" s="18" t="n">
        <v>0</v>
      </c>
      <c r="N66" s="20" t="n">
        <v>0</v>
      </c>
      <c r="O66" s="18" t="n">
        <v>0</v>
      </c>
      <c r="P66" s="20" t="n">
        <v>0</v>
      </c>
      <c r="Q66" s="18" t="n">
        <v>0.99062446</v>
      </c>
      <c r="R66" s="20" t="n">
        <v>0.2562811</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(482.0/B69*100)</f>
        <v/>
      </c>
      <c r="D69" s="19" t="n">
        <v>238</v>
      </c>
      <c r="E69" s="18" t="n">
        <v>40.03200672</v>
      </c>
      <c r="F69" s="20" t="n">
        <v>3.198817</v>
      </c>
      <c r="G69" s="18" t="n">
        <v>58.18652605</v>
      </c>
      <c r="H69" s="20" t="n">
        <v>3.1563249</v>
      </c>
      <c r="I69" s="18" t="n">
        <v>0</v>
      </c>
      <c r="J69" s="20" t="n">
        <v>0</v>
      </c>
      <c r="K69" s="18" t="n">
        <v>0.78865843</v>
      </c>
      <c r="L69" s="20" t="n">
        <v>0.53994709</v>
      </c>
      <c r="M69" s="18" t="n">
        <v>0</v>
      </c>
      <c r="N69" s="20" t="n">
        <v>0</v>
      </c>
      <c r="O69" s="18" t="n">
        <v>0</v>
      </c>
      <c r="P69" s="20" t="n">
        <v>0</v>
      </c>
      <c r="Q69" s="18" t="n">
        <v>0.9928088</v>
      </c>
      <c r="R69" s="20" t="n">
        <v>0.97845315</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(1643.0/B71*100)</f>
        <v/>
      </c>
      <c r="D71" s="19" t="n">
        <v>823</v>
      </c>
      <c r="E71" s="18" t="n">
        <v>34.88601325</v>
      </c>
      <c r="F71" s="20" t="n">
        <v>1.97425937</v>
      </c>
      <c r="G71" s="18" t="n">
        <v>64.98164927000001</v>
      </c>
      <c r="H71" s="20" t="n">
        <v>1.98495641</v>
      </c>
      <c r="I71" s="18" t="n">
        <v>0</v>
      </c>
      <c r="J71" s="20" t="n">
        <v>0</v>
      </c>
      <c r="K71" s="18" t="n">
        <v>0.13233748</v>
      </c>
      <c r="L71" s="20" t="n">
        <v>0.13226401</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(1640.0/B76*100)</f>
        <v/>
      </c>
      <c r="D76" s="19" t="n">
        <v>813</v>
      </c>
      <c r="E76" s="18" t="n">
        <v>17.6059302</v>
      </c>
      <c r="F76" s="20" t="n">
        <v>1.37110786</v>
      </c>
      <c r="G76" s="18" t="n">
        <v>72.43050444000001</v>
      </c>
      <c r="H76" s="20" t="n">
        <v>1.40921156</v>
      </c>
      <c r="I76" s="18" t="n">
        <v>0</v>
      </c>
      <c r="J76" s="20" t="n">
        <v>0</v>
      </c>
      <c r="K76" s="18" t="n">
        <v>8.36464045</v>
      </c>
      <c r="L76" s="20" t="n">
        <v>1.0609217</v>
      </c>
      <c r="M76" s="18" t="n">
        <v>0</v>
      </c>
      <c r="N76" s="20" t="n">
        <v>0</v>
      </c>
      <c r="O76" s="18" t="n">
        <v>0</v>
      </c>
      <c r="P76" s="20" t="n">
        <v>0</v>
      </c>
      <c r="Q76" s="18" t="n">
        <v>1.59892491</v>
      </c>
      <c r="R76" s="20" t="n">
        <v>0.44303683</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(2033.0/B80*100)</f>
        <v/>
      </c>
      <c r="D80" s="19" t="n">
        <v>1007</v>
      </c>
      <c r="E80" s="18" t="n">
        <v>21.74823485</v>
      </c>
      <c r="F80" s="20" t="n">
        <v>1.78891587</v>
      </c>
      <c r="G80" s="18" t="n">
        <v>78.25176515</v>
      </c>
      <c r="H80" s="20" t="n">
        <v>1.78891587</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(577.0/B81*100)</f>
        <v/>
      </c>
      <c r="D81" s="19" t="n">
        <v>293</v>
      </c>
      <c r="E81" s="18" t="n">
        <v>13.71336236</v>
      </c>
      <c r="F81" s="20" t="n">
        <v>2.17786655</v>
      </c>
      <c r="G81" s="18" t="n">
        <v>80.83999539</v>
      </c>
      <c r="H81" s="20" t="n">
        <v>2.77403698</v>
      </c>
      <c r="I81" s="18" t="n">
        <v>0</v>
      </c>
      <c r="J81" s="20" t="n">
        <v>0</v>
      </c>
      <c r="K81" s="18" t="n">
        <v>5.16748646</v>
      </c>
      <c r="L81" s="20" t="n">
        <v>1.5600655</v>
      </c>
      <c r="M81" s="18" t="n">
        <v>0</v>
      </c>
      <c r="N81" s="20" t="n">
        <v>0</v>
      </c>
      <c r="O81" s="18" t="n">
        <v>0</v>
      </c>
      <c r="P81" s="20" t="n">
        <v>0</v>
      </c>
      <c r="Q81" s="18" t="n">
        <v>0.27915579</v>
      </c>
      <c r="R81" s="20" t="n">
        <v>0.27531688</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(1782.0/B44*100)</f>
        <v/>
      </c>
      <c r="D44" s="19" t="n">
        <v>909</v>
      </c>
      <c r="E44" s="18" t="n">
        <v>36.83872293</v>
      </c>
      <c r="F44" s="20" t="n">
        <v>1.94157479</v>
      </c>
      <c r="G44" s="18" t="n">
        <v>43.00870261</v>
      </c>
      <c r="H44" s="20" t="n">
        <v>2.49444308</v>
      </c>
      <c r="I44" s="18" t="n">
        <v>0</v>
      </c>
      <c r="J44" s="20" t="n">
        <v>0</v>
      </c>
      <c r="K44" s="18" t="n">
        <v>5.29817092</v>
      </c>
      <c r="L44" s="20" t="n">
        <v>0.76288474</v>
      </c>
      <c r="M44" s="18" t="n">
        <v>0</v>
      </c>
      <c r="N44" s="20" t="n">
        <v>0</v>
      </c>
      <c r="O44" s="18" t="n">
        <v>1.47314146</v>
      </c>
      <c r="P44" s="20" t="n">
        <v>0.44889914</v>
      </c>
      <c r="Q44" s="18" t="n">
        <v>13.38126208</v>
      </c>
      <c r="R44" s="20" t="n">
        <v>1.57999725</v>
      </c>
    </row>
    <row r="45" spans="1:18">
      <c r="A45" s="15" t="s">
        <v>604</v>
      </c>
      <c r="B45" s="17" t="n">
        <v>2670</v>
      </c>
      <c r="C45" s="18">
        <f>(1779.0/B45*100)</f>
        <v/>
      </c>
      <c r="D45" s="19" t="n">
        <v>891</v>
      </c>
      <c r="E45" s="18" t="n">
        <v>45.86084065</v>
      </c>
      <c r="F45" s="20" t="n">
        <v>1.85509076</v>
      </c>
      <c r="G45" s="18" t="n">
        <v>26.58856768</v>
      </c>
      <c r="H45" s="20" t="n">
        <v>1.60088408</v>
      </c>
      <c r="I45" s="18" t="n">
        <v>0</v>
      </c>
      <c r="J45" s="20" t="n">
        <v>0</v>
      </c>
      <c r="K45" s="18" t="n">
        <v>12.72663861</v>
      </c>
      <c r="L45" s="20" t="n">
        <v>1.31914634</v>
      </c>
      <c r="M45" s="18" t="n">
        <v>0.86688603</v>
      </c>
      <c r="N45" s="20" t="n">
        <v>0.30669637</v>
      </c>
      <c r="O45" s="18" t="n">
        <v>3.15467931</v>
      </c>
      <c r="P45" s="20" t="n">
        <v>0.63481386</v>
      </c>
      <c r="Q45" s="18" t="n">
        <v>10.80238772</v>
      </c>
      <c r="R45" s="20" t="n">
        <v>1.05228425</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(1715.0/B54*100)</f>
        <v/>
      </c>
      <c r="D54" s="19" t="n">
        <v>842</v>
      </c>
      <c r="E54" s="18" t="n">
        <v>30.54569998</v>
      </c>
      <c r="F54" s="20" t="n">
        <v>1.70079715</v>
      </c>
      <c r="G54" s="18" t="n">
        <v>50.73064118</v>
      </c>
      <c r="H54" s="20" t="n">
        <v>1.99129406</v>
      </c>
      <c r="I54" s="18" t="n">
        <v>0</v>
      </c>
      <c r="J54" s="20" t="n">
        <v>0</v>
      </c>
      <c r="K54" s="18" t="n">
        <v>7.25182361</v>
      </c>
      <c r="L54" s="20" t="n">
        <v>0.90194108</v>
      </c>
      <c r="M54" s="18" t="n">
        <v>0</v>
      </c>
      <c r="N54" s="20" t="n">
        <v>0</v>
      </c>
      <c r="O54" s="18" t="n">
        <v>1.22725962</v>
      </c>
      <c r="P54" s="20" t="n">
        <v>0.42899519</v>
      </c>
      <c r="Q54" s="18" t="n">
        <v>10.24457561</v>
      </c>
      <c r="R54" s="20" t="n">
        <v>1.03330732</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(2264.0/B56*100)</f>
        <v/>
      </c>
      <c r="D56" s="19" t="n">
        <v>1079</v>
      </c>
      <c r="E56" s="18" t="n">
        <v>42.26238684</v>
      </c>
      <c r="F56" s="20" t="n">
        <v>1.582028</v>
      </c>
      <c r="G56" s="18" t="n">
        <v>50.6744808</v>
      </c>
      <c r="H56" s="20" t="n">
        <v>1.57576104</v>
      </c>
      <c r="I56" s="18" t="n">
        <v>0</v>
      </c>
      <c r="J56" s="20" t="n">
        <v>0</v>
      </c>
      <c r="K56" s="18" t="n">
        <v>4.09107596</v>
      </c>
      <c r="L56" s="20" t="n">
        <v>0.6128068800000001</v>
      </c>
      <c r="M56" s="18" t="n">
        <v>0.16818212</v>
      </c>
      <c r="N56" s="20" t="n">
        <v>0.11946254</v>
      </c>
      <c r="O56" s="18" t="n">
        <v>0</v>
      </c>
      <c r="P56" s="20" t="n">
        <v>0</v>
      </c>
      <c r="Q56" s="18" t="n">
        <v>2.80387428</v>
      </c>
      <c r="R56" s="20" t="n">
        <v>0.58001378</v>
      </c>
    </row>
    <row r="57" spans="1:18">
      <c r="A57" s="15" t="s">
        <v>616</v>
      </c>
      <c r="B57" s="17" t="n">
        <v>3737</v>
      </c>
      <c r="C57" s="18">
        <f>(2493.0/B57*100)</f>
        <v/>
      </c>
      <c r="D57" s="19" t="n">
        <v>1244</v>
      </c>
      <c r="E57" s="18" t="n">
        <v>33.9691972</v>
      </c>
      <c r="F57" s="20" t="n">
        <v>1.88344325</v>
      </c>
      <c r="G57" s="18" t="n">
        <v>53.32042</v>
      </c>
      <c r="H57" s="20" t="n">
        <v>2.31788654</v>
      </c>
      <c r="I57" s="18" t="n">
        <v>0</v>
      </c>
      <c r="J57" s="20" t="n">
        <v>0</v>
      </c>
      <c r="K57" s="18" t="n">
        <v>5.29718053</v>
      </c>
      <c r="L57" s="20" t="n">
        <v>0.91663028</v>
      </c>
      <c r="M57" s="18" t="n">
        <v>0</v>
      </c>
      <c r="N57" s="20" t="n">
        <v>0</v>
      </c>
      <c r="O57" s="18" t="n">
        <v>1.19203593</v>
      </c>
      <c r="P57" s="20" t="n">
        <v>0.39484971</v>
      </c>
      <c r="Q57" s="18" t="n">
        <v>6.22116634</v>
      </c>
      <c r="R57" s="20" t="n">
        <v>0.9090024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(1514.0/B59*100)</f>
        <v/>
      </c>
      <c r="D59" s="19" t="n">
        <v>764</v>
      </c>
      <c r="E59" s="18" t="n">
        <v>51.32200045</v>
      </c>
      <c r="F59" s="20" t="n">
        <v>2.01241624</v>
      </c>
      <c r="G59" s="18" t="n">
        <v>34.16129304</v>
      </c>
      <c r="H59" s="20" t="n">
        <v>1.96188286</v>
      </c>
      <c r="I59" s="18" t="n">
        <v>0</v>
      </c>
      <c r="J59" s="20" t="n">
        <v>0</v>
      </c>
      <c r="K59" s="18" t="n">
        <v>3.12310452</v>
      </c>
      <c r="L59" s="20" t="n">
        <v>0.76762798</v>
      </c>
      <c r="M59" s="18" t="n">
        <v>0.3648655</v>
      </c>
      <c r="N59" s="20" t="n">
        <v>0.29746034</v>
      </c>
      <c r="O59" s="18" t="n">
        <v>2.71692779</v>
      </c>
      <c r="P59" s="20" t="n">
        <v>0.8117525</v>
      </c>
      <c r="Q59" s="18" t="n">
        <v>8.311808689999999</v>
      </c>
      <c r="R59" s="20" t="n">
        <v>1.12471864</v>
      </c>
    </row>
    <row r="60" spans="1:18">
      <c r="A60" s="15" t="s">
        <v>620</v>
      </c>
      <c r="B60" s="17" t="n">
        <v>2451</v>
      </c>
      <c r="C60" s="18">
        <f>(1608.0/B60*100)</f>
        <v/>
      </c>
      <c r="D60" s="19" t="n">
        <v>843</v>
      </c>
      <c r="E60" s="18" t="n">
        <v>37.58403046</v>
      </c>
      <c r="F60" s="20" t="n">
        <v>2.1398367</v>
      </c>
      <c r="G60" s="18" t="n">
        <v>38.01175663</v>
      </c>
      <c r="H60" s="20" t="n">
        <v>2.18045205</v>
      </c>
      <c r="I60" s="18" t="n">
        <v>0</v>
      </c>
      <c r="J60" s="20" t="n">
        <v>0</v>
      </c>
      <c r="K60" s="18" t="n">
        <v>9.13277341</v>
      </c>
      <c r="L60" s="20" t="n">
        <v>1.04038203</v>
      </c>
      <c r="M60" s="18" t="n">
        <v>0</v>
      </c>
      <c r="N60" s="20" t="n">
        <v>0</v>
      </c>
      <c r="O60" s="18" t="n">
        <v>1.90575112</v>
      </c>
      <c r="P60" s="20" t="n">
        <v>0.7700077</v>
      </c>
      <c r="Q60" s="18" t="n">
        <v>13.36568838</v>
      </c>
      <c r="R60" s="20" t="n">
        <v>1.41199435</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(1675.0/B63*100)</f>
        <v/>
      </c>
      <c r="D63" s="19" t="n">
        <v>836</v>
      </c>
      <c r="E63" s="18" t="n">
        <v>39.59314967</v>
      </c>
      <c r="F63" s="20" t="n">
        <v>1.63729348</v>
      </c>
      <c r="G63" s="18" t="n">
        <v>35.02372112</v>
      </c>
      <c r="H63" s="20" t="n">
        <v>1.6701042</v>
      </c>
      <c r="I63" s="18" t="n">
        <v>0</v>
      </c>
      <c r="J63" s="20" t="n">
        <v>0</v>
      </c>
      <c r="K63" s="18" t="n">
        <v>5.62322029</v>
      </c>
      <c r="L63" s="20" t="n">
        <v>0.90523516</v>
      </c>
      <c r="M63" s="18" t="n">
        <v>0</v>
      </c>
      <c r="N63" s="20" t="n">
        <v>0</v>
      </c>
      <c r="O63" s="18" t="n">
        <v>1.14027666</v>
      </c>
      <c r="P63" s="20" t="n">
        <v>0.34522606</v>
      </c>
      <c r="Q63" s="18" t="n">
        <v>18.61963226</v>
      </c>
      <c r="R63" s="20" t="n">
        <v>1.3951121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(1190.0/B65*100)</f>
        <v/>
      </c>
      <c r="D65" s="19" t="n">
        <v>600</v>
      </c>
      <c r="E65" s="18" t="n">
        <v>32.16092298</v>
      </c>
      <c r="F65" s="20" t="n">
        <v>1.80634993</v>
      </c>
      <c r="G65" s="18" t="n">
        <v>58.92743188</v>
      </c>
      <c r="H65" s="20" t="n">
        <v>1.73553201</v>
      </c>
      <c r="I65" s="18" t="n">
        <v>0</v>
      </c>
      <c r="J65" s="20" t="n">
        <v>0</v>
      </c>
      <c r="K65" s="18" t="n">
        <v>3.50761106</v>
      </c>
      <c r="L65" s="20" t="n">
        <v>0.79685344</v>
      </c>
      <c r="M65" s="18" t="n">
        <v>0</v>
      </c>
      <c r="N65" s="20" t="n">
        <v>0</v>
      </c>
      <c r="O65" s="18" t="n">
        <v>0</v>
      </c>
      <c r="P65" s="20" t="n">
        <v>0</v>
      </c>
      <c r="Q65" s="18" t="n">
        <v>5.40403408</v>
      </c>
      <c r="R65" s="20" t="n">
        <v>0.86605613</v>
      </c>
    </row>
    <row r="66" spans="1:18">
      <c r="A66" s="15" t="s">
        <v>626</v>
      </c>
      <c r="B66" s="17" t="n">
        <v>2634</v>
      </c>
      <c r="C66" s="18">
        <f>(1747.0/B66*100)</f>
        <v/>
      </c>
      <c r="D66" s="19" t="n">
        <v>887</v>
      </c>
      <c r="E66" s="18" t="n">
        <v>31.22000894</v>
      </c>
      <c r="F66" s="20" t="n">
        <v>1.84053769</v>
      </c>
      <c r="G66" s="18" t="n">
        <v>49.45461512</v>
      </c>
      <c r="H66" s="20" t="n">
        <v>1.83669489</v>
      </c>
      <c r="I66" s="18" t="n">
        <v>0</v>
      </c>
      <c r="J66" s="20" t="n">
        <v>0</v>
      </c>
      <c r="K66" s="18" t="n">
        <v>9.40347556</v>
      </c>
      <c r="L66" s="20" t="n">
        <v>1.27387875</v>
      </c>
      <c r="M66" s="18" t="n">
        <v>3.42431939</v>
      </c>
      <c r="N66" s="20" t="n">
        <v>0.63150744</v>
      </c>
      <c r="O66" s="18" t="n">
        <v>0.03730035</v>
      </c>
      <c r="P66" s="20" t="n">
        <v>0.02640428</v>
      </c>
      <c r="Q66" s="18" t="n">
        <v>6.46028064</v>
      </c>
      <c r="R66" s="20" t="n">
        <v>0.84206822</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(482.0/B69*100)</f>
        <v/>
      </c>
      <c r="D69" s="19" t="n">
        <v>238</v>
      </c>
      <c r="E69" s="18" t="n">
        <v>43.38206492</v>
      </c>
      <c r="F69" s="20" t="n">
        <v>3.27148367</v>
      </c>
      <c r="G69" s="18" t="n">
        <v>50.88564338</v>
      </c>
      <c r="H69" s="20" t="n">
        <v>3.31502399</v>
      </c>
      <c r="I69" s="18" t="n">
        <v>0</v>
      </c>
      <c r="J69" s="20" t="n">
        <v>0</v>
      </c>
      <c r="K69" s="18" t="n">
        <v>0.78865843</v>
      </c>
      <c r="L69" s="20" t="n">
        <v>0.53994709</v>
      </c>
      <c r="M69" s="18" t="n">
        <v>0</v>
      </c>
      <c r="N69" s="20" t="n">
        <v>0</v>
      </c>
      <c r="O69" s="18" t="n">
        <v>0.38335393</v>
      </c>
      <c r="P69" s="20" t="n">
        <v>0.36125118</v>
      </c>
      <c r="Q69" s="18" t="n">
        <v>4.56027933</v>
      </c>
      <c r="R69" s="20" t="n">
        <v>1.19915632</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(1643.0/B71*100)</f>
        <v/>
      </c>
      <c r="D71" s="19" t="n">
        <v>823</v>
      </c>
      <c r="E71" s="18" t="n">
        <v>46.76837163</v>
      </c>
      <c r="F71" s="20" t="n">
        <v>1.96553737</v>
      </c>
      <c r="G71" s="18" t="n">
        <v>52.98336246</v>
      </c>
      <c r="H71" s="20" t="n">
        <v>1.96107043</v>
      </c>
      <c r="I71" s="18" t="n">
        <v>0</v>
      </c>
      <c r="J71" s="20" t="n">
        <v>0</v>
      </c>
      <c r="K71" s="18" t="n">
        <v>0.13233748</v>
      </c>
      <c r="L71" s="20" t="n">
        <v>0.13226401</v>
      </c>
      <c r="M71" s="18" t="n">
        <v>0</v>
      </c>
      <c r="N71" s="20" t="n">
        <v>0</v>
      </c>
      <c r="O71" s="18" t="n">
        <v>0</v>
      </c>
      <c r="P71" s="20" t="n">
        <v>0</v>
      </c>
      <c r="Q71" s="18" t="n">
        <v>0.11592843</v>
      </c>
      <c r="R71" s="20" t="n">
        <v>0.1161659</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(1640.0/B76*100)</f>
        <v/>
      </c>
      <c r="D76" s="19" t="n">
        <v>813</v>
      </c>
      <c r="E76" s="18" t="n">
        <v>23.66606726</v>
      </c>
      <c r="F76" s="20" t="n">
        <v>1.99394881</v>
      </c>
      <c r="G76" s="18" t="n">
        <v>56.93528356</v>
      </c>
      <c r="H76" s="20" t="n">
        <v>2.35333142</v>
      </c>
      <c r="I76" s="18" t="n">
        <v>0</v>
      </c>
      <c r="J76" s="20" t="n">
        <v>0</v>
      </c>
      <c r="K76" s="18" t="n">
        <v>10.11270553</v>
      </c>
      <c r="L76" s="20" t="n">
        <v>1.19377539</v>
      </c>
      <c r="M76" s="18" t="n">
        <v>0</v>
      </c>
      <c r="N76" s="20" t="n">
        <v>0</v>
      </c>
      <c r="O76" s="18" t="n">
        <v>0.23680107</v>
      </c>
      <c r="P76" s="20" t="n">
        <v>0.18215575</v>
      </c>
      <c r="Q76" s="18" t="n">
        <v>9.04914258</v>
      </c>
      <c r="R76" s="20" t="n">
        <v>1.34320724</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(2033.0/B80*100)</f>
        <v/>
      </c>
      <c r="D80" s="19" t="n">
        <v>1007</v>
      </c>
      <c r="E80" s="18" t="n">
        <v>25.19278786</v>
      </c>
      <c r="F80" s="20" t="n">
        <v>1.55048434</v>
      </c>
      <c r="G80" s="18" t="n">
        <v>74.52220661</v>
      </c>
      <c r="H80" s="20" t="n">
        <v>1.52453464</v>
      </c>
      <c r="I80" s="18" t="n">
        <v>0</v>
      </c>
      <c r="J80" s="20" t="n">
        <v>0</v>
      </c>
      <c r="K80" s="18" t="n">
        <v>0</v>
      </c>
      <c r="L80" s="20" t="n">
        <v>0</v>
      </c>
      <c r="M80" s="18" t="n">
        <v>0</v>
      </c>
      <c r="N80" s="20" t="n">
        <v>0</v>
      </c>
      <c r="O80" s="18" t="n">
        <v>0.09513000000000001</v>
      </c>
      <c r="P80" s="20" t="n">
        <v>0.09476511</v>
      </c>
      <c r="Q80" s="18" t="n">
        <v>0.18987553</v>
      </c>
      <c r="R80" s="20" t="n">
        <v>0.13478128</v>
      </c>
    </row>
    <row r="81" spans="1:18">
      <c r="A81" s="15" t="s">
        <v>641</v>
      </c>
      <c r="B81" s="17" t="n">
        <v>870</v>
      </c>
      <c r="C81" s="18">
        <f>(577.0/B81*100)</f>
        <v/>
      </c>
      <c r="D81" s="19" t="n">
        <v>293</v>
      </c>
      <c r="E81" s="18" t="n">
        <v>31.35432609</v>
      </c>
      <c r="F81" s="20" t="n">
        <v>2.80119008</v>
      </c>
      <c r="G81" s="18" t="n">
        <v>57.25874601</v>
      </c>
      <c r="H81" s="20" t="n">
        <v>3.31708105</v>
      </c>
      <c r="I81" s="18" t="n">
        <v>0</v>
      </c>
      <c r="J81" s="20" t="n">
        <v>0</v>
      </c>
      <c r="K81" s="18" t="n">
        <v>7.11574516</v>
      </c>
      <c r="L81" s="20" t="n">
        <v>1.86277089</v>
      </c>
      <c r="M81" s="18" t="n">
        <v>0.17287276</v>
      </c>
      <c r="N81" s="20" t="n">
        <v>0.18443716</v>
      </c>
      <c r="O81" s="18" t="n">
        <v>0.88549571</v>
      </c>
      <c r="P81" s="20" t="n">
        <v>0.52222792</v>
      </c>
      <c r="Q81" s="18" t="n">
        <v>3.21281428</v>
      </c>
      <c r="R81" s="20" t="n">
        <v>0.9177685799999999</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5.xml><?xml version="1.0" encoding="utf-8"?>
<worksheet xmlns="http://schemas.openxmlformats.org/spreadsheetml/2006/main">
  <sheetPr>
    <outlinePr summaryBelow="1" summaryRight="1"/>
    <pageSetUpPr/>
  </sheetPr>
  <dimension ref="A1:V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901</v>
      </c>
    </row>
    <row customHeight="1" ht="30" r="4" spans="1:22">
      <c r="A4" s="6" t="n"/>
      <c r="B4" s="7" t="s">
        <v>551</v>
      </c>
      <c r="C4" s="7" t="s">
        <v>552</v>
      </c>
      <c r="D4" s="8" t="s">
        <v>551</v>
      </c>
      <c r="E4" s="9" t="s">
        <v>655</v>
      </c>
      <c r="F4" s="10" t="n"/>
      <c r="G4" s="9" t="s">
        <v>853</v>
      </c>
      <c r="H4" s="10" t="n"/>
      <c r="I4" s="9" t="s">
        <v>657</v>
      </c>
      <c r="J4" s="10" t="n"/>
      <c r="K4" s="9" t="s">
        <v>658</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row>
    <row r="6" spans="1:22">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c r="U7" s="18" t="s">
        <v>603</v>
      </c>
      <c r="V7" s="20" t="s">
        <v>603</v>
      </c>
    </row>
    <row r="8" spans="1:22">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c r="U8" s="18" t="s">
        <v>603</v>
      </c>
      <c r="V8" s="20" t="s">
        <v>603</v>
      </c>
    </row>
    <row r="9" spans="1:22">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c r="U9" s="18" t="s">
        <v>603</v>
      </c>
      <c r="V9" s="20" t="s">
        <v>603</v>
      </c>
    </row>
    <row r="10" spans="1:22">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c r="U10" s="18" t="s">
        <v>603</v>
      </c>
      <c r="V10" s="20" t="s">
        <v>603</v>
      </c>
    </row>
    <row r="11" spans="1:22">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c r="U11" s="18" t="s">
        <v>603</v>
      </c>
      <c r="V11" s="20" t="s">
        <v>603</v>
      </c>
    </row>
    <row r="12" spans="1:22">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c r="U12" s="18" t="s">
        <v>603</v>
      </c>
      <c r="V12" s="20" t="s">
        <v>603</v>
      </c>
    </row>
    <row r="13" spans="1:22">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c r="U13" s="18" t="s">
        <v>603</v>
      </c>
      <c r="V13" s="20" t="s">
        <v>603</v>
      </c>
    </row>
    <row r="14" spans="1:22">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c r="U14" s="18" t="s">
        <v>603</v>
      </c>
      <c r="V14" s="20" t="s">
        <v>603</v>
      </c>
    </row>
    <row r="15" spans="1:22">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c r="U15" s="18" t="s">
        <v>603</v>
      </c>
      <c r="V15" s="20" t="s">
        <v>603</v>
      </c>
    </row>
    <row r="16" spans="1:22">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c r="U16" s="18" t="s">
        <v>603</v>
      </c>
      <c r="V16" s="20" t="s">
        <v>603</v>
      </c>
    </row>
    <row r="17" spans="1:22">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c r="U17" s="18" t="s">
        <v>603</v>
      </c>
      <c r="V17" s="20" t="s">
        <v>603</v>
      </c>
    </row>
    <row r="18" spans="1:22">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c r="U18" s="18" t="s">
        <v>603</v>
      </c>
      <c r="V18" s="20" t="s">
        <v>603</v>
      </c>
    </row>
    <row r="19" spans="1:22">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c r="U19" s="18" t="s">
        <v>603</v>
      </c>
      <c r="V19" s="20" t="s">
        <v>603</v>
      </c>
    </row>
    <row r="20" spans="1:22">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c r="U20" s="18" t="s">
        <v>603</v>
      </c>
      <c r="V20" s="20" t="s">
        <v>603</v>
      </c>
    </row>
    <row r="21" spans="1:22">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c r="U21" s="18" t="s">
        <v>603</v>
      </c>
      <c r="V21" s="20" t="s">
        <v>603</v>
      </c>
    </row>
    <row r="22" spans="1:22">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c r="U22" s="18" t="s">
        <v>603</v>
      </c>
      <c r="V22" s="20" t="s">
        <v>603</v>
      </c>
    </row>
    <row r="23" spans="1:22">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c r="U23" s="18" t="s">
        <v>603</v>
      </c>
      <c r="V23" s="20" t="s">
        <v>603</v>
      </c>
    </row>
    <row r="24" spans="1:22">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c r="U24" s="18" t="s">
        <v>603</v>
      </c>
      <c r="V24" s="20" t="s">
        <v>603</v>
      </c>
    </row>
    <row r="25" spans="1:22">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c r="U25" s="18" t="s">
        <v>603</v>
      </c>
      <c r="V25" s="20" t="s">
        <v>603</v>
      </c>
    </row>
    <row r="26" spans="1:22">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c r="U26" s="18" t="s">
        <v>603</v>
      </c>
      <c r="V26" s="20" t="s">
        <v>603</v>
      </c>
    </row>
    <row r="27" spans="1:22">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c r="U27" s="18" t="s">
        <v>603</v>
      </c>
      <c r="V27" s="20" t="s">
        <v>603</v>
      </c>
    </row>
    <row r="28" spans="1:22">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c r="U28" s="18" t="s">
        <v>603</v>
      </c>
      <c r="V28" s="20" t="s">
        <v>603</v>
      </c>
    </row>
    <row r="29" spans="1:22">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c r="U29" s="18" t="s">
        <v>603</v>
      </c>
      <c r="V29" s="20" t="s">
        <v>603</v>
      </c>
    </row>
    <row r="30" spans="1:22">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c r="U30" s="18" t="s">
        <v>603</v>
      </c>
      <c r="V30" s="20" t="s">
        <v>603</v>
      </c>
    </row>
    <row r="31" spans="1:22">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c r="U31" s="18" t="s">
        <v>603</v>
      </c>
      <c r="V31" s="20" t="s">
        <v>603</v>
      </c>
    </row>
    <row r="32" spans="1:22">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c r="U32" s="18" t="s">
        <v>603</v>
      </c>
      <c r="V32" s="20" t="s">
        <v>603</v>
      </c>
    </row>
    <row r="33" spans="1:22">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c r="U33" s="18" t="s">
        <v>603</v>
      </c>
      <c r="V33" s="20" t="s">
        <v>603</v>
      </c>
    </row>
    <row r="34" spans="1:22">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c r="U34" s="18" t="s">
        <v>603</v>
      </c>
      <c r="V34" s="20" t="s">
        <v>603</v>
      </c>
    </row>
    <row r="35" spans="1:22">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c r="U35" s="18" t="s">
        <v>603</v>
      </c>
      <c r="V35" s="20" t="s">
        <v>603</v>
      </c>
    </row>
    <row r="36" spans="1:22">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c r="U36" s="18" t="s">
        <v>603</v>
      </c>
      <c r="V36" s="20" t="s">
        <v>603</v>
      </c>
    </row>
    <row r="37" spans="1:22">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c r="U37" s="18" t="s">
        <v>603</v>
      </c>
      <c r="V37" s="20" t="s">
        <v>603</v>
      </c>
    </row>
    <row r="38" spans="1:22">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c r="U38" s="18" t="s">
        <v>603</v>
      </c>
      <c r="V38" s="20" t="s">
        <v>603</v>
      </c>
    </row>
    <row r="39" spans="1:22">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c r="U39" s="18" t="s">
        <v>603</v>
      </c>
      <c r="V39" s="20" t="s">
        <v>603</v>
      </c>
    </row>
    <row r="40" spans="1:22">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c r="U40" s="18" t="s">
        <v>603</v>
      </c>
      <c r="V40" s="20" t="s">
        <v>603</v>
      </c>
    </row>
    <row r="41" spans="1:22">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c r="U41" s="18" t="s">
        <v>603</v>
      </c>
      <c r="V41" s="20" t="s">
        <v>603</v>
      </c>
    </row>
    <row r="42" spans="1:22">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602</v>
      </c>
      <c r="B44" s="17" t="n">
        <v>2691</v>
      </c>
      <c r="C44" s="18">
        <f>(1782.0/B44*100)</f>
        <v/>
      </c>
      <c r="D44" s="19" t="n">
        <v>909</v>
      </c>
      <c r="E44" s="18" t="n">
        <v>37.26392222</v>
      </c>
      <c r="F44" s="20" t="n">
        <v>1.92639437</v>
      </c>
      <c r="G44" s="18" t="n">
        <v>0</v>
      </c>
      <c r="H44" s="20" t="n">
        <v>0</v>
      </c>
      <c r="I44" s="18" t="n">
        <v>13.43053495</v>
      </c>
      <c r="J44" s="20" t="n">
        <v>1.19897606</v>
      </c>
      <c r="K44" s="18" t="n">
        <v>11.86678492</v>
      </c>
      <c r="L44" s="20" t="n">
        <v>1.46830331</v>
      </c>
      <c r="M44" s="18" t="n">
        <v>0</v>
      </c>
      <c r="N44" s="20" t="n">
        <v>0</v>
      </c>
      <c r="O44" s="18" t="n">
        <v>5.83653577</v>
      </c>
      <c r="P44" s="20" t="n">
        <v>0.83804551</v>
      </c>
      <c r="Q44" s="18" t="n">
        <v>0</v>
      </c>
      <c r="R44" s="20" t="n">
        <v>0</v>
      </c>
      <c r="S44" s="18" t="n">
        <v>0</v>
      </c>
      <c r="T44" s="20" t="n">
        <v>0</v>
      </c>
      <c r="U44" s="18" t="n">
        <v>31.60222214</v>
      </c>
      <c r="V44" s="20" t="n">
        <v>1.83208404</v>
      </c>
    </row>
    <row r="45" spans="1:22">
      <c r="A45" s="15" t="s">
        <v>604</v>
      </c>
      <c r="B45" s="17" t="n">
        <v>2670</v>
      </c>
      <c r="C45" s="18">
        <f>(1779.0/B45*100)</f>
        <v/>
      </c>
      <c r="D45" s="19" t="n">
        <v>891</v>
      </c>
      <c r="E45" s="18" t="n">
        <v>39.18471579</v>
      </c>
      <c r="F45" s="20" t="n">
        <v>1.75302829</v>
      </c>
      <c r="G45" s="18" t="n">
        <v>0</v>
      </c>
      <c r="H45" s="20" t="n">
        <v>0</v>
      </c>
      <c r="I45" s="18" t="n">
        <v>4.45765025</v>
      </c>
      <c r="J45" s="20" t="n">
        <v>0.72002923</v>
      </c>
      <c r="K45" s="18" t="n">
        <v>10.53580855</v>
      </c>
      <c r="L45" s="20" t="n">
        <v>1.21501736</v>
      </c>
      <c r="M45" s="18" t="n">
        <v>0</v>
      </c>
      <c r="N45" s="20" t="n">
        <v>0</v>
      </c>
      <c r="O45" s="18" t="n">
        <v>13.53884186</v>
      </c>
      <c r="P45" s="20" t="n">
        <v>1.37238077</v>
      </c>
      <c r="Q45" s="18" t="n">
        <v>0.24181876</v>
      </c>
      <c r="R45" s="20" t="n">
        <v>0.17839041</v>
      </c>
      <c r="S45" s="18" t="n">
        <v>0</v>
      </c>
      <c r="T45" s="20" t="n">
        <v>0</v>
      </c>
      <c r="U45" s="18" t="n">
        <v>32.04116479</v>
      </c>
      <c r="V45" s="20" t="n">
        <v>1.59843257</v>
      </c>
    </row>
    <row r="46" spans="1:22">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c r="U46" s="18" t="s">
        <v>603</v>
      </c>
      <c r="V46" s="20" t="s">
        <v>603</v>
      </c>
    </row>
    <row r="47" spans="1:22">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c r="U47" s="18" t="s">
        <v>603</v>
      </c>
      <c r="V47" s="20" t="s">
        <v>603</v>
      </c>
    </row>
    <row r="48" spans="1:22">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c r="U48" s="18" t="s">
        <v>603</v>
      </c>
      <c r="V48" s="20" t="s">
        <v>603</v>
      </c>
    </row>
    <row r="49" spans="1:22">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c r="U49" s="18" t="s">
        <v>603</v>
      </c>
      <c r="V49" s="20" t="s">
        <v>603</v>
      </c>
    </row>
    <row r="50" spans="1:22">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c r="U50" s="18" t="s">
        <v>603</v>
      </c>
      <c r="V50" s="20" t="s">
        <v>603</v>
      </c>
    </row>
    <row r="51" spans="1:22">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c r="U51" s="18" t="s">
        <v>603</v>
      </c>
      <c r="V51" s="20" t="s">
        <v>603</v>
      </c>
    </row>
    <row r="52" spans="1:22">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c r="U52" s="18" t="s">
        <v>603</v>
      </c>
      <c r="V52" s="20" t="s">
        <v>603</v>
      </c>
    </row>
    <row r="53" spans="1:22">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c r="U53" s="18" t="s">
        <v>603</v>
      </c>
      <c r="V53" s="20" t="s">
        <v>603</v>
      </c>
    </row>
    <row r="54" spans="1:22">
      <c r="A54" s="15" t="s">
        <v>613</v>
      </c>
      <c r="B54" s="17" t="n">
        <v>2557</v>
      </c>
      <c r="C54" s="18">
        <f>(1715.0/B54*100)</f>
        <v/>
      </c>
      <c r="D54" s="19" t="n">
        <v>842</v>
      </c>
      <c r="E54" s="18" t="n">
        <v>27.64412445</v>
      </c>
      <c r="F54" s="20" t="n">
        <v>1.63450739</v>
      </c>
      <c r="G54" s="18" t="n">
        <v>0</v>
      </c>
      <c r="H54" s="20" t="n">
        <v>0</v>
      </c>
      <c r="I54" s="18" t="n">
        <v>11.70750124</v>
      </c>
      <c r="J54" s="20" t="n">
        <v>1.17522458</v>
      </c>
      <c r="K54" s="18" t="n">
        <v>4.64992216</v>
      </c>
      <c r="L54" s="20" t="n">
        <v>0.694065</v>
      </c>
      <c r="M54" s="18" t="n">
        <v>0</v>
      </c>
      <c r="N54" s="20" t="n">
        <v>0</v>
      </c>
      <c r="O54" s="18" t="n">
        <v>7.68003878</v>
      </c>
      <c r="P54" s="20" t="n">
        <v>0.91766409</v>
      </c>
      <c r="Q54" s="18" t="n">
        <v>0</v>
      </c>
      <c r="R54" s="20" t="n">
        <v>0</v>
      </c>
      <c r="S54" s="18" t="n">
        <v>0</v>
      </c>
      <c r="T54" s="20" t="n">
        <v>0</v>
      </c>
      <c r="U54" s="18" t="n">
        <v>48.31841337</v>
      </c>
      <c r="V54" s="20" t="n">
        <v>1.86920979</v>
      </c>
    </row>
    <row r="55" spans="1:22">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c r="U55" s="18" t="s">
        <v>603</v>
      </c>
      <c r="V55" s="20" t="s">
        <v>603</v>
      </c>
    </row>
    <row r="56" spans="1:22">
      <c r="A56" s="15" t="s">
        <v>615</v>
      </c>
      <c r="B56" s="17" t="n">
        <v>3343</v>
      </c>
      <c r="C56" s="18">
        <f>(2264.0/B56*100)</f>
        <v/>
      </c>
      <c r="D56" s="19" t="n">
        <v>1079</v>
      </c>
      <c r="E56" s="18" t="n">
        <v>68.72079934999999</v>
      </c>
      <c r="F56" s="20" t="n">
        <v>1.6154878</v>
      </c>
      <c r="G56" s="18" t="n">
        <v>0</v>
      </c>
      <c r="H56" s="20" t="n">
        <v>0</v>
      </c>
      <c r="I56" s="18" t="n">
        <v>5.35577298</v>
      </c>
      <c r="J56" s="20" t="n">
        <v>0.74464727</v>
      </c>
      <c r="K56" s="18" t="n">
        <v>13.31311402</v>
      </c>
      <c r="L56" s="20" t="n">
        <v>1.17971662</v>
      </c>
      <c r="M56" s="18" t="n">
        <v>0</v>
      </c>
      <c r="N56" s="20" t="n">
        <v>0</v>
      </c>
      <c r="O56" s="18" t="n">
        <v>4.50086721</v>
      </c>
      <c r="P56" s="20" t="n">
        <v>0.64326397</v>
      </c>
      <c r="Q56" s="18" t="n">
        <v>0.08619590000000001</v>
      </c>
      <c r="R56" s="20" t="n">
        <v>0.08570000999999999</v>
      </c>
      <c r="S56" s="18" t="n">
        <v>0</v>
      </c>
      <c r="T56" s="20" t="n">
        <v>0</v>
      </c>
      <c r="U56" s="18" t="n">
        <v>8.02325055</v>
      </c>
      <c r="V56" s="20" t="n">
        <v>1.12073444</v>
      </c>
    </row>
    <row r="57" spans="1:22">
      <c r="A57" s="15" t="s">
        <v>616</v>
      </c>
      <c r="B57" s="17" t="n">
        <v>3737</v>
      </c>
      <c r="C57" s="18">
        <f>(2493.0/B57*100)</f>
        <v/>
      </c>
      <c r="D57" s="19" t="n">
        <v>1244</v>
      </c>
      <c r="E57" s="18" t="n">
        <v>56.62219222</v>
      </c>
      <c r="F57" s="20" t="n">
        <v>1.9227457</v>
      </c>
      <c r="G57" s="18" t="n">
        <v>0</v>
      </c>
      <c r="H57" s="20" t="n">
        <v>0</v>
      </c>
      <c r="I57" s="18" t="n">
        <v>14.07782105</v>
      </c>
      <c r="J57" s="20" t="n">
        <v>1.26436447</v>
      </c>
      <c r="K57" s="18" t="n">
        <v>9.455582809999999</v>
      </c>
      <c r="L57" s="20" t="n">
        <v>1.03450677</v>
      </c>
      <c r="M57" s="18" t="n">
        <v>0</v>
      </c>
      <c r="N57" s="20" t="n">
        <v>0</v>
      </c>
      <c r="O57" s="18" t="n">
        <v>5.37410897</v>
      </c>
      <c r="P57" s="20" t="n">
        <v>0.9166333800000001</v>
      </c>
      <c r="Q57" s="18" t="n">
        <v>0</v>
      </c>
      <c r="R57" s="20" t="n">
        <v>0</v>
      </c>
      <c r="S57" s="18" t="n">
        <v>0</v>
      </c>
      <c r="T57" s="20" t="n">
        <v>0</v>
      </c>
      <c r="U57" s="18" t="n">
        <v>14.47029495</v>
      </c>
      <c r="V57" s="20" t="n">
        <v>1.37386872</v>
      </c>
    </row>
    <row r="58" spans="1:22">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row>
    <row r="59" spans="1:22">
      <c r="A59" s="15" t="s">
        <v>619</v>
      </c>
      <c r="B59" s="17" t="n">
        <v>2278</v>
      </c>
      <c r="C59" s="18">
        <f>(1514.0/B59*100)</f>
        <v/>
      </c>
      <c r="D59" s="19" t="n">
        <v>764</v>
      </c>
      <c r="E59" s="18" t="n">
        <v>46.60407082</v>
      </c>
      <c r="F59" s="20" t="n">
        <v>2.30087077</v>
      </c>
      <c r="G59" s="18" t="n">
        <v>0</v>
      </c>
      <c r="H59" s="20" t="n">
        <v>0</v>
      </c>
      <c r="I59" s="18" t="n">
        <v>10.07580016</v>
      </c>
      <c r="J59" s="20" t="n">
        <v>1.29644482</v>
      </c>
      <c r="K59" s="18" t="n">
        <v>15.15247728</v>
      </c>
      <c r="L59" s="20" t="n">
        <v>1.62872325</v>
      </c>
      <c r="M59" s="18" t="n">
        <v>0</v>
      </c>
      <c r="N59" s="20" t="n">
        <v>0</v>
      </c>
      <c r="O59" s="18" t="n">
        <v>3.332445</v>
      </c>
      <c r="P59" s="20" t="n">
        <v>0.76140651</v>
      </c>
      <c r="Q59" s="18" t="n">
        <v>0</v>
      </c>
      <c r="R59" s="20" t="n">
        <v>0</v>
      </c>
      <c r="S59" s="18" t="n">
        <v>0</v>
      </c>
      <c r="T59" s="20" t="n">
        <v>0</v>
      </c>
      <c r="U59" s="18" t="n">
        <v>24.83520674</v>
      </c>
      <c r="V59" s="20" t="n">
        <v>1.83942061</v>
      </c>
    </row>
    <row r="60" spans="1:22">
      <c r="A60" s="15" t="s">
        <v>620</v>
      </c>
      <c r="B60" s="17" t="n">
        <v>2451</v>
      </c>
      <c r="C60" s="18">
        <f>(1608.0/B60*100)</f>
        <v/>
      </c>
      <c r="D60" s="19" t="n">
        <v>843</v>
      </c>
      <c r="E60" s="18" t="n">
        <v>39.63071225</v>
      </c>
      <c r="F60" s="20" t="n">
        <v>1.997308</v>
      </c>
      <c r="G60" s="18" t="n">
        <v>0</v>
      </c>
      <c r="H60" s="20" t="n">
        <v>0</v>
      </c>
      <c r="I60" s="18" t="n">
        <v>5.22034891</v>
      </c>
      <c r="J60" s="20" t="n">
        <v>0.76698119</v>
      </c>
      <c r="K60" s="18" t="n">
        <v>5.50612109</v>
      </c>
      <c r="L60" s="20" t="n">
        <v>0.91143273</v>
      </c>
      <c r="M60" s="18" t="n">
        <v>0</v>
      </c>
      <c r="N60" s="20" t="n">
        <v>0</v>
      </c>
      <c r="O60" s="18" t="n">
        <v>10.32550344</v>
      </c>
      <c r="P60" s="20" t="n">
        <v>1.06670593</v>
      </c>
      <c r="Q60" s="18" t="n">
        <v>0</v>
      </c>
      <c r="R60" s="20" t="n">
        <v>0</v>
      </c>
      <c r="S60" s="18" t="n">
        <v>0.36984681</v>
      </c>
      <c r="T60" s="20" t="n">
        <v>0.22111748</v>
      </c>
      <c r="U60" s="18" t="n">
        <v>38.9474675</v>
      </c>
      <c r="V60" s="20" t="n">
        <v>1.89979914</v>
      </c>
    </row>
    <row r="61" spans="1:22">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c r="U61" s="18" t="s">
        <v>603</v>
      </c>
      <c r="V61" s="20" t="s">
        <v>603</v>
      </c>
    </row>
    <row r="62" spans="1:22">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c r="U62" s="18" t="s">
        <v>603</v>
      </c>
      <c r="V62" s="20" t="s">
        <v>603</v>
      </c>
    </row>
    <row r="63" spans="1:22">
      <c r="A63" s="15" t="s">
        <v>623</v>
      </c>
      <c r="B63" s="17" t="n">
        <v>2511</v>
      </c>
      <c r="C63" s="18">
        <f>(1675.0/B63*100)</f>
        <v/>
      </c>
      <c r="D63" s="19" t="n">
        <v>836</v>
      </c>
      <c r="E63" s="18" t="n">
        <v>22.51181125</v>
      </c>
      <c r="F63" s="20" t="n">
        <v>1.57059902</v>
      </c>
      <c r="G63" s="18" t="n">
        <v>0</v>
      </c>
      <c r="H63" s="20" t="n">
        <v>0</v>
      </c>
      <c r="I63" s="18" t="n">
        <v>11.86588441</v>
      </c>
      <c r="J63" s="20" t="n">
        <v>1.21665709</v>
      </c>
      <c r="K63" s="18" t="n">
        <v>4.19458659</v>
      </c>
      <c r="L63" s="20" t="n">
        <v>0.73166068</v>
      </c>
      <c r="M63" s="18" t="n">
        <v>0</v>
      </c>
      <c r="N63" s="20" t="n">
        <v>0</v>
      </c>
      <c r="O63" s="18" t="n">
        <v>6.49538564</v>
      </c>
      <c r="P63" s="20" t="n">
        <v>0.97797174</v>
      </c>
      <c r="Q63" s="18" t="n">
        <v>0</v>
      </c>
      <c r="R63" s="20" t="n">
        <v>0</v>
      </c>
      <c r="S63" s="18" t="n">
        <v>0</v>
      </c>
      <c r="T63" s="20" t="n">
        <v>0</v>
      </c>
      <c r="U63" s="18" t="n">
        <v>54.93233211</v>
      </c>
      <c r="V63" s="20" t="n">
        <v>1.77936598</v>
      </c>
    </row>
    <row r="64" spans="1:22">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row>
    <row r="65" spans="1:22">
      <c r="A65" s="15" t="s">
        <v>625</v>
      </c>
      <c r="B65" s="17" t="n">
        <v>1790</v>
      </c>
      <c r="C65" s="18">
        <f>(1190.0/B65*100)</f>
        <v/>
      </c>
      <c r="D65" s="19" t="n">
        <v>600</v>
      </c>
      <c r="E65" s="18" t="n">
        <v>41.41628902</v>
      </c>
      <c r="F65" s="20" t="n">
        <v>2.17890326</v>
      </c>
      <c r="G65" s="18" t="n">
        <v>0</v>
      </c>
      <c r="H65" s="20" t="n">
        <v>0</v>
      </c>
      <c r="I65" s="18" t="n">
        <v>21.85068425</v>
      </c>
      <c r="J65" s="20" t="n">
        <v>1.55776923</v>
      </c>
      <c r="K65" s="18" t="n">
        <v>12.59310361</v>
      </c>
      <c r="L65" s="20" t="n">
        <v>1.21618132</v>
      </c>
      <c r="M65" s="18" t="n">
        <v>0</v>
      </c>
      <c r="N65" s="20" t="n">
        <v>0</v>
      </c>
      <c r="O65" s="18" t="n">
        <v>3.50761106</v>
      </c>
      <c r="P65" s="20" t="n">
        <v>0.79685344</v>
      </c>
      <c r="Q65" s="18" t="n">
        <v>0</v>
      </c>
      <c r="R65" s="20" t="n">
        <v>0</v>
      </c>
      <c r="S65" s="18" t="n">
        <v>0</v>
      </c>
      <c r="T65" s="20" t="n">
        <v>0</v>
      </c>
      <c r="U65" s="18" t="n">
        <v>20.63231207</v>
      </c>
      <c r="V65" s="20" t="n">
        <v>1.44983987</v>
      </c>
    </row>
    <row r="66" spans="1:22">
      <c r="A66" s="15" t="s">
        <v>626</v>
      </c>
      <c r="B66" s="17" t="n">
        <v>2634</v>
      </c>
      <c r="C66" s="18">
        <f>(1747.0/B66*100)</f>
        <v/>
      </c>
      <c r="D66" s="19" t="n">
        <v>887</v>
      </c>
      <c r="E66" s="18" t="n">
        <v>37.98321337</v>
      </c>
      <c r="F66" s="20" t="n">
        <v>1.53538689</v>
      </c>
      <c r="G66" s="18" t="n">
        <v>0</v>
      </c>
      <c r="H66" s="20" t="n">
        <v>0</v>
      </c>
      <c r="I66" s="18" t="n">
        <v>14.98421875</v>
      </c>
      <c r="J66" s="20" t="n">
        <v>1.25260682</v>
      </c>
      <c r="K66" s="18" t="n">
        <v>6.41709531</v>
      </c>
      <c r="L66" s="20" t="n">
        <v>0.87305107</v>
      </c>
      <c r="M66" s="18" t="n">
        <v>0</v>
      </c>
      <c r="N66" s="20" t="n">
        <v>0</v>
      </c>
      <c r="O66" s="18" t="n">
        <v>11.20009557</v>
      </c>
      <c r="P66" s="20" t="n">
        <v>1.30849523</v>
      </c>
      <c r="Q66" s="18" t="n">
        <v>0</v>
      </c>
      <c r="R66" s="20" t="n">
        <v>0</v>
      </c>
      <c r="S66" s="18" t="n">
        <v>0</v>
      </c>
      <c r="T66" s="20" t="n">
        <v>0</v>
      </c>
      <c r="U66" s="18" t="n">
        <v>29.41537701</v>
      </c>
      <c r="V66" s="20" t="n">
        <v>1.67739075</v>
      </c>
    </row>
    <row r="67" spans="1:22">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c r="U67" s="18" t="s">
        <v>603</v>
      </c>
      <c r="V67" s="20" t="s">
        <v>603</v>
      </c>
    </row>
    <row r="68" spans="1:22">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c r="U68" s="18" t="s">
        <v>603</v>
      </c>
      <c r="V68" s="20" t="s">
        <v>603</v>
      </c>
    </row>
    <row r="69" spans="1:22">
      <c r="A69" s="15" t="s">
        <v>629</v>
      </c>
      <c r="B69" s="17" t="n">
        <v>720</v>
      </c>
      <c r="C69" s="18">
        <f>(482.0/B69*100)</f>
        <v/>
      </c>
      <c r="D69" s="19" t="n">
        <v>238</v>
      </c>
      <c r="E69" s="18" t="n">
        <v>69.57001175000001</v>
      </c>
      <c r="F69" s="20" t="n">
        <v>3.67143822</v>
      </c>
      <c r="G69" s="18" t="n">
        <v>0</v>
      </c>
      <c r="H69" s="20" t="n">
        <v>0</v>
      </c>
      <c r="I69" s="18" t="n">
        <v>7.50703322</v>
      </c>
      <c r="J69" s="20" t="n">
        <v>1.56991086</v>
      </c>
      <c r="K69" s="18" t="n">
        <v>9.947064279999999</v>
      </c>
      <c r="L69" s="20" t="n">
        <v>2.27297392</v>
      </c>
      <c r="M69" s="18" t="n">
        <v>0</v>
      </c>
      <c r="N69" s="20" t="n">
        <v>0</v>
      </c>
      <c r="O69" s="18" t="n">
        <v>1.43555697</v>
      </c>
      <c r="P69" s="20" t="n">
        <v>0.92552343</v>
      </c>
      <c r="Q69" s="18" t="n">
        <v>0</v>
      </c>
      <c r="R69" s="20" t="n">
        <v>0</v>
      </c>
      <c r="S69" s="18" t="n">
        <v>0</v>
      </c>
      <c r="T69" s="20" t="n">
        <v>0</v>
      </c>
      <c r="U69" s="18" t="n">
        <v>11.54033379</v>
      </c>
      <c r="V69" s="20" t="n">
        <v>2.83254406</v>
      </c>
    </row>
    <row r="70" spans="1:22">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c r="U70" s="18" t="s">
        <v>603</v>
      </c>
      <c r="V70" s="20" t="s">
        <v>603</v>
      </c>
    </row>
    <row r="71" spans="1:22">
      <c r="A71" s="15" t="s">
        <v>631</v>
      </c>
      <c r="B71" s="17" t="n">
        <v>2466</v>
      </c>
      <c r="C71" s="18">
        <f>(1643.0/B71*100)</f>
        <v/>
      </c>
      <c r="D71" s="19" t="n">
        <v>823</v>
      </c>
      <c r="E71" s="18" t="n">
        <v>54.08258926</v>
      </c>
      <c r="F71" s="20" t="n">
        <v>1.84320358</v>
      </c>
      <c r="G71" s="18" t="n">
        <v>0</v>
      </c>
      <c r="H71" s="20" t="n">
        <v>0</v>
      </c>
      <c r="I71" s="18" t="n">
        <v>30.91053891</v>
      </c>
      <c r="J71" s="20" t="n">
        <v>1.67267997</v>
      </c>
      <c r="K71" s="18" t="n">
        <v>14.75783647</v>
      </c>
      <c r="L71" s="20" t="n">
        <v>1.36174287</v>
      </c>
      <c r="M71" s="18" t="n">
        <v>0</v>
      </c>
      <c r="N71" s="20" t="n">
        <v>0</v>
      </c>
      <c r="O71" s="18" t="n">
        <v>0.13233748</v>
      </c>
      <c r="P71" s="20" t="n">
        <v>0.13226401</v>
      </c>
      <c r="Q71" s="18" t="n">
        <v>0</v>
      </c>
      <c r="R71" s="20" t="n">
        <v>0</v>
      </c>
      <c r="S71" s="18" t="n">
        <v>0</v>
      </c>
      <c r="T71" s="20" t="n">
        <v>0</v>
      </c>
      <c r="U71" s="18" t="n">
        <v>0.11669788</v>
      </c>
      <c r="V71" s="20" t="n">
        <v>0.11709152</v>
      </c>
    </row>
    <row r="72" spans="1:22">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c r="U72" s="18" t="s">
        <v>603</v>
      </c>
      <c r="V72" s="20" t="s">
        <v>603</v>
      </c>
    </row>
    <row r="73" spans="1:22">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c r="U73" s="18" t="s">
        <v>603</v>
      </c>
      <c r="V73" s="20" t="s">
        <v>603</v>
      </c>
    </row>
    <row r="74" spans="1:22">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c r="U74" s="18" t="s">
        <v>603</v>
      </c>
      <c r="V74" s="20" t="s">
        <v>603</v>
      </c>
    </row>
    <row r="75" spans="1:22">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c r="U75" s="18" t="s">
        <v>603</v>
      </c>
      <c r="V75" s="20" t="s">
        <v>603</v>
      </c>
    </row>
    <row r="76" spans="1:22">
      <c r="A76" s="15" t="s">
        <v>636</v>
      </c>
      <c r="B76" s="17" t="n">
        <v>2453</v>
      </c>
      <c r="C76" s="18">
        <f>(1640.0/B76*100)</f>
        <v/>
      </c>
      <c r="D76" s="19" t="n">
        <v>813</v>
      </c>
      <c r="E76" s="18" t="n">
        <v>43.92995108</v>
      </c>
      <c r="F76" s="20" t="n">
        <v>1.95253302</v>
      </c>
      <c r="G76" s="18" t="n">
        <v>0</v>
      </c>
      <c r="H76" s="20" t="n">
        <v>0</v>
      </c>
      <c r="I76" s="18" t="n">
        <v>13.80866364</v>
      </c>
      <c r="J76" s="20" t="n">
        <v>1.27831522</v>
      </c>
      <c r="K76" s="18" t="n">
        <v>9.55561054</v>
      </c>
      <c r="L76" s="20" t="n">
        <v>1.0576917</v>
      </c>
      <c r="M76" s="18" t="n">
        <v>0</v>
      </c>
      <c r="N76" s="20" t="n">
        <v>0</v>
      </c>
      <c r="O76" s="18" t="n">
        <v>10.79957154</v>
      </c>
      <c r="P76" s="20" t="n">
        <v>1.16217791</v>
      </c>
      <c r="Q76" s="18" t="n">
        <v>0</v>
      </c>
      <c r="R76" s="20" t="n">
        <v>0</v>
      </c>
      <c r="S76" s="18" t="n">
        <v>0</v>
      </c>
      <c r="T76" s="20" t="n">
        <v>0</v>
      </c>
      <c r="U76" s="18" t="n">
        <v>21.9062032</v>
      </c>
      <c r="V76" s="20" t="n">
        <v>1.58182898</v>
      </c>
    </row>
    <row r="77" spans="1:22">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c r="U77" s="18" t="s">
        <v>603</v>
      </c>
      <c r="V77" s="20" t="s">
        <v>603</v>
      </c>
    </row>
    <row r="78" spans="1:22">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c r="U78" s="18" t="s">
        <v>603</v>
      </c>
      <c r="V78" s="20" t="s">
        <v>603</v>
      </c>
    </row>
    <row r="79" spans="1:22">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c r="U79" s="18" t="s">
        <v>603</v>
      </c>
      <c r="V79" s="20" t="s">
        <v>603</v>
      </c>
    </row>
    <row r="80" spans="1:22">
      <c r="A80" s="15" t="s">
        <v>640</v>
      </c>
      <c r="B80" s="17" t="n">
        <v>3040</v>
      </c>
      <c r="C80" s="18">
        <f>(2033.0/B80*100)</f>
        <v/>
      </c>
      <c r="D80" s="19" t="n">
        <v>1007</v>
      </c>
      <c r="E80" s="18" t="n">
        <v>69.30844598</v>
      </c>
      <c r="F80" s="20" t="n">
        <v>1.78052832</v>
      </c>
      <c r="G80" s="18" t="n">
        <v>0</v>
      </c>
      <c r="H80" s="20" t="n">
        <v>0</v>
      </c>
      <c r="I80" s="18" t="n">
        <v>20.54108766</v>
      </c>
      <c r="J80" s="20" t="n">
        <v>1.37883913</v>
      </c>
      <c r="K80" s="18" t="n">
        <v>7.22174608</v>
      </c>
      <c r="L80" s="20" t="n">
        <v>0.88855182</v>
      </c>
      <c r="M80" s="18" t="n">
        <v>0</v>
      </c>
      <c r="N80" s="20" t="n">
        <v>0</v>
      </c>
      <c r="O80" s="18" t="n">
        <v>0</v>
      </c>
      <c r="P80" s="20" t="n">
        <v>0</v>
      </c>
      <c r="Q80" s="18" t="n">
        <v>0</v>
      </c>
      <c r="R80" s="20" t="n">
        <v>0</v>
      </c>
      <c r="S80" s="18" t="n">
        <v>0</v>
      </c>
      <c r="T80" s="20" t="n">
        <v>0</v>
      </c>
      <c r="U80" s="18" t="n">
        <v>2.92872029</v>
      </c>
      <c r="V80" s="20" t="n">
        <v>0.67194226</v>
      </c>
    </row>
    <row r="81" spans="1:22">
      <c r="A81" s="15" t="s">
        <v>641</v>
      </c>
      <c r="B81" s="17" t="n">
        <v>870</v>
      </c>
      <c r="C81" s="18">
        <f>(577.0/B81*100)</f>
        <v/>
      </c>
      <c r="D81" s="19" t="n">
        <v>293</v>
      </c>
      <c r="E81" s="18" t="n">
        <v>37.20960544</v>
      </c>
      <c r="F81" s="20" t="n">
        <v>3.34454161</v>
      </c>
      <c r="G81" s="18" t="n">
        <v>0</v>
      </c>
      <c r="H81" s="20" t="n">
        <v>0</v>
      </c>
      <c r="I81" s="18" t="n">
        <v>16.57177336</v>
      </c>
      <c r="J81" s="20" t="n">
        <v>2.60188284</v>
      </c>
      <c r="K81" s="18" t="n">
        <v>13.40234714</v>
      </c>
      <c r="L81" s="20" t="n">
        <v>1.94772302</v>
      </c>
      <c r="M81" s="18" t="n">
        <v>0</v>
      </c>
      <c r="N81" s="20" t="n">
        <v>0</v>
      </c>
      <c r="O81" s="18" t="n">
        <v>7.45957677</v>
      </c>
      <c r="P81" s="20" t="n">
        <v>1.88949075</v>
      </c>
      <c r="Q81" s="18" t="n">
        <v>0.17287276</v>
      </c>
      <c r="R81" s="20" t="n">
        <v>0.18443716</v>
      </c>
      <c r="S81" s="18" t="n">
        <v>0</v>
      </c>
      <c r="T81" s="20" t="n">
        <v>0</v>
      </c>
      <c r="U81" s="18" t="n">
        <v>25.18382454</v>
      </c>
      <c r="V81" s="20" t="n">
        <v>2.46412801</v>
      </c>
    </row>
    <row r="82" spans="1:22">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c r="U82" s="18" t="s">
        <v>603</v>
      </c>
      <c r="V82" s="20" t="s">
        <v>603</v>
      </c>
    </row>
    <row r="83" spans="1:22">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c r="U83" s="18" t="s">
        <v>603</v>
      </c>
      <c r="V83" s="20" t="s">
        <v>603</v>
      </c>
    </row>
    <row r="84" spans="1:22">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c r="U84" s="18" t="s">
        <v>603</v>
      </c>
      <c r="V84" s="20" t="s">
        <v>603</v>
      </c>
    </row>
    <row r="86" spans="1:22">
      <c r="A86" s="3" t="s">
        <v>645</v>
      </c>
    </row>
    <row r="87" spans="1:22">
      <c r="A87" s="26" t="s">
        <v>646</v>
      </c>
    </row>
    <row r="88" spans="1:22">
      <c r="A88" s="26" t="s">
        <v>647</v>
      </c>
    </row>
    <row customHeight="1" ht="30" r="89" spans="1:22">
      <c r="A89" s="26" t="s">
        <v>648</v>
      </c>
    </row>
    <row customHeight="1" ht="30" r="90" spans="1:22">
      <c r="A90" s="26" t="s">
        <v>649</v>
      </c>
    </row>
    <row customHeight="1" ht="30" r="91" spans="1:22">
      <c r="A91" s="26" t="s">
        <v>650</v>
      </c>
    </row>
    <row customHeight="1" ht="30" r="92" spans="1:22">
      <c r="A92" s="26" t="s">
        <v>651</v>
      </c>
    </row>
    <row customHeight="1" ht="30" r="93" spans="1:22">
      <c r="A93" s="26" t="s">
        <v>652</v>
      </c>
    </row>
    <row customHeight="1" ht="30" r="94" spans="1:22">
      <c r="A94" s="26" t="s">
        <v>653</v>
      </c>
    </row>
  </sheetData>
  <mergeCells count="19">
    <mergeCell ref="E4:F4"/>
    <mergeCell ref="G4:H4"/>
    <mergeCell ref="I4:J4"/>
    <mergeCell ref="K4:L4"/>
    <mergeCell ref="M4:N4"/>
    <mergeCell ref="O4:P4"/>
    <mergeCell ref="Q4:R4"/>
    <mergeCell ref="S4:T4"/>
    <mergeCell ref="U4:V4"/>
    <mergeCell ref="A1:V1"/>
    <mergeCell ref="A2:V2"/>
    <mergeCell ref="A87:V87"/>
    <mergeCell ref="A88:V88"/>
    <mergeCell ref="A89:V89"/>
    <mergeCell ref="A90:V90"/>
    <mergeCell ref="A91:V91"/>
    <mergeCell ref="A92:V92"/>
    <mergeCell ref="A93:V93"/>
    <mergeCell ref="A94:V94"/>
  </mergeCells>
  <pageMargins bottom="1" footer="0.5" header="0.5" left="0.75" right="0.75" top="1"/>
</worksheet>
</file>

<file path=xl/worksheets/sheet2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(1782.0/B44*100)</f>
        <v/>
      </c>
      <c r="D44" s="19" t="n">
        <v>909</v>
      </c>
      <c r="E44" s="18" t="n">
        <v>36.10952941</v>
      </c>
      <c r="F44" s="20" t="n">
        <v>2.05899997</v>
      </c>
      <c r="G44" s="18" t="n">
        <v>55.88304735</v>
      </c>
      <c r="H44" s="20" t="n">
        <v>2.08914837</v>
      </c>
      <c r="I44" s="18" t="n">
        <v>0</v>
      </c>
      <c r="J44" s="20" t="n">
        <v>0</v>
      </c>
      <c r="K44" s="18" t="n">
        <v>6.08956371</v>
      </c>
      <c r="L44" s="20" t="n">
        <v>0.81530646</v>
      </c>
      <c r="M44" s="18" t="n">
        <v>0</v>
      </c>
      <c r="N44" s="20" t="n">
        <v>0</v>
      </c>
      <c r="O44" s="18" t="n">
        <v>0</v>
      </c>
      <c r="P44" s="20" t="n">
        <v>0</v>
      </c>
      <c r="Q44" s="18" t="n">
        <v>1.91785953</v>
      </c>
      <c r="R44" s="20" t="n">
        <v>0.64769353</v>
      </c>
    </row>
    <row r="45" spans="1:18">
      <c r="A45" s="15" t="s">
        <v>604</v>
      </c>
      <c r="B45" s="17" t="n">
        <v>2670</v>
      </c>
      <c r="C45" s="18">
        <f>(1779.0/B45*100)</f>
        <v/>
      </c>
      <c r="D45" s="19" t="n">
        <v>891</v>
      </c>
      <c r="E45" s="18" t="n">
        <v>41.89090919</v>
      </c>
      <c r="F45" s="20" t="n">
        <v>1.96407952</v>
      </c>
      <c r="G45" s="18" t="n">
        <v>41.46610023</v>
      </c>
      <c r="H45" s="20" t="n">
        <v>2.0929266</v>
      </c>
      <c r="I45" s="18" t="n">
        <v>0</v>
      </c>
      <c r="J45" s="20" t="n">
        <v>0</v>
      </c>
      <c r="K45" s="18" t="n">
        <v>14.30166125</v>
      </c>
      <c r="L45" s="20" t="n">
        <v>1.38878686</v>
      </c>
      <c r="M45" s="18" t="n">
        <v>0.51033962</v>
      </c>
      <c r="N45" s="20" t="n">
        <v>0.24744866</v>
      </c>
      <c r="O45" s="18" t="n">
        <v>0</v>
      </c>
      <c r="P45" s="20" t="n">
        <v>0</v>
      </c>
      <c r="Q45" s="18" t="n">
        <v>1.83098971</v>
      </c>
      <c r="R45" s="20" t="n">
        <v>0.55381329</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(1715.0/B54*100)</f>
        <v/>
      </c>
      <c r="D54" s="19" t="n">
        <v>842</v>
      </c>
      <c r="E54" s="18" t="n">
        <v>42.33187542</v>
      </c>
      <c r="F54" s="20" t="n">
        <v>2.11964848</v>
      </c>
      <c r="G54" s="18" t="n">
        <v>48.51408927</v>
      </c>
      <c r="H54" s="20" t="n">
        <v>2.10048969</v>
      </c>
      <c r="I54" s="18" t="n">
        <v>0</v>
      </c>
      <c r="J54" s="20" t="n">
        <v>0</v>
      </c>
      <c r="K54" s="18" t="n">
        <v>7.78825664</v>
      </c>
      <c r="L54" s="20" t="n">
        <v>0.90969828</v>
      </c>
      <c r="M54" s="18" t="n">
        <v>0</v>
      </c>
      <c r="N54" s="20" t="n">
        <v>0</v>
      </c>
      <c r="O54" s="18" t="n">
        <v>0</v>
      </c>
      <c r="P54" s="20" t="n">
        <v>0</v>
      </c>
      <c r="Q54" s="18" t="n">
        <v>1.36577867</v>
      </c>
      <c r="R54" s="20" t="n">
        <v>0.37461633</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(2264.0/B56*100)</f>
        <v/>
      </c>
      <c r="D56" s="19" t="n">
        <v>1079</v>
      </c>
      <c r="E56" s="18" t="n">
        <v>48.84940173</v>
      </c>
      <c r="F56" s="20" t="n">
        <v>1.63498191</v>
      </c>
      <c r="G56" s="18" t="n">
        <v>44.60753906</v>
      </c>
      <c r="H56" s="20" t="n">
        <v>1.68374886</v>
      </c>
      <c r="I56" s="18" t="n">
        <v>0</v>
      </c>
      <c r="J56" s="20" t="n">
        <v>0</v>
      </c>
      <c r="K56" s="18" t="n">
        <v>4.83400462</v>
      </c>
      <c r="L56" s="20" t="n">
        <v>0.66821723</v>
      </c>
      <c r="M56" s="18" t="n">
        <v>0.24133378</v>
      </c>
      <c r="N56" s="20" t="n">
        <v>0.23895022</v>
      </c>
      <c r="O56" s="18" t="n">
        <v>0</v>
      </c>
      <c r="P56" s="20" t="n">
        <v>0</v>
      </c>
      <c r="Q56" s="18" t="n">
        <v>1.46772081</v>
      </c>
      <c r="R56" s="20" t="n">
        <v>0.44907037</v>
      </c>
    </row>
    <row r="57" spans="1:18">
      <c r="A57" s="15" t="s">
        <v>616</v>
      </c>
      <c r="B57" s="17" t="n">
        <v>3737</v>
      </c>
      <c r="C57" s="18">
        <f>(2493.0/B57*100)</f>
        <v/>
      </c>
      <c r="D57" s="19" t="n">
        <v>1244</v>
      </c>
      <c r="E57" s="18" t="n">
        <v>44.06332017</v>
      </c>
      <c r="F57" s="20" t="n">
        <v>1.42574484</v>
      </c>
      <c r="G57" s="18" t="n">
        <v>49.86415379</v>
      </c>
      <c r="H57" s="20" t="n">
        <v>1.65389325</v>
      </c>
      <c r="I57" s="18" t="n">
        <v>0</v>
      </c>
      <c r="J57" s="20" t="n">
        <v>0</v>
      </c>
      <c r="K57" s="18" t="n">
        <v>5.56710429</v>
      </c>
      <c r="L57" s="20" t="n">
        <v>0.92272637</v>
      </c>
      <c r="M57" s="18" t="n">
        <v>0</v>
      </c>
      <c r="N57" s="20" t="n">
        <v>0</v>
      </c>
      <c r="O57" s="18" t="n">
        <v>0</v>
      </c>
      <c r="P57" s="20" t="n">
        <v>0</v>
      </c>
      <c r="Q57" s="18" t="n">
        <v>0.50542175</v>
      </c>
      <c r="R57" s="20" t="n">
        <v>0.21273042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(1514.0/B59*100)</f>
        <v/>
      </c>
      <c r="D59" s="19" t="n">
        <v>764</v>
      </c>
      <c r="E59" s="18" t="n">
        <v>55.07464654</v>
      </c>
      <c r="F59" s="20" t="n">
        <v>1.92024956</v>
      </c>
      <c r="G59" s="18" t="n">
        <v>40.74045074</v>
      </c>
      <c r="H59" s="20" t="n">
        <v>1.91857879</v>
      </c>
      <c r="I59" s="18" t="n">
        <v>0</v>
      </c>
      <c r="J59" s="20" t="n">
        <v>0</v>
      </c>
      <c r="K59" s="18" t="n">
        <v>3.75846516</v>
      </c>
      <c r="L59" s="20" t="n">
        <v>0.7710704900000001</v>
      </c>
      <c r="M59" s="18" t="n">
        <v>0</v>
      </c>
      <c r="N59" s="20" t="n">
        <v>0</v>
      </c>
      <c r="O59" s="18" t="n">
        <v>0.17800922</v>
      </c>
      <c r="P59" s="20" t="n">
        <v>0.17705157</v>
      </c>
      <c r="Q59" s="18" t="n">
        <v>0.24842834</v>
      </c>
      <c r="R59" s="20" t="n">
        <v>0.15505545</v>
      </c>
    </row>
    <row r="60" spans="1:18">
      <c r="A60" s="15" t="s">
        <v>620</v>
      </c>
      <c r="B60" s="17" t="n">
        <v>2451</v>
      </c>
      <c r="C60" s="18">
        <f>(1608.0/B60*100)</f>
        <v/>
      </c>
      <c r="D60" s="19" t="n">
        <v>843</v>
      </c>
      <c r="E60" s="18" t="n">
        <v>36.64865998</v>
      </c>
      <c r="F60" s="20" t="n">
        <v>2.07989429</v>
      </c>
      <c r="G60" s="18" t="n">
        <v>49.69723249</v>
      </c>
      <c r="H60" s="20" t="n">
        <v>1.992781</v>
      </c>
      <c r="I60" s="18" t="n">
        <v>0</v>
      </c>
      <c r="J60" s="20" t="n">
        <v>0</v>
      </c>
      <c r="K60" s="18" t="n">
        <v>11.27111685</v>
      </c>
      <c r="L60" s="20" t="n">
        <v>1.12632007</v>
      </c>
      <c r="M60" s="18" t="n">
        <v>0</v>
      </c>
      <c r="N60" s="20" t="n">
        <v>0</v>
      </c>
      <c r="O60" s="18" t="n">
        <v>0</v>
      </c>
      <c r="P60" s="20" t="n">
        <v>0</v>
      </c>
      <c r="Q60" s="18" t="n">
        <v>2.38299068</v>
      </c>
      <c r="R60" s="20" t="n">
        <v>0.571818</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(1675.0/B63*100)</f>
        <v/>
      </c>
      <c r="D63" s="19" t="n">
        <v>836</v>
      </c>
      <c r="E63" s="18" t="n">
        <v>35.67212759</v>
      </c>
      <c r="F63" s="20" t="n">
        <v>2.02198509</v>
      </c>
      <c r="G63" s="18" t="n">
        <v>55.88410042</v>
      </c>
      <c r="H63" s="20" t="n">
        <v>2.15632448</v>
      </c>
      <c r="I63" s="18" t="n">
        <v>0</v>
      </c>
      <c r="J63" s="20" t="n">
        <v>0</v>
      </c>
      <c r="K63" s="18" t="n">
        <v>6.49538564</v>
      </c>
      <c r="L63" s="20" t="n">
        <v>0.97797174</v>
      </c>
      <c r="M63" s="18" t="n">
        <v>0</v>
      </c>
      <c r="N63" s="20" t="n">
        <v>0</v>
      </c>
      <c r="O63" s="18" t="n">
        <v>0</v>
      </c>
      <c r="P63" s="20" t="n">
        <v>0</v>
      </c>
      <c r="Q63" s="18" t="n">
        <v>1.94838635</v>
      </c>
      <c r="R63" s="20" t="n">
        <v>0.48663495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(1190.0/B65*100)</f>
        <v/>
      </c>
      <c r="D65" s="19" t="n">
        <v>600</v>
      </c>
      <c r="E65" s="18" t="n">
        <v>20.29162921</v>
      </c>
      <c r="F65" s="20" t="n">
        <v>1.67166982</v>
      </c>
      <c r="G65" s="18" t="n">
        <v>75.97661732</v>
      </c>
      <c r="H65" s="20" t="n">
        <v>1.84978795</v>
      </c>
      <c r="I65" s="18" t="n">
        <v>0</v>
      </c>
      <c r="J65" s="20" t="n">
        <v>0</v>
      </c>
      <c r="K65" s="18" t="n">
        <v>3.50761106</v>
      </c>
      <c r="L65" s="20" t="n">
        <v>0.79685344</v>
      </c>
      <c r="M65" s="18" t="n">
        <v>0</v>
      </c>
      <c r="N65" s="20" t="n">
        <v>0</v>
      </c>
      <c r="O65" s="18" t="n">
        <v>0</v>
      </c>
      <c r="P65" s="20" t="n">
        <v>0</v>
      </c>
      <c r="Q65" s="18" t="n">
        <v>0.22414241</v>
      </c>
      <c r="R65" s="20" t="n">
        <v>0.22200175</v>
      </c>
    </row>
    <row r="66" spans="1:18">
      <c r="A66" s="15" t="s">
        <v>626</v>
      </c>
      <c r="B66" s="17" t="n">
        <v>2634</v>
      </c>
      <c r="C66" s="18">
        <f>(1747.0/B66*100)</f>
        <v/>
      </c>
      <c r="D66" s="19" t="n">
        <v>887</v>
      </c>
      <c r="E66" s="18" t="n">
        <v>32.30532159</v>
      </c>
      <c r="F66" s="20" t="n">
        <v>1.61476775</v>
      </c>
      <c r="G66" s="18" t="n">
        <v>55.4643895</v>
      </c>
      <c r="H66" s="20" t="n">
        <v>1.69339393</v>
      </c>
      <c r="I66" s="18" t="n">
        <v>0</v>
      </c>
      <c r="J66" s="20" t="n">
        <v>0</v>
      </c>
      <c r="K66" s="18" t="n">
        <v>11.69477433</v>
      </c>
      <c r="L66" s="20" t="n">
        <v>1.3003223</v>
      </c>
      <c r="M66" s="18" t="n">
        <v>0</v>
      </c>
      <c r="N66" s="20" t="n">
        <v>0</v>
      </c>
      <c r="O66" s="18" t="n">
        <v>0</v>
      </c>
      <c r="P66" s="20" t="n">
        <v>0</v>
      </c>
      <c r="Q66" s="18" t="n">
        <v>0.53551458</v>
      </c>
      <c r="R66" s="20" t="n">
        <v>0.28260872</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(482.0/B69*100)</f>
        <v/>
      </c>
      <c r="D69" s="19" t="n">
        <v>238</v>
      </c>
      <c r="E69" s="18" t="n">
        <v>28.34951982</v>
      </c>
      <c r="F69" s="20" t="n">
        <v>3.10927475</v>
      </c>
      <c r="G69" s="18" t="n">
        <v>68.1559589</v>
      </c>
      <c r="H69" s="20" t="n">
        <v>2.78566845</v>
      </c>
      <c r="I69" s="18" t="n">
        <v>0</v>
      </c>
      <c r="J69" s="20" t="n">
        <v>0</v>
      </c>
      <c r="K69" s="18" t="n">
        <v>1.69504257</v>
      </c>
      <c r="L69" s="20" t="n">
        <v>0.96314824</v>
      </c>
      <c r="M69" s="18" t="n">
        <v>0</v>
      </c>
      <c r="N69" s="20" t="n">
        <v>0</v>
      </c>
      <c r="O69" s="18" t="n">
        <v>0</v>
      </c>
      <c r="P69" s="20" t="n">
        <v>0</v>
      </c>
      <c r="Q69" s="18" t="n">
        <v>1.79947871</v>
      </c>
      <c r="R69" s="20" t="n">
        <v>1.09273645</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(1643.0/B71*100)</f>
        <v/>
      </c>
      <c r="D71" s="19" t="n">
        <v>823</v>
      </c>
      <c r="E71" s="18" t="n">
        <v>28.73555081</v>
      </c>
      <c r="F71" s="20" t="n">
        <v>1.62204392</v>
      </c>
      <c r="G71" s="18" t="n">
        <v>71.13211171</v>
      </c>
      <c r="H71" s="20" t="n">
        <v>1.6049429</v>
      </c>
      <c r="I71" s="18" t="n">
        <v>0</v>
      </c>
      <c r="J71" s="20" t="n">
        <v>0</v>
      </c>
      <c r="K71" s="18" t="n">
        <v>0.13233748</v>
      </c>
      <c r="L71" s="20" t="n">
        <v>0.13226401</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(1640.0/B76*100)</f>
        <v/>
      </c>
      <c r="D76" s="19" t="n">
        <v>813</v>
      </c>
      <c r="E76" s="18" t="n">
        <v>30.46918828</v>
      </c>
      <c r="F76" s="20" t="n">
        <v>1.67322619</v>
      </c>
      <c r="G76" s="18" t="n">
        <v>57.84879676</v>
      </c>
      <c r="H76" s="20" t="n">
        <v>1.8358416</v>
      </c>
      <c r="I76" s="18" t="n">
        <v>0</v>
      </c>
      <c r="J76" s="20" t="n">
        <v>0</v>
      </c>
      <c r="K76" s="18" t="n">
        <v>11.04076726</v>
      </c>
      <c r="L76" s="20" t="n">
        <v>1.16823382</v>
      </c>
      <c r="M76" s="18" t="n">
        <v>0</v>
      </c>
      <c r="N76" s="20" t="n">
        <v>0</v>
      </c>
      <c r="O76" s="18" t="n">
        <v>0</v>
      </c>
      <c r="P76" s="20" t="n">
        <v>0</v>
      </c>
      <c r="Q76" s="18" t="n">
        <v>0.6412477</v>
      </c>
      <c r="R76" s="20" t="n">
        <v>0.30026364</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(2033.0/B80*100)</f>
        <v/>
      </c>
      <c r="D80" s="19" t="n">
        <v>1007</v>
      </c>
      <c r="E80" s="18" t="n">
        <v>34.85723808</v>
      </c>
      <c r="F80" s="20" t="n">
        <v>1.91019206</v>
      </c>
      <c r="G80" s="18" t="n">
        <v>65.14276192</v>
      </c>
      <c r="H80" s="20" t="n">
        <v>1.91019206</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(577.0/B81*100)</f>
        <v/>
      </c>
      <c r="D81" s="19" t="n">
        <v>293</v>
      </c>
      <c r="E81" s="18" t="n">
        <v>19.42718332</v>
      </c>
      <c r="F81" s="20" t="n">
        <v>2.42300313</v>
      </c>
      <c r="G81" s="18" t="n">
        <v>72.78879517999999</v>
      </c>
      <c r="H81" s="20" t="n">
        <v>2.91299019</v>
      </c>
      <c r="I81" s="18" t="n">
        <v>0</v>
      </c>
      <c r="J81" s="20" t="n">
        <v>0</v>
      </c>
      <c r="K81" s="18" t="n">
        <v>7.7840215</v>
      </c>
      <c r="L81" s="20" t="n">
        <v>1.90274164</v>
      </c>
      <c r="M81" s="18" t="n">
        <v>0</v>
      </c>
      <c r="N81" s="20" t="n">
        <v>0</v>
      </c>
      <c r="O81" s="18" t="n">
        <v>0</v>
      </c>
      <c r="P81" s="20" t="n">
        <v>0</v>
      </c>
      <c r="Q81" s="18" t="n">
        <v>0</v>
      </c>
      <c r="R81" s="20" t="n">
        <v>0</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(1782.0/B44*100)</f>
        <v/>
      </c>
      <c r="D44" s="19" t="n">
        <v>909</v>
      </c>
      <c r="E44" s="18" t="n">
        <v>18.97621049</v>
      </c>
      <c r="F44" s="20" t="n">
        <v>1.5479013</v>
      </c>
      <c r="G44" s="18" t="n">
        <v>68.48825443</v>
      </c>
      <c r="H44" s="20" t="n">
        <v>1.71028687</v>
      </c>
      <c r="I44" s="18" t="n">
        <v>0</v>
      </c>
      <c r="J44" s="20" t="n">
        <v>0</v>
      </c>
      <c r="K44" s="18" t="n">
        <v>7.65125661</v>
      </c>
      <c r="L44" s="20" t="n">
        <v>0.94917353</v>
      </c>
      <c r="M44" s="18" t="n">
        <v>0</v>
      </c>
      <c r="N44" s="20" t="n">
        <v>0</v>
      </c>
      <c r="O44" s="18" t="n">
        <v>1.16631806</v>
      </c>
      <c r="P44" s="20" t="n">
        <v>0.47758375</v>
      </c>
      <c r="Q44" s="18" t="n">
        <v>3.71796041</v>
      </c>
      <c r="R44" s="20" t="n">
        <v>0.73504574</v>
      </c>
    </row>
    <row r="45" spans="1:18">
      <c r="A45" s="15" t="s">
        <v>604</v>
      </c>
      <c r="B45" s="17" t="n">
        <v>2670</v>
      </c>
      <c r="C45" s="18">
        <f>(1779.0/B45*100)</f>
        <v/>
      </c>
      <c r="D45" s="19" t="n">
        <v>891</v>
      </c>
      <c r="E45" s="18" t="n">
        <v>40.02141516</v>
      </c>
      <c r="F45" s="20" t="n">
        <v>1.79862389</v>
      </c>
      <c r="G45" s="18" t="n">
        <v>32.45752537</v>
      </c>
      <c r="H45" s="20" t="n">
        <v>1.89111006</v>
      </c>
      <c r="I45" s="18" t="n">
        <v>0</v>
      </c>
      <c r="J45" s="20" t="n">
        <v>0</v>
      </c>
      <c r="K45" s="18" t="n">
        <v>16.99799506</v>
      </c>
      <c r="L45" s="20" t="n">
        <v>1.40918669</v>
      </c>
      <c r="M45" s="18" t="n">
        <v>0.63814803</v>
      </c>
      <c r="N45" s="20" t="n">
        <v>0.26325264</v>
      </c>
      <c r="O45" s="18" t="n">
        <v>2.18183826</v>
      </c>
      <c r="P45" s="20" t="n">
        <v>0.53088468</v>
      </c>
      <c r="Q45" s="18" t="n">
        <v>7.70307811</v>
      </c>
      <c r="R45" s="20" t="n">
        <v>1.06770506</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(1715.0/B54*100)</f>
        <v/>
      </c>
      <c r="D54" s="19" t="n">
        <v>842</v>
      </c>
      <c r="E54" s="18" t="n">
        <v>34.2889142</v>
      </c>
      <c r="F54" s="20" t="n">
        <v>1.69608536</v>
      </c>
      <c r="G54" s="18" t="n">
        <v>51.64415949</v>
      </c>
      <c r="H54" s="20" t="n">
        <v>1.91624068</v>
      </c>
      <c r="I54" s="18" t="n">
        <v>0</v>
      </c>
      <c r="J54" s="20" t="n">
        <v>0</v>
      </c>
      <c r="K54" s="18" t="n">
        <v>8.39015835</v>
      </c>
      <c r="L54" s="20" t="n">
        <v>0.9155062899999999</v>
      </c>
      <c r="M54" s="18" t="n">
        <v>0</v>
      </c>
      <c r="N54" s="20" t="n">
        <v>0</v>
      </c>
      <c r="O54" s="18" t="n">
        <v>0.5315595</v>
      </c>
      <c r="P54" s="20" t="n">
        <v>0.27909848</v>
      </c>
      <c r="Q54" s="18" t="n">
        <v>5.14520845</v>
      </c>
      <c r="R54" s="20" t="n">
        <v>0.78764847</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(2264.0/B56*100)</f>
        <v/>
      </c>
      <c r="D56" s="19" t="n">
        <v>1079</v>
      </c>
      <c r="E56" s="18" t="n">
        <v>35.72188701</v>
      </c>
      <c r="F56" s="20" t="n">
        <v>1.94827081</v>
      </c>
      <c r="G56" s="18" t="n">
        <v>55.39228371</v>
      </c>
      <c r="H56" s="20" t="n">
        <v>1.9065858</v>
      </c>
      <c r="I56" s="18" t="n">
        <v>0</v>
      </c>
      <c r="J56" s="20" t="n">
        <v>0</v>
      </c>
      <c r="K56" s="18" t="n">
        <v>5.77284408</v>
      </c>
      <c r="L56" s="20" t="n">
        <v>0.7782551599999999</v>
      </c>
      <c r="M56" s="18" t="n">
        <v>0.24133378</v>
      </c>
      <c r="N56" s="20" t="n">
        <v>0.23895022</v>
      </c>
      <c r="O56" s="18" t="n">
        <v>0</v>
      </c>
      <c r="P56" s="20" t="n">
        <v>0</v>
      </c>
      <c r="Q56" s="18" t="n">
        <v>2.87165142</v>
      </c>
      <c r="R56" s="20" t="n">
        <v>0.52187963</v>
      </c>
    </row>
    <row r="57" spans="1:18">
      <c r="A57" s="15" t="s">
        <v>616</v>
      </c>
      <c r="B57" s="17" t="n">
        <v>3737</v>
      </c>
      <c r="C57" s="18">
        <f>(2493.0/B57*100)</f>
        <v/>
      </c>
      <c r="D57" s="19" t="n">
        <v>1244</v>
      </c>
      <c r="E57" s="18" t="n">
        <v>26.95086014</v>
      </c>
      <c r="F57" s="20" t="n">
        <v>1.69063857</v>
      </c>
      <c r="G57" s="18" t="n">
        <v>62.11675245</v>
      </c>
      <c r="H57" s="20" t="n">
        <v>2.09998316</v>
      </c>
      <c r="I57" s="18" t="n">
        <v>0</v>
      </c>
      <c r="J57" s="20" t="n">
        <v>0</v>
      </c>
      <c r="K57" s="18" t="n">
        <v>6.34962812</v>
      </c>
      <c r="L57" s="20" t="n">
        <v>1.00679767</v>
      </c>
      <c r="M57" s="18" t="n">
        <v>0</v>
      </c>
      <c r="N57" s="20" t="n">
        <v>0</v>
      </c>
      <c r="O57" s="18" t="n">
        <v>0.6358621</v>
      </c>
      <c r="P57" s="20" t="n">
        <v>0.26962819</v>
      </c>
      <c r="Q57" s="18" t="n">
        <v>3.9468972</v>
      </c>
      <c r="R57" s="20" t="n">
        <v>0.89120294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(1514.0/B59*100)</f>
        <v/>
      </c>
      <c r="D59" s="19" t="n">
        <v>764</v>
      </c>
      <c r="E59" s="18" t="n">
        <v>41.35697289</v>
      </c>
      <c r="F59" s="20" t="n">
        <v>2.17135836</v>
      </c>
      <c r="G59" s="18" t="n">
        <v>45.55737151</v>
      </c>
      <c r="H59" s="20" t="n">
        <v>2.16715295</v>
      </c>
      <c r="I59" s="18" t="n">
        <v>0</v>
      </c>
      <c r="J59" s="20" t="n">
        <v>0</v>
      </c>
      <c r="K59" s="18" t="n">
        <v>4.07707485</v>
      </c>
      <c r="L59" s="20" t="n">
        <v>0.79919137</v>
      </c>
      <c r="M59" s="18" t="n">
        <v>0.4007868</v>
      </c>
      <c r="N59" s="20" t="n">
        <v>0.33424634</v>
      </c>
      <c r="O59" s="18" t="n">
        <v>3.56310714</v>
      </c>
      <c r="P59" s="20" t="n">
        <v>0.76992287</v>
      </c>
      <c r="Q59" s="18" t="n">
        <v>5.0446868</v>
      </c>
      <c r="R59" s="20" t="n">
        <v>0.90638649</v>
      </c>
    </row>
    <row r="60" spans="1:18">
      <c r="A60" s="15" t="s">
        <v>620</v>
      </c>
      <c r="B60" s="17" t="n">
        <v>2451</v>
      </c>
      <c r="C60" s="18">
        <f>(1608.0/B60*100)</f>
        <v/>
      </c>
      <c r="D60" s="19" t="n">
        <v>843</v>
      </c>
      <c r="E60" s="18" t="n">
        <v>35.45740716</v>
      </c>
      <c r="F60" s="20" t="n">
        <v>2.03495797</v>
      </c>
      <c r="G60" s="18" t="n">
        <v>40.23612969</v>
      </c>
      <c r="H60" s="20" t="n">
        <v>2.20554806</v>
      </c>
      <c r="I60" s="18" t="n">
        <v>0</v>
      </c>
      <c r="J60" s="20" t="n">
        <v>0</v>
      </c>
      <c r="K60" s="18" t="n">
        <v>13.23875381</v>
      </c>
      <c r="L60" s="20" t="n">
        <v>1.29586105</v>
      </c>
      <c r="M60" s="18" t="n">
        <v>0</v>
      </c>
      <c r="N60" s="20" t="n">
        <v>0</v>
      </c>
      <c r="O60" s="18" t="n">
        <v>3.74007711</v>
      </c>
      <c r="P60" s="20" t="n">
        <v>0.88246666</v>
      </c>
      <c r="Q60" s="18" t="n">
        <v>7.32763224</v>
      </c>
      <c r="R60" s="20" t="n">
        <v>1.01331243</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(1675.0/B63*100)</f>
        <v/>
      </c>
      <c r="D63" s="19" t="n">
        <v>836</v>
      </c>
      <c r="E63" s="18" t="n">
        <v>32.61284017</v>
      </c>
      <c r="F63" s="20" t="n">
        <v>2.11110018</v>
      </c>
      <c r="G63" s="18" t="n">
        <v>42.08628882</v>
      </c>
      <c r="H63" s="20" t="n">
        <v>1.95410041</v>
      </c>
      <c r="I63" s="18" t="n">
        <v>0</v>
      </c>
      <c r="J63" s="20" t="n">
        <v>0</v>
      </c>
      <c r="K63" s="18" t="n">
        <v>9.661077909999999</v>
      </c>
      <c r="L63" s="20" t="n">
        <v>1.11209808</v>
      </c>
      <c r="M63" s="18" t="n">
        <v>0</v>
      </c>
      <c r="N63" s="20" t="n">
        <v>0</v>
      </c>
      <c r="O63" s="18" t="n">
        <v>0.46872095</v>
      </c>
      <c r="P63" s="20" t="n">
        <v>0.24120213</v>
      </c>
      <c r="Q63" s="18" t="n">
        <v>15.17107214</v>
      </c>
      <c r="R63" s="20" t="n">
        <v>1.20542028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(1190.0/B65*100)</f>
        <v/>
      </c>
      <c r="D65" s="19" t="n">
        <v>600</v>
      </c>
      <c r="E65" s="18" t="n">
        <v>25.9938711</v>
      </c>
      <c r="F65" s="20" t="n">
        <v>1.74911</v>
      </c>
      <c r="G65" s="18" t="n">
        <v>66.31531505</v>
      </c>
      <c r="H65" s="20" t="n">
        <v>1.83951844</v>
      </c>
      <c r="I65" s="18" t="n">
        <v>0</v>
      </c>
      <c r="J65" s="20" t="n">
        <v>0</v>
      </c>
      <c r="K65" s="18" t="n">
        <v>3.95303488</v>
      </c>
      <c r="L65" s="20" t="n">
        <v>0.8505501600000001</v>
      </c>
      <c r="M65" s="18" t="n">
        <v>0</v>
      </c>
      <c r="N65" s="20" t="n">
        <v>0</v>
      </c>
      <c r="O65" s="18" t="n">
        <v>0.31888395</v>
      </c>
      <c r="P65" s="20" t="n">
        <v>0.22282253</v>
      </c>
      <c r="Q65" s="18" t="n">
        <v>3.41889502</v>
      </c>
      <c r="R65" s="20" t="n">
        <v>0.68831343</v>
      </c>
    </row>
    <row r="66" spans="1:18">
      <c r="A66" s="15" t="s">
        <v>626</v>
      </c>
      <c r="B66" s="17" t="n">
        <v>2634</v>
      </c>
      <c r="C66" s="18">
        <f>(1747.0/B66*100)</f>
        <v/>
      </c>
      <c r="D66" s="19" t="n">
        <v>887</v>
      </c>
      <c r="E66" s="18" t="n">
        <v>29.67804422</v>
      </c>
      <c r="F66" s="20" t="n">
        <v>1.76614827</v>
      </c>
      <c r="G66" s="18" t="n">
        <v>50.27389233</v>
      </c>
      <c r="H66" s="20" t="n">
        <v>1.81664459</v>
      </c>
      <c r="I66" s="18" t="n">
        <v>0</v>
      </c>
      <c r="J66" s="20" t="n">
        <v>0</v>
      </c>
      <c r="K66" s="18" t="n">
        <v>12.98133261</v>
      </c>
      <c r="L66" s="20" t="n">
        <v>1.37492572</v>
      </c>
      <c r="M66" s="18" t="n">
        <v>2.7953803</v>
      </c>
      <c r="N66" s="20" t="n">
        <v>0.701483</v>
      </c>
      <c r="O66" s="18" t="n">
        <v>0</v>
      </c>
      <c r="P66" s="20" t="n">
        <v>0</v>
      </c>
      <c r="Q66" s="18" t="n">
        <v>4.27135055</v>
      </c>
      <c r="R66" s="20" t="n">
        <v>0.66390711</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(482.0/B69*100)</f>
        <v/>
      </c>
      <c r="D69" s="19" t="n">
        <v>238</v>
      </c>
      <c r="E69" s="18" t="n">
        <v>38.01948165</v>
      </c>
      <c r="F69" s="20" t="n">
        <v>4.10335288</v>
      </c>
      <c r="G69" s="18" t="n">
        <v>57.22585917</v>
      </c>
      <c r="H69" s="20" t="n">
        <v>3.89266741</v>
      </c>
      <c r="I69" s="18" t="n">
        <v>0</v>
      </c>
      <c r="J69" s="20" t="n">
        <v>0</v>
      </c>
      <c r="K69" s="18" t="n">
        <v>2.09896262</v>
      </c>
      <c r="L69" s="20" t="n">
        <v>1.0273065</v>
      </c>
      <c r="M69" s="18" t="n">
        <v>0</v>
      </c>
      <c r="N69" s="20" t="n">
        <v>0</v>
      </c>
      <c r="O69" s="18" t="n">
        <v>0</v>
      </c>
      <c r="P69" s="20" t="n">
        <v>0</v>
      </c>
      <c r="Q69" s="18" t="n">
        <v>2.65569655</v>
      </c>
      <c r="R69" s="20" t="n">
        <v>0.8364373000000001</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(1643.0/B71*100)</f>
        <v/>
      </c>
      <c r="D71" s="19" t="n">
        <v>823</v>
      </c>
      <c r="E71" s="18" t="n">
        <v>36.74103685</v>
      </c>
      <c r="F71" s="20" t="n">
        <v>1.69312197</v>
      </c>
      <c r="G71" s="18" t="n">
        <v>63.12662567</v>
      </c>
      <c r="H71" s="20" t="n">
        <v>1.67993834</v>
      </c>
      <c r="I71" s="18" t="n">
        <v>0</v>
      </c>
      <c r="J71" s="20" t="n">
        <v>0</v>
      </c>
      <c r="K71" s="18" t="n">
        <v>0.13233748</v>
      </c>
      <c r="L71" s="20" t="n">
        <v>0.13226401</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(1640.0/B76*100)</f>
        <v/>
      </c>
      <c r="D76" s="19" t="n">
        <v>813</v>
      </c>
      <c r="E76" s="18" t="n">
        <v>26.31995344</v>
      </c>
      <c r="F76" s="20" t="n">
        <v>1.44134172</v>
      </c>
      <c r="G76" s="18" t="n">
        <v>58.07451809</v>
      </c>
      <c r="H76" s="20" t="n">
        <v>1.49815999</v>
      </c>
      <c r="I76" s="18" t="n">
        <v>0</v>
      </c>
      <c r="J76" s="20" t="n">
        <v>0</v>
      </c>
      <c r="K76" s="18" t="n">
        <v>12.57202358</v>
      </c>
      <c r="L76" s="20" t="n">
        <v>1.19098731</v>
      </c>
      <c r="M76" s="18" t="n">
        <v>0</v>
      </c>
      <c r="N76" s="20" t="n">
        <v>0</v>
      </c>
      <c r="O76" s="18" t="n">
        <v>0</v>
      </c>
      <c r="P76" s="20" t="n">
        <v>0</v>
      </c>
      <c r="Q76" s="18" t="n">
        <v>3.03350489</v>
      </c>
      <c r="R76" s="20" t="n">
        <v>0.5801715200000001</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(2033.0/B80*100)</f>
        <v/>
      </c>
      <c r="D80" s="19" t="n">
        <v>1007</v>
      </c>
      <c r="E80" s="18" t="n">
        <v>9.871494459999999</v>
      </c>
      <c r="F80" s="20" t="n">
        <v>1.08276414</v>
      </c>
      <c r="G80" s="18" t="n">
        <v>90.12850554000001</v>
      </c>
      <c r="H80" s="20" t="n">
        <v>1.08276414</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(577.0/B81*100)</f>
        <v/>
      </c>
      <c r="D81" s="19" t="n">
        <v>293</v>
      </c>
      <c r="E81" s="18" t="n">
        <v>20.53168993</v>
      </c>
      <c r="F81" s="20" t="n">
        <v>1.96885971</v>
      </c>
      <c r="G81" s="18" t="n">
        <v>67.64238508</v>
      </c>
      <c r="H81" s="20" t="n">
        <v>2.69071393</v>
      </c>
      <c r="I81" s="18" t="n">
        <v>0</v>
      </c>
      <c r="J81" s="20" t="n">
        <v>0</v>
      </c>
      <c r="K81" s="18" t="n">
        <v>9.09209106</v>
      </c>
      <c r="L81" s="20" t="n">
        <v>2.03602277</v>
      </c>
      <c r="M81" s="18" t="n">
        <v>0</v>
      </c>
      <c r="N81" s="20" t="n">
        <v>0</v>
      </c>
      <c r="O81" s="18" t="n">
        <v>0.90641107</v>
      </c>
      <c r="P81" s="20" t="n">
        <v>0.5350351</v>
      </c>
      <c r="Q81" s="18" t="n">
        <v>1.82742286</v>
      </c>
      <c r="R81" s="20" t="n">
        <v>0.82580902</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(1782.0/B44*100)</f>
        <v/>
      </c>
      <c r="D44" s="19" t="n">
        <v>909</v>
      </c>
      <c r="E44" s="18" t="n">
        <v>49.45759329</v>
      </c>
      <c r="F44" s="20" t="n">
        <v>2.23472329</v>
      </c>
      <c r="G44" s="18" t="n">
        <v>41.13614082</v>
      </c>
      <c r="H44" s="20" t="n">
        <v>2.239451</v>
      </c>
      <c r="I44" s="18" t="n">
        <v>0</v>
      </c>
      <c r="J44" s="20" t="n">
        <v>0</v>
      </c>
      <c r="K44" s="18" t="n">
        <v>9.40626589</v>
      </c>
      <c r="L44" s="20" t="n">
        <v>1.09476162</v>
      </c>
      <c r="M44" s="18" t="n">
        <v>0</v>
      </c>
      <c r="N44" s="20" t="n">
        <v>0</v>
      </c>
      <c r="O44" s="18" t="n">
        <v>0</v>
      </c>
      <c r="P44" s="20" t="n">
        <v>0</v>
      </c>
      <c r="Q44" s="18" t="n">
        <v>0</v>
      </c>
      <c r="R44" s="20" t="n">
        <v>0</v>
      </c>
    </row>
    <row r="45" spans="1:18">
      <c r="A45" s="15" t="s">
        <v>604</v>
      </c>
      <c r="B45" s="17" t="n">
        <v>2670</v>
      </c>
      <c r="C45" s="18">
        <f>(1779.0/B45*100)</f>
        <v/>
      </c>
      <c r="D45" s="19" t="n">
        <v>891</v>
      </c>
      <c r="E45" s="18" t="n">
        <v>50.19862059</v>
      </c>
      <c r="F45" s="20" t="n">
        <v>1.81150714</v>
      </c>
      <c r="G45" s="18" t="n">
        <v>30.84663269</v>
      </c>
      <c r="H45" s="20" t="n">
        <v>1.48795005</v>
      </c>
      <c r="I45" s="18" t="n">
        <v>0</v>
      </c>
      <c r="J45" s="20" t="n">
        <v>0</v>
      </c>
      <c r="K45" s="18" t="n">
        <v>18.44440711</v>
      </c>
      <c r="L45" s="20" t="n">
        <v>1.43553431</v>
      </c>
      <c r="M45" s="18" t="n">
        <v>0.51033962</v>
      </c>
      <c r="N45" s="20" t="n">
        <v>0.24744866</v>
      </c>
      <c r="O45" s="18" t="n">
        <v>0</v>
      </c>
      <c r="P45" s="20" t="n">
        <v>0</v>
      </c>
      <c r="Q45" s="18" t="n">
        <v>0</v>
      </c>
      <c r="R45" s="20" t="n">
        <v>0</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(1715.0/B54*100)</f>
        <v/>
      </c>
      <c r="D54" s="19" t="n">
        <v>842</v>
      </c>
      <c r="E54" s="18" t="n">
        <v>51.05866851</v>
      </c>
      <c r="F54" s="20" t="n">
        <v>1.80017662</v>
      </c>
      <c r="G54" s="18" t="n">
        <v>39.720768</v>
      </c>
      <c r="H54" s="20" t="n">
        <v>1.66915848</v>
      </c>
      <c r="I54" s="18" t="n">
        <v>0</v>
      </c>
      <c r="J54" s="20" t="n">
        <v>0</v>
      </c>
      <c r="K54" s="18" t="n">
        <v>9.22056349</v>
      </c>
      <c r="L54" s="20" t="n">
        <v>0.94463416</v>
      </c>
      <c r="M54" s="18" t="n">
        <v>0</v>
      </c>
      <c r="N54" s="20" t="n">
        <v>0</v>
      </c>
      <c r="O54" s="18" t="n">
        <v>0</v>
      </c>
      <c r="P54" s="20" t="n">
        <v>0</v>
      </c>
      <c r="Q54" s="18" t="n">
        <v>0</v>
      </c>
      <c r="R54" s="20" t="n">
        <v>0</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(2264.0/B56*100)</f>
        <v/>
      </c>
      <c r="D56" s="19" t="n">
        <v>1079</v>
      </c>
      <c r="E56" s="18" t="n">
        <v>49.46726948</v>
      </c>
      <c r="F56" s="20" t="n">
        <v>1.66946936</v>
      </c>
      <c r="G56" s="18" t="n">
        <v>43.86832085</v>
      </c>
      <c r="H56" s="20" t="n">
        <v>1.73047387</v>
      </c>
      <c r="I56" s="18" t="n">
        <v>0</v>
      </c>
      <c r="J56" s="20" t="n">
        <v>0</v>
      </c>
      <c r="K56" s="18" t="n">
        <v>6.42307589</v>
      </c>
      <c r="L56" s="20" t="n">
        <v>0.84139268</v>
      </c>
      <c r="M56" s="18" t="n">
        <v>0.24133378</v>
      </c>
      <c r="N56" s="20" t="n">
        <v>0.23895022</v>
      </c>
      <c r="O56" s="18" t="n">
        <v>0</v>
      </c>
      <c r="P56" s="20" t="n">
        <v>0</v>
      </c>
      <c r="Q56" s="18" t="n">
        <v>0</v>
      </c>
      <c r="R56" s="20" t="n">
        <v>0</v>
      </c>
    </row>
    <row r="57" spans="1:18">
      <c r="A57" s="15" t="s">
        <v>616</v>
      </c>
      <c r="B57" s="17" t="n">
        <v>3737</v>
      </c>
      <c r="C57" s="18">
        <f>(2493.0/B57*100)</f>
        <v/>
      </c>
      <c r="D57" s="19" t="n">
        <v>1244</v>
      </c>
      <c r="E57" s="18" t="n">
        <v>62.0365964</v>
      </c>
      <c r="F57" s="20" t="n">
        <v>1.71634338</v>
      </c>
      <c r="G57" s="18" t="n">
        <v>31.05400078</v>
      </c>
      <c r="H57" s="20" t="n">
        <v>1.68186834</v>
      </c>
      <c r="I57" s="18" t="n">
        <v>0</v>
      </c>
      <c r="J57" s="20" t="n">
        <v>0</v>
      </c>
      <c r="K57" s="18" t="n">
        <v>6.90940282</v>
      </c>
      <c r="L57" s="20" t="n">
        <v>1.03036795</v>
      </c>
      <c r="M57" s="18" t="n">
        <v>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(1514.0/B59*100)</f>
        <v/>
      </c>
      <c r="D59" s="19" t="n">
        <v>764</v>
      </c>
      <c r="E59" s="18" t="n">
        <v>68.7154791</v>
      </c>
      <c r="F59" s="20" t="n">
        <v>2.0704283</v>
      </c>
      <c r="G59" s="18" t="n">
        <v>26.5652519</v>
      </c>
      <c r="H59" s="20" t="n">
        <v>2.0273635</v>
      </c>
      <c r="I59" s="18" t="n">
        <v>0</v>
      </c>
      <c r="J59" s="20" t="n">
        <v>0</v>
      </c>
      <c r="K59" s="18" t="n">
        <v>4.71926901</v>
      </c>
      <c r="L59" s="20" t="n">
        <v>0.84952991</v>
      </c>
      <c r="M59" s="18" t="n">
        <v>0</v>
      </c>
      <c r="N59" s="20" t="n">
        <v>0</v>
      </c>
      <c r="O59" s="18" t="n">
        <v>0</v>
      </c>
      <c r="P59" s="20" t="n">
        <v>0</v>
      </c>
      <c r="Q59" s="18" t="n">
        <v>0</v>
      </c>
      <c r="R59" s="20" t="n">
        <v>0</v>
      </c>
    </row>
    <row r="60" spans="1:18">
      <c r="A60" s="15" t="s">
        <v>620</v>
      </c>
      <c r="B60" s="17" t="n">
        <v>2451</v>
      </c>
      <c r="C60" s="18">
        <f>(1608.0/B60*100)</f>
        <v/>
      </c>
      <c r="D60" s="19" t="n">
        <v>843</v>
      </c>
      <c r="E60" s="18" t="n">
        <v>56.23228515</v>
      </c>
      <c r="F60" s="20" t="n">
        <v>2.15053535</v>
      </c>
      <c r="G60" s="18" t="n">
        <v>29.25786235</v>
      </c>
      <c r="H60" s="20" t="n">
        <v>2.18195901</v>
      </c>
      <c r="I60" s="18" t="n">
        <v>0</v>
      </c>
      <c r="J60" s="20" t="n">
        <v>0</v>
      </c>
      <c r="K60" s="18" t="n">
        <v>14.50985251</v>
      </c>
      <c r="L60" s="20" t="n">
        <v>1.35207398</v>
      </c>
      <c r="M60" s="18" t="n">
        <v>0</v>
      </c>
      <c r="N60" s="20" t="n">
        <v>0</v>
      </c>
      <c r="O60" s="18" t="n">
        <v>0</v>
      </c>
      <c r="P60" s="20" t="n">
        <v>0</v>
      </c>
      <c r="Q60" s="18" t="n">
        <v>0</v>
      </c>
      <c r="R60" s="20" t="n">
        <v>0</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(1675.0/B63*100)</f>
        <v/>
      </c>
      <c r="D63" s="19" t="n">
        <v>836</v>
      </c>
      <c r="E63" s="18" t="n">
        <v>58.91493851</v>
      </c>
      <c r="F63" s="20" t="n">
        <v>2.05704577</v>
      </c>
      <c r="G63" s="18" t="n">
        <v>29.46072954</v>
      </c>
      <c r="H63" s="20" t="n">
        <v>1.92061823</v>
      </c>
      <c r="I63" s="18" t="n">
        <v>0</v>
      </c>
      <c r="J63" s="20" t="n">
        <v>0</v>
      </c>
      <c r="K63" s="18" t="n">
        <v>11.62433195</v>
      </c>
      <c r="L63" s="20" t="n">
        <v>1.13765825</v>
      </c>
      <c r="M63" s="18" t="n">
        <v>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(1190.0/B65*100)</f>
        <v/>
      </c>
      <c r="D65" s="19" t="n">
        <v>600</v>
      </c>
      <c r="E65" s="18" t="n">
        <v>50.83396295</v>
      </c>
      <c r="F65" s="20" t="n">
        <v>2.07793486</v>
      </c>
      <c r="G65" s="18" t="n">
        <v>44.98885977</v>
      </c>
      <c r="H65" s="20" t="n">
        <v>2.00164263</v>
      </c>
      <c r="I65" s="18" t="n">
        <v>0</v>
      </c>
      <c r="J65" s="20" t="n">
        <v>0</v>
      </c>
      <c r="K65" s="18" t="n">
        <v>4.17717729</v>
      </c>
      <c r="L65" s="20" t="n">
        <v>0.92873401</v>
      </c>
      <c r="M65" s="18" t="n">
        <v>0</v>
      </c>
      <c r="N65" s="20" t="n">
        <v>0</v>
      </c>
      <c r="O65" s="18" t="n">
        <v>0</v>
      </c>
      <c r="P65" s="20" t="n">
        <v>0</v>
      </c>
      <c r="Q65" s="18" t="n">
        <v>0</v>
      </c>
      <c r="R65" s="20" t="n">
        <v>0</v>
      </c>
    </row>
    <row r="66" spans="1:18">
      <c r="A66" s="15" t="s">
        <v>626</v>
      </c>
      <c r="B66" s="17" t="n">
        <v>2634</v>
      </c>
      <c r="C66" s="18">
        <f>(1747.0/B66*100)</f>
        <v/>
      </c>
      <c r="D66" s="19" t="n">
        <v>887</v>
      </c>
      <c r="E66" s="18" t="n">
        <v>53.80738644</v>
      </c>
      <c r="F66" s="20" t="n">
        <v>1.98585411</v>
      </c>
      <c r="G66" s="18" t="n">
        <v>32.00683845</v>
      </c>
      <c r="H66" s="20" t="n">
        <v>1.97277778</v>
      </c>
      <c r="I66" s="18" t="n">
        <v>0</v>
      </c>
      <c r="J66" s="20" t="n">
        <v>0</v>
      </c>
      <c r="K66" s="18" t="n">
        <v>14.18577511</v>
      </c>
      <c r="L66" s="20" t="n">
        <v>1.43902337</v>
      </c>
      <c r="M66" s="18" t="n">
        <v>0</v>
      </c>
      <c r="N66" s="20" t="n">
        <v>0</v>
      </c>
      <c r="O66" s="18" t="n">
        <v>0</v>
      </c>
      <c r="P66" s="20" t="n">
        <v>0</v>
      </c>
      <c r="Q66" s="18" t="n">
        <v>0</v>
      </c>
      <c r="R66" s="20" t="n">
        <v>0</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(482.0/B69*100)</f>
        <v/>
      </c>
      <c r="D69" s="19" t="n">
        <v>238</v>
      </c>
      <c r="E69" s="18" t="n">
        <v>56.87396954</v>
      </c>
      <c r="F69" s="20" t="n">
        <v>3.47347081</v>
      </c>
      <c r="G69" s="18" t="n">
        <v>41.02706783</v>
      </c>
      <c r="H69" s="20" t="n">
        <v>3.54311368</v>
      </c>
      <c r="I69" s="18" t="n">
        <v>0</v>
      </c>
      <c r="J69" s="20" t="n">
        <v>0</v>
      </c>
      <c r="K69" s="18" t="n">
        <v>2.09896262</v>
      </c>
      <c r="L69" s="20" t="n">
        <v>1.0273065</v>
      </c>
      <c r="M69" s="18" t="n">
        <v>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(1643.0/B71*100)</f>
        <v/>
      </c>
      <c r="D71" s="19" t="n">
        <v>823</v>
      </c>
      <c r="E71" s="18" t="n">
        <v>64.59877735000001</v>
      </c>
      <c r="F71" s="20" t="n">
        <v>1.8485566</v>
      </c>
      <c r="G71" s="18" t="n">
        <v>35.26888517</v>
      </c>
      <c r="H71" s="20" t="n">
        <v>1.8449243</v>
      </c>
      <c r="I71" s="18" t="n">
        <v>0</v>
      </c>
      <c r="J71" s="20" t="n">
        <v>0</v>
      </c>
      <c r="K71" s="18" t="n">
        <v>0.13233748</v>
      </c>
      <c r="L71" s="20" t="n">
        <v>0.13226401</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(1640.0/B76*100)</f>
        <v/>
      </c>
      <c r="D76" s="19" t="n">
        <v>813</v>
      </c>
      <c r="E76" s="18" t="n">
        <v>51.52124838</v>
      </c>
      <c r="F76" s="20" t="n">
        <v>1.86896219</v>
      </c>
      <c r="G76" s="18" t="n">
        <v>34.95773181</v>
      </c>
      <c r="H76" s="20" t="n">
        <v>1.62717443</v>
      </c>
      <c r="I76" s="18" t="n">
        <v>0</v>
      </c>
      <c r="J76" s="20" t="n">
        <v>0</v>
      </c>
      <c r="K76" s="18" t="n">
        <v>13.52101981</v>
      </c>
      <c r="L76" s="20" t="n">
        <v>1.26232019</v>
      </c>
      <c r="M76" s="18" t="n">
        <v>0</v>
      </c>
      <c r="N76" s="20" t="n">
        <v>0</v>
      </c>
      <c r="O76" s="18" t="n">
        <v>0</v>
      </c>
      <c r="P76" s="20" t="n">
        <v>0</v>
      </c>
      <c r="Q76" s="18" t="n">
        <v>0</v>
      </c>
      <c r="R76" s="20" t="n">
        <v>0</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(2033.0/B80*100)</f>
        <v/>
      </c>
      <c r="D80" s="19" t="n">
        <v>1007</v>
      </c>
      <c r="E80" s="18" t="n">
        <v>16.80574142</v>
      </c>
      <c r="F80" s="20" t="n">
        <v>1.51696473</v>
      </c>
      <c r="G80" s="18" t="n">
        <v>83.19425858</v>
      </c>
      <c r="H80" s="20" t="n">
        <v>1.51696473</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(577.0/B81*100)</f>
        <v/>
      </c>
      <c r="D81" s="19" t="n">
        <v>293</v>
      </c>
      <c r="E81" s="18" t="n">
        <v>36.8949594</v>
      </c>
      <c r="F81" s="20" t="n">
        <v>2.94921548</v>
      </c>
      <c r="G81" s="18" t="n">
        <v>52.9747418</v>
      </c>
      <c r="H81" s="20" t="n">
        <v>3.66937505</v>
      </c>
      <c r="I81" s="18" t="n">
        <v>0</v>
      </c>
      <c r="J81" s="20" t="n">
        <v>0</v>
      </c>
      <c r="K81" s="18" t="n">
        <v>10.13029879</v>
      </c>
      <c r="L81" s="20" t="n">
        <v>2.13110946</v>
      </c>
      <c r="M81" s="18" t="n">
        <v>0</v>
      </c>
      <c r="N81" s="20" t="n">
        <v>0</v>
      </c>
      <c r="O81" s="18" t="n">
        <v>0</v>
      </c>
      <c r="P81" s="20" t="n">
        <v>0</v>
      </c>
      <c r="Q81" s="18" t="n">
        <v>0</v>
      </c>
      <c r="R81" s="20" t="n">
        <v>0</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(1790.0/B44*100)</f>
        <v/>
      </c>
      <c r="D44" s="19" t="n">
        <v>901</v>
      </c>
      <c r="E44" s="18" t="n">
        <v>35.93186059</v>
      </c>
      <c r="F44" s="20" t="n">
        <v>2.24264633</v>
      </c>
      <c r="G44" s="18" t="n">
        <v>57.47637858</v>
      </c>
      <c r="H44" s="20" t="n">
        <v>2.3080667</v>
      </c>
      <c r="I44" s="18" t="n">
        <v>0</v>
      </c>
      <c r="J44" s="20" t="n">
        <v>0</v>
      </c>
      <c r="K44" s="18" t="n">
        <v>1.08603146</v>
      </c>
      <c r="L44" s="20" t="n">
        <v>0.37215543</v>
      </c>
      <c r="M44" s="18" t="n">
        <v>0</v>
      </c>
      <c r="N44" s="20" t="n">
        <v>0</v>
      </c>
      <c r="O44" s="18" t="n">
        <v>0.14132634</v>
      </c>
      <c r="P44" s="20" t="n">
        <v>0.10052697</v>
      </c>
      <c r="Q44" s="18" t="n">
        <v>5.36440303</v>
      </c>
      <c r="R44" s="20" t="n">
        <v>0.8732849</v>
      </c>
    </row>
    <row r="45" spans="1:18">
      <c r="A45" s="15" t="s">
        <v>604</v>
      </c>
      <c r="B45" s="17" t="n">
        <v>2670</v>
      </c>
      <c r="C45" s="18">
        <f>(1798.0/B45*100)</f>
        <v/>
      </c>
      <c r="D45" s="19" t="n">
        <v>872</v>
      </c>
      <c r="E45" s="18" t="n">
        <v>34.59433463</v>
      </c>
      <c r="F45" s="20" t="n">
        <v>1.71632695</v>
      </c>
      <c r="G45" s="18" t="n">
        <v>48.98288966</v>
      </c>
      <c r="H45" s="20" t="n">
        <v>1.97341013</v>
      </c>
      <c r="I45" s="18" t="n">
        <v>0</v>
      </c>
      <c r="J45" s="20" t="n">
        <v>0</v>
      </c>
      <c r="K45" s="18" t="n">
        <v>5.23096958</v>
      </c>
      <c r="L45" s="20" t="n">
        <v>0.85622688</v>
      </c>
      <c r="M45" s="18" t="n">
        <v>0.5207866</v>
      </c>
      <c r="N45" s="20" t="n">
        <v>0.25321519</v>
      </c>
      <c r="O45" s="18" t="n">
        <v>1.6893249</v>
      </c>
      <c r="P45" s="20" t="n">
        <v>0.5506698799999999</v>
      </c>
      <c r="Q45" s="18" t="n">
        <v>8.981694620000001</v>
      </c>
      <c r="R45" s="20" t="n">
        <v>0.99556332</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(1702.0/B54*100)</f>
        <v/>
      </c>
      <c r="D54" s="19" t="n">
        <v>855</v>
      </c>
      <c r="E54" s="18" t="n">
        <v>47.4602946</v>
      </c>
      <c r="F54" s="20" t="n">
        <v>1.85337322</v>
      </c>
      <c r="G54" s="18" t="n">
        <v>46.36973104</v>
      </c>
      <c r="H54" s="20" t="n">
        <v>2.05749257</v>
      </c>
      <c r="I54" s="18" t="n">
        <v>0</v>
      </c>
      <c r="J54" s="20" t="n">
        <v>0</v>
      </c>
      <c r="K54" s="18" t="n">
        <v>1.74979893</v>
      </c>
      <c r="L54" s="20" t="n">
        <v>0.43736418</v>
      </c>
      <c r="M54" s="18" t="n">
        <v>0.11114396</v>
      </c>
      <c r="N54" s="20" t="n">
        <v>0.11018484</v>
      </c>
      <c r="O54" s="18" t="n">
        <v>0</v>
      </c>
      <c r="P54" s="20" t="n">
        <v>0</v>
      </c>
      <c r="Q54" s="18" t="n">
        <v>4.30903147</v>
      </c>
      <c r="R54" s="20" t="n">
        <v>0.87148593</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(2223.0/B56*100)</f>
        <v/>
      </c>
      <c r="D56" s="19" t="n">
        <v>1120</v>
      </c>
      <c r="E56" s="18" t="n">
        <v>47.2291874</v>
      </c>
      <c r="F56" s="20" t="n">
        <v>1.86226344</v>
      </c>
      <c r="G56" s="18" t="n">
        <v>48.18748504</v>
      </c>
      <c r="H56" s="20" t="n">
        <v>1.85363893</v>
      </c>
      <c r="I56" s="18" t="n">
        <v>0</v>
      </c>
      <c r="J56" s="20" t="n">
        <v>0</v>
      </c>
      <c r="K56" s="18" t="n">
        <v>1.52469014</v>
      </c>
      <c r="L56" s="20" t="n">
        <v>0.40361224</v>
      </c>
      <c r="M56" s="18" t="n">
        <v>0</v>
      </c>
      <c r="N56" s="20" t="n">
        <v>0</v>
      </c>
      <c r="O56" s="18" t="n">
        <v>0</v>
      </c>
      <c r="P56" s="20" t="n">
        <v>0</v>
      </c>
      <c r="Q56" s="18" t="n">
        <v>3.05863742</v>
      </c>
      <c r="R56" s="20" t="n">
        <v>0.72189554</v>
      </c>
    </row>
    <row r="57" spans="1:18">
      <c r="A57" s="15" t="s">
        <v>616</v>
      </c>
      <c r="B57" s="17" t="n">
        <v>3737</v>
      </c>
      <c r="C57" s="18">
        <f>(2488.0/B57*100)</f>
        <v/>
      </c>
      <c r="D57" s="19" t="n">
        <v>1249</v>
      </c>
      <c r="E57" s="18" t="n">
        <v>27.75609968</v>
      </c>
      <c r="F57" s="20" t="n">
        <v>1.78368368</v>
      </c>
      <c r="G57" s="18" t="n">
        <v>67.25338781000001</v>
      </c>
      <c r="H57" s="20" t="n">
        <v>1.88487649</v>
      </c>
      <c r="I57" s="18" t="n">
        <v>0</v>
      </c>
      <c r="J57" s="20" t="n">
        <v>0</v>
      </c>
      <c r="K57" s="18" t="n">
        <v>2.51208502</v>
      </c>
      <c r="L57" s="20" t="n">
        <v>0.38191386</v>
      </c>
      <c r="M57" s="18" t="n">
        <v>0</v>
      </c>
      <c r="N57" s="20" t="n">
        <v>0</v>
      </c>
      <c r="O57" s="18" t="n">
        <v>0</v>
      </c>
      <c r="P57" s="20" t="n">
        <v>0</v>
      </c>
      <c r="Q57" s="18" t="n">
        <v>2.4784275</v>
      </c>
      <c r="R57" s="20" t="n">
        <v>0.4676093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(1518.0/B59*100)</f>
        <v/>
      </c>
      <c r="D59" s="19" t="n">
        <v>760</v>
      </c>
      <c r="E59" s="18" t="n">
        <v>44.46541112</v>
      </c>
      <c r="F59" s="20" t="n">
        <v>2.23300801</v>
      </c>
      <c r="G59" s="18" t="n">
        <v>52.65125587</v>
      </c>
      <c r="H59" s="20" t="n">
        <v>2.27205109</v>
      </c>
      <c r="I59" s="18" t="n">
        <v>0</v>
      </c>
      <c r="J59" s="20" t="n">
        <v>0</v>
      </c>
      <c r="K59" s="18" t="n">
        <v>1.31967721</v>
      </c>
      <c r="L59" s="20" t="n">
        <v>0.4598705</v>
      </c>
      <c r="M59" s="18" t="n">
        <v>0</v>
      </c>
      <c r="N59" s="20" t="n">
        <v>0</v>
      </c>
      <c r="O59" s="18" t="n">
        <v>0.31667245</v>
      </c>
      <c r="P59" s="20" t="n">
        <v>0.20456648</v>
      </c>
      <c r="Q59" s="18" t="n">
        <v>1.24698334</v>
      </c>
      <c r="R59" s="20" t="n">
        <v>0.4069327</v>
      </c>
    </row>
    <row r="60" spans="1:18">
      <c r="A60" s="15" t="s">
        <v>620</v>
      </c>
      <c r="B60" s="17" t="n">
        <v>2451</v>
      </c>
      <c r="C60" s="18">
        <f>(1622.0/B60*100)</f>
        <v/>
      </c>
      <c r="D60" s="19" t="n">
        <v>829</v>
      </c>
      <c r="E60" s="18" t="n">
        <v>36.57273484</v>
      </c>
      <c r="F60" s="20" t="n">
        <v>2.41209173</v>
      </c>
      <c r="G60" s="18" t="n">
        <v>52.74967808</v>
      </c>
      <c r="H60" s="20" t="n">
        <v>2.30586772</v>
      </c>
      <c r="I60" s="18" t="n">
        <v>0</v>
      </c>
      <c r="J60" s="20" t="n">
        <v>0</v>
      </c>
      <c r="K60" s="18" t="n">
        <v>3.6998044</v>
      </c>
      <c r="L60" s="20" t="n">
        <v>0.7888034900000001</v>
      </c>
      <c r="M60" s="18" t="n">
        <v>0</v>
      </c>
      <c r="N60" s="20" t="n">
        <v>0</v>
      </c>
      <c r="O60" s="18" t="n">
        <v>1.19866424</v>
      </c>
      <c r="P60" s="20" t="n">
        <v>0.5110482200000001</v>
      </c>
      <c r="Q60" s="18" t="n">
        <v>5.77911844</v>
      </c>
      <c r="R60" s="20" t="n">
        <v>0.91111476</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(1674.0/B63*100)</f>
        <v/>
      </c>
      <c r="D63" s="19" t="n">
        <v>837</v>
      </c>
      <c r="E63" s="18" t="n">
        <v>31.87328756</v>
      </c>
      <c r="F63" s="20" t="n">
        <v>1.74389617</v>
      </c>
      <c r="G63" s="18" t="n">
        <v>60.40921994</v>
      </c>
      <c r="H63" s="20" t="n">
        <v>1.79458066</v>
      </c>
      <c r="I63" s="18" t="n">
        <v>0</v>
      </c>
      <c r="J63" s="20" t="n">
        <v>0</v>
      </c>
      <c r="K63" s="18" t="n">
        <v>2.64008655</v>
      </c>
      <c r="L63" s="20" t="n">
        <v>0.67621581</v>
      </c>
      <c r="M63" s="18" t="n">
        <v>0</v>
      </c>
      <c r="N63" s="20" t="n">
        <v>0</v>
      </c>
      <c r="O63" s="18" t="n">
        <v>0</v>
      </c>
      <c r="P63" s="20" t="n">
        <v>0</v>
      </c>
      <c r="Q63" s="18" t="n">
        <v>5.07740594</v>
      </c>
      <c r="R63" s="20" t="n">
        <v>0.84853266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33.05615379</v>
      </c>
      <c r="F65" s="20" t="n">
        <v>1.64011401</v>
      </c>
      <c r="G65" s="18" t="n">
        <v>62.79141091</v>
      </c>
      <c r="H65" s="20" t="n">
        <v>1.76004519</v>
      </c>
      <c r="I65" s="18" t="n">
        <v>0</v>
      </c>
      <c r="J65" s="20" t="n">
        <v>0</v>
      </c>
      <c r="K65" s="18" t="n">
        <v>1.03312423</v>
      </c>
      <c r="L65" s="20" t="n">
        <v>0.45665892</v>
      </c>
      <c r="M65" s="18" t="n">
        <v>0</v>
      </c>
      <c r="N65" s="20" t="n">
        <v>0</v>
      </c>
      <c r="O65" s="18" t="n">
        <v>0.15731781</v>
      </c>
      <c r="P65" s="20" t="n">
        <v>0.15749884</v>
      </c>
      <c r="Q65" s="18" t="n">
        <v>2.96199326</v>
      </c>
      <c r="R65" s="20" t="n">
        <v>0.75736821</v>
      </c>
    </row>
    <row r="66" spans="1:18">
      <c r="A66" s="15" t="s">
        <v>626</v>
      </c>
      <c r="B66" s="17" t="n">
        <v>2634</v>
      </c>
      <c r="C66" s="18">
        <f>(1749.0/B66*100)</f>
        <v/>
      </c>
      <c r="D66" s="19" t="n">
        <v>885</v>
      </c>
      <c r="E66" s="18" t="n">
        <v>33.30198161</v>
      </c>
      <c r="F66" s="20" t="n">
        <v>1.66518018</v>
      </c>
      <c r="G66" s="18" t="n">
        <v>57.39990999</v>
      </c>
      <c r="H66" s="20" t="n">
        <v>1.7938934</v>
      </c>
      <c r="I66" s="18" t="n">
        <v>0</v>
      </c>
      <c r="J66" s="20" t="n">
        <v>0</v>
      </c>
      <c r="K66" s="18" t="n">
        <v>4.49193836</v>
      </c>
      <c r="L66" s="20" t="n">
        <v>0.87416639</v>
      </c>
      <c r="M66" s="18" t="n">
        <v>0.30315328</v>
      </c>
      <c r="N66" s="20" t="n">
        <v>0.22111559</v>
      </c>
      <c r="O66" s="18" t="n">
        <v>0</v>
      </c>
      <c r="P66" s="20" t="n">
        <v>0</v>
      </c>
      <c r="Q66" s="18" t="n">
        <v>4.50301676</v>
      </c>
      <c r="R66" s="20" t="n">
        <v>0.7582487999999999</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(486.0/B69*100)</f>
        <v/>
      </c>
      <c r="D69" s="19" t="n">
        <v>234</v>
      </c>
      <c r="E69" s="18" t="n">
        <v>45.30869185</v>
      </c>
      <c r="F69" s="20" t="n">
        <v>2.89196796</v>
      </c>
      <c r="G69" s="18" t="n">
        <v>52.08916359</v>
      </c>
      <c r="H69" s="20" t="n">
        <v>3.08999663</v>
      </c>
      <c r="I69" s="18" t="n">
        <v>0</v>
      </c>
      <c r="J69" s="20" t="n">
        <v>0</v>
      </c>
      <c r="K69" s="18" t="n">
        <v>0.32254992</v>
      </c>
      <c r="L69" s="20" t="n">
        <v>0.31755983</v>
      </c>
      <c r="M69" s="18" t="n">
        <v>0</v>
      </c>
      <c r="N69" s="20" t="n">
        <v>0</v>
      </c>
      <c r="O69" s="18" t="n">
        <v>0</v>
      </c>
      <c r="P69" s="20" t="n">
        <v>0</v>
      </c>
      <c r="Q69" s="18" t="n">
        <v>2.27959464</v>
      </c>
      <c r="R69" s="20" t="n">
        <v>1.37476012</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(1633.0/B71*100)</f>
        <v/>
      </c>
      <c r="D71" s="19" t="n">
        <v>833</v>
      </c>
      <c r="E71" s="18" t="n">
        <v>49.63452347</v>
      </c>
      <c r="F71" s="20" t="n">
        <v>1.8546815</v>
      </c>
      <c r="G71" s="18" t="n">
        <v>50.11625617</v>
      </c>
      <c r="H71" s="20" t="n">
        <v>1.83861168</v>
      </c>
      <c r="I71" s="18" t="n">
        <v>0</v>
      </c>
      <c r="J71" s="20" t="n">
        <v>0</v>
      </c>
      <c r="K71" s="18" t="n">
        <v>0.13250836</v>
      </c>
      <c r="L71" s="20" t="n">
        <v>0.13248237</v>
      </c>
      <c r="M71" s="18" t="n">
        <v>0</v>
      </c>
      <c r="N71" s="20" t="n">
        <v>0</v>
      </c>
      <c r="O71" s="18" t="n">
        <v>0</v>
      </c>
      <c r="P71" s="20" t="n">
        <v>0</v>
      </c>
      <c r="Q71" s="18" t="n">
        <v>0.11671199</v>
      </c>
      <c r="R71" s="20" t="n">
        <v>0.11683455</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34.73960709</v>
      </c>
      <c r="F76" s="20" t="n">
        <v>1.99464711</v>
      </c>
      <c r="G76" s="18" t="n">
        <v>57.59592915</v>
      </c>
      <c r="H76" s="20" t="n">
        <v>2.09885775</v>
      </c>
      <c r="I76" s="18" t="n">
        <v>0</v>
      </c>
      <c r="J76" s="20" t="n">
        <v>0</v>
      </c>
      <c r="K76" s="18" t="n">
        <v>3.79809491</v>
      </c>
      <c r="L76" s="20" t="n">
        <v>0.81934096</v>
      </c>
      <c r="M76" s="18" t="n">
        <v>0</v>
      </c>
      <c r="N76" s="20" t="n">
        <v>0</v>
      </c>
      <c r="O76" s="18" t="n">
        <v>0</v>
      </c>
      <c r="P76" s="20" t="n">
        <v>0</v>
      </c>
      <c r="Q76" s="18" t="n">
        <v>3.86636885</v>
      </c>
      <c r="R76" s="20" t="n">
        <v>0.7600999000000001</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(2026.0/B80*100)</f>
        <v/>
      </c>
      <c r="D80" s="19" t="n">
        <v>1014</v>
      </c>
      <c r="E80" s="18" t="n">
        <v>28.58183161</v>
      </c>
      <c r="F80" s="20" t="n">
        <v>1.47721912</v>
      </c>
      <c r="G80" s="18" t="n">
        <v>71.41816839000001</v>
      </c>
      <c r="H80" s="20" t="n">
        <v>1.47721912</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31.41818395</v>
      </c>
      <c r="F81" s="20" t="n">
        <v>3.10547476</v>
      </c>
      <c r="G81" s="18" t="n">
        <v>59.45171552</v>
      </c>
      <c r="H81" s="20" t="n">
        <v>3.27653707</v>
      </c>
      <c r="I81" s="18" t="n">
        <v>0</v>
      </c>
      <c r="J81" s="20" t="n">
        <v>0</v>
      </c>
      <c r="K81" s="18" t="n">
        <v>2.87587987</v>
      </c>
      <c r="L81" s="20" t="n">
        <v>1.01783311</v>
      </c>
      <c r="M81" s="18" t="n">
        <v>0</v>
      </c>
      <c r="N81" s="20" t="n">
        <v>0</v>
      </c>
      <c r="O81" s="18" t="n">
        <v>0.36305512</v>
      </c>
      <c r="P81" s="20" t="n">
        <v>0.35940685</v>
      </c>
      <c r="Q81" s="18" t="n">
        <v>5.89116554</v>
      </c>
      <c r="R81" s="20" t="n">
        <v>1.55091945</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(1790.0/B44*100)</f>
        <v/>
      </c>
      <c r="D44" s="19" t="n">
        <v>901</v>
      </c>
      <c r="E44" s="18" t="n">
        <v>36.39648414</v>
      </c>
      <c r="F44" s="20" t="n">
        <v>2.19212841</v>
      </c>
      <c r="G44" s="18" t="n">
        <v>59.04149743</v>
      </c>
      <c r="H44" s="20" t="n">
        <v>2.21992175</v>
      </c>
      <c r="I44" s="18" t="n">
        <v>0</v>
      </c>
      <c r="J44" s="20" t="n">
        <v>0</v>
      </c>
      <c r="K44" s="18" t="n">
        <v>1.32188154</v>
      </c>
      <c r="L44" s="20" t="n">
        <v>0.40955987</v>
      </c>
      <c r="M44" s="18" t="n">
        <v>0</v>
      </c>
      <c r="N44" s="20" t="n">
        <v>0</v>
      </c>
      <c r="O44" s="18" t="n">
        <v>0.57562555</v>
      </c>
      <c r="P44" s="20" t="n">
        <v>0.22786635</v>
      </c>
      <c r="Q44" s="18" t="n">
        <v>2.66451134</v>
      </c>
      <c r="R44" s="20" t="n">
        <v>0.50503841</v>
      </c>
    </row>
    <row r="45" spans="1:18">
      <c r="A45" s="15" t="s">
        <v>604</v>
      </c>
      <c r="B45" s="17" t="n">
        <v>2670</v>
      </c>
      <c r="C45" s="18">
        <f>(1798.0/B45*100)</f>
        <v/>
      </c>
      <c r="D45" s="19" t="n">
        <v>872</v>
      </c>
      <c r="E45" s="18" t="n">
        <v>38.96654605</v>
      </c>
      <c r="F45" s="20" t="n">
        <v>1.42777615</v>
      </c>
      <c r="G45" s="18" t="n">
        <v>46.89328842</v>
      </c>
      <c r="H45" s="20" t="n">
        <v>1.46735046</v>
      </c>
      <c r="I45" s="18" t="n">
        <v>0</v>
      </c>
      <c r="J45" s="20" t="n">
        <v>0</v>
      </c>
      <c r="K45" s="18" t="n">
        <v>5.23096958</v>
      </c>
      <c r="L45" s="20" t="n">
        <v>0.85622688</v>
      </c>
      <c r="M45" s="18" t="n">
        <v>0.68297953</v>
      </c>
      <c r="N45" s="20" t="n">
        <v>0.27607422</v>
      </c>
      <c r="O45" s="18" t="n">
        <v>1.80458951</v>
      </c>
      <c r="P45" s="20" t="n">
        <v>0.52983688</v>
      </c>
      <c r="Q45" s="18" t="n">
        <v>6.4216269</v>
      </c>
      <c r="R45" s="20" t="n">
        <v>0.78923943</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(1702.0/B54*100)</f>
        <v/>
      </c>
      <c r="D54" s="19" t="n">
        <v>855</v>
      </c>
      <c r="E54" s="18" t="n">
        <v>61.41338096</v>
      </c>
      <c r="F54" s="20" t="n">
        <v>1.90959783</v>
      </c>
      <c r="G54" s="18" t="n">
        <v>33.05195843</v>
      </c>
      <c r="H54" s="20" t="n">
        <v>1.85570244</v>
      </c>
      <c r="I54" s="18" t="n">
        <v>0</v>
      </c>
      <c r="J54" s="20" t="n">
        <v>0</v>
      </c>
      <c r="K54" s="18" t="n">
        <v>1.74979893</v>
      </c>
      <c r="L54" s="20" t="n">
        <v>0.43736418</v>
      </c>
      <c r="M54" s="18" t="n">
        <v>0.11114396</v>
      </c>
      <c r="N54" s="20" t="n">
        <v>0.11018484</v>
      </c>
      <c r="O54" s="18" t="n">
        <v>0.68508325</v>
      </c>
      <c r="P54" s="20" t="n">
        <v>0.32230803</v>
      </c>
      <c r="Q54" s="18" t="n">
        <v>2.98863447</v>
      </c>
      <c r="R54" s="20" t="n">
        <v>0.56979464</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(2223.0/B56*100)</f>
        <v/>
      </c>
      <c r="D56" s="19" t="n">
        <v>1120</v>
      </c>
      <c r="E56" s="18" t="n">
        <v>50.25734296</v>
      </c>
      <c r="F56" s="20" t="n">
        <v>1.79621858</v>
      </c>
      <c r="G56" s="18" t="n">
        <v>47.28266753</v>
      </c>
      <c r="H56" s="20" t="n">
        <v>1.83981935</v>
      </c>
      <c r="I56" s="18" t="n">
        <v>0</v>
      </c>
      <c r="J56" s="20" t="n">
        <v>0</v>
      </c>
      <c r="K56" s="18" t="n">
        <v>1.52469014</v>
      </c>
      <c r="L56" s="20" t="n">
        <v>0.40361224</v>
      </c>
      <c r="M56" s="18" t="n">
        <v>0</v>
      </c>
      <c r="N56" s="20" t="n">
        <v>0</v>
      </c>
      <c r="O56" s="18" t="n">
        <v>0</v>
      </c>
      <c r="P56" s="20" t="n">
        <v>0</v>
      </c>
      <c r="Q56" s="18" t="n">
        <v>0.93529938</v>
      </c>
      <c r="R56" s="20" t="n">
        <v>0.29024908</v>
      </c>
    </row>
    <row r="57" spans="1:18">
      <c r="A57" s="15" t="s">
        <v>616</v>
      </c>
      <c r="B57" s="17" t="n">
        <v>3737</v>
      </c>
      <c r="C57" s="18">
        <f>(2488.0/B57*100)</f>
        <v/>
      </c>
      <c r="D57" s="19" t="n">
        <v>1249</v>
      </c>
      <c r="E57" s="18" t="n">
        <v>37.96990007</v>
      </c>
      <c r="F57" s="20" t="n">
        <v>1.94575594</v>
      </c>
      <c r="G57" s="18" t="n">
        <v>57.46745392</v>
      </c>
      <c r="H57" s="20" t="n">
        <v>1.95017887</v>
      </c>
      <c r="I57" s="18" t="n">
        <v>0</v>
      </c>
      <c r="J57" s="20" t="n">
        <v>0</v>
      </c>
      <c r="K57" s="18" t="n">
        <v>2.594682</v>
      </c>
      <c r="L57" s="20" t="n">
        <v>0.3923418</v>
      </c>
      <c r="M57" s="18" t="n">
        <v>0</v>
      </c>
      <c r="N57" s="20" t="n">
        <v>0</v>
      </c>
      <c r="O57" s="18" t="n">
        <v>0.20288594</v>
      </c>
      <c r="P57" s="20" t="n">
        <v>0.14640416</v>
      </c>
      <c r="Q57" s="18" t="n">
        <v>1.76507808</v>
      </c>
      <c r="R57" s="20" t="n">
        <v>0.6059731900000001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(1518.0/B59*100)</f>
        <v/>
      </c>
      <c r="D59" s="19" t="n">
        <v>760</v>
      </c>
      <c r="E59" s="18" t="n">
        <v>47.56004435</v>
      </c>
      <c r="F59" s="20" t="n">
        <v>2.27099313</v>
      </c>
      <c r="G59" s="18" t="n">
        <v>48.42914395</v>
      </c>
      <c r="H59" s="20" t="n">
        <v>1.97913486</v>
      </c>
      <c r="I59" s="18" t="n">
        <v>0</v>
      </c>
      <c r="J59" s="20" t="n">
        <v>0</v>
      </c>
      <c r="K59" s="18" t="n">
        <v>1.31967721</v>
      </c>
      <c r="L59" s="20" t="n">
        <v>0.4598705</v>
      </c>
      <c r="M59" s="18" t="n">
        <v>0.50085747</v>
      </c>
      <c r="N59" s="20" t="n">
        <v>0.32415812</v>
      </c>
      <c r="O59" s="18" t="n">
        <v>1.76472651</v>
      </c>
      <c r="P59" s="20" t="n">
        <v>0.49927291</v>
      </c>
      <c r="Q59" s="18" t="n">
        <v>0.4255505</v>
      </c>
      <c r="R59" s="20" t="n">
        <v>0.24676369</v>
      </c>
    </row>
    <row r="60" spans="1:18">
      <c r="A60" s="15" t="s">
        <v>620</v>
      </c>
      <c r="B60" s="17" t="n">
        <v>2451</v>
      </c>
      <c r="C60" s="18">
        <f>(1622.0/B60*100)</f>
        <v/>
      </c>
      <c r="D60" s="19" t="n">
        <v>829</v>
      </c>
      <c r="E60" s="18" t="n">
        <v>39.15681905</v>
      </c>
      <c r="F60" s="20" t="n">
        <v>2.0659125</v>
      </c>
      <c r="G60" s="18" t="n">
        <v>53.13166608</v>
      </c>
      <c r="H60" s="20" t="n">
        <v>2.09198724</v>
      </c>
      <c r="I60" s="18" t="n">
        <v>0</v>
      </c>
      <c r="J60" s="20" t="n">
        <v>0</v>
      </c>
      <c r="K60" s="18" t="n">
        <v>3.85520608</v>
      </c>
      <c r="L60" s="20" t="n">
        <v>0.7801932499999999</v>
      </c>
      <c r="M60" s="18" t="n">
        <v>0</v>
      </c>
      <c r="N60" s="20" t="n">
        <v>0</v>
      </c>
      <c r="O60" s="18" t="n">
        <v>1.33641411</v>
      </c>
      <c r="P60" s="20" t="n">
        <v>0.59783134</v>
      </c>
      <c r="Q60" s="18" t="n">
        <v>2.51989468</v>
      </c>
      <c r="R60" s="20" t="n">
        <v>0.56112858</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(1674.0/B63*100)</f>
        <v/>
      </c>
      <c r="D63" s="19" t="n">
        <v>837</v>
      </c>
      <c r="E63" s="18" t="n">
        <v>39.58267163</v>
      </c>
      <c r="F63" s="20" t="n">
        <v>1.67075517</v>
      </c>
      <c r="G63" s="18" t="n">
        <v>54.09402548</v>
      </c>
      <c r="H63" s="20" t="n">
        <v>1.67060583</v>
      </c>
      <c r="I63" s="18" t="n">
        <v>0</v>
      </c>
      <c r="J63" s="20" t="n">
        <v>0</v>
      </c>
      <c r="K63" s="18" t="n">
        <v>2.64008655</v>
      </c>
      <c r="L63" s="20" t="n">
        <v>0.67621581</v>
      </c>
      <c r="M63" s="18" t="n">
        <v>0</v>
      </c>
      <c r="N63" s="20" t="n">
        <v>0</v>
      </c>
      <c r="O63" s="18" t="n">
        <v>0.1229017</v>
      </c>
      <c r="P63" s="20" t="n">
        <v>0.12409264</v>
      </c>
      <c r="Q63" s="18" t="n">
        <v>3.56031465</v>
      </c>
      <c r="R63" s="20" t="n">
        <v>0.68230409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21.7127262</v>
      </c>
      <c r="F65" s="20" t="n">
        <v>1.75013288</v>
      </c>
      <c r="G65" s="18" t="n">
        <v>75.72282522</v>
      </c>
      <c r="H65" s="20" t="n">
        <v>1.76330806</v>
      </c>
      <c r="I65" s="18" t="n">
        <v>0</v>
      </c>
      <c r="J65" s="20" t="n">
        <v>0</v>
      </c>
      <c r="K65" s="18" t="n">
        <v>1.03312423</v>
      </c>
      <c r="L65" s="20" t="n">
        <v>0.45665892</v>
      </c>
      <c r="M65" s="18" t="n">
        <v>0</v>
      </c>
      <c r="N65" s="20" t="n">
        <v>0</v>
      </c>
      <c r="O65" s="18" t="n">
        <v>0</v>
      </c>
      <c r="P65" s="20" t="n">
        <v>0</v>
      </c>
      <c r="Q65" s="18" t="n">
        <v>1.53132435</v>
      </c>
      <c r="R65" s="20" t="n">
        <v>0.5483996799999999</v>
      </c>
    </row>
    <row r="66" spans="1:18">
      <c r="A66" s="15" t="s">
        <v>626</v>
      </c>
      <c r="B66" s="17" t="n">
        <v>2634</v>
      </c>
      <c r="C66" s="18">
        <f>(1749.0/B66*100)</f>
        <v/>
      </c>
      <c r="D66" s="19" t="n">
        <v>885</v>
      </c>
      <c r="E66" s="18" t="n">
        <v>40.18649049</v>
      </c>
      <c r="F66" s="20" t="n">
        <v>1.96437808</v>
      </c>
      <c r="G66" s="18" t="n">
        <v>52.54920202</v>
      </c>
      <c r="H66" s="20" t="n">
        <v>2.01202639</v>
      </c>
      <c r="I66" s="18" t="n">
        <v>0</v>
      </c>
      <c r="J66" s="20" t="n">
        <v>0</v>
      </c>
      <c r="K66" s="18" t="n">
        <v>4.67841482</v>
      </c>
      <c r="L66" s="20" t="n">
        <v>0.88411093</v>
      </c>
      <c r="M66" s="18" t="n">
        <v>0.77118253</v>
      </c>
      <c r="N66" s="20" t="n">
        <v>0.30937607</v>
      </c>
      <c r="O66" s="18" t="n">
        <v>0</v>
      </c>
      <c r="P66" s="20" t="n">
        <v>0</v>
      </c>
      <c r="Q66" s="18" t="n">
        <v>1.81471014</v>
      </c>
      <c r="R66" s="20" t="n">
        <v>0.48640889</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(486.0/B69*100)</f>
        <v/>
      </c>
      <c r="D69" s="19" t="n">
        <v>234</v>
      </c>
      <c r="E69" s="18" t="n">
        <v>49.40286204</v>
      </c>
      <c r="F69" s="20" t="n">
        <v>4.41834595</v>
      </c>
      <c r="G69" s="18" t="n">
        <v>47.90166516</v>
      </c>
      <c r="H69" s="20" t="n">
        <v>4.19080721</v>
      </c>
      <c r="I69" s="18" t="n">
        <v>0</v>
      </c>
      <c r="J69" s="20" t="n">
        <v>0</v>
      </c>
      <c r="K69" s="18" t="n">
        <v>0.32254992</v>
      </c>
      <c r="L69" s="20" t="n">
        <v>0.31755983</v>
      </c>
      <c r="M69" s="18" t="n">
        <v>0</v>
      </c>
      <c r="N69" s="20" t="n">
        <v>0</v>
      </c>
      <c r="O69" s="18" t="n">
        <v>0.44617639</v>
      </c>
      <c r="P69" s="20" t="n">
        <v>0.44782175</v>
      </c>
      <c r="Q69" s="18" t="n">
        <v>1.92674648</v>
      </c>
      <c r="R69" s="20" t="n">
        <v>1.11895376</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(1633.0/B71*100)</f>
        <v/>
      </c>
      <c r="D71" s="19" t="n">
        <v>833</v>
      </c>
      <c r="E71" s="18" t="n">
        <v>48.02582261</v>
      </c>
      <c r="F71" s="20" t="n">
        <v>2.06867329</v>
      </c>
      <c r="G71" s="18" t="n">
        <v>51.72319756</v>
      </c>
      <c r="H71" s="20" t="n">
        <v>2.05684986</v>
      </c>
      <c r="I71" s="18" t="n">
        <v>0</v>
      </c>
      <c r="J71" s="20" t="n">
        <v>0</v>
      </c>
      <c r="K71" s="18" t="n">
        <v>0.13250836</v>
      </c>
      <c r="L71" s="20" t="n">
        <v>0.13248237</v>
      </c>
      <c r="M71" s="18" t="n">
        <v>0</v>
      </c>
      <c r="N71" s="20" t="n">
        <v>0</v>
      </c>
      <c r="O71" s="18" t="n">
        <v>0</v>
      </c>
      <c r="P71" s="20" t="n">
        <v>0</v>
      </c>
      <c r="Q71" s="18" t="n">
        <v>0.11847146</v>
      </c>
      <c r="R71" s="20" t="n">
        <v>0.11798617</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28.38017151</v>
      </c>
      <c r="F76" s="20" t="n">
        <v>1.80252745</v>
      </c>
      <c r="G76" s="18" t="n">
        <v>65.64236409</v>
      </c>
      <c r="H76" s="20" t="n">
        <v>2.04365725</v>
      </c>
      <c r="I76" s="18" t="n">
        <v>0</v>
      </c>
      <c r="J76" s="20" t="n">
        <v>0</v>
      </c>
      <c r="K76" s="18" t="n">
        <v>4.07752714</v>
      </c>
      <c r="L76" s="20" t="n">
        <v>0.84375099</v>
      </c>
      <c r="M76" s="18" t="n">
        <v>0</v>
      </c>
      <c r="N76" s="20" t="n">
        <v>0</v>
      </c>
      <c r="O76" s="18" t="n">
        <v>0.05183908</v>
      </c>
      <c r="P76" s="20" t="n">
        <v>0.05176015</v>
      </c>
      <c r="Q76" s="18" t="n">
        <v>1.84809818</v>
      </c>
      <c r="R76" s="20" t="n">
        <v>0.5098525</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(2026.0/B80*100)</f>
        <v/>
      </c>
      <c r="D80" s="19" t="n">
        <v>1014</v>
      </c>
      <c r="E80" s="18" t="n">
        <v>14.11288243</v>
      </c>
      <c r="F80" s="20" t="n">
        <v>1.3310652</v>
      </c>
      <c r="G80" s="18" t="n">
        <v>85.88711757</v>
      </c>
      <c r="H80" s="20" t="n">
        <v>1.3310652</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36.80740677</v>
      </c>
      <c r="F81" s="20" t="n">
        <v>3.07374371</v>
      </c>
      <c r="G81" s="18" t="n">
        <v>58.26196408</v>
      </c>
      <c r="H81" s="20" t="n">
        <v>3.2451578</v>
      </c>
      <c r="I81" s="18" t="n">
        <v>0</v>
      </c>
      <c r="J81" s="20" t="n">
        <v>0</v>
      </c>
      <c r="K81" s="18" t="n">
        <v>2.87587987</v>
      </c>
      <c r="L81" s="20" t="n">
        <v>1.01783311</v>
      </c>
      <c r="M81" s="18" t="n">
        <v>0</v>
      </c>
      <c r="N81" s="20" t="n">
        <v>0</v>
      </c>
      <c r="O81" s="18" t="n">
        <v>0.17152875</v>
      </c>
      <c r="P81" s="20" t="n">
        <v>0.17066221</v>
      </c>
      <c r="Q81" s="18" t="n">
        <v>1.88322053</v>
      </c>
      <c r="R81" s="20" t="n">
        <v>0.81992463</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(1790.0/B44*100)</f>
        <v/>
      </c>
      <c r="D44" s="19" t="n">
        <v>901</v>
      </c>
      <c r="E44" s="18" t="n">
        <v>40.90616482</v>
      </c>
      <c r="F44" s="20" t="n">
        <v>2.20519411</v>
      </c>
      <c r="G44" s="18" t="n">
        <v>50.63004608</v>
      </c>
      <c r="H44" s="20" t="n">
        <v>2.14364072</v>
      </c>
      <c r="I44" s="18" t="n">
        <v>0</v>
      </c>
      <c r="J44" s="20" t="n">
        <v>0</v>
      </c>
      <c r="K44" s="18" t="n">
        <v>1.83647548</v>
      </c>
      <c r="L44" s="20" t="n">
        <v>0.46185559</v>
      </c>
      <c r="M44" s="18" t="n">
        <v>0</v>
      </c>
      <c r="N44" s="20" t="n">
        <v>0</v>
      </c>
      <c r="O44" s="18" t="n">
        <v>0.27608374</v>
      </c>
      <c r="P44" s="20" t="n">
        <v>0.16458187</v>
      </c>
      <c r="Q44" s="18" t="n">
        <v>6.35122988</v>
      </c>
      <c r="R44" s="20" t="n">
        <v>0.9736663800000001</v>
      </c>
    </row>
    <row r="45" spans="1:18">
      <c r="A45" s="15" t="s">
        <v>604</v>
      </c>
      <c r="B45" s="17" t="n">
        <v>2670</v>
      </c>
      <c r="C45" s="18">
        <f>(1798.0/B45*100)</f>
        <v/>
      </c>
      <c r="D45" s="19" t="n">
        <v>872</v>
      </c>
      <c r="E45" s="18" t="n">
        <v>61.24082827</v>
      </c>
      <c r="F45" s="20" t="n">
        <v>1.81328624</v>
      </c>
      <c r="G45" s="18" t="n">
        <v>22.80970629</v>
      </c>
      <c r="H45" s="20" t="n">
        <v>1.596259</v>
      </c>
      <c r="I45" s="18" t="n">
        <v>0</v>
      </c>
      <c r="J45" s="20" t="n">
        <v>0</v>
      </c>
      <c r="K45" s="18" t="n">
        <v>5.32226153</v>
      </c>
      <c r="L45" s="20" t="n">
        <v>0.87842082</v>
      </c>
      <c r="M45" s="18" t="n">
        <v>0.68297953</v>
      </c>
      <c r="N45" s="20" t="n">
        <v>0.27607422</v>
      </c>
      <c r="O45" s="18" t="n">
        <v>1.88919981</v>
      </c>
      <c r="P45" s="20" t="n">
        <v>0.56927587</v>
      </c>
      <c r="Q45" s="18" t="n">
        <v>8.05502457</v>
      </c>
      <c r="R45" s="20" t="n">
        <v>0.9017383</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(1702.0/B54*100)</f>
        <v/>
      </c>
      <c r="D54" s="19" t="n">
        <v>855</v>
      </c>
      <c r="E54" s="18" t="n">
        <v>52.69694554</v>
      </c>
      <c r="F54" s="20" t="n">
        <v>1.95811538</v>
      </c>
      <c r="G54" s="18" t="n">
        <v>41.84441327</v>
      </c>
      <c r="H54" s="20" t="n">
        <v>1.95500293</v>
      </c>
      <c r="I54" s="18" t="n">
        <v>0</v>
      </c>
      <c r="J54" s="20" t="n">
        <v>0</v>
      </c>
      <c r="K54" s="18" t="n">
        <v>2.29843753</v>
      </c>
      <c r="L54" s="20" t="n">
        <v>0.51082656</v>
      </c>
      <c r="M54" s="18" t="n">
        <v>0.11114396</v>
      </c>
      <c r="N54" s="20" t="n">
        <v>0.11018484</v>
      </c>
      <c r="O54" s="18" t="n">
        <v>0</v>
      </c>
      <c r="P54" s="20" t="n">
        <v>0</v>
      </c>
      <c r="Q54" s="18" t="n">
        <v>3.0490597</v>
      </c>
      <c r="R54" s="20" t="n">
        <v>0.55015366</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(2223.0/B56*100)</f>
        <v/>
      </c>
      <c r="D56" s="19" t="n">
        <v>1120</v>
      </c>
      <c r="E56" s="18" t="n">
        <v>65.37596698999999</v>
      </c>
      <c r="F56" s="20" t="n">
        <v>1.68070005</v>
      </c>
      <c r="G56" s="18" t="n">
        <v>31.20856265</v>
      </c>
      <c r="H56" s="20" t="n">
        <v>1.65040249</v>
      </c>
      <c r="I56" s="18" t="n">
        <v>0</v>
      </c>
      <c r="J56" s="20" t="n">
        <v>0</v>
      </c>
      <c r="K56" s="18" t="n">
        <v>1.72363697</v>
      </c>
      <c r="L56" s="20" t="n">
        <v>0.42286856</v>
      </c>
      <c r="M56" s="18" t="n">
        <v>0</v>
      </c>
      <c r="N56" s="20" t="n">
        <v>0</v>
      </c>
      <c r="O56" s="18" t="n">
        <v>0</v>
      </c>
      <c r="P56" s="20" t="n">
        <v>0</v>
      </c>
      <c r="Q56" s="18" t="n">
        <v>1.69183339</v>
      </c>
      <c r="R56" s="20" t="n">
        <v>0.46723133</v>
      </c>
    </row>
    <row r="57" spans="1:18">
      <c r="A57" s="15" t="s">
        <v>616</v>
      </c>
      <c r="B57" s="17" t="n">
        <v>3737</v>
      </c>
      <c r="C57" s="18">
        <f>(2488.0/B57*100)</f>
        <v/>
      </c>
      <c r="D57" s="19" t="n">
        <v>1249</v>
      </c>
      <c r="E57" s="18" t="n">
        <v>47.95829941</v>
      </c>
      <c r="F57" s="20" t="n">
        <v>2.24973123</v>
      </c>
      <c r="G57" s="18" t="n">
        <v>46.96007532</v>
      </c>
      <c r="H57" s="20" t="n">
        <v>2.23273368</v>
      </c>
      <c r="I57" s="18" t="n">
        <v>0</v>
      </c>
      <c r="J57" s="20" t="n">
        <v>0</v>
      </c>
      <c r="K57" s="18" t="n">
        <v>2.76514861</v>
      </c>
      <c r="L57" s="20" t="n">
        <v>0.40502115</v>
      </c>
      <c r="M57" s="18" t="n">
        <v>0</v>
      </c>
      <c r="N57" s="20" t="n">
        <v>0</v>
      </c>
      <c r="O57" s="18" t="n">
        <v>0.27008325</v>
      </c>
      <c r="P57" s="20" t="n">
        <v>0.17962237</v>
      </c>
      <c r="Q57" s="18" t="n">
        <v>2.04639342</v>
      </c>
      <c r="R57" s="20" t="n">
        <v>0.53993895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(1518.0/B59*100)</f>
        <v/>
      </c>
      <c r="D59" s="19" t="n">
        <v>760</v>
      </c>
      <c r="E59" s="18" t="n">
        <v>53.25817879</v>
      </c>
      <c r="F59" s="20" t="n">
        <v>2.35639012</v>
      </c>
      <c r="G59" s="18" t="n">
        <v>43.59287483</v>
      </c>
      <c r="H59" s="20" t="n">
        <v>2.3006164</v>
      </c>
      <c r="I59" s="18" t="n">
        <v>0</v>
      </c>
      <c r="J59" s="20" t="n">
        <v>0</v>
      </c>
      <c r="K59" s="18" t="n">
        <v>1.48453436</v>
      </c>
      <c r="L59" s="20" t="n">
        <v>0.48749066</v>
      </c>
      <c r="M59" s="18" t="n">
        <v>0</v>
      </c>
      <c r="N59" s="20" t="n">
        <v>0</v>
      </c>
      <c r="O59" s="18" t="n">
        <v>0.57709445</v>
      </c>
      <c r="P59" s="20" t="n">
        <v>0.29253235</v>
      </c>
      <c r="Q59" s="18" t="n">
        <v>1.08731757</v>
      </c>
      <c r="R59" s="20" t="n">
        <v>0.38826481</v>
      </c>
    </row>
    <row r="60" spans="1:18">
      <c r="A60" s="15" t="s">
        <v>620</v>
      </c>
      <c r="B60" s="17" t="n">
        <v>2451</v>
      </c>
      <c r="C60" s="18">
        <f>(1622.0/B60*100)</f>
        <v/>
      </c>
      <c r="D60" s="19" t="n">
        <v>829</v>
      </c>
      <c r="E60" s="18" t="n">
        <v>60.53581855</v>
      </c>
      <c r="F60" s="20" t="n">
        <v>2.0762844</v>
      </c>
      <c r="G60" s="18" t="n">
        <v>26.82339796</v>
      </c>
      <c r="H60" s="20" t="n">
        <v>1.64637833</v>
      </c>
      <c r="I60" s="18" t="n">
        <v>0</v>
      </c>
      <c r="J60" s="20" t="n">
        <v>0</v>
      </c>
      <c r="K60" s="18" t="n">
        <v>4.50389484</v>
      </c>
      <c r="L60" s="20" t="n">
        <v>0.88256366</v>
      </c>
      <c r="M60" s="18" t="n">
        <v>0</v>
      </c>
      <c r="N60" s="20" t="n">
        <v>0</v>
      </c>
      <c r="O60" s="18" t="n">
        <v>0.45294734</v>
      </c>
      <c r="P60" s="20" t="n">
        <v>0.38667233</v>
      </c>
      <c r="Q60" s="18" t="n">
        <v>7.6839413</v>
      </c>
      <c r="R60" s="20" t="n">
        <v>1.09571313</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(1674.0/B63*100)</f>
        <v/>
      </c>
      <c r="D63" s="19" t="n">
        <v>837</v>
      </c>
      <c r="E63" s="18" t="n">
        <v>43.30929972</v>
      </c>
      <c r="F63" s="20" t="n">
        <v>1.89526105</v>
      </c>
      <c r="G63" s="18" t="n">
        <v>48.46130526</v>
      </c>
      <c r="H63" s="20" t="n">
        <v>1.89907465</v>
      </c>
      <c r="I63" s="18" t="n">
        <v>0</v>
      </c>
      <c r="J63" s="20" t="n">
        <v>0</v>
      </c>
      <c r="K63" s="18" t="n">
        <v>3.16979269</v>
      </c>
      <c r="L63" s="20" t="n">
        <v>0.7200468799999999</v>
      </c>
      <c r="M63" s="18" t="n">
        <v>0</v>
      </c>
      <c r="N63" s="20" t="n">
        <v>0</v>
      </c>
      <c r="O63" s="18" t="n">
        <v>0</v>
      </c>
      <c r="P63" s="20" t="n">
        <v>0</v>
      </c>
      <c r="Q63" s="18" t="n">
        <v>5.05960233</v>
      </c>
      <c r="R63" s="20" t="n">
        <v>0.80398529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50.77106808</v>
      </c>
      <c r="F65" s="20" t="n">
        <v>2.09839426</v>
      </c>
      <c r="G65" s="18" t="n">
        <v>44.08350674</v>
      </c>
      <c r="H65" s="20" t="n">
        <v>1.97264952</v>
      </c>
      <c r="I65" s="18" t="n">
        <v>0</v>
      </c>
      <c r="J65" s="20" t="n">
        <v>0</v>
      </c>
      <c r="K65" s="18" t="n">
        <v>1.03312423</v>
      </c>
      <c r="L65" s="20" t="n">
        <v>0.45665892</v>
      </c>
      <c r="M65" s="18" t="n">
        <v>0</v>
      </c>
      <c r="N65" s="20" t="n">
        <v>0</v>
      </c>
      <c r="O65" s="18" t="n">
        <v>0.58151482</v>
      </c>
      <c r="P65" s="20" t="n">
        <v>0.33769949</v>
      </c>
      <c r="Q65" s="18" t="n">
        <v>3.53078612</v>
      </c>
      <c r="R65" s="20" t="n">
        <v>0.83877179</v>
      </c>
    </row>
    <row r="66" spans="1:18">
      <c r="A66" s="15" t="s">
        <v>626</v>
      </c>
      <c r="B66" s="17" t="n">
        <v>2634</v>
      </c>
      <c r="C66" s="18">
        <f>(1749.0/B66*100)</f>
        <v/>
      </c>
      <c r="D66" s="19" t="n">
        <v>885</v>
      </c>
      <c r="E66" s="18" t="n">
        <v>46.77615545</v>
      </c>
      <c r="F66" s="20" t="n">
        <v>1.76929145</v>
      </c>
      <c r="G66" s="18" t="n">
        <v>43.59899993</v>
      </c>
      <c r="H66" s="20" t="n">
        <v>1.59803428</v>
      </c>
      <c r="I66" s="18" t="n">
        <v>0</v>
      </c>
      <c r="J66" s="20" t="n">
        <v>0</v>
      </c>
      <c r="K66" s="18" t="n">
        <v>5.02429152</v>
      </c>
      <c r="L66" s="20" t="n">
        <v>0.91020569</v>
      </c>
      <c r="M66" s="18" t="n">
        <v>0.30911089</v>
      </c>
      <c r="N66" s="20" t="n">
        <v>0.18057738</v>
      </c>
      <c r="O66" s="18" t="n">
        <v>0</v>
      </c>
      <c r="P66" s="20" t="n">
        <v>0</v>
      </c>
      <c r="Q66" s="18" t="n">
        <v>4.29144222</v>
      </c>
      <c r="R66" s="20" t="n">
        <v>0.6671702900000001</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(486.0/B69*100)</f>
        <v/>
      </c>
      <c r="D69" s="19" t="n">
        <v>234</v>
      </c>
      <c r="E69" s="18" t="n">
        <v>63.64801691</v>
      </c>
      <c r="F69" s="20" t="n">
        <v>3.48245687</v>
      </c>
      <c r="G69" s="18" t="n">
        <v>35.11538517</v>
      </c>
      <c r="H69" s="20" t="n">
        <v>3.5849027</v>
      </c>
      <c r="I69" s="18" t="n">
        <v>0</v>
      </c>
      <c r="J69" s="20" t="n">
        <v>0</v>
      </c>
      <c r="K69" s="18" t="n">
        <v>0.32254992</v>
      </c>
      <c r="L69" s="20" t="n">
        <v>0.31755983</v>
      </c>
      <c r="M69" s="18" t="n">
        <v>0</v>
      </c>
      <c r="N69" s="20" t="n">
        <v>0</v>
      </c>
      <c r="O69" s="18" t="n">
        <v>0</v>
      </c>
      <c r="P69" s="20" t="n">
        <v>0</v>
      </c>
      <c r="Q69" s="18" t="n">
        <v>0.914048</v>
      </c>
      <c r="R69" s="20" t="n">
        <v>0.67988087</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(1633.0/B71*100)</f>
        <v/>
      </c>
      <c r="D71" s="19" t="n">
        <v>833</v>
      </c>
      <c r="E71" s="18" t="n">
        <v>48.78887789</v>
      </c>
      <c r="F71" s="20" t="n">
        <v>1.89205261</v>
      </c>
      <c r="G71" s="18" t="n">
        <v>51.07861375</v>
      </c>
      <c r="H71" s="20" t="n">
        <v>1.86786538</v>
      </c>
      <c r="I71" s="18" t="n">
        <v>0</v>
      </c>
      <c r="J71" s="20" t="n">
        <v>0</v>
      </c>
      <c r="K71" s="18" t="n">
        <v>0.13250836</v>
      </c>
      <c r="L71" s="20" t="n">
        <v>0.13248237</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50.44410085</v>
      </c>
      <c r="F76" s="20" t="n">
        <v>1.90383434</v>
      </c>
      <c r="G76" s="18" t="n">
        <v>41.57693271</v>
      </c>
      <c r="H76" s="20" t="n">
        <v>2.00063267</v>
      </c>
      <c r="I76" s="18" t="n">
        <v>0</v>
      </c>
      <c r="J76" s="20" t="n">
        <v>0</v>
      </c>
      <c r="K76" s="18" t="n">
        <v>4.21494438</v>
      </c>
      <c r="L76" s="20" t="n">
        <v>0.85878097</v>
      </c>
      <c r="M76" s="18" t="n">
        <v>0</v>
      </c>
      <c r="N76" s="20" t="n">
        <v>0</v>
      </c>
      <c r="O76" s="18" t="n">
        <v>0</v>
      </c>
      <c r="P76" s="20" t="n">
        <v>0</v>
      </c>
      <c r="Q76" s="18" t="n">
        <v>3.76402207</v>
      </c>
      <c r="R76" s="20" t="n">
        <v>0.7960745299999999</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(2026.0/B80*100)</f>
        <v/>
      </c>
      <c r="D80" s="19" t="n">
        <v>1014</v>
      </c>
      <c r="E80" s="18" t="n">
        <v>30.87736229</v>
      </c>
      <c r="F80" s="20" t="n">
        <v>1.53803028</v>
      </c>
      <c r="G80" s="18" t="n">
        <v>69.12263771000001</v>
      </c>
      <c r="H80" s="20" t="n">
        <v>1.53803028</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42.17152086</v>
      </c>
      <c r="F81" s="20" t="n">
        <v>2.7001979</v>
      </c>
      <c r="G81" s="18" t="n">
        <v>51.22708781</v>
      </c>
      <c r="H81" s="20" t="n">
        <v>2.74898281</v>
      </c>
      <c r="I81" s="18" t="n">
        <v>0</v>
      </c>
      <c r="J81" s="20" t="n">
        <v>0</v>
      </c>
      <c r="K81" s="18" t="n">
        <v>2.87587987</v>
      </c>
      <c r="L81" s="20" t="n">
        <v>1.01783311</v>
      </c>
      <c r="M81" s="18" t="n">
        <v>0</v>
      </c>
      <c r="N81" s="20" t="n">
        <v>0</v>
      </c>
      <c r="O81" s="18" t="n">
        <v>0</v>
      </c>
      <c r="P81" s="20" t="n">
        <v>0</v>
      </c>
      <c r="Q81" s="18" t="n">
        <v>3.72551146</v>
      </c>
      <c r="R81" s="20" t="n">
        <v>1.19506493</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(1790.0/B44*100)</f>
        <v/>
      </c>
      <c r="D44" s="19" t="n">
        <v>901</v>
      </c>
      <c r="E44" s="18" t="n">
        <v>68.19530817</v>
      </c>
      <c r="F44" s="20" t="n">
        <v>2.1707873</v>
      </c>
      <c r="G44" s="18" t="n">
        <v>26.70837061</v>
      </c>
      <c r="H44" s="20" t="n">
        <v>1.99851992</v>
      </c>
      <c r="I44" s="18" t="n">
        <v>0</v>
      </c>
      <c r="J44" s="20" t="n">
        <v>0</v>
      </c>
      <c r="K44" s="18" t="n">
        <v>1.94180806</v>
      </c>
      <c r="L44" s="20" t="n">
        <v>0.47299246</v>
      </c>
      <c r="M44" s="18" t="n">
        <v>0</v>
      </c>
      <c r="N44" s="20" t="n">
        <v>0</v>
      </c>
      <c r="O44" s="18" t="n">
        <v>0</v>
      </c>
      <c r="P44" s="20" t="n">
        <v>0</v>
      </c>
      <c r="Q44" s="18" t="n">
        <v>3.15451316</v>
      </c>
      <c r="R44" s="20" t="n">
        <v>0.80004721</v>
      </c>
    </row>
    <row r="45" spans="1:18">
      <c r="A45" s="15" t="s">
        <v>604</v>
      </c>
      <c r="B45" s="17" t="n">
        <v>2670</v>
      </c>
      <c r="C45" s="18">
        <f>(1798.0/B45*100)</f>
        <v/>
      </c>
      <c r="D45" s="19" t="n">
        <v>872</v>
      </c>
      <c r="E45" s="18" t="n">
        <v>72.96257765999999</v>
      </c>
      <c r="F45" s="20" t="n">
        <v>1.62931895</v>
      </c>
      <c r="G45" s="18" t="n">
        <v>14.81826354</v>
      </c>
      <c r="H45" s="20" t="n">
        <v>1.37454548</v>
      </c>
      <c r="I45" s="18" t="n">
        <v>0</v>
      </c>
      <c r="J45" s="20" t="n">
        <v>0</v>
      </c>
      <c r="K45" s="18" t="n">
        <v>5.90243855</v>
      </c>
      <c r="L45" s="20" t="n">
        <v>0.89482635</v>
      </c>
      <c r="M45" s="18" t="n">
        <v>0.5207866</v>
      </c>
      <c r="N45" s="20" t="n">
        <v>0.25321519</v>
      </c>
      <c r="O45" s="18" t="n">
        <v>0.12362995</v>
      </c>
      <c r="P45" s="20" t="n">
        <v>0.13000854</v>
      </c>
      <c r="Q45" s="18" t="n">
        <v>5.67230369</v>
      </c>
      <c r="R45" s="20" t="n">
        <v>0.88100618</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(1702.0/B54*100)</f>
        <v/>
      </c>
      <c r="D54" s="19" t="n">
        <v>855</v>
      </c>
      <c r="E54" s="18" t="n">
        <v>46.87167402</v>
      </c>
      <c r="F54" s="20" t="n">
        <v>1.79008253</v>
      </c>
      <c r="G54" s="18" t="n">
        <v>48.04566921</v>
      </c>
      <c r="H54" s="20" t="n">
        <v>1.94106405</v>
      </c>
      <c r="I54" s="18" t="n">
        <v>0</v>
      </c>
      <c r="J54" s="20" t="n">
        <v>0</v>
      </c>
      <c r="K54" s="18" t="n">
        <v>2.64327926</v>
      </c>
      <c r="L54" s="20" t="n">
        <v>0.58163604</v>
      </c>
      <c r="M54" s="18" t="n">
        <v>0.11114396</v>
      </c>
      <c r="N54" s="20" t="n">
        <v>0.11018484</v>
      </c>
      <c r="O54" s="18" t="n">
        <v>0</v>
      </c>
      <c r="P54" s="20" t="n">
        <v>0</v>
      </c>
      <c r="Q54" s="18" t="n">
        <v>2.32823355</v>
      </c>
      <c r="R54" s="20" t="n">
        <v>0.49595332</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(2223.0/B56*100)</f>
        <v/>
      </c>
      <c r="D56" s="19" t="n">
        <v>1120</v>
      </c>
      <c r="E56" s="18" t="n">
        <v>66.15372807999999</v>
      </c>
      <c r="F56" s="20" t="n">
        <v>1.63894254</v>
      </c>
      <c r="G56" s="18" t="n">
        <v>31.16666505</v>
      </c>
      <c r="H56" s="20" t="n">
        <v>1.67555642</v>
      </c>
      <c r="I56" s="18" t="n">
        <v>0</v>
      </c>
      <c r="J56" s="20" t="n">
        <v>0</v>
      </c>
      <c r="K56" s="18" t="n">
        <v>2.13638181</v>
      </c>
      <c r="L56" s="20" t="n">
        <v>0.45035105</v>
      </c>
      <c r="M56" s="18" t="n">
        <v>0</v>
      </c>
      <c r="N56" s="20" t="n">
        <v>0</v>
      </c>
      <c r="O56" s="18" t="n">
        <v>0</v>
      </c>
      <c r="P56" s="20" t="n">
        <v>0</v>
      </c>
      <c r="Q56" s="18" t="n">
        <v>0.54322506</v>
      </c>
      <c r="R56" s="20" t="n">
        <v>0.24075271</v>
      </c>
    </row>
    <row r="57" spans="1:18">
      <c r="A57" s="15" t="s">
        <v>616</v>
      </c>
      <c r="B57" s="17" t="n">
        <v>3737</v>
      </c>
      <c r="C57" s="18">
        <f>(2488.0/B57*100)</f>
        <v/>
      </c>
      <c r="D57" s="19" t="n">
        <v>1249</v>
      </c>
      <c r="E57" s="18" t="n">
        <v>76.73610197000001</v>
      </c>
      <c r="F57" s="20" t="n">
        <v>1.75054988</v>
      </c>
      <c r="G57" s="18" t="n">
        <v>18.35327868</v>
      </c>
      <c r="H57" s="20" t="n">
        <v>1.69069634</v>
      </c>
      <c r="I57" s="18" t="n">
        <v>0</v>
      </c>
      <c r="J57" s="20" t="n">
        <v>0</v>
      </c>
      <c r="K57" s="18" t="n">
        <v>3.19581858</v>
      </c>
      <c r="L57" s="20" t="n">
        <v>0.44407754</v>
      </c>
      <c r="M57" s="18" t="n">
        <v>0</v>
      </c>
      <c r="N57" s="20" t="n">
        <v>0</v>
      </c>
      <c r="O57" s="18" t="n">
        <v>0.03465505</v>
      </c>
      <c r="P57" s="20" t="n">
        <v>0.03477177</v>
      </c>
      <c r="Q57" s="18" t="n">
        <v>1.68014571</v>
      </c>
      <c r="R57" s="20" t="n">
        <v>0.42861375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(1518.0/B59*100)</f>
        <v/>
      </c>
      <c r="D59" s="19" t="n">
        <v>760</v>
      </c>
      <c r="E59" s="18" t="n">
        <v>80.49690845000001</v>
      </c>
      <c r="F59" s="20" t="n">
        <v>1.60528771</v>
      </c>
      <c r="G59" s="18" t="n">
        <v>16.99706991</v>
      </c>
      <c r="H59" s="20" t="n">
        <v>1.53048438</v>
      </c>
      <c r="I59" s="18" t="n">
        <v>0</v>
      </c>
      <c r="J59" s="20" t="n">
        <v>0</v>
      </c>
      <c r="K59" s="18" t="n">
        <v>1.6120653</v>
      </c>
      <c r="L59" s="20" t="n">
        <v>0.46493022</v>
      </c>
      <c r="M59" s="18" t="n">
        <v>0</v>
      </c>
      <c r="N59" s="20" t="n">
        <v>0</v>
      </c>
      <c r="O59" s="18" t="n">
        <v>0</v>
      </c>
      <c r="P59" s="20" t="n">
        <v>0</v>
      </c>
      <c r="Q59" s="18" t="n">
        <v>0.89395634</v>
      </c>
      <c r="R59" s="20" t="n">
        <v>0.34217467</v>
      </c>
    </row>
    <row r="60" spans="1:18">
      <c r="A60" s="15" t="s">
        <v>620</v>
      </c>
      <c r="B60" s="17" t="n">
        <v>2451</v>
      </c>
      <c r="C60" s="18">
        <f>(1622.0/B60*100)</f>
        <v/>
      </c>
      <c r="D60" s="19" t="n">
        <v>829</v>
      </c>
      <c r="E60" s="18" t="n">
        <v>70.25559412</v>
      </c>
      <c r="F60" s="20" t="n">
        <v>1.86863633</v>
      </c>
      <c r="G60" s="18" t="n">
        <v>20.01602674</v>
      </c>
      <c r="H60" s="20" t="n">
        <v>1.54189114</v>
      </c>
      <c r="I60" s="18" t="n">
        <v>0</v>
      </c>
      <c r="J60" s="20" t="n">
        <v>0</v>
      </c>
      <c r="K60" s="18" t="n">
        <v>5.41038866</v>
      </c>
      <c r="L60" s="20" t="n">
        <v>1.01183054</v>
      </c>
      <c r="M60" s="18" t="n">
        <v>0</v>
      </c>
      <c r="N60" s="20" t="n">
        <v>0</v>
      </c>
      <c r="O60" s="18" t="n">
        <v>0.05450384</v>
      </c>
      <c r="P60" s="20" t="n">
        <v>0.05126129</v>
      </c>
      <c r="Q60" s="18" t="n">
        <v>4.26348664</v>
      </c>
      <c r="R60" s="20" t="n">
        <v>1.03057012</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(1674.0/B63*100)</f>
        <v/>
      </c>
      <c r="D63" s="19" t="n">
        <v>837</v>
      </c>
      <c r="E63" s="18" t="n">
        <v>75.06048871</v>
      </c>
      <c r="F63" s="20" t="n">
        <v>1.32977345</v>
      </c>
      <c r="G63" s="18" t="n">
        <v>18.65563872</v>
      </c>
      <c r="H63" s="20" t="n">
        <v>1.13400776</v>
      </c>
      <c r="I63" s="18" t="n">
        <v>0</v>
      </c>
      <c r="J63" s="20" t="n">
        <v>0</v>
      </c>
      <c r="K63" s="18" t="n">
        <v>3.73182753</v>
      </c>
      <c r="L63" s="20" t="n">
        <v>0.76927446</v>
      </c>
      <c r="M63" s="18" t="n">
        <v>0</v>
      </c>
      <c r="N63" s="20" t="n">
        <v>0</v>
      </c>
      <c r="O63" s="18" t="n">
        <v>0</v>
      </c>
      <c r="P63" s="20" t="n">
        <v>0</v>
      </c>
      <c r="Q63" s="18" t="n">
        <v>2.55204504</v>
      </c>
      <c r="R63" s="20" t="n">
        <v>0.46884264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67.35867184999999</v>
      </c>
      <c r="F65" s="20" t="n">
        <v>1.8972815</v>
      </c>
      <c r="G65" s="18" t="n">
        <v>30.85273511</v>
      </c>
      <c r="H65" s="20" t="n">
        <v>1.94752666</v>
      </c>
      <c r="I65" s="18" t="n">
        <v>0</v>
      </c>
      <c r="J65" s="20" t="n">
        <v>0</v>
      </c>
      <c r="K65" s="18" t="n">
        <v>1.03312423</v>
      </c>
      <c r="L65" s="20" t="n">
        <v>0.45665892</v>
      </c>
      <c r="M65" s="18" t="n">
        <v>0</v>
      </c>
      <c r="N65" s="20" t="n">
        <v>0</v>
      </c>
      <c r="O65" s="18" t="n">
        <v>0.15101519</v>
      </c>
      <c r="P65" s="20" t="n">
        <v>0.15161935</v>
      </c>
      <c r="Q65" s="18" t="n">
        <v>0.60445362</v>
      </c>
      <c r="R65" s="20" t="n">
        <v>0.34861044</v>
      </c>
    </row>
    <row r="66" spans="1:18">
      <c r="A66" s="15" t="s">
        <v>626</v>
      </c>
      <c r="B66" s="17" t="n">
        <v>2634</v>
      </c>
      <c r="C66" s="18">
        <f>(1749.0/B66*100)</f>
        <v/>
      </c>
      <c r="D66" s="19" t="n">
        <v>885</v>
      </c>
      <c r="E66" s="18" t="n">
        <v>70.19978516</v>
      </c>
      <c r="F66" s="20" t="n">
        <v>1.53353459</v>
      </c>
      <c r="G66" s="18" t="n">
        <v>22.56624248</v>
      </c>
      <c r="H66" s="20" t="n">
        <v>1.30429845</v>
      </c>
      <c r="I66" s="18" t="n">
        <v>0</v>
      </c>
      <c r="J66" s="20" t="n">
        <v>0</v>
      </c>
      <c r="K66" s="18" t="n">
        <v>5.42240588</v>
      </c>
      <c r="L66" s="20" t="n">
        <v>0.92130268</v>
      </c>
      <c r="M66" s="18" t="n">
        <v>0</v>
      </c>
      <c r="N66" s="20" t="n">
        <v>0</v>
      </c>
      <c r="O66" s="18" t="n">
        <v>0</v>
      </c>
      <c r="P66" s="20" t="n">
        <v>0</v>
      </c>
      <c r="Q66" s="18" t="n">
        <v>1.81156648</v>
      </c>
      <c r="R66" s="20" t="n">
        <v>0.40890209</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(486.0/B69*100)</f>
        <v/>
      </c>
      <c r="D69" s="19" t="n">
        <v>234</v>
      </c>
      <c r="E69" s="18" t="n">
        <v>61.1703078</v>
      </c>
      <c r="F69" s="20" t="n">
        <v>4.34931767</v>
      </c>
      <c r="G69" s="18" t="n">
        <v>37.25269382</v>
      </c>
      <c r="H69" s="20" t="n">
        <v>4.38780972</v>
      </c>
      <c r="I69" s="18" t="n">
        <v>0</v>
      </c>
      <c r="J69" s="20" t="n">
        <v>0</v>
      </c>
      <c r="K69" s="18" t="n">
        <v>0.32254992</v>
      </c>
      <c r="L69" s="20" t="n">
        <v>0.31755983</v>
      </c>
      <c r="M69" s="18" t="n">
        <v>0</v>
      </c>
      <c r="N69" s="20" t="n">
        <v>0</v>
      </c>
      <c r="O69" s="18" t="n">
        <v>0</v>
      </c>
      <c r="P69" s="20" t="n">
        <v>0</v>
      </c>
      <c r="Q69" s="18" t="n">
        <v>1.25444846</v>
      </c>
      <c r="R69" s="20" t="n">
        <v>0.69792555</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(1633.0/B71*100)</f>
        <v/>
      </c>
      <c r="D71" s="19" t="n">
        <v>833</v>
      </c>
      <c r="E71" s="18" t="n">
        <v>68.99973734</v>
      </c>
      <c r="F71" s="20" t="n">
        <v>1.79851518</v>
      </c>
      <c r="G71" s="18" t="n">
        <v>30.75515744</v>
      </c>
      <c r="H71" s="20" t="n">
        <v>1.81345556</v>
      </c>
      <c r="I71" s="18" t="n">
        <v>0</v>
      </c>
      <c r="J71" s="20" t="n">
        <v>0</v>
      </c>
      <c r="K71" s="18" t="n">
        <v>0.13250836</v>
      </c>
      <c r="L71" s="20" t="n">
        <v>0.13248237</v>
      </c>
      <c r="M71" s="18" t="n">
        <v>0</v>
      </c>
      <c r="N71" s="20" t="n">
        <v>0</v>
      </c>
      <c r="O71" s="18" t="n">
        <v>0</v>
      </c>
      <c r="P71" s="20" t="n">
        <v>0</v>
      </c>
      <c r="Q71" s="18" t="n">
        <v>0.11259685</v>
      </c>
      <c r="R71" s="20" t="n">
        <v>0.11248484</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63.05836704</v>
      </c>
      <c r="F76" s="20" t="n">
        <v>1.69677464</v>
      </c>
      <c r="G76" s="18" t="n">
        <v>30.05383274</v>
      </c>
      <c r="H76" s="20" t="n">
        <v>1.84964539</v>
      </c>
      <c r="I76" s="18" t="n">
        <v>0</v>
      </c>
      <c r="J76" s="20" t="n">
        <v>0</v>
      </c>
      <c r="K76" s="18" t="n">
        <v>4.55365319</v>
      </c>
      <c r="L76" s="20" t="n">
        <v>0.89292033</v>
      </c>
      <c r="M76" s="18" t="n">
        <v>0</v>
      </c>
      <c r="N76" s="20" t="n">
        <v>0</v>
      </c>
      <c r="O76" s="18" t="n">
        <v>0</v>
      </c>
      <c r="P76" s="20" t="n">
        <v>0</v>
      </c>
      <c r="Q76" s="18" t="n">
        <v>2.33414703</v>
      </c>
      <c r="R76" s="20" t="n">
        <v>0.50915728</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(2026.0/B80*100)</f>
        <v/>
      </c>
      <c r="D80" s="19" t="n">
        <v>1014</v>
      </c>
      <c r="E80" s="18" t="n">
        <v>30.56351232</v>
      </c>
      <c r="F80" s="20" t="n">
        <v>1.71246347</v>
      </c>
      <c r="G80" s="18" t="n">
        <v>69.43648768</v>
      </c>
      <c r="H80" s="20" t="n">
        <v>1.71246347</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58.30616193</v>
      </c>
      <c r="F81" s="20" t="n">
        <v>3.10183052</v>
      </c>
      <c r="G81" s="18" t="n">
        <v>35.94633491</v>
      </c>
      <c r="H81" s="20" t="n">
        <v>2.63418908</v>
      </c>
      <c r="I81" s="18" t="n">
        <v>0</v>
      </c>
      <c r="J81" s="20" t="n">
        <v>0</v>
      </c>
      <c r="K81" s="18" t="n">
        <v>2.87587987</v>
      </c>
      <c r="L81" s="20" t="n">
        <v>1.01783311</v>
      </c>
      <c r="M81" s="18" t="n">
        <v>0</v>
      </c>
      <c r="N81" s="20" t="n">
        <v>0</v>
      </c>
      <c r="O81" s="18" t="n">
        <v>0</v>
      </c>
      <c r="P81" s="20" t="n">
        <v>0</v>
      </c>
      <c r="Q81" s="18" t="n">
        <v>2.87162329</v>
      </c>
      <c r="R81" s="20" t="n">
        <v>0.9379450499999999</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(1790.0/B44*100)</f>
        <v/>
      </c>
      <c r="D44" s="19" t="n">
        <v>901</v>
      </c>
      <c r="E44" s="18" t="n">
        <v>67.89037211</v>
      </c>
      <c r="F44" s="20" t="n">
        <v>1.74835486</v>
      </c>
      <c r="G44" s="18" t="n">
        <v>27.7754229</v>
      </c>
      <c r="H44" s="20" t="n">
        <v>1.80412745</v>
      </c>
      <c r="I44" s="18" t="n">
        <v>0</v>
      </c>
      <c r="J44" s="20" t="n">
        <v>0</v>
      </c>
      <c r="K44" s="18" t="n">
        <v>2.19646271</v>
      </c>
      <c r="L44" s="20" t="n">
        <v>0.46304138</v>
      </c>
      <c r="M44" s="18" t="n">
        <v>0</v>
      </c>
      <c r="N44" s="20" t="n">
        <v>0</v>
      </c>
      <c r="O44" s="18" t="n">
        <v>0</v>
      </c>
      <c r="P44" s="20" t="n">
        <v>0</v>
      </c>
      <c r="Q44" s="18" t="n">
        <v>2.13774228</v>
      </c>
      <c r="R44" s="20" t="n">
        <v>0.61661778</v>
      </c>
    </row>
    <row r="45" spans="1:18">
      <c r="A45" s="15" t="s">
        <v>604</v>
      </c>
      <c r="B45" s="17" t="n">
        <v>2670</v>
      </c>
      <c r="C45" s="18">
        <f>(1798.0/B45*100)</f>
        <v/>
      </c>
      <c r="D45" s="19" t="n">
        <v>872</v>
      </c>
      <c r="E45" s="18" t="n">
        <v>74.5271784</v>
      </c>
      <c r="F45" s="20" t="n">
        <v>1.4994854</v>
      </c>
      <c r="G45" s="18" t="n">
        <v>13.27440434</v>
      </c>
      <c r="H45" s="20" t="n">
        <v>0.98811721</v>
      </c>
      <c r="I45" s="18" t="n">
        <v>0</v>
      </c>
      <c r="J45" s="20" t="n">
        <v>0</v>
      </c>
      <c r="K45" s="18" t="n">
        <v>6.44666024</v>
      </c>
      <c r="L45" s="20" t="n">
        <v>0.87121194</v>
      </c>
      <c r="M45" s="18" t="n">
        <v>0.5207866</v>
      </c>
      <c r="N45" s="20" t="n">
        <v>0.25321519</v>
      </c>
      <c r="O45" s="18" t="n">
        <v>0.13275083</v>
      </c>
      <c r="P45" s="20" t="n">
        <v>0.11682706</v>
      </c>
      <c r="Q45" s="18" t="n">
        <v>5.09821959</v>
      </c>
      <c r="R45" s="20" t="n">
        <v>0.7438778</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(1702.0/B54*100)</f>
        <v/>
      </c>
      <c r="D54" s="19" t="n">
        <v>855</v>
      </c>
      <c r="E54" s="18" t="n">
        <v>68.53853736000001</v>
      </c>
      <c r="F54" s="20" t="n">
        <v>1.50813376</v>
      </c>
      <c r="G54" s="18" t="n">
        <v>26.69889392</v>
      </c>
      <c r="H54" s="20" t="n">
        <v>1.52197835</v>
      </c>
      <c r="I54" s="18" t="n">
        <v>0</v>
      </c>
      <c r="J54" s="20" t="n">
        <v>0</v>
      </c>
      <c r="K54" s="18" t="n">
        <v>2.75323894</v>
      </c>
      <c r="L54" s="20" t="n">
        <v>0.61221378</v>
      </c>
      <c r="M54" s="18" t="n">
        <v>0.11114396</v>
      </c>
      <c r="N54" s="20" t="n">
        <v>0.11018484</v>
      </c>
      <c r="O54" s="18" t="n">
        <v>0</v>
      </c>
      <c r="P54" s="20" t="n">
        <v>0</v>
      </c>
      <c r="Q54" s="18" t="n">
        <v>1.89818582</v>
      </c>
      <c r="R54" s="20" t="n">
        <v>0.51523949</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(2223.0/B56*100)</f>
        <v/>
      </c>
      <c r="D56" s="19" t="n">
        <v>1120</v>
      </c>
      <c r="E56" s="18" t="n">
        <v>77.39314938</v>
      </c>
      <c r="F56" s="20" t="n">
        <v>1.61117545</v>
      </c>
      <c r="G56" s="18" t="n">
        <v>18.78996838</v>
      </c>
      <c r="H56" s="20" t="n">
        <v>1.5483621</v>
      </c>
      <c r="I56" s="18" t="n">
        <v>0</v>
      </c>
      <c r="J56" s="20" t="n">
        <v>0</v>
      </c>
      <c r="K56" s="18" t="n">
        <v>2.43804925</v>
      </c>
      <c r="L56" s="20" t="n">
        <v>0.46560977</v>
      </c>
      <c r="M56" s="18" t="n">
        <v>0</v>
      </c>
      <c r="N56" s="20" t="n">
        <v>0</v>
      </c>
      <c r="O56" s="18" t="n">
        <v>0</v>
      </c>
      <c r="P56" s="20" t="n">
        <v>0</v>
      </c>
      <c r="Q56" s="18" t="n">
        <v>1.37883299</v>
      </c>
      <c r="R56" s="20" t="n">
        <v>0.39762607</v>
      </c>
    </row>
    <row r="57" spans="1:18">
      <c r="A57" s="15" t="s">
        <v>616</v>
      </c>
      <c r="B57" s="17" t="n">
        <v>3737</v>
      </c>
      <c r="C57" s="18">
        <f>(2488.0/B57*100)</f>
        <v/>
      </c>
      <c r="D57" s="19" t="n">
        <v>1249</v>
      </c>
      <c r="E57" s="18" t="n">
        <v>79.38619589</v>
      </c>
      <c r="F57" s="20" t="n">
        <v>1.28979823</v>
      </c>
      <c r="G57" s="18" t="n">
        <v>15.78289104</v>
      </c>
      <c r="H57" s="20" t="n">
        <v>1.04478626</v>
      </c>
      <c r="I57" s="18" t="n">
        <v>0</v>
      </c>
      <c r="J57" s="20" t="n">
        <v>0</v>
      </c>
      <c r="K57" s="18" t="n">
        <v>3.39140346</v>
      </c>
      <c r="L57" s="20" t="n">
        <v>0.48978132</v>
      </c>
      <c r="M57" s="18" t="n">
        <v>0</v>
      </c>
      <c r="N57" s="20" t="n">
        <v>0</v>
      </c>
      <c r="O57" s="18" t="n">
        <v>0</v>
      </c>
      <c r="P57" s="20" t="n">
        <v>0</v>
      </c>
      <c r="Q57" s="18" t="n">
        <v>1.4395096</v>
      </c>
      <c r="R57" s="20" t="n">
        <v>0.3601853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(1518.0/B59*100)</f>
        <v/>
      </c>
      <c r="D59" s="19" t="n">
        <v>760</v>
      </c>
      <c r="E59" s="18" t="n">
        <v>76.88717291</v>
      </c>
      <c r="F59" s="20" t="n">
        <v>1.80344556</v>
      </c>
      <c r="G59" s="18" t="n">
        <v>20.34394698</v>
      </c>
      <c r="H59" s="20" t="n">
        <v>1.7257946</v>
      </c>
      <c r="I59" s="18" t="n">
        <v>0</v>
      </c>
      <c r="J59" s="20" t="n">
        <v>0</v>
      </c>
      <c r="K59" s="18" t="n">
        <v>2.2016314</v>
      </c>
      <c r="L59" s="20" t="n">
        <v>0.55201308</v>
      </c>
      <c r="M59" s="18" t="n">
        <v>0</v>
      </c>
      <c r="N59" s="20" t="n">
        <v>0</v>
      </c>
      <c r="O59" s="18" t="n">
        <v>0</v>
      </c>
      <c r="P59" s="20" t="n">
        <v>0</v>
      </c>
      <c r="Q59" s="18" t="n">
        <v>0.56724871</v>
      </c>
      <c r="R59" s="20" t="n">
        <v>0.25387173</v>
      </c>
    </row>
    <row r="60" spans="1:18">
      <c r="A60" s="15" t="s">
        <v>620</v>
      </c>
      <c r="B60" s="17" t="n">
        <v>2451</v>
      </c>
      <c r="C60" s="18">
        <f>(1622.0/B60*100)</f>
        <v/>
      </c>
      <c r="D60" s="19" t="n">
        <v>829</v>
      </c>
      <c r="E60" s="18" t="n">
        <v>70.93474424</v>
      </c>
      <c r="F60" s="20" t="n">
        <v>1.61494284</v>
      </c>
      <c r="G60" s="18" t="n">
        <v>20.36411306</v>
      </c>
      <c r="H60" s="20" t="n">
        <v>1.18170258</v>
      </c>
      <c r="I60" s="18" t="n">
        <v>0</v>
      </c>
      <c r="J60" s="20" t="n">
        <v>0</v>
      </c>
      <c r="K60" s="18" t="n">
        <v>5.7671679</v>
      </c>
      <c r="L60" s="20" t="n">
        <v>1.02240504</v>
      </c>
      <c r="M60" s="18" t="n">
        <v>0</v>
      </c>
      <c r="N60" s="20" t="n">
        <v>0</v>
      </c>
      <c r="O60" s="18" t="n">
        <v>0</v>
      </c>
      <c r="P60" s="20" t="n">
        <v>0</v>
      </c>
      <c r="Q60" s="18" t="n">
        <v>2.9339748</v>
      </c>
      <c r="R60" s="20" t="n">
        <v>0.78843947</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(1674.0/B63*100)</f>
        <v/>
      </c>
      <c r="D63" s="19" t="n">
        <v>837</v>
      </c>
      <c r="E63" s="18" t="n">
        <v>72.44886479</v>
      </c>
      <c r="F63" s="20" t="n">
        <v>1.80591052</v>
      </c>
      <c r="G63" s="18" t="n">
        <v>20.82416877</v>
      </c>
      <c r="H63" s="20" t="n">
        <v>1.70822582</v>
      </c>
      <c r="I63" s="18" t="n">
        <v>0</v>
      </c>
      <c r="J63" s="20" t="n">
        <v>0</v>
      </c>
      <c r="K63" s="18" t="n">
        <v>4.43903558</v>
      </c>
      <c r="L63" s="20" t="n">
        <v>0.87181341</v>
      </c>
      <c r="M63" s="18" t="n">
        <v>0</v>
      </c>
      <c r="N63" s="20" t="n">
        <v>0</v>
      </c>
      <c r="O63" s="18" t="n">
        <v>0</v>
      </c>
      <c r="P63" s="20" t="n">
        <v>0</v>
      </c>
      <c r="Q63" s="18" t="n">
        <v>2.28793085</v>
      </c>
      <c r="R63" s="20" t="n">
        <v>0.57130848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59.77102591</v>
      </c>
      <c r="F65" s="20" t="n">
        <v>1.72771271</v>
      </c>
      <c r="G65" s="18" t="n">
        <v>38.50745811</v>
      </c>
      <c r="H65" s="20" t="n">
        <v>1.74259172</v>
      </c>
      <c r="I65" s="18" t="n">
        <v>0</v>
      </c>
      <c r="J65" s="20" t="n">
        <v>0</v>
      </c>
      <c r="K65" s="18" t="n">
        <v>1.56680292</v>
      </c>
      <c r="L65" s="20" t="n">
        <v>0.5565415</v>
      </c>
      <c r="M65" s="18" t="n">
        <v>0</v>
      </c>
      <c r="N65" s="20" t="n">
        <v>0</v>
      </c>
      <c r="O65" s="18" t="n">
        <v>0</v>
      </c>
      <c r="P65" s="20" t="n">
        <v>0</v>
      </c>
      <c r="Q65" s="18" t="n">
        <v>0.15471307</v>
      </c>
      <c r="R65" s="20" t="n">
        <v>0.15517916</v>
      </c>
    </row>
    <row r="66" spans="1:18">
      <c r="A66" s="15" t="s">
        <v>626</v>
      </c>
      <c r="B66" s="17" t="n">
        <v>2634</v>
      </c>
      <c r="C66" s="18">
        <f>(1749.0/B66*100)</f>
        <v/>
      </c>
      <c r="D66" s="19" t="n">
        <v>885</v>
      </c>
      <c r="E66" s="18" t="n">
        <v>72.516971</v>
      </c>
      <c r="F66" s="20" t="n">
        <v>1.97365229</v>
      </c>
      <c r="G66" s="18" t="n">
        <v>19.94526872</v>
      </c>
      <c r="H66" s="20" t="n">
        <v>1.53497952</v>
      </c>
      <c r="I66" s="18" t="n">
        <v>0</v>
      </c>
      <c r="J66" s="20" t="n">
        <v>0</v>
      </c>
      <c r="K66" s="18" t="n">
        <v>5.93367979</v>
      </c>
      <c r="L66" s="20" t="n">
        <v>0.97232645</v>
      </c>
      <c r="M66" s="18" t="n">
        <v>0</v>
      </c>
      <c r="N66" s="20" t="n">
        <v>0</v>
      </c>
      <c r="O66" s="18" t="n">
        <v>0</v>
      </c>
      <c r="P66" s="20" t="n">
        <v>0</v>
      </c>
      <c r="Q66" s="18" t="n">
        <v>1.60408048</v>
      </c>
      <c r="R66" s="20" t="n">
        <v>0.41273387</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(486.0/B69*100)</f>
        <v/>
      </c>
      <c r="D69" s="19" t="n">
        <v>234</v>
      </c>
      <c r="E69" s="18" t="n">
        <v>78.16761261000001</v>
      </c>
      <c r="F69" s="20" t="n">
        <v>3.86279632</v>
      </c>
      <c r="G69" s="18" t="n">
        <v>21.24126616</v>
      </c>
      <c r="H69" s="20" t="n">
        <v>3.91316877</v>
      </c>
      <c r="I69" s="18" t="n">
        <v>0</v>
      </c>
      <c r="J69" s="20" t="n">
        <v>0</v>
      </c>
      <c r="K69" s="18" t="n">
        <v>0.32254992</v>
      </c>
      <c r="L69" s="20" t="n">
        <v>0.31755983</v>
      </c>
      <c r="M69" s="18" t="n">
        <v>0</v>
      </c>
      <c r="N69" s="20" t="n">
        <v>0</v>
      </c>
      <c r="O69" s="18" t="n">
        <v>0</v>
      </c>
      <c r="P69" s="20" t="n">
        <v>0</v>
      </c>
      <c r="Q69" s="18" t="n">
        <v>0.26857132</v>
      </c>
      <c r="R69" s="20" t="n">
        <v>0.27037841</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(1633.0/B71*100)</f>
        <v/>
      </c>
      <c r="D71" s="19" t="n">
        <v>833</v>
      </c>
      <c r="E71" s="18" t="n">
        <v>75.67664689</v>
      </c>
      <c r="F71" s="20" t="n">
        <v>1.71707765</v>
      </c>
      <c r="G71" s="18" t="n">
        <v>24.19084475</v>
      </c>
      <c r="H71" s="20" t="n">
        <v>1.72247108</v>
      </c>
      <c r="I71" s="18" t="n">
        <v>0</v>
      </c>
      <c r="J71" s="20" t="n">
        <v>0</v>
      </c>
      <c r="K71" s="18" t="n">
        <v>0.13250836</v>
      </c>
      <c r="L71" s="20" t="n">
        <v>0.13248237</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61.35624488</v>
      </c>
      <c r="F76" s="20" t="n">
        <v>2.10729449</v>
      </c>
      <c r="G76" s="18" t="n">
        <v>30.9346259</v>
      </c>
      <c r="H76" s="20" t="n">
        <v>1.98243187</v>
      </c>
      <c r="I76" s="18" t="n">
        <v>0</v>
      </c>
      <c r="J76" s="20" t="n">
        <v>0</v>
      </c>
      <c r="K76" s="18" t="n">
        <v>5.12008112</v>
      </c>
      <c r="L76" s="20" t="n">
        <v>0.8926428</v>
      </c>
      <c r="M76" s="18" t="n">
        <v>0</v>
      </c>
      <c r="N76" s="20" t="n">
        <v>0</v>
      </c>
      <c r="O76" s="18" t="n">
        <v>0</v>
      </c>
      <c r="P76" s="20" t="n">
        <v>0</v>
      </c>
      <c r="Q76" s="18" t="n">
        <v>2.5890481</v>
      </c>
      <c r="R76" s="20" t="n">
        <v>0.61185691</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(2026.0/B80*100)</f>
        <v/>
      </c>
      <c r="D80" s="19" t="n">
        <v>1014</v>
      </c>
      <c r="E80" s="18" t="n">
        <v>23.30224716</v>
      </c>
      <c r="F80" s="20" t="n">
        <v>1.45374353</v>
      </c>
      <c r="G80" s="18" t="n">
        <v>76.69775284000001</v>
      </c>
      <c r="H80" s="20" t="n">
        <v>1.45374353</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62.42225521</v>
      </c>
      <c r="F81" s="20" t="n">
        <v>2.75438562</v>
      </c>
      <c r="G81" s="18" t="n">
        <v>32.184236</v>
      </c>
      <c r="H81" s="20" t="n">
        <v>2.63397048</v>
      </c>
      <c r="I81" s="18" t="n">
        <v>0</v>
      </c>
      <c r="J81" s="20" t="n">
        <v>0</v>
      </c>
      <c r="K81" s="18" t="n">
        <v>2.87587987</v>
      </c>
      <c r="L81" s="20" t="n">
        <v>1.01783311</v>
      </c>
      <c r="M81" s="18" t="n">
        <v>0</v>
      </c>
      <c r="N81" s="20" t="n">
        <v>0</v>
      </c>
      <c r="O81" s="18" t="n">
        <v>0</v>
      </c>
      <c r="P81" s="20" t="n">
        <v>0</v>
      </c>
      <c r="Q81" s="18" t="n">
        <v>2.51762892</v>
      </c>
      <c r="R81" s="20" t="n">
        <v>1.04441029</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(1790.0/B44*100)</f>
        <v/>
      </c>
      <c r="D44" s="19" t="n">
        <v>901</v>
      </c>
      <c r="E44" s="18" t="n">
        <v>50.15534394</v>
      </c>
      <c r="F44" s="20" t="n">
        <v>2.28187562</v>
      </c>
      <c r="G44" s="18" t="n">
        <v>44.41531762</v>
      </c>
      <c r="H44" s="20" t="n">
        <v>2.23184468</v>
      </c>
      <c r="I44" s="18" t="n">
        <v>0</v>
      </c>
      <c r="J44" s="20" t="n">
        <v>0</v>
      </c>
      <c r="K44" s="18" t="n">
        <v>2.71291836</v>
      </c>
      <c r="L44" s="20" t="n">
        <v>0.54427101</v>
      </c>
      <c r="M44" s="18" t="n">
        <v>0</v>
      </c>
      <c r="N44" s="20" t="n">
        <v>0</v>
      </c>
      <c r="O44" s="18" t="n">
        <v>0</v>
      </c>
      <c r="P44" s="20" t="n">
        <v>0</v>
      </c>
      <c r="Q44" s="18" t="n">
        <v>2.71642008</v>
      </c>
      <c r="R44" s="20" t="n">
        <v>0.66112396</v>
      </c>
    </row>
    <row r="45" spans="1:18">
      <c r="A45" s="15" t="s">
        <v>604</v>
      </c>
      <c r="B45" s="17" t="n">
        <v>2670</v>
      </c>
      <c r="C45" s="18">
        <f>(1798.0/B45*100)</f>
        <v/>
      </c>
      <c r="D45" s="19" t="n">
        <v>872</v>
      </c>
      <c r="E45" s="18" t="n">
        <v>59.87255099</v>
      </c>
      <c r="F45" s="20" t="n">
        <v>1.80159854</v>
      </c>
      <c r="G45" s="18" t="n">
        <v>28.89242646</v>
      </c>
      <c r="H45" s="20" t="n">
        <v>1.67720988</v>
      </c>
      <c r="I45" s="18" t="n">
        <v>0</v>
      </c>
      <c r="J45" s="20" t="n">
        <v>0</v>
      </c>
      <c r="K45" s="18" t="n">
        <v>6.9928005</v>
      </c>
      <c r="L45" s="20" t="n">
        <v>0.90700691</v>
      </c>
      <c r="M45" s="18" t="n">
        <v>0.5207866</v>
      </c>
      <c r="N45" s="20" t="n">
        <v>0.25321519</v>
      </c>
      <c r="O45" s="18" t="n">
        <v>0</v>
      </c>
      <c r="P45" s="20" t="n">
        <v>0</v>
      </c>
      <c r="Q45" s="18" t="n">
        <v>3.72143545</v>
      </c>
      <c r="R45" s="20" t="n">
        <v>0.679505</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(1702.0/B54*100)</f>
        <v/>
      </c>
      <c r="D54" s="19" t="n">
        <v>855</v>
      </c>
      <c r="E54" s="18" t="n">
        <v>50.27129795</v>
      </c>
      <c r="F54" s="20" t="n">
        <v>1.71348573</v>
      </c>
      <c r="G54" s="18" t="n">
        <v>44.42200634</v>
      </c>
      <c r="H54" s="20" t="n">
        <v>1.69154141</v>
      </c>
      <c r="I54" s="18" t="n">
        <v>0</v>
      </c>
      <c r="J54" s="20" t="n">
        <v>0</v>
      </c>
      <c r="K54" s="18" t="n">
        <v>3.58675904</v>
      </c>
      <c r="L54" s="20" t="n">
        <v>0.64817655</v>
      </c>
      <c r="M54" s="18" t="n">
        <v>0.11114396</v>
      </c>
      <c r="N54" s="20" t="n">
        <v>0.11018484</v>
      </c>
      <c r="O54" s="18" t="n">
        <v>0</v>
      </c>
      <c r="P54" s="20" t="n">
        <v>0</v>
      </c>
      <c r="Q54" s="18" t="n">
        <v>1.60879271</v>
      </c>
      <c r="R54" s="20" t="n">
        <v>0.46485251</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(2223.0/B56*100)</f>
        <v/>
      </c>
      <c r="D56" s="19" t="n">
        <v>1120</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3737</v>
      </c>
      <c r="C57" s="18">
        <f>(2488.0/B57*100)</f>
        <v/>
      </c>
      <c r="D57" s="19" t="n">
        <v>1249</v>
      </c>
      <c r="E57" s="18" t="n">
        <v>65.99552636999999</v>
      </c>
      <c r="F57" s="20" t="n">
        <v>1.7022818</v>
      </c>
      <c r="G57" s="18" t="n">
        <v>28.36893404</v>
      </c>
      <c r="H57" s="20" t="n">
        <v>1.64084898</v>
      </c>
      <c r="I57" s="18" t="n">
        <v>0</v>
      </c>
      <c r="J57" s="20" t="n">
        <v>0</v>
      </c>
      <c r="K57" s="18" t="n">
        <v>4.00215084</v>
      </c>
      <c r="L57" s="20" t="n">
        <v>0.57837434</v>
      </c>
      <c r="M57" s="18" t="n">
        <v>0</v>
      </c>
      <c r="N57" s="20" t="n">
        <v>0</v>
      </c>
      <c r="O57" s="18" t="n">
        <v>0.02011722</v>
      </c>
      <c r="P57" s="20" t="n">
        <v>0.02010523</v>
      </c>
      <c r="Q57" s="18" t="n">
        <v>1.61327152</v>
      </c>
      <c r="R57" s="20" t="n">
        <v>0.39066069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(1518.0/B59*100)</f>
        <v/>
      </c>
      <c r="D59" s="19" t="n">
        <v>760</v>
      </c>
      <c r="E59" s="18" t="n">
        <v>51.78010384</v>
      </c>
      <c r="F59" s="20" t="n">
        <v>2.17062814</v>
      </c>
      <c r="G59" s="18" t="n">
        <v>45.41479595</v>
      </c>
      <c r="H59" s="20" t="n">
        <v>2.08970421</v>
      </c>
      <c r="I59" s="18" t="n">
        <v>0</v>
      </c>
      <c r="J59" s="20" t="n">
        <v>0</v>
      </c>
      <c r="K59" s="18" t="n">
        <v>2.2016314</v>
      </c>
      <c r="L59" s="20" t="n">
        <v>0.55201308</v>
      </c>
      <c r="M59" s="18" t="n">
        <v>0</v>
      </c>
      <c r="N59" s="20" t="n">
        <v>0</v>
      </c>
      <c r="O59" s="18" t="n">
        <v>0</v>
      </c>
      <c r="P59" s="20" t="n">
        <v>0</v>
      </c>
      <c r="Q59" s="18" t="n">
        <v>0.60346881</v>
      </c>
      <c r="R59" s="20" t="n">
        <v>0.37103504</v>
      </c>
    </row>
    <row r="60" spans="1:18">
      <c r="A60" s="15" t="s">
        <v>620</v>
      </c>
      <c r="B60" s="17" t="n">
        <v>2451</v>
      </c>
      <c r="C60" s="18">
        <f>(1622.0/B60*100)</f>
        <v/>
      </c>
      <c r="D60" s="19" t="n">
        <v>829</v>
      </c>
      <c r="E60" s="18" t="n">
        <v>65.58680859</v>
      </c>
      <c r="F60" s="20" t="n">
        <v>1.88054245</v>
      </c>
      <c r="G60" s="18" t="n">
        <v>25.30190795</v>
      </c>
      <c r="H60" s="20" t="n">
        <v>1.50916257</v>
      </c>
      <c r="I60" s="18" t="n">
        <v>0</v>
      </c>
      <c r="J60" s="20" t="n">
        <v>0</v>
      </c>
      <c r="K60" s="18" t="n">
        <v>6.63530817</v>
      </c>
      <c r="L60" s="20" t="n">
        <v>1.10139392</v>
      </c>
      <c r="M60" s="18" t="n">
        <v>0</v>
      </c>
      <c r="N60" s="20" t="n">
        <v>0</v>
      </c>
      <c r="O60" s="18" t="n">
        <v>0</v>
      </c>
      <c r="P60" s="20" t="n">
        <v>0</v>
      </c>
      <c r="Q60" s="18" t="n">
        <v>2.47597529</v>
      </c>
      <c r="R60" s="20" t="n">
        <v>0.54026714</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(1674.0/B63*100)</f>
        <v/>
      </c>
      <c r="D63" s="19" t="n">
        <v>837</v>
      </c>
      <c r="E63" s="18" t="n">
        <v>52.07523799</v>
      </c>
      <c r="F63" s="20" t="n">
        <v>2.11455646</v>
      </c>
      <c r="G63" s="18" t="n">
        <v>41.4654743</v>
      </c>
      <c r="H63" s="20" t="n">
        <v>2.00972089</v>
      </c>
      <c r="I63" s="18" t="n">
        <v>0</v>
      </c>
      <c r="J63" s="20" t="n">
        <v>0</v>
      </c>
      <c r="K63" s="18" t="n">
        <v>5.25443728</v>
      </c>
      <c r="L63" s="20" t="n">
        <v>0.93139737</v>
      </c>
      <c r="M63" s="18" t="n">
        <v>0</v>
      </c>
      <c r="N63" s="20" t="n">
        <v>0</v>
      </c>
      <c r="O63" s="18" t="n">
        <v>0</v>
      </c>
      <c r="P63" s="20" t="n">
        <v>0</v>
      </c>
      <c r="Q63" s="18" t="n">
        <v>1.20485043</v>
      </c>
      <c r="R63" s="20" t="n">
        <v>0.45032809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45.36967515</v>
      </c>
      <c r="F65" s="20" t="n">
        <v>1.8055344</v>
      </c>
      <c r="G65" s="18" t="n">
        <v>52.48988823</v>
      </c>
      <c r="H65" s="20" t="n">
        <v>1.90394979</v>
      </c>
      <c r="I65" s="18" t="n">
        <v>0</v>
      </c>
      <c r="J65" s="20" t="n">
        <v>0</v>
      </c>
      <c r="K65" s="18" t="n">
        <v>2.14043661</v>
      </c>
      <c r="L65" s="20" t="n">
        <v>0.66381014</v>
      </c>
      <c r="M65" s="18" t="n">
        <v>0</v>
      </c>
      <c r="N65" s="20" t="n">
        <v>0</v>
      </c>
      <c r="O65" s="18" t="n">
        <v>0</v>
      </c>
      <c r="P65" s="20" t="n">
        <v>0</v>
      </c>
      <c r="Q65" s="18" t="n">
        <v>0</v>
      </c>
      <c r="R65" s="20" t="n">
        <v>0</v>
      </c>
    </row>
    <row r="66" spans="1:18">
      <c r="A66" s="15" t="s">
        <v>626</v>
      </c>
      <c r="B66" s="17" t="n">
        <v>2634</v>
      </c>
      <c r="C66" s="18">
        <f>(1749.0/B66*100)</f>
        <v/>
      </c>
      <c r="D66" s="19" t="n">
        <v>885</v>
      </c>
      <c r="E66" s="18" t="n">
        <v>54.12170085</v>
      </c>
      <c r="F66" s="20" t="n">
        <v>1.60575203</v>
      </c>
      <c r="G66" s="18" t="n">
        <v>37.25911705</v>
      </c>
      <c r="H66" s="20" t="n">
        <v>1.46323684</v>
      </c>
      <c r="I66" s="18" t="n">
        <v>0</v>
      </c>
      <c r="J66" s="20" t="n">
        <v>0</v>
      </c>
      <c r="K66" s="18" t="n">
        <v>6.98365878</v>
      </c>
      <c r="L66" s="20" t="n">
        <v>0.95455135</v>
      </c>
      <c r="M66" s="18" t="n">
        <v>0</v>
      </c>
      <c r="N66" s="20" t="n">
        <v>0</v>
      </c>
      <c r="O66" s="18" t="n">
        <v>0</v>
      </c>
      <c r="P66" s="20" t="n">
        <v>0</v>
      </c>
      <c r="Q66" s="18" t="n">
        <v>1.63552332</v>
      </c>
      <c r="R66" s="20" t="n">
        <v>0.45844227</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(486.0/B69*100)</f>
        <v/>
      </c>
      <c r="D69" s="19" t="n">
        <v>234</v>
      </c>
      <c r="E69" s="18" t="n">
        <v>66.61298349</v>
      </c>
      <c r="F69" s="20" t="n">
        <v>3.76046666</v>
      </c>
      <c r="G69" s="18" t="n">
        <v>32.05176811</v>
      </c>
      <c r="H69" s="20" t="n">
        <v>3.7430638</v>
      </c>
      <c r="I69" s="18" t="n">
        <v>0</v>
      </c>
      <c r="J69" s="20" t="n">
        <v>0</v>
      </c>
      <c r="K69" s="18" t="n">
        <v>0.32254992</v>
      </c>
      <c r="L69" s="20" t="n">
        <v>0.31755983</v>
      </c>
      <c r="M69" s="18" t="n">
        <v>0</v>
      </c>
      <c r="N69" s="20" t="n">
        <v>0</v>
      </c>
      <c r="O69" s="18" t="n">
        <v>0</v>
      </c>
      <c r="P69" s="20" t="n">
        <v>0</v>
      </c>
      <c r="Q69" s="18" t="n">
        <v>1.01269848</v>
      </c>
      <c r="R69" s="20" t="n">
        <v>0.95214554</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(1633.0/B71*100)</f>
        <v/>
      </c>
      <c r="D71" s="19" t="n">
        <v>833</v>
      </c>
      <c r="E71" s="18" t="n">
        <v>61.3654132</v>
      </c>
      <c r="F71" s="20" t="n">
        <v>1.83791373</v>
      </c>
      <c r="G71" s="18" t="n">
        <v>38.38536645</v>
      </c>
      <c r="H71" s="20" t="n">
        <v>1.8252542</v>
      </c>
      <c r="I71" s="18" t="n">
        <v>0</v>
      </c>
      <c r="J71" s="20" t="n">
        <v>0</v>
      </c>
      <c r="K71" s="18" t="n">
        <v>0.13250836</v>
      </c>
      <c r="L71" s="20" t="n">
        <v>0.13248237</v>
      </c>
      <c r="M71" s="18" t="n">
        <v>0</v>
      </c>
      <c r="N71" s="20" t="n">
        <v>0</v>
      </c>
      <c r="O71" s="18" t="n">
        <v>0</v>
      </c>
      <c r="P71" s="20" t="n">
        <v>0</v>
      </c>
      <c r="Q71" s="18" t="n">
        <v>0.11671199</v>
      </c>
      <c r="R71" s="20" t="n">
        <v>0.11683455</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55.36835979</v>
      </c>
      <c r="F76" s="20" t="n">
        <v>1.69003823</v>
      </c>
      <c r="G76" s="18" t="n">
        <v>37.35613138</v>
      </c>
      <c r="H76" s="20" t="n">
        <v>1.72040959</v>
      </c>
      <c r="I76" s="18" t="n">
        <v>0</v>
      </c>
      <c r="J76" s="20" t="n">
        <v>0</v>
      </c>
      <c r="K76" s="18" t="n">
        <v>5.38526496</v>
      </c>
      <c r="L76" s="20" t="n">
        <v>0.8935381100000001</v>
      </c>
      <c r="M76" s="18" t="n">
        <v>0</v>
      </c>
      <c r="N76" s="20" t="n">
        <v>0</v>
      </c>
      <c r="O76" s="18" t="n">
        <v>0</v>
      </c>
      <c r="P76" s="20" t="n">
        <v>0</v>
      </c>
      <c r="Q76" s="18" t="n">
        <v>1.89024387</v>
      </c>
      <c r="R76" s="20" t="n">
        <v>0.5268895099999999</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(2026.0/B80*100)</f>
        <v/>
      </c>
      <c r="D80" s="19" t="n">
        <v>1014</v>
      </c>
      <c r="E80" s="18" t="n">
        <v>14.38123773</v>
      </c>
      <c r="F80" s="20" t="n">
        <v>1.1957068</v>
      </c>
      <c r="G80" s="18" t="n">
        <v>85.61876227</v>
      </c>
      <c r="H80" s="20" t="n">
        <v>1.1957068</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31.24131733</v>
      </c>
      <c r="F81" s="20" t="n">
        <v>3.3185302</v>
      </c>
      <c r="G81" s="18" t="n">
        <v>62.75897634</v>
      </c>
      <c r="H81" s="20" t="n">
        <v>3.35620546</v>
      </c>
      <c r="I81" s="18" t="n">
        <v>0</v>
      </c>
      <c r="J81" s="20" t="n">
        <v>0</v>
      </c>
      <c r="K81" s="18" t="n">
        <v>3.44796171</v>
      </c>
      <c r="L81" s="20" t="n">
        <v>0.8912503000000001</v>
      </c>
      <c r="M81" s="18" t="n">
        <v>0</v>
      </c>
      <c r="N81" s="20" t="n">
        <v>0</v>
      </c>
      <c r="O81" s="18" t="n">
        <v>0</v>
      </c>
      <c r="P81" s="20" t="n">
        <v>0</v>
      </c>
      <c r="Q81" s="18" t="n">
        <v>2.55174461</v>
      </c>
      <c r="R81" s="20" t="n">
        <v>0.97936674</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(1790.0/B44*100)</f>
        <v/>
      </c>
      <c r="D44" s="19" t="n">
        <v>901</v>
      </c>
      <c r="E44" s="18" t="n">
        <v>43.47639012</v>
      </c>
      <c r="F44" s="20" t="n">
        <v>2.20565296</v>
      </c>
      <c r="G44" s="18" t="n">
        <v>24.64384486</v>
      </c>
      <c r="H44" s="20" t="n">
        <v>1.76885188</v>
      </c>
      <c r="I44" s="18" t="n">
        <v>0</v>
      </c>
      <c r="J44" s="20" t="n">
        <v>0</v>
      </c>
      <c r="K44" s="18" t="n">
        <v>4.45795519</v>
      </c>
      <c r="L44" s="20" t="n">
        <v>0.82386192</v>
      </c>
      <c r="M44" s="18" t="n">
        <v>0</v>
      </c>
      <c r="N44" s="20" t="n">
        <v>0</v>
      </c>
      <c r="O44" s="18" t="n">
        <v>0</v>
      </c>
      <c r="P44" s="20" t="n">
        <v>0</v>
      </c>
      <c r="Q44" s="18" t="n">
        <v>27.42180984</v>
      </c>
      <c r="R44" s="20" t="n">
        <v>2.04332738</v>
      </c>
    </row>
    <row r="45" spans="1:18">
      <c r="A45" s="15" t="s">
        <v>604</v>
      </c>
      <c r="B45" s="17" t="n">
        <v>2670</v>
      </c>
      <c r="C45" s="18">
        <f>(1798.0/B45*100)</f>
        <v/>
      </c>
      <c r="D45" s="19" t="n">
        <v>872</v>
      </c>
      <c r="E45" s="18" t="n">
        <v>50.41925355</v>
      </c>
      <c r="F45" s="20" t="n">
        <v>2.15282647</v>
      </c>
      <c r="G45" s="18" t="n">
        <v>16.89278408</v>
      </c>
      <c r="H45" s="20" t="n">
        <v>1.63258643</v>
      </c>
      <c r="I45" s="18" t="n">
        <v>0</v>
      </c>
      <c r="J45" s="20" t="n">
        <v>0</v>
      </c>
      <c r="K45" s="18" t="n">
        <v>8.80069043</v>
      </c>
      <c r="L45" s="20" t="n">
        <v>1.05104873</v>
      </c>
      <c r="M45" s="18" t="n">
        <v>0.08284962999999999</v>
      </c>
      <c r="N45" s="20" t="n">
        <v>0.08527415000000001</v>
      </c>
      <c r="O45" s="18" t="n">
        <v>0</v>
      </c>
      <c r="P45" s="20" t="n">
        <v>0</v>
      </c>
      <c r="Q45" s="18" t="n">
        <v>23.80442231</v>
      </c>
      <c r="R45" s="20" t="n">
        <v>1.72375881</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(1702.0/B54*100)</f>
        <v/>
      </c>
      <c r="D54" s="19" t="n">
        <v>855</v>
      </c>
      <c r="E54" s="18" t="n">
        <v>28.3807461</v>
      </c>
      <c r="F54" s="20" t="n">
        <v>1.85871696</v>
      </c>
      <c r="G54" s="18" t="n">
        <v>22.28124731</v>
      </c>
      <c r="H54" s="20" t="n">
        <v>1.44451098</v>
      </c>
      <c r="I54" s="18" t="n">
        <v>0</v>
      </c>
      <c r="J54" s="20" t="n">
        <v>0</v>
      </c>
      <c r="K54" s="18" t="n">
        <v>5.9342348</v>
      </c>
      <c r="L54" s="20" t="n">
        <v>0.86005277</v>
      </c>
      <c r="M54" s="18" t="n">
        <v>0.72037134</v>
      </c>
      <c r="N54" s="20" t="n">
        <v>0.17914713</v>
      </c>
      <c r="O54" s="18" t="n">
        <v>0</v>
      </c>
      <c r="P54" s="20" t="n">
        <v>0</v>
      </c>
      <c r="Q54" s="18" t="n">
        <v>42.68340045</v>
      </c>
      <c r="R54" s="20" t="n">
        <v>2.18287709</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(2223.0/B56*100)</f>
        <v/>
      </c>
      <c r="D56" s="19" t="n">
        <v>1120</v>
      </c>
      <c r="E56" s="18" t="n">
        <v>72.74825653000001</v>
      </c>
      <c r="F56" s="20" t="n">
        <v>1.54002266</v>
      </c>
      <c r="G56" s="18" t="n">
        <v>16.20976098</v>
      </c>
      <c r="H56" s="20" t="n">
        <v>1.17064074</v>
      </c>
      <c r="I56" s="18" t="n">
        <v>0</v>
      </c>
      <c r="J56" s="20" t="n">
        <v>0</v>
      </c>
      <c r="K56" s="18" t="n">
        <v>3.74249189</v>
      </c>
      <c r="L56" s="20" t="n">
        <v>0.67437908</v>
      </c>
      <c r="M56" s="18" t="n">
        <v>0</v>
      </c>
      <c r="N56" s="20" t="n">
        <v>0</v>
      </c>
      <c r="O56" s="18" t="n">
        <v>0</v>
      </c>
      <c r="P56" s="20" t="n">
        <v>0</v>
      </c>
      <c r="Q56" s="18" t="n">
        <v>7.29949059</v>
      </c>
      <c r="R56" s="20" t="n">
        <v>0.9569948700000001</v>
      </c>
    </row>
    <row r="57" spans="1:18">
      <c r="A57" s="15" t="s">
        <v>616</v>
      </c>
      <c r="B57" s="17" t="n">
        <v>3737</v>
      </c>
      <c r="C57" s="18">
        <f>(2488.0/B57*100)</f>
        <v/>
      </c>
      <c r="D57" s="19" t="n">
        <v>1249</v>
      </c>
      <c r="E57" s="18" t="n">
        <v>54.93529092</v>
      </c>
      <c r="F57" s="20" t="n">
        <v>1.75808635</v>
      </c>
      <c r="G57" s="18" t="n">
        <v>31.42226578</v>
      </c>
      <c r="H57" s="20" t="n">
        <v>1.53529546</v>
      </c>
      <c r="I57" s="18" t="n">
        <v>0</v>
      </c>
      <c r="J57" s="20" t="n">
        <v>0</v>
      </c>
      <c r="K57" s="18" t="n">
        <v>4.68515962</v>
      </c>
      <c r="L57" s="20" t="n">
        <v>0.678694</v>
      </c>
      <c r="M57" s="18" t="n">
        <v>0</v>
      </c>
      <c r="N57" s="20" t="n">
        <v>0</v>
      </c>
      <c r="O57" s="18" t="n">
        <v>0.04159479</v>
      </c>
      <c r="P57" s="20" t="n">
        <v>0.04171288</v>
      </c>
      <c r="Q57" s="18" t="n">
        <v>8.91568889</v>
      </c>
      <c r="R57" s="20" t="n">
        <v>1.38033397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(1518.0/B59*100)</f>
        <v/>
      </c>
      <c r="D59" s="19" t="n">
        <v>760</v>
      </c>
      <c r="E59" s="18" t="n">
        <v>60.68750623</v>
      </c>
      <c r="F59" s="20" t="n">
        <v>2.25834677</v>
      </c>
      <c r="G59" s="18" t="n">
        <v>11.67530758</v>
      </c>
      <c r="H59" s="20" t="n">
        <v>1.37943972</v>
      </c>
      <c r="I59" s="18" t="n">
        <v>0</v>
      </c>
      <c r="J59" s="20" t="n">
        <v>0</v>
      </c>
      <c r="K59" s="18" t="n">
        <v>2.62232911</v>
      </c>
      <c r="L59" s="20" t="n">
        <v>0.59172395</v>
      </c>
      <c r="M59" s="18" t="n">
        <v>0</v>
      </c>
      <c r="N59" s="20" t="n">
        <v>0</v>
      </c>
      <c r="O59" s="18" t="n">
        <v>0</v>
      </c>
      <c r="P59" s="20" t="n">
        <v>0</v>
      </c>
      <c r="Q59" s="18" t="n">
        <v>25.01485708</v>
      </c>
      <c r="R59" s="20" t="n">
        <v>1.79771891</v>
      </c>
    </row>
    <row r="60" spans="1:18">
      <c r="A60" s="15" t="s">
        <v>620</v>
      </c>
      <c r="B60" s="17" t="n">
        <v>2451</v>
      </c>
      <c r="C60" s="18">
        <f>(1622.0/B60*100)</f>
        <v/>
      </c>
      <c r="D60" s="19" t="n">
        <v>829</v>
      </c>
      <c r="E60" s="18" t="n">
        <v>48.59537574</v>
      </c>
      <c r="F60" s="20" t="n">
        <v>1.86922865</v>
      </c>
      <c r="G60" s="18" t="n">
        <v>11.9016573</v>
      </c>
      <c r="H60" s="20" t="n">
        <v>1.578302</v>
      </c>
      <c r="I60" s="18" t="n">
        <v>0</v>
      </c>
      <c r="J60" s="20" t="n">
        <v>0</v>
      </c>
      <c r="K60" s="18" t="n">
        <v>12.06566398</v>
      </c>
      <c r="L60" s="20" t="n">
        <v>1.53943769</v>
      </c>
      <c r="M60" s="18" t="n">
        <v>0</v>
      </c>
      <c r="N60" s="20" t="n">
        <v>0</v>
      </c>
      <c r="O60" s="18" t="n">
        <v>0</v>
      </c>
      <c r="P60" s="20" t="n">
        <v>0</v>
      </c>
      <c r="Q60" s="18" t="n">
        <v>27.43730298</v>
      </c>
      <c r="R60" s="20" t="n">
        <v>1.90777979</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(1674.0/B63*100)</f>
        <v/>
      </c>
      <c r="D63" s="19" t="n">
        <v>837</v>
      </c>
      <c r="E63" s="18" t="n">
        <v>26.13758149</v>
      </c>
      <c r="F63" s="20" t="n">
        <v>1.54524821</v>
      </c>
      <c r="G63" s="18" t="n">
        <v>20.17299256</v>
      </c>
      <c r="H63" s="20" t="n">
        <v>1.78987792</v>
      </c>
      <c r="I63" s="18" t="n">
        <v>0</v>
      </c>
      <c r="J63" s="20" t="n">
        <v>0</v>
      </c>
      <c r="K63" s="18" t="n">
        <v>8.837846860000001</v>
      </c>
      <c r="L63" s="20" t="n">
        <v>1.10770847</v>
      </c>
      <c r="M63" s="18" t="n">
        <v>0</v>
      </c>
      <c r="N63" s="20" t="n">
        <v>0</v>
      </c>
      <c r="O63" s="18" t="n">
        <v>0.12729085</v>
      </c>
      <c r="P63" s="20" t="n">
        <v>0.1278997</v>
      </c>
      <c r="Q63" s="18" t="n">
        <v>44.72428824</v>
      </c>
      <c r="R63" s="20" t="n">
        <v>1.91907485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35.26030834</v>
      </c>
      <c r="F65" s="20" t="n">
        <v>1.93196958</v>
      </c>
      <c r="G65" s="18" t="n">
        <v>40.82049083</v>
      </c>
      <c r="H65" s="20" t="n">
        <v>1.92423393</v>
      </c>
      <c r="I65" s="18" t="n">
        <v>0</v>
      </c>
      <c r="J65" s="20" t="n">
        <v>0</v>
      </c>
      <c r="K65" s="18" t="n">
        <v>4.23699544</v>
      </c>
      <c r="L65" s="20" t="n">
        <v>0.84645593</v>
      </c>
      <c r="M65" s="18" t="n">
        <v>0</v>
      </c>
      <c r="N65" s="20" t="n">
        <v>0</v>
      </c>
      <c r="O65" s="18" t="n">
        <v>0</v>
      </c>
      <c r="P65" s="20" t="n">
        <v>0</v>
      </c>
      <c r="Q65" s="18" t="n">
        <v>19.68220538</v>
      </c>
      <c r="R65" s="20" t="n">
        <v>1.67407224</v>
      </c>
    </row>
    <row r="66" spans="1:18">
      <c r="A66" s="15" t="s">
        <v>626</v>
      </c>
      <c r="B66" s="17" t="n">
        <v>2634</v>
      </c>
      <c r="C66" s="18">
        <f>(1749.0/B66*100)</f>
        <v/>
      </c>
      <c r="D66" s="19" t="n">
        <v>885</v>
      </c>
      <c r="E66" s="18" t="n">
        <v>38.94303842</v>
      </c>
      <c r="F66" s="20" t="n">
        <v>1.78744241</v>
      </c>
      <c r="G66" s="18" t="n">
        <v>21.17113729</v>
      </c>
      <c r="H66" s="20" t="n">
        <v>1.41687399</v>
      </c>
      <c r="I66" s="18" t="n">
        <v>0</v>
      </c>
      <c r="J66" s="20" t="n">
        <v>0</v>
      </c>
      <c r="K66" s="18" t="n">
        <v>8.810341770000001</v>
      </c>
      <c r="L66" s="20" t="n">
        <v>1.13691644</v>
      </c>
      <c r="M66" s="18" t="n">
        <v>0</v>
      </c>
      <c r="N66" s="20" t="n">
        <v>0</v>
      </c>
      <c r="O66" s="18" t="n">
        <v>0</v>
      </c>
      <c r="P66" s="20" t="n">
        <v>0</v>
      </c>
      <c r="Q66" s="18" t="n">
        <v>31.07548253</v>
      </c>
      <c r="R66" s="20" t="n">
        <v>1.81797598</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(486.0/B69*100)</f>
        <v/>
      </c>
      <c r="D69" s="19" t="n">
        <v>234</v>
      </c>
      <c r="E69" s="18" t="n">
        <v>69.01266416999999</v>
      </c>
      <c r="F69" s="20" t="n">
        <v>3.10014803</v>
      </c>
      <c r="G69" s="18" t="n">
        <v>19.49461461</v>
      </c>
      <c r="H69" s="20" t="n">
        <v>2.59556612</v>
      </c>
      <c r="I69" s="18" t="n">
        <v>0</v>
      </c>
      <c r="J69" s="20" t="n">
        <v>0</v>
      </c>
      <c r="K69" s="18" t="n">
        <v>1.13762364</v>
      </c>
      <c r="L69" s="20" t="n">
        <v>0.67671632</v>
      </c>
      <c r="M69" s="18" t="n">
        <v>0</v>
      </c>
      <c r="N69" s="20" t="n">
        <v>0</v>
      </c>
      <c r="O69" s="18" t="n">
        <v>0</v>
      </c>
      <c r="P69" s="20" t="n">
        <v>0</v>
      </c>
      <c r="Q69" s="18" t="n">
        <v>10.35509757</v>
      </c>
      <c r="R69" s="20" t="n">
        <v>2.22500569</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(1633.0/B71*100)</f>
        <v/>
      </c>
      <c r="D71" s="19" t="n">
        <v>833</v>
      </c>
      <c r="E71" s="18" t="n">
        <v>60.40674334</v>
      </c>
      <c r="F71" s="20" t="n">
        <v>1.98393064</v>
      </c>
      <c r="G71" s="18" t="n">
        <v>38.23650106</v>
      </c>
      <c r="H71" s="20" t="n">
        <v>1.98447711</v>
      </c>
      <c r="I71" s="18" t="n">
        <v>0</v>
      </c>
      <c r="J71" s="20" t="n">
        <v>0</v>
      </c>
      <c r="K71" s="18" t="n">
        <v>0.23376015</v>
      </c>
      <c r="L71" s="20" t="n">
        <v>0.16651614</v>
      </c>
      <c r="M71" s="18" t="n">
        <v>0</v>
      </c>
      <c r="N71" s="20" t="n">
        <v>0</v>
      </c>
      <c r="O71" s="18" t="n">
        <v>0</v>
      </c>
      <c r="P71" s="20" t="n">
        <v>0</v>
      </c>
      <c r="Q71" s="18" t="n">
        <v>1.12299545</v>
      </c>
      <c r="R71" s="20" t="n">
        <v>0.39003289</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40.12929971</v>
      </c>
      <c r="F76" s="20" t="n">
        <v>1.99489019</v>
      </c>
      <c r="G76" s="18" t="n">
        <v>28.2555729</v>
      </c>
      <c r="H76" s="20" t="n">
        <v>2.21921196</v>
      </c>
      <c r="I76" s="18" t="n">
        <v>0</v>
      </c>
      <c r="J76" s="20" t="n">
        <v>0</v>
      </c>
      <c r="K76" s="18" t="n">
        <v>8.08708835</v>
      </c>
      <c r="L76" s="20" t="n">
        <v>1.0702009</v>
      </c>
      <c r="M76" s="18" t="n">
        <v>0</v>
      </c>
      <c r="N76" s="20" t="n">
        <v>0</v>
      </c>
      <c r="O76" s="18" t="n">
        <v>0</v>
      </c>
      <c r="P76" s="20" t="n">
        <v>0</v>
      </c>
      <c r="Q76" s="18" t="n">
        <v>23.52803904</v>
      </c>
      <c r="R76" s="20" t="n">
        <v>1.38163066</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(2026.0/B80*100)</f>
        <v/>
      </c>
      <c r="D80" s="19" t="n">
        <v>1014</v>
      </c>
      <c r="E80" s="18" t="n">
        <v>54.81416862</v>
      </c>
      <c r="F80" s="20" t="n">
        <v>1.73212996</v>
      </c>
      <c r="G80" s="18" t="n">
        <v>43.95435569</v>
      </c>
      <c r="H80" s="20" t="n">
        <v>1.75595546</v>
      </c>
      <c r="I80" s="18" t="n">
        <v>0</v>
      </c>
      <c r="J80" s="20" t="n">
        <v>0</v>
      </c>
      <c r="K80" s="18" t="n">
        <v>0</v>
      </c>
      <c r="L80" s="20" t="n">
        <v>0</v>
      </c>
      <c r="M80" s="18" t="n">
        <v>0</v>
      </c>
      <c r="N80" s="20" t="n">
        <v>0</v>
      </c>
      <c r="O80" s="18" t="n">
        <v>0</v>
      </c>
      <c r="P80" s="20" t="n">
        <v>0</v>
      </c>
      <c r="Q80" s="18" t="n">
        <v>1.23147569</v>
      </c>
      <c r="R80" s="20" t="n">
        <v>0.29821829</v>
      </c>
    </row>
    <row r="81" spans="1:18">
      <c r="A81" s="15" t="s">
        <v>641</v>
      </c>
      <c r="B81" s="17" t="n">
        <v>870</v>
      </c>
      <c r="C81" s="18">
        <f>(585.0/B81*100)</f>
        <v/>
      </c>
      <c r="D81" s="19" t="n">
        <v>285</v>
      </c>
      <c r="E81" s="18" t="n">
        <v>37.61273942</v>
      </c>
      <c r="F81" s="20" t="n">
        <v>2.99105312</v>
      </c>
      <c r="G81" s="18" t="n">
        <v>32.77177539</v>
      </c>
      <c r="H81" s="20" t="n">
        <v>2.88528792</v>
      </c>
      <c r="I81" s="18" t="n">
        <v>0</v>
      </c>
      <c r="J81" s="20" t="n">
        <v>0</v>
      </c>
      <c r="K81" s="18" t="n">
        <v>6.9277775</v>
      </c>
      <c r="L81" s="20" t="n">
        <v>1.17614104</v>
      </c>
      <c r="M81" s="18" t="n">
        <v>0</v>
      </c>
      <c r="N81" s="20" t="n">
        <v>0</v>
      </c>
      <c r="O81" s="18" t="n">
        <v>0</v>
      </c>
      <c r="P81" s="20" t="n">
        <v>0</v>
      </c>
      <c r="Q81" s="18" t="n">
        <v>22.6877077</v>
      </c>
      <c r="R81" s="20" t="n">
        <v>2.99608959</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(1790.0/B44*100)</f>
        <v/>
      </c>
      <c r="D44" s="19" t="n">
        <v>901</v>
      </c>
      <c r="E44" s="18" t="n">
        <v>0</v>
      </c>
      <c r="F44" s="20" t="n">
        <v>0</v>
      </c>
      <c r="G44" s="18" t="n">
        <v>0</v>
      </c>
      <c r="H44" s="20" t="n">
        <v>0</v>
      </c>
      <c r="I44" s="18" t="n">
        <v>0</v>
      </c>
      <c r="J44" s="20" t="n">
        <v>0</v>
      </c>
      <c r="K44" s="18" t="n">
        <v>0</v>
      </c>
      <c r="L44" s="20" t="n">
        <v>0</v>
      </c>
      <c r="M44" s="18" t="n">
        <v>100</v>
      </c>
      <c r="N44" s="20" t="n">
        <v>0</v>
      </c>
      <c r="O44" s="18" t="n">
        <v>0</v>
      </c>
      <c r="P44" s="20" t="n">
        <v>0</v>
      </c>
      <c r="Q44" s="18" t="n">
        <v>0</v>
      </c>
      <c r="R44" s="20" t="n">
        <v>0</v>
      </c>
    </row>
    <row r="45" spans="1:18">
      <c r="A45" s="15" t="s">
        <v>604</v>
      </c>
      <c r="B45" s="17" t="n">
        <v>2670</v>
      </c>
      <c r="C45" s="18">
        <f>(1798.0/B45*100)</f>
        <v/>
      </c>
      <c r="D45" s="19" t="n">
        <v>872</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(1702.0/B54*100)</f>
        <v/>
      </c>
      <c r="D54" s="19" t="n">
        <v>855</v>
      </c>
      <c r="E54" s="18" t="n">
        <v>0</v>
      </c>
      <c r="F54" s="20" t="n">
        <v>0</v>
      </c>
      <c r="G54" s="18" t="n">
        <v>0</v>
      </c>
      <c r="H54" s="20" t="n">
        <v>0</v>
      </c>
      <c r="I54" s="18" t="n">
        <v>0</v>
      </c>
      <c r="J54" s="20" t="n">
        <v>0</v>
      </c>
      <c r="K54" s="18" t="n">
        <v>0</v>
      </c>
      <c r="L54" s="20" t="n">
        <v>0</v>
      </c>
      <c r="M54" s="18" t="n">
        <v>100</v>
      </c>
      <c r="N54" s="20" t="n">
        <v>0</v>
      </c>
      <c r="O54" s="18" t="n">
        <v>0</v>
      </c>
      <c r="P54" s="20" t="n">
        <v>0</v>
      </c>
      <c r="Q54" s="18" t="n">
        <v>0</v>
      </c>
      <c r="R54" s="20" t="n">
        <v>0</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(2223.0/B56*100)</f>
        <v/>
      </c>
      <c r="D56" s="19" t="n">
        <v>1120</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3737</v>
      </c>
      <c r="C57" s="18">
        <f>(2488.0/B57*100)</f>
        <v/>
      </c>
      <c r="D57" s="19" t="n">
        <v>1249</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(1518.0/B59*100)</f>
        <v/>
      </c>
      <c r="D59" s="19" t="n">
        <v>760</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620</v>
      </c>
      <c r="B60" s="17" t="n">
        <v>2451</v>
      </c>
      <c r="C60" s="18">
        <f>(1622.0/B60*100)</f>
        <v/>
      </c>
      <c r="D60" s="19" t="n">
        <v>829</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(1674.0/B63*100)</f>
        <v/>
      </c>
      <c r="D63" s="19" t="n">
        <v>837</v>
      </c>
      <c r="E63" s="18" t="n">
        <v>0</v>
      </c>
      <c r="F63" s="20" t="n">
        <v>0</v>
      </c>
      <c r="G63" s="18" t="n">
        <v>0</v>
      </c>
      <c r="H63" s="20" t="n">
        <v>0</v>
      </c>
      <c r="I63" s="18" t="n">
        <v>0</v>
      </c>
      <c r="J63" s="20" t="n">
        <v>0</v>
      </c>
      <c r="K63" s="18" t="n">
        <v>0</v>
      </c>
      <c r="L63" s="20" t="n">
        <v>0</v>
      </c>
      <c r="M63" s="18" t="n">
        <v>100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0</v>
      </c>
      <c r="F65" s="20" t="n">
        <v>0</v>
      </c>
      <c r="G65" s="18" t="n">
        <v>0</v>
      </c>
      <c r="H65" s="20" t="n">
        <v>0</v>
      </c>
      <c r="I65" s="18" t="n">
        <v>0</v>
      </c>
      <c r="J65" s="20" t="n">
        <v>0</v>
      </c>
      <c r="K65" s="18" t="n">
        <v>0</v>
      </c>
      <c r="L65" s="20" t="n">
        <v>0</v>
      </c>
      <c r="M65" s="18" t="n">
        <v>100</v>
      </c>
      <c r="N65" s="20" t="n">
        <v>0</v>
      </c>
      <c r="O65" s="18" t="n">
        <v>0</v>
      </c>
      <c r="P65" s="20" t="n">
        <v>0</v>
      </c>
      <c r="Q65" s="18" t="n">
        <v>0</v>
      </c>
      <c r="R65" s="20" t="n">
        <v>0</v>
      </c>
    </row>
    <row r="66" spans="1:18">
      <c r="A66" s="15" t="s">
        <v>626</v>
      </c>
      <c r="B66" s="17" t="n">
        <v>2634</v>
      </c>
      <c r="C66" s="18">
        <f>(1749.0/B66*100)</f>
        <v/>
      </c>
      <c r="D66" s="19" t="n">
        <v>885</v>
      </c>
      <c r="E66" s="18" t="n">
        <v>0</v>
      </c>
      <c r="F66" s="20" t="n">
        <v>0</v>
      </c>
      <c r="G66" s="18" t="n">
        <v>0</v>
      </c>
      <c r="H66" s="20" t="n">
        <v>0</v>
      </c>
      <c r="I66" s="18" t="n">
        <v>0</v>
      </c>
      <c r="J66" s="20" t="n">
        <v>0</v>
      </c>
      <c r="K66" s="18" t="n">
        <v>0</v>
      </c>
      <c r="L66" s="20" t="n">
        <v>0</v>
      </c>
      <c r="M66" s="18" t="n">
        <v>100</v>
      </c>
      <c r="N66" s="20" t="n">
        <v>0</v>
      </c>
      <c r="O66" s="18" t="n">
        <v>0</v>
      </c>
      <c r="P66" s="20" t="n">
        <v>0</v>
      </c>
      <c r="Q66" s="18" t="n">
        <v>0</v>
      </c>
      <c r="R66" s="20" t="n">
        <v>0</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(486.0/B69*100)</f>
        <v/>
      </c>
      <c r="D69" s="19" t="n">
        <v>234</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(1714.0/B71*100)</f>
        <v/>
      </c>
      <c r="D71" s="19" t="n">
        <v>752</v>
      </c>
      <c r="E71" s="18" t="n">
        <v>0</v>
      </c>
      <c r="F71" s="20" t="n">
        <v>0</v>
      </c>
      <c r="G71" s="18" t="n">
        <v>0</v>
      </c>
      <c r="H71" s="20" t="n">
        <v>0</v>
      </c>
      <c r="I71" s="18" t="n">
        <v>0</v>
      </c>
      <c r="J71" s="20" t="n">
        <v>0</v>
      </c>
      <c r="K71" s="18" t="n">
        <v>0</v>
      </c>
      <c r="L71" s="20" t="n">
        <v>0</v>
      </c>
      <c r="M71" s="18" t="n">
        <v>100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(2026.0/B80*100)</f>
        <v/>
      </c>
      <c r="D80" s="19" t="n">
        <v>1014</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641</v>
      </c>
      <c r="B81" s="17" t="n">
        <v>870</v>
      </c>
      <c r="C81" s="18">
        <f>(585.0/B81*100)</f>
        <v/>
      </c>
      <c r="D81" s="19" t="n">
        <v>285</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(1790.0/B44*100)</f>
        <v/>
      </c>
      <c r="D44" s="19" t="n">
        <v>901</v>
      </c>
      <c r="E44" s="18" t="n">
        <v>0</v>
      </c>
      <c r="F44" s="20" t="n">
        <v>0</v>
      </c>
      <c r="G44" s="18" t="n">
        <v>0</v>
      </c>
      <c r="H44" s="20" t="n">
        <v>0</v>
      </c>
      <c r="I44" s="18" t="n">
        <v>0</v>
      </c>
      <c r="J44" s="20" t="n">
        <v>0</v>
      </c>
      <c r="K44" s="18" t="n">
        <v>0</v>
      </c>
      <c r="L44" s="20" t="n">
        <v>0</v>
      </c>
      <c r="M44" s="18" t="n">
        <v>100</v>
      </c>
      <c r="N44" s="20" t="n">
        <v>0</v>
      </c>
      <c r="O44" s="18" t="n">
        <v>0</v>
      </c>
      <c r="P44" s="20" t="n">
        <v>0</v>
      </c>
      <c r="Q44" s="18" t="n">
        <v>0</v>
      </c>
      <c r="R44" s="20" t="n">
        <v>0</v>
      </c>
    </row>
    <row r="45" spans="1:18">
      <c r="A45" s="15" t="s">
        <v>604</v>
      </c>
      <c r="B45" s="17" t="n">
        <v>2670</v>
      </c>
      <c r="C45" s="18">
        <f>(1798.0/B45*100)</f>
        <v/>
      </c>
      <c r="D45" s="19" t="n">
        <v>872</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(1702.0/B54*100)</f>
        <v/>
      </c>
      <c r="D54" s="19" t="n">
        <v>855</v>
      </c>
      <c r="E54" s="18" t="n">
        <v>0</v>
      </c>
      <c r="F54" s="20" t="n">
        <v>0</v>
      </c>
      <c r="G54" s="18" t="n">
        <v>0</v>
      </c>
      <c r="H54" s="20" t="n">
        <v>0</v>
      </c>
      <c r="I54" s="18" t="n">
        <v>0</v>
      </c>
      <c r="J54" s="20" t="n">
        <v>0</v>
      </c>
      <c r="K54" s="18" t="n">
        <v>0</v>
      </c>
      <c r="L54" s="20" t="n">
        <v>0</v>
      </c>
      <c r="M54" s="18" t="n">
        <v>100</v>
      </c>
      <c r="N54" s="20" t="n">
        <v>0</v>
      </c>
      <c r="O54" s="18" t="n">
        <v>0</v>
      </c>
      <c r="P54" s="20" t="n">
        <v>0</v>
      </c>
      <c r="Q54" s="18" t="n">
        <v>0</v>
      </c>
      <c r="R54" s="20" t="n">
        <v>0</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(2223.0/B56*100)</f>
        <v/>
      </c>
      <c r="D56" s="19" t="n">
        <v>1120</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3737</v>
      </c>
      <c r="C57" s="18">
        <f>(2488.0/B57*100)</f>
        <v/>
      </c>
      <c r="D57" s="19" t="n">
        <v>1249</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(1518.0/B59*100)</f>
        <v/>
      </c>
      <c r="D59" s="19" t="n">
        <v>760</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620</v>
      </c>
      <c r="B60" s="17" t="n">
        <v>2451</v>
      </c>
      <c r="C60" s="18">
        <f>(1622.0/B60*100)</f>
        <v/>
      </c>
      <c r="D60" s="19" t="n">
        <v>829</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(1674.0/B63*100)</f>
        <v/>
      </c>
      <c r="D63" s="19" t="n">
        <v>837</v>
      </c>
      <c r="E63" s="18" t="n">
        <v>0</v>
      </c>
      <c r="F63" s="20" t="n">
        <v>0</v>
      </c>
      <c r="G63" s="18" t="n">
        <v>0</v>
      </c>
      <c r="H63" s="20" t="n">
        <v>0</v>
      </c>
      <c r="I63" s="18" t="n">
        <v>0</v>
      </c>
      <c r="J63" s="20" t="n">
        <v>0</v>
      </c>
      <c r="K63" s="18" t="n">
        <v>0</v>
      </c>
      <c r="L63" s="20" t="n">
        <v>0</v>
      </c>
      <c r="M63" s="18" t="n">
        <v>100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0</v>
      </c>
      <c r="F65" s="20" t="n">
        <v>0</v>
      </c>
      <c r="G65" s="18" t="n">
        <v>0</v>
      </c>
      <c r="H65" s="20" t="n">
        <v>0</v>
      </c>
      <c r="I65" s="18" t="n">
        <v>0</v>
      </c>
      <c r="J65" s="20" t="n">
        <v>0</v>
      </c>
      <c r="K65" s="18" t="n">
        <v>0</v>
      </c>
      <c r="L65" s="20" t="n">
        <v>0</v>
      </c>
      <c r="M65" s="18" t="n">
        <v>100</v>
      </c>
      <c r="N65" s="20" t="n">
        <v>0</v>
      </c>
      <c r="O65" s="18" t="n">
        <v>0</v>
      </c>
      <c r="P65" s="20" t="n">
        <v>0</v>
      </c>
      <c r="Q65" s="18" t="n">
        <v>0</v>
      </c>
      <c r="R65" s="20" t="n">
        <v>0</v>
      </c>
    </row>
    <row r="66" spans="1:18">
      <c r="A66" s="15" t="s">
        <v>626</v>
      </c>
      <c r="B66" s="17" t="n">
        <v>2634</v>
      </c>
      <c r="C66" s="18">
        <f>(1749.0/B66*100)</f>
        <v/>
      </c>
      <c r="D66" s="19" t="n">
        <v>885</v>
      </c>
      <c r="E66" s="18" t="n">
        <v>0</v>
      </c>
      <c r="F66" s="20" t="n">
        <v>0</v>
      </c>
      <c r="G66" s="18" t="n">
        <v>0</v>
      </c>
      <c r="H66" s="20" t="n">
        <v>0</v>
      </c>
      <c r="I66" s="18" t="n">
        <v>0</v>
      </c>
      <c r="J66" s="20" t="n">
        <v>0</v>
      </c>
      <c r="K66" s="18" t="n">
        <v>0</v>
      </c>
      <c r="L66" s="20" t="n">
        <v>0</v>
      </c>
      <c r="M66" s="18" t="n">
        <v>100</v>
      </c>
      <c r="N66" s="20" t="n">
        <v>0</v>
      </c>
      <c r="O66" s="18" t="n">
        <v>0</v>
      </c>
      <c r="P66" s="20" t="n">
        <v>0</v>
      </c>
      <c r="Q66" s="18" t="n">
        <v>0</v>
      </c>
      <c r="R66" s="20" t="n">
        <v>0</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(486.0/B69*100)</f>
        <v/>
      </c>
      <c r="D69" s="19" t="n">
        <v>234</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(1714.0/B71*100)</f>
        <v/>
      </c>
      <c r="D71" s="19" t="n">
        <v>752</v>
      </c>
      <c r="E71" s="18" t="n">
        <v>0</v>
      </c>
      <c r="F71" s="20" t="n">
        <v>0</v>
      </c>
      <c r="G71" s="18" t="n">
        <v>0</v>
      </c>
      <c r="H71" s="20" t="n">
        <v>0</v>
      </c>
      <c r="I71" s="18" t="n">
        <v>0</v>
      </c>
      <c r="J71" s="20" t="n">
        <v>0</v>
      </c>
      <c r="K71" s="18" t="n">
        <v>0</v>
      </c>
      <c r="L71" s="20" t="n">
        <v>0</v>
      </c>
      <c r="M71" s="18" t="n">
        <v>100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(2026.0/B80*100)</f>
        <v/>
      </c>
      <c r="D80" s="19" t="n">
        <v>1014</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641</v>
      </c>
      <c r="B81" s="17" t="n">
        <v>870</v>
      </c>
      <c r="C81" s="18">
        <f>(585.0/B81*100)</f>
        <v/>
      </c>
      <c r="D81" s="19" t="n">
        <v>285</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(1790.0/B44*100)</f>
        <v/>
      </c>
      <c r="D44" s="19" t="n">
        <v>901</v>
      </c>
      <c r="E44" s="18" t="n">
        <v>32.12770999</v>
      </c>
      <c r="F44" s="20" t="n">
        <v>2.15977676</v>
      </c>
      <c r="G44" s="18" t="n">
        <v>54.38871412</v>
      </c>
      <c r="H44" s="20" t="n">
        <v>1.99411182</v>
      </c>
      <c r="I44" s="18" t="n">
        <v>0</v>
      </c>
      <c r="J44" s="20" t="n">
        <v>0</v>
      </c>
      <c r="K44" s="18" t="n">
        <v>4.9021333</v>
      </c>
      <c r="L44" s="20" t="n">
        <v>0.83856977</v>
      </c>
      <c r="M44" s="18" t="n">
        <v>0</v>
      </c>
      <c r="N44" s="20" t="n">
        <v>0</v>
      </c>
      <c r="O44" s="18" t="n">
        <v>0.74985423</v>
      </c>
      <c r="P44" s="20" t="n">
        <v>0.35783591</v>
      </c>
      <c r="Q44" s="18" t="n">
        <v>7.83158835</v>
      </c>
      <c r="R44" s="20" t="n">
        <v>1.43500339</v>
      </c>
    </row>
    <row r="45" spans="1:18">
      <c r="A45" s="15" t="s">
        <v>604</v>
      </c>
      <c r="B45" s="17" t="n">
        <v>2670</v>
      </c>
      <c r="C45" s="18">
        <f>(1798.0/B45*100)</f>
        <v/>
      </c>
      <c r="D45" s="19" t="n">
        <v>872</v>
      </c>
      <c r="E45" s="18" t="n">
        <v>46.70752775</v>
      </c>
      <c r="F45" s="20" t="n">
        <v>2.31768597</v>
      </c>
      <c r="G45" s="18" t="n">
        <v>36.65137962</v>
      </c>
      <c r="H45" s="20" t="n">
        <v>2.20279242</v>
      </c>
      <c r="I45" s="18" t="n">
        <v>0</v>
      </c>
      <c r="J45" s="20" t="n">
        <v>0</v>
      </c>
      <c r="K45" s="18" t="n">
        <v>9.685095799999999</v>
      </c>
      <c r="L45" s="20" t="n">
        <v>1.06232787</v>
      </c>
      <c r="M45" s="18" t="n">
        <v>1.09232202</v>
      </c>
      <c r="N45" s="20" t="n">
        <v>0.30220358</v>
      </c>
      <c r="O45" s="18" t="n">
        <v>2.38664039</v>
      </c>
      <c r="P45" s="20" t="n">
        <v>0.69081148</v>
      </c>
      <c r="Q45" s="18" t="n">
        <v>3.47703442</v>
      </c>
      <c r="R45" s="20" t="n">
        <v>0.56401296</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(1702.0/B54*100)</f>
        <v/>
      </c>
      <c r="D54" s="19" t="n">
        <v>855</v>
      </c>
      <c r="E54" s="18" t="n">
        <v>42.70906637</v>
      </c>
      <c r="F54" s="20" t="n">
        <v>1.98913024</v>
      </c>
      <c r="G54" s="18" t="n">
        <v>48.84338068</v>
      </c>
      <c r="H54" s="20" t="n">
        <v>1.91960811</v>
      </c>
      <c r="I54" s="18" t="n">
        <v>0</v>
      </c>
      <c r="J54" s="20" t="n">
        <v>0</v>
      </c>
      <c r="K54" s="18" t="n">
        <v>6.75735658</v>
      </c>
      <c r="L54" s="20" t="n">
        <v>1.00097475</v>
      </c>
      <c r="M54" s="18" t="n">
        <v>0</v>
      </c>
      <c r="N54" s="20" t="n">
        <v>0</v>
      </c>
      <c r="O54" s="18" t="n">
        <v>0.35050802</v>
      </c>
      <c r="P54" s="20" t="n">
        <v>0.25756757</v>
      </c>
      <c r="Q54" s="18" t="n">
        <v>1.33968835</v>
      </c>
      <c r="R54" s="20" t="n">
        <v>0.43963257</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(2223.0/B56*100)</f>
        <v/>
      </c>
      <c r="D56" s="19" t="n">
        <v>1120</v>
      </c>
      <c r="E56" s="18" t="n">
        <v>43.15347085</v>
      </c>
      <c r="F56" s="20" t="n">
        <v>1.80093538</v>
      </c>
      <c r="G56" s="18" t="n">
        <v>50.75715521</v>
      </c>
      <c r="H56" s="20" t="n">
        <v>1.84119268</v>
      </c>
      <c r="I56" s="18" t="n">
        <v>0</v>
      </c>
      <c r="J56" s="20" t="n">
        <v>0</v>
      </c>
      <c r="K56" s="18" t="n">
        <v>4.50684352</v>
      </c>
      <c r="L56" s="20" t="n">
        <v>0.76063892</v>
      </c>
      <c r="M56" s="18" t="n">
        <v>0</v>
      </c>
      <c r="N56" s="20" t="n">
        <v>0</v>
      </c>
      <c r="O56" s="18" t="n">
        <v>0</v>
      </c>
      <c r="P56" s="20" t="n">
        <v>0</v>
      </c>
      <c r="Q56" s="18" t="n">
        <v>1.58253042</v>
      </c>
      <c r="R56" s="20" t="n">
        <v>0.34365366</v>
      </c>
    </row>
    <row r="57" spans="1:18">
      <c r="A57" s="15" t="s">
        <v>616</v>
      </c>
      <c r="B57" s="17" t="n">
        <v>3737</v>
      </c>
      <c r="C57" s="18">
        <f>(2488.0/B57*100)</f>
        <v/>
      </c>
      <c r="D57" s="19" t="n">
        <v>1249</v>
      </c>
      <c r="E57" s="18" t="n">
        <v>39.10599098</v>
      </c>
      <c r="F57" s="20" t="n">
        <v>2.04813049</v>
      </c>
      <c r="G57" s="18" t="n">
        <v>53.67529812</v>
      </c>
      <c r="H57" s="20" t="n">
        <v>1.85758977</v>
      </c>
      <c r="I57" s="18" t="n">
        <v>0</v>
      </c>
      <c r="J57" s="20" t="n">
        <v>0</v>
      </c>
      <c r="K57" s="18" t="n">
        <v>5.37587751</v>
      </c>
      <c r="L57" s="20" t="n">
        <v>0.72467341</v>
      </c>
      <c r="M57" s="18" t="n">
        <v>0</v>
      </c>
      <c r="N57" s="20" t="n">
        <v>0</v>
      </c>
      <c r="O57" s="18" t="n">
        <v>0.62560828</v>
      </c>
      <c r="P57" s="20" t="n">
        <v>0.41007739</v>
      </c>
      <c r="Q57" s="18" t="n">
        <v>1.21722511</v>
      </c>
      <c r="R57" s="20" t="n">
        <v>0.36951458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(1518.0/B59*100)</f>
        <v/>
      </c>
      <c r="D59" s="19" t="n">
        <v>760</v>
      </c>
      <c r="E59" s="18" t="n">
        <v>51.17025319</v>
      </c>
      <c r="F59" s="20" t="n">
        <v>2.36412186</v>
      </c>
      <c r="G59" s="18" t="n">
        <v>39.31147122</v>
      </c>
      <c r="H59" s="20" t="n">
        <v>2.13136239</v>
      </c>
      <c r="I59" s="18" t="n">
        <v>0</v>
      </c>
      <c r="J59" s="20" t="n">
        <v>0</v>
      </c>
      <c r="K59" s="18" t="n">
        <v>3.2242441</v>
      </c>
      <c r="L59" s="20" t="n">
        <v>0.6755792</v>
      </c>
      <c r="M59" s="18" t="n">
        <v>0.07627236</v>
      </c>
      <c r="N59" s="20" t="n">
        <v>0.07628719</v>
      </c>
      <c r="O59" s="18" t="n">
        <v>0.70091191</v>
      </c>
      <c r="P59" s="20" t="n">
        <v>0.34904844</v>
      </c>
      <c r="Q59" s="18" t="n">
        <v>5.51684721</v>
      </c>
      <c r="R59" s="20" t="n">
        <v>0.83726551</v>
      </c>
    </row>
    <row r="60" spans="1:18">
      <c r="A60" s="15" t="s">
        <v>620</v>
      </c>
      <c r="B60" s="17" t="n">
        <v>2451</v>
      </c>
      <c r="C60" s="18">
        <f>(1622.0/B60*100)</f>
        <v/>
      </c>
      <c r="D60" s="19" t="n">
        <v>829</v>
      </c>
      <c r="E60" s="18" t="n">
        <v>43.60067685</v>
      </c>
      <c r="F60" s="20" t="n">
        <v>1.98988221</v>
      </c>
      <c r="G60" s="18" t="n">
        <v>36.48551786</v>
      </c>
      <c r="H60" s="20" t="n">
        <v>1.94471795</v>
      </c>
      <c r="I60" s="18" t="n">
        <v>0</v>
      </c>
      <c r="J60" s="20" t="n">
        <v>0</v>
      </c>
      <c r="K60" s="18" t="n">
        <v>15.58763749</v>
      </c>
      <c r="L60" s="20" t="n">
        <v>1.40731866</v>
      </c>
      <c r="M60" s="18" t="n">
        <v>0</v>
      </c>
      <c r="N60" s="20" t="n">
        <v>0</v>
      </c>
      <c r="O60" s="18" t="n">
        <v>1.28378212</v>
      </c>
      <c r="P60" s="20" t="n">
        <v>0.3713761</v>
      </c>
      <c r="Q60" s="18" t="n">
        <v>3.04238568</v>
      </c>
      <c r="R60" s="20" t="n">
        <v>0.63476906</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(1674.0/B63*100)</f>
        <v/>
      </c>
      <c r="D63" s="19" t="n">
        <v>837</v>
      </c>
      <c r="E63" s="18" t="n">
        <v>50.04703496</v>
      </c>
      <c r="F63" s="20" t="n">
        <v>1.8382195</v>
      </c>
      <c r="G63" s="18" t="n">
        <v>35.09339952</v>
      </c>
      <c r="H63" s="20" t="n">
        <v>1.73042128</v>
      </c>
      <c r="I63" s="18" t="n">
        <v>0</v>
      </c>
      <c r="J63" s="20" t="n">
        <v>0</v>
      </c>
      <c r="K63" s="18" t="n">
        <v>8.837846860000001</v>
      </c>
      <c r="L63" s="20" t="n">
        <v>1.10770847</v>
      </c>
      <c r="M63" s="18" t="n">
        <v>0</v>
      </c>
      <c r="N63" s="20" t="n">
        <v>0</v>
      </c>
      <c r="O63" s="18" t="n">
        <v>0.44837365</v>
      </c>
      <c r="P63" s="20" t="n">
        <v>0.2110056</v>
      </c>
      <c r="Q63" s="18" t="n">
        <v>5.573345</v>
      </c>
      <c r="R63" s="20" t="n">
        <v>0.86519471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35.33167113</v>
      </c>
      <c r="F65" s="20" t="n">
        <v>2.06033687</v>
      </c>
      <c r="G65" s="18" t="n">
        <v>57.51240237</v>
      </c>
      <c r="H65" s="20" t="n">
        <v>2.11712369</v>
      </c>
      <c r="I65" s="18" t="n">
        <v>0</v>
      </c>
      <c r="J65" s="20" t="n">
        <v>0</v>
      </c>
      <c r="K65" s="18" t="n">
        <v>4.87545161</v>
      </c>
      <c r="L65" s="20" t="n">
        <v>0.87706452</v>
      </c>
      <c r="M65" s="18" t="n">
        <v>0</v>
      </c>
      <c r="N65" s="20" t="n">
        <v>0</v>
      </c>
      <c r="O65" s="18" t="n">
        <v>0.22703805</v>
      </c>
      <c r="P65" s="20" t="n">
        <v>0.31906168</v>
      </c>
      <c r="Q65" s="18" t="n">
        <v>2.05343684</v>
      </c>
      <c r="R65" s="20" t="n">
        <v>0.61896419</v>
      </c>
    </row>
    <row r="66" spans="1:18">
      <c r="A66" s="15" t="s">
        <v>626</v>
      </c>
      <c r="B66" s="17" t="n">
        <v>2634</v>
      </c>
      <c r="C66" s="18">
        <f>(1749.0/B66*100)</f>
        <v/>
      </c>
      <c r="D66" s="19" t="n">
        <v>885</v>
      </c>
      <c r="E66" s="18" t="n">
        <v>35.86265051</v>
      </c>
      <c r="F66" s="20" t="n">
        <v>1.96248664</v>
      </c>
      <c r="G66" s="18" t="n">
        <v>50.89752708</v>
      </c>
      <c r="H66" s="20" t="n">
        <v>1.93254493</v>
      </c>
      <c r="I66" s="18" t="n">
        <v>0</v>
      </c>
      <c r="J66" s="20" t="n">
        <v>0</v>
      </c>
      <c r="K66" s="18" t="n">
        <v>9.711619990000001</v>
      </c>
      <c r="L66" s="20" t="n">
        <v>1.21066739</v>
      </c>
      <c r="M66" s="18" t="n">
        <v>0.84697915</v>
      </c>
      <c r="N66" s="20" t="n">
        <v>0.32007255</v>
      </c>
      <c r="O66" s="18" t="n">
        <v>0</v>
      </c>
      <c r="P66" s="20" t="n">
        <v>0</v>
      </c>
      <c r="Q66" s="18" t="n">
        <v>2.68122326</v>
      </c>
      <c r="R66" s="20" t="n">
        <v>0.58850524</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(486.0/B69*100)</f>
        <v/>
      </c>
      <c r="D69" s="19" t="n">
        <v>234</v>
      </c>
      <c r="E69" s="18" t="n">
        <v>41.54273881</v>
      </c>
      <c r="F69" s="20" t="n">
        <v>4.15244243</v>
      </c>
      <c r="G69" s="18" t="n">
        <v>56.28095714</v>
      </c>
      <c r="H69" s="20" t="n">
        <v>4.04740624</v>
      </c>
      <c r="I69" s="18" t="n">
        <v>0</v>
      </c>
      <c r="J69" s="20" t="n">
        <v>0</v>
      </c>
      <c r="K69" s="18" t="n">
        <v>1.43004535</v>
      </c>
      <c r="L69" s="20" t="n">
        <v>0.7486511300000001</v>
      </c>
      <c r="M69" s="18" t="n">
        <v>0</v>
      </c>
      <c r="N69" s="20" t="n">
        <v>0</v>
      </c>
      <c r="O69" s="18" t="n">
        <v>0</v>
      </c>
      <c r="P69" s="20" t="n">
        <v>0</v>
      </c>
      <c r="Q69" s="18" t="n">
        <v>0.7462587000000001</v>
      </c>
      <c r="R69" s="20" t="n">
        <v>0.52010168</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(1633.0/B71*100)</f>
        <v/>
      </c>
      <c r="D71" s="19" t="n">
        <v>833</v>
      </c>
      <c r="E71" s="18" t="n">
        <v>53.50993694</v>
      </c>
      <c r="F71" s="20" t="n">
        <v>2.02240051</v>
      </c>
      <c r="G71" s="18" t="n">
        <v>46.03940273</v>
      </c>
      <c r="H71" s="20" t="n">
        <v>2.03299422</v>
      </c>
      <c r="I71" s="18" t="n">
        <v>0</v>
      </c>
      <c r="J71" s="20" t="n">
        <v>0</v>
      </c>
      <c r="K71" s="18" t="n">
        <v>0.23376015</v>
      </c>
      <c r="L71" s="20" t="n">
        <v>0.16651614</v>
      </c>
      <c r="M71" s="18" t="n">
        <v>0</v>
      </c>
      <c r="N71" s="20" t="n">
        <v>0</v>
      </c>
      <c r="O71" s="18" t="n">
        <v>0</v>
      </c>
      <c r="P71" s="20" t="n">
        <v>0</v>
      </c>
      <c r="Q71" s="18" t="n">
        <v>0.21690017</v>
      </c>
      <c r="R71" s="20" t="n">
        <v>0.15369477</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30.15833888</v>
      </c>
      <c r="F76" s="20" t="n">
        <v>1.82685545</v>
      </c>
      <c r="G76" s="18" t="n">
        <v>58.66175923</v>
      </c>
      <c r="H76" s="20" t="n">
        <v>2.0204367</v>
      </c>
      <c r="I76" s="18" t="n">
        <v>0</v>
      </c>
      <c r="J76" s="20" t="n">
        <v>0</v>
      </c>
      <c r="K76" s="18" t="n">
        <v>9.699312730000001</v>
      </c>
      <c r="L76" s="20" t="n">
        <v>1.17148689</v>
      </c>
      <c r="M76" s="18" t="n">
        <v>0</v>
      </c>
      <c r="N76" s="20" t="n">
        <v>0</v>
      </c>
      <c r="O76" s="18" t="n">
        <v>0</v>
      </c>
      <c r="P76" s="20" t="n">
        <v>0</v>
      </c>
      <c r="Q76" s="18" t="n">
        <v>1.48058916</v>
      </c>
      <c r="R76" s="20" t="n">
        <v>0.48539082</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(2026.0/B80*100)</f>
        <v/>
      </c>
      <c r="D80" s="19" t="n">
        <v>1014</v>
      </c>
      <c r="E80" s="18" t="n">
        <v>13.51993362</v>
      </c>
      <c r="F80" s="20" t="n">
        <v>1.3665865</v>
      </c>
      <c r="G80" s="18" t="n">
        <v>86.48006638</v>
      </c>
      <c r="H80" s="20" t="n">
        <v>1.3665865</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23.20327396</v>
      </c>
      <c r="F81" s="20" t="n">
        <v>2.34040303</v>
      </c>
      <c r="G81" s="18" t="n">
        <v>66.85784147</v>
      </c>
      <c r="H81" s="20" t="n">
        <v>2.62634139</v>
      </c>
      <c r="I81" s="18" t="n">
        <v>0</v>
      </c>
      <c r="J81" s="20" t="n">
        <v>0</v>
      </c>
      <c r="K81" s="18" t="n">
        <v>8.50656599</v>
      </c>
      <c r="L81" s="20" t="n">
        <v>1.27759092</v>
      </c>
      <c r="M81" s="18" t="n">
        <v>0</v>
      </c>
      <c r="N81" s="20" t="n">
        <v>0</v>
      </c>
      <c r="O81" s="18" t="n">
        <v>0</v>
      </c>
      <c r="P81" s="20" t="n">
        <v>0</v>
      </c>
      <c r="Q81" s="18" t="n">
        <v>1.43231858</v>
      </c>
      <c r="R81" s="20" t="n">
        <v>0.51879688</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(1790.0/B44*100)</f>
        <v/>
      </c>
      <c r="D44" s="19" t="n">
        <v>901</v>
      </c>
      <c r="E44" s="18" t="n">
        <v>30.42735632</v>
      </c>
      <c r="F44" s="20" t="n">
        <v>1.9493128</v>
      </c>
      <c r="G44" s="18" t="n">
        <v>47.44988613</v>
      </c>
      <c r="H44" s="20" t="n">
        <v>2.26932303</v>
      </c>
      <c r="I44" s="18" t="n">
        <v>0</v>
      </c>
      <c r="J44" s="20" t="n">
        <v>0</v>
      </c>
      <c r="K44" s="18" t="n">
        <v>5.40808611</v>
      </c>
      <c r="L44" s="20" t="n">
        <v>0.86856461</v>
      </c>
      <c r="M44" s="18" t="n">
        <v>0</v>
      </c>
      <c r="N44" s="20" t="n">
        <v>0</v>
      </c>
      <c r="O44" s="18" t="n">
        <v>0</v>
      </c>
      <c r="P44" s="20" t="n">
        <v>0</v>
      </c>
      <c r="Q44" s="18" t="n">
        <v>16.71467144</v>
      </c>
      <c r="R44" s="20" t="n">
        <v>1.87983152</v>
      </c>
    </row>
    <row r="45" spans="1:18">
      <c r="A45" s="15" t="s">
        <v>604</v>
      </c>
      <c r="B45" s="17" t="n">
        <v>2670</v>
      </c>
      <c r="C45" s="18">
        <f>(1798.0/B45*100)</f>
        <v/>
      </c>
      <c r="D45" s="19" t="n">
        <v>872</v>
      </c>
      <c r="E45" s="18" t="n">
        <v>63.05313537</v>
      </c>
      <c r="F45" s="20" t="n">
        <v>1.94194556</v>
      </c>
      <c r="G45" s="18" t="n">
        <v>6.33600764</v>
      </c>
      <c r="H45" s="20" t="n">
        <v>0.98111379</v>
      </c>
      <c r="I45" s="18" t="n">
        <v>0</v>
      </c>
      <c r="J45" s="20" t="n">
        <v>0</v>
      </c>
      <c r="K45" s="18" t="n">
        <v>11.50869402</v>
      </c>
      <c r="L45" s="20" t="n">
        <v>1.11543438</v>
      </c>
      <c r="M45" s="18" t="n">
        <v>0.10454188</v>
      </c>
      <c r="N45" s="20" t="n">
        <v>0.10574898</v>
      </c>
      <c r="O45" s="18" t="n">
        <v>0.10347094</v>
      </c>
      <c r="P45" s="20" t="n">
        <v>0.1057336</v>
      </c>
      <c r="Q45" s="18" t="n">
        <v>18.89415014</v>
      </c>
      <c r="R45" s="20" t="n">
        <v>1.5380373</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(1702.0/B54*100)</f>
        <v/>
      </c>
      <c r="D54" s="19" t="n">
        <v>855</v>
      </c>
      <c r="E54" s="18" t="n">
        <v>18.66062017</v>
      </c>
      <c r="F54" s="20" t="n">
        <v>1.80596612</v>
      </c>
      <c r="G54" s="18" t="n">
        <v>28.84940135</v>
      </c>
      <c r="H54" s="20" t="n">
        <v>1.85794582</v>
      </c>
      <c r="I54" s="18" t="n">
        <v>0</v>
      </c>
      <c r="J54" s="20" t="n">
        <v>0</v>
      </c>
      <c r="K54" s="18" t="n">
        <v>7.92902333</v>
      </c>
      <c r="L54" s="20" t="n">
        <v>1.01551937</v>
      </c>
      <c r="M54" s="18" t="n">
        <v>0</v>
      </c>
      <c r="N54" s="20" t="n">
        <v>0</v>
      </c>
      <c r="O54" s="18" t="n">
        <v>0</v>
      </c>
      <c r="P54" s="20" t="n">
        <v>0</v>
      </c>
      <c r="Q54" s="18" t="n">
        <v>44.56095515</v>
      </c>
      <c r="R54" s="20" t="n">
        <v>1.93029454</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(2223.0/B56*100)</f>
        <v/>
      </c>
      <c r="D56" s="19" t="n">
        <v>1120</v>
      </c>
      <c r="E56" s="18" t="n">
        <v>61.05212831</v>
      </c>
      <c r="F56" s="20" t="n">
        <v>1.73380916</v>
      </c>
      <c r="G56" s="18" t="n">
        <v>26.55560548</v>
      </c>
      <c r="H56" s="20" t="n">
        <v>1.55050411</v>
      </c>
      <c r="I56" s="18" t="n">
        <v>0</v>
      </c>
      <c r="J56" s="20" t="n">
        <v>0</v>
      </c>
      <c r="K56" s="18" t="n">
        <v>5.19790389</v>
      </c>
      <c r="L56" s="20" t="n">
        <v>0.85097045</v>
      </c>
      <c r="M56" s="18" t="n">
        <v>0</v>
      </c>
      <c r="N56" s="20" t="n">
        <v>0</v>
      </c>
      <c r="O56" s="18" t="n">
        <v>0</v>
      </c>
      <c r="P56" s="20" t="n">
        <v>0</v>
      </c>
      <c r="Q56" s="18" t="n">
        <v>7.19436232</v>
      </c>
      <c r="R56" s="20" t="n">
        <v>1.03247018</v>
      </c>
    </row>
    <row r="57" spans="1:18">
      <c r="A57" s="15" t="s">
        <v>616</v>
      </c>
      <c r="B57" s="17" t="n">
        <v>3737</v>
      </c>
      <c r="C57" s="18">
        <f>(2488.0/B57*100)</f>
        <v/>
      </c>
      <c r="D57" s="19" t="n">
        <v>1249</v>
      </c>
      <c r="E57" s="18" t="n">
        <v>75.83887648</v>
      </c>
      <c r="F57" s="20" t="n">
        <v>1.53758554</v>
      </c>
      <c r="G57" s="18" t="n">
        <v>7.71835373</v>
      </c>
      <c r="H57" s="20" t="n">
        <v>0.86776855</v>
      </c>
      <c r="I57" s="18" t="n">
        <v>0</v>
      </c>
      <c r="J57" s="20" t="n">
        <v>0</v>
      </c>
      <c r="K57" s="18" t="n">
        <v>5.49558545</v>
      </c>
      <c r="L57" s="20" t="n">
        <v>0.72141898</v>
      </c>
      <c r="M57" s="18" t="n">
        <v>0</v>
      </c>
      <c r="N57" s="20" t="n">
        <v>0</v>
      </c>
      <c r="O57" s="18" t="n">
        <v>0</v>
      </c>
      <c r="P57" s="20" t="n">
        <v>0</v>
      </c>
      <c r="Q57" s="18" t="n">
        <v>10.94718435</v>
      </c>
      <c r="R57" s="20" t="n">
        <v>1.16107613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(1518.0/B59*100)</f>
        <v/>
      </c>
      <c r="D59" s="19" t="n">
        <v>760</v>
      </c>
      <c r="E59" s="18" t="n">
        <v>57.47490801</v>
      </c>
      <c r="F59" s="20" t="n">
        <v>2.14534965</v>
      </c>
      <c r="G59" s="18" t="n">
        <v>18.93564307</v>
      </c>
      <c r="H59" s="20" t="n">
        <v>1.6553395</v>
      </c>
      <c r="I59" s="18" t="n">
        <v>0</v>
      </c>
      <c r="J59" s="20" t="n">
        <v>0</v>
      </c>
      <c r="K59" s="18" t="n">
        <v>3.98155697</v>
      </c>
      <c r="L59" s="20" t="n">
        <v>0.81727773</v>
      </c>
      <c r="M59" s="18" t="n">
        <v>0</v>
      </c>
      <c r="N59" s="20" t="n">
        <v>0</v>
      </c>
      <c r="O59" s="18" t="n">
        <v>0</v>
      </c>
      <c r="P59" s="20" t="n">
        <v>0</v>
      </c>
      <c r="Q59" s="18" t="n">
        <v>19.60789195</v>
      </c>
      <c r="R59" s="20" t="n">
        <v>1.60028914</v>
      </c>
    </row>
    <row r="60" spans="1:18">
      <c r="A60" s="15" t="s">
        <v>620</v>
      </c>
      <c r="B60" s="17" t="n">
        <v>2451</v>
      </c>
      <c r="C60" s="18">
        <f>(1622.0/B60*100)</f>
        <v/>
      </c>
      <c r="D60" s="19" t="n">
        <v>829</v>
      </c>
      <c r="E60" s="18" t="n">
        <v>38.72157765</v>
      </c>
      <c r="F60" s="20" t="n">
        <v>1.6717416</v>
      </c>
      <c r="G60" s="18" t="n">
        <v>7.05808872</v>
      </c>
      <c r="H60" s="20" t="n">
        <v>1.04230177</v>
      </c>
      <c r="I60" s="18" t="n">
        <v>0</v>
      </c>
      <c r="J60" s="20" t="n">
        <v>0</v>
      </c>
      <c r="K60" s="18" t="n">
        <v>18.34241726</v>
      </c>
      <c r="L60" s="20" t="n">
        <v>1.51626004</v>
      </c>
      <c r="M60" s="18" t="n">
        <v>0</v>
      </c>
      <c r="N60" s="20" t="n">
        <v>0</v>
      </c>
      <c r="O60" s="18" t="n">
        <v>0</v>
      </c>
      <c r="P60" s="20" t="n">
        <v>0</v>
      </c>
      <c r="Q60" s="18" t="n">
        <v>35.87791636</v>
      </c>
      <c r="R60" s="20" t="n">
        <v>1.99069891</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(1674.0/B63*100)</f>
        <v/>
      </c>
      <c r="D63" s="19" t="n">
        <v>837</v>
      </c>
      <c r="E63" s="18" t="n">
        <v>24.34243726</v>
      </c>
      <c r="F63" s="20" t="n">
        <v>1.64909219</v>
      </c>
      <c r="G63" s="18" t="n">
        <v>18.11661012</v>
      </c>
      <c r="H63" s="20" t="n">
        <v>1.35803798</v>
      </c>
      <c r="I63" s="18" t="n">
        <v>0</v>
      </c>
      <c r="J63" s="20" t="n">
        <v>0</v>
      </c>
      <c r="K63" s="18" t="n">
        <v>9.41070818</v>
      </c>
      <c r="L63" s="20" t="n">
        <v>1.14792893</v>
      </c>
      <c r="M63" s="18" t="n">
        <v>0</v>
      </c>
      <c r="N63" s="20" t="n">
        <v>0</v>
      </c>
      <c r="O63" s="18" t="n">
        <v>0</v>
      </c>
      <c r="P63" s="20" t="n">
        <v>0</v>
      </c>
      <c r="Q63" s="18" t="n">
        <v>48.13024444</v>
      </c>
      <c r="R63" s="20" t="n">
        <v>1.98473249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29.92890893</v>
      </c>
      <c r="F65" s="20" t="n">
        <v>1.86245267</v>
      </c>
      <c r="G65" s="18" t="n">
        <v>33.55394683</v>
      </c>
      <c r="H65" s="20" t="n">
        <v>1.89731985</v>
      </c>
      <c r="I65" s="18" t="n">
        <v>0</v>
      </c>
      <c r="J65" s="20" t="n">
        <v>0</v>
      </c>
      <c r="K65" s="18" t="n">
        <v>5.26445757</v>
      </c>
      <c r="L65" s="20" t="n">
        <v>0.87758107</v>
      </c>
      <c r="M65" s="18" t="n">
        <v>0</v>
      </c>
      <c r="N65" s="20" t="n">
        <v>0</v>
      </c>
      <c r="O65" s="18" t="n">
        <v>0</v>
      </c>
      <c r="P65" s="20" t="n">
        <v>0</v>
      </c>
      <c r="Q65" s="18" t="n">
        <v>31.25268667</v>
      </c>
      <c r="R65" s="20" t="n">
        <v>2.01743723</v>
      </c>
    </row>
    <row r="66" spans="1:18">
      <c r="A66" s="15" t="s">
        <v>626</v>
      </c>
      <c r="B66" s="17" t="n">
        <v>2634</v>
      </c>
      <c r="C66" s="18">
        <f>(1749.0/B66*100)</f>
        <v/>
      </c>
      <c r="D66" s="19" t="n">
        <v>885</v>
      </c>
      <c r="E66" s="18" t="n">
        <v>7.51209399</v>
      </c>
      <c r="F66" s="20" t="n">
        <v>0.92751235</v>
      </c>
      <c r="G66" s="18" t="n">
        <v>2.74801888</v>
      </c>
      <c r="H66" s="20" t="n">
        <v>0.57318724</v>
      </c>
      <c r="I66" s="18" t="n">
        <v>0</v>
      </c>
      <c r="J66" s="20" t="n">
        <v>0</v>
      </c>
      <c r="K66" s="18" t="n">
        <v>1.09898031</v>
      </c>
      <c r="L66" s="20" t="n">
        <v>0.44899862</v>
      </c>
      <c r="M66" s="18" t="n">
        <v>81.06900582</v>
      </c>
      <c r="N66" s="20" t="n">
        <v>1.07684329</v>
      </c>
      <c r="O66" s="18" t="n">
        <v>0</v>
      </c>
      <c r="P66" s="20" t="n">
        <v>0</v>
      </c>
      <c r="Q66" s="18" t="n">
        <v>7.57190099</v>
      </c>
      <c r="R66" s="20" t="n">
        <v>1.17313484</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(486.0/B69*100)</f>
        <v/>
      </c>
      <c r="D69" s="19" t="n">
        <v>234</v>
      </c>
      <c r="E69" s="18" t="n">
        <v>53.73517127</v>
      </c>
      <c r="F69" s="20" t="n">
        <v>2.79930735</v>
      </c>
      <c r="G69" s="18" t="n">
        <v>31.64518846</v>
      </c>
      <c r="H69" s="20" t="n">
        <v>3.17965562</v>
      </c>
      <c r="I69" s="18" t="n">
        <v>0</v>
      </c>
      <c r="J69" s="20" t="n">
        <v>0</v>
      </c>
      <c r="K69" s="18" t="n">
        <v>1.43004535</v>
      </c>
      <c r="L69" s="20" t="n">
        <v>0.7486511300000001</v>
      </c>
      <c r="M69" s="18" t="n">
        <v>0</v>
      </c>
      <c r="N69" s="20" t="n">
        <v>0</v>
      </c>
      <c r="O69" s="18" t="n">
        <v>0</v>
      </c>
      <c r="P69" s="20" t="n">
        <v>0</v>
      </c>
      <c r="Q69" s="18" t="n">
        <v>13.18959491</v>
      </c>
      <c r="R69" s="20" t="n">
        <v>3.10896124</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(1633.0/B71*100)</f>
        <v/>
      </c>
      <c r="D71" s="19" t="n">
        <v>833</v>
      </c>
      <c r="E71" s="18" t="n">
        <v>56.02188405</v>
      </c>
      <c r="F71" s="20" t="n">
        <v>1.88778669</v>
      </c>
      <c r="G71" s="18" t="n">
        <v>42.30387194</v>
      </c>
      <c r="H71" s="20" t="n">
        <v>1.82731217</v>
      </c>
      <c r="I71" s="18" t="n">
        <v>0</v>
      </c>
      <c r="J71" s="20" t="n">
        <v>0</v>
      </c>
      <c r="K71" s="18" t="n">
        <v>0.23376015</v>
      </c>
      <c r="L71" s="20" t="n">
        <v>0.16651614</v>
      </c>
      <c r="M71" s="18" t="n">
        <v>0</v>
      </c>
      <c r="N71" s="20" t="n">
        <v>0</v>
      </c>
      <c r="O71" s="18" t="n">
        <v>0</v>
      </c>
      <c r="P71" s="20" t="n">
        <v>0</v>
      </c>
      <c r="Q71" s="18" t="n">
        <v>1.44048386</v>
      </c>
      <c r="R71" s="20" t="n">
        <v>0.57455905</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34.07241247</v>
      </c>
      <c r="F76" s="20" t="n">
        <v>1.94038812</v>
      </c>
      <c r="G76" s="18" t="n">
        <v>28.35723883</v>
      </c>
      <c r="H76" s="20" t="n">
        <v>1.78861063</v>
      </c>
      <c r="I76" s="18" t="n">
        <v>0</v>
      </c>
      <c r="J76" s="20" t="n">
        <v>0</v>
      </c>
      <c r="K76" s="18" t="n">
        <v>13.18769166</v>
      </c>
      <c r="L76" s="20" t="n">
        <v>1.45072129</v>
      </c>
      <c r="M76" s="18" t="n">
        <v>0</v>
      </c>
      <c r="N76" s="20" t="n">
        <v>0</v>
      </c>
      <c r="O76" s="18" t="n">
        <v>0</v>
      </c>
      <c r="P76" s="20" t="n">
        <v>0</v>
      </c>
      <c r="Q76" s="18" t="n">
        <v>24.38265705</v>
      </c>
      <c r="R76" s="20" t="n">
        <v>1.52303743</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(2026.0/B80*100)</f>
        <v/>
      </c>
      <c r="D80" s="19" t="n">
        <v>1014</v>
      </c>
      <c r="E80" s="18" t="n">
        <v>64.74599885000001</v>
      </c>
      <c r="F80" s="20" t="n">
        <v>1.48479793</v>
      </c>
      <c r="G80" s="18" t="n">
        <v>34.52159449</v>
      </c>
      <c r="H80" s="20" t="n">
        <v>1.4699657</v>
      </c>
      <c r="I80" s="18" t="n">
        <v>0</v>
      </c>
      <c r="J80" s="20" t="n">
        <v>0</v>
      </c>
      <c r="K80" s="18" t="n">
        <v>0</v>
      </c>
      <c r="L80" s="20" t="n">
        <v>0</v>
      </c>
      <c r="M80" s="18" t="n">
        <v>0</v>
      </c>
      <c r="N80" s="20" t="n">
        <v>0</v>
      </c>
      <c r="O80" s="18" t="n">
        <v>0</v>
      </c>
      <c r="P80" s="20" t="n">
        <v>0</v>
      </c>
      <c r="Q80" s="18" t="n">
        <v>0.73240666</v>
      </c>
      <c r="R80" s="20" t="n">
        <v>0.27663946</v>
      </c>
    </row>
    <row r="81" spans="1:18">
      <c r="A81" s="15" t="s">
        <v>641</v>
      </c>
      <c r="B81" s="17" t="n">
        <v>870</v>
      </c>
      <c r="C81" s="18">
        <f>(585.0/B81*100)</f>
        <v/>
      </c>
      <c r="D81" s="19" t="n">
        <v>285</v>
      </c>
      <c r="E81" s="18" t="n">
        <v>43.09974671</v>
      </c>
      <c r="F81" s="20" t="n">
        <v>3.40132498</v>
      </c>
      <c r="G81" s="18" t="n">
        <v>19.59921017</v>
      </c>
      <c r="H81" s="20" t="n">
        <v>2.90523279</v>
      </c>
      <c r="I81" s="18" t="n">
        <v>0</v>
      </c>
      <c r="J81" s="20" t="n">
        <v>0</v>
      </c>
      <c r="K81" s="18" t="n">
        <v>9.162603259999999</v>
      </c>
      <c r="L81" s="20" t="n">
        <v>1.3898226</v>
      </c>
      <c r="M81" s="18" t="n">
        <v>0</v>
      </c>
      <c r="N81" s="20" t="n">
        <v>0</v>
      </c>
      <c r="O81" s="18" t="n">
        <v>0</v>
      </c>
      <c r="P81" s="20" t="n">
        <v>0</v>
      </c>
      <c r="Q81" s="18" t="n">
        <v>28.13843986</v>
      </c>
      <c r="R81" s="20" t="n">
        <v>3.54967718</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(1790.0/B44*100)</f>
        <v/>
      </c>
      <c r="D44" s="19" t="n">
        <v>901</v>
      </c>
      <c r="E44" s="18" t="n">
        <v>51.6040223</v>
      </c>
      <c r="F44" s="20" t="n">
        <v>1.94500728</v>
      </c>
      <c r="G44" s="18" t="n">
        <v>39.88042104</v>
      </c>
      <c r="H44" s="20" t="n">
        <v>1.79048135</v>
      </c>
      <c r="I44" s="18" t="n">
        <v>0</v>
      </c>
      <c r="J44" s="20" t="n">
        <v>0</v>
      </c>
      <c r="K44" s="18" t="n">
        <v>7.12698316</v>
      </c>
      <c r="L44" s="20" t="n">
        <v>1.0911439</v>
      </c>
      <c r="M44" s="18" t="n">
        <v>0</v>
      </c>
      <c r="N44" s="20" t="n">
        <v>0</v>
      </c>
      <c r="O44" s="18" t="n">
        <v>1.3885735</v>
      </c>
      <c r="P44" s="20" t="n">
        <v>0.44435421</v>
      </c>
      <c r="Q44" s="18" t="n">
        <v>0</v>
      </c>
      <c r="R44" s="20" t="n">
        <v>0</v>
      </c>
    </row>
    <row r="45" spans="1:18">
      <c r="A45" s="15" t="s">
        <v>604</v>
      </c>
      <c r="B45" s="17" t="n">
        <v>2670</v>
      </c>
      <c r="C45" s="18">
        <f>(1798.0/B45*100)</f>
        <v/>
      </c>
      <c r="D45" s="19" t="n">
        <v>872</v>
      </c>
      <c r="E45" s="18" t="n">
        <v>55.96117825</v>
      </c>
      <c r="F45" s="20" t="n">
        <v>1.68783746</v>
      </c>
      <c r="G45" s="18" t="n">
        <v>27.12281313</v>
      </c>
      <c r="H45" s="20" t="n">
        <v>1.58142672</v>
      </c>
      <c r="I45" s="18" t="n">
        <v>0</v>
      </c>
      <c r="J45" s="20" t="n">
        <v>0</v>
      </c>
      <c r="K45" s="18" t="n">
        <v>12.7280943</v>
      </c>
      <c r="L45" s="20" t="n">
        <v>1.19383844</v>
      </c>
      <c r="M45" s="18" t="n">
        <v>0.84487538</v>
      </c>
      <c r="N45" s="20" t="n">
        <v>0.31510394</v>
      </c>
      <c r="O45" s="18" t="n">
        <v>3.34303894</v>
      </c>
      <c r="P45" s="20" t="n">
        <v>0.7944859399999999</v>
      </c>
      <c r="Q45" s="18" t="n">
        <v>0</v>
      </c>
      <c r="R45" s="20" t="n">
        <v>0</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(1702.0/B54*100)</f>
        <v/>
      </c>
      <c r="D54" s="19" t="n">
        <v>855</v>
      </c>
      <c r="E54" s="18" t="n">
        <v>55.61950394</v>
      </c>
      <c r="F54" s="20" t="n">
        <v>1.95050886</v>
      </c>
      <c r="G54" s="18" t="n">
        <v>35.08621479</v>
      </c>
      <c r="H54" s="20" t="n">
        <v>2.02176727</v>
      </c>
      <c r="I54" s="18" t="n">
        <v>0</v>
      </c>
      <c r="J54" s="20" t="n">
        <v>0</v>
      </c>
      <c r="K54" s="18" t="n">
        <v>8.55243658</v>
      </c>
      <c r="L54" s="20" t="n">
        <v>1.03366481</v>
      </c>
      <c r="M54" s="18" t="n">
        <v>0</v>
      </c>
      <c r="N54" s="20" t="n">
        <v>0</v>
      </c>
      <c r="O54" s="18" t="n">
        <v>0.74184469</v>
      </c>
      <c r="P54" s="20" t="n">
        <v>0.31784783</v>
      </c>
      <c r="Q54" s="18" t="n">
        <v>0</v>
      </c>
      <c r="R54" s="20" t="n">
        <v>0</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(2223.0/B56*100)</f>
        <v/>
      </c>
      <c r="D56" s="19" t="n">
        <v>1120</v>
      </c>
      <c r="E56" s="18" t="n">
        <v>71.37613139</v>
      </c>
      <c r="F56" s="20" t="n">
        <v>1.47851691</v>
      </c>
      <c r="G56" s="18" t="n">
        <v>22.1444367</v>
      </c>
      <c r="H56" s="20" t="n">
        <v>1.4954081</v>
      </c>
      <c r="I56" s="18" t="n">
        <v>0</v>
      </c>
      <c r="J56" s="20" t="n">
        <v>0</v>
      </c>
      <c r="K56" s="18" t="n">
        <v>6.4794319</v>
      </c>
      <c r="L56" s="20" t="n">
        <v>0.94753421</v>
      </c>
      <c r="M56" s="18" t="n">
        <v>0</v>
      </c>
      <c r="N56" s="20" t="n">
        <v>0</v>
      </c>
      <c r="O56" s="18" t="n">
        <v>0</v>
      </c>
      <c r="P56" s="20" t="n">
        <v>0</v>
      </c>
      <c r="Q56" s="18" t="n">
        <v>0</v>
      </c>
      <c r="R56" s="20" t="n">
        <v>0</v>
      </c>
    </row>
    <row r="57" spans="1:18">
      <c r="A57" s="15" t="s">
        <v>616</v>
      </c>
      <c r="B57" s="17" t="n">
        <v>3737</v>
      </c>
      <c r="C57" s="18">
        <f>(2488.0/B57*100)</f>
        <v/>
      </c>
      <c r="D57" s="19" t="n">
        <v>1249</v>
      </c>
      <c r="E57" s="18" t="n">
        <v>37.2320361</v>
      </c>
      <c r="F57" s="20" t="n">
        <v>1.90524923</v>
      </c>
      <c r="G57" s="18" t="n">
        <v>55.81125472</v>
      </c>
      <c r="H57" s="20" t="n">
        <v>2.00658648</v>
      </c>
      <c r="I57" s="18" t="n">
        <v>0</v>
      </c>
      <c r="J57" s="20" t="n">
        <v>0</v>
      </c>
      <c r="K57" s="18" t="n">
        <v>6.44284559</v>
      </c>
      <c r="L57" s="20" t="n">
        <v>0.8282578</v>
      </c>
      <c r="M57" s="18" t="n">
        <v>0</v>
      </c>
      <c r="N57" s="20" t="n">
        <v>0</v>
      </c>
      <c r="O57" s="18" t="n">
        <v>0.51386359</v>
      </c>
      <c r="P57" s="20" t="n">
        <v>0.2020029</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(1518.0/B59*100)</f>
        <v/>
      </c>
      <c r="D59" s="19" t="n">
        <v>760</v>
      </c>
      <c r="E59" s="18" t="n">
        <v>64.11762784</v>
      </c>
      <c r="F59" s="20" t="n">
        <v>2.05152891</v>
      </c>
      <c r="G59" s="18" t="n">
        <v>29.46213574</v>
      </c>
      <c r="H59" s="20" t="n">
        <v>1.93455075</v>
      </c>
      <c r="I59" s="18" t="n">
        <v>0</v>
      </c>
      <c r="J59" s="20" t="n">
        <v>0</v>
      </c>
      <c r="K59" s="18" t="n">
        <v>4.77799699</v>
      </c>
      <c r="L59" s="20" t="n">
        <v>0.83756556</v>
      </c>
      <c r="M59" s="18" t="n">
        <v>0</v>
      </c>
      <c r="N59" s="20" t="n">
        <v>0</v>
      </c>
      <c r="O59" s="18" t="n">
        <v>1.64223942</v>
      </c>
      <c r="P59" s="20" t="n">
        <v>0.5637752700000001</v>
      </c>
      <c r="Q59" s="18" t="n">
        <v>0</v>
      </c>
      <c r="R59" s="20" t="n">
        <v>0</v>
      </c>
    </row>
    <row r="60" spans="1:18">
      <c r="A60" s="15" t="s">
        <v>620</v>
      </c>
      <c r="B60" s="17" t="n">
        <v>2451</v>
      </c>
      <c r="C60" s="18">
        <f>(1622.0/B60*100)</f>
        <v/>
      </c>
      <c r="D60" s="19" t="n">
        <v>829</v>
      </c>
      <c r="E60" s="18" t="n">
        <v>49.36633792</v>
      </c>
      <c r="F60" s="20" t="n">
        <v>1.88576976</v>
      </c>
      <c r="G60" s="18" t="n">
        <v>27.68615251</v>
      </c>
      <c r="H60" s="20" t="n">
        <v>1.44302743</v>
      </c>
      <c r="I60" s="18" t="n">
        <v>0</v>
      </c>
      <c r="J60" s="20" t="n">
        <v>0</v>
      </c>
      <c r="K60" s="18" t="n">
        <v>19.82328409</v>
      </c>
      <c r="L60" s="20" t="n">
        <v>1.52653548</v>
      </c>
      <c r="M60" s="18" t="n">
        <v>0</v>
      </c>
      <c r="N60" s="20" t="n">
        <v>0</v>
      </c>
      <c r="O60" s="18" t="n">
        <v>3.12422548</v>
      </c>
      <c r="P60" s="20" t="n">
        <v>0.7018008</v>
      </c>
      <c r="Q60" s="18" t="n">
        <v>0</v>
      </c>
      <c r="R60" s="20" t="n">
        <v>0</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(1674.0/B63*100)</f>
        <v/>
      </c>
      <c r="D63" s="19" t="n">
        <v>837</v>
      </c>
      <c r="E63" s="18" t="n">
        <v>50.34158757</v>
      </c>
      <c r="F63" s="20" t="n">
        <v>1.59113872</v>
      </c>
      <c r="G63" s="18" t="n">
        <v>38.79060314</v>
      </c>
      <c r="H63" s="20" t="n">
        <v>1.59246209</v>
      </c>
      <c r="I63" s="18" t="n">
        <v>0</v>
      </c>
      <c r="J63" s="20" t="n">
        <v>0</v>
      </c>
      <c r="K63" s="18" t="n">
        <v>10.19840224</v>
      </c>
      <c r="L63" s="20" t="n">
        <v>1.21915009</v>
      </c>
      <c r="M63" s="18" t="n">
        <v>0</v>
      </c>
      <c r="N63" s="20" t="n">
        <v>0</v>
      </c>
      <c r="O63" s="18" t="n">
        <v>0.66940705</v>
      </c>
      <c r="P63" s="20" t="n">
        <v>0.29679726</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(1197.0/B65*100)</f>
        <v/>
      </c>
      <c r="D65" s="19" t="n">
        <v>593</v>
      </c>
      <c r="E65" s="18" t="n">
        <v>53.63730935</v>
      </c>
      <c r="F65" s="20" t="n">
        <v>1.80998495</v>
      </c>
      <c r="G65" s="18" t="n">
        <v>40.95589751</v>
      </c>
      <c r="H65" s="20" t="n">
        <v>1.82194657</v>
      </c>
      <c r="I65" s="18" t="n">
        <v>0</v>
      </c>
      <c r="J65" s="20" t="n">
        <v>0</v>
      </c>
      <c r="K65" s="18" t="n">
        <v>5.40679314</v>
      </c>
      <c r="L65" s="20" t="n">
        <v>0.92544838</v>
      </c>
      <c r="M65" s="18" t="n">
        <v>0</v>
      </c>
      <c r="N65" s="20" t="n">
        <v>0</v>
      </c>
      <c r="O65" s="18" t="n">
        <v>0</v>
      </c>
      <c r="P65" s="20" t="n">
        <v>0</v>
      </c>
      <c r="Q65" s="18" t="n">
        <v>0</v>
      </c>
      <c r="R65" s="20" t="n">
        <v>0</v>
      </c>
    </row>
    <row r="66" spans="1:18">
      <c r="A66" s="15" t="s">
        <v>626</v>
      </c>
      <c r="B66" s="17" t="n">
        <v>2634</v>
      </c>
      <c r="C66" s="18">
        <f>(1749.0/B66*100)</f>
        <v/>
      </c>
      <c r="D66" s="19" t="n">
        <v>885</v>
      </c>
      <c r="E66" s="18" t="n">
        <v>53.97060527</v>
      </c>
      <c r="F66" s="20" t="n">
        <v>1.75370936</v>
      </c>
      <c r="G66" s="18" t="n">
        <v>31.77366064</v>
      </c>
      <c r="H66" s="20" t="n">
        <v>1.55307918</v>
      </c>
      <c r="I66" s="18" t="n">
        <v>0</v>
      </c>
      <c r="J66" s="20" t="n">
        <v>0</v>
      </c>
      <c r="K66" s="18" t="n">
        <v>11.57430721</v>
      </c>
      <c r="L66" s="20" t="n">
        <v>1.29413803</v>
      </c>
      <c r="M66" s="18" t="n">
        <v>2.68142688</v>
      </c>
      <c r="N66" s="20" t="n">
        <v>0.54876728</v>
      </c>
      <c r="O66" s="18" t="n">
        <v>0</v>
      </c>
      <c r="P66" s="20" t="n">
        <v>0</v>
      </c>
      <c r="Q66" s="18" t="n">
        <v>0</v>
      </c>
      <c r="R66" s="20" t="n">
        <v>0</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(486.0/B69*100)</f>
        <v/>
      </c>
      <c r="D69" s="19" t="n">
        <v>234</v>
      </c>
      <c r="E69" s="18" t="n">
        <v>71.95502190000001</v>
      </c>
      <c r="F69" s="20" t="n">
        <v>2.55484392</v>
      </c>
      <c r="G69" s="18" t="n">
        <v>25.90407229</v>
      </c>
      <c r="H69" s="20" t="n">
        <v>2.54864827</v>
      </c>
      <c r="I69" s="18" t="n">
        <v>0</v>
      </c>
      <c r="J69" s="20" t="n">
        <v>0</v>
      </c>
      <c r="K69" s="18" t="n">
        <v>1.69472942</v>
      </c>
      <c r="L69" s="20" t="n">
        <v>0.80259233</v>
      </c>
      <c r="M69" s="18" t="n">
        <v>0</v>
      </c>
      <c r="N69" s="20" t="n">
        <v>0</v>
      </c>
      <c r="O69" s="18" t="n">
        <v>0.44617639</v>
      </c>
      <c r="P69" s="20" t="n">
        <v>0.44782175</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(1633.0/B71*100)</f>
        <v/>
      </c>
      <c r="D71" s="19" t="n">
        <v>833</v>
      </c>
      <c r="E71" s="18" t="n">
        <v>65.19812752999999</v>
      </c>
      <c r="F71" s="20" t="n">
        <v>1.75761243</v>
      </c>
      <c r="G71" s="18" t="n">
        <v>34.47090495</v>
      </c>
      <c r="H71" s="20" t="n">
        <v>1.73957673</v>
      </c>
      <c r="I71" s="18" t="n">
        <v>0</v>
      </c>
      <c r="J71" s="20" t="n">
        <v>0</v>
      </c>
      <c r="K71" s="18" t="n">
        <v>0.33096751</v>
      </c>
      <c r="L71" s="20" t="n">
        <v>0.19355117</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(1648.0/B76*100)</f>
        <v/>
      </c>
      <c r="D76" s="19" t="n">
        <v>805</v>
      </c>
      <c r="E76" s="18" t="n">
        <v>57.50494044</v>
      </c>
      <c r="F76" s="20" t="n">
        <v>1.97481365</v>
      </c>
      <c r="G76" s="18" t="n">
        <v>28.81474676</v>
      </c>
      <c r="H76" s="20" t="n">
        <v>1.75971178</v>
      </c>
      <c r="I76" s="18" t="n">
        <v>0</v>
      </c>
      <c r="J76" s="20" t="n">
        <v>0</v>
      </c>
      <c r="K76" s="18" t="n">
        <v>13.6803128</v>
      </c>
      <c r="L76" s="20" t="n">
        <v>1.47611907</v>
      </c>
      <c r="M76" s="18" t="n">
        <v>0</v>
      </c>
      <c r="N76" s="20" t="n">
        <v>0</v>
      </c>
      <c r="O76" s="18" t="n">
        <v>0</v>
      </c>
      <c r="P76" s="20" t="n">
        <v>0</v>
      </c>
      <c r="Q76" s="18" t="n">
        <v>0</v>
      </c>
      <c r="R76" s="20" t="n">
        <v>0</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(2026.0/B80*100)</f>
        <v/>
      </c>
      <c r="D80" s="19" t="n">
        <v>1014</v>
      </c>
      <c r="E80" s="18" t="n">
        <v>36.70124956</v>
      </c>
      <c r="F80" s="20" t="n">
        <v>2.00177841</v>
      </c>
      <c r="G80" s="18" t="n">
        <v>63.29875044</v>
      </c>
      <c r="H80" s="20" t="n">
        <v>2.00177841</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51.73960703</v>
      </c>
      <c r="F81" s="20" t="n">
        <v>3.48136291</v>
      </c>
      <c r="G81" s="18" t="n">
        <v>38.55535797</v>
      </c>
      <c r="H81" s="20" t="n">
        <v>3.24284039</v>
      </c>
      <c r="I81" s="18" t="n">
        <v>0</v>
      </c>
      <c r="J81" s="20" t="n">
        <v>0</v>
      </c>
      <c r="K81" s="18" t="n">
        <v>9.162603259999999</v>
      </c>
      <c r="L81" s="20" t="n">
        <v>1.3898226</v>
      </c>
      <c r="M81" s="18" t="n">
        <v>0</v>
      </c>
      <c r="N81" s="20" t="n">
        <v>0</v>
      </c>
      <c r="O81" s="18" t="n">
        <v>0.5424317400000001</v>
      </c>
      <c r="P81" s="20" t="n">
        <v>0.41125519</v>
      </c>
      <c r="Q81" s="18" t="n">
        <v>0</v>
      </c>
      <c r="R81" s="20" t="n">
        <v>0</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(1794.0/B44*100)</f>
        <v/>
      </c>
      <c r="D44" s="19" t="n">
        <v>897</v>
      </c>
      <c r="E44" s="18" t="n">
        <v>34.63460695</v>
      </c>
      <c r="F44" s="20" t="n">
        <v>2.01221892</v>
      </c>
      <c r="G44" s="18" t="n">
        <v>60.19739866</v>
      </c>
      <c r="H44" s="20" t="n">
        <v>2.11393072</v>
      </c>
      <c r="I44" s="18" t="n">
        <v>0</v>
      </c>
      <c r="J44" s="20" t="n">
        <v>0</v>
      </c>
      <c r="K44" s="18" t="n">
        <v>0.6475097</v>
      </c>
      <c r="L44" s="20" t="n">
        <v>0.23521277</v>
      </c>
      <c r="M44" s="18" t="n">
        <v>0</v>
      </c>
      <c r="N44" s="20" t="n">
        <v>0</v>
      </c>
      <c r="O44" s="18" t="n">
        <v>0</v>
      </c>
      <c r="P44" s="20" t="n">
        <v>0</v>
      </c>
      <c r="Q44" s="18" t="n">
        <v>4.52048469</v>
      </c>
      <c r="R44" s="20" t="n">
        <v>0.67581908</v>
      </c>
    </row>
    <row r="45" spans="1:18">
      <c r="A45" s="15" t="s">
        <v>604</v>
      </c>
      <c r="B45" s="17" t="n">
        <v>2670</v>
      </c>
      <c r="C45" s="18">
        <f>(1785.0/B45*100)</f>
        <v/>
      </c>
      <c r="D45" s="19" t="n">
        <v>885</v>
      </c>
      <c r="E45" s="18" t="n">
        <v>48.67191552</v>
      </c>
      <c r="F45" s="20" t="n">
        <v>1.91827053</v>
      </c>
      <c r="G45" s="18" t="n">
        <v>42.77756182</v>
      </c>
      <c r="H45" s="20" t="n">
        <v>2.08143233</v>
      </c>
      <c r="I45" s="18" t="n">
        <v>0</v>
      </c>
      <c r="J45" s="20" t="n">
        <v>0</v>
      </c>
      <c r="K45" s="18" t="n">
        <v>4.16663599</v>
      </c>
      <c r="L45" s="20" t="n">
        <v>0.78366518</v>
      </c>
      <c r="M45" s="18" t="n">
        <v>0.2549237</v>
      </c>
      <c r="N45" s="20" t="n">
        <v>0.16632325</v>
      </c>
      <c r="O45" s="18" t="n">
        <v>0</v>
      </c>
      <c r="P45" s="20" t="n">
        <v>0</v>
      </c>
      <c r="Q45" s="18" t="n">
        <v>4.12896297</v>
      </c>
      <c r="R45" s="20" t="n">
        <v>0.78824816</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(1685.0/B54*100)</f>
        <v/>
      </c>
      <c r="D54" s="19" t="n">
        <v>872</v>
      </c>
      <c r="E54" s="18" t="n">
        <v>52.54857881</v>
      </c>
      <c r="F54" s="20" t="n">
        <v>1.6256849</v>
      </c>
      <c r="G54" s="18" t="n">
        <v>42.7859065</v>
      </c>
      <c r="H54" s="20" t="n">
        <v>1.59137466</v>
      </c>
      <c r="I54" s="18" t="n">
        <v>0</v>
      </c>
      <c r="J54" s="20" t="n">
        <v>0</v>
      </c>
      <c r="K54" s="18" t="n">
        <v>1.59737303</v>
      </c>
      <c r="L54" s="20" t="n">
        <v>0.44249829</v>
      </c>
      <c r="M54" s="18" t="n">
        <v>0</v>
      </c>
      <c r="N54" s="20" t="n">
        <v>0</v>
      </c>
      <c r="O54" s="18" t="n">
        <v>0</v>
      </c>
      <c r="P54" s="20" t="n">
        <v>0</v>
      </c>
      <c r="Q54" s="18" t="n">
        <v>3.06814167</v>
      </c>
      <c r="R54" s="20" t="n">
        <v>0.49544896</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(2241.0/B56*100)</f>
        <v/>
      </c>
      <c r="D56" s="19" t="n">
        <v>1102</v>
      </c>
      <c r="E56" s="18" t="n">
        <v>50.69141887</v>
      </c>
      <c r="F56" s="20" t="n">
        <v>1.66843478</v>
      </c>
      <c r="G56" s="18" t="n">
        <v>46.96361295</v>
      </c>
      <c r="H56" s="20" t="n">
        <v>1.75907055</v>
      </c>
      <c r="I56" s="18" t="n">
        <v>0</v>
      </c>
      <c r="J56" s="20" t="n">
        <v>0</v>
      </c>
      <c r="K56" s="18" t="n">
        <v>0.80156967</v>
      </c>
      <c r="L56" s="20" t="n">
        <v>0.33761603</v>
      </c>
      <c r="M56" s="18" t="n">
        <v>0</v>
      </c>
      <c r="N56" s="20" t="n">
        <v>0</v>
      </c>
      <c r="O56" s="18" t="n">
        <v>0</v>
      </c>
      <c r="P56" s="20" t="n">
        <v>0</v>
      </c>
      <c r="Q56" s="18" t="n">
        <v>1.5433985</v>
      </c>
      <c r="R56" s="20" t="n">
        <v>0.36788282</v>
      </c>
    </row>
    <row r="57" spans="1:18">
      <c r="A57" s="15" t="s">
        <v>616</v>
      </c>
      <c r="B57" s="17" t="n">
        <v>3737</v>
      </c>
      <c r="C57" s="18">
        <f>(2496.0/B57*100)</f>
        <v/>
      </c>
      <c r="D57" s="19" t="n">
        <v>1241</v>
      </c>
      <c r="E57" s="18" t="n">
        <v>44.78348699</v>
      </c>
      <c r="F57" s="20" t="n">
        <v>1.98884288</v>
      </c>
      <c r="G57" s="18" t="n">
        <v>52.76590566</v>
      </c>
      <c r="H57" s="20" t="n">
        <v>2.03375702</v>
      </c>
      <c r="I57" s="18" t="n">
        <v>0</v>
      </c>
      <c r="J57" s="20" t="n">
        <v>0</v>
      </c>
      <c r="K57" s="18" t="n">
        <v>0.82711868</v>
      </c>
      <c r="L57" s="20" t="n">
        <v>0.25575025</v>
      </c>
      <c r="M57" s="18" t="n">
        <v>0</v>
      </c>
      <c r="N57" s="20" t="n">
        <v>0</v>
      </c>
      <c r="O57" s="18" t="n">
        <v>0</v>
      </c>
      <c r="P57" s="20" t="n">
        <v>0</v>
      </c>
      <c r="Q57" s="18" t="n">
        <v>1.62348867</v>
      </c>
      <c r="R57" s="20" t="n">
        <v>0.3717203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(1521.0/B59*100)</f>
        <v/>
      </c>
      <c r="D59" s="19" t="n">
        <v>757</v>
      </c>
      <c r="E59" s="18" t="n">
        <v>54.02584927</v>
      </c>
      <c r="F59" s="20" t="n">
        <v>2.16264466</v>
      </c>
      <c r="G59" s="18" t="n">
        <v>44.34229548</v>
      </c>
      <c r="H59" s="20" t="n">
        <v>2.11866154</v>
      </c>
      <c r="I59" s="18" t="n">
        <v>0</v>
      </c>
      <c r="J59" s="20" t="n">
        <v>0</v>
      </c>
      <c r="K59" s="18" t="n">
        <v>0.3893679</v>
      </c>
      <c r="L59" s="20" t="n">
        <v>0.19190356</v>
      </c>
      <c r="M59" s="18" t="n">
        <v>0.05796326</v>
      </c>
      <c r="N59" s="20" t="n">
        <v>0.05805055</v>
      </c>
      <c r="O59" s="18" t="n">
        <v>0</v>
      </c>
      <c r="P59" s="20" t="n">
        <v>0</v>
      </c>
      <c r="Q59" s="18" t="n">
        <v>1.18452409</v>
      </c>
      <c r="R59" s="20" t="n">
        <v>0.36039826</v>
      </c>
    </row>
    <row r="60" spans="1:18">
      <c r="A60" s="15" t="s">
        <v>620</v>
      </c>
      <c r="B60" s="17" t="n">
        <v>2451</v>
      </c>
      <c r="C60" s="18">
        <f>(1642.0/B60*100)</f>
        <v/>
      </c>
      <c r="D60" s="19" t="n">
        <v>809</v>
      </c>
      <c r="E60" s="18" t="n">
        <v>44.85619459</v>
      </c>
      <c r="F60" s="20" t="n">
        <v>2.22430132</v>
      </c>
      <c r="G60" s="18" t="n">
        <v>47.49805287</v>
      </c>
      <c r="H60" s="20" t="n">
        <v>2.23512668</v>
      </c>
      <c r="I60" s="18" t="n">
        <v>0</v>
      </c>
      <c r="J60" s="20" t="n">
        <v>0</v>
      </c>
      <c r="K60" s="18" t="n">
        <v>2.6640872</v>
      </c>
      <c r="L60" s="20" t="n">
        <v>0.58048173</v>
      </c>
      <c r="M60" s="18" t="n">
        <v>0</v>
      </c>
      <c r="N60" s="20" t="n">
        <v>0</v>
      </c>
      <c r="O60" s="18" t="n">
        <v>0</v>
      </c>
      <c r="P60" s="20" t="n">
        <v>0</v>
      </c>
      <c r="Q60" s="18" t="n">
        <v>4.98166534</v>
      </c>
      <c r="R60" s="20" t="n">
        <v>0.78983413</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(1695.0/B63*100)</f>
        <v/>
      </c>
      <c r="D63" s="19" t="n">
        <v>816</v>
      </c>
      <c r="E63" s="18" t="n">
        <v>47.40562201</v>
      </c>
      <c r="F63" s="20" t="n">
        <v>1.75016889</v>
      </c>
      <c r="G63" s="18" t="n">
        <v>44.79419866</v>
      </c>
      <c r="H63" s="20" t="n">
        <v>1.76719229</v>
      </c>
      <c r="I63" s="18" t="n">
        <v>0</v>
      </c>
      <c r="J63" s="20" t="n">
        <v>0</v>
      </c>
      <c r="K63" s="18" t="n">
        <v>1.5758868</v>
      </c>
      <c r="L63" s="20" t="n">
        <v>0.40796921</v>
      </c>
      <c r="M63" s="18" t="n">
        <v>0</v>
      </c>
      <c r="N63" s="20" t="n">
        <v>0</v>
      </c>
      <c r="O63" s="18" t="n">
        <v>0</v>
      </c>
      <c r="P63" s="20" t="n">
        <v>0</v>
      </c>
      <c r="Q63" s="18" t="n">
        <v>6.22429253</v>
      </c>
      <c r="R63" s="20" t="n">
        <v>0.79205907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(1198.0/B65*100)</f>
        <v/>
      </c>
      <c r="D65" s="19" t="n">
        <v>592</v>
      </c>
      <c r="E65" s="18" t="n">
        <v>37.83801291</v>
      </c>
      <c r="F65" s="20" t="n">
        <v>1.74834848</v>
      </c>
      <c r="G65" s="18" t="n">
        <v>60.84785635</v>
      </c>
      <c r="H65" s="20" t="n">
        <v>1.76556656</v>
      </c>
      <c r="I65" s="18" t="n">
        <v>0</v>
      </c>
      <c r="J65" s="20" t="n">
        <v>0</v>
      </c>
      <c r="K65" s="18" t="n">
        <v>0.7019957100000001</v>
      </c>
      <c r="L65" s="20" t="n">
        <v>0.36000963</v>
      </c>
      <c r="M65" s="18" t="n">
        <v>0</v>
      </c>
      <c r="N65" s="20" t="n">
        <v>0</v>
      </c>
      <c r="O65" s="18" t="n">
        <v>0</v>
      </c>
      <c r="P65" s="20" t="n">
        <v>0</v>
      </c>
      <c r="Q65" s="18" t="n">
        <v>0.61213503</v>
      </c>
      <c r="R65" s="20" t="n">
        <v>0.35370914</v>
      </c>
    </row>
    <row r="66" spans="1:18">
      <c r="A66" s="15" t="s">
        <v>626</v>
      </c>
      <c r="B66" s="17" t="n">
        <v>2634</v>
      </c>
      <c r="C66" s="18">
        <f>(1760.0/B66*100)</f>
        <v/>
      </c>
      <c r="D66" s="19" t="n">
        <v>874</v>
      </c>
      <c r="E66" s="18" t="n">
        <v>42.11234432</v>
      </c>
      <c r="F66" s="20" t="n">
        <v>1.83252725</v>
      </c>
      <c r="G66" s="18" t="n">
        <v>51.52207694</v>
      </c>
      <c r="H66" s="20" t="n">
        <v>1.74351815</v>
      </c>
      <c r="I66" s="18" t="n">
        <v>0</v>
      </c>
      <c r="J66" s="20" t="n">
        <v>0</v>
      </c>
      <c r="K66" s="18" t="n">
        <v>3.34452738</v>
      </c>
      <c r="L66" s="20" t="n">
        <v>0.68041905</v>
      </c>
      <c r="M66" s="18" t="n">
        <v>0</v>
      </c>
      <c r="N66" s="20" t="n">
        <v>0</v>
      </c>
      <c r="O66" s="18" t="n">
        <v>0</v>
      </c>
      <c r="P66" s="20" t="n">
        <v>0</v>
      </c>
      <c r="Q66" s="18" t="n">
        <v>3.02105137</v>
      </c>
      <c r="R66" s="20" t="n">
        <v>0.52970112</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(478.0/B69*100)</f>
        <v/>
      </c>
      <c r="D69" s="19" t="n">
        <v>242</v>
      </c>
      <c r="E69" s="18" t="n">
        <v>38.73831357</v>
      </c>
      <c r="F69" s="20" t="n">
        <v>2.54471699</v>
      </c>
      <c r="G69" s="18" t="n">
        <v>60.3690535</v>
      </c>
      <c r="H69" s="20" t="n">
        <v>2.50883608</v>
      </c>
      <c r="I69" s="18" t="n">
        <v>0</v>
      </c>
      <c r="J69" s="20" t="n">
        <v>0</v>
      </c>
      <c r="K69" s="18" t="n">
        <v>0.63901625</v>
      </c>
      <c r="L69" s="20" t="n">
        <v>0.44720833</v>
      </c>
      <c r="M69" s="18" t="n">
        <v>0</v>
      </c>
      <c r="N69" s="20" t="n">
        <v>0</v>
      </c>
      <c r="O69" s="18" t="n">
        <v>0</v>
      </c>
      <c r="P69" s="20" t="n">
        <v>0</v>
      </c>
      <c r="Q69" s="18" t="n">
        <v>0.25361668</v>
      </c>
      <c r="R69" s="20" t="n">
        <v>0.2543749</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(1654.0/B71*100)</f>
        <v/>
      </c>
      <c r="D71" s="19" t="n">
        <v>812</v>
      </c>
      <c r="E71" s="18" t="n">
        <v>50.99085839</v>
      </c>
      <c r="F71" s="20" t="n">
        <v>2.04710464</v>
      </c>
      <c r="G71" s="18" t="n">
        <v>49.00914161</v>
      </c>
      <c r="H71" s="20" t="n">
        <v>2.04710464</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(1625.0/B76*100)</f>
        <v/>
      </c>
      <c r="D76" s="19" t="n">
        <v>828</v>
      </c>
      <c r="E76" s="18" t="n">
        <v>38.93558043</v>
      </c>
      <c r="F76" s="20" t="n">
        <v>1.56106784</v>
      </c>
      <c r="G76" s="18" t="n">
        <v>54.6095883</v>
      </c>
      <c r="H76" s="20" t="n">
        <v>1.61066793</v>
      </c>
      <c r="I76" s="18" t="n">
        <v>0</v>
      </c>
      <c r="J76" s="20" t="n">
        <v>0</v>
      </c>
      <c r="K76" s="18" t="n">
        <v>2.35780773</v>
      </c>
      <c r="L76" s="20" t="n">
        <v>0.5263712</v>
      </c>
      <c r="M76" s="18" t="n">
        <v>0</v>
      </c>
      <c r="N76" s="20" t="n">
        <v>0</v>
      </c>
      <c r="O76" s="18" t="n">
        <v>0</v>
      </c>
      <c r="P76" s="20" t="n">
        <v>0</v>
      </c>
      <c r="Q76" s="18" t="n">
        <v>4.09702355</v>
      </c>
      <c r="R76" s="20" t="n">
        <v>0.74104741</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(2027.0/B80*100)</f>
        <v/>
      </c>
      <c r="D80" s="19" t="n">
        <v>1013</v>
      </c>
      <c r="E80" s="18" t="n">
        <v>26.32223656</v>
      </c>
      <c r="F80" s="20" t="n">
        <v>1.82990799</v>
      </c>
      <c r="G80" s="18" t="n">
        <v>73.67776344000001</v>
      </c>
      <c r="H80" s="20" t="n">
        <v>1.82990799</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(577.0/B81*100)</f>
        <v/>
      </c>
      <c r="D81" s="19" t="n">
        <v>293</v>
      </c>
      <c r="E81" s="18" t="n">
        <v>28.92301436</v>
      </c>
      <c r="F81" s="20" t="n">
        <v>3.22184481</v>
      </c>
      <c r="G81" s="18" t="n">
        <v>64.60746459000001</v>
      </c>
      <c r="H81" s="20" t="n">
        <v>3.41747878</v>
      </c>
      <c r="I81" s="18" t="n">
        <v>0</v>
      </c>
      <c r="J81" s="20" t="n">
        <v>0</v>
      </c>
      <c r="K81" s="18" t="n">
        <v>3.13510355</v>
      </c>
      <c r="L81" s="20" t="n">
        <v>1.13910963</v>
      </c>
      <c r="M81" s="18" t="n">
        <v>0</v>
      </c>
      <c r="N81" s="20" t="n">
        <v>0</v>
      </c>
      <c r="O81" s="18" t="n">
        <v>0</v>
      </c>
      <c r="P81" s="20" t="n">
        <v>0</v>
      </c>
      <c r="Q81" s="18" t="n">
        <v>3.3344175</v>
      </c>
      <c r="R81" s="20" t="n">
        <v>0.92518108</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(1794.0/B44*100)</f>
        <v/>
      </c>
      <c r="D44" s="19" t="n">
        <v>897</v>
      </c>
      <c r="E44" s="18" t="n">
        <v>42.60747505</v>
      </c>
      <c r="F44" s="20" t="n">
        <v>1.96832858</v>
      </c>
      <c r="G44" s="18" t="n">
        <v>26.41862102</v>
      </c>
      <c r="H44" s="20" t="n">
        <v>1.89408429</v>
      </c>
      <c r="I44" s="18" t="n">
        <v>0</v>
      </c>
      <c r="J44" s="20" t="n">
        <v>0</v>
      </c>
      <c r="K44" s="18" t="n">
        <v>0.6475097</v>
      </c>
      <c r="L44" s="20" t="n">
        <v>0.23521277</v>
      </c>
      <c r="M44" s="18" t="n">
        <v>0</v>
      </c>
      <c r="N44" s="20" t="n">
        <v>0</v>
      </c>
      <c r="O44" s="18" t="n">
        <v>0</v>
      </c>
      <c r="P44" s="20" t="n">
        <v>0</v>
      </c>
      <c r="Q44" s="18" t="n">
        <v>30.32639423</v>
      </c>
      <c r="R44" s="20" t="n">
        <v>2.00042843</v>
      </c>
    </row>
    <row r="45" spans="1:18">
      <c r="A45" s="15" t="s">
        <v>604</v>
      </c>
      <c r="B45" s="17" t="n">
        <v>2670</v>
      </c>
      <c r="C45" s="18">
        <f>(1785.0/B45*100)</f>
        <v/>
      </c>
      <c r="D45" s="19" t="n">
        <v>885</v>
      </c>
      <c r="E45" s="18" t="n">
        <v>46.21033098</v>
      </c>
      <c r="F45" s="20" t="n">
        <v>1.84500199</v>
      </c>
      <c r="G45" s="18" t="n">
        <v>13.16666444</v>
      </c>
      <c r="H45" s="20" t="n">
        <v>1.27949449</v>
      </c>
      <c r="I45" s="18" t="n">
        <v>0</v>
      </c>
      <c r="J45" s="20" t="n">
        <v>0</v>
      </c>
      <c r="K45" s="18" t="n">
        <v>4.4906607</v>
      </c>
      <c r="L45" s="20" t="n">
        <v>0.8006715</v>
      </c>
      <c r="M45" s="18" t="n">
        <v>0.16210104</v>
      </c>
      <c r="N45" s="20" t="n">
        <v>0.15681581</v>
      </c>
      <c r="O45" s="18" t="n">
        <v>0.10583278</v>
      </c>
      <c r="P45" s="20" t="n">
        <v>0.09982524</v>
      </c>
      <c r="Q45" s="18" t="n">
        <v>35.86441006</v>
      </c>
      <c r="R45" s="20" t="n">
        <v>1.81994513</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(1685.0/B54*100)</f>
        <v/>
      </c>
      <c r="D54" s="19" t="n">
        <v>872</v>
      </c>
      <c r="E54" s="18" t="n">
        <v>40.22646763</v>
      </c>
      <c r="F54" s="20" t="n">
        <v>1.9451006</v>
      </c>
      <c r="G54" s="18" t="n">
        <v>10.94743532</v>
      </c>
      <c r="H54" s="20" t="n">
        <v>1.21463769</v>
      </c>
      <c r="I54" s="18" t="n">
        <v>0</v>
      </c>
      <c r="J54" s="20" t="n">
        <v>0</v>
      </c>
      <c r="K54" s="18" t="n">
        <v>1.76943951</v>
      </c>
      <c r="L54" s="20" t="n">
        <v>0.4585126</v>
      </c>
      <c r="M54" s="18" t="n">
        <v>0</v>
      </c>
      <c r="N54" s="20" t="n">
        <v>0</v>
      </c>
      <c r="O54" s="18" t="n">
        <v>0.103986</v>
      </c>
      <c r="P54" s="20" t="n">
        <v>0.10301186</v>
      </c>
      <c r="Q54" s="18" t="n">
        <v>46.95267153</v>
      </c>
      <c r="R54" s="20" t="n">
        <v>1.97690071</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(2241.0/B56*100)</f>
        <v/>
      </c>
      <c r="D56" s="19" t="n">
        <v>1102</v>
      </c>
      <c r="E56" s="18" t="n">
        <v>68.4373667</v>
      </c>
      <c r="F56" s="20" t="n">
        <v>1.64644184</v>
      </c>
      <c r="G56" s="18" t="n">
        <v>18.56289361</v>
      </c>
      <c r="H56" s="20" t="n">
        <v>1.56774239</v>
      </c>
      <c r="I56" s="18" t="n">
        <v>0</v>
      </c>
      <c r="J56" s="20" t="n">
        <v>0</v>
      </c>
      <c r="K56" s="18" t="n">
        <v>0.80156967</v>
      </c>
      <c r="L56" s="20" t="n">
        <v>0.33761603</v>
      </c>
      <c r="M56" s="18" t="n">
        <v>0</v>
      </c>
      <c r="N56" s="20" t="n">
        <v>0</v>
      </c>
      <c r="O56" s="18" t="n">
        <v>0</v>
      </c>
      <c r="P56" s="20" t="n">
        <v>0</v>
      </c>
      <c r="Q56" s="18" t="n">
        <v>12.19817001</v>
      </c>
      <c r="R56" s="20" t="n">
        <v>1.6409697</v>
      </c>
    </row>
    <row r="57" spans="1:18">
      <c r="A57" s="15" t="s">
        <v>616</v>
      </c>
      <c r="B57" s="17" t="n">
        <v>3737</v>
      </c>
      <c r="C57" s="18">
        <f>(2496.0/B57*100)</f>
        <v/>
      </c>
      <c r="D57" s="19" t="n">
        <v>1241</v>
      </c>
      <c r="E57" s="18" t="n">
        <v>62.37324983</v>
      </c>
      <c r="F57" s="20" t="n">
        <v>2.00539681</v>
      </c>
      <c r="G57" s="18" t="n">
        <v>23.33441248</v>
      </c>
      <c r="H57" s="20" t="n">
        <v>1.79734651</v>
      </c>
      <c r="I57" s="18" t="n">
        <v>0</v>
      </c>
      <c r="J57" s="20" t="n">
        <v>0</v>
      </c>
      <c r="K57" s="18" t="n">
        <v>1.16024922</v>
      </c>
      <c r="L57" s="20" t="n">
        <v>0.35602761</v>
      </c>
      <c r="M57" s="18" t="n">
        <v>0</v>
      </c>
      <c r="N57" s="20" t="n">
        <v>0</v>
      </c>
      <c r="O57" s="18" t="n">
        <v>0</v>
      </c>
      <c r="P57" s="20" t="n">
        <v>0</v>
      </c>
      <c r="Q57" s="18" t="n">
        <v>13.13208847</v>
      </c>
      <c r="R57" s="20" t="n">
        <v>1.38014146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(1521.0/B59*100)</f>
        <v/>
      </c>
      <c r="D59" s="19" t="n">
        <v>757</v>
      </c>
      <c r="E59" s="18" t="n">
        <v>66.69329418</v>
      </c>
      <c r="F59" s="20" t="n">
        <v>1.94544473</v>
      </c>
      <c r="G59" s="18" t="n">
        <v>8.468314469999999</v>
      </c>
      <c r="H59" s="20" t="n">
        <v>1.09804734</v>
      </c>
      <c r="I59" s="18" t="n">
        <v>0</v>
      </c>
      <c r="J59" s="20" t="n">
        <v>0</v>
      </c>
      <c r="K59" s="18" t="n">
        <v>0.3893679</v>
      </c>
      <c r="L59" s="20" t="n">
        <v>0.19190356</v>
      </c>
      <c r="M59" s="18" t="n">
        <v>0.05796326</v>
      </c>
      <c r="N59" s="20" t="n">
        <v>0.05805055</v>
      </c>
      <c r="O59" s="18" t="n">
        <v>0</v>
      </c>
      <c r="P59" s="20" t="n">
        <v>0</v>
      </c>
      <c r="Q59" s="18" t="n">
        <v>24.39106019</v>
      </c>
      <c r="R59" s="20" t="n">
        <v>1.839994</v>
      </c>
    </row>
    <row r="60" spans="1:18">
      <c r="A60" s="15" t="s">
        <v>620</v>
      </c>
      <c r="B60" s="17" t="n">
        <v>2451</v>
      </c>
      <c r="C60" s="18">
        <f>(1642.0/B60*100)</f>
        <v/>
      </c>
      <c r="D60" s="19" t="n">
        <v>809</v>
      </c>
      <c r="E60" s="18" t="n">
        <v>49.97476007</v>
      </c>
      <c r="F60" s="20" t="n">
        <v>2.29043295</v>
      </c>
      <c r="G60" s="18" t="n">
        <v>10.4612074</v>
      </c>
      <c r="H60" s="20" t="n">
        <v>1.1855896</v>
      </c>
      <c r="I60" s="18" t="n">
        <v>0</v>
      </c>
      <c r="J60" s="20" t="n">
        <v>0</v>
      </c>
      <c r="K60" s="18" t="n">
        <v>3.26342811</v>
      </c>
      <c r="L60" s="20" t="n">
        <v>0.67101655</v>
      </c>
      <c r="M60" s="18" t="n">
        <v>0</v>
      </c>
      <c r="N60" s="20" t="n">
        <v>0</v>
      </c>
      <c r="O60" s="18" t="n">
        <v>0</v>
      </c>
      <c r="P60" s="20" t="n">
        <v>0</v>
      </c>
      <c r="Q60" s="18" t="n">
        <v>36.30060442</v>
      </c>
      <c r="R60" s="20" t="n">
        <v>2.22982064</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(1695.0/B63*100)</f>
        <v/>
      </c>
      <c r="D63" s="19" t="n">
        <v>816</v>
      </c>
      <c r="E63" s="18" t="n">
        <v>24.85227701</v>
      </c>
      <c r="F63" s="20" t="n">
        <v>1.54446338</v>
      </c>
      <c r="G63" s="18" t="n">
        <v>9.997224900000001</v>
      </c>
      <c r="H63" s="20" t="n">
        <v>1.11985014</v>
      </c>
      <c r="I63" s="18" t="n">
        <v>0</v>
      </c>
      <c r="J63" s="20" t="n">
        <v>0</v>
      </c>
      <c r="K63" s="18" t="n">
        <v>1.75241784</v>
      </c>
      <c r="L63" s="20" t="n">
        <v>0.44180975</v>
      </c>
      <c r="M63" s="18" t="n">
        <v>0</v>
      </c>
      <c r="N63" s="20" t="n">
        <v>0</v>
      </c>
      <c r="O63" s="18" t="n">
        <v>0</v>
      </c>
      <c r="P63" s="20" t="n">
        <v>0</v>
      </c>
      <c r="Q63" s="18" t="n">
        <v>63.39808025</v>
      </c>
      <c r="R63" s="20" t="n">
        <v>1.77787291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(1198.0/B65*100)</f>
        <v/>
      </c>
      <c r="D65" s="19" t="n">
        <v>592</v>
      </c>
      <c r="E65" s="18" t="n">
        <v>35.94806898</v>
      </c>
      <c r="F65" s="20" t="n">
        <v>1.65531823</v>
      </c>
      <c r="G65" s="18" t="n">
        <v>43.60867899</v>
      </c>
      <c r="H65" s="20" t="n">
        <v>2.02029762</v>
      </c>
      <c r="I65" s="18" t="n">
        <v>0</v>
      </c>
      <c r="J65" s="20" t="n">
        <v>0</v>
      </c>
      <c r="K65" s="18" t="n">
        <v>0.7019957100000001</v>
      </c>
      <c r="L65" s="20" t="n">
        <v>0.36000963</v>
      </c>
      <c r="M65" s="18" t="n">
        <v>0</v>
      </c>
      <c r="N65" s="20" t="n">
        <v>0</v>
      </c>
      <c r="O65" s="18" t="n">
        <v>0</v>
      </c>
      <c r="P65" s="20" t="n">
        <v>0</v>
      </c>
      <c r="Q65" s="18" t="n">
        <v>19.74125632</v>
      </c>
      <c r="R65" s="20" t="n">
        <v>1.70652552</v>
      </c>
    </row>
    <row r="66" spans="1:18">
      <c r="A66" s="15" t="s">
        <v>626</v>
      </c>
      <c r="B66" s="17" t="n">
        <v>2634</v>
      </c>
      <c r="C66" s="18">
        <f>(1760.0/B66*100)</f>
        <v/>
      </c>
      <c r="D66" s="19" t="n">
        <v>874</v>
      </c>
      <c r="E66" s="18" t="n">
        <v>37.60112581</v>
      </c>
      <c r="F66" s="20" t="n">
        <v>1.50090795</v>
      </c>
      <c r="G66" s="18" t="n">
        <v>22.01785377</v>
      </c>
      <c r="H66" s="20" t="n">
        <v>1.48663654</v>
      </c>
      <c r="I66" s="18" t="n">
        <v>0</v>
      </c>
      <c r="J66" s="20" t="n">
        <v>0</v>
      </c>
      <c r="K66" s="18" t="n">
        <v>4.51703461</v>
      </c>
      <c r="L66" s="20" t="n">
        <v>0.73216459</v>
      </c>
      <c r="M66" s="18" t="n">
        <v>0</v>
      </c>
      <c r="N66" s="20" t="n">
        <v>0</v>
      </c>
      <c r="O66" s="18" t="n">
        <v>0</v>
      </c>
      <c r="P66" s="20" t="n">
        <v>0</v>
      </c>
      <c r="Q66" s="18" t="n">
        <v>35.8639858</v>
      </c>
      <c r="R66" s="20" t="n">
        <v>1.57706595</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(478.0/B69*100)</f>
        <v/>
      </c>
      <c r="D69" s="19" t="n">
        <v>242</v>
      </c>
      <c r="E69" s="18" t="n">
        <v>62.24893029</v>
      </c>
      <c r="F69" s="20" t="n">
        <v>4.0123875</v>
      </c>
      <c r="G69" s="18" t="n">
        <v>23.40853606</v>
      </c>
      <c r="H69" s="20" t="n">
        <v>2.99285037</v>
      </c>
      <c r="I69" s="18" t="n">
        <v>0</v>
      </c>
      <c r="J69" s="20" t="n">
        <v>0</v>
      </c>
      <c r="K69" s="18" t="n">
        <v>0.63901625</v>
      </c>
      <c r="L69" s="20" t="n">
        <v>0.44720833</v>
      </c>
      <c r="M69" s="18" t="n">
        <v>0</v>
      </c>
      <c r="N69" s="20" t="n">
        <v>0</v>
      </c>
      <c r="O69" s="18" t="n">
        <v>0</v>
      </c>
      <c r="P69" s="20" t="n">
        <v>0</v>
      </c>
      <c r="Q69" s="18" t="n">
        <v>13.70351741</v>
      </c>
      <c r="R69" s="20" t="n">
        <v>2.37852707</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(1654.0/B71*100)</f>
        <v/>
      </c>
      <c r="D71" s="19" t="n">
        <v>812</v>
      </c>
      <c r="E71" s="18" t="n">
        <v>63.97901042</v>
      </c>
      <c r="F71" s="20" t="n">
        <v>1.9353317</v>
      </c>
      <c r="G71" s="18" t="n">
        <v>35.57226535</v>
      </c>
      <c r="H71" s="20" t="n">
        <v>1.91330747</v>
      </c>
      <c r="I71" s="18" t="n">
        <v>0</v>
      </c>
      <c r="J71" s="20" t="n">
        <v>0</v>
      </c>
      <c r="K71" s="18" t="n">
        <v>0</v>
      </c>
      <c r="L71" s="20" t="n">
        <v>0</v>
      </c>
      <c r="M71" s="18" t="n">
        <v>0</v>
      </c>
      <c r="N71" s="20" t="n">
        <v>0</v>
      </c>
      <c r="O71" s="18" t="n">
        <v>0</v>
      </c>
      <c r="P71" s="20" t="n">
        <v>0</v>
      </c>
      <c r="Q71" s="18" t="n">
        <v>0.44872423</v>
      </c>
      <c r="R71" s="20" t="n">
        <v>0.27768869</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(1625.0/B76*100)</f>
        <v/>
      </c>
      <c r="D76" s="19" t="n">
        <v>828</v>
      </c>
      <c r="E76" s="18" t="n">
        <v>48.15761845</v>
      </c>
      <c r="F76" s="20" t="n">
        <v>1.85433901</v>
      </c>
      <c r="G76" s="18" t="n">
        <v>30.23236804</v>
      </c>
      <c r="H76" s="20" t="n">
        <v>1.62729218</v>
      </c>
      <c r="I76" s="18" t="n">
        <v>0</v>
      </c>
      <c r="J76" s="20" t="n">
        <v>0</v>
      </c>
      <c r="K76" s="18" t="n">
        <v>2.35780773</v>
      </c>
      <c r="L76" s="20" t="n">
        <v>0.5263712</v>
      </c>
      <c r="M76" s="18" t="n">
        <v>0</v>
      </c>
      <c r="N76" s="20" t="n">
        <v>0</v>
      </c>
      <c r="O76" s="18" t="n">
        <v>0</v>
      </c>
      <c r="P76" s="20" t="n">
        <v>0</v>
      </c>
      <c r="Q76" s="18" t="n">
        <v>19.25220578</v>
      </c>
      <c r="R76" s="20" t="n">
        <v>1.51499089</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(2027.0/B80*100)</f>
        <v/>
      </c>
      <c r="D80" s="19" t="n">
        <v>1013</v>
      </c>
      <c r="E80" s="18" t="n">
        <v>69.3750091</v>
      </c>
      <c r="F80" s="20" t="n">
        <v>1.83083941</v>
      </c>
      <c r="G80" s="18" t="n">
        <v>29.57107409</v>
      </c>
      <c r="H80" s="20" t="n">
        <v>1.80300085</v>
      </c>
      <c r="I80" s="18" t="n">
        <v>0</v>
      </c>
      <c r="J80" s="20" t="n">
        <v>0</v>
      </c>
      <c r="K80" s="18" t="n">
        <v>0</v>
      </c>
      <c r="L80" s="20" t="n">
        <v>0</v>
      </c>
      <c r="M80" s="18" t="n">
        <v>0</v>
      </c>
      <c r="N80" s="20" t="n">
        <v>0</v>
      </c>
      <c r="O80" s="18" t="n">
        <v>0</v>
      </c>
      <c r="P80" s="20" t="n">
        <v>0</v>
      </c>
      <c r="Q80" s="18" t="n">
        <v>1.05391682</v>
      </c>
      <c r="R80" s="20" t="n">
        <v>0.33947835</v>
      </c>
    </row>
    <row r="81" spans="1:18">
      <c r="A81" s="15" t="s">
        <v>641</v>
      </c>
      <c r="B81" s="17" t="n">
        <v>870</v>
      </c>
      <c r="C81" s="18">
        <f>(577.0/B81*100)</f>
        <v/>
      </c>
      <c r="D81" s="19" t="n">
        <v>293</v>
      </c>
      <c r="E81" s="18" t="n">
        <v>49.22130583</v>
      </c>
      <c r="F81" s="20" t="n">
        <v>3.2999342</v>
      </c>
      <c r="G81" s="18" t="n">
        <v>18.01201779</v>
      </c>
      <c r="H81" s="20" t="n">
        <v>1.8247145</v>
      </c>
      <c r="I81" s="18" t="n">
        <v>0</v>
      </c>
      <c r="J81" s="20" t="n">
        <v>0</v>
      </c>
      <c r="K81" s="18" t="n">
        <v>3.30078563</v>
      </c>
      <c r="L81" s="20" t="n">
        <v>1.17831896</v>
      </c>
      <c r="M81" s="18" t="n">
        <v>0</v>
      </c>
      <c r="N81" s="20" t="n">
        <v>0</v>
      </c>
      <c r="O81" s="18" t="n">
        <v>0</v>
      </c>
      <c r="P81" s="20" t="n">
        <v>0</v>
      </c>
      <c r="Q81" s="18" t="n">
        <v>29.46589075</v>
      </c>
      <c r="R81" s="20" t="n">
        <v>3.02024342</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(1794.0/B44*100)</f>
        <v/>
      </c>
      <c r="D44" s="19" t="n">
        <v>897</v>
      </c>
      <c r="E44" s="18" t="n">
        <v>53.67812725</v>
      </c>
      <c r="F44" s="20" t="n">
        <v>1.98647677</v>
      </c>
      <c r="G44" s="18" t="n">
        <v>42.41806046</v>
      </c>
      <c r="H44" s="20" t="n">
        <v>1.84492202</v>
      </c>
      <c r="I44" s="18" t="n">
        <v>0</v>
      </c>
      <c r="J44" s="20" t="n">
        <v>0</v>
      </c>
      <c r="K44" s="18" t="n">
        <v>0.71721506</v>
      </c>
      <c r="L44" s="20" t="n">
        <v>0.28427496</v>
      </c>
      <c r="M44" s="18" t="n">
        <v>0</v>
      </c>
      <c r="N44" s="20" t="n">
        <v>0</v>
      </c>
      <c r="O44" s="18" t="n">
        <v>0</v>
      </c>
      <c r="P44" s="20" t="n">
        <v>0</v>
      </c>
      <c r="Q44" s="18" t="n">
        <v>3.18659723</v>
      </c>
      <c r="R44" s="20" t="n">
        <v>0.57581721</v>
      </c>
    </row>
    <row r="45" spans="1:18">
      <c r="A45" s="15" t="s">
        <v>604</v>
      </c>
      <c r="B45" s="17" t="n">
        <v>2670</v>
      </c>
      <c r="C45" s="18">
        <f>(1785.0/B45*100)</f>
        <v/>
      </c>
      <c r="D45" s="19" t="n">
        <v>885</v>
      </c>
      <c r="E45" s="18" t="n">
        <v>52.98285735</v>
      </c>
      <c r="F45" s="20" t="n">
        <v>1.82391798</v>
      </c>
      <c r="G45" s="18" t="n">
        <v>38.38409184</v>
      </c>
      <c r="H45" s="20" t="n">
        <v>1.73750223</v>
      </c>
      <c r="I45" s="18" t="n">
        <v>0</v>
      </c>
      <c r="J45" s="20" t="n">
        <v>0</v>
      </c>
      <c r="K45" s="18" t="n">
        <v>4.4906607</v>
      </c>
      <c r="L45" s="20" t="n">
        <v>0.8006715</v>
      </c>
      <c r="M45" s="18" t="n">
        <v>0.2549237</v>
      </c>
      <c r="N45" s="20" t="n">
        <v>0.16632325</v>
      </c>
      <c r="O45" s="18" t="n">
        <v>0</v>
      </c>
      <c r="P45" s="20" t="n">
        <v>0</v>
      </c>
      <c r="Q45" s="18" t="n">
        <v>3.88746641</v>
      </c>
      <c r="R45" s="20" t="n">
        <v>0.62614442</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(1685.0/B54*100)</f>
        <v/>
      </c>
      <c r="D54" s="19" t="n">
        <v>872</v>
      </c>
      <c r="E54" s="18" t="n">
        <v>50.1231127</v>
      </c>
      <c r="F54" s="20" t="n">
        <v>1.82728728</v>
      </c>
      <c r="G54" s="18" t="n">
        <v>46.11685014</v>
      </c>
      <c r="H54" s="20" t="n">
        <v>1.7551449</v>
      </c>
      <c r="I54" s="18" t="n">
        <v>0</v>
      </c>
      <c r="J54" s="20" t="n">
        <v>0</v>
      </c>
      <c r="K54" s="18" t="n">
        <v>1.76943951</v>
      </c>
      <c r="L54" s="20" t="n">
        <v>0.4585126</v>
      </c>
      <c r="M54" s="18" t="n">
        <v>0</v>
      </c>
      <c r="N54" s="20" t="n">
        <v>0</v>
      </c>
      <c r="O54" s="18" t="n">
        <v>0</v>
      </c>
      <c r="P54" s="20" t="n">
        <v>0</v>
      </c>
      <c r="Q54" s="18" t="n">
        <v>1.99059765</v>
      </c>
      <c r="R54" s="20" t="n">
        <v>0.3918265</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(2241.0/B56*100)</f>
        <v/>
      </c>
      <c r="D56" s="19" t="n">
        <v>1102</v>
      </c>
      <c r="E56" s="18" t="n">
        <v>41.94157186</v>
      </c>
      <c r="F56" s="20" t="n">
        <v>1.7460372</v>
      </c>
      <c r="G56" s="18" t="n">
        <v>56.40458204</v>
      </c>
      <c r="H56" s="20" t="n">
        <v>1.81072746</v>
      </c>
      <c r="I56" s="18" t="n">
        <v>0</v>
      </c>
      <c r="J56" s="20" t="n">
        <v>0</v>
      </c>
      <c r="K56" s="18" t="n">
        <v>0.91490708</v>
      </c>
      <c r="L56" s="20" t="n">
        <v>0.34974853</v>
      </c>
      <c r="M56" s="18" t="n">
        <v>0</v>
      </c>
      <c r="N56" s="20" t="n">
        <v>0</v>
      </c>
      <c r="O56" s="18" t="n">
        <v>0</v>
      </c>
      <c r="P56" s="20" t="n">
        <v>0</v>
      </c>
      <c r="Q56" s="18" t="n">
        <v>0.73893902</v>
      </c>
      <c r="R56" s="20" t="n">
        <v>0.37631723</v>
      </c>
    </row>
    <row r="57" spans="1:18">
      <c r="A57" s="15" t="s">
        <v>616</v>
      </c>
      <c r="B57" s="17" t="n">
        <v>3737</v>
      </c>
      <c r="C57" s="18">
        <f>(2496.0/B57*100)</f>
        <v/>
      </c>
      <c r="D57" s="19" t="n">
        <v>1241</v>
      </c>
      <c r="E57" s="18" t="n">
        <v>54.57708377</v>
      </c>
      <c r="F57" s="20" t="n">
        <v>1.96276012</v>
      </c>
      <c r="G57" s="18" t="n">
        <v>42.01569986</v>
      </c>
      <c r="H57" s="20" t="n">
        <v>1.98362255</v>
      </c>
      <c r="I57" s="18" t="n">
        <v>0</v>
      </c>
      <c r="J57" s="20" t="n">
        <v>0</v>
      </c>
      <c r="K57" s="18" t="n">
        <v>1.21408277</v>
      </c>
      <c r="L57" s="20" t="n">
        <v>0.35885685</v>
      </c>
      <c r="M57" s="18" t="n">
        <v>0</v>
      </c>
      <c r="N57" s="20" t="n">
        <v>0</v>
      </c>
      <c r="O57" s="18" t="n">
        <v>0</v>
      </c>
      <c r="P57" s="20" t="n">
        <v>0</v>
      </c>
      <c r="Q57" s="18" t="n">
        <v>2.1931336</v>
      </c>
      <c r="R57" s="20" t="n">
        <v>0.47769245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(1521.0/B59*100)</f>
        <v/>
      </c>
      <c r="D59" s="19" t="n">
        <v>757</v>
      </c>
      <c r="E59" s="18" t="n">
        <v>60.8396843</v>
      </c>
      <c r="F59" s="20" t="n">
        <v>2.21196914</v>
      </c>
      <c r="G59" s="18" t="n">
        <v>37.29938349</v>
      </c>
      <c r="H59" s="20" t="n">
        <v>2.22170918</v>
      </c>
      <c r="I59" s="18" t="n">
        <v>0</v>
      </c>
      <c r="J59" s="20" t="n">
        <v>0</v>
      </c>
      <c r="K59" s="18" t="n">
        <v>0.3893679</v>
      </c>
      <c r="L59" s="20" t="n">
        <v>0.19190356</v>
      </c>
      <c r="M59" s="18" t="n">
        <v>0.05796326</v>
      </c>
      <c r="N59" s="20" t="n">
        <v>0.05805055</v>
      </c>
      <c r="O59" s="18" t="n">
        <v>0</v>
      </c>
      <c r="P59" s="20" t="n">
        <v>0</v>
      </c>
      <c r="Q59" s="18" t="n">
        <v>1.41360105</v>
      </c>
      <c r="R59" s="20" t="n">
        <v>0.46659224</v>
      </c>
    </row>
    <row r="60" spans="1:18">
      <c r="A60" s="15" t="s">
        <v>620</v>
      </c>
      <c r="B60" s="17" t="n">
        <v>2451</v>
      </c>
      <c r="C60" s="18">
        <f>(1642.0/B60*100)</f>
        <v/>
      </c>
      <c r="D60" s="19" t="n">
        <v>809</v>
      </c>
      <c r="E60" s="18" t="n">
        <v>61.98192212</v>
      </c>
      <c r="F60" s="20" t="n">
        <v>2.21078556</v>
      </c>
      <c r="G60" s="18" t="n">
        <v>29.56120084</v>
      </c>
      <c r="H60" s="20" t="n">
        <v>2.10416397</v>
      </c>
      <c r="I60" s="18" t="n">
        <v>0</v>
      </c>
      <c r="J60" s="20" t="n">
        <v>0</v>
      </c>
      <c r="K60" s="18" t="n">
        <v>3.26342811</v>
      </c>
      <c r="L60" s="20" t="n">
        <v>0.67101655</v>
      </c>
      <c r="M60" s="18" t="n">
        <v>0</v>
      </c>
      <c r="N60" s="20" t="n">
        <v>0</v>
      </c>
      <c r="O60" s="18" t="n">
        <v>0</v>
      </c>
      <c r="P60" s="20" t="n">
        <v>0</v>
      </c>
      <c r="Q60" s="18" t="n">
        <v>5.19344893</v>
      </c>
      <c r="R60" s="20" t="n">
        <v>1.0325011</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(1695.0/B63*100)</f>
        <v/>
      </c>
      <c r="D63" s="19" t="n">
        <v>816</v>
      </c>
      <c r="E63" s="18" t="n">
        <v>52.27840029</v>
      </c>
      <c r="F63" s="20" t="n">
        <v>1.76506491</v>
      </c>
      <c r="G63" s="18" t="n">
        <v>41.46569809</v>
      </c>
      <c r="H63" s="20" t="n">
        <v>1.77236624</v>
      </c>
      <c r="I63" s="18" t="n">
        <v>0</v>
      </c>
      <c r="J63" s="20" t="n">
        <v>0</v>
      </c>
      <c r="K63" s="18" t="n">
        <v>1.81703181</v>
      </c>
      <c r="L63" s="20" t="n">
        <v>0.44502729</v>
      </c>
      <c r="M63" s="18" t="n">
        <v>0</v>
      </c>
      <c r="N63" s="20" t="n">
        <v>0</v>
      </c>
      <c r="O63" s="18" t="n">
        <v>0.33610852</v>
      </c>
      <c r="P63" s="20" t="n">
        <v>0.26626369</v>
      </c>
      <c r="Q63" s="18" t="n">
        <v>4.1027613</v>
      </c>
      <c r="R63" s="20" t="n">
        <v>0.67663621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(1198.0/B65*100)</f>
        <v/>
      </c>
      <c r="D65" s="19" t="n">
        <v>592</v>
      </c>
      <c r="E65" s="18" t="n">
        <v>39.05580943</v>
      </c>
      <c r="F65" s="20" t="n">
        <v>2.13503698</v>
      </c>
      <c r="G65" s="18" t="n">
        <v>58.2185974</v>
      </c>
      <c r="H65" s="20" t="n">
        <v>2.21892078</v>
      </c>
      <c r="I65" s="18" t="n">
        <v>0</v>
      </c>
      <c r="J65" s="20" t="n">
        <v>0</v>
      </c>
      <c r="K65" s="18" t="n">
        <v>0.7019957100000001</v>
      </c>
      <c r="L65" s="20" t="n">
        <v>0.36000963</v>
      </c>
      <c r="M65" s="18" t="n">
        <v>0</v>
      </c>
      <c r="N65" s="20" t="n">
        <v>0</v>
      </c>
      <c r="O65" s="18" t="n">
        <v>0</v>
      </c>
      <c r="P65" s="20" t="n">
        <v>0</v>
      </c>
      <c r="Q65" s="18" t="n">
        <v>2.02359745</v>
      </c>
      <c r="R65" s="20" t="n">
        <v>0.60304351</v>
      </c>
    </row>
    <row r="66" spans="1:18">
      <c r="A66" s="15" t="s">
        <v>626</v>
      </c>
      <c r="B66" s="17" t="n">
        <v>2634</v>
      </c>
      <c r="C66" s="18">
        <f>(1760.0/B66*100)</f>
        <v/>
      </c>
      <c r="D66" s="19" t="n">
        <v>874</v>
      </c>
      <c r="E66" s="18" t="n">
        <v>54.85566361</v>
      </c>
      <c r="F66" s="20" t="n">
        <v>1.82509767</v>
      </c>
      <c r="G66" s="18" t="n">
        <v>37.1304269</v>
      </c>
      <c r="H66" s="20" t="n">
        <v>1.72499499</v>
      </c>
      <c r="I66" s="18" t="n">
        <v>0</v>
      </c>
      <c r="J66" s="20" t="n">
        <v>0</v>
      </c>
      <c r="K66" s="18" t="n">
        <v>4.75811663</v>
      </c>
      <c r="L66" s="20" t="n">
        <v>0.7620428299999999</v>
      </c>
      <c r="M66" s="18" t="n">
        <v>0</v>
      </c>
      <c r="N66" s="20" t="n">
        <v>0</v>
      </c>
      <c r="O66" s="18" t="n">
        <v>0</v>
      </c>
      <c r="P66" s="20" t="n">
        <v>0</v>
      </c>
      <c r="Q66" s="18" t="n">
        <v>3.25579285</v>
      </c>
      <c r="R66" s="20" t="n">
        <v>0.69203852</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(478.0/B69*100)</f>
        <v/>
      </c>
      <c r="D69" s="19" t="n">
        <v>242</v>
      </c>
      <c r="E69" s="18" t="n">
        <v>56.21649334</v>
      </c>
      <c r="F69" s="20" t="n">
        <v>2.37250474</v>
      </c>
      <c r="G69" s="18" t="n">
        <v>42.4343328</v>
      </c>
      <c r="H69" s="20" t="n">
        <v>2.54624922</v>
      </c>
      <c r="I69" s="18" t="n">
        <v>0</v>
      </c>
      <c r="J69" s="20" t="n">
        <v>0</v>
      </c>
      <c r="K69" s="18" t="n">
        <v>0.63901625</v>
      </c>
      <c r="L69" s="20" t="n">
        <v>0.44720833</v>
      </c>
      <c r="M69" s="18" t="n">
        <v>0</v>
      </c>
      <c r="N69" s="20" t="n">
        <v>0</v>
      </c>
      <c r="O69" s="18" t="n">
        <v>0</v>
      </c>
      <c r="P69" s="20" t="n">
        <v>0</v>
      </c>
      <c r="Q69" s="18" t="n">
        <v>0.71015762</v>
      </c>
      <c r="R69" s="20" t="n">
        <v>0.54083632</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(1654.0/B71*100)</f>
        <v/>
      </c>
      <c r="D71" s="19" t="n">
        <v>812</v>
      </c>
      <c r="E71" s="18" t="n">
        <v>59.50347045</v>
      </c>
      <c r="F71" s="20" t="n">
        <v>1.81831413</v>
      </c>
      <c r="G71" s="18" t="n">
        <v>40.49652955</v>
      </c>
      <c r="H71" s="20" t="n">
        <v>1.81831413</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(1625.0/B76*100)</f>
        <v/>
      </c>
      <c r="D76" s="19" t="n">
        <v>828</v>
      </c>
      <c r="E76" s="18" t="n">
        <v>46.45452229</v>
      </c>
      <c r="F76" s="20" t="n">
        <v>1.71983756</v>
      </c>
      <c r="G76" s="18" t="n">
        <v>47.37621605</v>
      </c>
      <c r="H76" s="20" t="n">
        <v>1.73918002</v>
      </c>
      <c r="I76" s="18" t="n">
        <v>0</v>
      </c>
      <c r="J76" s="20" t="n">
        <v>0</v>
      </c>
      <c r="K76" s="18" t="n">
        <v>2.42953727</v>
      </c>
      <c r="L76" s="20" t="n">
        <v>0.53191902</v>
      </c>
      <c r="M76" s="18" t="n">
        <v>0</v>
      </c>
      <c r="N76" s="20" t="n">
        <v>0</v>
      </c>
      <c r="O76" s="18" t="n">
        <v>0</v>
      </c>
      <c r="P76" s="20" t="n">
        <v>0</v>
      </c>
      <c r="Q76" s="18" t="n">
        <v>3.73972439</v>
      </c>
      <c r="R76" s="20" t="n">
        <v>0.71098477</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(2027.0/B80*100)</f>
        <v/>
      </c>
      <c r="D80" s="19" t="n">
        <v>1013</v>
      </c>
      <c r="E80" s="18" t="n">
        <v>8.41587086</v>
      </c>
      <c r="F80" s="20" t="n">
        <v>1.14237075</v>
      </c>
      <c r="G80" s="18" t="n">
        <v>91.58412914</v>
      </c>
      <c r="H80" s="20" t="n">
        <v>1.14237075</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(577.0/B81*100)</f>
        <v/>
      </c>
      <c r="D81" s="19" t="n">
        <v>293</v>
      </c>
      <c r="E81" s="18" t="n">
        <v>60.43882692</v>
      </c>
      <c r="F81" s="20" t="n">
        <v>2.67205078</v>
      </c>
      <c r="G81" s="18" t="n">
        <v>33.88850976</v>
      </c>
      <c r="H81" s="20" t="n">
        <v>2.69940367</v>
      </c>
      <c r="I81" s="18" t="n">
        <v>0</v>
      </c>
      <c r="J81" s="20" t="n">
        <v>0</v>
      </c>
      <c r="K81" s="18" t="n">
        <v>3.30078563</v>
      </c>
      <c r="L81" s="20" t="n">
        <v>1.17831896</v>
      </c>
      <c r="M81" s="18" t="n">
        <v>0</v>
      </c>
      <c r="N81" s="20" t="n">
        <v>0</v>
      </c>
      <c r="O81" s="18" t="n">
        <v>0</v>
      </c>
      <c r="P81" s="20" t="n">
        <v>0</v>
      </c>
      <c r="Q81" s="18" t="n">
        <v>2.37187769</v>
      </c>
      <c r="R81" s="20" t="n">
        <v>0.68100595</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4.xml><?xml version="1.0" encoding="utf-8"?>
<worksheet xmlns="http://schemas.openxmlformats.org/spreadsheetml/2006/main">
  <sheetPr>
    <outlinePr summaryBelow="1" summaryRight="1"/>
    <pageSetUpPr/>
  </sheetPr>
  <dimension ref="A1:V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920</v>
      </c>
    </row>
    <row customHeight="1" ht="30" r="4" spans="1:22">
      <c r="A4" s="6" t="n"/>
      <c r="B4" s="7" t="s">
        <v>551</v>
      </c>
      <c r="C4" s="7" t="s">
        <v>552</v>
      </c>
      <c r="D4" s="8" t="s">
        <v>551</v>
      </c>
      <c r="E4" s="9" t="s">
        <v>655</v>
      </c>
      <c r="F4" s="10" t="n"/>
      <c r="G4" s="9" t="s">
        <v>853</v>
      </c>
      <c r="H4" s="10" t="n"/>
      <c r="I4" s="9" t="s">
        <v>657</v>
      </c>
      <c r="J4" s="10" t="n"/>
      <c r="K4" s="9" t="s">
        <v>658</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row>
    <row r="6" spans="1:22">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c r="U7" s="18" t="s">
        <v>603</v>
      </c>
      <c r="V7" s="20" t="s">
        <v>603</v>
      </c>
    </row>
    <row r="8" spans="1:22">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c r="U8" s="18" t="s">
        <v>603</v>
      </c>
      <c r="V8" s="20" t="s">
        <v>603</v>
      </c>
    </row>
    <row r="9" spans="1:22">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c r="U9" s="18" t="s">
        <v>603</v>
      </c>
      <c r="V9" s="20" t="s">
        <v>603</v>
      </c>
    </row>
    <row r="10" spans="1:22">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c r="U10" s="18" t="s">
        <v>603</v>
      </c>
      <c r="V10" s="20" t="s">
        <v>603</v>
      </c>
    </row>
    <row r="11" spans="1:22">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c r="U11" s="18" t="s">
        <v>603</v>
      </c>
      <c r="V11" s="20" t="s">
        <v>603</v>
      </c>
    </row>
    <row r="12" spans="1:22">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c r="U12" s="18" t="s">
        <v>603</v>
      </c>
      <c r="V12" s="20" t="s">
        <v>603</v>
      </c>
    </row>
    <row r="13" spans="1:22">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c r="U13" s="18" t="s">
        <v>603</v>
      </c>
      <c r="V13" s="20" t="s">
        <v>603</v>
      </c>
    </row>
    <row r="14" spans="1:22">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c r="U14" s="18" t="s">
        <v>603</v>
      </c>
      <c r="V14" s="20" t="s">
        <v>603</v>
      </c>
    </row>
    <row r="15" spans="1:22">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c r="U15" s="18" t="s">
        <v>603</v>
      </c>
      <c r="V15" s="20" t="s">
        <v>603</v>
      </c>
    </row>
    <row r="16" spans="1:22">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c r="U16" s="18" t="s">
        <v>603</v>
      </c>
      <c r="V16" s="20" t="s">
        <v>603</v>
      </c>
    </row>
    <row r="17" spans="1:22">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c r="U17" s="18" t="s">
        <v>603</v>
      </c>
      <c r="V17" s="20" t="s">
        <v>603</v>
      </c>
    </row>
    <row r="18" spans="1:22">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c r="U18" s="18" t="s">
        <v>603</v>
      </c>
      <c r="V18" s="20" t="s">
        <v>603</v>
      </c>
    </row>
    <row r="19" spans="1:22">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c r="U19" s="18" t="s">
        <v>603</v>
      </c>
      <c r="V19" s="20" t="s">
        <v>603</v>
      </c>
    </row>
    <row r="20" spans="1:22">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c r="U20" s="18" t="s">
        <v>603</v>
      </c>
      <c r="V20" s="20" t="s">
        <v>603</v>
      </c>
    </row>
    <row r="21" spans="1:22">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c r="U21" s="18" t="s">
        <v>603</v>
      </c>
      <c r="V21" s="20" t="s">
        <v>603</v>
      </c>
    </row>
    <row r="22" spans="1:22">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c r="U22" s="18" t="s">
        <v>603</v>
      </c>
      <c r="V22" s="20" t="s">
        <v>603</v>
      </c>
    </row>
    <row r="23" spans="1:22">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c r="U23" s="18" t="s">
        <v>603</v>
      </c>
      <c r="V23" s="20" t="s">
        <v>603</v>
      </c>
    </row>
    <row r="24" spans="1:22">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c r="U24" s="18" t="s">
        <v>603</v>
      </c>
      <c r="V24" s="20" t="s">
        <v>603</v>
      </c>
    </row>
    <row r="25" spans="1:22">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c r="U25" s="18" t="s">
        <v>603</v>
      </c>
      <c r="V25" s="20" t="s">
        <v>603</v>
      </c>
    </row>
    <row r="26" spans="1:22">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c r="U26" s="18" t="s">
        <v>603</v>
      </c>
      <c r="V26" s="20" t="s">
        <v>603</v>
      </c>
    </row>
    <row r="27" spans="1:22">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c r="U27" s="18" t="s">
        <v>603</v>
      </c>
      <c r="V27" s="20" t="s">
        <v>603</v>
      </c>
    </row>
    <row r="28" spans="1:22">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c r="U28" s="18" t="s">
        <v>603</v>
      </c>
      <c r="V28" s="20" t="s">
        <v>603</v>
      </c>
    </row>
    <row r="29" spans="1:22">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c r="U29" s="18" t="s">
        <v>603</v>
      </c>
      <c r="V29" s="20" t="s">
        <v>603</v>
      </c>
    </row>
    <row r="30" spans="1:22">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c r="U30" s="18" t="s">
        <v>603</v>
      </c>
      <c r="V30" s="20" t="s">
        <v>603</v>
      </c>
    </row>
    <row r="31" spans="1:22">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c r="U31" s="18" t="s">
        <v>603</v>
      </c>
      <c r="V31" s="20" t="s">
        <v>603</v>
      </c>
    </row>
    <row r="32" spans="1:22">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c r="U32" s="18" t="s">
        <v>603</v>
      </c>
      <c r="V32" s="20" t="s">
        <v>603</v>
      </c>
    </row>
    <row r="33" spans="1:22">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c r="U33" s="18" t="s">
        <v>603</v>
      </c>
      <c r="V33" s="20" t="s">
        <v>603</v>
      </c>
    </row>
    <row r="34" spans="1:22">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c r="U34" s="18" t="s">
        <v>603</v>
      </c>
      <c r="V34" s="20" t="s">
        <v>603</v>
      </c>
    </row>
    <row r="35" spans="1:22">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c r="U35" s="18" t="s">
        <v>603</v>
      </c>
      <c r="V35" s="20" t="s">
        <v>603</v>
      </c>
    </row>
    <row r="36" spans="1:22">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c r="U36" s="18" t="s">
        <v>603</v>
      </c>
      <c r="V36" s="20" t="s">
        <v>603</v>
      </c>
    </row>
    <row r="37" spans="1:22">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c r="U37" s="18" t="s">
        <v>603</v>
      </c>
      <c r="V37" s="20" t="s">
        <v>603</v>
      </c>
    </row>
    <row r="38" spans="1:22">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c r="U38" s="18" t="s">
        <v>603</v>
      </c>
      <c r="V38" s="20" t="s">
        <v>603</v>
      </c>
    </row>
    <row r="39" spans="1:22">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c r="U39" s="18" t="s">
        <v>603</v>
      </c>
      <c r="V39" s="20" t="s">
        <v>603</v>
      </c>
    </row>
    <row r="40" spans="1:22">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c r="U40" s="18" t="s">
        <v>603</v>
      </c>
      <c r="V40" s="20" t="s">
        <v>603</v>
      </c>
    </row>
    <row r="41" spans="1:22">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c r="U41" s="18" t="s">
        <v>603</v>
      </c>
      <c r="V41" s="20" t="s">
        <v>603</v>
      </c>
    </row>
    <row r="42" spans="1:22">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602</v>
      </c>
      <c r="B44" s="17" t="n">
        <v>2691</v>
      </c>
      <c r="C44" s="18">
        <f>(1794.0/B44*100)</f>
        <v/>
      </c>
      <c r="D44" s="19" t="n">
        <v>897</v>
      </c>
      <c r="E44" s="18" t="n">
        <v>55.16436841</v>
      </c>
      <c r="F44" s="20" t="n">
        <v>1.9822231</v>
      </c>
      <c r="G44" s="18" t="n">
        <v>0</v>
      </c>
      <c r="H44" s="20" t="n">
        <v>0</v>
      </c>
      <c r="I44" s="18" t="n">
        <v>17.38448182</v>
      </c>
      <c r="J44" s="20" t="n">
        <v>1.67451409</v>
      </c>
      <c r="K44" s="18" t="n">
        <v>2.46397214</v>
      </c>
      <c r="L44" s="20" t="n">
        <v>0.65390629</v>
      </c>
      <c r="M44" s="18" t="n">
        <v>0</v>
      </c>
      <c r="N44" s="20" t="n">
        <v>0</v>
      </c>
      <c r="O44" s="18" t="n">
        <v>0.83192778</v>
      </c>
      <c r="P44" s="20" t="n">
        <v>0.31075252</v>
      </c>
      <c r="Q44" s="18" t="n">
        <v>0</v>
      </c>
      <c r="R44" s="20" t="n">
        <v>0</v>
      </c>
      <c r="S44" s="18" t="n">
        <v>0</v>
      </c>
      <c r="T44" s="20" t="n">
        <v>0</v>
      </c>
      <c r="U44" s="18" t="n">
        <v>24.15524985</v>
      </c>
      <c r="V44" s="20" t="n">
        <v>1.7237563</v>
      </c>
    </row>
    <row r="45" spans="1:22">
      <c r="A45" s="15" t="s">
        <v>604</v>
      </c>
      <c r="B45" s="17" t="n">
        <v>2670</v>
      </c>
      <c r="C45" s="18">
        <f>(1785.0/B45*100)</f>
        <v/>
      </c>
      <c r="D45" s="19" t="n">
        <v>885</v>
      </c>
      <c r="E45" s="18" t="n">
        <v>49.80882759</v>
      </c>
      <c r="F45" s="20" t="n">
        <v>1.96591434</v>
      </c>
      <c r="G45" s="18" t="n">
        <v>0</v>
      </c>
      <c r="H45" s="20" t="n">
        <v>0</v>
      </c>
      <c r="I45" s="18" t="n">
        <v>7.48451541</v>
      </c>
      <c r="J45" s="20" t="n">
        <v>0.8775218</v>
      </c>
      <c r="K45" s="18" t="n">
        <v>12.84484674</v>
      </c>
      <c r="L45" s="20" t="n">
        <v>1.15441279</v>
      </c>
      <c r="M45" s="18" t="n">
        <v>0</v>
      </c>
      <c r="N45" s="20" t="n">
        <v>0</v>
      </c>
      <c r="O45" s="18" t="n">
        <v>5.11125204</v>
      </c>
      <c r="P45" s="20" t="n">
        <v>0.86532595</v>
      </c>
      <c r="Q45" s="18" t="n">
        <v>0.27056186</v>
      </c>
      <c r="R45" s="20" t="n">
        <v>0.17465535</v>
      </c>
      <c r="S45" s="18" t="n">
        <v>0.24454174</v>
      </c>
      <c r="T45" s="20" t="n">
        <v>0.1760667</v>
      </c>
      <c r="U45" s="18" t="n">
        <v>24.23545462</v>
      </c>
      <c r="V45" s="20" t="n">
        <v>1.6125871</v>
      </c>
    </row>
    <row r="46" spans="1:22">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c r="U46" s="18" t="s">
        <v>603</v>
      </c>
      <c r="V46" s="20" t="s">
        <v>603</v>
      </c>
    </row>
    <row r="47" spans="1:22">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c r="U47" s="18" t="s">
        <v>603</v>
      </c>
      <c r="V47" s="20" t="s">
        <v>603</v>
      </c>
    </row>
    <row r="48" spans="1:22">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c r="U48" s="18" t="s">
        <v>603</v>
      </c>
      <c r="V48" s="20" t="s">
        <v>603</v>
      </c>
    </row>
    <row r="49" spans="1:22">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c r="U49" s="18" t="s">
        <v>603</v>
      </c>
      <c r="V49" s="20" t="s">
        <v>603</v>
      </c>
    </row>
    <row r="50" spans="1:22">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c r="U50" s="18" t="s">
        <v>603</v>
      </c>
      <c r="V50" s="20" t="s">
        <v>603</v>
      </c>
    </row>
    <row r="51" spans="1:22">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c r="U51" s="18" t="s">
        <v>603</v>
      </c>
      <c r="V51" s="20" t="s">
        <v>603</v>
      </c>
    </row>
    <row r="52" spans="1:22">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c r="U52" s="18" t="s">
        <v>603</v>
      </c>
      <c r="V52" s="20" t="s">
        <v>603</v>
      </c>
    </row>
    <row r="53" spans="1:22">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c r="U53" s="18" t="s">
        <v>603</v>
      </c>
      <c r="V53" s="20" t="s">
        <v>603</v>
      </c>
    </row>
    <row r="54" spans="1:22">
      <c r="A54" s="15" t="s">
        <v>613</v>
      </c>
      <c r="B54" s="17" t="n">
        <v>2557</v>
      </c>
      <c r="C54" s="18">
        <f>(1685.0/B54*100)</f>
        <v/>
      </c>
      <c r="D54" s="19" t="n">
        <v>872</v>
      </c>
      <c r="E54" s="18" t="n">
        <v>48.3041929</v>
      </c>
      <c r="F54" s="20" t="n">
        <v>1.71977675</v>
      </c>
      <c r="G54" s="18" t="n">
        <v>0</v>
      </c>
      <c r="H54" s="20" t="n">
        <v>0</v>
      </c>
      <c r="I54" s="18" t="n">
        <v>21.77067026</v>
      </c>
      <c r="J54" s="20" t="n">
        <v>1.75755568</v>
      </c>
      <c r="K54" s="18" t="n">
        <v>4.27050399</v>
      </c>
      <c r="L54" s="20" t="n">
        <v>0.65966588</v>
      </c>
      <c r="M54" s="18" t="n">
        <v>0</v>
      </c>
      <c r="N54" s="20" t="n">
        <v>0</v>
      </c>
      <c r="O54" s="18" t="n">
        <v>2.08484219</v>
      </c>
      <c r="P54" s="20" t="n">
        <v>0.49830002</v>
      </c>
      <c r="Q54" s="18" t="n">
        <v>0</v>
      </c>
      <c r="R54" s="20" t="n">
        <v>0</v>
      </c>
      <c r="S54" s="18" t="n">
        <v>0.09859716</v>
      </c>
      <c r="T54" s="20" t="n">
        <v>0.10226268</v>
      </c>
      <c r="U54" s="18" t="n">
        <v>23.47119349</v>
      </c>
      <c r="V54" s="20" t="n">
        <v>1.59945154</v>
      </c>
    </row>
    <row r="55" spans="1:22">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c r="U55" s="18" t="s">
        <v>603</v>
      </c>
      <c r="V55" s="20" t="s">
        <v>603</v>
      </c>
    </row>
    <row r="56" spans="1:22">
      <c r="A56" s="15" t="s">
        <v>615</v>
      </c>
      <c r="B56" s="17" t="n">
        <v>3343</v>
      </c>
      <c r="C56" s="18">
        <f>(2241.0/B56*100)</f>
        <v/>
      </c>
      <c r="D56" s="19" t="n">
        <v>1102</v>
      </c>
      <c r="E56" s="18" t="n">
        <v>77.70722417</v>
      </c>
      <c r="F56" s="20" t="n">
        <v>1.46184955</v>
      </c>
      <c r="G56" s="18" t="n">
        <v>0</v>
      </c>
      <c r="H56" s="20" t="n">
        <v>0</v>
      </c>
      <c r="I56" s="18" t="n">
        <v>8.87701277</v>
      </c>
      <c r="J56" s="20" t="n">
        <v>0.90294279</v>
      </c>
      <c r="K56" s="18" t="n">
        <v>8.375636419999999</v>
      </c>
      <c r="L56" s="20" t="n">
        <v>0.9512814000000001</v>
      </c>
      <c r="M56" s="18" t="n">
        <v>0</v>
      </c>
      <c r="N56" s="20" t="n">
        <v>0</v>
      </c>
      <c r="O56" s="18" t="n">
        <v>1.25828654</v>
      </c>
      <c r="P56" s="20" t="n">
        <v>0.48774622</v>
      </c>
      <c r="Q56" s="18" t="n">
        <v>0</v>
      </c>
      <c r="R56" s="20" t="n">
        <v>0</v>
      </c>
      <c r="S56" s="18" t="n">
        <v>0</v>
      </c>
      <c r="T56" s="20" t="n">
        <v>0</v>
      </c>
      <c r="U56" s="18" t="n">
        <v>3.7818401</v>
      </c>
      <c r="V56" s="20" t="n">
        <v>0.58992261</v>
      </c>
    </row>
    <row r="57" spans="1:22">
      <c r="A57" s="15" t="s">
        <v>616</v>
      </c>
      <c r="B57" s="17" t="n">
        <v>3737</v>
      </c>
      <c r="C57" s="18">
        <f>(2496.0/B57*100)</f>
        <v/>
      </c>
      <c r="D57" s="19" t="n">
        <v>1241</v>
      </c>
      <c r="E57" s="18" t="n">
        <v>69.78896288999999</v>
      </c>
      <c r="F57" s="20" t="n">
        <v>1.67426899</v>
      </c>
      <c r="G57" s="18" t="n">
        <v>0</v>
      </c>
      <c r="H57" s="20" t="n">
        <v>0</v>
      </c>
      <c r="I57" s="18" t="n">
        <v>10.75855638</v>
      </c>
      <c r="J57" s="20" t="n">
        <v>0.98273082</v>
      </c>
      <c r="K57" s="18" t="n">
        <v>5.85580454</v>
      </c>
      <c r="L57" s="20" t="n">
        <v>0.89024631</v>
      </c>
      <c r="M57" s="18" t="n">
        <v>0</v>
      </c>
      <c r="N57" s="20" t="n">
        <v>0</v>
      </c>
      <c r="O57" s="18" t="n">
        <v>1.39109393</v>
      </c>
      <c r="P57" s="20" t="n">
        <v>0.40536794</v>
      </c>
      <c r="Q57" s="18" t="n">
        <v>0</v>
      </c>
      <c r="R57" s="20" t="n">
        <v>0</v>
      </c>
      <c r="S57" s="18" t="n">
        <v>0</v>
      </c>
      <c r="T57" s="20" t="n">
        <v>0</v>
      </c>
      <c r="U57" s="18" t="n">
        <v>12.20558225</v>
      </c>
      <c r="V57" s="20" t="n">
        <v>1.23556774</v>
      </c>
    </row>
    <row r="58" spans="1:22">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row>
    <row r="59" spans="1:22">
      <c r="A59" s="15" t="s">
        <v>619</v>
      </c>
      <c r="B59" s="17" t="n">
        <v>2278</v>
      </c>
      <c r="C59" s="18">
        <f>(1521.0/B59*100)</f>
        <v/>
      </c>
      <c r="D59" s="19" t="n">
        <v>757</v>
      </c>
      <c r="E59" s="18" t="n">
        <v>82.86297927</v>
      </c>
      <c r="F59" s="20" t="n">
        <v>1.54097964</v>
      </c>
      <c r="G59" s="18" t="n">
        <v>0</v>
      </c>
      <c r="H59" s="20" t="n">
        <v>0</v>
      </c>
      <c r="I59" s="18" t="n">
        <v>3.013328</v>
      </c>
      <c r="J59" s="20" t="n">
        <v>0.76552994</v>
      </c>
      <c r="K59" s="18" t="n">
        <v>0.58308037</v>
      </c>
      <c r="L59" s="20" t="n">
        <v>0.31294696</v>
      </c>
      <c r="M59" s="18" t="n">
        <v>0</v>
      </c>
      <c r="N59" s="20" t="n">
        <v>0</v>
      </c>
      <c r="O59" s="18" t="n">
        <v>0.43629064</v>
      </c>
      <c r="P59" s="20" t="n">
        <v>0.19744381</v>
      </c>
      <c r="Q59" s="18" t="n">
        <v>0.11172412</v>
      </c>
      <c r="R59" s="20" t="n">
        <v>0.07919669999999999</v>
      </c>
      <c r="S59" s="18" t="n">
        <v>0.31361906</v>
      </c>
      <c r="T59" s="20" t="n">
        <v>0.22322683</v>
      </c>
      <c r="U59" s="18" t="n">
        <v>12.67897854</v>
      </c>
      <c r="V59" s="20" t="n">
        <v>1.39347667</v>
      </c>
    </row>
    <row r="60" spans="1:22">
      <c r="A60" s="15" t="s">
        <v>620</v>
      </c>
      <c r="B60" s="17" t="n">
        <v>2451</v>
      </c>
      <c r="C60" s="18">
        <f>(1642.0/B60*100)</f>
        <v/>
      </c>
      <c r="D60" s="19" t="n">
        <v>809</v>
      </c>
      <c r="E60" s="18" t="n">
        <v>55.2932547</v>
      </c>
      <c r="F60" s="20" t="n">
        <v>2.14779568</v>
      </c>
      <c r="G60" s="18" t="n">
        <v>0</v>
      </c>
      <c r="H60" s="20" t="n">
        <v>0</v>
      </c>
      <c r="I60" s="18" t="n">
        <v>7.42327122</v>
      </c>
      <c r="J60" s="20" t="n">
        <v>1.0346434</v>
      </c>
      <c r="K60" s="18" t="n">
        <v>3.08299944</v>
      </c>
      <c r="L60" s="20" t="n">
        <v>0.6162434</v>
      </c>
      <c r="M60" s="18" t="n">
        <v>0</v>
      </c>
      <c r="N60" s="20" t="n">
        <v>0</v>
      </c>
      <c r="O60" s="18" t="n">
        <v>3.34888102</v>
      </c>
      <c r="P60" s="20" t="n">
        <v>0.6804650800000001</v>
      </c>
      <c r="Q60" s="18" t="n">
        <v>0</v>
      </c>
      <c r="R60" s="20" t="n">
        <v>0</v>
      </c>
      <c r="S60" s="18" t="n">
        <v>0</v>
      </c>
      <c r="T60" s="20" t="n">
        <v>0</v>
      </c>
      <c r="U60" s="18" t="n">
        <v>30.85159362</v>
      </c>
      <c r="V60" s="20" t="n">
        <v>2.24517492</v>
      </c>
    </row>
    <row r="61" spans="1:22">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c r="U61" s="18" t="s">
        <v>603</v>
      </c>
      <c r="V61" s="20" t="s">
        <v>603</v>
      </c>
    </row>
    <row r="62" spans="1:22">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c r="U62" s="18" t="s">
        <v>603</v>
      </c>
      <c r="V62" s="20" t="s">
        <v>603</v>
      </c>
    </row>
    <row r="63" spans="1:22">
      <c r="A63" s="15" t="s">
        <v>623</v>
      </c>
      <c r="B63" s="17" t="n">
        <v>2511</v>
      </c>
      <c r="C63" s="18">
        <f>(1695.0/B63*100)</f>
        <v/>
      </c>
      <c r="D63" s="19" t="n">
        <v>816</v>
      </c>
      <c r="E63" s="18" t="n">
        <v>47.02055321</v>
      </c>
      <c r="F63" s="20" t="n">
        <v>1.73491895</v>
      </c>
      <c r="G63" s="18" t="n">
        <v>0</v>
      </c>
      <c r="H63" s="20" t="n">
        <v>0</v>
      </c>
      <c r="I63" s="18" t="n">
        <v>10.92106581</v>
      </c>
      <c r="J63" s="20" t="n">
        <v>1.30770491</v>
      </c>
      <c r="K63" s="18" t="n">
        <v>4.73840724</v>
      </c>
      <c r="L63" s="20" t="n">
        <v>0.77233738</v>
      </c>
      <c r="M63" s="18" t="n">
        <v>0</v>
      </c>
      <c r="N63" s="20" t="n">
        <v>0</v>
      </c>
      <c r="O63" s="18" t="n">
        <v>2.53383654</v>
      </c>
      <c r="P63" s="20" t="n">
        <v>0.56521621</v>
      </c>
      <c r="Q63" s="18" t="n">
        <v>0</v>
      </c>
      <c r="R63" s="20" t="n">
        <v>0</v>
      </c>
      <c r="S63" s="18" t="n">
        <v>0</v>
      </c>
      <c r="T63" s="20" t="n">
        <v>0</v>
      </c>
      <c r="U63" s="18" t="n">
        <v>34.7861372</v>
      </c>
      <c r="V63" s="20" t="n">
        <v>1.82704868</v>
      </c>
    </row>
    <row r="64" spans="1:22">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row>
    <row r="65" spans="1:22">
      <c r="A65" s="15" t="s">
        <v>625</v>
      </c>
      <c r="B65" s="17" t="n">
        <v>1790</v>
      </c>
      <c r="C65" s="18">
        <f>(1198.0/B65*100)</f>
        <v/>
      </c>
      <c r="D65" s="19" t="n">
        <v>592</v>
      </c>
      <c r="E65" s="18" t="n">
        <v>41.85433634</v>
      </c>
      <c r="F65" s="20" t="n">
        <v>1.95728616</v>
      </c>
      <c r="G65" s="18" t="n">
        <v>0</v>
      </c>
      <c r="H65" s="20" t="n">
        <v>0</v>
      </c>
      <c r="I65" s="18" t="n">
        <v>32.72202572</v>
      </c>
      <c r="J65" s="20" t="n">
        <v>2.03795583</v>
      </c>
      <c r="K65" s="18" t="n">
        <v>5.99647102</v>
      </c>
      <c r="L65" s="20" t="n">
        <v>0.95041758</v>
      </c>
      <c r="M65" s="18" t="n">
        <v>0</v>
      </c>
      <c r="N65" s="20" t="n">
        <v>0</v>
      </c>
      <c r="O65" s="18" t="n">
        <v>0.7019957100000001</v>
      </c>
      <c r="P65" s="20" t="n">
        <v>0.36000963</v>
      </c>
      <c r="Q65" s="18" t="n">
        <v>0</v>
      </c>
      <c r="R65" s="20" t="n">
        <v>0</v>
      </c>
      <c r="S65" s="18" t="n">
        <v>0</v>
      </c>
      <c r="T65" s="20" t="n">
        <v>0</v>
      </c>
      <c r="U65" s="18" t="n">
        <v>18.7251712</v>
      </c>
      <c r="V65" s="20" t="n">
        <v>1.68014944</v>
      </c>
    </row>
    <row r="66" spans="1:22">
      <c r="A66" s="15" t="s">
        <v>626</v>
      </c>
      <c r="B66" s="17" t="n">
        <v>2634</v>
      </c>
      <c r="C66" s="18">
        <f>(1760.0/B66*100)</f>
        <v/>
      </c>
      <c r="D66" s="19" t="n">
        <v>874</v>
      </c>
      <c r="E66" s="18" t="n">
        <v>48.34389178</v>
      </c>
      <c r="F66" s="20" t="n">
        <v>1.76858199</v>
      </c>
      <c r="G66" s="18" t="n">
        <v>0</v>
      </c>
      <c r="H66" s="20" t="n">
        <v>0</v>
      </c>
      <c r="I66" s="18" t="n">
        <v>11.78286655</v>
      </c>
      <c r="J66" s="20" t="n">
        <v>1.20501806</v>
      </c>
      <c r="K66" s="18" t="n">
        <v>4.52979518</v>
      </c>
      <c r="L66" s="20" t="n">
        <v>0.88004191</v>
      </c>
      <c r="M66" s="18" t="n">
        <v>0</v>
      </c>
      <c r="N66" s="20" t="n">
        <v>0</v>
      </c>
      <c r="O66" s="18" t="n">
        <v>5.48469144</v>
      </c>
      <c r="P66" s="20" t="n">
        <v>0.8256521100000001</v>
      </c>
      <c r="Q66" s="18" t="n">
        <v>0</v>
      </c>
      <c r="R66" s="20" t="n">
        <v>0</v>
      </c>
      <c r="S66" s="18" t="n">
        <v>0</v>
      </c>
      <c r="T66" s="20" t="n">
        <v>0</v>
      </c>
      <c r="U66" s="18" t="n">
        <v>29.85875505</v>
      </c>
      <c r="V66" s="20" t="n">
        <v>1.54101397</v>
      </c>
    </row>
    <row r="67" spans="1:22">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c r="U67" s="18" t="s">
        <v>603</v>
      </c>
      <c r="V67" s="20" t="s">
        <v>603</v>
      </c>
    </row>
    <row r="68" spans="1:22">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c r="U68" s="18" t="s">
        <v>603</v>
      </c>
      <c r="V68" s="20" t="s">
        <v>603</v>
      </c>
    </row>
    <row r="69" spans="1:22">
      <c r="A69" s="15" t="s">
        <v>629</v>
      </c>
      <c r="B69" s="17" t="n">
        <v>720</v>
      </c>
      <c r="C69" s="18">
        <f>(478.0/B69*100)</f>
        <v/>
      </c>
      <c r="D69" s="19" t="n">
        <v>242</v>
      </c>
      <c r="E69" s="18" t="n">
        <v>80.64036333999999</v>
      </c>
      <c r="F69" s="20" t="n">
        <v>1.90669354</v>
      </c>
      <c r="G69" s="18" t="n">
        <v>0</v>
      </c>
      <c r="H69" s="20" t="n">
        <v>0</v>
      </c>
      <c r="I69" s="18" t="n">
        <v>4.53305905</v>
      </c>
      <c r="J69" s="20" t="n">
        <v>1.61974189</v>
      </c>
      <c r="K69" s="18" t="n">
        <v>6.44503007</v>
      </c>
      <c r="L69" s="20" t="n">
        <v>1.66383195</v>
      </c>
      <c r="M69" s="18" t="n">
        <v>0</v>
      </c>
      <c r="N69" s="20" t="n">
        <v>0</v>
      </c>
      <c r="O69" s="18" t="n">
        <v>0.63901625</v>
      </c>
      <c r="P69" s="20" t="n">
        <v>0.44720833</v>
      </c>
      <c r="Q69" s="18" t="n">
        <v>0</v>
      </c>
      <c r="R69" s="20" t="n">
        <v>0</v>
      </c>
      <c r="S69" s="18" t="n">
        <v>0</v>
      </c>
      <c r="T69" s="20" t="n">
        <v>0</v>
      </c>
      <c r="U69" s="18" t="n">
        <v>7.74253129</v>
      </c>
      <c r="V69" s="20" t="n">
        <v>1.70969535</v>
      </c>
    </row>
    <row r="70" spans="1:22">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c r="U70" s="18" t="s">
        <v>603</v>
      </c>
      <c r="V70" s="20" t="s">
        <v>603</v>
      </c>
    </row>
    <row r="71" spans="1:22">
      <c r="A71" s="15" t="s">
        <v>631</v>
      </c>
      <c r="B71" s="17" t="n">
        <v>2466</v>
      </c>
      <c r="C71" s="18">
        <f>(1654.0/B71*100)</f>
        <v/>
      </c>
      <c r="D71" s="19" t="n">
        <v>812</v>
      </c>
      <c r="E71" s="18" t="n">
        <v>74.90725181000001</v>
      </c>
      <c r="F71" s="20" t="n">
        <v>1.54874892</v>
      </c>
      <c r="G71" s="18" t="n">
        <v>0</v>
      </c>
      <c r="H71" s="20" t="n">
        <v>0</v>
      </c>
      <c r="I71" s="18" t="n">
        <v>13.91555349</v>
      </c>
      <c r="J71" s="20" t="n">
        <v>1.23110498</v>
      </c>
      <c r="K71" s="18" t="n">
        <v>10.72847047</v>
      </c>
      <c r="L71" s="20" t="n">
        <v>1.32073525</v>
      </c>
      <c r="M71" s="18" t="n">
        <v>0</v>
      </c>
      <c r="N71" s="20" t="n">
        <v>0</v>
      </c>
      <c r="O71" s="18" t="n">
        <v>0</v>
      </c>
      <c r="P71" s="20" t="n">
        <v>0</v>
      </c>
      <c r="Q71" s="18" t="n">
        <v>0</v>
      </c>
      <c r="R71" s="20" t="n">
        <v>0</v>
      </c>
      <c r="S71" s="18" t="n">
        <v>0</v>
      </c>
      <c r="T71" s="20" t="n">
        <v>0</v>
      </c>
      <c r="U71" s="18" t="n">
        <v>0.44872423</v>
      </c>
      <c r="V71" s="20" t="n">
        <v>0.27768869</v>
      </c>
    </row>
    <row r="72" spans="1:22">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c r="U72" s="18" t="s">
        <v>603</v>
      </c>
      <c r="V72" s="20" t="s">
        <v>603</v>
      </c>
    </row>
    <row r="73" spans="1:22">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c r="U73" s="18" t="s">
        <v>603</v>
      </c>
      <c r="V73" s="20" t="s">
        <v>603</v>
      </c>
    </row>
    <row r="74" spans="1:22">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c r="U74" s="18" t="s">
        <v>603</v>
      </c>
      <c r="V74" s="20" t="s">
        <v>603</v>
      </c>
    </row>
    <row r="75" spans="1:22">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c r="U75" s="18" t="s">
        <v>603</v>
      </c>
      <c r="V75" s="20" t="s">
        <v>603</v>
      </c>
    </row>
    <row r="76" spans="1:22">
      <c r="A76" s="15" t="s">
        <v>636</v>
      </c>
      <c r="B76" s="17" t="n">
        <v>2453</v>
      </c>
      <c r="C76" s="18">
        <f>(1625.0/B76*100)</f>
        <v/>
      </c>
      <c r="D76" s="19" t="n">
        <v>828</v>
      </c>
      <c r="E76" s="18" t="n">
        <v>55.66092648</v>
      </c>
      <c r="F76" s="20" t="n">
        <v>1.80173722</v>
      </c>
      <c r="G76" s="18" t="n">
        <v>0</v>
      </c>
      <c r="H76" s="20" t="n">
        <v>0</v>
      </c>
      <c r="I76" s="18" t="n">
        <v>14.24849099</v>
      </c>
      <c r="J76" s="20" t="n">
        <v>1.30060679</v>
      </c>
      <c r="K76" s="18" t="n">
        <v>5.0624217</v>
      </c>
      <c r="L76" s="20" t="n">
        <v>0.93341442</v>
      </c>
      <c r="M76" s="18" t="n">
        <v>0</v>
      </c>
      <c r="N76" s="20" t="n">
        <v>0</v>
      </c>
      <c r="O76" s="18" t="n">
        <v>2.75880326</v>
      </c>
      <c r="P76" s="20" t="n">
        <v>0.56972047</v>
      </c>
      <c r="Q76" s="18" t="n">
        <v>0</v>
      </c>
      <c r="R76" s="20" t="n">
        <v>0</v>
      </c>
      <c r="S76" s="18" t="n">
        <v>0</v>
      </c>
      <c r="T76" s="20" t="n">
        <v>0</v>
      </c>
      <c r="U76" s="18" t="n">
        <v>22.26935757</v>
      </c>
      <c r="V76" s="20" t="n">
        <v>1.39471642</v>
      </c>
    </row>
    <row r="77" spans="1:22">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c r="U77" s="18" t="s">
        <v>603</v>
      </c>
      <c r="V77" s="20" t="s">
        <v>603</v>
      </c>
    </row>
    <row r="78" spans="1:22">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c r="U78" s="18" t="s">
        <v>603</v>
      </c>
      <c r="V78" s="20" t="s">
        <v>603</v>
      </c>
    </row>
    <row r="79" spans="1:22">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c r="U79" s="18" t="s">
        <v>603</v>
      </c>
      <c r="V79" s="20" t="s">
        <v>603</v>
      </c>
    </row>
    <row r="80" spans="1:22">
      <c r="A80" s="15" t="s">
        <v>640</v>
      </c>
      <c r="B80" s="17" t="n">
        <v>3040</v>
      </c>
      <c r="C80" s="18">
        <f>(2027.0/B80*100)</f>
        <v/>
      </c>
      <c r="D80" s="19" t="n">
        <v>1013</v>
      </c>
      <c r="E80" s="18" t="n">
        <v>60.52636966</v>
      </c>
      <c r="F80" s="20" t="n">
        <v>1.82510845</v>
      </c>
      <c r="G80" s="18" t="n">
        <v>0</v>
      </c>
      <c r="H80" s="20" t="n">
        <v>0</v>
      </c>
      <c r="I80" s="18" t="n">
        <v>28.65606907</v>
      </c>
      <c r="J80" s="20" t="n">
        <v>1.53102774</v>
      </c>
      <c r="K80" s="18" t="n">
        <v>9.78236444</v>
      </c>
      <c r="L80" s="20" t="n">
        <v>0.90072529</v>
      </c>
      <c r="M80" s="18" t="n">
        <v>0</v>
      </c>
      <c r="N80" s="20" t="n">
        <v>0</v>
      </c>
      <c r="O80" s="18" t="n">
        <v>0</v>
      </c>
      <c r="P80" s="20" t="n">
        <v>0</v>
      </c>
      <c r="Q80" s="18" t="n">
        <v>0</v>
      </c>
      <c r="R80" s="20" t="n">
        <v>0</v>
      </c>
      <c r="S80" s="18" t="n">
        <v>0</v>
      </c>
      <c r="T80" s="20" t="n">
        <v>0</v>
      </c>
      <c r="U80" s="18" t="n">
        <v>1.03519683</v>
      </c>
      <c r="V80" s="20" t="n">
        <v>0.26583059</v>
      </c>
    </row>
    <row r="81" spans="1:22">
      <c r="A81" s="15" t="s">
        <v>641</v>
      </c>
      <c r="B81" s="17" t="n">
        <v>870</v>
      </c>
      <c r="C81" s="18">
        <f>(577.0/B81*100)</f>
        <v/>
      </c>
      <c r="D81" s="19" t="n">
        <v>293</v>
      </c>
      <c r="E81" s="18" t="n">
        <v>48.21654558</v>
      </c>
      <c r="F81" s="20" t="n">
        <v>2.67817701</v>
      </c>
      <c r="G81" s="18" t="n">
        <v>0</v>
      </c>
      <c r="H81" s="20" t="n">
        <v>0</v>
      </c>
      <c r="I81" s="18" t="n">
        <v>11.15712942</v>
      </c>
      <c r="J81" s="20" t="n">
        <v>1.77597901</v>
      </c>
      <c r="K81" s="18" t="n">
        <v>9.017733079999999</v>
      </c>
      <c r="L81" s="20" t="n">
        <v>1.73610373</v>
      </c>
      <c r="M81" s="18" t="n">
        <v>0</v>
      </c>
      <c r="N81" s="20" t="n">
        <v>0</v>
      </c>
      <c r="O81" s="18" t="n">
        <v>3.30078563</v>
      </c>
      <c r="P81" s="20" t="n">
        <v>1.17831896</v>
      </c>
      <c r="Q81" s="18" t="n">
        <v>0</v>
      </c>
      <c r="R81" s="20" t="n">
        <v>0</v>
      </c>
      <c r="S81" s="18" t="n">
        <v>0</v>
      </c>
      <c r="T81" s="20" t="n">
        <v>0</v>
      </c>
      <c r="U81" s="18" t="n">
        <v>28.3078063</v>
      </c>
      <c r="V81" s="20" t="n">
        <v>2.1513689</v>
      </c>
    </row>
    <row r="82" spans="1:22">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c r="U82" s="18" t="s">
        <v>603</v>
      </c>
      <c r="V82" s="20" t="s">
        <v>603</v>
      </c>
    </row>
    <row r="83" spans="1:22">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c r="U83" s="18" t="s">
        <v>603</v>
      </c>
      <c r="V83" s="20" t="s">
        <v>603</v>
      </c>
    </row>
    <row r="84" spans="1:22">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c r="U84" s="18" t="s">
        <v>603</v>
      </c>
      <c r="V84" s="20" t="s">
        <v>603</v>
      </c>
    </row>
    <row r="86" spans="1:22">
      <c r="A86" s="3" t="s">
        <v>645</v>
      </c>
    </row>
    <row r="87" spans="1:22">
      <c r="A87" s="26" t="s">
        <v>646</v>
      </c>
    </row>
    <row r="88" spans="1:22">
      <c r="A88" s="26" t="s">
        <v>647</v>
      </c>
    </row>
    <row customHeight="1" ht="30" r="89" spans="1:22">
      <c r="A89" s="26" t="s">
        <v>648</v>
      </c>
    </row>
    <row customHeight="1" ht="30" r="90" spans="1:22">
      <c r="A90" s="26" t="s">
        <v>649</v>
      </c>
    </row>
    <row customHeight="1" ht="30" r="91" spans="1:22">
      <c r="A91" s="26" t="s">
        <v>650</v>
      </c>
    </row>
    <row customHeight="1" ht="30" r="92" spans="1:22">
      <c r="A92" s="26" t="s">
        <v>651</v>
      </c>
    </row>
    <row customHeight="1" ht="30" r="93" spans="1:22">
      <c r="A93" s="26" t="s">
        <v>652</v>
      </c>
    </row>
    <row customHeight="1" ht="30" r="94" spans="1:22">
      <c r="A94" s="26" t="s">
        <v>653</v>
      </c>
    </row>
  </sheetData>
  <mergeCells count="19">
    <mergeCell ref="E4:F4"/>
    <mergeCell ref="G4:H4"/>
    <mergeCell ref="I4:J4"/>
    <mergeCell ref="K4:L4"/>
    <mergeCell ref="M4:N4"/>
    <mergeCell ref="O4:P4"/>
    <mergeCell ref="Q4:R4"/>
    <mergeCell ref="S4:T4"/>
    <mergeCell ref="U4:V4"/>
    <mergeCell ref="A1:V1"/>
    <mergeCell ref="A2:V2"/>
    <mergeCell ref="A87:V87"/>
    <mergeCell ref="A88:V88"/>
    <mergeCell ref="A89:V89"/>
    <mergeCell ref="A90:V90"/>
    <mergeCell ref="A91:V91"/>
    <mergeCell ref="A92:V92"/>
    <mergeCell ref="A93:V93"/>
    <mergeCell ref="A94:V94"/>
  </mergeCells>
  <pageMargins bottom="1" footer="0.5" header="0.5" left="0.75" right="0.75" top="1"/>
</worksheet>
</file>

<file path=xl/worksheets/sheet2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(1794.0/B44*100)</f>
        <v/>
      </c>
      <c r="D44" s="19" t="n">
        <v>897</v>
      </c>
      <c r="E44" s="18" t="n">
        <v>39.59245314</v>
      </c>
      <c r="F44" s="20" t="n">
        <v>2.03356188</v>
      </c>
      <c r="G44" s="18" t="n">
        <v>55.27469685</v>
      </c>
      <c r="H44" s="20" t="n">
        <v>2.26577174</v>
      </c>
      <c r="I44" s="18" t="n">
        <v>0</v>
      </c>
      <c r="J44" s="20" t="n">
        <v>0</v>
      </c>
      <c r="K44" s="18" t="n">
        <v>0.93459349</v>
      </c>
      <c r="L44" s="20" t="n">
        <v>0.32874112</v>
      </c>
      <c r="M44" s="18" t="n">
        <v>0</v>
      </c>
      <c r="N44" s="20" t="n">
        <v>0</v>
      </c>
      <c r="O44" s="18" t="n">
        <v>1.270657</v>
      </c>
      <c r="P44" s="20" t="n">
        <v>0.4477519</v>
      </c>
      <c r="Q44" s="18" t="n">
        <v>2.92759952</v>
      </c>
      <c r="R44" s="20" t="n">
        <v>0.6339402</v>
      </c>
    </row>
    <row r="45" spans="1:18">
      <c r="A45" s="15" t="s">
        <v>604</v>
      </c>
      <c r="B45" s="17" t="n">
        <v>2670</v>
      </c>
      <c r="C45" s="18">
        <f>(1785.0/B45*100)</f>
        <v/>
      </c>
      <c r="D45" s="19" t="n">
        <v>885</v>
      </c>
      <c r="E45" s="18" t="n">
        <v>37.87669756</v>
      </c>
      <c r="F45" s="20" t="n">
        <v>2.0587473</v>
      </c>
      <c r="G45" s="18" t="n">
        <v>49.36608953</v>
      </c>
      <c r="H45" s="20" t="n">
        <v>2.18674553</v>
      </c>
      <c r="I45" s="18" t="n">
        <v>0</v>
      </c>
      <c r="J45" s="20" t="n">
        <v>0</v>
      </c>
      <c r="K45" s="18" t="n">
        <v>5.26479503</v>
      </c>
      <c r="L45" s="20" t="n">
        <v>0.86873679</v>
      </c>
      <c r="M45" s="18" t="n">
        <v>0.46681491</v>
      </c>
      <c r="N45" s="20" t="n">
        <v>0.20915189</v>
      </c>
      <c r="O45" s="18" t="n">
        <v>4.27355386</v>
      </c>
      <c r="P45" s="20" t="n">
        <v>0.75877638</v>
      </c>
      <c r="Q45" s="18" t="n">
        <v>2.75204911</v>
      </c>
      <c r="R45" s="20" t="n">
        <v>0.60796214</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(1685.0/B54*100)</f>
        <v/>
      </c>
      <c r="D54" s="19" t="n">
        <v>872</v>
      </c>
      <c r="E54" s="18" t="n">
        <v>38.75605434</v>
      </c>
      <c r="F54" s="20" t="n">
        <v>1.74412777</v>
      </c>
      <c r="G54" s="18" t="n">
        <v>57.85743218</v>
      </c>
      <c r="H54" s="20" t="n">
        <v>1.72206726</v>
      </c>
      <c r="I54" s="18" t="n">
        <v>0</v>
      </c>
      <c r="J54" s="20" t="n">
        <v>0</v>
      </c>
      <c r="K54" s="18" t="n">
        <v>2.08484219</v>
      </c>
      <c r="L54" s="20" t="n">
        <v>0.49830002</v>
      </c>
      <c r="M54" s="18" t="n">
        <v>0</v>
      </c>
      <c r="N54" s="20" t="n">
        <v>0</v>
      </c>
      <c r="O54" s="18" t="n">
        <v>0.21329742</v>
      </c>
      <c r="P54" s="20" t="n">
        <v>0.14253545</v>
      </c>
      <c r="Q54" s="18" t="n">
        <v>1.08837387</v>
      </c>
      <c r="R54" s="20" t="n">
        <v>0.41554036</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(2241.0/B56*100)</f>
        <v/>
      </c>
      <c r="D56" s="19" t="n">
        <v>1102</v>
      </c>
      <c r="E56" s="18" t="n">
        <v>55.86814752</v>
      </c>
      <c r="F56" s="20" t="n">
        <v>1.70973812</v>
      </c>
      <c r="G56" s="18" t="n">
        <v>41.85966286</v>
      </c>
      <c r="H56" s="20" t="n">
        <v>1.65935834</v>
      </c>
      <c r="I56" s="18" t="n">
        <v>0</v>
      </c>
      <c r="J56" s="20" t="n">
        <v>0</v>
      </c>
      <c r="K56" s="18" t="n">
        <v>1.38969362</v>
      </c>
      <c r="L56" s="20" t="n">
        <v>0.50046935</v>
      </c>
      <c r="M56" s="18" t="n">
        <v>0</v>
      </c>
      <c r="N56" s="20" t="n">
        <v>0</v>
      </c>
      <c r="O56" s="18" t="n">
        <v>0.07880197</v>
      </c>
      <c r="P56" s="20" t="n">
        <v>0.07854636</v>
      </c>
      <c r="Q56" s="18" t="n">
        <v>0.8036940299999999</v>
      </c>
      <c r="R56" s="20" t="n">
        <v>0.28995359</v>
      </c>
    </row>
    <row r="57" spans="1:18">
      <c r="A57" s="15" t="s">
        <v>616</v>
      </c>
      <c r="B57" s="17" t="n">
        <v>3737</v>
      </c>
      <c r="C57" s="18">
        <f>(2496.0/B57*100)</f>
        <v/>
      </c>
      <c r="D57" s="19" t="n">
        <v>1241</v>
      </c>
      <c r="E57" s="18" t="n">
        <v>24.84520065</v>
      </c>
      <c r="F57" s="20" t="n">
        <v>1.71585516</v>
      </c>
      <c r="G57" s="18" t="n">
        <v>72.67561087</v>
      </c>
      <c r="H57" s="20" t="n">
        <v>1.65208391</v>
      </c>
      <c r="I57" s="18" t="n">
        <v>0</v>
      </c>
      <c r="J57" s="20" t="n">
        <v>0</v>
      </c>
      <c r="K57" s="18" t="n">
        <v>1.39109393</v>
      </c>
      <c r="L57" s="20" t="n">
        <v>0.40536794</v>
      </c>
      <c r="M57" s="18" t="n">
        <v>0</v>
      </c>
      <c r="N57" s="20" t="n">
        <v>0</v>
      </c>
      <c r="O57" s="18" t="n">
        <v>0.26748281</v>
      </c>
      <c r="P57" s="20" t="n">
        <v>0.17649587</v>
      </c>
      <c r="Q57" s="18" t="n">
        <v>0.82061173</v>
      </c>
      <c r="R57" s="20" t="n">
        <v>0.24791155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(1521.0/B59*100)</f>
        <v/>
      </c>
      <c r="D59" s="19" t="n">
        <v>757</v>
      </c>
      <c r="E59" s="18" t="n">
        <v>56.33021265</v>
      </c>
      <c r="F59" s="20" t="n">
        <v>2.09859715</v>
      </c>
      <c r="G59" s="18" t="n">
        <v>40.05366045</v>
      </c>
      <c r="H59" s="20" t="n">
        <v>1.94630821</v>
      </c>
      <c r="I59" s="18" t="n">
        <v>0</v>
      </c>
      <c r="J59" s="20" t="n">
        <v>0</v>
      </c>
      <c r="K59" s="18" t="n">
        <v>0.43629064</v>
      </c>
      <c r="L59" s="20" t="n">
        <v>0.19744381</v>
      </c>
      <c r="M59" s="18" t="n">
        <v>0.05796326</v>
      </c>
      <c r="N59" s="20" t="n">
        <v>0.05805055</v>
      </c>
      <c r="O59" s="18" t="n">
        <v>2.1858731</v>
      </c>
      <c r="P59" s="20" t="n">
        <v>0.66273503</v>
      </c>
      <c r="Q59" s="18" t="n">
        <v>0.9359998899999999</v>
      </c>
      <c r="R59" s="20" t="n">
        <v>0.35338749</v>
      </c>
    </row>
    <row r="60" spans="1:18">
      <c r="A60" s="15" t="s">
        <v>620</v>
      </c>
      <c r="B60" s="17" t="n">
        <v>2451</v>
      </c>
      <c r="C60" s="18">
        <f>(1642.0/B60*100)</f>
        <v/>
      </c>
      <c r="D60" s="19" t="n">
        <v>809</v>
      </c>
      <c r="E60" s="18" t="n">
        <v>17.05209662</v>
      </c>
      <c r="F60" s="20" t="n">
        <v>1.82894011</v>
      </c>
      <c r="G60" s="18" t="n">
        <v>75.23652924</v>
      </c>
      <c r="H60" s="20" t="n">
        <v>1.8478227</v>
      </c>
      <c r="I60" s="18" t="n">
        <v>0</v>
      </c>
      <c r="J60" s="20" t="n">
        <v>0</v>
      </c>
      <c r="K60" s="18" t="n">
        <v>3.5315428</v>
      </c>
      <c r="L60" s="20" t="n">
        <v>0.70075067</v>
      </c>
      <c r="M60" s="18" t="n">
        <v>0</v>
      </c>
      <c r="N60" s="20" t="n">
        <v>0</v>
      </c>
      <c r="O60" s="18" t="n">
        <v>2.01774267</v>
      </c>
      <c r="P60" s="20" t="n">
        <v>0.44694418</v>
      </c>
      <c r="Q60" s="18" t="n">
        <v>2.16208866</v>
      </c>
      <c r="R60" s="20" t="n">
        <v>0.5925275800000001</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(1695.0/B63*100)</f>
        <v/>
      </c>
      <c r="D63" s="19" t="n">
        <v>816</v>
      </c>
      <c r="E63" s="18" t="n">
        <v>69.6565524</v>
      </c>
      <c r="F63" s="20" t="n">
        <v>1.71650979</v>
      </c>
      <c r="G63" s="18" t="n">
        <v>22.69743549</v>
      </c>
      <c r="H63" s="20" t="n">
        <v>1.59805386</v>
      </c>
      <c r="I63" s="18" t="n">
        <v>0</v>
      </c>
      <c r="J63" s="20" t="n">
        <v>0</v>
      </c>
      <c r="K63" s="18" t="n">
        <v>2.53383654</v>
      </c>
      <c r="L63" s="20" t="n">
        <v>0.56521621</v>
      </c>
      <c r="M63" s="18" t="n">
        <v>0</v>
      </c>
      <c r="N63" s="20" t="n">
        <v>0</v>
      </c>
      <c r="O63" s="18" t="n">
        <v>0.37726582</v>
      </c>
      <c r="P63" s="20" t="n">
        <v>0.18600597</v>
      </c>
      <c r="Q63" s="18" t="n">
        <v>4.73490975</v>
      </c>
      <c r="R63" s="20" t="n">
        <v>0.91112128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(1198.0/B65*100)</f>
        <v/>
      </c>
      <c r="D65" s="19" t="n">
        <v>592</v>
      </c>
      <c r="E65" s="18" t="n">
        <v>36.58299571</v>
      </c>
      <c r="F65" s="20" t="n">
        <v>2.11707134</v>
      </c>
      <c r="G65" s="18" t="n">
        <v>61.19074942</v>
      </c>
      <c r="H65" s="20" t="n">
        <v>2.2057606</v>
      </c>
      <c r="I65" s="18" t="n">
        <v>0</v>
      </c>
      <c r="J65" s="20" t="n">
        <v>0</v>
      </c>
      <c r="K65" s="18" t="n">
        <v>0.7019957100000001</v>
      </c>
      <c r="L65" s="20" t="n">
        <v>0.36000963</v>
      </c>
      <c r="M65" s="18" t="n">
        <v>0</v>
      </c>
      <c r="N65" s="20" t="n">
        <v>0</v>
      </c>
      <c r="O65" s="18" t="n">
        <v>0.37926206</v>
      </c>
      <c r="P65" s="20" t="n">
        <v>0.26659776</v>
      </c>
      <c r="Q65" s="18" t="n">
        <v>1.1449971</v>
      </c>
      <c r="R65" s="20" t="n">
        <v>0.4535191</v>
      </c>
    </row>
    <row r="66" spans="1:18">
      <c r="A66" s="15" t="s">
        <v>626</v>
      </c>
      <c r="B66" s="17" t="n">
        <v>2634</v>
      </c>
      <c r="C66" s="18">
        <f>(1760.0/B66*100)</f>
        <v/>
      </c>
      <c r="D66" s="19" t="n">
        <v>874</v>
      </c>
      <c r="E66" s="18" t="n">
        <v>40.66951222</v>
      </c>
      <c r="F66" s="20" t="n">
        <v>1.61701941</v>
      </c>
      <c r="G66" s="18" t="n">
        <v>50.07239148</v>
      </c>
      <c r="H66" s="20" t="n">
        <v>1.75900896</v>
      </c>
      <c r="I66" s="18" t="n">
        <v>0</v>
      </c>
      <c r="J66" s="20" t="n">
        <v>0</v>
      </c>
      <c r="K66" s="18" t="n">
        <v>5.48469144</v>
      </c>
      <c r="L66" s="20" t="n">
        <v>0.8256521100000001</v>
      </c>
      <c r="M66" s="18" t="n">
        <v>1.2999247</v>
      </c>
      <c r="N66" s="20" t="n">
        <v>0.29609343</v>
      </c>
      <c r="O66" s="18" t="n">
        <v>0</v>
      </c>
      <c r="P66" s="20" t="n">
        <v>0</v>
      </c>
      <c r="Q66" s="18" t="n">
        <v>2.47348017</v>
      </c>
      <c r="R66" s="20" t="n">
        <v>0.51345436</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(478.0/B69*100)</f>
        <v/>
      </c>
      <c r="D69" s="19" t="n">
        <v>242</v>
      </c>
      <c r="E69" s="18" t="n">
        <v>63.58538605</v>
      </c>
      <c r="F69" s="20" t="n">
        <v>4.22654201</v>
      </c>
      <c r="G69" s="18" t="n">
        <v>34.18575143</v>
      </c>
      <c r="H69" s="20" t="n">
        <v>3.88537265</v>
      </c>
      <c r="I69" s="18" t="n">
        <v>0</v>
      </c>
      <c r="J69" s="20" t="n">
        <v>0</v>
      </c>
      <c r="K69" s="18" t="n">
        <v>0.63901625</v>
      </c>
      <c r="L69" s="20" t="n">
        <v>0.44720833</v>
      </c>
      <c r="M69" s="18" t="n">
        <v>0</v>
      </c>
      <c r="N69" s="20" t="n">
        <v>0</v>
      </c>
      <c r="O69" s="18" t="n">
        <v>0</v>
      </c>
      <c r="P69" s="20" t="n">
        <v>0</v>
      </c>
      <c r="Q69" s="18" t="n">
        <v>1.58984627</v>
      </c>
      <c r="R69" s="20" t="n">
        <v>0.88223942</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(1654.0/B71*100)</f>
        <v/>
      </c>
      <c r="D71" s="19" t="n">
        <v>812</v>
      </c>
      <c r="E71" s="18" t="n">
        <v>48.45184702</v>
      </c>
      <c r="F71" s="20" t="n">
        <v>1.84628162</v>
      </c>
      <c r="G71" s="18" t="n">
        <v>51.42622493</v>
      </c>
      <c r="H71" s="20" t="n">
        <v>1.8444761</v>
      </c>
      <c r="I71" s="18" t="n">
        <v>0</v>
      </c>
      <c r="J71" s="20" t="n">
        <v>0</v>
      </c>
      <c r="K71" s="18" t="n">
        <v>0</v>
      </c>
      <c r="L71" s="20" t="n">
        <v>0</v>
      </c>
      <c r="M71" s="18" t="n">
        <v>0</v>
      </c>
      <c r="N71" s="20" t="n">
        <v>0</v>
      </c>
      <c r="O71" s="18" t="n">
        <v>0</v>
      </c>
      <c r="P71" s="20" t="n">
        <v>0</v>
      </c>
      <c r="Q71" s="18" t="n">
        <v>0.12192805</v>
      </c>
      <c r="R71" s="20" t="n">
        <v>0.12109474</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(1625.0/B76*100)</f>
        <v/>
      </c>
      <c r="D76" s="19" t="n">
        <v>828</v>
      </c>
      <c r="E76" s="18" t="n">
        <v>48.97015896</v>
      </c>
      <c r="F76" s="20" t="n">
        <v>2.0600442</v>
      </c>
      <c r="G76" s="18" t="n">
        <v>45.51519433</v>
      </c>
      <c r="H76" s="20" t="n">
        <v>1.99240074</v>
      </c>
      <c r="I76" s="18" t="n">
        <v>0</v>
      </c>
      <c r="J76" s="20" t="n">
        <v>0</v>
      </c>
      <c r="K76" s="18" t="n">
        <v>3.01751197</v>
      </c>
      <c r="L76" s="20" t="n">
        <v>0.58663857</v>
      </c>
      <c r="M76" s="18" t="n">
        <v>0</v>
      </c>
      <c r="N76" s="20" t="n">
        <v>0</v>
      </c>
      <c r="O76" s="18" t="n">
        <v>0</v>
      </c>
      <c r="P76" s="20" t="n">
        <v>0</v>
      </c>
      <c r="Q76" s="18" t="n">
        <v>2.49713474</v>
      </c>
      <c r="R76" s="20" t="n">
        <v>0.6926126500000001</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(2027.0/B80*100)</f>
        <v/>
      </c>
      <c r="D80" s="19" t="n">
        <v>1013</v>
      </c>
      <c r="E80" s="18" t="n">
        <v>5.37157895</v>
      </c>
      <c r="F80" s="20" t="n">
        <v>0.8958205299999999</v>
      </c>
      <c r="G80" s="18" t="n">
        <v>94.62842105</v>
      </c>
      <c r="H80" s="20" t="n">
        <v>0.8958205299999999</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(577.0/B81*100)</f>
        <v/>
      </c>
      <c r="D81" s="19" t="n">
        <v>293</v>
      </c>
      <c r="E81" s="18" t="n">
        <v>38.80827657</v>
      </c>
      <c r="F81" s="20" t="n">
        <v>2.17830205</v>
      </c>
      <c r="G81" s="18" t="n">
        <v>54.88210823</v>
      </c>
      <c r="H81" s="20" t="n">
        <v>2.76500215</v>
      </c>
      <c r="I81" s="18" t="n">
        <v>0</v>
      </c>
      <c r="J81" s="20" t="n">
        <v>0</v>
      </c>
      <c r="K81" s="18" t="n">
        <v>3.30078563</v>
      </c>
      <c r="L81" s="20" t="n">
        <v>1.17831896</v>
      </c>
      <c r="M81" s="18" t="n">
        <v>0.15639252</v>
      </c>
      <c r="N81" s="20" t="n">
        <v>0.15861089</v>
      </c>
      <c r="O81" s="18" t="n">
        <v>1.49727621</v>
      </c>
      <c r="P81" s="20" t="n">
        <v>0.85012374</v>
      </c>
      <c r="Q81" s="18" t="n">
        <v>1.35516085</v>
      </c>
      <c r="R81" s="20" t="n">
        <v>0.71068416</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(1794.0/B44*100)</f>
        <v/>
      </c>
      <c r="D44" s="19" t="n">
        <v>897</v>
      </c>
      <c r="E44" s="18" t="n">
        <v>47.0666009</v>
      </c>
      <c r="F44" s="20" t="n">
        <v>2.05984969</v>
      </c>
      <c r="G44" s="18" t="n">
        <v>46.46117353</v>
      </c>
      <c r="H44" s="20" t="n">
        <v>2.0537879</v>
      </c>
      <c r="I44" s="18" t="n">
        <v>0</v>
      </c>
      <c r="J44" s="20" t="n">
        <v>0</v>
      </c>
      <c r="K44" s="18" t="n">
        <v>1.10455327</v>
      </c>
      <c r="L44" s="20" t="n">
        <v>0.33311385</v>
      </c>
      <c r="M44" s="18" t="n">
        <v>0</v>
      </c>
      <c r="N44" s="20" t="n">
        <v>0</v>
      </c>
      <c r="O44" s="18" t="n">
        <v>3.90155106</v>
      </c>
      <c r="P44" s="20" t="n">
        <v>0.70452267</v>
      </c>
      <c r="Q44" s="18" t="n">
        <v>1.46612124</v>
      </c>
      <c r="R44" s="20" t="n">
        <v>0.42145023</v>
      </c>
    </row>
    <row r="45" spans="1:18">
      <c r="A45" s="15" t="s">
        <v>604</v>
      </c>
      <c r="B45" s="17" t="n">
        <v>2670</v>
      </c>
      <c r="C45" s="18">
        <f>(1785.0/B45*100)</f>
        <v/>
      </c>
      <c r="D45" s="19" t="n">
        <v>885</v>
      </c>
      <c r="E45" s="18" t="n">
        <v>62.58290892</v>
      </c>
      <c r="F45" s="20" t="n">
        <v>1.65564695</v>
      </c>
      <c r="G45" s="18" t="n">
        <v>21.58131595</v>
      </c>
      <c r="H45" s="20" t="n">
        <v>1.3523947</v>
      </c>
      <c r="I45" s="18" t="n">
        <v>0</v>
      </c>
      <c r="J45" s="20" t="n">
        <v>0</v>
      </c>
      <c r="K45" s="18" t="n">
        <v>5.36926075</v>
      </c>
      <c r="L45" s="20" t="n">
        <v>0.87461994</v>
      </c>
      <c r="M45" s="18" t="n">
        <v>0.35246246</v>
      </c>
      <c r="N45" s="20" t="n">
        <v>0.1489172</v>
      </c>
      <c r="O45" s="18" t="n">
        <v>6.84525918</v>
      </c>
      <c r="P45" s="20" t="n">
        <v>0.9010037400000001</v>
      </c>
      <c r="Q45" s="18" t="n">
        <v>3.26879274</v>
      </c>
      <c r="R45" s="20" t="n">
        <v>0.6350463200000001</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(1685.0/B54*100)</f>
        <v/>
      </c>
      <c r="D54" s="19" t="n">
        <v>872</v>
      </c>
      <c r="E54" s="18" t="n">
        <v>58.93003657</v>
      </c>
      <c r="F54" s="20" t="n">
        <v>1.52745483</v>
      </c>
      <c r="G54" s="18" t="n">
        <v>38.08538075</v>
      </c>
      <c r="H54" s="20" t="n">
        <v>1.55864688</v>
      </c>
      <c r="I54" s="18" t="n">
        <v>0</v>
      </c>
      <c r="J54" s="20" t="n">
        <v>0</v>
      </c>
      <c r="K54" s="18" t="n">
        <v>2.08484219</v>
      </c>
      <c r="L54" s="20" t="n">
        <v>0.49830002</v>
      </c>
      <c r="M54" s="18" t="n">
        <v>0</v>
      </c>
      <c r="N54" s="20" t="n">
        <v>0</v>
      </c>
      <c r="O54" s="18" t="n">
        <v>0.4839812</v>
      </c>
      <c r="P54" s="20" t="n">
        <v>0.24165501</v>
      </c>
      <c r="Q54" s="18" t="n">
        <v>0.41575928</v>
      </c>
      <c r="R54" s="20" t="n">
        <v>0.20363281</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(2241.0/B56*100)</f>
        <v/>
      </c>
      <c r="D56" s="19" t="n">
        <v>1102</v>
      </c>
      <c r="E56" s="18" t="n">
        <v>66.10965829</v>
      </c>
      <c r="F56" s="20" t="n">
        <v>1.70534618</v>
      </c>
      <c r="G56" s="18" t="n">
        <v>32.04283027</v>
      </c>
      <c r="H56" s="20" t="n">
        <v>1.65629999</v>
      </c>
      <c r="I56" s="18" t="n">
        <v>0</v>
      </c>
      <c r="J56" s="20" t="n">
        <v>0</v>
      </c>
      <c r="K56" s="18" t="n">
        <v>1.45061885</v>
      </c>
      <c r="L56" s="20" t="n">
        <v>0.50748252</v>
      </c>
      <c r="M56" s="18" t="n">
        <v>0</v>
      </c>
      <c r="N56" s="20" t="n">
        <v>0</v>
      </c>
      <c r="O56" s="18" t="n">
        <v>0</v>
      </c>
      <c r="P56" s="20" t="n">
        <v>0</v>
      </c>
      <c r="Q56" s="18" t="n">
        <v>0.39689258</v>
      </c>
      <c r="R56" s="20" t="n">
        <v>0.17531327</v>
      </c>
    </row>
    <row r="57" spans="1:18">
      <c r="A57" s="15" t="s">
        <v>616</v>
      </c>
      <c r="B57" s="17" t="n">
        <v>3737</v>
      </c>
      <c r="C57" s="18">
        <f>(2496.0/B57*100)</f>
        <v/>
      </c>
      <c r="D57" s="19" t="n">
        <v>1241</v>
      </c>
      <c r="E57" s="18" t="n">
        <v>56.03845132</v>
      </c>
      <c r="F57" s="20" t="n">
        <v>1.54772718</v>
      </c>
      <c r="G57" s="18" t="n">
        <v>40.66624838</v>
      </c>
      <c r="H57" s="20" t="n">
        <v>1.39124467</v>
      </c>
      <c r="I57" s="18" t="n">
        <v>0</v>
      </c>
      <c r="J57" s="20" t="n">
        <v>0</v>
      </c>
      <c r="K57" s="18" t="n">
        <v>1.62202671</v>
      </c>
      <c r="L57" s="20" t="n">
        <v>0.43802131</v>
      </c>
      <c r="M57" s="18" t="n">
        <v>0</v>
      </c>
      <c r="N57" s="20" t="n">
        <v>0</v>
      </c>
      <c r="O57" s="18" t="n">
        <v>0.32755893</v>
      </c>
      <c r="P57" s="20" t="n">
        <v>0.19284527</v>
      </c>
      <c r="Q57" s="18" t="n">
        <v>1.34571466</v>
      </c>
      <c r="R57" s="20" t="n">
        <v>0.41458699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(1521.0/B59*100)</f>
        <v/>
      </c>
      <c r="D59" s="19" t="n">
        <v>757</v>
      </c>
      <c r="E59" s="18" t="n">
        <v>58.10332302</v>
      </c>
      <c r="F59" s="20" t="n">
        <v>2.28882858</v>
      </c>
      <c r="G59" s="18" t="n">
        <v>34.04909711</v>
      </c>
      <c r="H59" s="20" t="n">
        <v>1.94829617</v>
      </c>
      <c r="I59" s="18" t="n">
        <v>0</v>
      </c>
      <c r="J59" s="20" t="n">
        <v>0</v>
      </c>
      <c r="K59" s="18" t="n">
        <v>0.61679755</v>
      </c>
      <c r="L59" s="20" t="n">
        <v>0.24119557</v>
      </c>
      <c r="M59" s="18" t="n">
        <v>0</v>
      </c>
      <c r="N59" s="20" t="n">
        <v>0</v>
      </c>
      <c r="O59" s="18" t="n">
        <v>5.44685268</v>
      </c>
      <c r="P59" s="20" t="n">
        <v>0.99082444</v>
      </c>
      <c r="Q59" s="18" t="n">
        <v>1.78392963</v>
      </c>
      <c r="R59" s="20" t="n">
        <v>0.73273092</v>
      </c>
    </row>
    <row r="60" spans="1:18">
      <c r="A60" s="15" t="s">
        <v>620</v>
      </c>
      <c r="B60" s="17" t="n">
        <v>2451</v>
      </c>
      <c r="C60" s="18">
        <f>(1642.0/B60*100)</f>
        <v/>
      </c>
      <c r="D60" s="19" t="n">
        <v>809</v>
      </c>
      <c r="E60" s="18" t="n">
        <v>50.76910742</v>
      </c>
      <c r="F60" s="20" t="n">
        <v>2.2767128</v>
      </c>
      <c r="G60" s="18" t="n">
        <v>35.22828112</v>
      </c>
      <c r="H60" s="20" t="n">
        <v>2.30331163</v>
      </c>
      <c r="I60" s="18" t="n">
        <v>0</v>
      </c>
      <c r="J60" s="20" t="n">
        <v>0</v>
      </c>
      <c r="K60" s="18" t="n">
        <v>3.83914829</v>
      </c>
      <c r="L60" s="20" t="n">
        <v>0.6870680300000001</v>
      </c>
      <c r="M60" s="18" t="n">
        <v>0</v>
      </c>
      <c r="N60" s="20" t="n">
        <v>0</v>
      </c>
      <c r="O60" s="18" t="n">
        <v>6.46740505</v>
      </c>
      <c r="P60" s="20" t="n">
        <v>1.00659558</v>
      </c>
      <c r="Q60" s="18" t="n">
        <v>3.69605812</v>
      </c>
      <c r="R60" s="20" t="n">
        <v>0.93008848</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(1695.0/B63*100)</f>
        <v/>
      </c>
      <c r="D63" s="19" t="n">
        <v>816</v>
      </c>
      <c r="E63" s="18" t="n">
        <v>64.88667479</v>
      </c>
      <c r="F63" s="20" t="n">
        <v>1.9406048</v>
      </c>
      <c r="G63" s="18" t="n">
        <v>27.76244501</v>
      </c>
      <c r="H63" s="20" t="n">
        <v>1.66626921</v>
      </c>
      <c r="I63" s="18" t="n">
        <v>0</v>
      </c>
      <c r="J63" s="20" t="n">
        <v>0</v>
      </c>
      <c r="K63" s="18" t="n">
        <v>3.23791787</v>
      </c>
      <c r="L63" s="20" t="n">
        <v>0.65259579</v>
      </c>
      <c r="M63" s="18" t="n">
        <v>0</v>
      </c>
      <c r="N63" s="20" t="n">
        <v>0</v>
      </c>
      <c r="O63" s="18" t="n">
        <v>1.01896702</v>
      </c>
      <c r="P63" s="20" t="n">
        <v>0.40370441</v>
      </c>
      <c r="Q63" s="18" t="n">
        <v>3.09399531</v>
      </c>
      <c r="R63" s="20" t="n">
        <v>0.70036687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(1198.0/B65*100)</f>
        <v/>
      </c>
      <c r="D65" s="19" t="n">
        <v>592</v>
      </c>
      <c r="E65" s="18" t="n">
        <v>58.1415023</v>
      </c>
      <c r="F65" s="20" t="n">
        <v>1.88621105</v>
      </c>
      <c r="G65" s="18" t="n">
        <v>38.94282836</v>
      </c>
      <c r="H65" s="20" t="n">
        <v>1.7701415</v>
      </c>
      <c r="I65" s="18" t="n">
        <v>0</v>
      </c>
      <c r="J65" s="20" t="n">
        <v>0</v>
      </c>
      <c r="K65" s="18" t="n">
        <v>1.0728436</v>
      </c>
      <c r="L65" s="20" t="n">
        <v>0.44896868</v>
      </c>
      <c r="M65" s="18" t="n">
        <v>0</v>
      </c>
      <c r="N65" s="20" t="n">
        <v>0</v>
      </c>
      <c r="O65" s="18" t="n">
        <v>0.30041925</v>
      </c>
      <c r="P65" s="20" t="n">
        <v>0.21374581</v>
      </c>
      <c r="Q65" s="18" t="n">
        <v>1.54240649</v>
      </c>
      <c r="R65" s="20" t="n">
        <v>0.55129397</v>
      </c>
    </row>
    <row r="66" spans="1:18">
      <c r="A66" s="15" t="s">
        <v>626</v>
      </c>
      <c r="B66" s="17" t="n">
        <v>2634</v>
      </c>
      <c r="C66" s="18">
        <f>(1760.0/B66*100)</f>
        <v/>
      </c>
      <c r="D66" s="19" t="n">
        <v>874</v>
      </c>
      <c r="E66" s="18" t="n">
        <v>59.1498494</v>
      </c>
      <c r="F66" s="20" t="n">
        <v>1.71186063</v>
      </c>
      <c r="G66" s="18" t="n">
        <v>30.79826965</v>
      </c>
      <c r="H66" s="20" t="n">
        <v>1.631675</v>
      </c>
      <c r="I66" s="18" t="n">
        <v>0</v>
      </c>
      <c r="J66" s="20" t="n">
        <v>0</v>
      </c>
      <c r="K66" s="18" t="n">
        <v>5.58436977</v>
      </c>
      <c r="L66" s="20" t="n">
        <v>0.8322237099999999</v>
      </c>
      <c r="M66" s="18" t="n">
        <v>2.03273113</v>
      </c>
      <c r="N66" s="20" t="n">
        <v>0.43198293</v>
      </c>
      <c r="O66" s="18" t="n">
        <v>0</v>
      </c>
      <c r="P66" s="20" t="n">
        <v>0</v>
      </c>
      <c r="Q66" s="18" t="n">
        <v>2.43478005</v>
      </c>
      <c r="R66" s="20" t="n">
        <v>0.52024654</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(478.0/B69*100)</f>
        <v/>
      </c>
      <c r="D69" s="19" t="n">
        <v>242</v>
      </c>
      <c r="E69" s="18" t="n">
        <v>59.08067588</v>
      </c>
      <c r="F69" s="20" t="n">
        <v>3.17810207</v>
      </c>
      <c r="G69" s="18" t="n">
        <v>38.35620429</v>
      </c>
      <c r="H69" s="20" t="n">
        <v>2.96323154</v>
      </c>
      <c r="I69" s="18" t="n">
        <v>0</v>
      </c>
      <c r="J69" s="20" t="n">
        <v>0</v>
      </c>
      <c r="K69" s="18" t="n">
        <v>1.03944456</v>
      </c>
      <c r="L69" s="20" t="n">
        <v>0.61652702</v>
      </c>
      <c r="M69" s="18" t="n">
        <v>0</v>
      </c>
      <c r="N69" s="20" t="n">
        <v>0</v>
      </c>
      <c r="O69" s="18" t="n">
        <v>0</v>
      </c>
      <c r="P69" s="20" t="n">
        <v>0</v>
      </c>
      <c r="Q69" s="18" t="n">
        <v>1.52367527</v>
      </c>
      <c r="R69" s="20" t="n">
        <v>0.9803007</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(1654.0/B71*100)</f>
        <v/>
      </c>
      <c r="D71" s="19" t="n">
        <v>812</v>
      </c>
      <c r="E71" s="18" t="n">
        <v>62.29858654</v>
      </c>
      <c r="F71" s="20" t="n">
        <v>1.67882888</v>
      </c>
      <c r="G71" s="18" t="n">
        <v>37.70141346</v>
      </c>
      <c r="H71" s="20" t="n">
        <v>1.67882888</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(1625.0/B76*100)</f>
        <v/>
      </c>
      <c r="D76" s="19" t="n">
        <v>828</v>
      </c>
      <c r="E76" s="18" t="n">
        <v>42.72352506</v>
      </c>
      <c r="F76" s="20" t="n">
        <v>1.91504123</v>
      </c>
      <c r="G76" s="18" t="n">
        <v>51.77440386</v>
      </c>
      <c r="H76" s="20" t="n">
        <v>1.92988918</v>
      </c>
      <c r="I76" s="18" t="n">
        <v>0</v>
      </c>
      <c r="J76" s="20" t="n">
        <v>0</v>
      </c>
      <c r="K76" s="18" t="n">
        <v>3.46845875</v>
      </c>
      <c r="L76" s="20" t="n">
        <v>0.63175176</v>
      </c>
      <c r="M76" s="18" t="n">
        <v>0</v>
      </c>
      <c r="N76" s="20" t="n">
        <v>0</v>
      </c>
      <c r="O76" s="18" t="n">
        <v>0</v>
      </c>
      <c r="P76" s="20" t="n">
        <v>0</v>
      </c>
      <c r="Q76" s="18" t="n">
        <v>2.03361232</v>
      </c>
      <c r="R76" s="20" t="n">
        <v>0.55836421</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(2027.0/B80*100)</f>
        <v/>
      </c>
      <c r="D80" s="19" t="n">
        <v>1013</v>
      </c>
      <c r="E80" s="18" t="n">
        <v>31.86702661</v>
      </c>
      <c r="F80" s="20" t="n">
        <v>1.57488881</v>
      </c>
      <c r="G80" s="18" t="n">
        <v>68.13297339</v>
      </c>
      <c r="H80" s="20" t="n">
        <v>1.57488881</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(577.0/B81*100)</f>
        <v/>
      </c>
      <c r="D81" s="19" t="n">
        <v>293</v>
      </c>
      <c r="E81" s="18" t="n">
        <v>54.98216541</v>
      </c>
      <c r="F81" s="20" t="n">
        <v>3.67778616</v>
      </c>
      <c r="G81" s="18" t="n">
        <v>37.66679304</v>
      </c>
      <c r="H81" s="20" t="n">
        <v>3.7982532</v>
      </c>
      <c r="I81" s="18" t="n">
        <v>0</v>
      </c>
      <c r="J81" s="20" t="n">
        <v>0</v>
      </c>
      <c r="K81" s="18" t="n">
        <v>3.30078563</v>
      </c>
      <c r="L81" s="20" t="n">
        <v>1.17831896</v>
      </c>
      <c r="M81" s="18" t="n">
        <v>0.43245987</v>
      </c>
      <c r="N81" s="20" t="n">
        <v>0.39930463</v>
      </c>
      <c r="O81" s="18" t="n">
        <v>2.2388093</v>
      </c>
      <c r="P81" s="20" t="n">
        <v>0.94348584</v>
      </c>
      <c r="Q81" s="18" t="n">
        <v>1.37898675</v>
      </c>
      <c r="R81" s="20" t="n">
        <v>0.73349252</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(1794.0/B44*100)</f>
        <v/>
      </c>
      <c r="D44" s="19" t="n">
        <v>897</v>
      </c>
      <c r="E44" s="18" t="n">
        <v>60.62859609</v>
      </c>
      <c r="F44" s="20" t="n">
        <v>2.06237138</v>
      </c>
      <c r="G44" s="18" t="n">
        <v>31.75956091</v>
      </c>
      <c r="H44" s="20" t="n">
        <v>2.07450758</v>
      </c>
      <c r="I44" s="18" t="n">
        <v>0</v>
      </c>
      <c r="J44" s="20" t="n">
        <v>0</v>
      </c>
      <c r="K44" s="18" t="n">
        <v>1.2044511</v>
      </c>
      <c r="L44" s="20" t="n">
        <v>0.34483834</v>
      </c>
      <c r="M44" s="18" t="n">
        <v>0</v>
      </c>
      <c r="N44" s="20" t="n">
        <v>0</v>
      </c>
      <c r="O44" s="18" t="n">
        <v>2.35068348</v>
      </c>
      <c r="P44" s="20" t="n">
        <v>0.63001486</v>
      </c>
      <c r="Q44" s="18" t="n">
        <v>4.05670841</v>
      </c>
      <c r="R44" s="20" t="n">
        <v>0.67956637</v>
      </c>
    </row>
    <row r="45" spans="1:18">
      <c r="A45" s="15" t="s">
        <v>604</v>
      </c>
      <c r="B45" s="17" t="n">
        <v>2670</v>
      </c>
      <c r="C45" s="18">
        <f>(1785.0/B45*100)</f>
        <v/>
      </c>
      <c r="D45" s="19" t="n">
        <v>885</v>
      </c>
      <c r="E45" s="18" t="n">
        <v>46.31516964</v>
      </c>
      <c r="F45" s="20" t="n">
        <v>1.55903696</v>
      </c>
      <c r="G45" s="18" t="n">
        <v>39.48798246</v>
      </c>
      <c r="H45" s="20" t="n">
        <v>1.59202027</v>
      </c>
      <c r="I45" s="18" t="n">
        <v>0</v>
      </c>
      <c r="J45" s="20" t="n">
        <v>0</v>
      </c>
      <c r="K45" s="18" t="n">
        <v>5.7392811</v>
      </c>
      <c r="L45" s="20" t="n">
        <v>0.88927327</v>
      </c>
      <c r="M45" s="18" t="n">
        <v>0.35246246</v>
      </c>
      <c r="N45" s="20" t="n">
        <v>0.1489172</v>
      </c>
      <c r="O45" s="18" t="n">
        <v>4.124312</v>
      </c>
      <c r="P45" s="20" t="n">
        <v>0.70227846</v>
      </c>
      <c r="Q45" s="18" t="n">
        <v>3.98079234</v>
      </c>
      <c r="R45" s="20" t="n">
        <v>0.74776015</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(1685.0/B54*100)</f>
        <v/>
      </c>
      <c r="D54" s="19" t="n">
        <v>872</v>
      </c>
      <c r="E54" s="18" t="n">
        <v>60.04698407</v>
      </c>
      <c r="F54" s="20" t="n">
        <v>1.91159873</v>
      </c>
      <c r="G54" s="18" t="n">
        <v>34.83609426</v>
      </c>
      <c r="H54" s="20" t="n">
        <v>1.88268396</v>
      </c>
      <c r="I54" s="18" t="n">
        <v>0</v>
      </c>
      <c r="J54" s="20" t="n">
        <v>0</v>
      </c>
      <c r="K54" s="18" t="n">
        <v>2.50070882</v>
      </c>
      <c r="L54" s="20" t="n">
        <v>0.5033487</v>
      </c>
      <c r="M54" s="18" t="n">
        <v>0</v>
      </c>
      <c r="N54" s="20" t="n">
        <v>0</v>
      </c>
      <c r="O54" s="18" t="n">
        <v>0.7242727799999999</v>
      </c>
      <c r="P54" s="20" t="n">
        <v>0.29661778</v>
      </c>
      <c r="Q54" s="18" t="n">
        <v>1.89194007</v>
      </c>
      <c r="R54" s="20" t="n">
        <v>0.4303694</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(2241.0/B56*100)</f>
        <v/>
      </c>
      <c r="D56" s="19" t="n">
        <v>1102</v>
      </c>
      <c r="E56" s="18" t="n">
        <v>67.93942278</v>
      </c>
      <c r="F56" s="20" t="n">
        <v>1.53983065</v>
      </c>
      <c r="G56" s="18" t="n">
        <v>29.54076278</v>
      </c>
      <c r="H56" s="20" t="n">
        <v>1.46041553</v>
      </c>
      <c r="I56" s="18" t="n">
        <v>0</v>
      </c>
      <c r="J56" s="20" t="n">
        <v>0</v>
      </c>
      <c r="K56" s="18" t="n">
        <v>1.76354342</v>
      </c>
      <c r="L56" s="20" t="n">
        <v>0.47726494</v>
      </c>
      <c r="M56" s="18" t="n">
        <v>0</v>
      </c>
      <c r="N56" s="20" t="n">
        <v>0</v>
      </c>
      <c r="O56" s="18" t="n">
        <v>0</v>
      </c>
      <c r="P56" s="20" t="n">
        <v>0</v>
      </c>
      <c r="Q56" s="18" t="n">
        <v>0.75627101</v>
      </c>
      <c r="R56" s="20" t="n">
        <v>0.26066628</v>
      </c>
    </row>
    <row r="57" spans="1:18">
      <c r="A57" s="15" t="s">
        <v>616</v>
      </c>
      <c r="B57" s="17" t="n">
        <v>3737</v>
      </c>
      <c r="C57" s="18">
        <f>(2496.0/B57*100)</f>
        <v/>
      </c>
      <c r="D57" s="19" t="n">
        <v>1241</v>
      </c>
      <c r="E57" s="18" t="n">
        <v>62.99316598</v>
      </c>
      <c r="F57" s="20" t="n">
        <v>1.95482514</v>
      </c>
      <c r="G57" s="18" t="n">
        <v>33.59284808</v>
      </c>
      <c r="H57" s="20" t="n">
        <v>1.73945388</v>
      </c>
      <c r="I57" s="18" t="n">
        <v>0</v>
      </c>
      <c r="J57" s="20" t="n">
        <v>0</v>
      </c>
      <c r="K57" s="18" t="n">
        <v>1.73265564</v>
      </c>
      <c r="L57" s="20" t="n">
        <v>0.45092662</v>
      </c>
      <c r="M57" s="18" t="n">
        <v>0</v>
      </c>
      <c r="N57" s="20" t="n">
        <v>0</v>
      </c>
      <c r="O57" s="18" t="n">
        <v>0.13636437</v>
      </c>
      <c r="P57" s="20" t="n">
        <v>0.13702575</v>
      </c>
      <c r="Q57" s="18" t="n">
        <v>1.54496593</v>
      </c>
      <c r="R57" s="20" t="n">
        <v>0.45555795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(1521.0/B59*100)</f>
        <v/>
      </c>
      <c r="D59" s="19" t="n">
        <v>757</v>
      </c>
      <c r="E59" s="18" t="n">
        <v>75.07867113</v>
      </c>
      <c r="F59" s="20" t="n">
        <v>1.8869746</v>
      </c>
      <c r="G59" s="18" t="n">
        <v>18.78753147</v>
      </c>
      <c r="H59" s="20" t="n">
        <v>1.49500742</v>
      </c>
      <c r="I59" s="18" t="n">
        <v>0</v>
      </c>
      <c r="J59" s="20" t="n">
        <v>0</v>
      </c>
      <c r="K59" s="18" t="n">
        <v>0.61679755</v>
      </c>
      <c r="L59" s="20" t="n">
        <v>0.24119557</v>
      </c>
      <c r="M59" s="18" t="n">
        <v>0</v>
      </c>
      <c r="N59" s="20" t="n">
        <v>0</v>
      </c>
      <c r="O59" s="18" t="n">
        <v>3.66424821</v>
      </c>
      <c r="P59" s="20" t="n">
        <v>0.86633381</v>
      </c>
      <c r="Q59" s="18" t="n">
        <v>1.85275164</v>
      </c>
      <c r="R59" s="20" t="n">
        <v>0.6224652899999999</v>
      </c>
    </row>
    <row r="60" spans="1:18">
      <c r="A60" s="15" t="s">
        <v>620</v>
      </c>
      <c r="B60" s="17" t="n">
        <v>2451</v>
      </c>
      <c r="C60" s="18">
        <f>(1642.0/B60*100)</f>
        <v/>
      </c>
      <c r="D60" s="19" t="n">
        <v>809</v>
      </c>
      <c r="E60" s="18" t="n">
        <v>45.30585974</v>
      </c>
      <c r="F60" s="20" t="n">
        <v>1.7537207</v>
      </c>
      <c r="G60" s="18" t="n">
        <v>40.94200816</v>
      </c>
      <c r="H60" s="20" t="n">
        <v>2.07746472</v>
      </c>
      <c r="I60" s="18" t="n">
        <v>0</v>
      </c>
      <c r="J60" s="20" t="n">
        <v>0</v>
      </c>
      <c r="K60" s="18" t="n">
        <v>4.46999345</v>
      </c>
      <c r="L60" s="20" t="n">
        <v>0.7131305999999999</v>
      </c>
      <c r="M60" s="18" t="n">
        <v>0</v>
      </c>
      <c r="N60" s="20" t="n">
        <v>0</v>
      </c>
      <c r="O60" s="18" t="n">
        <v>5.62427262</v>
      </c>
      <c r="P60" s="20" t="n">
        <v>1.1689369</v>
      </c>
      <c r="Q60" s="18" t="n">
        <v>3.65786603</v>
      </c>
      <c r="R60" s="20" t="n">
        <v>0.65112594</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(1695.0/B63*100)</f>
        <v/>
      </c>
      <c r="D63" s="19" t="n">
        <v>816</v>
      </c>
      <c r="E63" s="18" t="n">
        <v>60.08370463</v>
      </c>
      <c r="F63" s="20" t="n">
        <v>1.60106214</v>
      </c>
      <c r="G63" s="18" t="n">
        <v>28.63866381</v>
      </c>
      <c r="H63" s="20" t="n">
        <v>1.69864322</v>
      </c>
      <c r="I63" s="18" t="n">
        <v>0</v>
      </c>
      <c r="J63" s="20" t="n">
        <v>0</v>
      </c>
      <c r="K63" s="18" t="n">
        <v>3.95956483</v>
      </c>
      <c r="L63" s="20" t="n">
        <v>0.68376461</v>
      </c>
      <c r="M63" s="18" t="n">
        <v>0</v>
      </c>
      <c r="N63" s="20" t="n">
        <v>0</v>
      </c>
      <c r="O63" s="18" t="n">
        <v>1.80216883</v>
      </c>
      <c r="P63" s="20" t="n">
        <v>0.53979796</v>
      </c>
      <c r="Q63" s="18" t="n">
        <v>5.5158979</v>
      </c>
      <c r="R63" s="20" t="n">
        <v>0.86158325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(1198.0/B65*100)</f>
        <v/>
      </c>
      <c r="D65" s="19" t="n">
        <v>592</v>
      </c>
      <c r="E65" s="18" t="n">
        <v>57.86583397</v>
      </c>
      <c r="F65" s="20" t="n">
        <v>2.02114311</v>
      </c>
      <c r="G65" s="18" t="n">
        <v>39.10028534</v>
      </c>
      <c r="H65" s="20" t="n">
        <v>2.16460696</v>
      </c>
      <c r="I65" s="18" t="n">
        <v>0</v>
      </c>
      <c r="J65" s="20" t="n">
        <v>0</v>
      </c>
      <c r="K65" s="18" t="n">
        <v>1.0728436</v>
      </c>
      <c r="L65" s="20" t="n">
        <v>0.44896868</v>
      </c>
      <c r="M65" s="18" t="n">
        <v>0</v>
      </c>
      <c r="N65" s="20" t="n">
        <v>0</v>
      </c>
      <c r="O65" s="18" t="n">
        <v>0.14290367</v>
      </c>
      <c r="P65" s="20" t="n">
        <v>0.14353218</v>
      </c>
      <c r="Q65" s="18" t="n">
        <v>1.81813341</v>
      </c>
      <c r="R65" s="20" t="n">
        <v>0.60683858</v>
      </c>
    </row>
    <row r="66" spans="1:18">
      <c r="A66" s="15" t="s">
        <v>626</v>
      </c>
      <c r="B66" s="17" t="n">
        <v>2634</v>
      </c>
      <c r="C66" s="18">
        <f>(1760.0/B66*100)</f>
        <v/>
      </c>
      <c r="D66" s="19" t="n">
        <v>874</v>
      </c>
      <c r="E66" s="18" t="n">
        <v>56.17791567</v>
      </c>
      <c r="F66" s="20" t="n">
        <v>1.52541948</v>
      </c>
      <c r="G66" s="18" t="n">
        <v>31.28809015</v>
      </c>
      <c r="H66" s="20" t="n">
        <v>1.63680414</v>
      </c>
      <c r="I66" s="18" t="n">
        <v>0</v>
      </c>
      <c r="J66" s="20" t="n">
        <v>0</v>
      </c>
      <c r="K66" s="18" t="n">
        <v>6.28892363</v>
      </c>
      <c r="L66" s="20" t="n">
        <v>0.86084968</v>
      </c>
      <c r="M66" s="18" t="n">
        <v>1.53963716</v>
      </c>
      <c r="N66" s="20" t="n">
        <v>0.42233716</v>
      </c>
      <c r="O66" s="18" t="n">
        <v>0</v>
      </c>
      <c r="P66" s="20" t="n">
        <v>0</v>
      </c>
      <c r="Q66" s="18" t="n">
        <v>4.70543339</v>
      </c>
      <c r="R66" s="20" t="n">
        <v>0.73983953</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(478.0/B69*100)</f>
        <v/>
      </c>
      <c r="D69" s="19" t="n">
        <v>242</v>
      </c>
      <c r="E69" s="18" t="n">
        <v>78.54057856</v>
      </c>
      <c r="F69" s="20" t="n">
        <v>2.862465</v>
      </c>
      <c r="G69" s="18" t="n">
        <v>18.46088483</v>
      </c>
      <c r="H69" s="20" t="n">
        <v>2.93822847</v>
      </c>
      <c r="I69" s="18" t="n">
        <v>0</v>
      </c>
      <c r="J69" s="20" t="n">
        <v>0</v>
      </c>
      <c r="K69" s="18" t="n">
        <v>1.03944456</v>
      </c>
      <c r="L69" s="20" t="n">
        <v>0.61652702</v>
      </c>
      <c r="M69" s="18" t="n">
        <v>0</v>
      </c>
      <c r="N69" s="20" t="n">
        <v>0</v>
      </c>
      <c r="O69" s="18" t="n">
        <v>0.31374935</v>
      </c>
      <c r="P69" s="20" t="n">
        <v>0.31695989</v>
      </c>
      <c r="Q69" s="18" t="n">
        <v>1.64534269</v>
      </c>
      <c r="R69" s="20" t="n">
        <v>1.02066614</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(1654.0/B71*100)</f>
        <v/>
      </c>
      <c r="D71" s="19" t="n">
        <v>812</v>
      </c>
      <c r="E71" s="18" t="n">
        <v>67.56550805000001</v>
      </c>
      <c r="F71" s="20" t="n">
        <v>1.87626937</v>
      </c>
      <c r="G71" s="18" t="n">
        <v>32.3622516</v>
      </c>
      <c r="H71" s="20" t="n">
        <v>1.87085593</v>
      </c>
      <c r="I71" s="18" t="n">
        <v>0</v>
      </c>
      <c r="J71" s="20" t="n">
        <v>0</v>
      </c>
      <c r="K71" s="18" t="n">
        <v>0</v>
      </c>
      <c r="L71" s="20" t="n">
        <v>0</v>
      </c>
      <c r="M71" s="18" t="n">
        <v>0</v>
      </c>
      <c r="N71" s="20" t="n">
        <v>0</v>
      </c>
      <c r="O71" s="18" t="n">
        <v>0</v>
      </c>
      <c r="P71" s="20" t="n">
        <v>0</v>
      </c>
      <c r="Q71" s="18" t="n">
        <v>0.07224034</v>
      </c>
      <c r="R71" s="20" t="n">
        <v>0.07241849</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(1625.0/B76*100)</f>
        <v/>
      </c>
      <c r="D76" s="19" t="n">
        <v>828</v>
      </c>
      <c r="E76" s="18" t="n">
        <v>54.37901516</v>
      </c>
      <c r="F76" s="20" t="n">
        <v>1.97587415</v>
      </c>
      <c r="G76" s="18" t="n">
        <v>38.49925995</v>
      </c>
      <c r="H76" s="20" t="n">
        <v>1.88204575</v>
      </c>
      <c r="I76" s="18" t="n">
        <v>0</v>
      </c>
      <c r="J76" s="20" t="n">
        <v>0</v>
      </c>
      <c r="K76" s="18" t="n">
        <v>3.7288771</v>
      </c>
      <c r="L76" s="20" t="n">
        <v>0.66189471</v>
      </c>
      <c r="M76" s="18" t="n">
        <v>0</v>
      </c>
      <c r="N76" s="20" t="n">
        <v>0</v>
      </c>
      <c r="O76" s="18" t="n">
        <v>0</v>
      </c>
      <c r="P76" s="20" t="n">
        <v>0</v>
      </c>
      <c r="Q76" s="18" t="n">
        <v>3.3928478</v>
      </c>
      <c r="R76" s="20" t="n">
        <v>0.70238699</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(2027.0/B80*100)</f>
        <v/>
      </c>
      <c r="D80" s="19" t="n">
        <v>1013</v>
      </c>
      <c r="E80" s="18" t="n">
        <v>1.56901133</v>
      </c>
      <c r="F80" s="20" t="n">
        <v>0.50653232</v>
      </c>
      <c r="G80" s="18" t="n">
        <v>98.43098867</v>
      </c>
      <c r="H80" s="20" t="n">
        <v>0.50653232</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(577.0/B81*100)</f>
        <v/>
      </c>
      <c r="D81" s="19" t="n">
        <v>293</v>
      </c>
      <c r="E81" s="18" t="n">
        <v>51.60737517</v>
      </c>
      <c r="F81" s="20" t="n">
        <v>2.88570855</v>
      </c>
      <c r="G81" s="18" t="n">
        <v>40.88728873</v>
      </c>
      <c r="H81" s="20" t="n">
        <v>3.22681987</v>
      </c>
      <c r="I81" s="18" t="n">
        <v>0</v>
      </c>
      <c r="J81" s="20" t="n">
        <v>0</v>
      </c>
      <c r="K81" s="18" t="n">
        <v>4.4492626</v>
      </c>
      <c r="L81" s="20" t="n">
        <v>1.45142791</v>
      </c>
      <c r="M81" s="18" t="n">
        <v>0</v>
      </c>
      <c r="N81" s="20" t="n">
        <v>0</v>
      </c>
      <c r="O81" s="18" t="n">
        <v>0.91686851</v>
      </c>
      <c r="P81" s="20" t="n">
        <v>0.55707799</v>
      </c>
      <c r="Q81" s="18" t="n">
        <v>2.13920498</v>
      </c>
      <c r="R81" s="20" t="n">
        <v>0.68598795</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(1794.0/B44*100)</f>
        <v/>
      </c>
      <c r="D44" s="19" t="n">
        <v>897</v>
      </c>
      <c r="E44" s="18" t="n">
        <v>32.09934332</v>
      </c>
      <c r="F44" s="20" t="n">
        <v>2.00828422</v>
      </c>
      <c r="G44" s="18" t="n">
        <v>47.1950425</v>
      </c>
      <c r="H44" s="20" t="n">
        <v>1.92029327</v>
      </c>
      <c r="I44" s="18" t="n">
        <v>0</v>
      </c>
      <c r="J44" s="20" t="n">
        <v>0</v>
      </c>
      <c r="K44" s="18" t="n">
        <v>1.70774867</v>
      </c>
      <c r="L44" s="20" t="n">
        <v>0.40324919</v>
      </c>
      <c r="M44" s="18" t="n">
        <v>0</v>
      </c>
      <c r="N44" s="20" t="n">
        <v>0</v>
      </c>
      <c r="O44" s="18" t="n">
        <v>0</v>
      </c>
      <c r="P44" s="20" t="n">
        <v>0</v>
      </c>
      <c r="Q44" s="18" t="n">
        <v>18.99786552</v>
      </c>
      <c r="R44" s="20" t="n">
        <v>1.26012941</v>
      </c>
    </row>
    <row r="45" spans="1:18">
      <c r="A45" s="15" t="s">
        <v>604</v>
      </c>
      <c r="B45" s="17" t="n">
        <v>2670</v>
      </c>
      <c r="C45" s="18">
        <f>(1785.0/B45*100)</f>
        <v/>
      </c>
      <c r="D45" s="19" t="n">
        <v>885</v>
      </c>
      <c r="E45" s="18" t="n">
        <v>46.30563363</v>
      </c>
      <c r="F45" s="20" t="n">
        <v>1.77006633</v>
      </c>
      <c r="G45" s="18" t="n">
        <v>26.26847397</v>
      </c>
      <c r="H45" s="20" t="n">
        <v>1.58212537</v>
      </c>
      <c r="I45" s="18" t="n">
        <v>0</v>
      </c>
      <c r="J45" s="20" t="n">
        <v>0</v>
      </c>
      <c r="K45" s="18" t="n">
        <v>6.47288394</v>
      </c>
      <c r="L45" s="20" t="n">
        <v>0.91350769</v>
      </c>
      <c r="M45" s="18" t="n">
        <v>0.11138803</v>
      </c>
      <c r="N45" s="20" t="n">
        <v>0.11580982</v>
      </c>
      <c r="O45" s="18" t="n">
        <v>0.12014039</v>
      </c>
      <c r="P45" s="20" t="n">
        <v>0.13027176</v>
      </c>
      <c r="Q45" s="18" t="n">
        <v>20.72148005</v>
      </c>
      <c r="R45" s="20" t="n">
        <v>1.59686252</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(1685.0/B54*100)</f>
        <v/>
      </c>
      <c r="D54" s="19" t="n">
        <v>872</v>
      </c>
      <c r="E54" s="18" t="n">
        <v>23.12833428</v>
      </c>
      <c r="F54" s="20" t="n">
        <v>1.70242354</v>
      </c>
      <c r="G54" s="18" t="n">
        <v>46.51361425</v>
      </c>
      <c r="H54" s="20" t="n">
        <v>1.97528994</v>
      </c>
      <c r="I54" s="18" t="n">
        <v>0</v>
      </c>
      <c r="J54" s="20" t="n">
        <v>0</v>
      </c>
      <c r="K54" s="18" t="n">
        <v>3.32076772</v>
      </c>
      <c r="L54" s="20" t="n">
        <v>0.64032267</v>
      </c>
      <c r="M54" s="18" t="n">
        <v>0</v>
      </c>
      <c r="N54" s="20" t="n">
        <v>0</v>
      </c>
      <c r="O54" s="18" t="n">
        <v>0.21118961</v>
      </c>
      <c r="P54" s="20" t="n">
        <v>0.14856699</v>
      </c>
      <c r="Q54" s="18" t="n">
        <v>26.82609413</v>
      </c>
      <c r="R54" s="20" t="n">
        <v>1.74642079</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(2241.0/B56*100)</f>
        <v/>
      </c>
      <c r="D56" s="19" t="n">
        <v>1102</v>
      </c>
      <c r="E56" s="18" t="n">
        <v>54.07563489</v>
      </c>
      <c r="F56" s="20" t="n">
        <v>1.98750695</v>
      </c>
      <c r="G56" s="18" t="n">
        <v>37.343992</v>
      </c>
      <c r="H56" s="20" t="n">
        <v>2.05781431</v>
      </c>
      <c r="I56" s="18" t="n">
        <v>0</v>
      </c>
      <c r="J56" s="20" t="n">
        <v>0</v>
      </c>
      <c r="K56" s="18" t="n">
        <v>2.02100444</v>
      </c>
      <c r="L56" s="20" t="n">
        <v>0.55640051</v>
      </c>
      <c r="M56" s="18" t="n">
        <v>0</v>
      </c>
      <c r="N56" s="20" t="n">
        <v>0</v>
      </c>
      <c r="O56" s="18" t="n">
        <v>0</v>
      </c>
      <c r="P56" s="20" t="n">
        <v>0</v>
      </c>
      <c r="Q56" s="18" t="n">
        <v>6.55936867</v>
      </c>
      <c r="R56" s="20" t="n">
        <v>1.08229819</v>
      </c>
    </row>
    <row r="57" spans="1:18">
      <c r="A57" s="15" t="s">
        <v>616</v>
      </c>
      <c r="B57" s="17" t="n">
        <v>3737</v>
      </c>
      <c r="C57" s="18">
        <f>(2496.0/B57*100)</f>
        <v/>
      </c>
      <c r="D57" s="19" t="n">
        <v>1241</v>
      </c>
      <c r="E57" s="18" t="n">
        <v>46.09112563</v>
      </c>
      <c r="F57" s="20" t="n">
        <v>2.17178986</v>
      </c>
      <c r="G57" s="18" t="n">
        <v>43.1251207</v>
      </c>
      <c r="H57" s="20" t="n">
        <v>2.25454356</v>
      </c>
      <c r="I57" s="18" t="n">
        <v>0</v>
      </c>
      <c r="J57" s="20" t="n">
        <v>0</v>
      </c>
      <c r="K57" s="18" t="n">
        <v>2.45694286</v>
      </c>
      <c r="L57" s="20" t="n">
        <v>0.45095751</v>
      </c>
      <c r="M57" s="18" t="n">
        <v>0</v>
      </c>
      <c r="N57" s="20" t="n">
        <v>0</v>
      </c>
      <c r="O57" s="18" t="n">
        <v>0</v>
      </c>
      <c r="P57" s="20" t="n">
        <v>0</v>
      </c>
      <c r="Q57" s="18" t="n">
        <v>8.32681082</v>
      </c>
      <c r="R57" s="20" t="n">
        <v>0.95646843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(1521.0/B59*100)</f>
        <v/>
      </c>
      <c r="D59" s="19" t="n">
        <v>757</v>
      </c>
      <c r="E59" s="18" t="n">
        <v>49.84565319</v>
      </c>
      <c r="F59" s="20" t="n">
        <v>2.18642306</v>
      </c>
      <c r="G59" s="18" t="n">
        <v>30.2032189</v>
      </c>
      <c r="H59" s="20" t="n">
        <v>2.03830532</v>
      </c>
      <c r="I59" s="18" t="n">
        <v>0</v>
      </c>
      <c r="J59" s="20" t="n">
        <v>0</v>
      </c>
      <c r="K59" s="18" t="n">
        <v>0.91033453</v>
      </c>
      <c r="L59" s="20" t="n">
        <v>0.35626429</v>
      </c>
      <c r="M59" s="18" t="n">
        <v>0</v>
      </c>
      <c r="N59" s="20" t="n">
        <v>0</v>
      </c>
      <c r="O59" s="18" t="n">
        <v>0</v>
      </c>
      <c r="P59" s="20" t="n">
        <v>0</v>
      </c>
      <c r="Q59" s="18" t="n">
        <v>19.04079338</v>
      </c>
      <c r="R59" s="20" t="n">
        <v>1.39250071</v>
      </c>
    </row>
    <row r="60" spans="1:18">
      <c r="A60" s="15" t="s">
        <v>620</v>
      </c>
      <c r="B60" s="17" t="n">
        <v>2451</v>
      </c>
      <c r="C60" s="18">
        <f>(1642.0/B60*100)</f>
        <v/>
      </c>
      <c r="D60" s="19" t="n">
        <v>809</v>
      </c>
      <c r="E60" s="18" t="n">
        <v>37.46512888</v>
      </c>
      <c r="F60" s="20" t="n">
        <v>2.22199497</v>
      </c>
      <c r="G60" s="18" t="n">
        <v>24.85583524</v>
      </c>
      <c r="H60" s="20" t="n">
        <v>1.88898897</v>
      </c>
      <c r="I60" s="18" t="n">
        <v>0</v>
      </c>
      <c r="J60" s="20" t="n">
        <v>0</v>
      </c>
      <c r="K60" s="18" t="n">
        <v>6.00279182</v>
      </c>
      <c r="L60" s="20" t="n">
        <v>0.85367452</v>
      </c>
      <c r="M60" s="18" t="n">
        <v>0</v>
      </c>
      <c r="N60" s="20" t="n">
        <v>0</v>
      </c>
      <c r="O60" s="18" t="n">
        <v>0</v>
      </c>
      <c r="P60" s="20" t="n">
        <v>0</v>
      </c>
      <c r="Q60" s="18" t="n">
        <v>31.67624405</v>
      </c>
      <c r="R60" s="20" t="n">
        <v>2.30270612</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(1695.0/B63*100)</f>
        <v/>
      </c>
      <c r="D63" s="19" t="n">
        <v>816</v>
      </c>
      <c r="E63" s="18" t="n">
        <v>19.86712229</v>
      </c>
      <c r="F63" s="20" t="n">
        <v>1.37663367</v>
      </c>
      <c r="G63" s="18" t="n">
        <v>35.22027164</v>
      </c>
      <c r="H63" s="20" t="n">
        <v>1.77365132</v>
      </c>
      <c r="I63" s="18" t="n">
        <v>0</v>
      </c>
      <c r="J63" s="20" t="n">
        <v>0</v>
      </c>
      <c r="K63" s="18" t="n">
        <v>5.09329112</v>
      </c>
      <c r="L63" s="20" t="n">
        <v>0.76810937</v>
      </c>
      <c r="M63" s="18" t="n">
        <v>0</v>
      </c>
      <c r="N63" s="20" t="n">
        <v>0</v>
      </c>
      <c r="O63" s="18" t="n">
        <v>0</v>
      </c>
      <c r="P63" s="20" t="n">
        <v>0</v>
      </c>
      <c r="Q63" s="18" t="n">
        <v>39.81931495</v>
      </c>
      <c r="R63" s="20" t="n">
        <v>1.67470255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(1198.0/B65*100)</f>
        <v/>
      </c>
      <c r="D65" s="19" t="n">
        <v>592</v>
      </c>
      <c r="E65" s="18" t="n">
        <v>19.82253565</v>
      </c>
      <c r="F65" s="20" t="n">
        <v>1.46678126</v>
      </c>
      <c r="G65" s="18" t="n">
        <v>63.66324018</v>
      </c>
      <c r="H65" s="20" t="n">
        <v>1.86301158</v>
      </c>
      <c r="I65" s="18" t="n">
        <v>0</v>
      </c>
      <c r="J65" s="20" t="n">
        <v>0</v>
      </c>
      <c r="K65" s="18" t="n">
        <v>1.25270502</v>
      </c>
      <c r="L65" s="20" t="n">
        <v>0.48468582</v>
      </c>
      <c r="M65" s="18" t="n">
        <v>0</v>
      </c>
      <c r="N65" s="20" t="n">
        <v>0</v>
      </c>
      <c r="O65" s="18" t="n">
        <v>0</v>
      </c>
      <c r="P65" s="20" t="n">
        <v>0</v>
      </c>
      <c r="Q65" s="18" t="n">
        <v>15.26151915</v>
      </c>
      <c r="R65" s="20" t="n">
        <v>1.37450311</v>
      </c>
    </row>
    <row r="66" spans="1:18">
      <c r="A66" s="15" t="s">
        <v>626</v>
      </c>
      <c r="B66" s="17" t="n">
        <v>2634</v>
      </c>
      <c r="C66" s="18">
        <f>(1760.0/B66*100)</f>
        <v/>
      </c>
      <c r="D66" s="19" t="n">
        <v>874</v>
      </c>
      <c r="E66" s="18" t="n">
        <v>20.22826303</v>
      </c>
      <c r="F66" s="20" t="n">
        <v>1.58005554</v>
      </c>
      <c r="G66" s="18" t="n">
        <v>53.58041119</v>
      </c>
      <c r="H66" s="20" t="n">
        <v>1.92301554</v>
      </c>
      <c r="I66" s="18" t="n">
        <v>0</v>
      </c>
      <c r="J66" s="20" t="n">
        <v>0</v>
      </c>
      <c r="K66" s="18" t="n">
        <v>7.22011365</v>
      </c>
      <c r="L66" s="20" t="n">
        <v>0.90448489</v>
      </c>
      <c r="M66" s="18" t="n">
        <v>0</v>
      </c>
      <c r="N66" s="20" t="n">
        <v>0</v>
      </c>
      <c r="O66" s="18" t="n">
        <v>0</v>
      </c>
      <c r="P66" s="20" t="n">
        <v>0</v>
      </c>
      <c r="Q66" s="18" t="n">
        <v>18.97121213</v>
      </c>
      <c r="R66" s="20" t="n">
        <v>1.40285232</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(478.0/B69*100)</f>
        <v/>
      </c>
      <c r="D69" s="19" t="n">
        <v>242</v>
      </c>
      <c r="E69" s="18" t="n">
        <v>47.95069856</v>
      </c>
      <c r="F69" s="20" t="n">
        <v>2.89454578</v>
      </c>
      <c r="G69" s="18" t="n">
        <v>41.05620298</v>
      </c>
      <c r="H69" s="20" t="n">
        <v>3.5335483</v>
      </c>
      <c r="I69" s="18" t="n">
        <v>0</v>
      </c>
      <c r="J69" s="20" t="n">
        <v>0</v>
      </c>
      <c r="K69" s="18" t="n">
        <v>1.34403421</v>
      </c>
      <c r="L69" s="20" t="n">
        <v>0.69426208</v>
      </c>
      <c r="M69" s="18" t="n">
        <v>0</v>
      </c>
      <c r="N69" s="20" t="n">
        <v>0</v>
      </c>
      <c r="O69" s="18" t="n">
        <v>0</v>
      </c>
      <c r="P69" s="20" t="n">
        <v>0</v>
      </c>
      <c r="Q69" s="18" t="n">
        <v>9.64906425</v>
      </c>
      <c r="R69" s="20" t="n">
        <v>2.26021117</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(1654.0/B71*100)</f>
        <v/>
      </c>
      <c r="D71" s="19" t="n">
        <v>812</v>
      </c>
      <c r="E71" s="18" t="n">
        <v>42.64122832</v>
      </c>
      <c r="F71" s="20" t="n">
        <v>1.96475296</v>
      </c>
      <c r="G71" s="18" t="n">
        <v>56.91004745</v>
      </c>
      <c r="H71" s="20" t="n">
        <v>1.98754739</v>
      </c>
      <c r="I71" s="18" t="n">
        <v>0</v>
      </c>
      <c r="J71" s="20" t="n">
        <v>0</v>
      </c>
      <c r="K71" s="18" t="n">
        <v>0</v>
      </c>
      <c r="L71" s="20" t="n">
        <v>0</v>
      </c>
      <c r="M71" s="18" t="n">
        <v>0</v>
      </c>
      <c r="N71" s="20" t="n">
        <v>0</v>
      </c>
      <c r="O71" s="18" t="n">
        <v>0</v>
      </c>
      <c r="P71" s="20" t="n">
        <v>0</v>
      </c>
      <c r="Q71" s="18" t="n">
        <v>0.44872423</v>
      </c>
      <c r="R71" s="20" t="n">
        <v>0.27768869</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(1625.0/B76*100)</f>
        <v/>
      </c>
      <c r="D76" s="19" t="n">
        <v>828</v>
      </c>
      <c r="E76" s="18" t="n">
        <v>32.97807565</v>
      </c>
      <c r="F76" s="20" t="n">
        <v>1.8794852</v>
      </c>
      <c r="G76" s="18" t="n">
        <v>45.34962348</v>
      </c>
      <c r="H76" s="20" t="n">
        <v>1.7258897</v>
      </c>
      <c r="I76" s="18" t="n">
        <v>0</v>
      </c>
      <c r="J76" s="20" t="n">
        <v>0</v>
      </c>
      <c r="K76" s="18" t="n">
        <v>5.07183361</v>
      </c>
      <c r="L76" s="20" t="n">
        <v>0.73511622</v>
      </c>
      <c r="M76" s="18" t="n">
        <v>0</v>
      </c>
      <c r="N76" s="20" t="n">
        <v>0</v>
      </c>
      <c r="O76" s="18" t="n">
        <v>0</v>
      </c>
      <c r="P76" s="20" t="n">
        <v>0</v>
      </c>
      <c r="Q76" s="18" t="n">
        <v>16.60046725</v>
      </c>
      <c r="R76" s="20" t="n">
        <v>1.24511486</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(2027.0/B80*100)</f>
        <v/>
      </c>
      <c r="D80" s="19" t="n">
        <v>1013</v>
      </c>
      <c r="E80" s="18" t="n">
        <v>23.46381841</v>
      </c>
      <c r="F80" s="20" t="n">
        <v>1.50141925</v>
      </c>
      <c r="G80" s="18" t="n">
        <v>75.53812687999999</v>
      </c>
      <c r="H80" s="20" t="n">
        <v>1.48691329</v>
      </c>
      <c r="I80" s="18" t="n">
        <v>0</v>
      </c>
      <c r="J80" s="20" t="n">
        <v>0</v>
      </c>
      <c r="K80" s="18" t="n">
        <v>0</v>
      </c>
      <c r="L80" s="20" t="n">
        <v>0</v>
      </c>
      <c r="M80" s="18" t="n">
        <v>0</v>
      </c>
      <c r="N80" s="20" t="n">
        <v>0</v>
      </c>
      <c r="O80" s="18" t="n">
        <v>0</v>
      </c>
      <c r="P80" s="20" t="n">
        <v>0</v>
      </c>
      <c r="Q80" s="18" t="n">
        <v>0.99805471</v>
      </c>
      <c r="R80" s="20" t="n">
        <v>0.3153026</v>
      </c>
    </row>
    <row r="81" spans="1:18">
      <c r="A81" s="15" t="s">
        <v>641</v>
      </c>
      <c r="B81" s="17" t="n">
        <v>870</v>
      </c>
      <c r="C81" s="18">
        <f>(577.0/B81*100)</f>
        <v/>
      </c>
      <c r="D81" s="19" t="n">
        <v>293</v>
      </c>
      <c r="E81" s="18" t="n">
        <v>29.2060766</v>
      </c>
      <c r="F81" s="20" t="n">
        <v>3.26819112</v>
      </c>
      <c r="G81" s="18" t="n">
        <v>48.77556575</v>
      </c>
      <c r="H81" s="20" t="n">
        <v>3.10747565</v>
      </c>
      <c r="I81" s="18" t="n">
        <v>0</v>
      </c>
      <c r="J81" s="20" t="n">
        <v>0</v>
      </c>
      <c r="K81" s="18" t="n">
        <v>6.18558432</v>
      </c>
      <c r="L81" s="20" t="n">
        <v>1.37889279</v>
      </c>
      <c r="M81" s="18" t="n">
        <v>0</v>
      </c>
      <c r="N81" s="20" t="n">
        <v>0</v>
      </c>
      <c r="O81" s="18" t="n">
        <v>0.30455865</v>
      </c>
      <c r="P81" s="20" t="n">
        <v>0.30265844</v>
      </c>
      <c r="Q81" s="18" t="n">
        <v>15.52821468</v>
      </c>
      <c r="R81" s="20" t="n">
        <v>2.07588436</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(1794.0/B44*100)</f>
        <v/>
      </c>
      <c r="D44" s="19" t="n">
        <v>897</v>
      </c>
      <c r="E44" s="18" t="n">
        <v>56.66986046</v>
      </c>
      <c r="F44" s="20" t="n">
        <v>2.06735869</v>
      </c>
      <c r="G44" s="18" t="n">
        <v>29.15887526</v>
      </c>
      <c r="H44" s="20" t="n">
        <v>1.78974049</v>
      </c>
      <c r="I44" s="18" t="n">
        <v>0</v>
      </c>
      <c r="J44" s="20" t="n">
        <v>0</v>
      </c>
      <c r="K44" s="18" t="n">
        <v>2.39969318</v>
      </c>
      <c r="L44" s="20" t="n">
        <v>0.49387892</v>
      </c>
      <c r="M44" s="18" t="n">
        <v>0</v>
      </c>
      <c r="N44" s="20" t="n">
        <v>0</v>
      </c>
      <c r="O44" s="18" t="n">
        <v>0</v>
      </c>
      <c r="P44" s="20" t="n">
        <v>0</v>
      </c>
      <c r="Q44" s="18" t="n">
        <v>11.7715711</v>
      </c>
      <c r="R44" s="20" t="n">
        <v>1.33218308</v>
      </c>
    </row>
    <row r="45" spans="1:18">
      <c r="A45" s="15" t="s">
        <v>604</v>
      </c>
      <c r="B45" s="17" t="n">
        <v>2670</v>
      </c>
      <c r="C45" s="18">
        <f>(1785.0/B45*100)</f>
        <v/>
      </c>
      <c r="D45" s="19" t="n">
        <v>885</v>
      </c>
      <c r="E45" s="18" t="n">
        <v>63.42009381</v>
      </c>
      <c r="F45" s="20" t="n">
        <v>1.63895573</v>
      </c>
      <c r="G45" s="18" t="n">
        <v>19.97579078</v>
      </c>
      <c r="H45" s="20" t="n">
        <v>1.39106272</v>
      </c>
      <c r="I45" s="18" t="n">
        <v>0</v>
      </c>
      <c r="J45" s="20" t="n">
        <v>0</v>
      </c>
      <c r="K45" s="18" t="n">
        <v>6.66793895</v>
      </c>
      <c r="L45" s="20" t="n">
        <v>0.91406099</v>
      </c>
      <c r="M45" s="18" t="n">
        <v>0.16210104</v>
      </c>
      <c r="N45" s="20" t="n">
        <v>0.15681581</v>
      </c>
      <c r="O45" s="18" t="n">
        <v>0.1094576</v>
      </c>
      <c r="P45" s="20" t="n">
        <v>0.11446091</v>
      </c>
      <c r="Q45" s="18" t="n">
        <v>9.66461782</v>
      </c>
      <c r="R45" s="20" t="n">
        <v>1.09598376</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(1685.0/B54*100)</f>
        <v/>
      </c>
      <c r="D54" s="19" t="n">
        <v>872</v>
      </c>
      <c r="E54" s="18" t="n">
        <v>53.09779298</v>
      </c>
      <c r="F54" s="20" t="n">
        <v>2.07639167</v>
      </c>
      <c r="G54" s="18" t="n">
        <v>19.62142409</v>
      </c>
      <c r="H54" s="20" t="n">
        <v>1.50919613</v>
      </c>
      <c r="I54" s="18" t="n">
        <v>0</v>
      </c>
      <c r="J54" s="20" t="n">
        <v>0</v>
      </c>
      <c r="K54" s="18" t="n">
        <v>4.31235112</v>
      </c>
      <c r="L54" s="20" t="n">
        <v>0.76117178</v>
      </c>
      <c r="M54" s="18" t="n">
        <v>0</v>
      </c>
      <c r="N54" s="20" t="n">
        <v>0</v>
      </c>
      <c r="O54" s="18" t="n">
        <v>0.20051563</v>
      </c>
      <c r="P54" s="20" t="n">
        <v>0.14309772</v>
      </c>
      <c r="Q54" s="18" t="n">
        <v>22.76791619</v>
      </c>
      <c r="R54" s="20" t="n">
        <v>1.71963608</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(2241.0/B56*100)</f>
        <v/>
      </c>
      <c r="D56" s="19" t="n">
        <v>1102</v>
      </c>
      <c r="E56" s="18" t="n">
        <v>68.81149581</v>
      </c>
      <c r="F56" s="20" t="n">
        <v>1.69908306</v>
      </c>
      <c r="G56" s="18" t="n">
        <v>25.68170626</v>
      </c>
      <c r="H56" s="20" t="n">
        <v>1.64190393</v>
      </c>
      <c r="I56" s="18" t="n">
        <v>0</v>
      </c>
      <c r="J56" s="20" t="n">
        <v>0</v>
      </c>
      <c r="K56" s="18" t="n">
        <v>2.03165692</v>
      </c>
      <c r="L56" s="20" t="n">
        <v>0.5566959500000001</v>
      </c>
      <c r="M56" s="18" t="n">
        <v>0</v>
      </c>
      <c r="N56" s="20" t="n">
        <v>0</v>
      </c>
      <c r="O56" s="18" t="n">
        <v>0</v>
      </c>
      <c r="P56" s="20" t="n">
        <v>0</v>
      </c>
      <c r="Q56" s="18" t="n">
        <v>3.475141</v>
      </c>
      <c r="R56" s="20" t="n">
        <v>0.7365683</v>
      </c>
    </row>
    <row r="57" spans="1:18">
      <c r="A57" s="15" t="s">
        <v>616</v>
      </c>
      <c r="B57" s="17" t="n">
        <v>3737</v>
      </c>
      <c r="C57" s="18">
        <f>(2496.0/B57*100)</f>
        <v/>
      </c>
      <c r="D57" s="19" t="n">
        <v>1241</v>
      </c>
      <c r="E57" s="18" t="n">
        <v>53.69224234</v>
      </c>
      <c r="F57" s="20" t="n">
        <v>2.2390167</v>
      </c>
      <c r="G57" s="18" t="n">
        <v>38.57896577</v>
      </c>
      <c r="H57" s="20" t="n">
        <v>2.4389288</v>
      </c>
      <c r="I57" s="18" t="n">
        <v>0</v>
      </c>
      <c r="J57" s="20" t="n">
        <v>0</v>
      </c>
      <c r="K57" s="18" t="n">
        <v>2.73944027</v>
      </c>
      <c r="L57" s="20" t="n">
        <v>0.51646197</v>
      </c>
      <c r="M57" s="18" t="n">
        <v>0</v>
      </c>
      <c r="N57" s="20" t="n">
        <v>0</v>
      </c>
      <c r="O57" s="18" t="n">
        <v>0</v>
      </c>
      <c r="P57" s="20" t="n">
        <v>0</v>
      </c>
      <c r="Q57" s="18" t="n">
        <v>4.98935161</v>
      </c>
      <c r="R57" s="20" t="n">
        <v>0.78554672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(1521.0/B59*100)</f>
        <v/>
      </c>
      <c r="D59" s="19" t="n">
        <v>757</v>
      </c>
      <c r="E59" s="18" t="n">
        <v>73.08472144</v>
      </c>
      <c r="F59" s="20" t="n">
        <v>1.95008129</v>
      </c>
      <c r="G59" s="18" t="n">
        <v>17.50473795</v>
      </c>
      <c r="H59" s="20" t="n">
        <v>1.56757401</v>
      </c>
      <c r="I59" s="18" t="n">
        <v>0</v>
      </c>
      <c r="J59" s="20" t="n">
        <v>0</v>
      </c>
      <c r="K59" s="18" t="n">
        <v>1.21097037</v>
      </c>
      <c r="L59" s="20" t="n">
        <v>0.46134276</v>
      </c>
      <c r="M59" s="18" t="n">
        <v>0</v>
      </c>
      <c r="N59" s="20" t="n">
        <v>0</v>
      </c>
      <c r="O59" s="18" t="n">
        <v>0</v>
      </c>
      <c r="P59" s="20" t="n">
        <v>0</v>
      </c>
      <c r="Q59" s="18" t="n">
        <v>8.19957024</v>
      </c>
      <c r="R59" s="20" t="n">
        <v>1.23271644</v>
      </c>
    </row>
    <row r="60" spans="1:18">
      <c r="A60" s="15" t="s">
        <v>620</v>
      </c>
      <c r="B60" s="17" t="n">
        <v>2451</v>
      </c>
      <c r="C60" s="18">
        <f>(1642.0/B60*100)</f>
        <v/>
      </c>
      <c r="D60" s="19" t="n">
        <v>809</v>
      </c>
      <c r="E60" s="18" t="n">
        <v>60.73963134</v>
      </c>
      <c r="F60" s="20" t="n">
        <v>2.10983631</v>
      </c>
      <c r="G60" s="18" t="n">
        <v>15.17288793</v>
      </c>
      <c r="H60" s="20" t="n">
        <v>1.48452524</v>
      </c>
      <c r="I60" s="18" t="n">
        <v>0</v>
      </c>
      <c r="J60" s="20" t="n">
        <v>0</v>
      </c>
      <c r="K60" s="18" t="n">
        <v>6.39122708</v>
      </c>
      <c r="L60" s="20" t="n">
        <v>0.88308412</v>
      </c>
      <c r="M60" s="18" t="n">
        <v>0</v>
      </c>
      <c r="N60" s="20" t="n">
        <v>0</v>
      </c>
      <c r="O60" s="18" t="n">
        <v>0.07310473000000001</v>
      </c>
      <c r="P60" s="20" t="n">
        <v>0.0739771</v>
      </c>
      <c r="Q60" s="18" t="n">
        <v>17.62314894</v>
      </c>
      <c r="R60" s="20" t="n">
        <v>1.74550838</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(1695.0/B63*100)</f>
        <v/>
      </c>
      <c r="D63" s="19" t="n">
        <v>816</v>
      </c>
      <c r="E63" s="18" t="n">
        <v>51.48291509</v>
      </c>
      <c r="F63" s="20" t="n">
        <v>2.22018226</v>
      </c>
      <c r="G63" s="18" t="n">
        <v>17.34603879</v>
      </c>
      <c r="H63" s="20" t="n">
        <v>1.90085137</v>
      </c>
      <c r="I63" s="18" t="n">
        <v>0</v>
      </c>
      <c r="J63" s="20" t="n">
        <v>0</v>
      </c>
      <c r="K63" s="18" t="n">
        <v>5.49535958</v>
      </c>
      <c r="L63" s="20" t="n">
        <v>0.81563343</v>
      </c>
      <c r="M63" s="18" t="n">
        <v>0</v>
      </c>
      <c r="N63" s="20" t="n">
        <v>0</v>
      </c>
      <c r="O63" s="18" t="n">
        <v>0</v>
      </c>
      <c r="P63" s="20" t="n">
        <v>0</v>
      </c>
      <c r="Q63" s="18" t="n">
        <v>25.67568653</v>
      </c>
      <c r="R63" s="20" t="n">
        <v>1.65732691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(1198.0/B65*100)</f>
        <v/>
      </c>
      <c r="D65" s="19" t="n">
        <v>592</v>
      </c>
      <c r="E65" s="18" t="n">
        <v>51.25683208</v>
      </c>
      <c r="F65" s="20" t="n">
        <v>1.77705737</v>
      </c>
      <c r="G65" s="18" t="n">
        <v>33.22885074</v>
      </c>
      <c r="H65" s="20" t="n">
        <v>1.9762553</v>
      </c>
      <c r="I65" s="18" t="n">
        <v>0</v>
      </c>
      <c r="J65" s="20" t="n">
        <v>0</v>
      </c>
      <c r="K65" s="18" t="n">
        <v>1.25270502</v>
      </c>
      <c r="L65" s="20" t="n">
        <v>0.48468582</v>
      </c>
      <c r="M65" s="18" t="n">
        <v>0</v>
      </c>
      <c r="N65" s="20" t="n">
        <v>0</v>
      </c>
      <c r="O65" s="18" t="n">
        <v>0.15533058</v>
      </c>
      <c r="P65" s="20" t="n">
        <v>0.15670164</v>
      </c>
      <c r="Q65" s="18" t="n">
        <v>14.10628158</v>
      </c>
      <c r="R65" s="20" t="n">
        <v>1.28349055</v>
      </c>
    </row>
    <row r="66" spans="1:18">
      <c r="A66" s="15" t="s">
        <v>626</v>
      </c>
      <c r="B66" s="17" t="n">
        <v>2634</v>
      </c>
      <c r="C66" s="18">
        <f>(1760.0/B66*100)</f>
        <v/>
      </c>
      <c r="D66" s="19" t="n">
        <v>874</v>
      </c>
      <c r="E66" s="18" t="n">
        <v>49.86705722</v>
      </c>
      <c r="F66" s="20" t="n">
        <v>1.43516349</v>
      </c>
      <c r="G66" s="18" t="n">
        <v>30.07319897</v>
      </c>
      <c r="H66" s="20" t="n">
        <v>1.45317912</v>
      </c>
      <c r="I66" s="18" t="n">
        <v>0</v>
      </c>
      <c r="J66" s="20" t="n">
        <v>0</v>
      </c>
      <c r="K66" s="18" t="n">
        <v>8.33994262</v>
      </c>
      <c r="L66" s="20" t="n">
        <v>0.95228039</v>
      </c>
      <c r="M66" s="18" t="n">
        <v>0</v>
      </c>
      <c r="N66" s="20" t="n">
        <v>0</v>
      </c>
      <c r="O66" s="18" t="n">
        <v>0</v>
      </c>
      <c r="P66" s="20" t="n">
        <v>0</v>
      </c>
      <c r="Q66" s="18" t="n">
        <v>11.71980119</v>
      </c>
      <c r="R66" s="20" t="n">
        <v>1.00341325</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(478.0/B69*100)</f>
        <v/>
      </c>
      <c r="D69" s="19" t="n">
        <v>242</v>
      </c>
      <c r="E69" s="18" t="n">
        <v>77.76234445999999</v>
      </c>
      <c r="F69" s="20" t="n">
        <v>2.42371746</v>
      </c>
      <c r="G69" s="18" t="n">
        <v>15.62590538</v>
      </c>
      <c r="H69" s="20" t="n">
        <v>2.53004754</v>
      </c>
      <c r="I69" s="18" t="n">
        <v>0</v>
      </c>
      <c r="J69" s="20" t="n">
        <v>0</v>
      </c>
      <c r="K69" s="18" t="n">
        <v>1.34403421</v>
      </c>
      <c r="L69" s="20" t="n">
        <v>0.69426208</v>
      </c>
      <c r="M69" s="18" t="n">
        <v>0</v>
      </c>
      <c r="N69" s="20" t="n">
        <v>0</v>
      </c>
      <c r="O69" s="18" t="n">
        <v>0</v>
      </c>
      <c r="P69" s="20" t="n">
        <v>0</v>
      </c>
      <c r="Q69" s="18" t="n">
        <v>5.26771595</v>
      </c>
      <c r="R69" s="20" t="n">
        <v>1.65630665</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(1654.0/B71*100)</f>
        <v/>
      </c>
      <c r="D71" s="19" t="n">
        <v>812</v>
      </c>
      <c r="E71" s="18" t="n">
        <v>61.62442662</v>
      </c>
      <c r="F71" s="20" t="n">
        <v>1.72767842</v>
      </c>
      <c r="G71" s="18" t="n">
        <v>37.80717094</v>
      </c>
      <c r="H71" s="20" t="n">
        <v>1.75935817</v>
      </c>
      <c r="I71" s="18" t="n">
        <v>0</v>
      </c>
      <c r="J71" s="20" t="n">
        <v>0</v>
      </c>
      <c r="K71" s="18" t="n">
        <v>0</v>
      </c>
      <c r="L71" s="20" t="n">
        <v>0</v>
      </c>
      <c r="M71" s="18" t="n">
        <v>0</v>
      </c>
      <c r="N71" s="20" t="n">
        <v>0</v>
      </c>
      <c r="O71" s="18" t="n">
        <v>0</v>
      </c>
      <c r="P71" s="20" t="n">
        <v>0</v>
      </c>
      <c r="Q71" s="18" t="n">
        <v>0.56840244</v>
      </c>
      <c r="R71" s="20" t="n">
        <v>0.30218948</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(1625.0/B76*100)</f>
        <v/>
      </c>
      <c r="D76" s="19" t="n">
        <v>828</v>
      </c>
      <c r="E76" s="18" t="n">
        <v>51.71762786</v>
      </c>
      <c r="F76" s="20" t="n">
        <v>2.06214569</v>
      </c>
      <c r="G76" s="18" t="n">
        <v>28.9155957</v>
      </c>
      <c r="H76" s="20" t="n">
        <v>1.67081367</v>
      </c>
      <c r="I76" s="18" t="n">
        <v>0</v>
      </c>
      <c r="J76" s="20" t="n">
        <v>0</v>
      </c>
      <c r="K76" s="18" t="n">
        <v>6.29438177</v>
      </c>
      <c r="L76" s="20" t="n">
        <v>0.80262098</v>
      </c>
      <c r="M76" s="18" t="n">
        <v>0</v>
      </c>
      <c r="N76" s="20" t="n">
        <v>0</v>
      </c>
      <c r="O76" s="18" t="n">
        <v>0</v>
      </c>
      <c r="P76" s="20" t="n">
        <v>0</v>
      </c>
      <c r="Q76" s="18" t="n">
        <v>13.07239468</v>
      </c>
      <c r="R76" s="20" t="n">
        <v>1.26627852</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(2027.0/B80*100)</f>
        <v/>
      </c>
      <c r="D80" s="19" t="n">
        <v>1013</v>
      </c>
      <c r="E80" s="18" t="n">
        <v>59.37769118</v>
      </c>
      <c r="F80" s="20" t="n">
        <v>1.84210852</v>
      </c>
      <c r="G80" s="18" t="n">
        <v>40.36141699</v>
      </c>
      <c r="H80" s="20" t="n">
        <v>1.84387017</v>
      </c>
      <c r="I80" s="18" t="n">
        <v>0</v>
      </c>
      <c r="J80" s="20" t="n">
        <v>0</v>
      </c>
      <c r="K80" s="18" t="n">
        <v>0</v>
      </c>
      <c r="L80" s="20" t="n">
        <v>0</v>
      </c>
      <c r="M80" s="18" t="n">
        <v>0</v>
      </c>
      <c r="N80" s="20" t="n">
        <v>0</v>
      </c>
      <c r="O80" s="18" t="n">
        <v>0</v>
      </c>
      <c r="P80" s="20" t="n">
        <v>0</v>
      </c>
      <c r="Q80" s="18" t="n">
        <v>0.26089183</v>
      </c>
      <c r="R80" s="20" t="n">
        <v>0.22351411</v>
      </c>
    </row>
    <row r="81" spans="1:18">
      <c r="A81" s="15" t="s">
        <v>641</v>
      </c>
      <c r="B81" s="17" t="n">
        <v>870</v>
      </c>
      <c r="C81" s="18">
        <f>(577.0/B81*100)</f>
        <v/>
      </c>
      <c r="D81" s="19" t="n">
        <v>293</v>
      </c>
      <c r="E81" s="18" t="n">
        <v>53.05558225</v>
      </c>
      <c r="F81" s="20" t="n">
        <v>2.90773349</v>
      </c>
      <c r="G81" s="18" t="n">
        <v>29.93214797</v>
      </c>
      <c r="H81" s="20" t="n">
        <v>2.87557995</v>
      </c>
      <c r="I81" s="18" t="n">
        <v>0</v>
      </c>
      <c r="J81" s="20" t="n">
        <v>0</v>
      </c>
      <c r="K81" s="18" t="n">
        <v>6.89234667</v>
      </c>
      <c r="L81" s="20" t="n">
        <v>1.53726935</v>
      </c>
      <c r="M81" s="18" t="n">
        <v>0</v>
      </c>
      <c r="N81" s="20" t="n">
        <v>0</v>
      </c>
      <c r="O81" s="18" t="n">
        <v>0</v>
      </c>
      <c r="P81" s="20" t="n">
        <v>0</v>
      </c>
      <c r="Q81" s="18" t="n">
        <v>10.1199231</v>
      </c>
      <c r="R81" s="20" t="n">
        <v>2.08963782</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(1794.0/B44*100)</f>
        <v/>
      </c>
      <c r="D44" s="19" t="n">
        <v>897</v>
      </c>
      <c r="E44" s="18" t="n">
        <v>59.71949548</v>
      </c>
      <c r="F44" s="20" t="n">
        <v>2.03303781</v>
      </c>
      <c r="G44" s="18" t="n">
        <v>32.51116357</v>
      </c>
      <c r="H44" s="20" t="n">
        <v>2.18007472</v>
      </c>
      <c r="I44" s="18" t="n">
        <v>0</v>
      </c>
      <c r="J44" s="20" t="n">
        <v>0</v>
      </c>
      <c r="K44" s="18" t="n">
        <v>2.77350065</v>
      </c>
      <c r="L44" s="20" t="n">
        <v>0.54673541</v>
      </c>
      <c r="M44" s="18" t="n">
        <v>0</v>
      </c>
      <c r="N44" s="20" t="n">
        <v>0</v>
      </c>
      <c r="O44" s="18" t="n">
        <v>0.9074742099999999</v>
      </c>
      <c r="P44" s="20" t="n">
        <v>0.31741103</v>
      </c>
      <c r="Q44" s="18" t="n">
        <v>4.08836608</v>
      </c>
      <c r="R44" s="20" t="n">
        <v>0.8149022500000001</v>
      </c>
    </row>
    <row r="45" spans="1:18">
      <c r="A45" s="15" t="s">
        <v>604</v>
      </c>
      <c r="B45" s="17" t="n">
        <v>2670</v>
      </c>
      <c r="C45" s="18">
        <f>(1785.0/B45*100)</f>
        <v/>
      </c>
      <c r="D45" s="19" t="n">
        <v>885</v>
      </c>
      <c r="E45" s="18" t="n">
        <v>44.40802863</v>
      </c>
      <c r="F45" s="20" t="n">
        <v>1.67920948</v>
      </c>
      <c r="G45" s="18" t="n">
        <v>40.4728548</v>
      </c>
      <c r="H45" s="20" t="n">
        <v>1.76742279</v>
      </c>
      <c r="I45" s="18" t="n">
        <v>0</v>
      </c>
      <c r="J45" s="20" t="n">
        <v>0</v>
      </c>
      <c r="K45" s="18" t="n">
        <v>7.35592703</v>
      </c>
      <c r="L45" s="20" t="n">
        <v>0.99600497</v>
      </c>
      <c r="M45" s="18" t="n">
        <v>0.48720977</v>
      </c>
      <c r="N45" s="20" t="n">
        <v>0.19513666</v>
      </c>
      <c r="O45" s="18" t="n">
        <v>2.8088175</v>
      </c>
      <c r="P45" s="20" t="n">
        <v>0.58667312</v>
      </c>
      <c r="Q45" s="18" t="n">
        <v>4.46716228</v>
      </c>
      <c r="R45" s="20" t="n">
        <v>0.7794939</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(1685.0/B54*100)</f>
        <v/>
      </c>
      <c r="D54" s="19" t="n">
        <v>872</v>
      </c>
      <c r="E54" s="18" t="n">
        <v>53.57165772</v>
      </c>
      <c r="F54" s="20" t="n">
        <v>1.762658</v>
      </c>
      <c r="G54" s="18" t="n">
        <v>38.59991653</v>
      </c>
      <c r="H54" s="20" t="n">
        <v>1.83877122</v>
      </c>
      <c r="I54" s="18" t="n">
        <v>0</v>
      </c>
      <c r="J54" s="20" t="n">
        <v>0</v>
      </c>
      <c r="K54" s="18" t="n">
        <v>4.31235112</v>
      </c>
      <c r="L54" s="20" t="n">
        <v>0.76117178</v>
      </c>
      <c r="M54" s="18" t="n">
        <v>0</v>
      </c>
      <c r="N54" s="20" t="n">
        <v>0</v>
      </c>
      <c r="O54" s="18" t="n">
        <v>1.09757288</v>
      </c>
      <c r="P54" s="20" t="n">
        <v>0.38751703</v>
      </c>
      <c r="Q54" s="18" t="n">
        <v>2.41850176</v>
      </c>
      <c r="R54" s="20" t="n">
        <v>0.56465734</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(2241.0/B56*100)</f>
        <v/>
      </c>
      <c r="D56" s="19" t="n">
        <v>1102</v>
      </c>
      <c r="E56" s="18" t="n">
        <v>67.30904988</v>
      </c>
      <c r="F56" s="20" t="n">
        <v>1.66863049</v>
      </c>
      <c r="G56" s="18" t="n">
        <v>29.71081418</v>
      </c>
      <c r="H56" s="20" t="n">
        <v>1.65139297</v>
      </c>
      <c r="I56" s="18" t="n">
        <v>0</v>
      </c>
      <c r="J56" s="20" t="n">
        <v>0</v>
      </c>
      <c r="K56" s="18" t="n">
        <v>2.11566473</v>
      </c>
      <c r="L56" s="20" t="n">
        <v>0.56155771</v>
      </c>
      <c r="M56" s="18" t="n">
        <v>0.08567387999999999</v>
      </c>
      <c r="N56" s="20" t="n">
        <v>0.08520009000000001</v>
      </c>
      <c r="O56" s="18" t="n">
        <v>0</v>
      </c>
      <c r="P56" s="20" t="n">
        <v>0</v>
      </c>
      <c r="Q56" s="18" t="n">
        <v>0.77879733</v>
      </c>
      <c r="R56" s="20" t="n">
        <v>0.30186979</v>
      </c>
    </row>
    <row r="57" spans="1:18">
      <c r="A57" s="15" t="s">
        <v>616</v>
      </c>
      <c r="B57" s="17" t="n">
        <v>3737</v>
      </c>
      <c r="C57" s="18">
        <f>(2496.0/B57*100)</f>
        <v/>
      </c>
      <c r="D57" s="19" t="n">
        <v>1241</v>
      </c>
      <c r="E57" s="18" t="n">
        <v>44.87602792</v>
      </c>
      <c r="F57" s="20" t="n">
        <v>1.72884501</v>
      </c>
      <c r="G57" s="18" t="n">
        <v>50.96804302</v>
      </c>
      <c r="H57" s="20" t="n">
        <v>1.76885484</v>
      </c>
      <c r="I57" s="18" t="n">
        <v>0</v>
      </c>
      <c r="J57" s="20" t="n">
        <v>0</v>
      </c>
      <c r="K57" s="18" t="n">
        <v>2.80738882</v>
      </c>
      <c r="L57" s="20" t="n">
        <v>0.51805547</v>
      </c>
      <c r="M57" s="18" t="n">
        <v>0</v>
      </c>
      <c r="N57" s="20" t="n">
        <v>0</v>
      </c>
      <c r="O57" s="18" t="n">
        <v>0.25856928</v>
      </c>
      <c r="P57" s="20" t="n">
        <v>0.18348251</v>
      </c>
      <c r="Q57" s="18" t="n">
        <v>1.08997096</v>
      </c>
      <c r="R57" s="20" t="n">
        <v>0.37428053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(1521.0/B59*100)</f>
        <v/>
      </c>
      <c r="D59" s="19" t="n">
        <v>757</v>
      </c>
      <c r="E59" s="18" t="n">
        <v>64.9798117</v>
      </c>
      <c r="F59" s="20" t="n">
        <v>1.94048952</v>
      </c>
      <c r="G59" s="18" t="n">
        <v>30.5660288</v>
      </c>
      <c r="H59" s="20" t="n">
        <v>1.9950966</v>
      </c>
      <c r="I59" s="18" t="n">
        <v>0</v>
      </c>
      <c r="J59" s="20" t="n">
        <v>0</v>
      </c>
      <c r="K59" s="18" t="n">
        <v>1.28677331</v>
      </c>
      <c r="L59" s="20" t="n">
        <v>0.46698181</v>
      </c>
      <c r="M59" s="18" t="n">
        <v>0</v>
      </c>
      <c r="N59" s="20" t="n">
        <v>0</v>
      </c>
      <c r="O59" s="18" t="n">
        <v>2.55495767</v>
      </c>
      <c r="P59" s="20" t="n">
        <v>0.61431209</v>
      </c>
      <c r="Q59" s="18" t="n">
        <v>0.61242852</v>
      </c>
      <c r="R59" s="20" t="n">
        <v>0.28901345</v>
      </c>
    </row>
    <row r="60" spans="1:18">
      <c r="A60" s="15" t="s">
        <v>620</v>
      </c>
      <c r="B60" s="17" t="n">
        <v>2451</v>
      </c>
      <c r="C60" s="18">
        <f>(1642.0/B60*100)</f>
        <v/>
      </c>
      <c r="D60" s="19" t="n">
        <v>809</v>
      </c>
      <c r="E60" s="18" t="n">
        <v>51.07447456</v>
      </c>
      <c r="F60" s="20" t="n">
        <v>1.97338127</v>
      </c>
      <c r="G60" s="18" t="n">
        <v>31.41568715</v>
      </c>
      <c r="H60" s="20" t="n">
        <v>2.09441335</v>
      </c>
      <c r="I60" s="18" t="n">
        <v>0</v>
      </c>
      <c r="J60" s="20" t="n">
        <v>0</v>
      </c>
      <c r="K60" s="18" t="n">
        <v>6.65441199</v>
      </c>
      <c r="L60" s="20" t="n">
        <v>0.91364935</v>
      </c>
      <c r="M60" s="18" t="n">
        <v>0</v>
      </c>
      <c r="N60" s="20" t="n">
        <v>0</v>
      </c>
      <c r="O60" s="18" t="n">
        <v>4.82390731</v>
      </c>
      <c r="P60" s="20" t="n">
        <v>0.8265213</v>
      </c>
      <c r="Q60" s="18" t="n">
        <v>6.03151899</v>
      </c>
      <c r="R60" s="20" t="n">
        <v>0.85469884</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(1695.0/B63*100)</f>
        <v/>
      </c>
      <c r="D63" s="19" t="n">
        <v>816</v>
      </c>
      <c r="E63" s="18" t="n">
        <v>57.03858397</v>
      </c>
      <c r="F63" s="20" t="n">
        <v>2.05334747</v>
      </c>
      <c r="G63" s="18" t="n">
        <v>32.03657324</v>
      </c>
      <c r="H63" s="20" t="n">
        <v>1.82815781</v>
      </c>
      <c r="I63" s="18" t="n">
        <v>0</v>
      </c>
      <c r="J63" s="20" t="n">
        <v>0</v>
      </c>
      <c r="K63" s="18" t="n">
        <v>5.71777738</v>
      </c>
      <c r="L63" s="20" t="n">
        <v>0.84060972</v>
      </c>
      <c r="M63" s="18" t="n">
        <v>0</v>
      </c>
      <c r="N63" s="20" t="n">
        <v>0</v>
      </c>
      <c r="O63" s="18" t="n">
        <v>1.31318762</v>
      </c>
      <c r="P63" s="20" t="n">
        <v>0.41402982</v>
      </c>
      <c r="Q63" s="18" t="n">
        <v>3.89387779</v>
      </c>
      <c r="R63" s="20" t="n">
        <v>0.7944185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(1198.0/B65*100)</f>
        <v/>
      </c>
      <c r="D65" s="19" t="n">
        <v>592</v>
      </c>
      <c r="E65" s="18" t="n">
        <v>48.55778327</v>
      </c>
      <c r="F65" s="20" t="n">
        <v>1.8982069</v>
      </c>
      <c r="G65" s="18" t="n">
        <v>46.25725422</v>
      </c>
      <c r="H65" s="20" t="n">
        <v>2.02702491</v>
      </c>
      <c r="I65" s="18" t="n">
        <v>0</v>
      </c>
      <c r="J65" s="20" t="n">
        <v>0</v>
      </c>
      <c r="K65" s="18" t="n">
        <v>1.47400708</v>
      </c>
      <c r="L65" s="20" t="n">
        <v>0.52306427</v>
      </c>
      <c r="M65" s="18" t="n">
        <v>0</v>
      </c>
      <c r="N65" s="20" t="n">
        <v>0</v>
      </c>
      <c r="O65" s="18" t="n">
        <v>0.5569599200000001</v>
      </c>
      <c r="P65" s="20" t="n">
        <v>0.32906298</v>
      </c>
      <c r="Q65" s="18" t="n">
        <v>3.15399551</v>
      </c>
      <c r="R65" s="20" t="n">
        <v>0.68066552</v>
      </c>
    </row>
    <row r="66" spans="1:18">
      <c r="A66" s="15" t="s">
        <v>626</v>
      </c>
      <c r="B66" s="17" t="n">
        <v>2634</v>
      </c>
      <c r="C66" s="18">
        <f>(1760.0/B66*100)</f>
        <v/>
      </c>
      <c r="D66" s="19" t="n">
        <v>874</v>
      </c>
      <c r="E66" s="18" t="n">
        <v>48.76248094</v>
      </c>
      <c r="F66" s="20" t="n">
        <v>1.87727278</v>
      </c>
      <c r="G66" s="18" t="n">
        <v>35.58060431</v>
      </c>
      <c r="H66" s="20" t="n">
        <v>1.68892538</v>
      </c>
      <c r="I66" s="18" t="n">
        <v>0</v>
      </c>
      <c r="J66" s="20" t="n">
        <v>0</v>
      </c>
      <c r="K66" s="18" t="n">
        <v>9.147367539999999</v>
      </c>
      <c r="L66" s="20" t="n">
        <v>0.9359977</v>
      </c>
      <c r="M66" s="18" t="n">
        <v>2.5155579</v>
      </c>
      <c r="N66" s="20" t="n">
        <v>0.55382258</v>
      </c>
      <c r="O66" s="18" t="n">
        <v>0</v>
      </c>
      <c r="P66" s="20" t="n">
        <v>0</v>
      </c>
      <c r="Q66" s="18" t="n">
        <v>3.99398931</v>
      </c>
      <c r="R66" s="20" t="n">
        <v>0.74995623</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(478.0/B69*100)</f>
        <v/>
      </c>
      <c r="D69" s="19" t="n">
        <v>242</v>
      </c>
      <c r="E69" s="18" t="n">
        <v>61.89737007</v>
      </c>
      <c r="F69" s="20" t="n">
        <v>2.7007362</v>
      </c>
      <c r="G69" s="18" t="n">
        <v>36.07432762</v>
      </c>
      <c r="H69" s="20" t="n">
        <v>2.84011568</v>
      </c>
      <c r="I69" s="18" t="n">
        <v>0</v>
      </c>
      <c r="J69" s="20" t="n">
        <v>0</v>
      </c>
      <c r="K69" s="18" t="n">
        <v>1.34403421</v>
      </c>
      <c r="L69" s="20" t="n">
        <v>0.69426208</v>
      </c>
      <c r="M69" s="18" t="n">
        <v>0</v>
      </c>
      <c r="N69" s="20" t="n">
        <v>0</v>
      </c>
      <c r="O69" s="18" t="n">
        <v>0</v>
      </c>
      <c r="P69" s="20" t="n">
        <v>0</v>
      </c>
      <c r="Q69" s="18" t="n">
        <v>0.6842681</v>
      </c>
      <c r="R69" s="20" t="n">
        <v>0.49951971</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(1654.0/B71*100)</f>
        <v/>
      </c>
      <c r="D71" s="19" t="n">
        <v>812</v>
      </c>
      <c r="E71" s="18" t="n">
        <v>58.54848373</v>
      </c>
      <c r="F71" s="20" t="n">
        <v>2.1074352</v>
      </c>
      <c r="G71" s="18" t="n">
        <v>41.45151627</v>
      </c>
      <c r="H71" s="20" t="n">
        <v>2.1074352</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(1625.0/B76*100)</f>
        <v/>
      </c>
      <c r="D76" s="19" t="n">
        <v>828</v>
      </c>
      <c r="E76" s="18" t="n">
        <v>41.66030669</v>
      </c>
      <c r="F76" s="20" t="n">
        <v>1.88936208</v>
      </c>
      <c r="G76" s="18" t="n">
        <v>46.91116831</v>
      </c>
      <c r="H76" s="20" t="n">
        <v>1.9739083</v>
      </c>
      <c r="I76" s="18" t="n">
        <v>0</v>
      </c>
      <c r="J76" s="20" t="n">
        <v>0</v>
      </c>
      <c r="K76" s="18" t="n">
        <v>6.67488925</v>
      </c>
      <c r="L76" s="20" t="n">
        <v>0.8329535300000001</v>
      </c>
      <c r="M76" s="18" t="n">
        <v>0</v>
      </c>
      <c r="N76" s="20" t="n">
        <v>0</v>
      </c>
      <c r="O76" s="18" t="n">
        <v>0.12841962</v>
      </c>
      <c r="P76" s="20" t="n">
        <v>0.1226939</v>
      </c>
      <c r="Q76" s="18" t="n">
        <v>4.62521613</v>
      </c>
      <c r="R76" s="20" t="n">
        <v>0.80849489</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(2027.0/B80*100)</f>
        <v/>
      </c>
      <c r="D80" s="19" t="n">
        <v>1013</v>
      </c>
      <c r="E80" s="18" t="n">
        <v>28.2741764</v>
      </c>
      <c r="F80" s="20" t="n">
        <v>1.77020445</v>
      </c>
      <c r="G80" s="18" t="n">
        <v>71.7258236</v>
      </c>
      <c r="H80" s="20" t="n">
        <v>1.77020445</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(577.0/B81*100)</f>
        <v/>
      </c>
      <c r="D81" s="19" t="n">
        <v>293</v>
      </c>
      <c r="E81" s="18" t="n">
        <v>31.65358276</v>
      </c>
      <c r="F81" s="20" t="n">
        <v>2.51543655</v>
      </c>
      <c r="G81" s="18" t="n">
        <v>58.45746605</v>
      </c>
      <c r="H81" s="20" t="n">
        <v>2.98781743</v>
      </c>
      <c r="I81" s="18" t="n">
        <v>0</v>
      </c>
      <c r="J81" s="20" t="n">
        <v>0</v>
      </c>
      <c r="K81" s="18" t="n">
        <v>6.89234667</v>
      </c>
      <c r="L81" s="20" t="n">
        <v>1.53726935</v>
      </c>
      <c r="M81" s="18" t="n">
        <v>0.43245987</v>
      </c>
      <c r="N81" s="20" t="n">
        <v>0.39930463</v>
      </c>
      <c r="O81" s="18" t="n">
        <v>0.45768793</v>
      </c>
      <c r="P81" s="20" t="n">
        <v>0.44796667</v>
      </c>
      <c r="Q81" s="18" t="n">
        <v>2.10645671</v>
      </c>
      <c r="R81" s="20" t="n">
        <v>0.88696505</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(1794.0/B44*100)</f>
        <v/>
      </c>
      <c r="D44" s="19" t="n">
        <v>897</v>
      </c>
      <c r="E44" s="18" t="n">
        <v>39.06914111</v>
      </c>
      <c r="F44" s="20" t="n">
        <v>1.87441447</v>
      </c>
      <c r="G44" s="18" t="n">
        <v>36.53555761</v>
      </c>
      <c r="H44" s="20" t="n">
        <v>2.01534225</v>
      </c>
      <c r="I44" s="18" t="n">
        <v>0</v>
      </c>
      <c r="J44" s="20" t="n">
        <v>0</v>
      </c>
      <c r="K44" s="18" t="n">
        <v>7.88077132</v>
      </c>
      <c r="L44" s="20" t="n">
        <v>1.08349319</v>
      </c>
      <c r="M44" s="18" t="n">
        <v>0</v>
      </c>
      <c r="N44" s="20" t="n">
        <v>0</v>
      </c>
      <c r="O44" s="18" t="n">
        <v>0</v>
      </c>
      <c r="P44" s="20" t="n">
        <v>0</v>
      </c>
      <c r="Q44" s="18" t="n">
        <v>16.51452996</v>
      </c>
      <c r="R44" s="20" t="n">
        <v>1.53892525</v>
      </c>
    </row>
    <row r="45" spans="1:18">
      <c r="A45" s="15" t="s">
        <v>604</v>
      </c>
      <c r="B45" s="17" t="n">
        <v>2670</v>
      </c>
      <c r="C45" s="18">
        <f>(1785.0/B45*100)</f>
        <v/>
      </c>
      <c r="D45" s="19" t="n">
        <v>885</v>
      </c>
      <c r="E45" s="18" t="n">
        <v>51.10518082</v>
      </c>
      <c r="F45" s="20" t="n">
        <v>1.84053513</v>
      </c>
      <c r="G45" s="18" t="n">
        <v>10.1985925</v>
      </c>
      <c r="H45" s="20" t="n">
        <v>1.30836077</v>
      </c>
      <c r="I45" s="18" t="n">
        <v>0</v>
      </c>
      <c r="J45" s="20" t="n">
        <v>0</v>
      </c>
      <c r="K45" s="18" t="n">
        <v>12.04527789</v>
      </c>
      <c r="L45" s="20" t="n">
        <v>1.35033709</v>
      </c>
      <c r="M45" s="18" t="n">
        <v>0.16210104</v>
      </c>
      <c r="N45" s="20" t="n">
        <v>0.15681581</v>
      </c>
      <c r="O45" s="18" t="n">
        <v>0</v>
      </c>
      <c r="P45" s="20" t="n">
        <v>0</v>
      </c>
      <c r="Q45" s="18" t="n">
        <v>26.48884775</v>
      </c>
      <c r="R45" s="20" t="n">
        <v>1.59712313</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(1685.0/B54*100)</f>
        <v/>
      </c>
      <c r="D54" s="19" t="n">
        <v>872</v>
      </c>
      <c r="E54" s="18" t="n">
        <v>37.89293672</v>
      </c>
      <c r="F54" s="20" t="n">
        <v>2.11136679</v>
      </c>
      <c r="G54" s="18" t="n">
        <v>20.4109858</v>
      </c>
      <c r="H54" s="20" t="n">
        <v>1.6219578</v>
      </c>
      <c r="I54" s="18" t="n">
        <v>0</v>
      </c>
      <c r="J54" s="20" t="n">
        <v>0</v>
      </c>
      <c r="K54" s="18" t="n">
        <v>11.6937065</v>
      </c>
      <c r="L54" s="20" t="n">
        <v>1.26663531</v>
      </c>
      <c r="M54" s="18" t="n">
        <v>0</v>
      </c>
      <c r="N54" s="20" t="n">
        <v>0</v>
      </c>
      <c r="O54" s="18" t="n">
        <v>0.11194979</v>
      </c>
      <c r="P54" s="20" t="n">
        <v>0.11268808</v>
      </c>
      <c r="Q54" s="18" t="n">
        <v>29.89042119</v>
      </c>
      <c r="R54" s="20" t="n">
        <v>1.75086687</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(2241.0/B56*100)</f>
        <v/>
      </c>
      <c r="D56" s="19" t="n">
        <v>1102</v>
      </c>
      <c r="E56" s="18" t="n">
        <v>57.53600316</v>
      </c>
      <c r="F56" s="20" t="n">
        <v>1.9546037</v>
      </c>
      <c r="G56" s="18" t="n">
        <v>28.52447694</v>
      </c>
      <c r="H56" s="20" t="n">
        <v>1.80564943</v>
      </c>
      <c r="I56" s="18" t="n">
        <v>0</v>
      </c>
      <c r="J56" s="20" t="n">
        <v>0</v>
      </c>
      <c r="K56" s="18" t="n">
        <v>4.45281685</v>
      </c>
      <c r="L56" s="20" t="n">
        <v>0.86770189</v>
      </c>
      <c r="M56" s="18" t="n">
        <v>0</v>
      </c>
      <c r="N56" s="20" t="n">
        <v>0</v>
      </c>
      <c r="O56" s="18" t="n">
        <v>0</v>
      </c>
      <c r="P56" s="20" t="n">
        <v>0</v>
      </c>
      <c r="Q56" s="18" t="n">
        <v>9.48670306</v>
      </c>
      <c r="R56" s="20" t="n">
        <v>1.34293271</v>
      </c>
    </row>
    <row r="57" spans="1:18">
      <c r="A57" s="15" t="s">
        <v>616</v>
      </c>
      <c r="B57" s="17" t="n">
        <v>3737</v>
      </c>
      <c r="C57" s="18">
        <f>(2496.0/B57*100)</f>
        <v/>
      </c>
      <c r="D57" s="19" t="n">
        <v>1241</v>
      </c>
      <c r="E57" s="18" t="n">
        <v>45.80209149</v>
      </c>
      <c r="F57" s="20" t="n">
        <v>1.62911236</v>
      </c>
      <c r="G57" s="18" t="n">
        <v>39.88687266</v>
      </c>
      <c r="H57" s="20" t="n">
        <v>1.7088185</v>
      </c>
      <c r="I57" s="18" t="n">
        <v>0</v>
      </c>
      <c r="J57" s="20" t="n">
        <v>0</v>
      </c>
      <c r="K57" s="18" t="n">
        <v>4.45146053</v>
      </c>
      <c r="L57" s="20" t="n">
        <v>0.75982234</v>
      </c>
      <c r="M57" s="18" t="n">
        <v>0</v>
      </c>
      <c r="N57" s="20" t="n">
        <v>0</v>
      </c>
      <c r="O57" s="18" t="n">
        <v>0</v>
      </c>
      <c r="P57" s="20" t="n">
        <v>0</v>
      </c>
      <c r="Q57" s="18" t="n">
        <v>9.859575319999999</v>
      </c>
      <c r="R57" s="20" t="n">
        <v>1.05927252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(1521.0/B59*100)</f>
        <v/>
      </c>
      <c r="D59" s="19" t="n">
        <v>757</v>
      </c>
      <c r="E59" s="18" t="n">
        <v>62.01951557</v>
      </c>
      <c r="F59" s="20" t="n">
        <v>1.95672675</v>
      </c>
      <c r="G59" s="18" t="n">
        <v>19.17346462</v>
      </c>
      <c r="H59" s="20" t="n">
        <v>1.48751011</v>
      </c>
      <c r="I59" s="18" t="n">
        <v>0</v>
      </c>
      <c r="J59" s="20" t="n">
        <v>0</v>
      </c>
      <c r="K59" s="18" t="n">
        <v>5.24627262</v>
      </c>
      <c r="L59" s="20" t="n">
        <v>1.02673729</v>
      </c>
      <c r="M59" s="18" t="n">
        <v>0</v>
      </c>
      <c r="N59" s="20" t="n">
        <v>0</v>
      </c>
      <c r="O59" s="18" t="n">
        <v>0</v>
      </c>
      <c r="P59" s="20" t="n">
        <v>0</v>
      </c>
      <c r="Q59" s="18" t="n">
        <v>13.56074719</v>
      </c>
      <c r="R59" s="20" t="n">
        <v>1.53767425</v>
      </c>
    </row>
    <row r="60" spans="1:18">
      <c r="A60" s="15" t="s">
        <v>620</v>
      </c>
      <c r="B60" s="17" t="n">
        <v>2451</v>
      </c>
      <c r="C60" s="18">
        <f>(1642.0/B60*100)</f>
        <v/>
      </c>
      <c r="D60" s="19" t="n">
        <v>809</v>
      </c>
      <c r="E60" s="18" t="n">
        <v>41.07829463</v>
      </c>
      <c r="F60" s="20" t="n">
        <v>2.0945876</v>
      </c>
      <c r="G60" s="18" t="n">
        <v>13.0024458</v>
      </c>
      <c r="H60" s="20" t="n">
        <v>1.73895513</v>
      </c>
      <c r="I60" s="18" t="n">
        <v>0</v>
      </c>
      <c r="J60" s="20" t="n">
        <v>0</v>
      </c>
      <c r="K60" s="18" t="n">
        <v>10.60014098</v>
      </c>
      <c r="L60" s="20" t="n">
        <v>1.28740708</v>
      </c>
      <c r="M60" s="18" t="n">
        <v>0</v>
      </c>
      <c r="N60" s="20" t="n">
        <v>0</v>
      </c>
      <c r="O60" s="18" t="n">
        <v>0</v>
      </c>
      <c r="P60" s="20" t="n">
        <v>0</v>
      </c>
      <c r="Q60" s="18" t="n">
        <v>35.31911859</v>
      </c>
      <c r="R60" s="20" t="n">
        <v>2.04408444</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(1695.0/B63*100)</f>
        <v/>
      </c>
      <c r="D63" s="19" t="n">
        <v>816</v>
      </c>
      <c r="E63" s="18" t="n">
        <v>27.99768541</v>
      </c>
      <c r="F63" s="20" t="n">
        <v>1.75654968</v>
      </c>
      <c r="G63" s="18" t="n">
        <v>14.49357911</v>
      </c>
      <c r="H63" s="20" t="n">
        <v>1.4339354</v>
      </c>
      <c r="I63" s="18" t="n">
        <v>0</v>
      </c>
      <c r="J63" s="20" t="n">
        <v>0</v>
      </c>
      <c r="K63" s="18" t="n">
        <v>15.36824077</v>
      </c>
      <c r="L63" s="20" t="n">
        <v>1.29792818</v>
      </c>
      <c r="M63" s="18" t="n">
        <v>0</v>
      </c>
      <c r="N63" s="20" t="n">
        <v>0</v>
      </c>
      <c r="O63" s="18" t="n">
        <v>0</v>
      </c>
      <c r="P63" s="20" t="n">
        <v>0</v>
      </c>
      <c r="Q63" s="18" t="n">
        <v>42.14049471</v>
      </c>
      <c r="R63" s="20" t="n">
        <v>1.86857003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(1198.0/B65*100)</f>
        <v/>
      </c>
      <c r="D65" s="19" t="n">
        <v>592</v>
      </c>
      <c r="E65" s="18" t="n">
        <v>41.09043905</v>
      </c>
      <c r="F65" s="20" t="n">
        <v>1.79316097</v>
      </c>
      <c r="G65" s="18" t="n">
        <v>26.16772593</v>
      </c>
      <c r="H65" s="20" t="n">
        <v>1.87177515</v>
      </c>
      <c r="I65" s="18" t="n">
        <v>0</v>
      </c>
      <c r="J65" s="20" t="n">
        <v>0</v>
      </c>
      <c r="K65" s="18" t="n">
        <v>3.58550173</v>
      </c>
      <c r="L65" s="20" t="n">
        <v>0.80780855</v>
      </c>
      <c r="M65" s="18" t="n">
        <v>0</v>
      </c>
      <c r="N65" s="20" t="n">
        <v>0</v>
      </c>
      <c r="O65" s="18" t="n">
        <v>0.15533058</v>
      </c>
      <c r="P65" s="20" t="n">
        <v>0.15670164</v>
      </c>
      <c r="Q65" s="18" t="n">
        <v>29.00100273</v>
      </c>
      <c r="R65" s="20" t="n">
        <v>2.03581208</v>
      </c>
    </row>
    <row r="66" spans="1:18">
      <c r="A66" s="15" t="s">
        <v>626</v>
      </c>
      <c r="B66" s="17" t="n">
        <v>2634</v>
      </c>
      <c r="C66" s="18">
        <f>(1760.0/B66*100)</f>
        <v/>
      </c>
      <c r="D66" s="19" t="n">
        <v>874</v>
      </c>
      <c r="E66" s="18" t="n">
        <v>28.05454123</v>
      </c>
      <c r="F66" s="20" t="n">
        <v>1.38239959</v>
      </c>
      <c r="G66" s="18" t="n">
        <v>29.62704832</v>
      </c>
      <c r="H66" s="20" t="n">
        <v>1.4504544</v>
      </c>
      <c r="I66" s="18" t="n">
        <v>0</v>
      </c>
      <c r="J66" s="20" t="n">
        <v>0</v>
      </c>
      <c r="K66" s="18" t="n">
        <v>15.43447917</v>
      </c>
      <c r="L66" s="20" t="n">
        <v>1.27122601</v>
      </c>
      <c r="M66" s="18" t="n">
        <v>0</v>
      </c>
      <c r="N66" s="20" t="n">
        <v>0</v>
      </c>
      <c r="O66" s="18" t="n">
        <v>0</v>
      </c>
      <c r="P66" s="20" t="n">
        <v>0</v>
      </c>
      <c r="Q66" s="18" t="n">
        <v>26.88393128</v>
      </c>
      <c r="R66" s="20" t="n">
        <v>1.41228119</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(478.0/B69*100)</f>
        <v/>
      </c>
      <c r="D69" s="19" t="n">
        <v>242</v>
      </c>
      <c r="E69" s="18" t="n">
        <v>56.198118</v>
      </c>
      <c r="F69" s="20" t="n">
        <v>3.95273633</v>
      </c>
      <c r="G69" s="18" t="n">
        <v>26.13489389</v>
      </c>
      <c r="H69" s="20" t="n">
        <v>3.64681466</v>
      </c>
      <c r="I69" s="18" t="n">
        <v>0</v>
      </c>
      <c r="J69" s="20" t="n">
        <v>0</v>
      </c>
      <c r="K69" s="18" t="n">
        <v>4.75502512</v>
      </c>
      <c r="L69" s="20" t="n">
        <v>1.94713711</v>
      </c>
      <c r="M69" s="18" t="n">
        <v>0</v>
      </c>
      <c r="N69" s="20" t="n">
        <v>0</v>
      </c>
      <c r="O69" s="18" t="n">
        <v>0</v>
      </c>
      <c r="P69" s="20" t="n">
        <v>0</v>
      </c>
      <c r="Q69" s="18" t="n">
        <v>12.91196299</v>
      </c>
      <c r="R69" s="20" t="n">
        <v>2.46914099</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(1654.0/B71*100)</f>
        <v/>
      </c>
      <c r="D71" s="19" t="n">
        <v>812</v>
      </c>
      <c r="E71" s="18" t="n">
        <v>50.42974743</v>
      </c>
      <c r="F71" s="20" t="n">
        <v>2.15643479</v>
      </c>
      <c r="G71" s="18" t="n">
        <v>48.87714345</v>
      </c>
      <c r="H71" s="20" t="n">
        <v>2.14717579</v>
      </c>
      <c r="I71" s="18" t="n">
        <v>0</v>
      </c>
      <c r="J71" s="20" t="n">
        <v>0</v>
      </c>
      <c r="K71" s="18" t="n">
        <v>0.36341559</v>
      </c>
      <c r="L71" s="20" t="n">
        <v>0.20989402</v>
      </c>
      <c r="M71" s="18" t="n">
        <v>0</v>
      </c>
      <c r="N71" s="20" t="n">
        <v>0</v>
      </c>
      <c r="O71" s="18" t="n">
        <v>0</v>
      </c>
      <c r="P71" s="20" t="n">
        <v>0</v>
      </c>
      <c r="Q71" s="18" t="n">
        <v>0.32969354</v>
      </c>
      <c r="R71" s="20" t="n">
        <v>0.25115122</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(1625.0/B76*100)</f>
        <v/>
      </c>
      <c r="D76" s="19" t="n">
        <v>828</v>
      </c>
      <c r="E76" s="18" t="n">
        <v>36.6982385</v>
      </c>
      <c r="F76" s="20" t="n">
        <v>1.77968325</v>
      </c>
      <c r="G76" s="18" t="n">
        <v>26.06771541</v>
      </c>
      <c r="H76" s="20" t="n">
        <v>1.41453322</v>
      </c>
      <c r="I76" s="18" t="n">
        <v>0</v>
      </c>
      <c r="J76" s="20" t="n">
        <v>0</v>
      </c>
      <c r="K76" s="18" t="n">
        <v>9.742452200000001</v>
      </c>
      <c r="L76" s="20" t="n">
        <v>1.05155352</v>
      </c>
      <c r="M76" s="18" t="n">
        <v>0</v>
      </c>
      <c r="N76" s="20" t="n">
        <v>0</v>
      </c>
      <c r="O76" s="18" t="n">
        <v>0</v>
      </c>
      <c r="P76" s="20" t="n">
        <v>0</v>
      </c>
      <c r="Q76" s="18" t="n">
        <v>27.49159389</v>
      </c>
      <c r="R76" s="20" t="n">
        <v>1.63710639</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(2027.0/B80*100)</f>
        <v/>
      </c>
      <c r="D80" s="19" t="n">
        <v>1013</v>
      </c>
      <c r="E80" s="18" t="n">
        <v>56.77669275</v>
      </c>
      <c r="F80" s="20" t="n">
        <v>2.21262421</v>
      </c>
      <c r="G80" s="18" t="n">
        <v>41.96726572</v>
      </c>
      <c r="H80" s="20" t="n">
        <v>2.19630891</v>
      </c>
      <c r="I80" s="18" t="n">
        <v>0</v>
      </c>
      <c r="J80" s="20" t="n">
        <v>0</v>
      </c>
      <c r="K80" s="18" t="n">
        <v>0.04276856</v>
      </c>
      <c r="L80" s="20" t="n">
        <v>0.04290414</v>
      </c>
      <c r="M80" s="18" t="n">
        <v>0</v>
      </c>
      <c r="N80" s="20" t="n">
        <v>0</v>
      </c>
      <c r="O80" s="18" t="n">
        <v>0</v>
      </c>
      <c r="P80" s="20" t="n">
        <v>0</v>
      </c>
      <c r="Q80" s="18" t="n">
        <v>1.21327297</v>
      </c>
      <c r="R80" s="20" t="n">
        <v>0.45861669</v>
      </c>
    </row>
    <row r="81" spans="1:18">
      <c r="A81" s="15" t="s">
        <v>641</v>
      </c>
      <c r="B81" s="17" t="n">
        <v>870</v>
      </c>
      <c r="C81" s="18">
        <f>(577.0/B81*100)</f>
        <v/>
      </c>
      <c r="D81" s="19" t="n">
        <v>293</v>
      </c>
      <c r="E81" s="18" t="n">
        <v>36.86213645</v>
      </c>
      <c r="F81" s="20" t="n">
        <v>2.44349958</v>
      </c>
      <c r="G81" s="18" t="n">
        <v>25.65601912</v>
      </c>
      <c r="H81" s="20" t="n">
        <v>2.46533419</v>
      </c>
      <c r="I81" s="18" t="n">
        <v>0</v>
      </c>
      <c r="J81" s="20" t="n">
        <v>0</v>
      </c>
      <c r="K81" s="18" t="n">
        <v>10.12076368</v>
      </c>
      <c r="L81" s="20" t="n">
        <v>1.64843158</v>
      </c>
      <c r="M81" s="18" t="n">
        <v>0</v>
      </c>
      <c r="N81" s="20" t="n">
        <v>0</v>
      </c>
      <c r="O81" s="18" t="n">
        <v>0</v>
      </c>
      <c r="P81" s="20" t="n">
        <v>0</v>
      </c>
      <c r="Q81" s="18" t="n">
        <v>27.36108075</v>
      </c>
      <c r="R81" s="20" t="n">
        <v>2.30406953</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(1794.0/B44*100)</f>
        <v/>
      </c>
      <c r="D44" s="19" t="n">
        <v>897</v>
      </c>
      <c r="E44" s="18" t="n">
        <v>40.77101422</v>
      </c>
      <c r="F44" s="20" t="n">
        <v>1.83192736</v>
      </c>
      <c r="G44" s="18" t="n">
        <v>29.47918373</v>
      </c>
      <c r="H44" s="20" t="n">
        <v>1.91120842</v>
      </c>
      <c r="I44" s="18" t="n">
        <v>0</v>
      </c>
      <c r="J44" s="20" t="n">
        <v>0</v>
      </c>
      <c r="K44" s="18" t="n">
        <v>8.883010260000001</v>
      </c>
      <c r="L44" s="20" t="n">
        <v>1.14592999</v>
      </c>
      <c r="M44" s="18" t="n">
        <v>0</v>
      </c>
      <c r="N44" s="20" t="n">
        <v>0</v>
      </c>
      <c r="O44" s="18" t="n">
        <v>0</v>
      </c>
      <c r="P44" s="20" t="n">
        <v>0</v>
      </c>
      <c r="Q44" s="18" t="n">
        <v>20.86679178</v>
      </c>
      <c r="R44" s="20" t="n">
        <v>1.63094552</v>
      </c>
    </row>
    <row r="45" spans="1:18">
      <c r="A45" s="15" t="s">
        <v>604</v>
      </c>
      <c r="B45" s="17" t="n">
        <v>2670</v>
      </c>
      <c r="C45" s="18">
        <f>(1785.0/B45*100)</f>
        <v/>
      </c>
      <c r="D45" s="19" t="n">
        <v>885</v>
      </c>
      <c r="E45" s="18" t="n">
        <v>48.6940843</v>
      </c>
      <c r="F45" s="20" t="n">
        <v>1.76231736</v>
      </c>
      <c r="G45" s="18" t="n">
        <v>6.65985334</v>
      </c>
      <c r="H45" s="20" t="n">
        <v>1.17227615</v>
      </c>
      <c r="I45" s="18" t="n">
        <v>0</v>
      </c>
      <c r="J45" s="20" t="n">
        <v>0</v>
      </c>
      <c r="K45" s="18" t="n">
        <v>13.42780091</v>
      </c>
      <c r="L45" s="20" t="n">
        <v>1.44655279</v>
      </c>
      <c r="M45" s="18" t="n">
        <v>0.16210104</v>
      </c>
      <c r="N45" s="20" t="n">
        <v>0.15681581</v>
      </c>
      <c r="O45" s="18" t="n">
        <v>0</v>
      </c>
      <c r="P45" s="20" t="n">
        <v>0</v>
      </c>
      <c r="Q45" s="18" t="n">
        <v>31.05616042</v>
      </c>
      <c r="R45" s="20" t="n">
        <v>1.62260615</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(1685.0/B54*100)</f>
        <v/>
      </c>
      <c r="D54" s="19" t="n">
        <v>872</v>
      </c>
      <c r="E54" s="18" t="n">
        <v>35.96246323</v>
      </c>
      <c r="F54" s="20" t="n">
        <v>2.06481187</v>
      </c>
      <c r="G54" s="18" t="n">
        <v>19.25632609</v>
      </c>
      <c r="H54" s="20" t="n">
        <v>1.34100744</v>
      </c>
      <c r="I54" s="18" t="n">
        <v>0</v>
      </c>
      <c r="J54" s="20" t="n">
        <v>0</v>
      </c>
      <c r="K54" s="18" t="n">
        <v>12.61042282</v>
      </c>
      <c r="L54" s="20" t="n">
        <v>1.2739511</v>
      </c>
      <c r="M54" s="18" t="n">
        <v>0</v>
      </c>
      <c r="N54" s="20" t="n">
        <v>0</v>
      </c>
      <c r="O54" s="18" t="n">
        <v>0</v>
      </c>
      <c r="P54" s="20" t="n">
        <v>0</v>
      </c>
      <c r="Q54" s="18" t="n">
        <v>32.17078786</v>
      </c>
      <c r="R54" s="20" t="n">
        <v>1.67147232</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(2241.0/B56*100)</f>
        <v/>
      </c>
      <c r="D56" s="19" t="n">
        <v>1102</v>
      </c>
      <c r="E56" s="18" t="n">
        <v>64.78559249</v>
      </c>
      <c r="F56" s="20" t="n">
        <v>1.87774793</v>
      </c>
      <c r="G56" s="18" t="n">
        <v>18.46885111</v>
      </c>
      <c r="H56" s="20" t="n">
        <v>1.62900616</v>
      </c>
      <c r="I56" s="18" t="n">
        <v>0</v>
      </c>
      <c r="J56" s="20" t="n">
        <v>0</v>
      </c>
      <c r="K56" s="18" t="n">
        <v>5.11467419</v>
      </c>
      <c r="L56" s="20" t="n">
        <v>0.92227477</v>
      </c>
      <c r="M56" s="18" t="n">
        <v>0</v>
      </c>
      <c r="N56" s="20" t="n">
        <v>0</v>
      </c>
      <c r="O56" s="18" t="n">
        <v>0</v>
      </c>
      <c r="P56" s="20" t="n">
        <v>0</v>
      </c>
      <c r="Q56" s="18" t="n">
        <v>11.63088221</v>
      </c>
      <c r="R56" s="20" t="n">
        <v>1.41159886</v>
      </c>
    </row>
    <row r="57" spans="1:18">
      <c r="A57" s="15" t="s">
        <v>616</v>
      </c>
      <c r="B57" s="17" t="n">
        <v>3737</v>
      </c>
      <c r="C57" s="18">
        <f>(2496.0/B57*100)</f>
        <v/>
      </c>
      <c r="D57" s="19" t="n">
        <v>1241</v>
      </c>
      <c r="E57" s="18" t="n">
        <v>52.20385813</v>
      </c>
      <c r="F57" s="20" t="n">
        <v>1.86122632</v>
      </c>
      <c r="G57" s="18" t="n">
        <v>26.15281427</v>
      </c>
      <c r="H57" s="20" t="n">
        <v>1.96542605</v>
      </c>
      <c r="I57" s="18" t="n">
        <v>0</v>
      </c>
      <c r="J57" s="20" t="n">
        <v>0</v>
      </c>
      <c r="K57" s="18" t="n">
        <v>5.9101616</v>
      </c>
      <c r="L57" s="20" t="n">
        <v>0.9034222200000001</v>
      </c>
      <c r="M57" s="18" t="n">
        <v>0</v>
      </c>
      <c r="N57" s="20" t="n">
        <v>0</v>
      </c>
      <c r="O57" s="18" t="n">
        <v>0</v>
      </c>
      <c r="P57" s="20" t="n">
        <v>0</v>
      </c>
      <c r="Q57" s="18" t="n">
        <v>15.73316601</v>
      </c>
      <c r="R57" s="20" t="n">
        <v>1.32097402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(1521.0/B59*100)</f>
        <v/>
      </c>
      <c r="D59" s="19" t="n">
        <v>757</v>
      </c>
      <c r="E59" s="18" t="n">
        <v>63.67702725</v>
      </c>
      <c r="F59" s="20" t="n">
        <v>1.99708727</v>
      </c>
      <c r="G59" s="18" t="n">
        <v>14.65064568</v>
      </c>
      <c r="H59" s="20" t="n">
        <v>1.37698529</v>
      </c>
      <c r="I59" s="18" t="n">
        <v>0</v>
      </c>
      <c r="J59" s="20" t="n">
        <v>0</v>
      </c>
      <c r="K59" s="18" t="n">
        <v>6.26635666</v>
      </c>
      <c r="L59" s="20" t="n">
        <v>1.09368807</v>
      </c>
      <c r="M59" s="18" t="n">
        <v>0</v>
      </c>
      <c r="N59" s="20" t="n">
        <v>0</v>
      </c>
      <c r="O59" s="18" t="n">
        <v>0</v>
      </c>
      <c r="P59" s="20" t="n">
        <v>0</v>
      </c>
      <c r="Q59" s="18" t="n">
        <v>15.40597041</v>
      </c>
      <c r="R59" s="20" t="n">
        <v>1.4219384</v>
      </c>
    </row>
    <row r="60" spans="1:18">
      <c r="A60" s="15" t="s">
        <v>620</v>
      </c>
      <c r="B60" s="17" t="n">
        <v>2451</v>
      </c>
      <c r="C60" s="18">
        <f>(1642.0/B60*100)</f>
        <v/>
      </c>
      <c r="D60" s="19" t="n">
        <v>809</v>
      </c>
      <c r="E60" s="18" t="n">
        <v>36.3414325</v>
      </c>
      <c r="F60" s="20" t="n">
        <v>2.27394803</v>
      </c>
      <c r="G60" s="18" t="n">
        <v>13.61710249</v>
      </c>
      <c r="H60" s="20" t="n">
        <v>1.47208488</v>
      </c>
      <c r="I60" s="18" t="n">
        <v>0</v>
      </c>
      <c r="J60" s="20" t="n">
        <v>0</v>
      </c>
      <c r="K60" s="18" t="n">
        <v>11.29382256</v>
      </c>
      <c r="L60" s="20" t="n">
        <v>1.28754424</v>
      </c>
      <c r="M60" s="18" t="n">
        <v>0</v>
      </c>
      <c r="N60" s="20" t="n">
        <v>0</v>
      </c>
      <c r="O60" s="18" t="n">
        <v>0</v>
      </c>
      <c r="P60" s="20" t="n">
        <v>0</v>
      </c>
      <c r="Q60" s="18" t="n">
        <v>38.74764246</v>
      </c>
      <c r="R60" s="20" t="n">
        <v>2.19159579</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(1695.0/B63*100)</f>
        <v/>
      </c>
      <c r="D63" s="19" t="n">
        <v>816</v>
      </c>
      <c r="E63" s="18" t="n">
        <v>26.15280502</v>
      </c>
      <c r="F63" s="20" t="n">
        <v>1.61810887</v>
      </c>
      <c r="G63" s="18" t="n">
        <v>13.25170571</v>
      </c>
      <c r="H63" s="20" t="n">
        <v>1.4754025</v>
      </c>
      <c r="I63" s="18" t="n">
        <v>0</v>
      </c>
      <c r="J63" s="20" t="n">
        <v>0</v>
      </c>
      <c r="K63" s="18" t="n">
        <v>15.81028356</v>
      </c>
      <c r="L63" s="20" t="n">
        <v>1.28312954</v>
      </c>
      <c r="M63" s="18" t="n">
        <v>0</v>
      </c>
      <c r="N63" s="20" t="n">
        <v>0</v>
      </c>
      <c r="O63" s="18" t="n">
        <v>0</v>
      </c>
      <c r="P63" s="20" t="n">
        <v>0</v>
      </c>
      <c r="Q63" s="18" t="n">
        <v>44.78520571</v>
      </c>
      <c r="R63" s="20" t="n">
        <v>2.02213768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(1198.0/B65*100)</f>
        <v/>
      </c>
      <c r="D65" s="19" t="n">
        <v>592</v>
      </c>
      <c r="E65" s="18" t="n">
        <v>26.04097037</v>
      </c>
      <c r="F65" s="20" t="n">
        <v>1.56419615</v>
      </c>
      <c r="G65" s="18" t="n">
        <v>38.99986407</v>
      </c>
      <c r="H65" s="20" t="n">
        <v>1.84594017</v>
      </c>
      <c r="I65" s="18" t="n">
        <v>0</v>
      </c>
      <c r="J65" s="20" t="n">
        <v>0</v>
      </c>
      <c r="K65" s="18" t="n">
        <v>3.81199118</v>
      </c>
      <c r="L65" s="20" t="n">
        <v>0.84211568</v>
      </c>
      <c r="M65" s="18" t="n">
        <v>0</v>
      </c>
      <c r="N65" s="20" t="n">
        <v>0</v>
      </c>
      <c r="O65" s="18" t="n">
        <v>0.15533058</v>
      </c>
      <c r="P65" s="20" t="n">
        <v>0.15670164</v>
      </c>
      <c r="Q65" s="18" t="n">
        <v>30.9918438</v>
      </c>
      <c r="R65" s="20" t="n">
        <v>2.07014472</v>
      </c>
    </row>
    <row r="66" spans="1:18">
      <c r="A66" s="15" t="s">
        <v>626</v>
      </c>
      <c r="B66" s="17" t="n">
        <v>2634</v>
      </c>
      <c r="C66" s="18">
        <f>(1760.0/B66*100)</f>
        <v/>
      </c>
      <c r="D66" s="19" t="n">
        <v>874</v>
      </c>
      <c r="E66" s="18" t="n">
        <v>27.62061015</v>
      </c>
      <c r="F66" s="20" t="n">
        <v>1.59230509</v>
      </c>
      <c r="G66" s="18" t="n">
        <v>23.43124241</v>
      </c>
      <c r="H66" s="20" t="n">
        <v>1.58864935</v>
      </c>
      <c r="I66" s="18" t="n">
        <v>0</v>
      </c>
      <c r="J66" s="20" t="n">
        <v>0</v>
      </c>
      <c r="K66" s="18" t="n">
        <v>16.73328421</v>
      </c>
      <c r="L66" s="20" t="n">
        <v>1.24989031</v>
      </c>
      <c r="M66" s="18" t="n">
        <v>0</v>
      </c>
      <c r="N66" s="20" t="n">
        <v>0</v>
      </c>
      <c r="O66" s="18" t="n">
        <v>0</v>
      </c>
      <c r="P66" s="20" t="n">
        <v>0</v>
      </c>
      <c r="Q66" s="18" t="n">
        <v>32.21486323</v>
      </c>
      <c r="R66" s="20" t="n">
        <v>1.50809267</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(478.0/B69*100)</f>
        <v/>
      </c>
      <c r="D69" s="19" t="n">
        <v>242</v>
      </c>
      <c r="E69" s="18" t="n">
        <v>60.90388558</v>
      </c>
      <c r="F69" s="20" t="n">
        <v>3.56934366</v>
      </c>
      <c r="G69" s="18" t="n">
        <v>19.46335857</v>
      </c>
      <c r="H69" s="20" t="n">
        <v>3.40043985</v>
      </c>
      <c r="I69" s="18" t="n">
        <v>0</v>
      </c>
      <c r="J69" s="20" t="n">
        <v>0</v>
      </c>
      <c r="K69" s="18" t="n">
        <v>4.97051896</v>
      </c>
      <c r="L69" s="20" t="n">
        <v>1.95962071</v>
      </c>
      <c r="M69" s="18" t="n">
        <v>0</v>
      </c>
      <c r="N69" s="20" t="n">
        <v>0</v>
      </c>
      <c r="O69" s="18" t="n">
        <v>0</v>
      </c>
      <c r="P69" s="20" t="n">
        <v>0</v>
      </c>
      <c r="Q69" s="18" t="n">
        <v>14.66223689</v>
      </c>
      <c r="R69" s="20" t="n">
        <v>2.37003378</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(1654.0/B71*100)</f>
        <v/>
      </c>
      <c r="D71" s="19" t="n">
        <v>812</v>
      </c>
      <c r="E71" s="18" t="n">
        <v>61.9034809</v>
      </c>
      <c r="F71" s="20" t="n">
        <v>2.31407535</v>
      </c>
      <c r="G71" s="18" t="n">
        <v>37.17159187</v>
      </c>
      <c r="H71" s="20" t="n">
        <v>2.27948849</v>
      </c>
      <c r="I71" s="18" t="n">
        <v>0</v>
      </c>
      <c r="J71" s="20" t="n">
        <v>0</v>
      </c>
      <c r="K71" s="18" t="n">
        <v>0.59523369</v>
      </c>
      <c r="L71" s="20" t="n">
        <v>0.31550275</v>
      </c>
      <c r="M71" s="18" t="n">
        <v>0</v>
      </c>
      <c r="N71" s="20" t="n">
        <v>0</v>
      </c>
      <c r="O71" s="18" t="n">
        <v>0</v>
      </c>
      <c r="P71" s="20" t="n">
        <v>0</v>
      </c>
      <c r="Q71" s="18" t="n">
        <v>0.32969354</v>
      </c>
      <c r="R71" s="20" t="n">
        <v>0.25115122</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(1625.0/B76*100)</f>
        <v/>
      </c>
      <c r="D76" s="19" t="n">
        <v>828</v>
      </c>
      <c r="E76" s="18" t="n">
        <v>32.14665611</v>
      </c>
      <c r="F76" s="20" t="n">
        <v>1.89583319</v>
      </c>
      <c r="G76" s="18" t="n">
        <v>25.50853921</v>
      </c>
      <c r="H76" s="20" t="n">
        <v>1.49614915</v>
      </c>
      <c r="I76" s="18" t="n">
        <v>0</v>
      </c>
      <c r="J76" s="20" t="n">
        <v>0</v>
      </c>
      <c r="K76" s="18" t="n">
        <v>10.40202733</v>
      </c>
      <c r="L76" s="20" t="n">
        <v>1.07410663</v>
      </c>
      <c r="M76" s="18" t="n">
        <v>0</v>
      </c>
      <c r="N76" s="20" t="n">
        <v>0</v>
      </c>
      <c r="O76" s="18" t="n">
        <v>0</v>
      </c>
      <c r="P76" s="20" t="n">
        <v>0</v>
      </c>
      <c r="Q76" s="18" t="n">
        <v>31.94277736</v>
      </c>
      <c r="R76" s="20" t="n">
        <v>1.65660385</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(2027.0/B80*100)</f>
        <v/>
      </c>
      <c r="D80" s="19" t="n">
        <v>1013</v>
      </c>
      <c r="E80" s="18" t="n">
        <v>56.3679054</v>
      </c>
      <c r="F80" s="20" t="n">
        <v>1.94696432</v>
      </c>
      <c r="G80" s="18" t="n">
        <v>42.12878574</v>
      </c>
      <c r="H80" s="20" t="n">
        <v>1.8840657</v>
      </c>
      <c r="I80" s="18" t="n">
        <v>0</v>
      </c>
      <c r="J80" s="20" t="n">
        <v>0</v>
      </c>
      <c r="K80" s="18" t="n">
        <v>0.37684636</v>
      </c>
      <c r="L80" s="20" t="n">
        <v>0.25183897</v>
      </c>
      <c r="M80" s="18" t="n">
        <v>0</v>
      </c>
      <c r="N80" s="20" t="n">
        <v>0</v>
      </c>
      <c r="O80" s="18" t="n">
        <v>0</v>
      </c>
      <c r="P80" s="20" t="n">
        <v>0</v>
      </c>
      <c r="Q80" s="18" t="n">
        <v>1.12646249</v>
      </c>
      <c r="R80" s="20" t="n">
        <v>0.37748784</v>
      </c>
    </row>
    <row r="81" spans="1:18">
      <c r="A81" s="15" t="s">
        <v>641</v>
      </c>
      <c r="B81" s="17" t="n">
        <v>870</v>
      </c>
      <c r="C81" s="18">
        <f>(577.0/B81*100)</f>
        <v/>
      </c>
      <c r="D81" s="19" t="n">
        <v>293</v>
      </c>
      <c r="E81" s="18" t="n">
        <v>26.70482056</v>
      </c>
      <c r="F81" s="20" t="n">
        <v>2.86997786</v>
      </c>
      <c r="G81" s="18" t="n">
        <v>34.2114933</v>
      </c>
      <c r="H81" s="20" t="n">
        <v>3.36460118</v>
      </c>
      <c r="I81" s="18" t="n">
        <v>0</v>
      </c>
      <c r="J81" s="20" t="n">
        <v>0</v>
      </c>
      <c r="K81" s="18" t="n">
        <v>10.83358716</v>
      </c>
      <c r="L81" s="20" t="n">
        <v>1.78389455</v>
      </c>
      <c r="M81" s="18" t="n">
        <v>0</v>
      </c>
      <c r="N81" s="20" t="n">
        <v>0</v>
      </c>
      <c r="O81" s="18" t="n">
        <v>0</v>
      </c>
      <c r="P81" s="20" t="n">
        <v>0</v>
      </c>
      <c r="Q81" s="18" t="n">
        <v>28.25009898</v>
      </c>
      <c r="R81" s="20" t="n">
        <v>2.50890086</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(1794.0/B44*100)</f>
        <v/>
      </c>
      <c r="D44" s="19" t="n">
        <v>897</v>
      </c>
      <c r="E44" s="18" t="n">
        <v>58.03224664</v>
      </c>
      <c r="F44" s="20" t="n">
        <v>2.17011424</v>
      </c>
      <c r="G44" s="18" t="n">
        <v>29.95063939</v>
      </c>
      <c r="H44" s="20" t="n">
        <v>1.97584837</v>
      </c>
      <c r="I44" s="18" t="n">
        <v>0</v>
      </c>
      <c r="J44" s="20" t="n">
        <v>0</v>
      </c>
      <c r="K44" s="18" t="n">
        <v>12.01711397</v>
      </c>
      <c r="L44" s="20" t="n">
        <v>1.30071745</v>
      </c>
      <c r="M44" s="18" t="n">
        <v>0</v>
      </c>
      <c r="N44" s="20" t="n">
        <v>0</v>
      </c>
      <c r="O44" s="18" t="n">
        <v>0</v>
      </c>
      <c r="P44" s="20" t="n">
        <v>0</v>
      </c>
      <c r="Q44" s="18" t="n">
        <v>0</v>
      </c>
      <c r="R44" s="20" t="n">
        <v>0</v>
      </c>
    </row>
    <row r="45" spans="1:18">
      <c r="A45" s="15" t="s">
        <v>604</v>
      </c>
      <c r="B45" s="17" t="n">
        <v>2670</v>
      </c>
      <c r="C45" s="18">
        <f>(1785.0/B45*100)</f>
        <v/>
      </c>
      <c r="D45" s="19" t="n">
        <v>885</v>
      </c>
      <c r="E45" s="18" t="n">
        <v>64.23455607</v>
      </c>
      <c r="F45" s="20" t="n">
        <v>1.74113945</v>
      </c>
      <c r="G45" s="18" t="n">
        <v>19.11625401</v>
      </c>
      <c r="H45" s="20" t="n">
        <v>1.46129851</v>
      </c>
      <c r="I45" s="18" t="n">
        <v>0</v>
      </c>
      <c r="J45" s="20" t="n">
        <v>0</v>
      </c>
      <c r="K45" s="18" t="n">
        <v>16.36754852</v>
      </c>
      <c r="L45" s="20" t="n">
        <v>1.41139711</v>
      </c>
      <c r="M45" s="18" t="n">
        <v>0.16210104</v>
      </c>
      <c r="N45" s="20" t="n">
        <v>0.15681581</v>
      </c>
      <c r="O45" s="18" t="n">
        <v>0.11954036</v>
      </c>
      <c r="P45" s="20" t="n">
        <v>0.11998458</v>
      </c>
      <c r="Q45" s="18" t="n">
        <v>0</v>
      </c>
      <c r="R45" s="20" t="n">
        <v>0</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(1685.0/B54*100)</f>
        <v/>
      </c>
      <c r="D54" s="19" t="n">
        <v>872</v>
      </c>
      <c r="E54" s="18" t="n">
        <v>66.20989828</v>
      </c>
      <c r="F54" s="20" t="n">
        <v>1.62353389</v>
      </c>
      <c r="G54" s="18" t="n">
        <v>18.85721823</v>
      </c>
      <c r="H54" s="20" t="n">
        <v>1.45571791</v>
      </c>
      <c r="I54" s="18" t="n">
        <v>0</v>
      </c>
      <c r="J54" s="20" t="n">
        <v>0</v>
      </c>
      <c r="K54" s="18" t="n">
        <v>14.63488906</v>
      </c>
      <c r="L54" s="20" t="n">
        <v>1.31227786</v>
      </c>
      <c r="M54" s="18" t="n">
        <v>0</v>
      </c>
      <c r="N54" s="20" t="n">
        <v>0</v>
      </c>
      <c r="O54" s="18" t="n">
        <v>0.29799443</v>
      </c>
      <c r="P54" s="20" t="n">
        <v>0.10652524</v>
      </c>
      <c r="Q54" s="18" t="n">
        <v>0</v>
      </c>
      <c r="R54" s="20" t="n">
        <v>0</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(2241.0/B56*100)</f>
        <v/>
      </c>
      <c r="D56" s="19" t="n">
        <v>1102</v>
      </c>
      <c r="E56" s="18" t="n">
        <v>65.08381609</v>
      </c>
      <c r="F56" s="20" t="n">
        <v>1.57447024</v>
      </c>
      <c r="G56" s="18" t="n">
        <v>26.20274114</v>
      </c>
      <c r="H56" s="20" t="n">
        <v>1.45740333</v>
      </c>
      <c r="I56" s="18" t="n">
        <v>0</v>
      </c>
      <c r="J56" s="20" t="n">
        <v>0</v>
      </c>
      <c r="K56" s="18" t="n">
        <v>8.713442779999999</v>
      </c>
      <c r="L56" s="20" t="n">
        <v>1.20330817</v>
      </c>
      <c r="M56" s="18" t="n">
        <v>0</v>
      </c>
      <c r="N56" s="20" t="n">
        <v>0</v>
      </c>
      <c r="O56" s="18" t="n">
        <v>0</v>
      </c>
      <c r="P56" s="20" t="n">
        <v>0</v>
      </c>
      <c r="Q56" s="18" t="n">
        <v>0</v>
      </c>
      <c r="R56" s="20" t="n">
        <v>0</v>
      </c>
    </row>
    <row r="57" spans="1:18">
      <c r="A57" s="15" t="s">
        <v>616</v>
      </c>
      <c r="B57" s="17" t="n">
        <v>3737</v>
      </c>
      <c r="C57" s="18">
        <f>(2496.0/B57*100)</f>
        <v/>
      </c>
      <c r="D57" s="19" t="n">
        <v>1241</v>
      </c>
      <c r="E57" s="18" t="n">
        <v>74.83011374</v>
      </c>
      <c r="F57" s="20" t="n">
        <v>1.77290838</v>
      </c>
      <c r="G57" s="18" t="n">
        <v>17.827849</v>
      </c>
      <c r="H57" s="20" t="n">
        <v>1.37048703</v>
      </c>
      <c r="I57" s="18" t="n">
        <v>0</v>
      </c>
      <c r="J57" s="20" t="n">
        <v>0</v>
      </c>
      <c r="K57" s="18" t="n">
        <v>7.34203726</v>
      </c>
      <c r="L57" s="20" t="n">
        <v>0.99750511</v>
      </c>
      <c r="M57" s="18" t="n">
        <v>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(1521.0/B59*100)</f>
        <v/>
      </c>
      <c r="D59" s="19" t="n">
        <v>757</v>
      </c>
      <c r="E59" s="18" t="n">
        <v>71.99699368</v>
      </c>
      <c r="F59" s="20" t="n">
        <v>2.13277804</v>
      </c>
      <c r="G59" s="18" t="n">
        <v>18.99540001</v>
      </c>
      <c r="H59" s="20" t="n">
        <v>1.90623726</v>
      </c>
      <c r="I59" s="18" t="n">
        <v>0</v>
      </c>
      <c r="J59" s="20" t="n">
        <v>0</v>
      </c>
      <c r="K59" s="18" t="n">
        <v>9.00760631</v>
      </c>
      <c r="L59" s="20" t="n">
        <v>1.19289921</v>
      </c>
      <c r="M59" s="18" t="n">
        <v>0</v>
      </c>
      <c r="N59" s="20" t="n">
        <v>0</v>
      </c>
      <c r="O59" s="18" t="n">
        <v>0</v>
      </c>
      <c r="P59" s="20" t="n">
        <v>0</v>
      </c>
      <c r="Q59" s="18" t="n">
        <v>0</v>
      </c>
      <c r="R59" s="20" t="n">
        <v>0</v>
      </c>
    </row>
    <row r="60" spans="1:18">
      <c r="A60" s="15" t="s">
        <v>620</v>
      </c>
      <c r="B60" s="17" t="n">
        <v>2451</v>
      </c>
      <c r="C60" s="18">
        <f>(1642.0/B60*100)</f>
        <v/>
      </c>
      <c r="D60" s="19" t="n">
        <v>809</v>
      </c>
      <c r="E60" s="18" t="n">
        <v>56.01306733</v>
      </c>
      <c r="F60" s="20" t="n">
        <v>2.10657572</v>
      </c>
      <c r="G60" s="18" t="n">
        <v>30.23614452</v>
      </c>
      <c r="H60" s="20" t="n">
        <v>2.1565983</v>
      </c>
      <c r="I60" s="18" t="n">
        <v>0</v>
      </c>
      <c r="J60" s="20" t="n">
        <v>0</v>
      </c>
      <c r="K60" s="18" t="n">
        <v>13.47538085</v>
      </c>
      <c r="L60" s="20" t="n">
        <v>1.36000648</v>
      </c>
      <c r="M60" s="18" t="n">
        <v>0</v>
      </c>
      <c r="N60" s="20" t="n">
        <v>0</v>
      </c>
      <c r="O60" s="18" t="n">
        <v>0.2754073</v>
      </c>
      <c r="P60" s="20" t="n">
        <v>0.20388045</v>
      </c>
      <c r="Q60" s="18" t="n">
        <v>0</v>
      </c>
      <c r="R60" s="20" t="n">
        <v>0</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(1695.0/B63*100)</f>
        <v/>
      </c>
      <c r="D63" s="19" t="n">
        <v>816</v>
      </c>
      <c r="E63" s="18" t="n">
        <v>59.66018201</v>
      </c>
      <c r="F63" s="20" t="n">
        <v>1.93950688</v>
      </c>
      <c r="G63" s="18" t="n">
        <v>22.67511653</v>
      </c>
      <c r="H63" s="20" t="n">
        <v>1.50356136</v>
      </c>
      <c r="I63" s="18" t="n">
        <v>0</v>
      </c>
      <c r="J63" s="20" t="n">
        <v>0</v>
      </c>
      <c r="K63" s="18" t="n">
        <v>17.66470146</v>
      </c>
      <c r="L63" s="20" t="n">
        <v>1.27081375</v>
      </c>
      <c r="M63" s="18" t="n">
        <v>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(1198.0/B65*100)</f>
        <v/>
      </c>
      <c r="D65" s="19" t="n">
        <v>592</v>
      </c>
      <c r="E65" s="18" t="n">
        <v>52.42484239</v>
      </c>
      <c r="F65" s="20" t="n">
        <v>2.09779668</v>
      </c>
      <c r="G65" s="18" t="n">
        <v>42.98944165</v>
      </c>
      <c r="H65" s="20" t="n">
        <v>2.09325121</v>
      </c>
      <c r="I65" s="18" t="n">
        <v>0</v>
      </c>
      <c r="J65" s="20" t="n">
        <v>0</v>
      </c>
      <c r="K65" s="18" t="n">
        <v>4.42777025</v>
      </c>
      <c r="L65" s="20" t="n">
        <v>0.85668712</v>
      </c>
      <c r="M65" s="18" t="n">
        <v>0</v>
      </c>
      <c r="N65" s="20" t="n">
        <v>0</v>
      </c>
      <c r="O65" s="18" t="n">
        <v>0.15794571</v>
      </c>
      <c r="P65" s="20" t="n">
        <v>0.15422435</v>
      </c>
      <c r="Q65" s="18" t="n">
        <v>0</v>
      </c>
      <c r="R65" s="20" t="n">
        <v>0</v>
      </c>
    </row>
    <row r="66" spans="1:18">
      <c r="A66" s="15" t="s">
        <v>626</v>
      </c>
      <c r="B66" s="17" t="n">
        <v>2634</v>
      </c>
      <c r="C66" s="18">
        <f>(1760.0/B66*100)</f>
        <v/>
      </c>
      <c r="D66" s="19" t="n">
        <v>874</v>
      </c>
      <c r="E66" s="18" t="n">
        <v>55.84994695</v>
      </c>
      <c r="F66" s="20" t="n">
        <v>1.85877808</v>
      </c>
      <c r="G66" s="18" t="n">
        <v>24.19502377</v>
      </c>
      <c r="H66" s="20" t="n">
        <v>1.78948391</v>
      </c>
      <c r="I66" s="18" t="n">
        <v>0</v>
      </c>
      <c r="J66" s="20" t="n">
        <v>0</v>
      </c>
      <c r="K66" s="18" t="n">
        <v>19.95502929</v>
      </c>
      <c r="L66" s="20" t="n">
        <v>1.36904939</v>
      </c>
      <c r="M66" s="18" t="n">
        <v>0</v>
      </c>
      <c r="N66" s="20" t="n">
        <v>0</v>
      </c>
      <c r="O66" s="18" t="n">
        <v>0</v>
      </c>
      <c r="P66" s="20" t="n">
        <v>0</v>
      </c>
      <c r="Q66" s="18" t="n">
        <v>0</v>
      </c>
      <c r="R66" s="20" t="n">
        <v>0</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(478.0/B69*100)</f>
        <v/>
      </c>
      <c r="D69" s="19" t="n">
        <v>242</v>
      </c>
      <c r="E69" s="18" t="n">
        <v>60.45447696</v>
      </c>
      <c r="F69" s="20" t="n">
        <v>3.19616435</v>
      </c>
      <c r="G69" s="18" t="n">
        <v>33.00304508</v>
      </c>
      <c r="H69" s="20" t="n">
        <v>3.57913106</v>
      </c>
      <c r="I69" s="18" t="n">
        <v>0</v>
      </c>
      <c r="J69" s="20" t="n">
        <v>0</v>
      </c>
      <c r="K69" s="18" t="n">
        <v>6.54247796</v>
      </c>
      <c r="L69" s="20" t="n">
        <v>2.1814258</v>
      </c>
      <c r="M69" s="18" t="n">
        <v>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(1654.0/B71*100)</f>
        <v/>
      </c>
      <c r="D71" s="19" t="n">
        <v>812</v>
      </c>
      <c r="E71" s="18" t="n">
        <v>70.14955178</v>
      </c>
      <c r="F71" s="20" t="n">
        <v>1.62420742</v>
      </c>
      <c r="G71" s="18" t="n">
        <v>29.25521453</v>
      </c>
      <c r="H71" s="20" t="n">
        <v>1.59960859</v>
      </c>
      <c r="I71" s="18" t="n">
        <v>0</v>
      </c>
      <c r="J71" s="20" t="n">
        <v>0</v>
      </c>
      <c r="K71" s="18" t="n">
        <v>0.59523369</v>
      </c>
      <c r="L71" s="20" t="n">
        <v>0.31550275</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(1625.0/B76*100)</f>
        <v/>
      </c>
      <c r="D76" s="19" t="n">
        <v>828</v>
      </c>
      <c r="E76" s="18" t="n">
        <v>64.40788778</v>
      </c>
      <c r="F76" s="20" t="n">
        <v>1.90822854</v>
      </c>
      <c r="G76" s="18" t="n">
        <v>23.54767776</v>
      </c>
      <c r="H76" s="20" t="n">
        <v>1.77570659</v>
      </c>
      <c r="I76" s="18" t="n">
        <v>0</v>
      </c>
      <c r="J76" s="20" t="n">
        <v>0</v>
      </c>
      <c r="K76" s="18" t="n">
        <v>12.04443446</v>
      </c>
      <c r="L76" s="20" t="n">
        <v>1.24290844</v>
      </c>
      <c r="M76" s="18" t="n">
        <v>0</v>
      </c>
      <c r="N76" s="20" t="n">
        <v>0</v>
      </c>
      <c r="O76" s="18" t="n">
        <v>0</v>
      </c>
      <c r="P76" s="20" t="n">
        <v>0</v>
      </c>
      <c r="Q76" s="18" t="n">
        <v>0</v>
      </c>
      <c r="R76" s="20" t="n">
        <v>0</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(2027.0/B80*100)</f>
        <v/>
      </c>
      <c r="D80" s="19" t="n">
        <v>1013</v>
      </c>
      <c r="E80" s="18" t="n">
        <v>74.68272724000001</v>
      </c>
      <c r="F80" s="20" t="n">
        <v>1.2958808</v>
      </c>
      <c r="G80" s="18" t="n">
        <v>24.42105488</v>
      </c>
      <c r="H80" s="20" t="n">
        <v>1.27938487</v>
      </c>
      <c r="I80" s="18" t="n">
        <v>0</v>
      </c>
      <c r="J80" s="20" t="n">
        <v>0</v>
      </c>
      <c r="K80" s="18" t="n">
        <v>0.89621789</v>
      </c>
      <c r="L80" s="20" t="n">
        <v>0.3512939</v>
      </c>
      <c r="M80" s="18" t="n">
        <v>0</v>
      </c>
      <c r="N80" s="20" t="n">
        <v>0</v>
      </c>
      <c r="O80" s="18" t="n">
        <v>0</v>
      </c>
      <c r="P80" s="20" t="n">
        <v>0</v>
      </c>
      <c r="Q80" s="18" t="n">
        <v>0</v>
      </c>
      <c r="R80" s="20" t="n">
        <v>0</v>
      </c>
    </row>
    <row r="81" spans="1:18">
      <c r="A81" s="15" t="s">
        <v>641</v>
      </c>
      <c r="B81" s="17" t="n">
        <v>870</v>
      </c>
      <c r="C81" s="18">
        <f>(577.0/B81*100)</f>
        <v/>
      </c>
      <c r="D81" s="19" t="n">
        <v>293</v>
      </c>
      <c r="E81" s="18" t="n">
        <v>50.6353266</v>
      </c>
      <c r="F81" s="20" t="n">
        <v>3.14723783</v>
      </c>
      <c r="G81" s="18" t="n">
        <v>37.19600788</v>
      </c>
      <c r="H81" s="20" t="n">
        <v>3.66147558</v>
      </c>
      <c r="I81" s="18" t="n">
        <v>0</v>
      </c>
      <c r="J81" s="20" t="n">
        <v>0</v>
      </c>
      <c r="K81" s="18" t="n">
        <v>12.16866552</v>
      </c>
      <c r="L81" s="20" t="n">
        <v>1.96641385</v>
      </c>
      <c r="M81" s="18" t="n">
        <v>0</v>
      </c>
      <c r="N81" s="20" t="n">
        <v>0</v>
      </c>
      <c r="O81" s="18" t="n">
        <v>0</v>
      </c>
      <c r="P81" s="20" t="n">
        <v>0</v>
      </c>
      <c r="Q81" s="18" t="n">
        <v>0</v>
      </c>
      <c r="R81" s="20" t="n">
        <v>0</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(1787.0/B44*100)</f>
        <v/>
      </c>
      <c r="D44" s="19" t="n">
        <v>904</v>
      </c>
      <c r="E44" s="18" t="n">
        <v>67.76205713</v>
      </c>
      <c r="F44" s="20" t="n">
        <v>1.65411571</v>
      </c>
      <c r="G44" s="18" t="n">
        <v>14.41041946</v>
      </c>
      <c r="H44" s="20" t="n">
        <v>1.65745684</v>
      </c>
      <c r="I44" s="18" t="n">
        <v>0</v>
      </c>
      <c r="J44" s="20" t="n">
        <v>0</v>
      </c>
      <c r="K44" s="18" t="n">
        <v>1.0617736</v>
      </c>
      <c r="L44" s="20" t="n">
        <v>0.3377825</v>
      </c>
      <c r="M44" s="18" t="n">
        <v>0</v>
      </c>
      <c r="N44" s="20" t="n">
        <v>0</v>
      </c>
      <c r="O44" s="18" t="n">
        <v>0.2444915</v>
      </c>
      <c r="P44" s="20" t="n">
        <v>0.20398317</v>
      </c>
      <c r="Q44" s="18" t="n">
        <v>16.52125831</v>
      </c>
      <c r="R44" s="20" t="n">
        <v>1.55343459</v>
      </c>
    </row>
    <row r="45" spans="1:18">
      <c r="A45" s="15" t="s">
        <v>604</v>
      </c>
      <c r="B45" s="17" t="n">
        <v>2670</v>
      </c>
      <c r="C45" s="18">
        <f>(1761.0/B45*100)</f>
        <v/>
      </c>
      <c r="D45" s="19" t="n">
        <v>909</v>
      </c>
      <c r="E45" s="18" t="n">
        <v>67.19172523</v>
      </c>
      <c r="F45" s="20" t="n">
        <v>1.64503425</v>
      </c>
      <c r="G45" s="18" t="n">
        <v>9.35172775</v>
      </c>
      <c r="H45" s="20" t="n">
        <v>0.95652881</v>
      </c>
      <c r="I45" s="18" t="n">
        <v>0</v>
      </c>
      <c r="J45" s="20" t="n">
        <v>0</v>
      </c>
      <c r="K45" s="18" t="n">
        <v>2.04069887</v>
      </c>
      <c r="L45" s="20" t="n">
        <v>0.49254304</v>
      </c>
      <c r="M45" s="18" t="n">
        <v>0.28078065</v>
      </c>
      <c r="N45" s="20" t="n">
        <v>0.19557279</v>
      </c>
      <c r="O45" s="18" t="n">
        <v>0.35205623</v>
      </c>
      <c r="P45" s="20" t="n">
        <v>0.36449611</v>
      </c>
      <c r="Q45" s="18" t="n">
        <v>20.78301127</v>
      </c>
      <c r="R45" s="20" t="n">
        <v>1.46128957</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(1711.0/B54*100)</f>
        <v/>
      </c>
      <c r="D54" s="19" t="n">
        <v>846</v>
      </c>
      <c r="E54" s="18" t="n">
        <v>60.35014817</v>
      </c>
      <c r="F54" s="20" t="n">
        <v>1.91077449</v>
      </c>
      <c r="G54" s="18" t="n">
        <v>14.81893853</v>
      </c>
      <c r="H54" s="20" t="n">
        <v>1.35934491</v>
      </c>
      <c r="I54" s="18" t="n">
        <v>0</v>
      </c>
      <c r="J54" s="20" t="n">
        <v>0</v>
      </c>
      <c r="K54" s="18" t="n">
        <v>1.1036123</v>
      </c>
      <c r="L54" s="20" t="n">
        <v>0.32732529</v>
      </c>
      <c r="M54" s="18" t="n">
        <v>0</v>
      </c>
      <c r="N54" s="20" t="n">
        <v>0</v>
      </c>
      <c r="O54" s="18" t="n">
        <v>0</v>
      </c>
      <c r="P54" s="20" t="n">
        <v>0</v>
      </c>
      <c r="Q54" s="18" t="n">
        <v>23.72730101</v>
      </c>
      <c r="R54" s="20" t="n">
        <v>1.62428122</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(2226.0/B56*100)</f>
        <v/>
      </c>
      <c r="D56" s="19" t="n">
        <v>1117</v>
      </c>
      <c r="E56" s="18" t="n">
        <v>74.44893747</v>
      </c>
      <c r="F56" s="20" t="n">
        <v>1.65649399</v>
      </c>
      <c r="G56" s="18" t="n">
        <v>19.96360536</v>
      </c>
      <c r="H56" s="20" t="n">
        <v>1.4662462</v>
      </c>
      <c r="I56" s="18" t="n">
        <v>0</v>
      </c>
      <c r="J56" s="20" t="n">
        <v>0</v>
      </c>
      <c r="K56" s="18" t="n">
        <v>1.4335998</v>
      </c>
      <c r="L56" s="20" t="n">
        <v>0.49370933</v>
      </c>
      <c r="M56" s="18" t="n">
        <v>0</v>
      </c>
      <c r="N56" s="20" t="n">
        <v>0</v>
      </c>
      <c r="O56" s="18" t="n">
        <v>0</v>
      </c>
      <c r="P56" s="20" t="n">
        <v>0</v>
      </c>
      <c r="Q56" s="18" t="n">
        <v>4.15385737</v>
      </c>
      <c r="R56" s="20" t="n">
        <v>0.82792164</v>
      </c>
    </row>
    <row r="57" spans="1:18">
      <c r="A57" s="15" t="s">
        <v>616</v>
      </c>
      <c r="B57" s="17" t="n">
        <v>3737</v>
      </c>
      <c r="C57" s="18">
        <f>(2502.0/B57*100)</f>
        <v/>
      </c>
      <c r="D57" s="19" t="n">
        <v>1235</v>
      </c>
      <c r="E57" s="18" t="n">
        <v>65.26430446000001</v>
      </c>
      <c r="F57" s="20" t="n">
        <v>1.90010216</v>
      </c>
      <c r="G57" s="18" t="n">
        <v>27.65684906</v>
      </c>
      <c r="H57" s="20" t="n">
        <v>1.88745124</v>
      </c>
      <c r="I57" s="18" t="n">
        <v>0</v>
      </c>
      <c r="J57" s="20" t="n">
        <v>0</v>
      </c>
      <c r="K57" s="18" t="n">
        <v>1.5007593</v>
      </c>
      <c r="L57" s="20" t="n">
        <v>0.36433148</v>
      </c>
      <c r="M57" s="18" t="n">
        <v>0</v>
      </c>
      <c r="N57" s="20" t="n">
        <v>0</v>
      </c>
      <c r="O57" s="18" t="n">
        <v>0</v>
      </c>
      <c r="P57" s="20" t="n">
        <v>0</v>
      </c>
      <c r="Q57" s="18" t="n">
        <v>5.57808718</v>
      </c>
      <c r="R57" s="20" t="n">
        <v>0.86062736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(1500.0/B59*100)</f>
        <v/>
      </c>
      <c r="D59" s="19" t="n">
        <v>778</v>
      </c>
      <c r="E59" s="18" t="n">
        <v>75.62184478</v>
      </c>
      <c r="F59" s="20" t="n">
        <v>1.94424826</v>
      </c>
      <c r="G59" s="18" t="n">
        <v>1.93030333</v>
      </c>
      <c r="H59" s="20" t="n">
        <v>0.55215643</v>
      </c>
      <c r="I59" s="18" t="n">
        <v>0</v>
      </c>
      <c r="J59" s="20" t="n">
        <v>0</v>
      </c>
      <c r="K59" s="18" t="n">
        <v>0.50120452</v>
      </c>
      <c r="L59" s="20" t="n">
        <v>0.26395771</v>
      </c>
      <c r="M59" s="18" t="n">
        <v>0</v>
      </c>
      <c r="N59" s="20" t="n">
        <v>0</v>
      </c>
      <c r="O59" s="18" t="n">
        <v>0</v>
      </c>
      <c r="P59" s="20" t="n">
        <v>0</v>
      </c>
      <c r="Q59" s="18" t="n">
        <v>21.94664737</v>
      </c>
      <c r="R59" s="20" t="n">
        <v>1.78505876</v>
      </c>
    </row>
    <row r="60" spans="1:18">
      <c r="A60" s="15" t="s">
        <v>620</v>
      </c>
      <c r="B60" s="17" t="n">
        <v>2451</v>
      </c>
      <c r="C60" s="18">
        <f>(1668.0/B60*100)</f>
        <v/>
      </c>
      <c r="D60" s="19" t="n">
        <v>783</v>
      </c>
      <c r="E60" s="18" t="n">
        <v>60.86966826</v>
      </c>
      <c r="F60" s="20" t="n">
        <v>2.00371639</v>
      </c>
      <c r="G60" s="18" t="n">
        <v>7.11775528</v>
      </c>
      <c r="H60" s="20" t="n">
        <v>1.1301652</v>
      </c>
      <c r="I60" s="18" t="n">
        <v>0</v>
      </c>
      <c r="J60" s="20" t="n">
        <v>0</v>
      </c>
      <c r="K60" s="18" t="n">
        <v>2.78429932</v>
      </c>
      <c r="L60" s="20" t="n">
        <v>0.7045217</v>
      </c>
      <c r="M60" s="18" t="n">
        <v>0</v>
      </c>
      <c r="N60" s="20" t="n">
        <v>0</v>
      </c>
      <c r="O60" s="18" t="n">
        <v>0.07137079</v>
      </c>
      <c r="P60" s="20" t="n">
        <v>0.07172865</v>
      </c>
      <c r="Q60" s="18" t="n">
        <v>29.15690635</v>
      </c>
      <c r="R60" s="20" t="n">
        <v>1.95417609</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(1669.0/B63*100)</f>
        <v/>
      </c>
      <c r="D63" s="19" t="n">
        <v>842</v>
      </c>
      <c r="E63" s="18" t="n">
        <v>40.96092949</v>
      </c>
      <c r="F63" s="20" t="n">
        <v>2.02345977</v>
      </c>
      <c r="G63" s="18" t="n">
        <v>18.24123184</v>
      </c>
      <c r="H63" s="20" t="n">
        <v>1.50800169</v>
      </c>
      <c r="I63" s="18" t="n">
        <v>0</v>
      </c>
      <c r="J63" s="20" t="n">
        <v>0</v>
      </c>
      <c r="K63" s="18" t="n">
        <v>1.51069893</v>
      </c>
      <c r="L63" s="20" t="n">
        <v>0.40286255</v>
      </c>
      <c r="M63" s="18" t="n">
        <v>0</v>
      </c>
      <c r="N63" s="20" t="n">
        <v>0</v>
      </c>
      <c r="O63" s="18" t="n">
        <v>0</v>
      </c>
      <c r="P63" s="20" t="n">
        <v>0</v>
      </c>
      <c r="Q63" s="18" t="n">
        <v>39.28713975</v>
      </c>
      <c r="R63" s="20" t="n">
        <v>1.86388032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(1185.0/B65*100)</f>
        <v/>
      </c>
      <c r="D65" s="19" t="n">
        <v>605</v>
      </c>
      <c r="E65" s="18" t="n">
        <v>59.86804939</v>
      </c>
      <c r="F65" s="20" t="n">
        <v>1.97549824</v>
      </c>
      <c r="G65" s="18" t="n">
        <v>24.15361187</v>
      </c>
      <c r="H65" s="20" t="n">
        <v>1.56625039</v>
      </c>
      <c r="I65" s="18" t="n">
        <v>0</v>
      </c>
      <c r="J65" s="20" t="n">
        <v>0</v>
      </c>
      <c r="K65" s="18" t="n">
        <v>0.95417891</v>
      </c>
      <c r="L65" s="20" t="n">
        <v>0.41068182</v>
      </c>
      <c r="M65" s="18" t="n">
        <v>0.28752453</v>
      </c>
      <c r="N65" s="20" t="n">
        <v>0.20414628</v>
      </c>
      <c r="O65" s="18" t="n">
        <v>0</v>
      </c>
      <c r="P65" s="20" t="n">
        <v>0</v>
      </c>
      <c r="Q65" s="18" t="n">
        <v>14.73663529</v>
      </c>
      <c r="R65" s="20" t="n">
        <v>1.35455779</v>
      </c>
    </row>
    <row r="66" spans="1:18">
      <c r="A66" s="15" t="s">
        <v>626</v>
      </c>
      <c r="B66" s="17" t="n">
        <v>2634</v>
      </c>
      <c r="C66" s="18">
        <f>(1744.0/B66*100)</f>
        <v/>
      </c>
      <c r="D66" s="19" t="n">
        <v>890</v>
      </c>
      <c r="E66" s="18" t="n">
        <v>62.52814628</v>
      </c>
      <c r="F66" s="20" t="n">
        <v>1.88848447</v>
      </c>
      <c r="G66" s="18" t="n">
        <v>19.56257378</v>
      </c>
      <c r="H66" s="20" t="n">
        <v>1.51776852</v>
      </c>
      <c r="I66" s="18" t="n">
        <v>0</v>
      </c>
      <c r="J66" s="20" t="n">
        <v>0</v>
      </c>
      <c r="K66" s="18" t="n">
        <v>1.53528946</v>
      </c>
      <c r="L66" s="20" t="n">
        <v>0.54382992</v>
      </c>
      <c r="M66" s="18" t="n">
        <v>0</v>
      </c>
      <c r="N66" s="20" t="n">
        <v>0</v>
      </c>
      <c r="O66" s="18" t="n">
        <v>0</v>
      </c>
      <c r="P66" s="20" t="n">
        <v>0</v>
      </c>
      <c r="Q66" s="18" t="n">
        <v>16.37399049</v>
      </c>
      <c r="R66" s="20" t="n">
        <v>1.31014814</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(474.0/B69*100)</f>
        <v/>
      </c>
      <c r="D69" s="19" t="n">
        <v>246</v>
      </c>
      <c r="E69" s="18" t="n">
        <v>87.46975981999999</v>
      </c>
      <c r="F69" s="20" t="n">
        <v>2.52250641</v>
      </c>
      <c r="G69" s="18" t="n">
        <v>5.3765869</v>
      </c>
      <c r="H69" s="20" t="n">
        <v>1.58349651</v>
      </c>
      <c r="I69" s="18" t="n">
        <v>0</v>
      </c>
      <c r="J69" s="20" t="n">
        <v>0</v>
      </c>
      <c r="K69" s="18" t="n">
        <v>0</v>
      </c>
      <c r="L69" s="20" t="n">
        <v>0</v>
      </c>
      <c r="M69" s="18" t="n">
        <v>0</v>
      </c>
      <c r="N69" s="20" t="n">
        <v>0</v>
      </c>
      <c r="O69" s="18" t="n">
        <v>0</v>
      </c>
      <c r="P69" s="20" t="n">
        <v>0</v>
      </c>
      <c r="Q69" s="18" t="n">
        <v>7.15365328</v>
      </c>
      <c r="R69" s="20" t="n">
        <v>2.3240407</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(1642.0/B71*100)</f>
        <v/>
      </c>
      <c r="D71" s="19" t="n">
        <v>824</v>
      </c>
      <c r="E71" s="18" t="n">
        <v>75.41435418</v>
      </c>
      <c r="F71" s="20" t="n">
        <v>1.73943454</v>
      </c>
      <c r="G71" s="18" t="n">
        <v>24.02613083</v>
      </c>
      <c r="H71" s="20" t="n">
        <v>1.69405111</v>
      </c>
      <c r="I71" s="18" t="n">
        <v>0</v>
      </c>
      <c r="J71" s="20" t="n">
        <v>0</v>
      </c>
      <c r="K71" s="18" t="n">
        <v>0</v>
      </c>
      <c r="L71" s="20" t="n">
        <v>0</v>
      </c>
      <c r="M71" s="18" t="n">
        <v>0</v>
      </c>
      <c r="N71" s="20" t="n">
        <v>0</v>
      </c>
      <c r="O71" s="18" t="n">
        <v>0</v>
      </c>
      <c r="P71" s="20" t="n">
        <v>0</v>
      </c>
      <c r="Q71" s="18" t="n">
        <v>0.55951498</v>
      </c>
      <c r="R71" s="20" t="n">
        <v>0.24968227</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(1630.0/B76*100)</f>
        <v/>
      </c>
      <c r="D76" s="19" t="n">
        <v>823</v>
      </c>
      <c r="E76" s="18" t="n">
        <v>68.00665888</v>
      </c>
      <c r="F76" s="20" t="n">
        <v>1.74154856</v>
      </c>
      <c r="G76" s="18" t="n">
        <v>16.27473841</v>
      </c>
      <c r="H76" s="20" t="n">
        <v>1.34728576</v>
      </c>
      <c r="I76" s="18" t="n">
        <v>0</v>
      </c>
      <c r="J76" s="20" t="n">
        <v>0</v>
      </c>
      <c r="K76" s="18" t="n">
        <v>1.65187247</v>
      </c>
      <c r="L76" s="20" t="n">
        <v>0.44428708</v>
      </c>
      <c r="M76" s="18" t="n">
        <v>0</v>
      </c>
      <c r="N76" s="20" t="n">
        <v>0</v>
      </c>
      <c r="O76" s="18" t="n">
        <v>0</v>
      </c>
      <c r="P76" s="20" t="n">
        <v>0</v>
      </c>
      <c r="Q76" s="18" t="n">
        <v>14.06673024</v>
      </c>
      <c r="R76" s="20" t="n">
        <v>1.28394635</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62.19376001</v>
      </c>
      <c r="F80" s="20" t="n">
        <v>2.27269191</v>
      </c>
      <c r="G80" s="18" t="n">
        <v>37.57489432</v>
      </c>
      <c r="H80" s="20" t="n">
        <v>2.26416357</v>
      </c>
      <c r="I80" s="18" t="n">
        <v>0</v>
      </c>
      <c r="J80" s="20" t="n">
        <v>0</v>
      </c>
      <c r="K80" s="18" t="n">
        <v>0</v>
      </c>
      <c r="L80" s="20" t="n">
        <v>0</v>
      </c>
      <c r="M80" s="18" t="n">
        <v>0</v>
      </c>
      <c r="N80" s="20" t="n">
        <v>0</v>
      </c>
      <c r="O80" s="18" t="n">
        <v>0</v>
      </c>
      <c r="P80" s="20" t="n">
        <v>0</v>
      </c>
      <c r="Q80" s="18" t="n">
        <v>0.23134567</v>
      </c>
      <c r="R80" s="20" t="n">
        <v>0.14790036</v>
      </c>
    </row>
    <row r="81" spans="1:18">
      <c r="A81" s="15" t="s">
        <v>641</v>
      </c>
      <c r="B81" s="17" t="n">
        <v>870</v>
      </c>
      <c r="C81" s="18">
        <f>(585.0/B81*100)</f>
        <v/>
      </c>
      <c r="D81" s="19" t="n">
        <v>285</v>
      </c>
      <c r="E81" s="18" t="n">
        <v>70.62021729999999</v>
      </c>
      <c r="F81" s="20" t="n">
        <v>2.36927714</v>
      </c>
      <c r="G81" s="18" t="n">
        <v>7.81858816</v>
      </c>
      <c r="H81" s="20" t="n">
        <v>1.56531748</v>
      </c>
      <c r="I81" s="18" t="n">
        <v>0</v>
      </c>
      <c r="J81" s="20" t="n">
        <v>0</v>
      </c>
      <c r="K81" s="18" t="n">
        <v>3.16443684</v>
      </c>
      <c r="L81" s="20" t="n">
        <v>0.9079227600000001</v>
      </c>
      <c r="M81" s="18" t="n">
        <v>0</v>
      </c>
      <c r="N81" s="20" t="n">
        <v>0</v>
      </c>
      <c r="O81" s="18" t="n">
        <v>0</v>
      </c>
      <c r="P81" s="20" t="n">
        <v>0</v>
      </c>
      <c r="Q81" s="18" t="n">
        <v>18.3967577</v>
      </c>
      <c r="R81" s="20" t="n">
        <v>2.33446516</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(1787.0/B44*100)</f>
        <v/>
      </c>
      <c r="D44" s="19" t="n">
        <v>904</v>
      </c>
      <c r="E44" s="18" t="n">
        <v>55.06592583</v>
      </c>
      <c r="F44" s="20" t="n">
        <v>1.89947339</v>
      </c>
      <c r="G44" s="18" t="n">
        <v>41.31125623</v>
      </c>
      <c r="H44" s="20" t="n">
        <v>2.00238264</v>
      </c>
      <c r="I44" s="18" t="n">
        <v>0</v>
      </c>
      <c r="J44" s="20" t="n">
        <v>0</v>
      </c>
      <c r="K44" s="18" t="n">
        <v>1.16184259</v>
      </c>
      <c r="L44" s="20" t="n">
        <v>0.34829256</v>
      </c>
      <c r="M44" s="18" t="n">
        <v>0</v>
      </c>
      <c r="N44" s="20" t="n">
        <v>0</v>
      </c>
      <c r="O44" s="18" t="n">
        <v>0</v>
      </c>
      <c r="P44" s="20" t="n">
        <v>0</v>
      </c>
      <c r="Q44" s="18" t="n">
        <v>2.46097535</v>
      </c>
      <c r="R44" s="20" t="n">
        <v>0.49457967</v>
      </c>
    </row>
    <row r="45" spans="1:18">
      <c r="A45" s="15" t="s">
        <v>604</v>
      </c>
      <c r="B45" s="17" t="n">
        <v>2670</v>
      </c>
      <c r="C45" s="18">
        <f>(1761.0/B45*100)</f>
        <v/>
      </c>
      <c r="D45" s="19" t="n">
        <v>909</v>
      </c>
      <c r="E45" s="18" t="n">
        <v>65.78742778</v>
      </c>
      <c r="F45" s="20" t="n">
        <v>1.5315385</v>
      </c>
      <c r="G45" s="18" t="n">
        <v>24.36420475</v>
      </c>
      <c r="H45" s="20" t="n">
        <v>1.46153567</v>
      </c>
      <c r="I45" s="18" t="n">
        <v>0</v>
      </c>
      <c r="J45" s="20" t="n">
        <v>0</v>
      </c>
      <c r="K45" s="18" t="n">
        <v>2.22046282</v>
      </c>
      <c r="L45" s="20" t="n">
        <v>0.49620453</v>
      </c>
      <c r="M45" s="18" t="n">
        <v>1.25892945</v>
      </c>
      <c r="N45" s="20" t="n">
        <v>0.33610331</v>
      </c>
      <c r="O45" s="18" t="n">
        <v>0.16821403</v>
      </c>
      <c r="P45" s="20" t="n">
        <v>0.12140443</v>
      </c>
      <c r="Q45" s="18" t="n">
        <v>6.20076116</v>
      </c>
      <c r="R45" s="20" t="n">
        <v>0.86188151</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(1711.0/B54*100)</f>
        <v/>
      </c>
      <c r="D54" s="19" t="n">
        <v>846</v>
      </c>
      <c r="E54" s="18" t="n">
        <v>63.61365121</v>
      </c>
      <c r="F54" s="20" t="n">
        <v>1.77878002</v>
      </c>
      <c r="G54" s="18" t="n">
        <v>33.89147743</v>
      </c>
      <c r="H54" s="20" t="n">
        <v>1.72488729</v>
      </c>
      <c r="I54" s="18" t="n">
        <v>0</v>
      </c>
      <c r="J54" s="20" t="n">
        <v>0</v>
      </c>
      <c r="K54" s="18" t="n">
        <v>1.1036123</v>
      </c>
      <c r="L54" s="20" t="n">
        <v>0.32732529</v>
      </c>
      <c r="M54" s="18" t="n">
        <v>0</v>
      </c>
      <c r="N54" s="20" t="n">
        <v>0</v>
      </c>
      <c r="O54" s="18" t="n">
        <v>0</v>
      </c>
      <c r="P54" s="20" t="n">
        <v>0</v>
      </c>
      <c r="Q54" s="18" t="n">
        <v>1.39125906</v>
      </c>
      <c r="R54" s="20" t="n">
        <v>0.49643807</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(2226.0/B56*100)</f>
        <v/>
      </c>
      <c r="D56" s="19" t="n">
        <v>1117</v>
      </c>
      <c r="E56" s="18" t="n">
        <v>69.45997294999999</v>
      </c>
      <c r="F56" s="20" t="n">
        <v>1.69954209</v>
      </c>
      <c r="G56" s="18" t="n">
        <v>27.82100218</v>
      </c>
      <c r="H56" s="20" t="n">
        <v>1.58808769</v>
      </c>
      <c r="I56" s="18" t="n">
        <v>0</v>
      </c>
      <c r="J56" s="20" t="n">
        <v>0</v>
      </c>
      <c r="K56" s="18" t="n">
        <v>1.57461725</v>
      </c>
      <c r="L56" s="20" t="n">
        <v>0.51433803</v>
      </c>
      <c r="M56" s="18" t="n">
        <v>0</v>
      </c>
      <c r="N56" s="20" t="n">
        <v>0</v>
      </c>
      <c r="O56" s="18" t="n">
        <v>0</v>
      </c>
      <c r="P56" s="20" t="n">
        <v>0</v>
      </c>
      <c r="Q56" s="18" t="n">
        <v>1.14440762</v>
      </c>
      <c r="R56" s="20" t="n">
        <v>0.46079247</v>
      </c>
    </row>
    <row r="57" spans="1:18">
      <c r="A57" s="15" t="s">
        <v>616</v>
      </c>
      <c r="B57" s="17" t="n">
        <v>3737</v>
      </c>
      <c r="C57" s="18">
        <f>(2502.0/B57*100)</f>
        <v/>
      </c>
      <c r="D57" s="19" t="n">
        <v>1235</v>
      </c>
      <c r="E57" s="18" t="n">
        <v>60.84330962</v>
      </c>
      <c r="F57" s="20" t="n">
        <v>1.98243058</v>
      </c>
      <c r="G57" s="18" t="n">
        <v>36.82859283</v>
      </c>
      <c r="H57" s="20" t="n">
        <v>1.8673944</v>
      </c>
      <c r="I57" s="18" t="n">
        <v>0</v>
      </c>
      <c r="J57" s="20" t="n">
        <v>0</v>
      </c>
      <c r="K57" s="18" t="n">
        <v>1.5007593</v>
      </c>
      <c r="L57" s="20" t="n">
        <v>0.36433148</v>
      </c>
      <c r="M57" s="18" t="n">
        <v>0</v>
      </c>
      <c r="N57" s="20" t="n">
        <v>0</v>
      </c>
      <c r="O57" s="18" t="n">
        <v>0</v>
      </c>
      <c r="P57" s="20" t="n">
        <v>0</v>
      </c>
      <c r="Q57" s="18" t="n">
        <v>0.8273382500000001</v>
      </c>
      <c r="R57" s="20" t="n">
        <v>0.18102612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(1500.0/B59*100)</f>
        <v/>
      </c>
      <c r="D59" s="19" t="n">
        <v>778</v>
      </c>
      <c r="E59" s="18" t="n">
        <v>68.35240321000001</v>
      </c>
      <c r="F59" s="20" t="n">
        <v>1.99724185</v>
      </c>
      <c r="G59" s="18" t="n">
        <v>29.63516507</v>
      </c>
      <c r="H59" s="20" t="n">
        <v>1.94857623</v>
      </c>
      <c r="I59" s="18" t="n">
        <v>0</v>
      </c>
      <c r="J59" s="20" t="n">
        <v>0</v>
      </c>
      <c r="K59" s="18" t="n">
        <v>0.50120452</v>
      </c>
      <c r="L59" s="20" t="n">
        <v>0.26395771</v>
      </c>
      <c r="M59" s="18" t="n">
        <v>0</v>
      </c>
      <c r="N59" s="20" t="n">
        <v>0</v>
      </c>
      <c r="O59" s="18" t="n">
        <v>0</v>
      </c>
      <c r="P59" s="20" t="n">
        <v>0</v>
      </c>
      <c r="Q59" s="18" t="n">
        <v>1.51122719</v>
      </c>
      <c r="R59" s="20" t="n">
        <v>0.43681542</v>
      </c>
    </row>
    <row r="60" spans="1:18">
      <c r="A60" s="15" t="s">
        <v>620</v>
      </c>
      <c r="B60" s="17" t="n">
        <v>2451</v>
      </c>
      <c r="C60" s="18">
        <f>(1668.0/B60*100)</f>
        <v/>
      </c>
      <c r="D60" s="19" t="n">
        <v>783</v>
      </c>
      <c r="E60" s="18" t="n">
        <v>58.6762959</v>
      </c>
      <c r="F60" s="20" t="n">
        <v>1.93557917</v>
      </c>
      <c r="G60" s="18" t="n">
        <v>31.49095964</v>
      </c>
      <c r="H60" s="20" t="n">
        <v>2.0894951</v>
      </c>
      <c r="I60" s="18" t="n">
        <v>0</v>
      </c>
      <c r="J60" s="20" t="n">
        <v>0</v>
      </c>
      <c r="K60" s="18" t="n">
        <v>3.30354075</v>
      </c>
      <c r="L60" s="20" t="n">
        <v>0.6789129699999999</v>
      </c>
      <c r="M60" s="18" t="n">
        <v>0</v>
      </c>
      <c r="N60" s="20" t="n">
        <v>0</v>
      </c>
      <c r="O60" s="18" t="n">
        <v>0</v>
      </c>
      <c r="P60" s="20" t="n">
        <v>0</v>
      </c>
      <c r="Q60" s="18" t="n">
        <v>6.52920371</v>
      </c>
      <c r="R60" s="20" t="n">
        <v>0.939248</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(1669.0/B63*100)</f>
        <v/>
      </c>
      <c r="D63" s="19" t="n">
        <v>842</v>
      </c>
      <c r="E63" s="18" t="n">
        <v>65.76833109</v>
      </c>
      <c r="F63" s="20" t="n">
        <v>1.87554001</v>
      </c>
      <c r="G63" s="18" t="n">
        <v>29.27547584</v>
      </c>
      <c r="H63" s="20" t="n">
        <v>1.74370224</v>
      </c>
      <c r="I63" s="18" t="n">
        <v>0</v>
      </c>
      <c r="J63" s="20" t="n">
        <v>0</v>
      </c>
      <c r="K63" s="18" t="n">
        <v>1.51069893</v>
      </c>
      <c r="L63" s="20" t="n">
        <v>0.40286255</v>
      </c>
      <c r="M63" s="18" t="n">
        <v>0</v>
      </c>
      <c r="N63" s="20" t="n">
        <v>0</v>
      </c>
      <c r="O63" s="18" t="n">
        <v>0.06121804</v>
      </c>
      <c r="P63" s="20" t="n">
        <v>0.06111089</v>
      </c>
      <c r="Q63" s="18" t="n">
        <v>3.38427611</v>
      </c>
      <c r="R63" s="20" t="n">
        <v>0.57919473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(1185.0/B65*100)</f>
        <v/>
      </c>
      <c r="D65" s="19" t="n">
        <v>605</v>
      </c>
      <c r="E65" s="18" t="n">
        <v>49.43718235</v>
      </c>
      <c r="F65" s="20" t="n">
        <v>1.99501284</v>
      </c>
      <c r="G65" s="18" t="n">
        <v>49.01475244</v>
      </c>
      <c r="H65" s="20" t="n">
        <v>2.00152622</v>
      </c>
      <c r="I65" s="18" t="n">
        <v>0</v>
      </c>
      <c r="J65" s="20" t="n">
        <v>0</v>
      </c>
      <c r="K65" s="18" t="n">
        <v>0.95417891</v>
      </c>
      <c r="L65" s="20" t="n">
        <v>0.41068182</v>
      </c>
      <c r="M65" s="18" t="n">
        <v>0</v>
      </c>
      <c r="N65" s="20" t="n">
        <v>0</v>
      </c>
      <c r="O65" s="18" t="n">
        <v>0</v>
      </c>
      <c r="P65" s="20" t="n">
        <v>0</v>
      </c>
      <c r="Q65" s="18" t="n">
        <v>0.5938863</v>
      </c>
      <c r="R65" s="20" t="n">
        <v>0.29326973</v>
      </c>
    </row>
    <row r="66" spans="1:18">
      <c r="A66" s="15" t="s">
        <v>626</v>
      </c>
      <c r="B66" s="17" t="n">
        <v>2634</v>
      </c>
      <c r="C66" s="18">
        <f>(1744.0/B66*100)</f>
        <v/>
      </c>
      <c r="D66" s="19" t="n">
        <v>890</v>
      </c>
      <c r="E66" s="18" t="n">
        <v>58.22152048</v>
      </c>
      <c r="F66" s="20" t="n">
        <v>1.64627861</v>
      </c>
      <c r="G66" s="18" t="n">
        <v>38.6716901</v>
      </c>
      <c r="H66" s="20" t="n">
        <v>1.59921549</v>
      </c>
      <c r="I66" s="18" t="n">
        <v>0</v>
      </c>
      <c r="J66" s="20" t="n">
        <v>0</v>
      </c>
      <c r="K66" s="18" t="n">
        <v>1.73500319</v>
      </c>
      <c r="L66" s="20" t="n">
        <v>0.57153035</v>
      </c>
      <c r="M66" s="18" t="n">
        <v>0</v>
      </c>
      <c r="N66" s="20" t="n">
        <v>0</v>
      </c>
      <c r="O66" s="18" t="n">
        <v>0</v>
      </c>
      <c r="P66" s="20" t="n">
        <v>0</v>
      </c>
      <c r="Q66" s="18" t="n">
        <v>1.37178623</v>
      </c>
      <c r="R66" s="20" t="n">
        <v>0.38076516</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(474.0/B69*100)</f>
        <v/>
      </c>
      <c r="D69" s="19" t="n">
        <v>246</v>
      </c>
      <c r="E69" s="18" t="n">
        <v>47.77637115</v>
      </c>
      <c r="F69" s="20" t="n">
        <v>2.87322264</v>
      </c>
      <c r="G69" s="18" t="n">
        <v>50.80070684</v>
      </c>
      <c r="H69" s="20" t="n">
        <v>2.47437899</v>
      </c>
      <c r="I69" s="18" t="n">
        <v>0</v>
      </c>
      <c r="J69" s="20" t="n">
        <v>0</v>
      </c>
      <c r="K69" s="18" t="n">
        <v>0</v>
      </c>
      <c r="L69" s="20" t="n">
        <v>0</v>
      </c>
      <c r="M69" s="18" t="n">
        <v>0</v>
      </c>
      <c r="N69" s="20" t="n">
        <v>0</v>
      </c>
      <c r="O69" s="18" t="n">
        <v>0</v>
      </c>
      <c r="P69" s="20" t="n">
        <v>0</v>
      </c>
      <c r="Q69" s="18" t="n">
        <v>1.422922</v>
      </c>
      <c r="R69" s="20" t="n">
        <v>1.00009152</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(1642.0/B71*100)</f>
        <v/>
      </c>
      <c r="D71" s="19" t="n">
        <v>824</v>
      </c>
      <c r="E71" s="18" t="n">
        <v>62.75259742</v>
      </c>
      <c r="F71" s="20" t="n">
        <v>2.17231084</v>
      </c>
      <c r="G71" s="18" t="n">
        <v>37.14635388</v>
      </c>
      <c r="H71" s="20" t="n">
        <v>2.17794539</v>
      </c>
      <c r="I71" s="18" t="n">
        <v>0</v>
      </c>
      <c r="J71" s="20" t="n">
        <v>0</v>
      </c>
      <c r="K71" s="18" t="n">
        <v>0</v>
      </c>
      <c r="L71" s="20" t="n">
        <v>0</v>
      </c>
      <c r="M71" s="18" t="n">
        <v>0</v>
      </c>
      <c r="N71" s="20" t="n">
        <v>0</v>
      </c>
      <c r="O71" s="18" t="n">
        <v>0</v>
      </c>
      <c r="P71" s="20" t="n">
        <v>0</v>
      </c>
      <c r="Q71" s="18" t="n">
        <v>0.1010487</v>
      </c>
      <c r="R71" s="20" t="n">
        <v>0.10068098</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(1630.0/B76*100)</f>
        <v/>
      </c>
      <c r="D76" s="19" t="n">
        <v>823</v>
      </c>
      <c r="E76" s="18" t="n">
        <v>48.12432251</v>
      </c>
      <c r="F76" s="20" t="n">
        <v>1.72789391</v>
      </c>
      <c r="G76" s="18" t="n">
        <v>46.61841046</v>
      </c>
      <c r="H76" s="20" t="n">
        <v>1.711893</v>
      </c>
      <c r="I76" s="18" t="n">
        <v>0</v>
      </c>
      <c r="J76" s="20" t="n">
        <v>0</v>
      </c>
      <c r="K76" s="18" t="n">
        <v>1.78189006</v>
      </c>
      <c r="L76" s="20" t="n">
        <v>0.4613953</v>
      </c>
      <c r="M76" s="18" t="n">
        <v>0</v>
      </c>
      <c r="N76" s="20" t="n">
        <v>0</v>
      </c>
      <c r="O76" s="18" t="n">
        <v>0</v>
      </c>
      <c r="P76" s="20" t="n">
        <v>0</v>
      </c>
      <c r="Q76" s="18" t="n">
        <v>3.47537698</v>
      </c>
      <c r="R76" s="20" t="n">
        <v>0.66119377</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37.07843509</v>
      </c>
      <c r="F80" s="20" t="n">
        <v>2.1049528</v>
      </c>
      <c r="G80" s="18" t="n">
        <v>62.92156491</v>
      </c>
      <c r="H80" s="20" t="n">
        <v>2.1049528</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43.45288104</v>
      </c>
      <c r="F81" s="20" t="n">
        <v>4.60113513</v>
      </c>
      <c r="G81" s="18" t="n">
        <v>51.46777152</v>
      </c>
      <c r="H81" s="20" t="n">
        <v>4.3401542</v>
      </c>
      <c r="I81" s="18" t="n">
        <v>0</v>
      </c>
      <c r="J81" s="20" t="n">
        <v>0</v>
      </c>
      <c r="K81" s="18" t="n">
        <v>3.66941659</v>
      </c>
      <c r="L81" s="20" t="n">
        <v>1.25038159</v>
      </c>
      <c r="M81" s="18" t="n">
        <v>0</v>
      </c>
      <c r="N81" s="20" t="n">
        <v>0</v>
      </c>
      <c r="O81" s="18" t="n">
        <v>0</v>
      </c>
      <c r="P81" s="20" t="n">
        <v>0</v>
      </c>
      <c r="Q81" s="18" t="n">
        <v>1.40993086</v>
      </c>
      <c r="R81" s="20" t="n">
        <v>0.66603452</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(1787.0/B44*100)</f>
        <v/>
      </c>
      <c r="D44" s="19" t="n">
        <v>904</v>
      </c>
      <c r="E44" s="18" t="n">
        <v>53.86257415</v>
      </c>
      <c r="F44" s="20" t="n">
        <v>2.30534632</v>
      </c>
      <c r="G44" s="18" t="n">
        <v>42.05905392</v>
      </c>
      <c r="H44" s="20" t="n">
        <v>2.33102616</v>
      </c>
      <c r="I44" s="18" t="n">
        <v>0</v>
      </c>
      <c r="J44" s="20" t="n">
        <v>0</v>
      </c>
      <c r="K44" s="18" t="n">
        <v>1.64370732</v>
      </c>
      <c r="L44" s="20" t="n">
        <v>0.45282272</v>
      </c>
      <c r="M44" s="18" t="n">
        <v>0</v>
      </c>
      <c r="N44" s="20" t="n">
        <v>0</v>
      </c>
      <c r="O44" s="18" t="n">
        <v>0</v>
      </c>
      <c r="P44" s="20" t="n">
        <v>0</v>
      </c>
      <c r="Q44" s="18" t="n">
        <v>2.43466461</v>
      </c>
      <c r="R44" s="20" t="n">
        <v>0.59828856</v>
      </c>
    </row>
    <row r="45" spans="1:18">
      <c r="A45" s="15" t="s">
        <v>604</v>
      </c>
      <c r="B45" s="17" t="n">
        <v>2670</v>
      </c>
      <c r="C45" s="18">
        <f>(1761.0/B45*100)</f>
        <v/>
      </c>
      <c r="D45" s="19" t="n">
        <v>909</v>
      </c>
      <c r="E45" s="18" t="n">
        <v>70.1909842</v>
      </c>
      <c r="F45" s="20" t="n">
        <v>1.60386679</v>
      </c>
      <c r="G45" s="18" t="n">
        <v>23.14025691</v>
      </c>
      <c r="H45" s="20" t="n">
        <v>1.46466998</v>
      </c>
      <c r="I45" s="18" t="n">
        <v>0</v>
      </c>
      <c r="J45" s="20" t="n">
        <v>0</v>
      </c>
      <c r="K45" s="18" t="n">
        <v>2.55911397</v>
      </c>
      <c r="L45" s="20" t="n">
        <v>0.53949826</v>
      </c>
      <c r="M45" s="18" t="n">
        <v>0.44509667</v>
      </c>
      <c r="N45" s="20" t="n">
        <v>0.27517403</v>
      </c>
      <c r="O45" s="18" t="n">
        <v>0.11626893</v>
      </c>
      <c r="P45" s="20" t="n">
        <v>0.13124115</v>
      </c>
      <c r="Q45" s="18" t="n">
        <v>3.54827932</v>
      </c>
      <c r="R45" s="20" t="n">
        <v>0.59600938</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(1711.0/B54*100)</f>
        <v/>
      </c>
      <c r="D54" s="19" t="n">
        <v>846</v>
      </c>
      <c r="E54" s="18" t="n">
        <v>58.92203704</v>
      </c>
      <c r="F54" s="20" t="n">
        <v>1.60702527</v>
      </c>
      <c r="G54" s="18" t="n">
        <v>34.18549572</v>
      </c>
      <c r="H54" s="20" t="n">
        <v>1.46834233</v>
      </c>
      <c r="I54" s="18" t="n">
        <v>0</v>
      </c>
      <c r="J54" s="20" t="n">
        <v>0</v>
      </c>
      <c r="K54" s="18" t="n">
        <v>1.6697912</v>
      </c>
      <c r="L54" s="20" t="n">
        <v>0.39364365</v>
      </c>
      <c r="M54" s="18" t="n">
        <v>0</v>
      </c>
      <c r="N54" s="20" t="n">
        <v>0</v>
      </c>
      <c r="O54" s="18" t="n">
        <v>0</v>
      </c>
      <c r="P54" s="20" t="n">
        <v>0</v>
      </c>
      <c r="Q54" s="18" t="n">
        <v>5.22267605</v>
      </c>
      <c r="R54" s="20" t="n">
        <v>0.84208038</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(2226.0/B56*100)</f>
        <v/>
      </c>
      <c r="D56" s="19" t="n">
        <v>1117</v>
      </c>
      <c r="E56" s="18" t="n">
        <v>72.50777684000001</v>
      </c>
      <c r="F56" s="20" t="n">
        <v>1.60853595</v>
      </c>
      <c r="G56" s="18" t="n">
        <v>21.41842696</v>
      </c>
      <c r="H56" s="20" t="n">
        <v>1.42716286</v>
      </c>
      <c r="I56" s="18" t="n">
        <v>0</v>
      </c>
      <c r="J56" s="20" t="n">
        <v>0</v>
      </c>
      <c r="K56" s="18" t="n">
        <v>1.72732555</v>
      </c>
      <c r="L56" s="20" t="n">
        <v>0.53051808</v>
      </c>
      <c r="M56" s="18" t="n">
        <v>0</v>
      </c>
      <c r="N56" s="20" t="n">
        <v>0</v>
      </c>
      <c r="O56" s="18" t="n">
        <v>0</v>
      </c>
      <c r="P56" s="20" t="n">
        <v>0</v>
      </c>
      <c r="Q56" s="18" t="n">
        <v>4.34647065</v>
      </c>
      <c r="R56" s="20" t="n">
        <v>0.8666157799999999</v>
      </c>
    </row>
    <row r="57" spans="1:18">
      <c r="A57" s="15" t="s">
        <v>616</v>
      </c>
      <c r="B57" s="17" t="n">
        <v>3737</v>
      </c>
      <c r="C57" s="18">
        <f>(2502.0/B57*100)</f>
        <v/>
      </c>
      <c r="D57" s="19" t="n">
        <v>1235</v>
      </c>
      <c r="E57" s="18" t="n">
        <v>52.86811332</v>
      </c>
      <c r="F57" s="20" t="n">
        <v>2.27061334</v>
      </c>
      <c r="G57" s="18" t="n">
        <v>44.78766878</v>
      </c>
      <c r="H57" s="20" t="n">
        <v>2.29492492</v>
      </c>
      <c r="I57" s="18" t="n">
        <v>0</v>
      </c>
      <c r="J57" s="20" t="n">
        <v>0</v>
      </c>
      <c r="K57" s="18" t="n">
        <v>1.87198703</v>
      </c>
      <c r="L57" s="20" t="n">
        <v>0.38258367</v>
      </c>
      <c r="M57" s="18" t="n">
        <v>0</v>
      </c>
      <c r="N57" s="20" t="n">
        <v>0</v>
      </c>
      <c r="O57" s="18" t="n">
        <v>0.04519889</v>
      </c>
      <c r="P57" s="20" t="n">
        <v>0.04895397</v>
      </c>
      <c r="Q57" s="18" t="n">
        <v>0.42703199</v>
      </c>
      <c r="R57" s="20" t="n">
        <v>0.21839494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(1500.0/B59*100)</f>
        <v/>
      </c>
      <c r="D59" s="19" t="n">
        <v>778</v>
      </c>
      <c r="E59" s="18" t="n">
        <v>62.53586661</v>
      </c>
      <c r="F59" s="20" t="n">
        <v>2.13265595</v>
      </c>
      <c r="G59" s="18" t="n">
        <v>32.81143777</v>
      </c>
      <c r="H59" s="20" t="n">
        <v>1.94890876</v>
      </c>
      <c r="I59" s="18" t="n">
        <v>0</v>
      </c>
      <c r="J59" s="20" t="n">
        <v>0</v>
      </c>
      <c r="K59" s="18" t="n">
        <v>0.50120452</v>
      </c>
      <c r="L59" s="20" t="n">
        <v>0.26395771</v>
      </c>
      <c r="M59" s="18" t="n">
        <v>0</v>
      </c>
      <c r="N59" s="20" t="n">
        <v>0</v>
      </c>
      <c r="O59" s="18" t="n">
        <v>0</v>
      </c>
      <c r="P59" s="20" t="n">
        <v>0</v>
      </c>
      <c r="Q59" s="18" t="n">
        <v>4.15149111</v>
      </c>
      <c r="R59" s="20" t="n">
        <v>0.97272185</v>
      </c>
    </row>
    <row r="60" spans="1:18">
      <c r="A60" s="15" t="s">
        <v>620</v>
      </c>
      <c r="B60" s="17" t="n">
        <v>2451</v>
      </c>
      <c r="C60" s="18">
        <f>(1668.0/B60*100)</f>
        <v/>
      </c>
      <c r="D60" s="19" t="n">
        <v>783</v>
      </c>
      <c r="E60" s="18" t="n">
        <v>40.63240437</v>
      </c>
      <c r="F60" s="20" t="n">
        <v>2.1457344</v>
      </c>
      <c r="G60" s="18" t="n">
        <v>50.66402871</v>
      </c>
      <c r="H60" s="20" t="n">
        <v>2.38948332</v>
      </c>
      <c r="I60" s="18" t="n">
        <v>0</v>
      </c>
      <c r="J60" s="20" t="n">
        <v>0</v>
      </c>
      <c r="K60" s="18" t="n">
        <v>4.4898851</v>
      </c>
      <c r="L60" s="20" t="n">
        <v>0.75863107</v>
      </c>
      <c r="M60" s="18" t="n">
        <v>0</v>
      </c>
      <c r="N60" s="20" t="n">
        <v>0</v>
      </c>
      <c r="O60" s="18" t="n">
        <v>0.12567264</v>
      </c>
      <c r="P60" s="20" t="n">
        <v>0.13129718</v>
      </c>
      <c r="Q60" s="18" t="n">
        <v>4.08800918</v>
      </c>
      <c r="R60" s="20" t="n">
        <v>0.79427856</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(1669.0/B63*100)</f>
        <v/>
      </c>
      <c r="D63" s="19" t="n">
        <v>842</v>
      </c>
      <c r="E63" s="18" t="n">
        <v>58.06318705</v>
      </c>
      <c r="F63" s="20" t="n">
        <v>1.38826798</v>
      </c>
      <c r="G63" s="18" t="n">
        <v>31.25422799</v>
      </c>
      <c r="H63" s="20" t="n">
        <v>1.28921432</v>
      </c>
      <c r="I63" s="18" t="n">
        <v>0</v>
      </c>
      <c r="J63" s="20" t="n">
        <v>0</v>
      </c>
      <c r="K63" s="18" t="n">
        <v>2.18106345</v>
      </c>
      <c r="L63" s="20" t="n">
        <v>0.46305608</v>
      </c>
      <c r="M63" s="18" t="n">
        <v>0</v>
      </c>
      <c r="N63" s="20" t="n">
        <v>0</v>
      </c>
      <c r="O63" s="18" t="n">
        <v>0</v>
      </c>
      <c r="P63" s="20" t="n">
        <v>0</v>
      </c>
      <c r="Q63" s="18" t="n">
        <v>8.501521500000001</v>
      </c>
      <c r="R63" s="20" t="n">
        <v>0.9346833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(1185.0/B65*100)</f>
        <v/>
      </c>
      <c r="D65" s="19" t="n">
        <v>605</v>
      </c>
      <c r="E65" s="18" t="n">
        <v>56.14069776</v>
      </c>
      <c r="F65" s="20" t="n">
        <v>2.03643318</v>
      </c>
      <c r="G65" s="18" t="n">
        <v>41.23126046</v>
      </c>
      <c r="H65" s="20" t="n">
        <v>1.97616629</v>
      </c>
      <c r="I65" s="18" t="n">
        <v>0</v>
      </c>
      <c r="J65" s="20" t="n">
        <v>0</v>
      </c>
      <c r="K65" s="18" t="n">
        <v>1.33026261</v>
      </c>
      <c r="L65" s="20" t="n">
        <v>0.48938494</v>
      </c>
      <c r="M65" s="18" t="n">
        <v>0</v>
      </c>
      <c r="N65" s="20" t="n">
        <v>0</v>
      </c>
      <c r="O65" s="18" t="n">
        <v>0</v>
      </c>
      <c r="P65" s="20" t="n">
        <v>0</v>
      </c>
      <c r="Q65" s="18" t="n">
        <v>1.29777918</v>
      </c>
      <c r="R65" s="20" t="n">
        <v>0.43011001</v>
      </c>
    </row>
    <row r="66" spans="1:18">
      <c r="A66" s="15" t="s">
        <v>626</v>
      </c>
      <c r="B66" s="17" t="n">
        <v>2634</v>
      </c>
      <c r="C66" s="18">
        <f>(1744.0/B66*100)</f>
        <v/>
      </c>
      <c r="D66" s="19" t="n">
        <v>890</v>
      </c>
      <c r="E66" s="18" t="n">
        <v>68.53031999</v>
      </c>
      <c r="F66" s="20" t="n">
        <v>1.74722974</v>
      </c>
      <c r="G66" s="18" t="n">
        <v>24.40603884</v>
      </c>
      <c r="H66" s="20" t="n">
        <v>1.89403959</v>
      </c>
      <c r="I66" s="18" t="n">
        <v>0</v>
      </c>
      <c r="J66" s="20" t="n">
        <v>0</v>
      </c>
      <c r="K66" s="18" t="n">
        <v>3.08120755</v>
      </c>
      <c r="L66" s="20" t="n">
        <v>0.6762246</v>
      </c>
      <c r="M66" s="18" t="n">
        <v>0</v>
      </c>
      <c r="N66" s="20" t="n">
        <v>0</v>
      </c>
      <c r="O66" s="18" t="n">
        <v>0</v>
      </c>
      <c r="P66" s="20" t="n">
        <v>0</v>
      </c>
      <c r="Q66" s="18" t="n">
        <v>3.98243361</v>
      </c>
      <c r="R66" s="20" t="n">
        <v>0.6700524</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(474.0/B69*100)</f>
        <v/>
      </c>
      <c r="D69" s="19" t="n">
        <v>246</v>
      </c>
      <c r="E69" s="18" t="n">
        <v>69.3553388</v>
      </c>
      <c r="F69" s="20" t="n">
        <v>3.68512439</v>
      </c>
      <c r="G69" s="18" t="n">
        <v>30.39575261</v>
      </c>
      <c r="H69" s="20" t="n">
        <v>3.71390412</v>
      </c>
      <c r="I69" s="18" t="n">
        <v>0</v>
      </c>
      <c r="J69" s="20" t="n">
        <v>0</v>
      </c>
      <c r="K69" s="18" t="n">
        <v>0</v>
      </c>
      <c r="L69" s="20" t="n">
        <v>0</v>
      </c>
      <c r="M69" s="18" t="n">
        <v>0</v>
      </c>
      <c r="N69" s="20" t="n">
        <v>0</v>
      </c>
      <c r="O69" s="18" t="n">
        <v>0</v>
      </c>
      <c r="P69" s="20" t="n">
        <v>0</v>
      </c>
      <c r="Q69" s="18" t="n">
        <v>0.24890859</v>
      </c>
      <c r="R69" s="20" t="n">
        <v>0.24576665</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(1642.0/B71*100)</f>
        <v/>
      </c>
      <c r="D71" s="19" t="n">
        <v>824</v>
      </c>
      <c r="E71" s="18" t="n">
        <v>73.98166053</v>
      </c>
      <c r="F71" s="20" t="n">
        <v>1.58551089</v>
      </c>
      <c r="G71" s="18" t="n">
        <v>25.80742747</v>
      </c>
      <c r="H71" s="20" t="n">
        <v>1.58612411</v>
      </c>
      <c r="I71" s="18" t="n">
        <v>0</v>
      </c>
      <c r="J71" s="20" t="n">
        <v>0</v>
      </c>
      <c r="K71" s="18" t="n">
        <v>0</v>
      </c>
      <c r="L71" s="20" t="n">
        <v>0</v>
      </c>
      <c r="M71" s="18" t="n">
        <v>0</v>
      </c>
      <c r="N71" s="20" t="n">
        <v>0</v>
      </c>
      <c r="O71" s="18" t="n">
        <v>0</v>
      </c>
      <c r="P71" s="20" t="n">
        <v>0</v>
      </c>
      <c r="Q71" s="18" t="n">
        <v>0.210912</v>
      </c>
      <c r="R71" s="20" t="n">
        <v>0.14807967</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(1630.0/B76*100)</f>
        <v/>
      </c>
      <c r="D76" s="19" t="n">
        <v>823</v>
      </c>
      <c r="E76" s="18" t="n">
        <v>66.21921085</v>
      </c>
      <c r="F76" s="20" t="n">
        <v>1.8088375</v>
      </c>
      <c r="G76" s="18" t="n">
        <v>27.21582532</v>
      </c>
      <c r="H76" s="20" t="n">
        <v>1.76170822</v>
      </c>
      <c r="I76" s="18" t="n">
        <v>0</v>
      </c>
      <c r="J76" s="20" t="n">
        <v>0</v>
      </c>
      <c r="K76" s="18" t="n">
        <v>2.79773033</v>
      </c>
      <c r="L76" s="20" t="n">
        <v>0.59052289</v>
      </c>
      <c r="M76" s="18" t="n">
        <v>0</v>
      </c>
      <c r="N76" s="20" t="n">
        <v>0</v>
      </c>
      <c r="O76" s="18" t="n">
        <v>0</v>
      </c>
      <c r="P76" s="20" t="n">
        <v>0</v>
      </c>
      <c r="Q76" s="18" t="n">
        <v>3.7672335</v>
      </c>
      <c r="R76" s="20" t="n">
        <v>0.63515742</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64.21969925000001</v>
      </c>
      <c r="F80" s="20" t="n">
        <v>2.06997703</v>
      </c>
      <c r="G80" s="18" t="n">
        <v>35.78030075</v>
      </c>
      <c r="H80" s="20" t="n">
        <v>2.06997703</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63.20122502</v>
      </c>
      <c r="F81" s="20" t="n">
        <v>3.6120999</v>
      </c>
      <c r="G81" s="18" t="n">
        <v>31.7797108</v>
      </c>
      <c r="H81" s="20" t="n">
        <v>3.35927662</v>
      </c>
      <c r="I81" s="18" t="n">
        <v>0</v>
      </c>
      <c r="J81" s="20" t="n">
        <v>0</v>
      </c>
      <c r="K81" s="18" t="n">
        <v>4.05871738</v>
      </c>
      <c r="L81" s="20" t="n">
        <v>1.29944005</v>
      </c>
      <c r="M81" s="18" t="n">
        <v>0</v>
      </c>
      <c r="N81" s="20" t="n">
        <v>0</v>
      </c>
      <c r="O81" s="18" t="n">
        <v>0</v>
      </c>
      <c r="P81" s="20" t="n">
        <v>0</v>
      </c>
      <c r="Q81" s="18" t="n">
        <v>0.96034679</v>
      </c>
      <c r="R81" s="20" t="n">
        <v>0.57766911</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(1787.0/B44*100)</f>
        <v/>
      </c>
      <c r="D44" s="19" t="n">
        <v>904</v>
      </c>
      <c r="E44" s="18" t="n">
        <v>49.32235623</v>
      </c>
      <c r="F44" s="20" t="n">
        <v>2.09138454</v>
      </c>
      <c r="G44" s="18" t="n">
        <v>46.21934628</v>
      </c>
      <c r="H44" s="20" t="n">
        <v>1.96604042</v>
      </c>
      <c r="I44" s="18" t="n">
        <v>0</v>
      </c>
      <c r="J44" s="20" t="n">
        <v>0</v>
      </c>
      <c r="K44" s="18" t="n">
        <v>1.74654893</v>
      </c>
      <c r="L44" s="20" t="n">
        <v>0.46593879</v>
      </c>
      <c r="M44" s="18" t="n">
        <v>0</v>
      </c>
      <c r="N44" s="20" t="n">
        <v>0</v>
      </c>
      <c r="O44" s="18" t="n">
        <v>0</v>
      </c>
      <c r="P44" s="20" t="n">
        <v>0</v>
      </c>
      <c r="Q44" s="18" t="n">
        <v>2.71174856</v>
      </c>
      <c r="R44" s="20" t="n">
        <v>0.63001317</v>
      </c>
    </row>
    <row r="45" spans="1:18">
      <c r="A45" s="15" t="s">
        <v>604</v>
      </c>
      <c r="B45" s="17" t="n">
        <v>2670</v>
      </c>
      <c r="C45" s="18">
        <f>(1761.0/B45*100)</f>
        <v/>
      </c>
      <c r="D45" s="19" t="n">
        <v>909</v>
      </c>
      <c r="E45" s="18" t="n">
        <v>72.35484133999999</v>
      </c>
      <c r="F45" s="20" t="n">
        <v>1.6969939</v>
      </c>
      <c r="G45" s="18" t="n">
        <v>18.40527764</v>
      </c>
      <c r="H45" s="20" t="n">
        <v>1.62208629</v>
      </c>
      <c r="I45" s="18" t="n">
        <v>0</v>
      </c>
      <c r="J45" s="20" t="n">
        <v>0</v>
      </c>
      <c r="K45" s="18" t="n">
        <v>2.81091317</v>
      </c>
      <c r="L45" s="20" t="n">
        <v>0.57364382</v>
      </c>
      <c r="M45" s="18" t="n">
        <v>0.44509667</v>
      </c>
      <c r="N45" s="20" t="n">
        <v>0.27517403</v>
      </c>
      <c r="O45" s="18" t="n">
        <v>0.11626893</v>
      </c>
      <c r="P45" s="20" t="n">
        <v>0.13124115</v>
      </c>
      <c r="Q45" s="18" t="n">
        <v>5.86760225</v>
      </c>
      <c r="R45" s="20" t="n">
        <v>0.80561386</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(1711.0/B54*100)</f>
        <v/>
      </c>
      <c r="D54" s="19" t="n">
        <v>846</v>
      </c>
      <c r="E54" s="18" t="n">
        <v>67.32385583</v>
      </c>
      <c r="F54" s="20" t="n">
        <v>1.63495995</v>
      </c>
      <c r="G54" s="18" t="n">
        <v>24.78184209</v>
      </c>
      <c r="H54" s="20" t="n">
        <v>1.55160817</v>
      </c>
      <c r="I54" s="18" t="n">
        <v>0</v>
      </c>
      <c r="J54" s="20" t="n">
        <v>0</v>
      </c>
      <c r="K54" s="18" t="n">
        <v>1.79603088</v>
      </c>
      <c r="L54" s="20" t="n">
        <v>0.41730466</v>
      </c>
      <c r="M54" s="18" t="n">
        <v>0</v>
      </c>
      <c r="N54" s="20" t="n">
        <v>0</v>
      </c>
      <c r="O54" s="18" t="n">
        <v>0.32242365</v>
      </c>
      <c r="P54" s="20" t="n">
        <v>0.19376948</v>
      </c>
      <c r="Q54" s="18" t="n">
        <v>5.77584755</v>
      </c>
      <c r="R54" s="20" t="n">
        <v>0.90456675</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(2226.0/B56*100)</f>
        <v/>
      </c>
      <c r="D56" s="19" t="n">
        <v>1117</v>
      </c>
      <c r="E56" s="18" t="n">
        <v>74.35817153000001</v>
      </c>
      <c r="F56" s="20" t="n">
        <v>1.73058899</v>
      </c>
      <c r="G56" s="18" t="n">
        <v>19.18948287</v>
      </c>
      <c r="H56" s="20" t="n">
        <v>1.53249211</v>
      </c>
      <c r="I56" s="18" t="n">
        <v>0</v>
      </c>
      <c r="J56" s="20" t="n">
        <v>0</v>
      </c>
      <c r="K56" s="18" t="n">
        <v>1.91079338</v>
      </c>
      <c r="L56" s="20" t="n">
        <v>0.65686362</v>
      </c>
      <c r="M56" s="18" t="n">
        <v>0</v>
      </c>
      <c r="N56" s="20" t="n">
        <v>0</v>
      </c>
      <c r="O56" s="18" t="n">
        <v>0</v>
      </c>
      <c r="P56" s="20" t="n">
        <v>0</v>
      </c>
      <c r="Q56" s="18" t="n">
        <v>4.54155222</v>
      </c>
      <c r="R56" s="20" t="n">
        <v>0.90268183</v>
      </c>
    </row>
    <row r="57" spans="1:18">
      <c r="A57" s="15" t="s">
        <v>616</v>
      </c>
      <c r="B57" s="17" t="n">
        <v>3737</v>
      </c>
      <c r="C57" s="18">
        <f>(2502.0/B57*100)</f>
        <v/>
      </c>
      <c r="D57" s="19" t="n">
        <v>1235</v>
      </c>
      <c r="E57" s="18" t="n">
        <v>62.63967641</v>
      </c>
      <c r="F57" s="20" t="n">
        <v>1.83385219</v>
      </c>
      <c r="G57" s="18" t="n">
        <v>34.82179982</v>
      </c>
      <c r="H57" s="20" t="n">
        <v>1.72691013</v>
      </c>
      <c r="I57" s="18" t="n">
        <v>0</v>
      </c>
      <c r="J57" s="20" t="n">
        <v>0</v>
      </c>
      <c r="K57" s="18" t="n">
        <v>1.97496784</v>
      </c>
      <c r="L57" s="20" t="n">
        <v>0.37838394</v>
      </c>
      <c r="M57" s="18" t="n">
        <v>0</v>
      </c>
      <c r="N57" s="20" t="n">
        <v>0</v>
      </c>
      <c r="O57" s="18" t="n">
        <v>0</v>
      </c>
      <c r="P57" s="20" t="n">
        <v>0</v>
      </c>
      <c r="Q57" s="18" t="n">
        <v>0.56355594</v>
      </c>
      <c r="R57" s="20" t="n">
        <v>0.26660961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(1500.0/B59*100)</f>
        <v/>
      </c>
      <c r="D59" s="19" t="n">
        <v>778</v>
      </c>
      <c r="E59" s="18" t="n">
        <v>65.82651309000001</v>
      </c>
      <c r="F59" s="20" t="n">
        <v>2.0606969</v>
      </c>
      <c r="G59" s="18" t="n">
        <v>29.26652602</v>
      </c>
      <c r="H59" s="20" t="n">
        <v>1.94334111</v>
      </c>
      <c r="I59" s="18" t="n">
        <v>0</v>
      </c>
      <c r="J59" s="20" t="n">
        <v>0</v>
      </c>
      <c r="K59" s="18" t="n">
        <v>0.61175126</v>
      </c>
      <c r="L59" s="20" t="n">
        <v>0.27506929</v>
      </c>
      <c r="M59" s="18" t="n">
        <v>0</v>
      </c>
      <c r="N59" s="20" t="n">
        <v>0</v>
      </c>
      <c r="O59" s="18" t="n">
        <v>0</v>
      </c>
      <c r="P59" s="20" t="n">
        <v>0</v>
      </c>
      <c r="Q59" s="18" t="n">
        <v>4.29520962</v>
      </c>
      <c r="R59" s="20" t="n">
        <v>0.88684061</v>
      </c>
    </row>
    <row r="60" spans="1:18">
      <c r="A60" s="15" t="s">
        <v>620</v>
      </c>
      <c r="B60" s="17" t="n">
        <v>2451</v>
      </c>
      <c r="C60" s="18">
        <f>(1668.0/B60*100)</f>
        <v/>
      </c>
      <c r="D60" s="19" t="n">
        <v>783</v>
      </c>
      <c r="E60" s="18" t="n">
        <v>57.41459102</v>
      </c>
      <c r="F60" s="20" t="n">
        <v>1.98079086</v>
      </c>
      <c r="G60" s="18" t="n">
        <v>34.39662032</v>
      </c>
      <c r="H60" s="20" t="n">
        <v>1.79248233</v>
      </c>
      <c r="I60" s="18" t="n">
        <v>0</v>
      </c>
      <c r="J60" s="20" t="n">
        <v>0</v>
      </c>
      <c r="K60" s="18" t="n">
        <v>4.4898851</v>
      </c>
      <c r="L60" s="20" t="n">
        <v>0.75863107</v>
      </c>
      <c r="M60" s="18" t="n">
        <v>0</v>
      </c>
      <c r="N60" s="20" t="n">
        <v>0</v>
      </c>
      <c r="O60" s="18" t="n">
        <v>0</v>
      </c>
      <c r="P60" s="20" t="n">
        <v>0</v>
      </c>
      <c r="Q60" s="18" t="n">
        <v>3.69890356</v>
      </c>
      <c r="R60" s="20" t="n">
        <v>0.74030364</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(1669.0/B63*100)</f>
        <v/>
      </c>
      <c r="D63" s="19" t="n">
        <v>842</v>
      </c>
      <c r="E63" s="18" t="n">
        <v>60.76614658</v>
      </c>
      <c r="F63" s="20" t="n">
        <v>1.91694412</v>
      </c>
      <c r="G63" s="18" t="n">
        <v>28.57427373</v>
      </c>
      <c r="H63" s="20" t="n">
        <v>1.77497493</v>
      </c>
      <c r="I63" s="18" t="n">
        <v>0</v>
      </c>
      <c r="J63" s="20" t="n">
        <v>0</v>
      </c>
      <c r="K63" s="18" t="n">
        <v>2.18106345</v>
      </c>
      <c r="L63" s="20" t="n">
        <v>0.46305608</v>
      </c>
      <c r="M63" s="18" t="n">
        <v>0</v>
      </c>
      <c r="N63" s="20" t="n">
        <v>0</v>
      </c>
      <c r="O63" s="18" t="n">
        <v>0</v>
      </c>
      <c r="P63" s="20" t="n">
        <v>0</v>
      </c>
      <c r="Q63" s="18" t="n">
        <v>8.478516239999999</v>
      </c>
      <c r="R63" s="20" t="n">
        <v>0.98689885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(1185.0/B65*100)</f>
        <v/>
      </c>
      <c r="D65" s="19" t="n">
        <v>605</v>
      </c>
      <c r="E65" s="18" t="n">
        <v>68.91616641</v>
      </c>
      <c r="F65" s="20" t="n">
        <v>1.6070114</v>
      </c>
      <c r="G65" s="18" t="n">
        <v>27.42867294</v>
      </c>
      <c r="H65" s="20" t="n">
        <v>1.58425512</v>
      </c>
      <c r="I65" s="18" t="n">
        <v>0</v>
      </c>
      <c r="J65" s="20" t="n">
        <v>0</v>
      </c>
      <c r="K65" s="18" t="n">
        <v>1.33026261</v>
      </c>
      <c r="L65" s="20" t="n">
        <v>0.48938494</v>
      </c>
      <c r="M65" s="18" t="n">
        <v>0</v>
      </c>
      <c r="N65" s="20" t="n">
        <v>0</v>
      </c>
      <c r="O65" s="18" t="n">
        <v>0</v>
      </c>
      <c r="P65" s="20" t="n">
        <v>0</v>
      </c>
      <c r="Q65" s="18" t="n">
        <v>2.32489804</v>
      </c>
      <c r="R65" s="20" t="n">
        <v>0.53690427</v>
      </c>
    </row>
    <row r="66" spans="1:18">
      <c r="A66" s="15" t="s">
        <v>626</v>
      </c>
      <c r="B66" s="17" t="n">
        <v>2634</v>
      </c>
      <c r="C66" s="18">
        <f>(1744.0/B66*100)</f>
        <v/>
      </c>
      <c r="D66" s="19" t="n">
        <v>890</v>
      </c>
      <c r="E66" s="18" t="n">
        <v>64.56016494000001</v>
      </c>
      <c r="F66" s="20" t="n">
        <v>2.14871334</v>
      </c>
      <c r="G66" s="18" t="n">
        <v>26.53235544</v>
      </c>
      <c r="H66" s="20" t="n">
        <v>2.07278985</v>
      </c>
      <c r="I66" s="18" t="n">
        <v>0</v>
      </c>
      <c r="J66" s="20" t="n">
        <v>0</v>
      </c>
      <c r="K66" s="18" t="n">
        <v>3.16247401</v>
      </c>
      <c r="L66" s="20" t="n">
        <v>0.68169781</v>
      </c>
      <c r="M66" s="18" t="n">
        <v>0</v>
      </c>
      <c r="N66" s="20" t="n">
        <v>0</v>
      </c>
      <c r="O66" s="18" t="n">
        <v>0</v>
      </c>
      <c r="P66" s="20" t="n">
        <v>0</v>
      </c>
      <c r="Q66" s="18" t="n">
        <v>5.74500562</v>
      </c>
      <c r="R66" s="20" t="n">
        <v>0.86210609</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(474.0/B69*100)</f>
        <v/>
      </c>
      <c r="D69" s="19" t="n">
        <v>246</v>
      </c>
      <c r="E69" s="18" t="n">
        <v>67.29627766</v>
      </c>
      <c r="F69" s="20" t="n">
        <v>3.04274667</v>
      </c>
      <c r="G69" s="18" t="n">
        <v>32.45481375</v>
      </c>
      <c r="H69" s="20" t="n">
        <v>3.0314465</v>
      </c>
      <c r="I69" s="18" t="n">
        <v>0</v>
      </c>
      <c r="J69" s="20" t="n">
        <v>0</v>
      </c>
      <c r="K69" s="18" t="n">
        <v>0</v>
      </c>
      <c r="L69" s="20" t="n">
        <v>0</v>
      </c>
      <c r="M69" s="18" t="n">
        <v>0</v>
      </c>
      <c r="N69" s="20" t="n">
        <v>0</v>
      </c>
      <c r="O69" s="18" t="n">
        <v>0</v>
      </c>
      <c r="P69" s="20" t="n">
        <v>0</v>
      </c>
      <c r="Q69" s="18" t="n">
        <v>0.24890859</v>
      </c>
      <c r="R69" s="20" t="n">
        <v>0.24576665</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(1642.0/B71*100)</f>
        <v/>
      </c>
      <c r="D71" s="19" t="n">
        <v>824</v>
      </c>
      <c r="E71" s="18" t="n">
        <v>72.39381362</v>
      </c>
      <c r="F71" s="20" t="n">
        <v>1.65679324</v>
      </c>
      <c r="G71" s="18" t="n">
        <v>27.29984248</v>
      </c>
      <c r="H71" s="20" t="n">
        <v>1.66320967</v>
      </c>
      <c r="I71" s="18" t="n">
        <v>0</v>
      </c>
      <c r="J71" s="20" t="n">
        <v>0</v>
      </c>
      <c r="K71" s="18" t="n">
        <v>0</v>
      </c>
      <c r="L71" s="20" t="n">
        <v>0</v>
      </c>
      <c r="M71" s="18" t="n">
        <v>0</v>
      </c>
      <c r="N71" s="20" t="n">
        <v>0</v>
      </c>
      <c r="O71" s="18" t="n">
        <v>0</v>
      </c>
      <c r="P71" s="20" t="n">
        <v>0</v>
      </c>
      <c r="Q71" s="18" t="n">
        <v>0.3063439</v>
      </c>
      <c r="R71" s="20" t="n">
        <v>0.17503504</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(1630.0/B76*100)</f>
        <v/>
      </c>
      <c r="D76" s="19" t="n">
        <v>823</v>
      </c>
      <c r="E76" s="18" t="n">
        <v>70.55273868</v>
      </c>
      <c r="F76" s="20" t="n">
        <v>1.92788196</v>
      </c>
      <c r="G76" s="18" t="n">
        <v>23.00564144</v>
      </c>
      <c r="H76" s="20" t="n">
        <v>1.75668121</v>
      </c>
      <c r="I76" s="18" t="n">
        <v>0</v>
      </c>
      <c r="J76" s="20" t="n">
        <v>0</v>
      </c>
      <c r="K76" s="18" t="n">
        <v>2.79773033</v>
      </c>
      <c r="L76" s="20" t="n">
        <v>0.59052289</v>
      </c>
      <c r="M76" s="18" t="n">
        <v>0</v>
      </c>
      <c r="N76" s="20" t="n">
        <v>0</v>
      </c>
      <c r="O76" s="18" t="n">
        <v>0</v>
      </c>
      <c r="P76" s="20" t="n">
        <v>0</v>
      </c>
      <c r="Q76" s="18" t="n">
        <v>3.64388956</v>
      </c>
      <c r="R76" s="20" t="n">
        <v>0.65461029</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74.68610335</v>
      </c>
      <c r="F80" s="20" t="n">
        <v>1.46649158</v>
      </c>
      <c r="G80" s="18" t="n">
        <v>25.31389665</v>
      </c>
      <c r="H80" s="20" t="n">
        <v>1.46649158</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65.98754148</v>
      </c>
      <c r="F81" s="20" t="n">
        <v>2.80332969</v>
      </c>
      <c r="G81" s="18" t="n">
        <v>27.78555447</v>
      </c>
      <c r="H81" s="20" t="n">
        <v>3.26602632</v>
      </c>
      <c r="I81" s="18" t="n">
        <v>0</v>
      </c>
      <c r="J81" s="20" t="n">
        <v>0</v>
      </c>
      <c r="K81" s="18" t="n">
        <v>4.05871738</v>
      </c>
      <c r="L81" s="20" t="n">
        <v>1.29944005</v>
      </c>
      <c r="M81" s="18" t="n">
        <v>0</v>
      </c>
      <c r="N81" s="20" t="n">
        <v>0</v>
      </c>
      <c r="O81" s="18" t="n">
        <v>0</v>
      </c>
      <c r="P81" s="20" t="n">
        <v>0</v>
      </c>
      <c r="Q81" s="18" t="n">
        <v>2.16818667</v>
      </c>
      <c r="R81" s="20" t="n">
        <v>0.90013627</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(1787.0/B44*100)</f>
        <v/>
      </c>
      <c r="D44" s="19" t="n">
        <v>904</v>
      </c>
      <c r="E44" s="18" t="n">
        <v>38.25902835</v>
      </c>
      <c r="F44" s="20" t="n">
        <v>1.78148904</v>
      </c>
      <c r="G44" s="18" t="n">
        <v>58.7228354</v>
      </c>
      <c r="H44" s="20" t="n">
        <v>1.78157184</v>
      </c>
      <c r="I44" s="18" t="n">
        <v>0</v>
      </c>
      <c r="J44" s="20" t="n">
        <v>0</v>
      </c>
      <c r="K44" s="18" t="n">
        <v>1.74654893</v>
      </c>
      <c r="L44" s="20" t="n">
        <v>0.46593879</v>
      </c>
      <c r="M44" s="18" t="n">
        <v>0</v>
      </c>
      <c r="N44" s="20" t="n">
        <v>0</v>
      </c>
      <c r="O44" s="18" t="n">
        <v>0</v>
      </c>
      <c r="P44" s="20" t="n">
        <v>0</v>
      </c>
      <c r="Q44" s="18" t="n">
        <v>1.27158732</v>
      </c>
      <c r="R44" s="20" t="n">
        <v>0.39586404</v>
      </c>
    </row>
    <row r="45" spans="1:18">
      <c r="A45" s="15" t="s">
        <v>604</v>
      </c>
      <c r="B45" s="17" t="n">
        <v>2670</v>
      </c>
      <c r="C45" s="18">
        <f>(1761.0/B45*100)</f>
        <v/>
      </c>
      <c r="D45" s="19" t="n">
        <v>909</v>
      </c>
      <c r="E45" s="18" t="n">
        <v>71.60917198</v>
      </c>
      <c r="F45" s="20" t="n">
        <v>1.66769791</v>
      </c>
      <c r="G45" s="18" t="n">
        <v>21.31991265</v>
      </c>
      <c r="H45" s="20" t="n">
        <v>1.42454006</v>
      </c>
      <c r="I45" s="18" t="n">
        <v>0</v>
      </c>
      <c r="J45" s="20" t="n">
        <v>0</v>
      </c>
      <c r="K45" s="18" t="n">
        <v>2.93180167</v>
      </c>
      <c r="L45" s="20" t="n">
        <v>0.58705445</v>
      </c>
      <c r="M45" s="18" t="n">
        <v>0.56757148</v>
      </c>
      <c r="N45" s="20" t="n">
        <v>0.26667877</v>
      </c>
      <c r="O45" s="18" t="n">
        <v>0.17491265</v>
      </c>
      <c r="P45" s="20" t="n">
        <v>0.14441254</v>
      </c>
      <c r="Q45" s="18" t="n">
        <v>3.39662956</v>
      </c>
      <c r="R45" s="20" t="n">
        <v>0.64399607</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(1711.0/B54*100)</f>
        <v/>
      </c>
      <c r="D54" s="19" t="n">
        <v>846</v>
      </c>
      <c r="E54" s="18" t="n">
        <v>56.29491641</v>
      </c>
      <c r="F54" s="20" t="n">
        <v>1.84732483</v>
      </c>
      <c r="G54" s="18" t="n">
        <v>37.25567131</v>
      </c>
      <c r="H54" s="20" t="n">
        <v>1.79704366</v>
      </c>
      <c r="I54" s="18" t="n">
        <v>0</v>
      </c>
      <c r="J54" s="20" t="n">
        <v>0</v>
      </c>
      <c r="K54" s="18" t="n">
        <v>1.79603088</v>
      </c>
      <c r="L54" s="20" t="n">
        <v>0.41730466</v>
      </c>
      <c r="M54" s="18" t="n">
        <v>0</v>
      </c>
      <c r="N54" s="20" t="n">
        <v>0</v>
      </c>
      <c r="O54" s="18" t="n">
        <v>0.11692611</v>
      </c>
      <c r="P54" s="20" t="n">
        <v>0.12141501</v>
      </c>
      <c r="Q54" s="18" t="n">
        <v>4.53645528</v>
      </c>
      <c r="R54" s="20" t="n">
        <v>0.8667770299999999</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(2226.0/B56*100)</f>
        <v/>
      </c>
      <c r="D56" s="19" t="n">
        <v>1117</v>
      </c>
      <c r="E56" s="18" t="n">
        <v>52.54231719</v>
      </c>
      <c r="F56" s="20" t="n">
        <v>1.81410202</v>
      </c>
      <c r="G56" s="18" t="n">
        <v>42.58897518</v>
      </c>
      <c r="H56" s="20" t="n">
        <v>1.87413987</v>
      </c>
      <c r="I56" s="18" t="n">
        <v>0</v>
      </c>
      <c r="J56" s="20" t="n">
        <v>0</v>
      </c>
      <c r="K56" s="18" t="n">
        <v>1.91079338</v>
      </c>
      <c r="L56" s="20" t="n">
        <v>0.65686362</v>
      </c>
      <c r="M56" s="18" t="n">
        <v>0</v>
      </c>
      <c r="N56" s="20" t="n">
        <v>0</v>
      </c>
      <c r="O56" s="18" t="n">
        <v>0</v>
      </c>
      <c r="P56" s="20" t="n">
        <v>0</v>
      </c>
      <c r="Q56" s="18" t="n">
        <v>2.95791426</v>
      </c>
      <c r="R56" s="20" t="n">
        <v>0.55900371</v>
      </c>
    </row>
    <row r="57" spans="1:18">
      <c r="A57" s="15" t="s">
        <v>616</v>
      </c>
      <c r="B57" s="17" t="n">
        <v>3737</v>
      </c>
      <c r="C57" s="18">
        <f>(2502.0/B57*100)</f>
        <v/>
      </c>
      <c r="D57" s="19" t="n">
        <v>1235</v>
      </c>
      <c r="E57" s="18" t="n">
        <v>48.77995332</v>
      </c>
      <c r="F57" s="20" t="n">
        <v>2.25327903</v>
      </c>
      <c r="G57" s="18" t="n">
        <v>48.7046131</v>
      </c>
      <c r="H57" s="20" t="n">
        <v>2.2206855</v>
      </c>
      <c r="I57" s="18" t="n">
        <v>0</v>
      </c>
      <c r="J57" s="20" t="n">
        <v>0</v>
      </c>
      <c r="K57" s="18" t="n">
        <v>1.97496784</v>
      </c>
      <c r="L57" s="20" t="n">
        <v>0.37838394</v>
      </c>
      <c r="M57" s="18" t="n">
        <v>0</v>
      </c>
      <c r="N57" s="20" t="n">
        <v>0</v>
      </c>
      <c r="O57" s="18" t="n">
        <v>0.13666691</v>
      </c>
      <c r="P57" s="20" t="n">
        <v>0.13723775</v>
      </c>
      <c r="Q57" s="18" t="n">
        <v>0.40379884</v>
      </c>
      <c r="R57" s="20" t="n">
        <v>0.21216823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(1500.0/B59*100)</f>
        <v/>
      </c>
      <c r="D59" s="19" t="n">
        <v>778</v>
      </c>
      <c r="E59" s="18" t="n">
        <v>70.45229938</v>
      </c>
      <c r="F59" s="20" t="n">
        <v>2.06601409</v>
      </c>
      <c r="G59" s="18" t="n">
        <v>24.70685353</v>
      </c>
      <c r="H59" s="20" t="n">
        <v>1.92712077</v>
      </c>
      <c r="I59" s="18" t="n">
        <v>0</v>
      </c>
      <c r="J59" s="20" t="n">
        <v>0</v>
      </c>
      <c r="K59" s="18" t="n">
        <v>0.75656216</v>
      </c>
      <c r="L59" s="20" t="n">
        <v>0.31432742</v>
      </c>
      <c r="M59" s="18" t="n">
        <v>0</v>
      </c>
      <c r="N59" s="20" t="n">
        <v>0</v>
      </c>
      <c r="O59" s="18" t="n">
        <v>0</v>
      </c>
      <c r="P59" s="20" t="n">
        <v>0</v>
      </c>
      <c r="Q59" s="18" t="n">
        <v>4.08428492</v>
      </c>
      <c r="R59" s="20" t="n">
        <v>0.8746983699999999</v>
      </c>
    </row>
    <row r="60" spans="1:18">
      <c r="A60" s="15" t="s">
        <v>620</v>
      </c>
      <c r="B60" s="17" t="n">
        <v>2451</v>
      </c>
      <c r="C60" s="18">
        <f>(1668.0/B60*100)</f>
        <v/>
      </c>
      <c r="D60" s="19" t="n">
        <v>783</v>
      </c>
      <c r="E60" s="18" t="n">
        <v>45.50000712</v>
      </c>
      <c r="F60" s="20" t="n">
        <v>2.03499327</v>
      </c>
      <c r="G60" s="18" t="n">
        <v>46.70445367</v>
      </c>
      <c r="H60" s="20" t="n">
        <v>2.45685839</v>
      </c>
      <c r="I60" s="18" t="n">
        <v>0</v>
      </c>
      <c r="J60" s="20" t="n">
        <v>0</v>
      </c>
      <c r="K60" s="18" t="n">
        <v>4.4898851</v>
      </c>
      <c r="L60" s="20" t="n">
        <v>0.75863107</v>
      </c>
      <c r="M60" s="18" t="n">
        <v>0</v>
      </c>
      <c r="N60" s="20" t="n">
        <v>0</v>
      </c>
      <c r="O60" s="18" t="n">
        <v>0</v>
      </c>
      <c r="P60" s="20" t="n">
        <v>0</v>
      </c>
      <c r="Q60" s="18" t="n">
        <v>3.30565411</v>
      </c>
      <c r="R60" s="20" t="n">
        <v>0.6981806</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(1669.0/B63*100)</f>
        <v/>
      </c>
      <c r="D63" s="19" t="n">
        <v>842</v>
      </c>
      <c r="E63" s="18" t="n">
        <v>64.66214345</v>
      </c>
      <c r="F63" s="20" t="n">
        <v>1.69815137</v>
      </c>
      <c r="G63" s="18" t="n">
        <v>26.77092795</v>
      </c>
      <c r="H63" s="20" t="n">
        <v>1.54519381</v>
      </c>
      <c r="I63" s="18" t="n">
        <v>0</v>
      </c>
      <c r="J63" s="20" t="n">
        <v>0</v>
      </c>
      <c r="K63" s="18" t="n">
        <v>2.18106345</v>
      </c>
      <c r="L63" s="20" t="n">
        <v>0.46305608</v>
      </c>
      <c r="M63" s="18" t="n">
        <v>0</v>
      </c>
      <c r="N63" s="20" t="n">
        <v>0</v>
      </c>
      <c r="O63" s="18" t="n">
        <v>0</v>
      </c>
      <c r="P63" s="20" t="n">
        <v>0</v>
      </c>
      <c r="Q63" s="18" t="n">
        <v>6.38586516</v>
      </c>
      <c r="R63" s="20" t="n">
        <v>0.80867764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(1185.0/B65*100)</f>
        <v/>
      </c>
      <c r="D65" s="19" t="n">
        <v>605</v>
      </c>
      <c r="E65" s="18" t="n">
        <v>35.42090732</v>
      </c>
      <c r="F65" s="20" t="n">
        <v>1.96794629</v>
      </c>
      <c r="G65" s="18" t="n">
        <v>61.9917743</v>
      </c>
      <c r="H65" s="20" t="n">
        <v>1.82862505</v>
      </c>
      <c r="I65" s="18" t="n">
        <v>0</v>
      </c>
      <c r="J65" s="20" t="n">
        <v>0</v>
      </c>
      <c r="K65" s="18" t="n">
        <v>1.55172479</v>
      </c>
      <c r="L65" s="20" t="n">
        <v>0.53663998</v>
      </c>
      <c r="M65" s="18" t="n">
        <v>0</v>
      </c>
      <c r="N65" s="20" t="n">
        <v>0</v>
      </c>
      <c r="O65" s="18" t="n">
        <v>0</v>
      </c>
      <c r="P65" s="20" t="n">
        <v>0</v>
      </c>
      <c r="Q65" s="18" t="n">
        <v>1.03559359</v>
      </c>
      <c r="R65" s="20" t="n">
        <v>0.36133101</v>
      </c>
    </row>
    <row r="66" spans="1:18">
      <c r="A66" s="15" t="s">
        <v>626</v>
      </c>
      <c r="B66" s="17" t="n">
        <v>2634</v>
      </c>
      <c r="C66" s="18">
        <f>(1744.0/B66*100)</f>
        <v/>
      </c>
      <c r="D66" s="19" t="n">
        <v>890</v>
      </c>
      <c r="E66" s="18" t="n">
        <v>50.39588972</v>
      </c>
      <c r="F66" s="20" t="n">
        <v>2.03812387</v>
      </c>
      <c r="G66" s="18" t="n">
        <v>43.82502333</v>
      </c>
      <c r="H66" s="20" t="n">
        <v>2.04035936</v>
      </c>
      <c r="I66" s="18" t="n">
        <v>0</v>
      </c>
      <c r="J66" s="20" t="n">
        <v>0</v>
      </c>
      <c r="K66" s="18" t="n">
        <v>3.16247401</v>
      </c>
      <c r="L66" s="20" t="n">
        <v>0.68169781</v>
      </c>
      <c r="M66" s="18" t="n">
        <v>0</v>
      </c>
      <c r="N66" s="20" t="n">
        <v>0</v>
      </c>
      <c r="O66" s="18" t="n">
        <v>0</v>
      </c>
      <c r="P66" s="20" t="n">
        <v>0</v>
      </c>
      <c r="Q66" s="18" t="n">
        <v>2.61661294</v>
      </c>
      <c r="R66" s="20" t="n">
        <v>0.51936509</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(474.0/B69*100)</f>
        <v/>
      </c>
      <c r="D69" s="19" t="n">
        <v>246</v>
      </c>
      <c r="E69" s="18" t="n">
        <v>69.58011544999999</v>
      </c>
      <c r="F69" s="20" t="n">
        <v>2.22043188</v>
      </c>
      <c r="G69" s="18" t="n">
        <v>29.41427756</v>
      </c>
      <c r="H69" s="20" t="n">
        <v>2.3386304</v>
      </c>
      <c r="I69" s="18" t="n">
        <v>0</v>
      </c>
      <c r="J69" s="20" t="n">
        <v>0</v>
      </c>
      <c r="K69" s="18" t="n">
        <v>0</v>
      </c>
      <c r="L69" s="20" t="n">
        <v>0</v>
      </c>
      <c r="M69" s="18" t="n">
        <v>0</v>
      </c>
      <c r="N69" s="20" t="n">
        <v>0</v>
      </c>
      <c r="O69" s="18" t="n">
        <v>0</v>
      </c>
      <c r="P69" s="20" t="n">
        <v>0</v>
      </c>
      <c r="Q69" s="18" t="n">
        <v>1.00560699</v>
      </c>
      <c r="R69" s="20" t="n">
        <v>0.63103938</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(1642.0/B71*100)</f>
        <v/>
      </c>
      <c r="D71" s="19" t="n">
        <v>824</v>
      </c>
      <c r="E71" s="18" t="n">
        <v>56.27983096</v>
      </c>
      <c r="F71" s="20" t="n">
        <v>2.06690724</v>
      </c>
      <c r="G71" s="18" t="n">
        <v>43.29887556</v>
      </c>
      <c r="H71" s="20" t="n">
        <v>2.05176923</v>
      </c>
      <c r="I71" s="18" t="n">
        <v>0</v>
      </c>
      <c r="J71" s="20" t="n">
        <v>0</v>
      </c>
      <c r="K71" s="18" t="n">
        <v>0</v>
      </c>
      <c r="L71" s="20" t="n">
        <v>0</v>
      </c>
      <c r="M71" s="18" t="n">
        <v>0</v>
      </c>
      <c r="N71" s="20" t="n">
        <v>0</v>
      </c>
      <c r="O71" s="18" t="n">
        <v>0</v>
      </c>
      <c r="P71" s="20" t="n">
        <v>0</v>
      </c>
      <c r="Q71" s="18" t="n">
        <v>0.42129348</v>
      </c>
      <c r="R71" s="20" t="n">
        <v>0.20908371</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(1630.0/B76*100)</f>
        <v/>
      </c>
      <c r="D76" s="19" t="n">
        <v>823</v>
      </c>
      <c r="E76" s="18" t="n">
        <v>67.63795388</v>
      </c>
      <c r="F76" s="20" t="n">
        <v>1.78815123</v>
      </c>
      <c r="G76" s="18" t="n">
        <v>26.92306117</v>
      </c>
      <c r="H76" s="20" t="n">
        <v>1.64501017</v>
      </c>
      <c r="I76" s="18" t="n">
        <v>0</v>
      </c>
      <c r="J76" s="20" t="n">
        <v>0</v>
      </c>
      <c r="K76" s="18" t="n">
        <v>2.94918706</v>
      </c>
      <c r="L76" s="20" t="n">
        <v>0.61239786</v>
      </c>
      <c r="M76" s="18" t="n">
        <v>0</v>
      </c>
      <c r="N76" s="20" t="n">
        <v>0</v>
      </c>
      <c r="O76" s="18" t="n">
        <v>0</v>
      </c>
      <c r="P76" s="20" t="n">
        <v>0</v>
      </c>
      <c r="Q76" s="18" t="n">
        <v>2.48979789</v>
      </c>
      <c r="R76" s="20" t="n">
        <v>0.56420088</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60.76463676</v>
      </c>
      <c r="F80" s="20" t="n">
        <v>2.26965769</v>
      </c>
      <c r="G80" s="18" t="n">
        <v>39.23536324</v>
      </c>
      <c r="H80" s="20" t="n">
        <v>2.26965769</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44.31780952</v>
      </c>
      <c r="F81" s="20" t="n">
        <v>3.8456981</v>
      </c>
      <c r="G81" s="18" t="n">
        <v>50.8586072</v>
      </c>
      <c r="H81" s="20" t="n">
        <v>4.0772687</v>
      </c>
      <c r="I81" s="18" t="n">
        <v>0</v>
      </c>
      <c r="J81" s="20" t="n">
        <v>0</v>
      </c>
      <c r="K81" s="18" t="n">
        <v>4.05871738</v>
      </c>
      <c r="L81" s="20" t="n">
        <v>1.29944005</v>
      </c>
      <c r="M81" s="18" t="n">
        <v>0</v>
      </c>
      <c r="N81" s="20" t="n">
        <v>0</v>
      </c>
      <c r="O81" s="18" t="n">
        <v>0</v>
      </c>
      <c r="P81" s="20" t="n">
        <v>0</v>
      </c>
      <c r="Q81" s="18" t="n">
        <v>0.7648659</v>
      </c>
      <c r="R81" s="20" t="n">
        <v>0.5479779299999999</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(1787.0/B44*100)</f>
        <v/>
      </c>
      <c r="D44" s="19" t="n">
        <v>904</v>
      </c>
      <c r="E44" s="18" t="n">
        <v>55.70428565</v>
      </c>
      <c r="F44" s="20" t="n">
        <v>1.97426767</v>
      </c>
      <c r="G44" s="18" t="n">
        <v>35.49955371</v>
      </c>
      <c r="H44" s="20" t="n">
        <v>1.92122605</v>
      </c>
      <c r="I44" s="18" t="n">
        <v>0</v>
      </c>
      <c r="J44" s="20" t="n">
        <v>0</v>
      </c>
      <c r="K44" s="18" t="n">
        <v>2.74065926</v>
      </c>
      <c r="L44" s="20" t="n">
        <v>0.58687539</v>
      </c>
      <c r="M44" s="18" t="n">
        <v>0</v>
      </c>
      <c r="N44" s="20" t="n">
        <v>0</v>
      </c>
      <c r="O44" s="18" t="n">
        <v>0</v>
      </c>
      <c r="P44" s="20" t="n">
        <v>0</v>
      </c>
      <c r="Q44" s="18" t="n">
        <v>6.05550138</v>
      </c>
      <c r="R44" s="20" t="n">
        <v>0.94816405</v>
      </c>
    </row>
    <row r="45" spans="1:18">
      <c r="A45" s="15" t="s">
        <v>604</v>
      </c>
      <c r="B45" s="17" t="n">
        <v>2670</v>
      </c>
      <c r="C45" s="18">
        <f>(1761.0/B45*100)</f>
        <v/>
      </c>
      <c r="D45" s="19" t="n">
        <v>909</v>
      </c>
      <c r="E45" s="18" t="n">
        <v>63.29246798</v>
      </c>
      <c r="F45" s="20" t="n">
        <v>1.62784042</v>
      </c>
      <c r="G45" s="18" t="n">
        <v>26.28792438</v>
      </c>
      <c r="H45" s="20" t="n">
        <v>1.56261439</v>
      </c>
      <c r="I45" s="18" t="n">
        <v>0</v>
      </c>
      <c r="J45" s="20" t="n">
        <v>0</v>
      </c>
      <c r="K45" s="18" t="n">
        <v>3.5783516</v>
      </c>
      <c r="L45" s="20" t="n">
        <v>0.66707815</v>
      </c>
      <c r="M45" s="18" t="n">
        <v>2.05371772</v>
      </c>
      <c r="N45" s="20" t="n">
        <v>0.49424522</v>
      </c>
      <c r="O45" s="18" t="n">
        <v>0.55775338</v>
      </c>
      <c r="P45" s="20" t="n">
        <v>0.29604861</v>
      </c>
      <c r="Q45" s="18" t="n">
        <v>4.22978494</v>
      </c>
      <c r="R45" s="20" t="n">
        <v>0.70045021</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(1711.0/B54*100)</f>
        <v/>
      </c>
      <c r="D54" s="19" t="n">
        <v>846</v>
      </c>
      <c r="E54" s="18" t="n">
        <v>67.86506149</v>
      </c>
      <c r="F54" s="20" t="n">
        <v>1.5502853</v>
      </c>
      <c r="G54" s="18" t="n">
        <v>26.24914963</v>
      </c>
      <c r="H54" s="20" t="n">
        <v>1.51281093</v>
      </c>
      <c r="I54" s="18" t="n">
        <v>0</v>
      </c>
      <c r="J54" s="20" t="n">
        <v>0</v>
      </c>
      <c r="K54" s="18" t="n">
        <v>2.44426786</v>
      </c>
      <c r="L54" s="20" t="n">
        <v>0.47805712</v>
      </c>
      <c r="M54" s="18" t="n">
        <v>0</v>
      </c>
      <c r="N54" s="20" t="n">
        <v>0</v>
      </c>
      <c r="O54" s="18" t="n">
        <v>0.18448577</v>
      </c>
      <c r="P54" s="20" t="n">
        <v>0.13891597</v>
      </c>
      <c r="Q54" s="18" t="n">
        <v>3.25703525</v>
      </c>
      <c r="R54" s="20" t="n">
        <v>0.6127675</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(2226.0/B56*100)</f>
        <v/>
      </c>
      <c r="D56" s="19" t="n">
        <v>1117</v>
      </c>
      <c r="E56" s="18" t="n">
        <v>67.71864849000001</v>
      </c>
      <c r="F56" s="20" t="n">
        <v>1.59155923</v>
      </c>
      <c r="G56" s="18" t="n">
        <v>27.9130121</v>
      </c>
      <c r="H56" s="20" t="n">
        <v>1.45657737</v>
      </c>
      <c r="I56" s="18" t="n">
        <v>0</v>
      </c>
      <c r="J56" s="20" t="n">
        <v>0</v>
      </c>
      <c r="K56" s="18" t="n">
        <v>2.34257136</v>
      </c>
      <c r="L56" s="20" t="n">
        <v>0.69685853</v>
      </c>
      <c r="M56" s="18" t="n">
        <v>0</v>
      </c>
      <c r="N56" s="20" t="n">
        <v>0</v>
      </c>
      <c r="O56" s="18" t="n">
        <v>0.09161613</v>
      </c>
      <c r="P56" s="20" t="n">
        <v>0.09199323</v>
      </c>
      <c r="Q56" s="18" t="n">
        <v>1.93415191</v>
      </c>
      <c r="R56" s="20" t="n">
        <v>0.47302839</v>
      </c>
    </row>
    <row r="57" spans="1:18">
      <c r="A57" s="15" t="s">
        <v>616</v>
      </c>
      <c r="B57" s="17" t="n">
        <v>3737</v>
      </c>
      <c r="C57" s="18">
        <f>(2502.0/B57*100)</f>
        <v/>
      </c>
      <c r="D57" s="19" t="n">
        <v>1235</v>
      </c>
      <c r="E57" s="18" t="n">
        <v>76.81170643999999</v>
      </c>
      <c r="F57" s="20" t="n">
        <v>1.60644799</v>
      </c>
      <c r="G57" s="18" t="n">
        <v>16.32273899</v>
      </c>
      <c r="H57" s="20" t="n">
        <v>1.55641391</v>
      </c>
      <c r="I57" s="18" t="n">
        <v>0</v>
      </c>
      <c r="J57" s="20" t="n">
        <v>0</v>
      </c>
      <c r="K57" s="18" t="n">
        <v>2.56693385</v>
      </c>
      <c r="L57" s="20" t="n">
        <v>0.43136858</v>
      </c>
      <c r="M57" s="18" t="n">
        <v>0</v>
      </c>
      <c r="N57" s="20" t="n">
        <v>0</v>
      </c>
      <c r="O57" s="18" t="n">
        <v>0.33727968</v>
      </c>
      <c r="P57" s="20" t="n">
        <v>0.19695765</v>
      </c>
      <c r="Q57" s="18" t="n">
        <v>3.96134104</v>
      </c>
      <c r="R57" s="20" t="n">
        <v>0.62471551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(1500.0/B59*100)</f>
        <v/>
      </c>
      <c r="D59" s="19" t="n">
        <v>778</v>
      </c>
      <c r="E59" s="18" t="n">
        <v>73.61164859</v>
      </c>
      <c r="F59" s="20" t="n">
        <v>1.9799701</v>
      </c>
      <c r="G59" s="18" t="n">
        <v>24.18641571</v>
      </c>
      <c r="H59" s="20" t="n">
        <v>1.90730849</v>
      </c>
      <c r="I59" s="18" t="n">
        <v>0</v>
      </c>
      <c r="J59" s="20" t="n">
        <v>0</v>
      </c>
      <c r="K59" s="18" t="n">
        <v>0.75656216</v>
      </c>
      <c r="L59" s="20" t="n">
        <v>0.31432742</v>
      </c>
      <c r="M59" s="18" t="n">
        <v>0</v>
      </c>
      <c r="N59" s="20" t="n">
        <v>0</v>
      </c>
      <c r="O59" s="18" t="n">
        <v>0.04118752</v>
      </c>
      <c r="P59" s="20" t="n">
        <v>0.04269581</v>
      </c>
      <c r="Q59" s="18" t="n">
        <v>1.40418602</v>
      </c>
      <c r="R59" s="20" t="n">
        <v>0.35447595</v>
      </c>
    </row>
    <row r="60" spans="1:18">
      <c r="A60" s="15" t="s">
        <v>620</v>
      </c>
      <c r="B60" s="17" t="n">
        <v>2451</v>
      </c>
      <c r="C60" s="18">
        <f>(1668.0/B60*100)</f>
        <v/>
      </c>
      <c r="D60" s="19" t="n">
        <v>783</v>
      </c>
      <c r="E60" s="18" t="n">
        <v>67.53432770000001</v>
      </c>
      <c r="F60" s="20" t="n">
        <v>1.93477108</v>
      </c>
      <c r="G60" s="18" t="n">
        <v>20.08072876</v>
      </c>
      <c r="H60" s="20" t="n">
        <v>1.73467074</v>
      </c>
      <c r="I60" s="18" t="n">
        <v>0</v>
      </c>
      <c r="J60" s="20" t="n">
        <v>0</v>
      </c>
      <c r="K60" s="18" t="n">
        <v>5.77544089</v>
      </c>
      <c r="L60" s="20" t="n">
        <v>0.85701847</v>
      </c>
      <c r="M60" s="18" t="n">
        <v>0</v>
      </c>
      <c r="N60" s="20" t="n">
        <v>0</v>
      </c>
      <c r="O60" s="18" t="n">
        <v>0.74524052</v>
      </c>
      <c r="P60" s="20" t="n">
        <v>0.36770469</v>
      </c>
      <c r="Q60" s="18" t="n">
        <v>5.86426213</v>
      </c>
      <c r="R60" s="20" t="n">
        <v>1.25050139</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(1669.0/B63*100)</f>
        <v/>
      </c>
      <c r="D63" s="19" t="n">
        <v>842</v>
      </c>
      <c r="E63" s="18" t="n">
        <v>60.46413932</v>
      </c>
      <c r="F63" s="20" t="n">
        <v>1.90278371</v>
      </c>
      <c r="G63" s="18" t="n">
        <v>30.28680097</v>
      </c>
      <c r="H63" s="20" t="n">
        <v>1.73455013</v>
      </c>
      <c r="I63" s="18" t="n">
        <v>0</v>
      </c>
      <c r="J63" s="20" t="n">
        <v>0</v>
      </c>
      <c r="K63" s="18" t="n">
        <v>4.2916224</v>
      </c>
      <c r="L63" s="20" t="n">
        <v>0.65689432</v>
      </c>
      <c r="M63" s="18" t="n">
        <v>0</v>
      </c>
      <c r="N63" s="20" t="n">
        <v>0</v>
      </c>
      <c r="O63" s="18" t="n">
        <v>0</v>
      </c>
      <c r="P63" s="20" t="n">
        <v>0</v>
      </c>
      <c r="Q63" s="18" t="n">
        <v>4.95743731</v>
      </c>
      <c r="R63" s="20" t="n">
        <v>0.78551271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(1185.0/B65*100)</f>
        <v/>
      </c>
      <c r="D65" s="19" t="n">
        <v>605</v>
      </c>
      <c r="E65" s="18" t="n">
        <v>57.16504714</v>
      </c>
      <c r="F65" s="20" t="n">
        <v>1.76736642</v>
      </c>
      <c r="G65" s="18" t="n">
        <v>39.63095515</v>
      </c>
      <c r="H65" s="20" t="n">
        <v>1.77646512</v>
      </c>
      <c r="I65" s="18" t="n">
        <v>0</v>
      </c>
      <c r="J65" s="20" t="n">
        <v>0</v>
      </c>
      <c r="K65" s="18" t="n">
        <v>1.83970904</v>
      </c>
      <c r="L65" s="20" t="n">
        <v>0.57217499</v>
      </c>
      <c r="M65" s="18" t="n">
        <v>0</v>
      </c>
      <c r="N65" s="20" t="n">
        <v>0</v>
      </c>
      <c r="O65" s="18" t="n">
        <v>0</v>
      </c>
      <c r="P65" s="20" t="n">
        <v>0</v>
      </c>
      <c r="Q65" s="18" t="n">
        <v>1.36428868</v>
      </c>
      <c r="R65" s="20" t="n">
        <v>0.53219515</v>
      </c>
    </row>
    <row r="66" spans="1:18">
      <c r="A66" s="15" t="s">
        <v>626</v>
      </c>
      <c r="B66" s="17" t="n">
        <v>2634</v>
      </c>
      <c r="C66" s="18">
        <f>(1744.0/B66*100)</f>
        <v/>
      </c>
      <c r="D66" s="19" t="n">
        <v>890</v>
      </c>
      <c r="E66" s="18" t="n">
        <v>57.71109057</v>
      </c>
      <c r="F66" s="20" t="n">
        <v>1.95668031</v>
      </c>
      <c r="G66" s="18" t="n">
        <v>34.67995839</v>
      </c>
      <c r="H66" s="20" t="n">
        <v>2.01955047</v>
      </c>
      <c r="I66" s="18" t="n">
        <v>0</v>
      </c>
      <c r="J66" s="20" t="n">
        <v>0</v>
      </c>
      <c r="K66" s="18" t="n">
        <v>4.28279929</v>
      </c>
      <c r="L66" s="20" t="n">
        <v>0.76741609</v>
      </c>
      <c r="M66" s="18" t="n">
        <v>0.18907635</v>
      </c>
      <c r="N66" s="20" t="n">
        <v>0.13750008</v>
      </c>
      <c r="O66" s="18" t="n">
        <v>0</v>
      </c>
      <c r="P66" s="20" t="n">
        <v>0</v>
      </c>
      <c r="Q66" s="18" t="n">
        <v>3.13707539</v>
      </c>
      <c r="R66" s="20" t="n">
        <v>0.60558575</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(474.0/B69*100)</f>
        <v/>
      </c>
      <c r="D69" s="19" t="n">
        <v>246</v>
      </c>
      <c r="E69" s="18" t="n">
        <v>72.58088053</v>
      </c>
      <c r="F69" s="20" t="n">
        <v>3.43952155</v>
      </c>
      <c r="G69" s="18" t="n">
        <v>26.69752406</v>
      </c>
      <c r="H69" s="20" t="n">
        <v>3.44412854</v>
      </c>
      <c r="I69" s="18" t="n">
        <v>0</v>
      </c>
      <c r="J69" s="20" t="n">
        <v>0</v>
      </c>
      <c r="K69" s="18" t="n">
        <v>0</v>
      </c>
      <c r="L69" s="20" t="n">
        <v>0</v>
      </c>
      <c r="M69" s="18" t="n">
        <v>0</v>
      </c>
      <c r="N69" s="20" t="n">
        <v>0</v>
      </c>
      <c r="O69" s="18" t="n">
        <v>0</v>
      </c>
      <c r="P69" s="20" t="n">
        <v>0</v>
      </c>
      <c r="Q69" s="18" t="n">
        <v>0.72159541</v>
      </c>
      <c r="R69" s="20" t="n">
        <v>0.49730168</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(1642.0/B71*100)</f>
        <v/>
      </c>
      <c r="D71" s="19" t="n">
        <v>824</v>
      </c>
      <c r="E71" s="18" t="n">
        <v>68.62112937000001</v>
      </c>
      <c r="F71" s="20" t="n">
        <v>1.94117378</v>
      </c>
      <c r="G71" s="18" t="n">
        <v>31.14882872</v>
      </c>
      <c r="H71" s="20" t="n">
        <v>1.92705239</v>
      </c>
      <c r="I71" s="18" t="n">
        <v>0</v>
      </c>
      <c r="J71" s="20" t="n">
        <v>0</v>
      </c>
      <c r="K71" s="18" t="n">
        <v>0</v>
      </c>
      <c r="L71" s="20" t="n">
        <v>0</v>
      </c>
      <c r="M71" s="18" t="n">
        <v>0</v>
      </c>
      <c r="N71" s="20" t="n">
        <v>0</v>
      </c>
      <c r="O71" s="18" t="n">
        <v>0</v>
      </c>
      <c r="P71" s="20" t="n">
        <v>0</v>
      </c>
      <c r="Q71" s="18" t="n">
        <v>0.23004191</v>
      </c>
      <c r="R71" s="20" t="n">
        <v>0.16252029</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(1630.0/B76*100)</f>
        <v/>
      </c>
      <c r="D76" s="19" t="n">
        <v>823</v>
      </c>
      <c r="E76" s="18" t="n">
        <v>64.81017176</v>
      </c>
      <c r="F76" s="20" t="n">
        <v>1.79781353</v>
      </c>
      <c r="G76" s="18" t="n">
        <v>26.15697856</v>
      </c>
      <c r="H76" s="20" t="n">
        <v>1.5609418</v>
      </c>
      <c r="I76" s="18" t="n">
        <v>0</v>
      </c>
      <c r="J76" s="20" t="n">
        <v>0</v>
      </c>
      <c r="K76" s="18" t="n">
        <v>4.3001809</v>
      </c>
      <c r="L76" s="20" t="n">
        <v>0.63463401</v>
      </c>
      <c r="M76" s="18" t="n">
        <v>0</v>
      </c>
      <c r="N76" s="20" t="n">
        <v>0</v>
      </c>
      <c r="O76" s="18" t="n">
        <v>0</v>
      </c>
      <c r="P76" s="20" t="n">
        <v>0</v>
      </c>
      <c r="Q76" s="18" t="n">
        <v>4.73266878</v>
      </c>
      <c r="R76" s="20" t="n">
        <v>0.85577305</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27.97123488</v>
      </c>
      <c r="F80" s="20" t="n">
        <v>1.49954447</v>
      </c>
      <c r="G80" s="18" t="n">
        <v>72.02876512</v>
      </c>
      <c r="H80" s="20" t="n">
        <v>1.49954447</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55.22028859</v>
      </c>
      <c r="F81" s="20" t="n">
        <v>3.26634171</v>
      </c>
      <c r="G81" s="18" t="n">
        <v>34.90046821</v>
      </c>
      <c r="H81" s="20" t="n">
        <v>3.07834978</v>
      </c>
      <c r="I81" s="18" t="n">
        <v>0</v>
      </c>
      <c r="J81" s="20" t="n">
        <v>0</v>
      </c>
      <c r="K81" s="18" t="n">
        <v>4.63849524</v>
      </c>
      <c r="L81" s="20" t="n">
        <v>1.39522503</v>
      </c>
      <c r="M81" s="18" t="n">
        <v>0</v>
      </c>
      <c r="N81" s="20" t="n">
        <v>0</v>
      </c>
      <c r="O81" s="18" t="n">
        <v>0</v>
      </c>
      <c r="P81" s="20" t="n">
        <v>0</v>
      </c>
      <c r="Q81" s="18" t="n">
        <v>5.24074796</v>
      </c>
      <c r="R81" s="20" t="n">
        <v>1.45707029</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(1787.0/B44*100)</f>
        <v/>
      </c>
      <c r="D44" s="19" t="n">
        <v>904</v>
      </c>
      <c r="E44" s="18" t="n">
        <v>33.66710691</v>
      </c>
      <c r="F44" s="20" t="n">
        <v>1.91761698</v>
      </c>
      <c r="G44" s="18" t="n">
        <v>58.74234168</v>
      </c>
      <c r="H44" s="20" t="n">
        <v>2.03953834</v>
      </c>
      <c r="I44" s="18" t="n">
        <v>0</v>
      </c>
      <c r="J44" s="20" t="n">
        <v>0</v>
      </c>
      <c r="K44" s="18" t="n">
        <v>2.74065926</v>
      </c>
      <c r="L44" s="20" t="n">
        <v>0.58687539</v>
      </c>
      <c r="M44" s="18" t="n">
        <v>0</v>
      </c>
      <c r="N44" s="20" t="n">
        <v>0</v>
      </c>
      <c r="O44" s="18" t="n">
        <v>0</v>
      </c>
      <c r="P44" s="20" t="n">
        <v>0</v>
      </c>
      <c r="Q44" s="18" t="n">
        <v>4.84989214</v>
      </c>
      <c r="R44" s="20" t="n">
        <v>0.84299589</v>
      </c>
    </row>
    <row r="45" spans="1:18">
      <c r="A45" s="15" t="s">
        <v>604</v>
      </c>
      <c r="B45" s="17" t="n">
        <v>2670</v>
      </c>
      <c r="C45" s="18">
        <f>(1761.0/B45*100)</f>
        <v/>
      </c>
      <c r="D45" s="19" t="n">
        <v>909</v>
      </c>
      <c r="E45" s="18" t="n">
        <v>37.63622701</v>
      </c>
      <c r="F45" s="20" t="n">
        <v>1.86754306</v>
      </c>
      <c r="G45" s="18" t="n">
        <v>51.67768045</v>
      </c>
      <c r="H45" s="20" t="n">
        <v>1.80436066</v>
      </c>
      <c r="I45" s="18" t="n">
        <v>0</v>
      </c>
      <c r="J45" s="20" t="n">
        <v>0</v>
      </c>
      <c r="K45" s="18" t="n">
        <v>3.5783516</v>
      </c>
      <c r="L45" s="20" t="n">
        <v>0.66707815</v>
      </c>
      <c r="M45" s="18" t="n">
        <v>1.61557631</v>
      </c>
      <c r="N45" s="20" t="n">
        <v>0.32135992</v>
      </c>
      <c r="O45" s="18" t="n">
        <v>2.69934571</v>
      </c>
      <c r="P45" s="20" t="n">
        <v>0.82687321</v>
      </c>
      <c r="Q45" s="18" t="n">
        <v>2.79281891</v>
      </c>
      <c r="R45" s="20" t="n">
        <v>0.62772125</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(1711.0/B54*100)</f>
        <v/>
      </c>
      <c r="D54" s="19" t="n">
        <v>846</v>
      </c>
      <c r="E54" s="18" t="n">
        <v>39.09245268</v>
      </c>
      <c r="F54" s="20" t="n">
        <v>1.9956579</v>
      </c>
      <c r="G54" s="18" t="n">
        <v>56.60079437</v>
      </c>
      <c r="H54" s="20" t="n">
        <v>2.00573087</v>
      </c>
      <c r="I54" s="18" t="n">
        <v>0</v>
      </c>
      <c r="J54" s="20" t="n">
        <v>0</v>
      </c>
      <c r="K54" s="18" t="n">
        <v>2.54391681</v>
      </c>
      <c r="L54" s="20" t="n">
        <v>0.48512149</v>
      </c>
      <c r="M54" s="18" t="n">
        <v>0</v>
      </c>
      <c r="N54" s="20" t="n">
        <v>0</v>
      </c>
      <c r="O54" s="18" t="n">
        <v>0.10058054</v>
      </c>
      <c r="P54" s="20" t="n">
        <v>0.10087561</v>
      </c>
      <c r="Q54" s="18" t="n">
        <v>1.6622556</v>
      </c>
      <c r="R54" s="20" t="n">
        <v>0.413389</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(2226.0/B56*100)</f>
        <v/>
      </c>
      <c r="D56" s="19" t="n">
        <v>1117</v>
      </c>
      <c r="E56" s="18" t="n">
        <v>21.54857857</v>
      </c>
      <c r="F56" s="20" t="n">
        <v>1.20848929</v>
      </c>
      <c r="G56" s="18" t="n">
        <v>74.8377794</v>
      </c>
      <c r="H56" s="20" t="n">
        <v>1.43470024</v>
      </c>
      <c r="I56" s="18" t="n">
        <v>0</v>
      </c>
      <c r="J56" s="20" t="n">
        <v>0</v>
      </c>
      <c r="K56" s="18" t="n">
        <v>2.34257136</v>
      </c>
      <c r="L56" s="20" t="n">
        <v>0.69685853</v>
      </c>
      <c r="M56" s="18" t="n">
        <v>0</v>
      </c>
      <c r="N56" s="20" t="n">
        <v>0</v>
      </c>
      <c r="O56" s="18" t="n">
        <v>0</v>
      </c>
      <c r="P56" s="20" t="n">
        <v>0</v>
      </c>
      <c r="Q56" s="18" t="n">
        <v>1.27107067</v>
      </c>
      <c r="R56" s="20" t="n">
        <v>0.40496888</v>
      </c>
    </row>
    <row r="57" spans="1:18">
      <c r="A57" s="15" t="s">
        <v>616</v>
      </c>
      <c r="B57" s="17" t="n">
        <v>3737</v>
      </c>
      <c r="C57" s="18">
        <f>(2502.0/B57*100)</f>
        <v/>
      </c>
      <c r="D57" s="19" t="n">
        <v>1235</v>
      </c>
      <c r="E57" s="18" t="n">
        <v>27.59804019</v>
      </c>
      <c r="F57" s="20" t="n">
        <v>1.97997432</v>
      </c>
      <c r="G57" s="18" t="n">
        <v>67.8855167</v>
      </c>
      <c r="H57" s="20" t="n">
        <v>2.0680634</v>
      </c>
      <c r="I57" s="18" t="n">
        <v>0</v>
      </c>
      <c r="J57" s="20" t="n">
        <v>0</v>
      </c>
      <c r="K57" s="18" t="n">
        <v>2.56693385</v>
      </c>
      <c r="L57" s="20" t="n">
        <v>0.43136858</v>
      </c>
      <c r="M57" s="18" t="n">
        <v>0</v>
      </c>
      <c r="N57" s="20" t="n">
        <v>0</v>
      </c>
      <c r="O57" s="18" t="n">
        <v>0.11461669</v>
      </c>
      <c r="P57" s="20" t="n">
        <v>0.11463062</v>
      </c>
      <c r="Q57" s="18" t="n">
        <v>1.83489256</v>
      </c>
      <c r="R57" s="20" t="n">
        <v>0.43801554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(1500.0/B59*100)</f>
        <v/>
      </c>
      <c r="D59" s="19" t="n">
        <v>778</v>
      </c>
      <c r="E59" s="18" t="n">
        <v>27.81489269</v>
      </c>
      <c r="F59" s="20" t="n">
        <v>1.84381622</v>
      </c>
      <c r="G59" s="18" t="n">
        <v>70.12148055</v>
      </c>
      <c r="H59" s="20" t="n">
        <v>1.92000392</v>
      </c>
      <c r="I59" s="18" t="n">
        <v>0</v>
      </c>
      <c r="J59" s="20" t="n">
        <v>0</v>
      </c>
      <c r="K59" s="18" t="n">
        <v>0.82076667</v>
      </c>
      <c r="L59" s="20" t="n">
        <v>0.32074834</v>
      </c>
      <c r="M59" s="18" t="n">
        <v>0</v>
      </c>
      <c r="N59" s="20" t="n">
        <v>0</v>
      </c>
      <c r="O59" s="18" t="n">
        <v>0.40234168</v>
      </c>
      <c r="P59" s="20" t="n">
        <v>0.25963817</v>
      </c>
      <c r="Q59" s="18" t="n">
        <v>0.84051841</v>
      </c>
      <c r="R59" s="20" t="n">
        <v>0.36203514</v>
      </c>
    </row>
    <row r="60" spans="1:18">
      <c r="A60" s="15" t="s">
        <v>620</v>
      </c>
      <c r="B60" s="17" t="n">
        <v>2451</v>
      </c>
      <c r="C60" s="18">
        <f>(1668.0/B60*100)</f>
        <v/>
      </c>
      <c r="D60" s="19" t="n">
        <v>783</v>
      </c>
      <c r="E60" s="18" t="n">
        <v>27.82537672</v>
      </c>
      <c r="F60" s="20" t="n">
        <v>1.81504018</v>
      </c>
      <c r="G60" s="18" t="n">
        <v>61.24824558</v>
      </c>
      <c r="H60" s="20" t="n">
        <v>2.2401239</v>
      </c>
      <c r="I60" s="18" t="n">
        <v>0</v>
      </c>
      <c r="J60" s="20" t="n">
        <v>0</v>
      </c>
      <c r="K60" s="18" t="n">
        <v>6.6322071</v>
      </c>
      <c r="L60" s="20" t="n">
        <v>0.9429963</v>
      </c>
      <c r="M60" s="18" t="n">
        <v>0</v>
      </c>
      <c r="N60" s="20" t="n">
        <v>0</v>
      </c>
      <c r="O60" s="18" t="n">
        <v>0.79065525</v>
      </c>
      <c r="P60" s="20" t="n">
        <v>0.38239552</v>
      </c>
      <c r="Q60" s="18" t="n">
        <v>3.50351535</v>
      </c>
      <c r="R60" s="20" t="n">
        <v>1.02086729</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(1669.0/B63*100)</f>
        <v/>
      </c>
      <c r="D63" s="19" t="n">
        <v>842</v>
      </c>
      <c r="E63" s="18" t="n">
        <v>34.26679177</v>
      </c>
      <c r="F63" s="20" t="n">
        <v>1.72681791</v>
      </c>
      <c r="G63" s="18" t="n">
        <v>58.84332982</v>
      </c>
      <c r="H63" s="20" t="n">
        <v>1.67078314</v>
      </c>
      <c r="I63" s="18" t="n">
        <v>0</v>
      </c>
      <c r="J63" s="20" t="n">
        <v>0</v>
      </c>
      <c r="K63" s="18" t="n">
        <v>4.41444247</v>
      </c>
      <c r="L63" s="20" t="n">
        <v>0.66594106</v>
      </c>
      <c r="M63" s="18" t="n">
        <v>0</v>
      </c>
      <c r="N63" s="20" t="n">
        <v>0</v>
      </c>
      <c r="O63" s="18" t="n">
        <v>0</v>
      </c>
      <c r="P63" s="20" t="n">
        <v>0</v>
      </c>
      <c r="Q63" s="18" t="n">
        <v>2.47543594</v>
      </c>
      <c r="R63" s="20" t="n">
        <v>0.56506986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(1185.0/B65*100)</f>
        <v/>
      </c>
      <c r="D65" s="19" t="n">
        <v>605</v>
      </c>
      <c r="E65" s="18" t="n">
        <v>31.9629137</v>
      </c>
      <c r="F65" s="20" t="n">
        <v>1.77227422</v>
      </c>
      <c r="G65" s="18" t="n">
        <v>65.72137283000001</v>
      </c>
      <c r="H65" s="20" t="n">
        <v>1.79348613</v>
      </c>
      <c r="I65" s="18" t="n">
        <v>0</v>
      </c>
      <c r="J65" s="20" t="n">
        <v>0</v>
      </c>
      <c r="K65" s="18" t="n">
        <v>1.83970904</v>
      </c>
      <c r="L65" s="20" t="n">
        <v>0.57217499</v>
      </c>
      <c r="M65" s="18" t="n">
        <v>0</v>
      </c>
      <c r="N65" s="20" t="n">
        <v>0</v>
      </c>
      <c r="O65" s="18" t="n">
        <v>0</v>
      </c>
      <c r="P65" s="20" t="n">
        <v>0</v>
      </c>
      <c r="Q65" s="18" t="n">
        <v>0.47600444</v>
      </c>
      <c r="R65" s="20" t="n">
        <v>0.27370918</v>
      </c>
    </row>
    <row r="66" spans="1:18">
      <c r="A66" s="15" t="s">
        <v>626</v>
      </c>
      <c r="B66" s="17" t="n">
        <v>2634</v>
      </c>
      <c r="C66" s="18">
        <f>(1744.0/B66*100)</f>
        <v/>
      </c>
      <c r="D66" s="19" t="n">
        <v>890</v>
      </c>
      <c r="E66" s="18" t="n">
        <v>25.05608939</v>
      </c>
      <c r="F66" s="20" t="n">
        <v>1.2803876</v>
      </c>
      <c r="G66" s="18" t="n">
        <v>68.07458647</v>
      </c>
      <c r="H66" s="20" t="n">
        <v>1.64456472</v>
      </c>
      <c r="I66" s="18" t="n">
        <v>0</v>
      </c>
      <c r="J66" s="20" t="n">
        <v>0</v>
      </c>
      <c r="K66" s="18" t="n">
        <v>4.49491163</v>
      </c>
      <c r="L66" s="20" t="n">
        <v>0.73001903</v>
      </c>
      <c r="M66" s="18" t="n">
        <v>0</v>
      </c>
      <c r="N66" s="20" t="n">
        <v>0</v>
      </c>
      <c r="O66" s="18" t="n">
        <v>0</v>
      </c>
      <c r="P66" s="20" t="n">
        <v>0</v>
      </c>
      <c r="Q66" s="18" t="n">
        <v>2.3744125</v>
      </c>
      <c r="R66" s="20" t="n">
        <v>0.55467947</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(474.0/B69*100)</f>
        <v/>
      </c>
      <c r="D69" s="19" t="n">
        <v>246</v>
      </c>
      <c r="E69" s="18" t="n">
        <v>43.57172579</v>
      </c>
      <c r="F69" s="20" t="n">
        <v>2.63311467</v>
      </c>
      <c r="G69" s="18" t="n">
        <v>56.06586876</v>
      </c>
      <c r="H69" s="20" t="n">
        <v>2.64576567</v>
      </c>
      <c r="I69" s="18" t="n">
        <v>0</v>
      </c>
      <c r="J69" s="20" t="n">
        <v>0</v>
      </c>
      <c r="K69" s="18" t="n">
        <v>0</v>
      </c>
      <c r="L69" s="20" t="n">
        <v>0</v>
      </c>
      <c r="M69" s="18" t="n">
        <v>0</v>
      </c>
      <c r="N69" s="20" t="n">
        <v>0</v>
      </c>
      <c r="O69" s="18" t="n">
        <v>0</v>
      </c>
      <c r="P69" s="20" t="n">
        <v>0</v>
      </c>
      <c r="Q69" s="18" t="n">
        <v>0.36240545</v>
      </c>
      <c r="R69" s="20" t="n">
        <v>0.34755506</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(1642.0/B71*100)</f>
        <v/>
      </c>
      <c r="D71" s="19" t="n">
        <v>824</v>
      </c>
      <c r="E71" s="18" t="n">
        <v>35.26483743</v>
      </c>
      <c r="F71" s="20" t="n">
        <v>1.80805898</v>
      </c>
      <c r="G71" s="18" t="n">
        <v>64.73516257</v>
      </c>
      <c r="H71" s="20" t="n">
        <v>1.80805898</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(1630.0/B76*100)</f>
        <v/>
      </c>
      <c r="D76" s="19" t="n">
        <v>823</v>
      </c>
      <c r="E76" s="18" t="n">
        <v>27.08094002</v>
      </c>
      <c r="F76" s="20" t="n">
        <v>1.52489445</v>
      </c>
      <c r="G76" s="18" t="n">
        <v>66.03182008</v>
      </c>
      <c r="H76" s="20" t="n">
        <v>1.53196531</v>
      </c>
      <c r="I76" s="18" t="n">
        <v>0</v>
      </c>
      <c r="J76" s="20" t="n">
        <v>0</v>
      </c>
      <c r="K76" s="18" t="n">
        <v>4.83372496</v>
      </c>
      <c r="L76" s="20" t="n">
        <v>0.67957537</v>
      </c>
      <c r="M76" s="18" t="n">
        <v>0</v>
      </c>
      <c r="N76" s="20" t="n">
        <v>0</v>
      </c>
      <c r="O76" s="18" t="n">
        <v>0</v>
      </c>
      <c r="P76" s="20" t="n">
        <v>0</v>
      </c>
      <c r="Q76" s="18" t="n">
        <v>2.05351494</v>
      </c>
      <c r="R76" s="20" t="n">
        <v>0.48589251</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11.80285198</v>
      </c>
      <c r="F80" s="20" t="n">
        <v>1.01624284</v>
      </c>
      <c r="G80" s="18" t="n">
        <v>88.19714802</v>
      </c>
      <c r="H80" s="20" t="n">
        <v>1.01624284</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29.25740725</v>
      </c>
      <c r="F81" s="20" t="n">
        <v>3.27525913</v>
      </c>
      <c r="G81" s="18" t="n">
        <v>62.53497071</v>
      </c>
      <c r="H81" s="20" t="n">
        <v>3.31384875</v>
      </c>
      <c r="I81" s="18" t="n">
        <v>0</v>
      </c>
      <c r="J81" s="20" t="n">
        <v>0</v>
      </c>
      <c r="K81" s="18" t="n">
        <v>5.08201403</v>
      </c>
      <c r="L81" s="20" t="n">
        <v>1.32448637</v>
      </c>
      <c r="M81" s="18" t="n">
        <v>0</v>
      </c>
      <c r="N81" s="20" t="n">
        <v>0</v>
      </c>
      <c r="O81" s="18" t="n">
        <v>0</v>
      </c>
      <c r="P81" s="20" t="n">
        <v>0</v>
      </c>
      <c r="Q81" s="18" t="n">
        <v>3.12560801</v>
      </c>
      <c r="R81" s="20" t="n">
        <v>1.0071255</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(1787.0/B44*100)</f>
        <v/>
      </c>
      <c r="D44" s="19" t="n">
        <v>904</v>
      </c>
      <c r="E44" s="18" t="n">
        <v>54.66987801</v>
      </c>
      <c r="F44" s="20" t="n">
        <v>2.30942321</v>
      </c>
      <c r="G44" s="18" t="n">
        <v>39.06406623</v>
      </c>
      <c r="H44" s="20" t="n">
        <v>2.14805081</v>
      </c>
      <c r="I44" s="18" t="n">
        <v>0</v>
      </c>
      <c r="J44" s="20" t="n">
        <v>0</v>
      </c>
      <c r="K44" s="18" t="n">
        <v>3.1360523</v>
      </c>
      <c r="L44" s="20" t="n">
        <v>0.64649977</v>
      </c>
      <c r="M44" s="18" t="n">
        <v>0</v>
      </c>
      <c r="N44" s="20" t="n">
        <v>0</v>
      </c>
      <c r="O44" s="18" t="n">
        <v>0</v>
      </c>
      <c r="P44" s="20" t="n">
        <v>0</v>
      </c>
      <c r="Q44" s="18" t="n">
        <v>3.13000346</v>
      </c>
      <c r="R44" s="20" t="n">
        <v>0.80264625</v>
      </c>
    </row>
    <row r="45" spans="1:18">
      <c r="A45" s="15" t="s">
        <v>604</v>
      </c>
      <c r="B45" s="17" t="n">
        <v>2670</v>
      </c>
      <c r="C45" s="18">
        <f>(1761.0/B45*100)</f>
        <v/>
      </c>
      <c r="D45" s="19" t="n">
        <v>909</v>
      </c>
      <c r="E45" s="18" t="n">
        <v>52.31660432</v>
      </c>
      <c r="F45" s="20" t="n">
        <v>1.81825685</v>
      </c>
      <c r="G45" s="18" t="n">
        <v>40.33372541</v>
      </c>
      <c r="H45" s="20" t="n">
        <v>1.80685818</v>
      </c>
      <c r="I45" s="18" t="n">
        <v>0</v>
      </c>
      <c r="J45" s="20" t="n">
        <v>0</v>
      </c>
      <c r="K45" s="18" t="n">
        <v>3.98485798</v>
      </c>
      <c r="L45" s="20" t="n">
        <v>0.70858599</v>
      </c>
      <c r="M45" s="18" t="n">
        <v>1.41385586</v>
      </c>
      <c r="N45" s="20" t="n">
        <v>0.36457597</v>
      </c>
      <c r="O45" s="18" t="n">
        <v>0</v>
      </c>
      <c r="P45" s="20" t="n">
        <v>0</v>
      </c>
      <c r="Q45" s="18" t="n">
        <v>1.95095643</v>
      </c>
      <c r="R45" s="20" t="n">
        <v>0.45439115</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(1711.0/B54*100)</f>
        <v/>
      </c>
      <c r="D54" s="19" t="n">
        <v>846</v>
      </c>
      <c r="E54" s="18" t="n">
        <v>56.4410307</v>
      </c>
      <c r="F54" s="20" t="n">
        <v>1.69434103</v>
      </c>
      <c r="G54" s="18" t="n">
        <v>39.21099545</v>
      </c>
      <c r="H54" s="20" t="n">
        <v>1.60303986</v>
      </c>
      <c r="I54" s="18" t="n">
        <v>0</v>
      </c>
      <c r="J54" s="20" t="n">
        <v>0</v>
      </c>
      <c r="K54" s="18" t="n">
        <v>2.96586425</v>
      </c>
      <c r="L54" s="20" t="n">
        <v>0.51761302</v>
      </c>
      <c r="M54" s="18" t="n">
        <v>0</v>
      </c>
      <c r="N54" s="20" t="n">
        <v>0</v>
      </c>
      <c r="O54" s="18" t="n">
        <v>0</v>
      </c>
      <c r="P54" s="20" t="n">
        <v>0</v>
      </c>
      <c r="Q54" s="18" t="n">
        <v>1.38210961</v>
      </c>
      <c r="R54" s="20" t="n">
        <v>0.37173883</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(2226.0/B56*100)</f>
        <v/>
      </c>
      <c r="D56" s="19" t="n">
        <v>1117</v>
      </c>
      <c r="E56" s="18" t="n">
        <v>58.40838461</v>
      </c>
      <c r="F56" s="20" t="n">
        <v>1.59763866</v>
      </c>
      <c r="G56" s="18" t="n">
        <v>36.88369704</v>
      </c>
      <c r="H56" s="20" t="n">
        <v>1.42097856</v>
      </c>
      <c r="I56" s="18" t="n">
        <v>0</v>
      </c>
      <c r="J56" s="20" t="n">
        <v>0</v>
      </c>
      <c r="K56" s="18" t="n">
        <v>2.76253531</v>
      </c>
      <c r="L56" s="20" t="n">
        <v>0.85767677</v>
      </c>
      <c r="M56" s="18" t="n">
        <v>0</v>
      </c>
      <c r="N56" s="20" t="n">
        <v>0</v>
      </c>
      <c r="O56" s="18" t="n">
        <v>0</v>
      </c>
      <c r="P56" s="20" t="n">
        <v>0</v>
      </c>
      <c r="Q56" s="18" t="n">
        <v>1.94538304</v>
      </c>
      <c r="R56" s="20" t="n">
        <v>0.39036706</v>
      </c>
    </row>
    <row r="57" spans="1:18">
      <c r="A57" s="15" t="s">
        <v>616</v>
      </c>
      <c r="B57" s="17" t="n">
        <v>3737</v>
      </c>
      <c r="C57" s="18">
        <f>(2502.0/B57*100)</f>
        <v/>
      </c>
      <c r="D57" s="19" t="n">
        <v>1235</v>
      </c>
      <c r="E57" s="18" t="n">
        <v>62.14808403</v>
      </c>
      <c r="F57" s="20" t="n">
        <v>2.15648647</v>
      </c>
      <c r="G57" s="18" t="n">
        <v>33.49999293</v>
      </c>
      <c r="H57" s="20" t="n">
        <v>2.05063397</v>
      </c>
      <c r="I57" s="18" t="n">
        <v>0</v>
      </c>
      <c r="J57" s="20" t="n">
        <v>0</v>
      </c>
      <c r="K57" s="18" t="n">
        <v>2.65389412</v>
      </c>
      <c r="L57" s="20" t="n">
        <v>0.44316083</v>
      </c>
      <c r="M57" s="18" t="n">
        <v>0</v>
      </c>
      <c r="N57" s="20" t="n">
        <v>0</v>
      </c>
      <c r="O57" s="18" t="n">
        <v>0.13666691</v>
      </c>
      <c r="P57" s="20" t="n">
        <v>0.13723775</v>
      </c>
      <c r="Q57" s="18" t="n">
        <v>1.56136201</v>
      </c>
      <c r="R57" s="20" t="n">
        <v>0.46146767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(1500.0/B59*100)</f>
        <v/>
      </c>
      <c r="D59" s="19" t="n">
        <v>778</v>
      </c>
      <c r="E59" s="18" t="n">
        <v>73.0542413</v>
      </c>
      <c r="F59" s="20" t="n">
        <v>1.81219721</v>
      </c>
      <c r="G59" s="18" t="n">
        <v>24.99208412</v>
      </c>
      <c r="H59" s="20" t="n">
        <v>1.84870438</v>
      </c>
      <c r="I59" s="18" t="n">
        <v>0</v>
      </c>
      <c r="J59" s="20" t="n">
        <v>0</v>
      </c>
      <c r="K59" s="18" t="n">
        <v>0.9151851600000001</v>
      </c>
      <c r="L59" s="20" t="n">
        <v>0.33324923</v>
      </c>
      <c r="M59" s="18" t="n">
        <v>0</v>
      </c>
      <c r="N59" s="20" t="n">
        <v>0</v>
      </c>
      <c r="O59" s="18" t="n">
        <v>0.15484618</v>
      </c>
      <c r="P59" s="20" t="n">
        <v>0.15423815</v>
      </c>
      <c r="Q59" s="18" t="n">
        <v>0.8836432400000001</v>
      </c>
      <c r="R59" s="20" t="n">
        <v>0.31489357</v>
      </c>
    </row>
    <row r="60" spans="1:18">
      <c r="A60" s="15" t="s">
        <v>620</v>
      </c>
      <c r="B60" s="17" t="n">
        <v>2451</v>
      </c>
      <c r="C60" s="18">
        <f>(1668.0/B60*100)</f>
        <v/>
      </c>
      <c r="D60" s="19" t="n">
        <v>783</v>
      </c>
      <c r="E60" s="18" t="n">
        <v>57.65251703</v>
      </c>
      <c r="F60" s="20" t="n">
        <v>1.872647</v>
      </c>
      <c r="G60" s="18" t="n">
        <v>31.52593537</v>
      </c>
      <c r="H60" s="20" t="n">
        <v>2.03323015</v>
      </c>
      <c r="I60" s="18" t="n">
        <v>0</v>
      </c>
      <c r="J60" s="20" t="n">
        <v>0</v>
      </c>
      <c r="K60" s="18" t="n">
        <v>7.73100142</v>
      </c>
      <c r="L60" s="20" t="n">
        <v>0.94882375</v>
      </c>
      <c r="M60" s="18" t="n">
        <v>0</v>
      </c>
      <c r="N60" s="20" t="n">
        <v>0</v>
      </c>
      <c r="O60" s="18" t="n">
        <v>0</v>
      </c>
      <c r="P60" s="20" t="n">
        <v>0</v>
      </c>
      <c r="Q60" s="18" t="n">
        <v>3.09054618</v>
      </c>
      <c r="R60" s="20" t="n">
        <v>0.6678541099999999</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(1669.0/B63*100)</f>
        <v/>
      </c>
      <c r="D63" s="19" t="n">
        <v>842</v>
      </c>
      <c r="E63" s="18" t="n">
        <v>59.56322053</v>
      </c>
      <c r="F63" s="20" t="n">
        <v>1.93337783</v>
      </c>
      <c r="G63" s="18" t="n">
        <v>33.39317781</v>
      </c>
      <c r="H63" s="20" t="n">
        <v>1.83572058</v>
      </c>
      <c r="I63" s="18" t="n">
        <v>0</v>
      </c>
      <c r="J63" s="20" t="n">
        <v>0</v>
      </c>
      <c r="K63" s="18" t="n">
        <v>5.39504648</v>
      </c>
      <c r="L63" s="20" t="n">
        <v>0.76441397</v>
      </c>
      <c r="M63" s="18" t="n">
        <v>0</v>
      </c>
      <c r="N63" s="20" t="n">
        <v>0</v>
      </c>
      <c r="O63" s="18" t="n">
        <v>0</v>
      </c>
      <c r="P63" s="20" t="n">
        <v>0</v>
      </c>
      <c r="Q63" s="18" t="n">
        <v>1.64855518</v>
      </c>
      <c r="R63" s="20" t="n">
        <v>0.42959634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(1185.0/B65*100)</f>
        <v/>
      </c>
      <c r="D65" s="19" t="n">
        <v>605</v>
      </c>
      <c r="E65" s="18" t="n">
        <v>46.31757141</v>
      </c>
      <c r="F65" s="20" t="n">
        <v>1.77927942</v>
      </c>
      <c r="G65" s="18" t="n">
        <v>51.69446701</v>
      </c>
      <c r="H65" s="20" t="n">
        <v>1.8102291</v>
      </c>
      <c r="I65" s="18" t="n">
        <v>0</v>
      </c>
      <c r="J65" s="20" t="n">
        <v>0</v>
      </c>
      <c r="K65" s="18" t="n">
        <v>1.83970904</v>
      </c>
      <c r="L65" s="20" t="n">
        <v>0.57217499</v>
      </c>
      <c r="M65" s="18" t="n">
        <v>0</v>
      </c>
      <c r="N65" s="20" t="n">
        <v>0</v>
      </c>
      <c r="O65" s="18" t="n">
        <v>0</v>
      </c>
      <c r="P65" s="20" t="n">
        <v>0</v>
      </c>
      <c r="Q65" s="18" t="n">
        <v>0.14825255</v>
      </c>
      <c r="R65" s="20" t="n">
        <v>0.14739474</v>
      </c>
    </row>
    <row r="66" spans="1:18">
      <c r="A66" s="15" t="s">
        <v>626</v>
      </c>
      <c r="B66" s="17" t="n">
        <v>2634</v>
      </c>
      <c r="C66" s="18">
        <f>(1744.0/B66*100)</f>
        <v/>
      </c>
      <c r="D66" s="19" t="n">
        <v>890</v>
      </c>
      <c r="E66" s="18" t="n">
        <v>46.19316349</v>
      </c>
      <c r="F66" s="20" t="n">
        <v>1.9629949</v>
      </c>
      <c r="G66" s="18" t="n">
        <v>47.75476194</v>
      </c>
      <c r="H66" s="20" t="n">
        <v>2.19500072</v>
      </c>
      <c r="I66" s="18" t="n">
        <v>0</v>
      </c>
      <c r="J66" s="20" t="n">
        <v>0</v>
      </c>
      <c r="K66" s="18" t="n">
        <v>4.79177595</v>
      </c>
      <c r="L66" s="20" t="n">
        <v>0.72183467</v>
      </c>
      <c r="M66" s="18" t="n">
        <v>0</v>
      </c>
      <c r="N66" s="20" t="n">
        <v>0</v>
      </c>
      <c r="O66" s="18" t="n">
        <v>0</v>
      </c>
      <c r="P66" s="20" t="n">
        <v>0</v>
      </c>
      <c r="Q66" s="18" t="n">
        <v>1.26029862</v>
      </c>
      <c r="R66" s="20" t="n">
        <v>0.37927669</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(474.0/B69*100)</f>
        <v/>
      </c>
      <c r="D69" s="19" t="n">
        <v>246</v>
      </c>
      <c r="E69" s="18" t="n">
        <v>54.20066393</v>
      </c>
      <c r="F69" s="20" t="n">
        <v>3.03237959</v>
      </c>
      <c r="G69" s="18" t="n">
        <v>45.52832323</v>
      </c>
      <c r="H69" s="20" t="n">
        <v>3.07099661</v>
      </c>
      <c r="I69" s="18" t="n">
        <v>0</v>
      </c>
      <c r="J69" s="20" t="n">
        <v>0</v>
      </c>
      <c r="K69" s="18" t="n">
        <v>0.27101284</v>
      </c>
      <c r="L69" s="20" t="n">
        <v>0.2732414</v>
      </c>
      <c r="M69" s="18" t="n">
        <v>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(1642.0/B71*100)</f>
        <v/>
      </c>
      <c r="D71" s="19" t="n">
        <v>824</v>
      </c>
      <c r="E71" s="18" t="n">
        <v>52.2501226</v>
      </c>
      <c r="F71" s="20" t="n">
        <v>2.21079679</v>
      </c>
      <c r="G71" s="18" t="n">
        <v>47.7498774</v>
      </c>
      <c r="H71" s="20" t="n">
        <v>2.21079679</v>
      </c>
      <c r="I71" s="18" t="n">
        <v>0</v>
      </c>
      <c r="J71" s="20" t="n">
        <v>0</v>
      </c>
      <c r="K71" s="18" t="n">
        <v>0</v>
      </c>
      <c r="L71" s="20" t="n">
        <v>0</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(1630.0/B76*100)</f>
        <v/>
      </c>
      <c r="D76" s="19" t="n">
        <v>823</v>
      </c>
      <c r="E76" s="18" t="n">
        <v>37.29420819</v>
      </c>
      <c r="F76" s="20" t="n">
        <v>2.19663129</v>
      </c>
      <c r="G76" s="18" t="n">
        <v>54.71895618</v>
      </c>
      <c r="H76" s="20" t="n">
        <v>2.21666855</v>
      </c>
      <c r="I76" s="18" t="n">
        <v>0</v>
      </c>
      <c r="J76" s="20" t="n">
        <v>0</v>
      </c>
      <c r="K76" s="18" t="n">
        <v>5.96126623</v>
      </c>
      <c r="L76" s="20" t="n">
        <v>0.77314791</v>
      </c>
      <c r="M76" s="18" t="n">
        <v>0.19250824</v>
      </c>
      <c r="N76" s="20" t="n">
        <v>0.1945128</v>
      </c>
      <c r="O76" s="18" t="n">
        <v>0</v>
      </c>
      <c r="P76" s="20" t="n">
        <v>0</v>
      </c>
      <c r="Q76" s="18" t="n">
        <v>1.83306116</v>
      </c>
      <c r="R76" s="20" t="n">
        <v>0.48769736</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31.18957542</v>
      </c>
      <c r="F80" s="20" t="n">
        <v>2.01739127</v>
      </c>
      <c r="G80" s="18" t="n">
        <v>68.81042458</v>
      </c>
      <c r="H80" s="20" t="n">
        <v>2.01739127</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37.19298807</v>
      </c>
      <c r="F81" s="20" t="n">
        <v>3.76959963</v>
      </c>
      <c r="G81" s="18" t="n">
        <v>55.12666126</v>
      </c>
      <c r="H81" s="20" t="n">
        <v>3.46270622</v>
      </c>
      <c r="I81" s="18" t="n">
        <v>0</v>
      </c>
      <c r="J81" s="20" t="n">
        <v>0</v>
      </c>
      <c r="K81" s="18" t="n">
        <v>5.65381592</v>
      </c>
      <c r="L81" s="20" t="n">
        <v>1.3715277</v>
      </c>
      <c r="M81" s="18" t="n">
        <v>0</v>
      </c>
      <c r="N81" s="20" t="n">
        <v>0</v>
      </c>
      <c r="O81" s="18" t="n">
        <v>0</v>
      </c>
      <c r="P81" s="20" t="n">
        <v>0</v>
      </c>
      <c r="Q81" s="18" t="n">
        <v>2.02653475</v>
      </c>
      <c r="R81" s="20" t="n">
        <v>0.94231314</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(1787.0/B44*100)</f>
        <v/>
      </c>
      <c r="D44" s="19" t="n">
        <v>904</v>
      </c>
      <c r="E44" s="18" t="n">
        <v>60.96273883</v>
      </c>
      <c r="F44" s="20" t="n">
        <v>1.7984857</v>
      </c>
      <c r="G44" s="18" t="n">
        <v>32.14095177</v>
      </c>
      <c r="H44" s="20" t="n">
        <v>1.75249097</v>
      </c>
      <c r="I44" s="18" t="n">
        <v>0</v>
      </c>
      <c r="J44" s="20" t="n">
        <v>0</v>
      </c>
      <c r="K44" s="18" t="n">
        <v>6.7181693</v>
      </c>
      <c r="L44" s="20" t="n">
        <v>0.95469614</v>
      </c>
      <c r="M44" s="18" t="n">
        <v>0</v>
      </c>
      <c r="N44" s="20" t="n">
        <v>0</v>
      </c>
      <c r="O44" s="18" t="n">
        <v>0.17814011</v>
      </c>
      <c r="P44" s="20" t="n">
        <v>0.1592937</v>
      </c>
      <c r="Q44" s="18" t="n">
        <v>0</v>
      </c>
      <c r="R44" s="20" t="n">
        <v>0</v>
      </c>
    </row>
    <row r="45" spans="1:18">
      <c r="A45" s="15" t="s">
        <v>604</v>
      </c>
      <c r="B45" s="17" t="n">
        <v>2670</v>
      </c>
      <c r="C45" s="18">
        <f>(1761.0/B45*100)</f>
        <v/>
      </c>
      <c r="D45" s="19" t="n">
        <v>909</v>
      </c>
      <c r="E45" s="18" t="n">
        <v>62.18433532</v>
      </c>
      <c r="F45" s="20" t="n">
        <v>1.95992232</v>
      </c>
      <c r="G45" s="18" t="n">
        <v>29.69074837</v>
      </c>
      <c r="H45" s="20" t="n">
        <v>1.81332094</v>
      </c>
      <c r="I45" s="18" t="n">
        <v>0</v>
      </c>
      <c r="J45" s="20" t="n">
        <v>0</v>
      </c>
      <c r="K45" s="18" t="n">
        <v>6.51430678</v>
      </c>
      <c r="L45" s="20" t="n">
        <v>0.90152998</v>
      </c>
      <c r="M45" s="18" t="n">
        <v>1.48813472</v>
      </c>
      <c r="N45" s="20" t="n">
        <v>0.40641282</v>
      </c>
      <c r="O45" s="18" t="n">
        <v>0.12247481</v>
      </c>
      <c r="P45" s="20" t="n">
        <v>0.12225073</v>
      </c>
      <c r="Q45" s="18" t="n">
        <v>0</v>
      </c>
      <c r="R45" s="20" t="n">
        <v>0</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(1711.0/B54*100)</f>
        <v/>
      </c>
      <c r="D54" s="19" t="n">
        <v>846</v>
      </c>
      <c r="E54" s="18" t="n">
        <v>49.79962133</v>
      </c>
      <c r="F54" s="20" t="n">
        <v>1.94850656</v>
      </c>
      <c r="G54" s="18" t="n">
        <v>44.93882209</v>
      </c>
      <c r="H54" s="20" t="n">
        <v>1.89343043</v>
      </c>
      <c r="I54" s="18" t="n">
        <v>0</v>
      </c>
      <c r="J54" s="20" t="n">
        <v>0</v>
      </c>
      <c r="K54" s="18" t="n">
        <v>5.26155658</v>
      </c>
      <c r="L54" s="20" t="n">
        <v>0.7791179</v>
      </c>
      <c r="M54" s="18" t="n">
        <v>0</v>
      </c>
      <c r="N54" s="20" t="n">
        <v>0</v>
      </c>
      <c r="O54" s="18" t="n">
        <v>0</v>
      </c>
      <c r="P54" s="20" t="n">
        <v>0</v>
      </c>
      <c r="Q54" s="18" t="n">
        <v>0</v>
      </c>
      <c r="R54" s="20" t="n">
        <v>0</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(2226.0/B56*100)</f>
        <v/>
      </c>
      <c r="D56" s="19" t="n">
        <v>1117</v>
      </c>
      <c r="E56" s="18" t="n">
        <v>41.05517354</v>
      </c>
      <c r="F56" s="20" t="n">
        <v>1.71551285</v>
      </c>
      <c r="G56" s="18" t="n">
        <v>54.47805624</v>
      </c>
      <c r="H56" s="20" t="n">
        <v>1.81008346</v>
      </c>
      <c r="I56" s="18" t="n">
        <v>0</v>
      </c>
      <c r="J56" s="20" t="n">
        <v>0</v>
      </c>
      <c r="K56" s="18" t="n">
        <v>4.06746603</v>
      </c>
      <c r="L56" s="20" t="n">
        <v>0.89819022</v>
      </c>
      <c r="M56" s="18" t="n">
        <v>0.3993042</v>
      </c>
      <c r="N56" s="20" t="n">
        <v>0.24404696</v>
      </c>
      <c r="O56" s="18" t="n">
        <v>0</v>
      </c>
      <c r="P56" s="20" t="n">
        <v>0</v>
      </c>
      <c r="Q56" s="18" t="n">
        <v>0</v>
      </c>
      <c r="R56" s="20" t="n">
        <v>0</v>
      </c>
    </row>
    <row r="57" spans="1:18">
      <c r="A57" s="15" t="s">
        <v>616</v>
      </c>
      <c r="B57" s="17" t="n">
        <v>3737</v>
      </c>
      <c r="C57" s="18">
        <f>(2502.0/B57*100)</f>
        <v/>
      </c>
      <c r="D57" s="19" t="n">
        <v>1235</v>
      </c>
      <c r="E57" s="18" t="n">
        <v>50.60154713</v>
      </c>
      <c r="F57" s="20" t="n">
        <v>1.89444132</v>
      </c>
      <c r="G57" s="18" t="n">
        <v>45.3404198</v>
      </c>
      <c r="H57" s="20" t="n">
        <v>1.98334829</v>
      </c>
      <c r="I57" s="18" t="n">
        <v>0</v>
      </c>
      <c r="J57" s="20" t="n">
        <v>0</v>
      </c>
      <c r="K57" s="18" t="n">
        <v>3.99175314</v>
      </c>
      <c r="L57" s="20" t="n">
        <v>0.53464421</v>
      </c>
      <c r="M57" s="18" t="n">
        <v>0</v>
      </c>
      <c r="N57" s="20" t="n">
        <v>0</v>
      </c>
      <c r="O57" s="18" t="n">
        <v>0.06627993</v>
      </c>
      <c r="P57" s="20" t="n">
        <v>0.06639133</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(1500.0/B59*100)</f>
        <v/>
      </c>
      <c r="D59" s="19" t="n">
        <v>778</v>
      </c>
      <c r="E59" s="18" t="n">
        <v>62.09789371</v>
      </c>
      <c r="F59" s="20" t="n">
        <v>2.16267649</v>
      </c>
      <c r="G59" s="18" t="n">
        <v>35.77532934</v>
      </c>
      <c r="H59" s="20" t="n">
        <v>1.96949474</v>
      </c>
      <c r="I59" s="18" t="n">
        <v>0</v>
      </c>
      <c r="J59" s="20" t="n">
        <v>0</v>
      </c>
      <c r="K59" s="18" t="n">
        <v>1.65437705</v>
      </c>
      <c r="L59" s="20" t="n">
        <v>0.4286934</v>
      </c>
      <c r="M59" s="18" t="n">
        <v>0.42670141</v>
      </c>
      <c r="N59" s="20" t="n">
        <v>0.26490791</v>
      </c>
      <c r="O59" s="18" t="n">
        <v>0.04569849</v>
      </c>
      <c r="P59" s="20" t="n">
        <v>0.04580179</v>
      </c>
      <c r="Q59" s="18" t="n">
        <v>0</v>
      </c>
      <c r="R59" s="20" t="n">
        <v>0</v>
      </c>
    </row>
    <row r="60" spans="1:18">
      <c r="A60" s="15" t="s">
        <v>620</v>
      </c>
      <c r="B60" s="17" t="n">
        <v>2451</v>
      </c>
      <c r="C60" s="18">
        <f>(1668.0/B60*100)</f>
        <v/>
      </c>
      <c r="D60" s="19" t="n">
        <v>783</v>
      </c>
      <c r="E60" s="18" t="n">
        <v>60.83339336</v>
      </c>
      <c r="F60" s="20" t="n">
        <v>2.07400401</v>
      </c>
      <c r="G60" s="18" t="n">
        <v>24.70349336</v>
      </c>
      <c r="H60" s="20" t="n">
        <v>2.03219279</v>
      </c>
      <c r="I60" s="18" t="n">
        <v>0</v>
      </c>
      <c r="J60" s="20" t="n">
        <v>0</v>
      </c>
      <c r="K60" s="18" t="n">
        <v>13.62984415</v>
      </c>
      <c r="L60" s="20" t="n">
        <v>1.36256812</v>
      </c>
      <c r="M60" s="18" t="n">
        <v>0.83326913</v>
      </c>
      <c r="N60" s="20" t="n">
        <v>0.37542698</v>
      </c>
      <c r="O60" s="18" t="n">
        <v>0</v>
      </c>
      <c r="P60" s="20" t="n">
        <v>0</v>
      </c>
      <c r="Q60" s="18" t="n">
        <v>0</v>
      </c>
      <c r="R60" s="20" t="n">
        <v>0</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(1669.0/B63*100)</f>
        <v/>
      </c>
      <c r="D63" s="19" t="n">
        <v>842</v>
      </c>
      <c r="E63" s="18" t="n">
        <v>56.07839618</v>
      </c>
      <c r="F63" s="20" t="n">
        <v>1.99420756</v>
      </c>
      <c r="G63" s="18" t="n">
        <v>35.26358636</v>
      </c>
      <c r="H63" s="20" t="n">
        <v>1.83126498</v>
      </c>
      <c r="I63" s="18" t="n">
        <v>0</v>
      </c>
      <c r="J63" s="20" t="n">
        <v>0</v>
      </c>
      <c r="K63" s="18" t="n">
        <v>8.65801746</v>
      </c>
      <c r="L63" s="20" t="n">
        <v>0.92101271</v>
      </c>
      <c r="M63" s="18" t="n">
        <v>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(1185.0/B65*100)</f>
        <v/>
      </c>
      <c r="D65" s="19" t="n">
        <v>605</v>
      </c>
      <c r="E65" s="18" t="n">
        <v>40.43490152</v>
      </c>
      <c r="F65" s="20" t="n">
        <v>1.78260021</v>
      </c>
      <c r="G65" s="18" t="n">
        <v>55.80540594</v>
      </c>
      <c r="H65" s="20" t="n">
        <v>1.8051796</v>
      </c>
      <c r="I65" s="18" t="n">
        <v>0</v>
      </c>
      <c r="J65" s="20" t="n">
        <v>0</v>
      </c>
      <c r="K65" s="18" t="n">
        <v>3.53804871</v>
      </c>
      <c r="L65" s="20" t="n">
        <v>0.74454833</v>
      </c>
      <c r="M65" s="18" t="n">
        <v>0.22164383</v>
      </c>
      <c r="N65" s="20" t="n">
        <v>0.2191702</v>
      </c>
      <c r="O65" s="18" t="n">
        <v>0</v>
      </c>
      <c r="P65" s="20" t="n">
        <v>0</v>
      </c>
      <c r="Q65" s="18" t="n">
        <v>0</v>
      </c>
      <c r="R65" s="20" t="n">
        <v>0</v>
      </c>
    </row>
    <row r="66" spans="1:18">
      <c r="A66" s="15" t="s">
        <v>626</v>
      </c>
      <c r="B66" s="17" t="n">
        <v>2634</v>
      </c>
      <c r="C66" s="18">
        <f>(1744.0/B66*100)</f>
        <v/>
      </c>
      <c r="D66" s="19" t="n">
        <v>890</v>
      </c>
      <c r="E66" s="18" t="n">
        <v>52.63439851</v>
      </c>
      <c r="F66" s="20" t="n">
        <v>1.92984948</v>
      </c>
      <c r="G66" s="18" t="n">
        <v>38.56674829</v>
      </c>
      <c r="H66" s="20" t="n">
        <v>2.01933666</v>
      </c>
      <c r="I66" s="18" t="n">
        <v>0</v>
      </c>
      <c r="J66" s="20" t="n">
        <v>0</v>
      </c>
      <c r="K66" s="18" t="n">
        <v>8.7988532</v>
      </c>
      <c r="L66" s="20" t="n">
        <v>0.94123686</v>
      </c>
      <c r="M66" s="18" t="n">
        <v>0</v>
      </c>
      <c r="N66" s="20" t="n">
        <v>0</v>
      </c>
      <c r="O66" s="18" t="n">
        <v>0</v>
      </c>
      <c r="P66" s="20" t="n">
        <v>0</v>
      </c>
      <c r="Q66" s="18" t="n">
        <v>0</v>
      </c>
      <c r="R66" s="20" t="n">
        <v>0</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(474.0/B69*100)</f>
        <v/>
      </c>
      <c r="D69" s="19" t="n">
        <v>246</v>
      </c>
      <c r="E69" s="18" t="n">
        <v>70.21820911</v>
      </c>
      <c r="F69" s="20" t="n">
        <v>3.13022253</v>
      </c>
      <c r="G69" s="18" t="n">
        <v>28.56798025</v>
      </c>
      <c r="H69" s="20" t="n">
        <v>2.84221187</v>
      </c>
      <c r="I69" s="18" t="n">
        <v>0</v>
      </c>
      <c r="J69" s="20" t="n">
        <v>0</v>
      </c>
      <c r="K69" s="18" t="n">
        <v>1.21381064</v>
      </c>
      <c r="L69" s="20" t="n">
        <v>0.71090964</v>
      </c>
      <c r="M69" s="18" t="n">
        <v>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(1642.0/B71*100)</f>
        <v/>
      </c>
      <c r="D71" s="19" t="n">
        <v>824</v>
      </c>
      <c r="E71" s="18" t="n">
        <v>53.95864763</v>
      </c>
      <c r="F71" s="20" t="n">
        <v>1.83422954</v>
      </c>
      <c r="G71" s="18" t="n">
        <v>45.66613426</v>
      </c>
      <c r="H71" s="20" t="n">
        <v>1.79684524</v>
      </c>
      <c r="I71" s="18" t="n">
        <v>0</v>
      </c>
      <c r="J71" s="20" t="n">
        <v>0</v>
      </c>
      <c r="K71" s="18" t="n">
        <v>0.3752181</v>
      </c>
      <c r="L71" s="20" t="n">
        <v>0.21068117</v>
      </c>
      <c r="M71" s="18" t="n">
        <v>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(1630.0/B76*100)</f>
        <v/>
      </c>
      <c r="D76" s="19" t="n">
        <v>823</v>
      </c>
      <c r="E76" s="18" t="n">
        <v>56.58883594</v>
      </c>
      <c r="F76" s="20" t="n">
        <v>1.99588411</v>
      </c>
      <c r="G76" s="18" t="n">
        <v>32.89400294</v>
      </c>
      <c r="H76" s="20" t="n">
        <v>1.76247701</v>
      </c>
      <c r="I76" s="18" t="n">
        <v>0</v>
      </c>
      <c r="J76" s="20" t="n">
        <v>0</v>
      </c>
      <c r="K76" s="18" t="n">
        <v>10.51716112</v>
      </c>
      <c r="L76" s="20" t="n">
        <v>1.08251118</v>
      </c>
      <c r="M76" s="18" t="n">
        <v>0</v>
      </c>
      <c r="N76" s="20" t="n">
        <v>0</v>
      </c>
      <c r="O76" s="18" t="n">
        <v>0</v>
      </c>
      <c r="P76" s="20" t="n">
        <v>0</v>
      </c>
      <c r="Q76" s="18" t="n">
        <v>0</v>
      </c>
      <c r="R76" s="20" t="n">
        <v>0</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17.13192091</v>
      </c>
      <c r="F80" s="20" t="n">
        <v>1.43657211</v>
      </c>
      <c r="G80" s="18" t="n">
        <v>82.86807908999999</v>
      </c>
      <c r="H80" s="20" t="n">
        <v>1.43657211</v>
      </c>
      <c r="I80" s="18" t="n">
        <v>0</v>
      </c>
      <c r="J80" s="20" t="n">
        <v>0</v>
      </c>
      <c r="K80" s="18" t="n">
        <v>0</v>
      </c>
      <c r="L80" s="20" t="n">
        <v>0</v>
      </c>
      <c r="M80" s="18" t="n">
        <v>0</v>
      </c>
      <c r="N80" s="20" t="n">
        <v>0</v>
      </c>
      <c r="O80" s="18" t="n">
        <v>0</v>
      </c>
      <c r="P80" s="20" t="n">
        <v>0</v>
      </c>
      <c r="Q80" s="18" t="n">
        <v>0</v>
      </c>
      <c r="R80" s="20" t="n">
        <v>0</v>
      </c>
    </row>
    <row r="81" spans="1:18">
      <c r="A81" s="15" t="s">
        <v>641</v>
      </c>
      <c r="B81" s="17" t="n">
        <v>870</v>
      </c>
      <c r="C81" s="18">
        <f>(585.0/B81*100)</f>
        <v/>
      </c>
      <c r="D81" s="19" t="n">
        <v>285</v>
      </c>
      <c r="E81" s="18" t="n">
        <v>62.60838645</v>
      </c>
      <c r="F81" s="20" t="n">
        <v>3.30462308</v>
      </c>
      <c r="G81" s="18" t="n">
        <v>26.80958546</v>
      </c>
      <c r="H81" s="20" t="n">
        <v>2.90530706</v>
      </c>
      <c r="I81" s="18" t="n">
        <v>0</v>
      </c>
      <c r="J81" s="20" t="n">
        <v>0</v>
      </c>
      <c r="K81" s="18" t="n">
        <v>10.58202809</v>
      </c>
      <c r="L81" s="20" t="n">
        <v>2.1500821</v>
      </c>
      <c r="M81" s="18" t="n">
        <v>0</v>
      </c>
      <c r="N81" s="20" t="n">
        <v>0</v>
      </c>
      <c r="O81" s="18" t="n">
        <v>0</v>
      </c>
      <c r="P81" s="20" t="n">
        <v>0</v>
      </c>
      <c r="Q81" s="18" t="n">
        <v>0</v>
      </c>
      <c r="R81" s="20" t="n">
        <v>0</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(1787.0/B44*100)</f>
        <v/>
      </c>
      <c r="D44" s="19" t="n">
        <v>904</v>
      </c>
      <c r="E44" s="18" t="n">
        <v>0</v>
      </c>
      <c r="F44" s="20" t="n">
        <v>0</v>
      </c>
      <c r="G44" s="18" t="n">
        <v>0</v>
      </c>
      <c r="H44" s="20" t="n">
        <v>0</v>
      </c>
      <c r="I44" s="18" t="n">
        <v>0</v>
      </c>
      <c r="J44" s="20" t="n">
        <v>0</v>
      </c>
      <c r="K44" s="18" t="n">
        <v>0</v>
      </c>
      <c r="L44" s="20" t="n">
        <v>0</v>
      </c>
      <c r="M44" s="18" t="n">
        <v>100</v>
      </c>
      <c r="N44" s="20" t="n">
        <v>0</v>
      </c>
      <c r="O44" s="18" t="n">
        <v>0</v>
      </c>
      <c r="P44" s="20" t="n">
        <v>0</v>
      </c>
      <c r="Q44" s="18" t="n">
        <v>0</v>
      </c>
      <c r="R44" s="20" t="n">
        <v>0</v>
      </c>
    </row>
    <row r="45" spans="1:18">
      <c r="A45" s="15" t="s">
        <v>604</v>
      </c>
      <c r="B45" s="17" t="n">
        <v>2670</v>
      </c>
      <c r="C45" s="18">
        <f>(1761.0/B45*100)</f>
        <v/>
      </c>
      <c r="D45" s="19" t="n">
        <v>909</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(1711.0/B54*100)</f>
        <v/>
      </c>
      <c r="D54" s="19" t="n">
        <v>846</v>
      </c>
      <c r="E54" s="18" t="n">
        <v>0</v>
      </c>
      <c r="F54" s="20" t="n">
        <v>0</v>
      </c>
      <c r="G54" s="18" t="n">
        <v>0</v>
      </c>
      <c r="H54" s="20" t="n">
        <v>0</v>
      </c>
      <c r="I54" s="18" t="n">
        <v>0</v>
      </c>
      <c r="J54" s="20" t="n">
        <v>0</v>
      </c>
      <c r="K54" s="18" t="n">
        <v>0</v>
      </c>
      <c r="L54" s="20" t="n">
        <v>0</v>
      </c>
      <c r="M54" s="18" t="n">
        <v>100</v>
      </c>
      <c r="N54" s="20" t="n">
        <v>0</v>
      </c>
      <c r="O54" s="18" t="n">
        <v>0</v>
      </c>
      <c r="P54" s="20" t="n">
        <v>0</v>
      </c>
      <c r="Q54" s="18" t="n">
        <v>0</v>
      </c>
      <c r="R54" s="20" t="n">
        <v>0</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(2226.0/B56*100)</f>
        <v/>
      </c>
      <c r="D56" s="19" t="n">
        <v>1117</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3737</v>
      </c>
      <c r="C57" s="18">
        <f>(2502.0/B57*100)</f>
        <v/>
      </c>
      <c r="D57" s="19" t="n">
        <v>1235</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(1500.0/B59*100)</f>
        <v/>
      </c>
      <c r="D59" s="19" t="n">
        <v>778</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620</v>
      </c>
      <c r="B60" s="17" t="n">
        <v>2451</v>
      </c>
      <c r="C60" s="18">
        <f>(1668.0/B60*100)</f>
        <v/>
      </c>
      <c r="D60" s="19" t="n">
        <v>783</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(1669.0/B63*100)</f>
        <v/>
      </c>
      <c r="D63" s="19" t="n">
        <v>842</v>
      </c>
      <c r="E63" s="18" t="n">
        <v>0</v>
      </c>
      <c r="F63" s="20" t="n">
        <v>0</v>
      </c>
      <c r="G63" s="18" t="n">
        <v>0</v>
      </c>
      <c r="H63" s="20" t="n">
        <v>0</v>
      </c>
      <c r="I63" s="18" t="n">
        <v>0</v>
      </c>
      <c r="J63" s="20" t="n">
        <v>0</v>
      </c>
      <c r="K63" s="18" t="n">
        <v>0</v>
      </c>
      <c r="L63" s="20" t="n">
        <v>0</v>
      </c>
      <c r="M63" s="18" t="n">
        <v>100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(1185.0/B65*100)</f>
        <v/>
      </c>
      <c r="D65" s="19" t="n">
        <v>605</v>
      </c>
      <c r="E65" s="18" t="n">
        <v>0</v>
      </c>
      <c r="F65" s="20" t="n">
        <v>0</v>
      </c>
      <c r="G65" s="18" t="n">
        <v>0</v>
      </c>
      <c r="H65" s="20" t="n">
        <v>0</v>
      </c>
      <c r="I65" s="18" t="n">
        <v>0</v>
      </c>
      <c r="J65" s="20" t="n">
        <v>0</v>
      </c>
      <c r="K65" s="18" t="n">
        <v>0</v>
      </c>
      <c r="L65" s="20" t="n">
        <v>0</v>
      </c>
      <c r="M65" s="18" t="n">
        <v>100</v>
      </c>
      <c r="N65" s="20" t="n">
        <v>0</v>
      </c>
      <c r="O65" s="18" t="n">
        <v>0</v>
      </c>
      <c r="P65" s="20" t="n">
        <v>0</v>
      </c>
      <c r="Q65" s="18" t="n">
        <v>0</v>
      </c>
      <c r="R65" s="20" t="n">
        <v>0</v>
      </c>
    </row>
    <row r="66" spans="1:18">
      <c r="A66" s="15" t="s">
        <v>626</v>
      </c>
      <c r="B66" s="17" t="n">
        <v>2634</v>
      </c>
      <c r="C66" s="18">
        <f>(1758.0/B66*100)</f>
        <v/>
      </c>
      <c r="D66" s="19" t="n">
        <v>876</v>
      </c>
      <c r="E66" s="18" t="n">
        <v>0</v>
      </c>
      <c r="F66" s="20" t="n">
        <v>0</v>
      </c>
      <c r="G66" s="18" t="n">
        <v>0</v>
      </c>
      <c r="H66" s="20" t="n">
        <v>0</v>
      </c>
      <c r="I66" s="18" t="n">
        <v>0</v>
      </c>
      <c r="J66" s="20" t="n">
        <v>0</v>
      </c>
      <c r="K66" s="18" t="n">
        <v>0</v>
      </c>
      <c r="L66" s="20" t="n">
        <v>0</v>
      </c>
      <c r="M66" s="18" t="n">
        <v>100</v>
      </c>
      <c r="N66" s="20" t="n">
        <v>0</v>
      </c>
      <c r="O66" s="18" t="n">
        <v>0</v>
      </c>
      <c r="P66" s="20" t="n">
        <v>0</v>
      </c>
      <c r="Q66" s="18" t="n">
        <v>0</v>
      </c>
      <c r="R66" s="20" t="n">
        <v>0</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(474.0/B69*100)</f>
        <v/>
      </c>
      <c r="D69" s="19" t="n">
        <v>246</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(1753.0/B71*100)</f>
        <v/>
      </c>
      <c r="D71" s="19" t="n">
        <v>713</v>
      </c>
      <c r="E71" s="18" t="n">
        <v>0</v>
      </c>
      <c r="F71" s="20" t="n">
        <v>0</v>
      </c>
      <c r="G71" s="18" t="n">
        <v>0</v>
      </c>
      <c r="H71" s="20" t="n">
        <v>0</v>
      </c>
      <c r="I71" s="18" t="n">
        <v>0</v>
      </c>
      <c r="J71" s="20" t="n">
        <v>0</v>
      </c>
      <c r="K71" s="18" t="n">
        <v>0</v>
      </c>
      <c r="L71" s="20" t="n">
        <v>0</v>
      </c>
      <c r="M71" s="18" t="n">
        <v>100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(1630.0/B76*100)</f>
        <v/>
      </c>
      <c r="D76" s="19" t="n">
        <v>823</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641</v>
      </c>
      <c r="B81" s="17" t="n">
        <v>870</v>
      </c>
      <c r="C81" s="18">
        <f>(585.0/B81*100)</f>
        <v/>
      </c>
      <c r="D81" s="19" t="n">
        <v>285</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(1787.0/B44*100)</f>
        <v/>
      </c>
      <c r="D44" s="19" t="n">
        <v>904</v>
      </c>
      <c r="E44" s="18" t="n">
        <v>0</v>
      </c>
      <c r="F44" s="20" t="n">
        <v>0</v>
      </c>
      <c r="G44" s="18" t="n">
        <v>0</v>
      </c>
      <c r="H44" s="20" t="n">
        <v>0</v>
      </c>
      <c r="I44" s="18" t="n">
        <v>0</v>
      </c>
      <c r="J44" s="20" t="n">
        <v>0</v>
      </c>
      <c r="K44" s="18" t="n">
        <v>0</v>
      </c>
      <c r="L44" s="20" t="n">
        <v>0</v>
      </c>
      <c r="M44" s="18" t="n">
        <v>100</v>
      </c>
      <c r="N44" s="20" t="n">
        <v>0</v>
      </c>
      <c r="O44" s="18" t="n">
        <v>0</v>
      </c>
      <c r="P44" s="20" t="n">
        <v>0</v>
      </c>
      <c r="Q44" s="18" t="n">
        <v>0</v>
      </c>
      <c r="R44" s="20" t="n">
        <v>0</v>
      </c>
    </row>
    <row r="45" spans="1:18">
      <c r="A45" s="15" t="s">
        <v>604</v>
      </c>
      <c r="B45" s="17" t="n">
        <v>2670</v>
      </c>
      <c r="C45" s="18">
        <f>(1761.0/B45*100)</f>
        <v/>
      </c>
      <c r="D45" s="19" t="n">
        <v>909</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(1711.0/B54*100)</f>
        <v/>
      </c>
      <c r="D54" s="19" t="n">
        <v>846</v>
      </c>
      <c r="E54" s="18" t="n">
        <v>0</v>
      </c>
      <c r="F54" s="20" t="n">
        <v>0</v>
      </c>
      <c r="G54" s="18" t="n">
        <v>0</v>
      </c>
      <c r="H54" s="20" t="n">
        <v>0</v>
      </c>
      <c r="I54" s="18" t="n">
        <v>0</v>
      </c>
      <c r="J54" s="20" t="n">
        <v>0</v>
      </c>
      <c r="K54" s="18" t="n">
        <v>0</v>
      </c>
      <c r="L54" s="20" t="n">
        <v>0</v>
      </c>
      <c r="M54" s="18" t="n">
        <v>100</v>
      </c>
      <c r="N54" s="20" t="n">
        <v>0</v>
      </c>
      <c r="O54" s="18" t="n">
        <v>0</v>
      </c>
      <c r="P54" s="20" t="n">
        <v>0</v>
      </c>
      <c r="Q54" s="18" t="n">
        <v>0</v>
      </c>
      <c r="R54" s="20" t="n">
        <v>0</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(2226.0/B56*100)</f>
        <v/>
      </c>
      <c r="D56" s="19" t="n">
        <v>1117</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3737</v>
      </c>
      <c r="C57" s="18">
        <f>(2502.0/B57*100)</f>
        <v/>
      </c>
      <c r="D57" s="19" t="n">
        <v>1235</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(1500.0/B59*100)</f>
        <v/>
      </c>
      <c r="D59" s="19" t="n">
        <v>778</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620</v>
      </c>
      <c r="B60" s="17" t="n">
        <v>2451</v>
      </c>
      <c r="C60" s="18">
        <f>(1668.0/B60*100)</f>
        <v/>
      </c>
      <c r="D60" s="19" t="n">
        <v>783</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(1669.0/B63*100)</f>
        <v/>
      </c>
      <c r="D63" s="19" t="n">
        <v>842</v>
      </c>
      <c r="E63" s="18" t="n">
        <v>0</v>
      </c>
      <c r="F63" s="20" t="n">
        <v>0</v>
      </c>
      <c r="G63" s="18" t="n">
        <v>0</v>
      </c>
      <c r="H63" s="20" t="n">
        <v>0</v>
      </c>
      <c r="I63" s="18" t="n">
        <v>0</v>
      </c>
      <c r="J63" s="20" t="n">
        <v>0</v>
      </c>
      <c r="K63" s="18" t="n">
        <v>0</v>
      </c>
      <c r="L63" s="20" t="n">
        <v>0</v>
      </c>
      <c r="M63" s="18" t="n">
        <v>100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(1185.0/B65*100)</f>
        <v/>
      </c>
      <c r="D65" s="19" t="n">
        <v>605</v>
      </c>
      <c r="E65" s="18" t="n">
        <v>0</v>
      </c>
      <c r="F65" s="20" t="n">
        <v>0</v>
      </c>
      <c r="G65" s="18" t="n">
        <v>0</v>
      </c>
      <c r="H65" s="20" t="n">
        <v>0</v>
      </c>
      <c r="I65" s="18" t="n">
        <v>0</v>
      </c>
      <c r="J65" s="20" t="n">
        <v>0</v>
      </c>
      <c r="K65" s="18" t="n">
        <v>0</v>
      </c>
      <c r="L65" s="20" t="n">
        <v>0</v>
      </c>
      <c r="M65" s="18" t="n">
        <v>100</v>
      </c>
      <c r="N65" s="20" t="n">
        <v>0</v>
      </c>
      <c r="O65" s="18" t="n">
        <v>0</v>
      </c>
      <c r="P65" s="20" t="n">
        <v>0</v>
      </c>
      <c r="Q65" s="18" t="n">
        <v>0</v>
      </c>
      <c r="R65" s="20" t="n">
        <v>0</v>
      </c>
    </row>
    <row r="66" spans="1:18">
      <c r="A66" s="15" t="s">
        <v>626</v>
      </c>
      <c r="B66" s="17" t="n">
        <v>2634</v>
      </c>
      <c r="C66" s="18">
        <f>(1758.0/B66*100)</f>
        <v/>
      </c>
      <c r="D66" s="19" t="n">
        <v>876</v>
      </c>
      <c r="E66" s="18" t="n">
        <v>0</v>
      </c>
      <c r="F66" s="20" t="n">
        <v>0</v>
      </c>
      <c r="G66" s="18" t="n">
        <v>0</v>
      </c>
      <c r="H66" s="20" t="n">
        <v>0</v>
      </c>
      <c r="I66" s="18" t="n">
        <v>0</v>
      </c>
      <c r="J66" s="20" t="n">
        <v>0</v>
      </c>
      <c r="K66" s="18" t="n">
        <v>0</v>
      </c>
      <c r="L66" s="20" t="n">
        <v>0</v>
      </c>
      <c r="M66" s="18" t="n">
        <v>100</v>
      </c>
      <c r="N66" s="20" t="n">
        <v>0</v>
      </c>
      <c r="O66" s="18" t="n">
        <v>0</v>
      </c>
      <c r="P66" s="20" t="n">
        <v>0</v>
      </c>
      <c r="Q66" s="18" t="n">
        <v>0</v>
      </c>
      <c r="R66" s="20" t="n">
        <v>0</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(474.0/B69*100)</f>
        <v/>
      </c>
      <c r="D69" s="19" t="n">
        <v>246</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(1753.0/B71*100)</f>
        <v/>
      </c>
      <c r="D71" s="19" t="n">
        <v>713</v>
      </c>
      <c r="E71" s="18" t="n">
        <v>0</v>
      </c>
      <c r="F71" s="20" t="n">
        <v>0</v>
      </c>
      <c r="G71" s="18" t="n">
        <v>0</v>
      </c>
      <c r="H71" s="20" t="n">
        <v>0</v>
      </c>
      <c r="I71" s="18" t="n">
        <v>0</v>
      </c>
      <c r="J71" s="20" t="n">
        <v>0</v>
      </c>
      <c r="K71" s="18" t="n">
        <v>0</v>
      </c>
      <c r="L71" s="20" t="n">
        <v>0</v>
      </c>
      <c r="M71" s="18" t="n">
        <v>100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(1630.0/B76*100)</f>
        <v/>
      </c>
      <c r="D76" s="19" t="n">
        <v>823</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641</v>
      </c>
      <c r="B81" s="17" t="n">
        <v>870</v>
      </c>
      <c r="C81" s="18">
        <f>(585.0/B81*100)</f>
        <v/>
      </c>
      <c r="D81" s="19" t="n">
        <v>285</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7163</v>
      </c>
      <c r="C7" s="18">
        <f>(7163.0/B7*100)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3443</v>
      </c>
      <c r="C8" s="18">
        <f>(3443.0/B8*100)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4752</v>
      </c>
      <c r="C9" s="18">
        <f>(4752.0/B9*100)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10022</v>
      </c>
      <c r="C10" s="18">
        <f>(10022.0/B10*100)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3500</v>
      </c>
      <c r="C11" s="18">
        <f>(3500.0/B11*100)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3422</v>
      </c>
      <c r="C12" s="18">
        <f>(3422.0/B12*100)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3602</v>
      </c>
      <c r="C13" s="18">
        <f>(3602.0/B13*100)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2788</v>
      </c>
      <c r="C14" s="18">
        <f>(2788.0/B14*100)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2863</v>
      </c>
      <c r="C15" s="18">
        <f>(2863.0/B15*100)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3111</v>
      </c>
      <c r="C16" s="18">
        <f>(3111.0/B16*100)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3197</v>
      </c>
      <c r="C17" s="18">
        <f>(3197.0/B17*100)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2706</v>
      </c>
      <c r="C18" s="18">
        <f>(2706.0/B18*100)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2850</v>
      </c>
      <c r="C19" s="18">
        <f>(2850.0/B19*100)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1741</v>
      </c>
      <c r="C20" s="18">
        <f>(1741.0/B20*100)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2833</v>
      </c>
      <c r="C21" s="18">
        <f>(2833.0/B21*100)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3667</v>
      </c>
      <c r="C22" s="18">
        <f>(3667.0/B22*100)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5792</v>
      </c>
      <c r="C23" s="18">
        <f>(5792.0/B23*100)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3309</v>
      </c>
      <c r="C24" s="18">
        <f>(3309.0/B24*100)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2669</v>
      </c>
      <c r="C25" s="18">
        <f>(2669.0/B25*100)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2419</v>
      </c>
      <c r="C26" s="18">
        <f>(2419.0/B26*100)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2683</v>
      </c>
      <c r="C27" s="18">
        <f>(2683.0/B27*100)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3803</v>
      </c>
      <c r="C28" s="18">
        <f>(3803.0/B28*100)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2700</v>
      </c>
      <c r="C29" s="18">
        <f>(2700.0/B29*100)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2257</v>
      </c>
      <c r="C30" s="18">
        <f>(2257.0/B30*100)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2706</v>
      </c>
      <c r="C31" s="18">
        <f>(2706.0/B31*100)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2209</v>
      </c>
      <c r="C32" s="18">
        <f>(2209.0/B32*100)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3651</v>
      </c>
      <c r="C33" s="18">
        <f>(3651.0/B33*100)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3035</v>
      </c>
      <c r="C34" s="18">
        <f>(3035.0/B34*100)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2901</v>
      </c>
      <c r="C35" s="18">
        <f>(2901.0/B35*100)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3404</v>
      </c>
      <c r="C36" s="18">
        <f>(3404.0/B36*100)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2731</v>
      </c>
      <c r="C37" s="18">
        <f>(2731.0/B37*100)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2807</v>
      </c>
      <c r="C38" s="18">
        <f>(2807.0/B38*100)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2938</v>
      </c>
      <c r="C39" s="18">
        <f>(2938.0/B39*100)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6922</v>
      </c>
      <c r="C40" s="18">
        <f>(6922.0/B40*100)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2854</v>
      </c>
      <c r="C41" s="18">
        <f>(2854.0/B41*100)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2691</v>
      </c>
      <c r="C44" s="18">
        <f>(1787.0/B44*100)</f>
        <v/>
      </c>
      <c r="D44" s="19" t="n">
        <v>904</v>
      </c>
      <c r="E44" s="18" t="n">
        <v>0</v>
      </c>
      <c r="F44" s="20" t="n">
        <v>0</v>
      </c>
      <c r="G44" s="18" t="n">
        <v>0</v>
      </c>
      <c r="H44" s="20" t="n">
        <v>0</v>
      </c>
      <c r="I44" s="18" t="n">
        <v>0</v>
      </c>
      <c r="J44" s="20" t="n">
        <v>0</v>
      </c>
      <c r="K44" s="18" t="n">
        <v>0</v>
      </c>
      <c r="L44" s="20" t="n">
        <v>0</v>
      </c>
      <c r="M44" s="18" t="n">
        <v>100</v>
      </c>
      <c r="N44" s="20" t="n">
        <v>0</v>
      </c>
      <c r="O44" s="18" t="n">
        <v>0</v>
      </c>
      <c r="P44" s="20" t="n">
        <v>0</v>
      </c>
      <c r="Q44" s="18" t="n">
        <v>0</v>
      </c>
      <c r="R44" s="20" t="n">
        <v>0</v>
      </c>
    </row>
    <row r="45" spans="1:18">
      <c r="A45" s="15" t="s">
        <v>604</v>
      </c>
      <c r="B45" s="17" t="n">
        <v>2670</v>
      </c>
      <c r="C45" s="18">
        <f>(1761.0/B45*100)</f>
        <v/>
      </c>
      <c r="D45" s="19" t="n">
        <v>909</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605</v>
      </c>
      <c r="B46" s="17" t="n">
        <v>12073</v>
      </c>
      <c r="C46" s="18">
        <f>(12073.0/B46*100)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2823</v>
      </c>
      <c r="C47" s="18">
        <f>(2823.0/B47*100)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4682</v>
      </c>
      <c r="C48" s="18">
        <f>(4682.0/B48*100)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6158</v>
      </c>
      <c r="C49" s="18">
        <f>(6158.0/B49*100)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3494</v>
      </c>
      <c r="C50" s="18">
        <f>(3494.0/B50*100)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3013</v>
      </c>
      <c r="C51" s="18">
        <f>(3013.0/B51*100)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2760</v>
      </c>
      <c r="C52" s="18">
        <f>(2760.0/B52*100)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2474</v>
      </c>
      <c r="C53" s="18">
        <f>(2474.0/B53*100)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2557</v>
      </c>
      <c r="C54" s="18">
        <f>(1711.0/B54*100)</f>
        <v/>
      </c>
      <c r="D54" s="19" t="n">
        <v>846</v>
      </c>
      <c r="E54" s="18" t="n">
        <v>0</v>
      </c>
      <c r="F54" s="20" t="n">
        <v>0</v>
      </c>
      <c r="G54" s="18" t="n">
        <v>0</v>
      </c>
      <c r="H54" s="20" t="n">
        <v>0</v>
      </c>
      <c r="I54" s="18" t="n">
        <v>0</v>
      </c>
      <c r="J54" s="20" t="n">
        <v>0</v>
      </c>
      <c r="K54" s="18" t="n">
        <v>0</v>
      </c>
      <c r="L54" s="20" t="n">
        <v>0</v>
      </c>
      <c r="M54" s="18" t="n">
        <v>100</v>
      </c>
      <c r="N54" s="20" t="n">
        <v>0</v>
      </c>
      <c r="O54" s="18" t="n">
        <v>0</v>
      </c>
      <c r="P54" s="20" t="n">
        <v>0</v>
      </c>
      <c r="Q54" s="18" t="n">
        <v>0</v>
      </c>
      <c r="R54" s="20" t="n">
        <v>0</v>
      </c>
    </row>
    <row r="55" spans="1:18">
      <c r="A55" s="15" t="s">
        <v>614</v>
      </c>
      <c r="B55" s="17" t="n">
        <v>2675</v>
      </c>
      <c r="C55" s="18">
        <f>(2675.0/B55*100)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3343</v>
      </c>
      <c r="C56" s="18">
        <f>(2226.0/B56*100)</f>
        <v/>
      </c>
      <c r="D56" s="19" t="n">
        <v>1117</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3737</v>
      </c>
      <c r="C57" s="18">
        <f>(2502.0/B57*100)</f>
        <v/>
      </c>
      <c r="D57" s="19" t="n">
        <v>1235</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2278</v>
      </c>
      <c r="C59" s="18">
        <f>(1500.0/B59*100)</f>
        <v/>
      </c>
      <c r="D59" s="19" t="n">
        <v>778</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620</v>
      </c>
      <c r="B60" s="17" t="n">
        <v>2451</v>
      </c>
      <c r="C60" s="18">
        <f>(1668.0/B60*100)</f>
        <v/>
      </c>
      <c r="D60" s="19" t="n">
        <v>783</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621</v>
      </c>
      <c r="B61" s="17" t="n">
        <v>3201</v>
      </c>
      <c r="C61" s="18">
        <f>(3201.0/B61*100)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2230</v>
      </c>
      <c r="C62" s="18">
        <f>(2230.0/B62*100)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2511</v>
      </c>
      <c r="C63" s="18">
        <f>(1669.0/B63*100)</f>
        <v/>
      </c>
      <c r="D63" s="19" t="n">
        <v>842</v>
      </c>
      <c r="E63" s="18" t="n">
        <v>0</v>
      </c>
      <c r="F63" s="20" t="n">
        <v>0</v>
      </c>
      <c r="G63" s="18" t="n">
        <v>0</v>
      </c>
      <c r="H63" s="20" t="n">
        <v>0</v>
      </c>
      <c r="I63" s="18" t="n">
        <v>0</v>
      </c>
      <c r="J63" s="20" t="n">
        <v>0</v>
      </c>
      <c r="K63" s="18" t="n">
        <v>0</v>
      </c>
      <c r="L63" s="20" t="n">
        <v>0</v>
      </c>
      <c r="M63" s="18" t="n">
        <v>100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1790</v>
      </c>
      <c r="C65" s="18">
        <f>(1185.0/B65*100)</f>
        <v/>
      </c>
      <c r="D65" s="19" t="n">
        <v>605</v>
      </c>
      <c r="E65" s="18" t="n">
        <v>0</v>
      </c>
      <c r="F65" s="20" t="n">
        <v>0</v>
      </c>
      <c r="G65" s="18" t="n">
        <v>0</v>
      </c>
      <c r="H65" s="20" t="n">
        <v>0</v>
      </c>
      <c r="I65" s="18" t="n">
        <v>0</v>
      </c>
      <c r="J65" s="20" t="n">
        <v>0</v>
      </c>
      <c r="K65" s="18" t="n">
        <v>0</v>
      </c>
      <c r="L65" s="20" t="n">
        <v>0</v>
      </c>
      <c r="M65" s="18" t="n">
        <v>100</v>
      </c>
      <c r="N65" s="20" t="n">
        <v>0</v>
      </c>
      <c r="O65" s="18" t="n">
        <v>0</v>
      </c>
      <c r="P65" s="20" t="n">
        <v>0</v>
      </c>
      <c r="Q65" s="18" t="n">
        <v>0</v>
      </c>
      <c r="R65" s="20" t="n">
        <v>0</v>
      </c>
    </row>
    <row r="66" spans="1:18">
      <c r="A66" s="15" t="s">
        <v>626</v>
      </c>
      <c r="B66" s="17" t="n">
        <v>2634</v>
      </c>
      <c r="C66" s="18">
        <f>(1758.0/B66*100)</f>
        <v/>
      </c>
      <c r="D66" s="19" t="n">
        <v>876</v>
      </c>
      <c r="E66" s="18" t="n">
        <v>0</v>
      </c>
      <c r="F66" s="20" t="n">
        <v>0</v>
      </c>
      <c r="G66" s="18" t="n">
        <v>0</v>
      </c>
      <c r="H66" s="20" t="n">
        <v>0</v>
      </c>
      <c r="I66" s="18" t="n">
        <v>0</v>
      </c>
      <c r="J66" s="20" t="n">
        <v>0</v>
      </c>
      <c r="K66" s="18" t="n">
        <v>0</v>
      </c>
      <c r="L66" s="20" t="n">
        <v>0</v>
      </c>
      <c r="M66" s="18" t="n">
        <v>100</v>
      </c>
      <c r="N66" s="20" t="n">
        <v>0</v>
      </c>
      <c r="O66" s="18" t="n">
        <v>0</v>
      </c>
      <c r="P66" s="20" t="n">
        <v>0</v>
      </c>
      <c r="Q66" s="18" t="n">
        <v>0</v>
      </c>
      <c r="R66" s="20" t="n">
        <v>0</v>
      </c>
    </row>
    <row r="67" spans="1:18">
      <c r="A67" s="15" t="s">
        <v>627</v>
      </c>
      <c r="B67" s="17" t="n">
        <v>2771</v>
      </c>
      <c r="C67" s="18">
        <f>(2771.0/B67*100)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3460</v>
      </c>
      <c r="C68" s="18">
        <f>(3460.0/B68*100)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720</v>
      </c>
      <c r="C69" s="18">
        <f>(474.0/B69*100)</f>
        <v/>
      </c>
      <c r="D69" s="19" t="n">
        <v>246</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630</v>
      </c>
      <c r="B70" s="17" t="n">
        <v>6034</v>
      </c>
      <c r="C70" s="18">
        <f>(6034.0/B70*100)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2466</v>
      </c>
      <c r="C71" s="18">
        <f>(1753.0/B71*100)</f>
        <v/>
      </c>
      <c r="D71" s="19" t="n">
        <v>713</v>
      </c>
      <c r="E71" s="18" t="n">
        <v>0</v>
      </c>
      <c r="F71" s="20" t="n">
        <v>0</v>
      </c>
      <c r="G71" s="18" t="n">
        <v>0</v>
      </c>
      <c r="H71" s="20" t="n">
        <v>0</v>
      </c>
      <c r="I71" s="18" t="n">
        <v>0</v>
      </c>
      <c r="J71" s="20" t="n">
        <v>0</v>
      </c>
      <c r="K71" s="18" t="n">
        <v>0</v>
      </c>
      <c r="L71" s="20" t="n">
        <v>0</v>
      </c>
      <c r="M71" s="18" t="n">
        <v>100</v>
      </c>
      <c r="N71" s="20" t="n">
        <v>0</v>
      </c>
      <c r="O71" s="18" t="n">
        <v>0</v>
      </c>
      <c r="P71" s="20" t="n">
        <v>0</v>
      </c>
      <c r="Q71" s="18" t="n">
        <v>0</v>
      </c>
      <c r="R71" s="20" t="n">
        <v>0</v>
      </c>
    </row>
    <row r="72" spans="1:18">
      <c r="A72" s="15" t="s">
        <v>632</v>
      </c>
      <c r="B72" s="17" t="n">
        <v>3107</v>
      </c>
      <c r="C72" s="18">
        <f>(3107.0/B72*100)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2973</v>
      </c>
      <c r="C73" s="18">
        <f>(2973.0/B73*100)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3819</v>
      </c>
      <c r="C74" s="18">
        <f>(3819.0/B74*100)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4652</v>
      </c>
      <c r="C75" s="18">
        <f>(4652.0/B75*100)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2453</v>
      </c>
      <c r="C76" s="18">
        <f>(1630.0/B76*100)</f>
        <v/>
      </c>
      <c r="D76" s="19" t="n">
        <v>823</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637</v>
      </c>
      <c r="B77" s="17" t="n">
        <v>2969</v>
      </c>
      <c r="C77" s="18">
        <f>(2969.0/B77*100)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7115</v>
      </c>
      <c r="C78" s="18">
        <f>(7115.0/B78*100)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3154</v>
      </c>
      <c r="C79" s="18">
        <f>(3154.0/B79*100)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3040</v>
      </c>
      <c r="C80" s="18">
        <f>(2023.0/B80*100)</f>
        <v/>
      </c>
      <c r="D80" s="19" t="n">
        <v>1017</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641</v>
      </c>
      <c r="B81" s="17" t="n">
        <v>870</v>
      </c>
      <c r="C81" s="18">
        <f>(585.0/B81*100)</f>
        <v/>
      </c>
      <c r="D81" s="19" t="n">
        <v>285</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15961</v>
      </c>
      <c r="C82" s="18">
        <f>(15961.0/B82*100)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808</v>
      </c>
      <c r="C83" s="18">
        <f>(808.0/B83*100)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938</v>
      </c>
      <c r="C84" s="25">
        <f>(938.0/B84*100)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275</vt:i4>
      </vt:variant>
    </vt:vector>
  </ns0:HeadingPairs>
  <ns0:TitlesOfParts>
    <vt:vector xmlns:vt="http://schemas.openxmlformats.org/officeDocument/2006/docPropsVTypes" baseType="lpstr" size="275">
      <vt:lpstr>Table of Contents</vt:lpstr>
      <vt:lpstr>DS269Q01C</vt:lpstr>
      <vt:lpstr>DS269Q03C</vt:lpstr>
      <vt:lpstr>CS269Q04S</vt:lpstr>
      <vt:lpstr>CS408Q01S</vt:lpstr>
      <vt:lpstr>DS408Q03C</vt:lpstr>
      <vt:lpstr>CS408Q04S</vt:lpstr>
      <vt:lpstr>CS408Q05S</vt:lpstr>
      <vt:lpstr>CS521Q02S</vt:lpstr>
      <vt:lpstr>CS521Q06S</vt:lpstr>
      <vt:lpstr>DS519Q01C</vt:lpstr>
      <vt:lpstr>CS519Q02S</vt:lpstr>
      <vt:lpstr>DS519Q03C</vt:lpstr>
      <vt:lpstr>CS527Q01S</vt:lpstr>
      <vt:lpstr>CS527Q03S</vt:lpstr>
      <vt:lpstr>CS527Q04S</vt:lpstr>
      <vt:lpstr>CS466Q01S</vt:lpstr>
      <vt:lpstr>CS466Q07S</vt:lpstr>
      <vt:lpstr>CS466Q05S</vt:lpstr>
      <vt:lpstr>DS326Q01C</vt:lpstr>
      <vt:lpstr>DS326Q02C</vt:lpstr>
      <vt:lpstr>CS326Q03S</vt:lpstr>
      <vt:lpstr>CS326Q04S</vt:lpstr>
      <vt:lpstr>CS256Q01S</vt:lpstr>
      <vt:lpstr>CS478Q01S</vt:lpstr>
      <vt:lpstr>CS478Q02S</vt:lpstr>
      <vt:lpstr>CS478Q03S</vt:lpstr>
      <vt:lpstr>CS413Q06S</vt:lpstr>
      <vt:lpstr>CS413Q04S</vt:lpstr>
      <vt:lpstr>CS413Q05S</vt:lpstr>
      <vt:lpstr>CS498Q02S</vt:lpstr>
      <vt:lpstr>CS498Q03S</vt:lpstr>
      <vt:lpstr>DS498Q04C</vt:lpstr>
      <vt:lpstr>DS425Q03C</vt:lpstr>
      <vt:lpstr>CS425Q05S</vt:lpstr>
      <vt:lpstr>CS425Q02S</vt:lpstr>
      <vt:lpstr>DS425Q04C</vt:lpstr>
      <vt:lpstr>DS465Q01C</vt:lpstr>
      <vt:lpstr>CS465Q02S</vt:lpstr>
      <vt:lpstr>CS465Q04S</vt:lpstr>
      <vt:lpstr>DS131Q02C</vt:lpstr>
      <vt:lpstr>DS131Q04C</vt:lpstr>
      <vt:lpstr>CS428Q01S</vt:lpstr>
      <vt:lpstr>CS428Q03S</vt:lpstr>
      <vt:lpstr>DS428Q05C</vt:lpstr>
      <vt:lpstr>DS514Q02C</vt:lpstr>
      <vt:lpstr>DS514Q03C</vt:lpstr>
      <vt:lpstr>DS514Q04C</vt:lpstr>
      <vt:lpstr>CS438Q01S</vt:lpstr>
      <vt:lpstr>CS438Q02S</vt:lpstr>
      <vt:lpstr>DS438Q03C</vt:lpstr>
      <vt:lpstr>CS415Q07S</vt:lpstr>
      <vt:lpstr>CS415Q02S</vt:lpstr>
      <vt:lpstr>CS415Q08S</vt:lpstr>
      <vt:lpstr>CS476Q01S</vt:lpstr>
      <vt:lpstr>CS476Q02S</vt:lpstr>
      <vt:lpstr>CS476Q03S</vt:lpstr>
      <vt:lpstr>CS495Q04S</vt:lpstr>
      <vt:lpstr>CS495Q01S</vt:lpstr>
      <vt:lpstr>CS495Q02S</vt:lpstr>
      <vt:lpstr>DS495Q03C</vt:lpstr>
      <vt:lpstr>CS268Q01S</vt:lpstr>
      <vt:lpstr>DS268Q02C</vt:lpstr>
      <vt:lpstr>CS268Q06S</vt:lpstr>
      <vt:lpstr>CS524Q06S</vt:lpstr>
      <vt:lpstr>DS524Q07C</vt:lpstr>
      <vt:lpstr>CS510Q01S</vt:lpstr>
      <vt:lpstr>DS510Q04C</vt:lpstr>
      <vt:lpstr>CS437Q01S</vt:lpstr>
      <vt:lpstr>CS437Q03S</vt:lpstr>
      <vt:lpstr>CS437Q04S</vt:lpstr>
      <vt:lpstr>DS437Q06C</vt:lpstr>
      <vt:lpstr>DS304Q01C</vt:lpstr>
      <vt:lpstr>CS304Q02S</vt:lpstr>
      <vt:lpstr>DS304Q03aC</vt:lpstr>
      <vt:lpstr>DS304Q03bC</vt:lpstr>
      <vt:lpstr>DS416Q01C</vt:lpstr>
      <vt:lpstr>DS458Q01C</vt:lpstr>
      <vt:lpstr>CS458Q02S</vt:lpstr>
      <vt:lpstr>CS421Q01S</vt:lpstr>
      <vt:lpstr>CS421Q02S</vt:lpstr>
      <vt:lpstr>CS421Q03S</vt:lpstr>
      <vt:lpstr>CS252Q01S</vt:lpstr>
      <vt:lpstr>CS252Q02S</vt:lpstr>
      <vt:lpstr>CS252Q03S</vt:lpstr>
      <vt:lpstr>CS327Q01S</vt:lpstr>
      <vt:lpstr>CS627Q01S</vt:lpstr>
      <vt:lpstr>CS627Q03S</vt:lpstr>
      <vt:lpstr>CS627Q04S</vt:lpstr>
      <vt:lpstr>CS635Q01S</vt:lpstr>
      <vt:lpstr>CS635Q02S</vt:lpstr>
      <vt:lpstr>DS635Q03C</vt:lpstr>
      <vt:lpstr>CS635Q04S</vt:lpstr>
      <vt:lpstr>DS635Q05C</vt:lpstr>
      <vt:lpstr>CS603Q01S</vt:lpstr>
      <vt:lpstr>DS603Q02C</vt:lpstr>
      <vt:lpstr>CS603Q03S</vt:lpstr>
      <vt:lpstr>CS603Q04S</vt:lpstr>
      <vt:lpstr>CS603Q05S</vt:lpstr>
      <vt:lpstr>CS602Q01S</vt:lpstr>
      <vt:lpstr>CS602Q02S</vt:lpstr>
      <vt:lpstr>DS602Q03C</vt:lpstr>
      <vt:lpstr>CS602Q04S</vt:lpstr>
      <vt:lpstr>CS607Q01S</vt:lpstr>
      <vt:lpstr>CS607Q02S</vt:lpstr>
      <vt:lpstr>DS607Q03C</vt:lpstr>
      <vt:lpstr>CS646Q01S</vt:lpstr>
      <vt:lpstr>CS646Q02S</vt:lpstr>
      <vt:lpstr>CS646Q03S</vt:lpstr>
      <vt:lpstr>DS646Q04C</vt:lpstr>
      <vt:lpstr>DS646Q05C</vt:lpstr>
      <vt:lpstr>CS608Q01S</vt:lpstr>
      <vt:lpstr>CS608Q02S</vt:lpstr>
      <vt:lpstr>CS608Q03S</vt:lpstr>
      <vt:lpstr>DS608Q04C</vt:lpstr>
      <vt:lpstr>CS605Q01S</vt:lpstr>
      <vt:lpstr>CS605Q02S</vt:lpstr>
      <vt:lpstr>CS605Q03S</vt:lpstr>
      <vt:lpstr>DS605Q04C</vt:lpstr>
      <vt:lpstr>CS649Q01S</vt:lpstr>
      <vt:lpstr>DS649Q02C</vt:lpstr>
      <vt:lpstr>CS649Q03S</vt:lpstr>
      <vt:lpstr>CS649Q04S</vt:lpstr>
      <vt:lpstr>CS634Q01S</vt:lpstr>
      <vt:lpstr>CS634Q02S</vt:lpstr>
      <vt:lpstr>DS634Q03C</vt:lpstr>
      <vt:lpstr>DS634Q05C</vt:lpstr>
      <vt:lpstr>CS634Q04S</vt:lpstr>
      <vt:lpstr>CS620Q01S</vt:lpstr>
      <vt:lpstr>CS620Q02S</vt:lpstr>
      <vt:lpstr>DS620Q04C</vt:lpstr>
      <vt:lpstr>CS638Q01S</vt:lpstr>
      <vt:lpstr>CS638Q02S</vt:lpstr>
      <vt:lpstr>CS638Q04S</vt:lpstr>
      <vt:lpstr>DS638Q05C</vt:lpstr>
      <vt:lpstr>DS625Q01C</vt:lpstr>
      <vt:lpstr>CS625Q02S</vt:lpstr>
      <vt:lpstr>CS625Q03S</vt:lpstr>
      <vt:lpstr>CS615Q07S</vt:lpstr>
      <vt:lpstr>CS615Q01S</vt:lpstr>
      <vt:lpstr>CS615Q02S</vt:lpstr>
      <vt:lpstr>CS615Q05S</vt:lpstr>
      <vt:lpstr>CS604Q02S</vt:lpstr>
      <vt:lpstr>DS604Q04C</vt:lpstr>
      <vt:lpstr>CS645Q01S</vt:lpstr>
      <vt:lpstr>CS645Q03S</vt:lpstr>
      <vt:lpstr>DS645Q04C</vt:lpstr>
      <vt:lpstr>DS645Q05C</vt:lpstr>
      <vt:lpstr>CS657Q01S</vt:lpstr>
      <vt:lpstr>CS657Q02S</vt:lpstr>
      <vt:lpstr>CS657Q03S</vt:lpstr>
      <vt:lpstr>DS657Q04C</vt:lpstr>
      <vt:lpstr>CS656Q01S</vt:lpstr>
      <vt:lpstr>DS656Q02C</vt:lpstr>
      <vt:lpstr>CS656Q04S</vt:lpstr>
      <vt:lpstr>DS643Q03C</vt:lpstr>
      <vt:lpstr>CS643Q01S</vt:lpstr>
      <vt:lpstr>CS643Q02S</vt:lpstr>
      <vt:lpstr>CS643Q04S</vt:lpstr>
      <vt:lpstr>DS643Q05C</vt:lpstr>
      <vt:lpstr>DS629Q01C</vt:lpstr>
      <vt:lpstr>CS629Q02S</vt:lpstr>
      <vt:lpstr>DS629Q03C</vt:lpstr>
      <vt:lpstr>CS629Q04S</vt:lpstr>
      <vt:lpstr>DS648Q01C</vt:lpstr>
      <vt:lpstr>CS648Q02S</vt:lpstr>
      <vt:lpstr>CS648Q03S</vt:lpstr>
      <vt:lpstr>DS648Q05C</vt:lpstr>
      <vt:lpstr>CS641Q01S</vt:lpstr>
      <vt:lpstr>CS641Q02S</vt:lpstr>
      <vt:lpstr>CS641Q03S</vt:lpstr>
      <vt:lpstr>CS641Q04S</vt:lpstr>
      <vt:lpstr>DS637Q01C</vt:lpstr>
      <vt:lpstr>CS637Q02S</vt:lpstr>
      <vt:lpstr>DS637Q05C</vt:lpstr>
      <vt:lpstr>CS601Q01S</vt:lpstr>
      <vt:lpstr>CS601Q02S</vt:lpstr>
      <vt:lpstr>CS601Q04S</vt:lpstr>
      <vt:lpstr>DS610Q01C</vt:lpstr>
      <vt:lpstr>CS610Q02S</vt:lpstr>
      <vt:lpstr>CS610Q04S</vt:lpstr>
      <vt:lpstr>CS626Q01S</vt:lpstr>
      <vt:lpstr>CS626Q02S</vt:lpstr>
      <vt:lpstr>CS626Q03S</vt:lpstr>
      <vt:lpstr>DS626Q04C</vt:lpstr>
      <vt:lpstr>PS269Q01</vt:lpstr>
      <vt:lpstr>PS269Q03</vt:lpstr>
      <vt:lpstr>PS269Q04S</vt:lpstr>
      <vt:lpstr>PS408Q01S</vt:lpstr>
      <vt:lpstr>PS408Q03</vt:lpstr>
      <vt:lpstr>PS408Q04S</vt:lpstr>
      <vt:lpstr>PS408Q05S</vt:lpstr>
      <vt:lpstr>PS521Q02S</vt:lpstr>
      <vt:lpstr>PS521Q06S</vt:lpstr>
      <vt:lpstr>PS519Q01</vt:lpstr>
      <vt:lpstr>PS519Q02S</vt:lpstr>
      <vt:lpstr>PS519Q03</vt:lpstr>
      <vt:lpstr>PS527Q01S</vt:lpstr>
      <vt:lpstr>PS527Q03S</vt:lpstr>
      <vt:lpstr>PS527Q04S</vt:lpstr>
      <vt:lpstr>PS466Q01S</vt:lpstr>
      <vt:lpstr>PS466Q07S</vt:lpstr>
      <vt:lpstr>PS466Q05S</vt:lpstr>
      <vt:lpstr>PS326Q01</vt:lpstr>
      <vt:lpstr>PS326Q02</vt:lpstr>
      <vt:lpstr>PS326Q03S</vt:lpstr>
      <vt:lpstr>PS326Q04S</vt:lpstr>
      <vt:lpstr>PS256Q01S</vt:lpstr>
      <vt:lpstr>PS478Q01S</vt:lpstr>
      <vt:lpstr>PS478Q02S</vt:lpstr>
      <vt:lpstr>PS478Q03S</vt:lpstr>
      <vt:lpstr>PS413Q06</vt:lpstr>
      <vt:lpstr>PS413Q04S</vt:lpstr>
      <vt:lpstr>PS413Q05S</vt:lpstr>
      <vt:lpstr>PS498Q02S</vt:lpstr>
      <vt:lpstr>PS498Q03S</vt:lpstr>
      <vt:lpstr>PS498Q04</vt:lpstr>
      <vt:lpstr>PS425Q03</vt:lpstr>
      <vt:lpstr>PS425Q05S</vt:lpstr>
      <vt:lpstr>PS425Q02S</vt:lpstr>
      <vt:lpstr>PS425Q04</vt:lpstr>
      <vt:lpstr>PS465Q01</vt:lpstr>
      <vt:lpstr>PS465Q02S</vt:lpstr>
      <vt:lpstr>PS465Q04S</vt:lpstr>
      <vt:lpstr>PS131Q02</vt:lpstr>
      <vt:lpstr>PS131Q04</vt:lpstr>
      <vt:lpstr>PS428Q01S</vt:lpstr>
      <vt:lpstr>PS428Q03S</vt:lpstr>
      <vt:lpstr>PS428Q05</vt:lpstr>
      <vt:lpstr>PS514Q02</vt:lpstr>
      <vt:lpstr>PS514Q03</vt:lpstr>
      <vt:lpstr>PS514Q04</vt:lpstr>
      <vt:lpstr>PS438Q01S</vt:lpstr>
      <vt:lpstr>PS438Q02S</vt:lpstr>
      <vt:lpstr>PS438Q03</vt:lpstr>
      <vt:lpstr>PS415Q07S</vt:lpstr>
      <vt:lpstr>PS415Q02S</vt:lpstr>
      <vt:lpstr>PS415Q08S</vt:lpstr>
      <vt:lpstr>PS476Q01S</vt:lpstr>
      <vt:lpstr>PS476Q02S</vt:lpstr>
      <vt:lpstr>PS476Q03S</vt:lpstr>
      <vt:lpstr>PS495Q04S</vt:lpstr>
      <vt:lpstr>PS495Q01S</vt:lpstr>
      <vt:lpstr>PS495Q02S</vt:lpstr>
      <vt:lpstr>S495Q03</vt:lpstr>
      <vt:lpstr>PS456Q01S</vt:lpstr>
      <vt:lpstr>PS456Q02S</vt:lpstr>
      <vt:lpstr>PS268Q01S</vt:lpstr>
      <vt:lpstr>S268Q02</vt:lpstr>
      <vt:lpstr>PS268Q06S</vt:lpstr>
      <vt:lpstr>PS524Q06S</vt:lpstr>
      <vt:lpstr>S524Q07</vt:lpstr>
      <vt:lpstr>PS510Q01S</vt:lpstr>
      <vt:lpstr>S510Q04</vt:lpstr>
      <vt:lpstr>PS437Q01S</vt:lpstr>
      <vt:lpstr>PS437Q03S</vt:lpstr>
      <vt:lpstr>PS437Q04S</vt:lpstr>
      <vt:lpstr>S437Q06</vt:lpstr>
      <vt:lpstr>S304Q01</vt:lpstr>
      <vt:lpstr>PS304Q02S</vt:lpstr>
      <vt:lpstr>S304Q03a</vt:lpstr>
      <vt:lpstr>S304Q03b</vt:lpstr>
      <vt:lpstr>S416Q01</vt:lpstr>
      <vt:lpstr>S458Q01</vt:lpstr>
      <vt:lpstr>PS458Q02S</vt:lpstr>
      <vt:lpstr>S421Q01</vt:lpstr>
      <vt:lpstr>S421Q02</vt:lpstr>
      <vt:lpstr>S421Q03</vt:lpstr>
      <vt:lpstr>PS252Q01S</vt:lpstr>
      <vt:lpstr>PS252Q02S</vt:lpstr>
      <vt:lpstr>PS252Q03S</vt:lpstr>
      <vt:lpstr>PS327Q01S</vt:lpstr>
      <vt:lpstr>PS133Q01S</vt:lpstr>
      <vt:lpstr>PS133Q03S</vt:lpstr>
      <vt:lpstr>PS133Q04S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2016-11-09T16:50:47Z</dcterms:created>
  <dcterms:modified xmlns:dcterms="http://purl.org/dc/terms/" xmlns:xsi="http://www.w3.org/2001/XMLSchema-instance" xsi:type="dcterms:W3CDTF">2016-11-09T16:50:47Z</dcterms:modified>
  <cp:lastModifiedBy/>
  <cp:category/>
  <cp:contentStatus/>
  <cp:version/>
  <cp:revision/>
  <cp:keywords/>
</cp:coreProperties>
</file>